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harts/chart20.xml" ContentType="application/vnd.openxmlformats-officedocument.drawingml.chart+xml"/>
  <Override PartName="/xl/charts/style7.xml" ContentType="application/vnd.ms-office.chartstyle+xml"/>
  <Override PartName="/xl/charts/colors7.xml" ContentType="application/vnd.ms-office.chartcolorstyle+xml"/>
  <Override PartName="/xl/charts/chart21.xml" ContentType="application/vnd.openxmlformats-officedocument.drawingml.chart+xml"/>
  <Override PartName="/xl/charts/style8.xml" ContentType="application/vnd.ms-office.chartstyle+xml"/>
  <Override PartName="/xl/charts/colors8.xml" ContentType="application/vnd.ms-office.chartcolorstyle+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drawings/drawing11.xml" ContentType="application/vnd.openxmlformats-officedocument.drawing+xml"/>
  <Override PartName="/xl/ctrlProps/ctrlProp76.xml" ContentType="application/vnd.ms-excel.controlproperties+xml"/>
  <Override PartName="/xl/drawings/drawing12.xml" ContentType="application/vnd.openxmlformats-officedocument.drawing+xml"/>
  <Override PartName="/xl/ctrlProps/ctrlProp77.xml" ContentType="application/vnd.ms-excel.controlproperties+xml"/>
  <Override PartName="/xl/drawings/drawing13.xml" ContentType="application/vnd.openxmlformats-officedocument.drawing+xml"/>
  <Override PartName="/xl/ctrlProps/ctrlProp78.xml" ContentType="application/vnd.ms-excel.controlproperties+xml"/>
  <Override PartName="/xl/drawings/drawing14.xml" ContentType="application/vnd.openxmlformats-officedocument.drawing+xml"/>
  <Override PartName="/xl/ctrlProps/ctrlProp79.xml" ContentType="application/vnd.ms-excel.controlproperties+xml"/>
  <Override PartName="/xl/drawings/drawing15.xml" ContentType="application/vnd.openxmlformats-officedocument.drawing+xml"/>
  <Override PartName="/xl/ctrlProps/ctrlProp80.xml" ContentType="application/vnd.ms-excel.controlproperties+xml"/>
  <Override PartName="/xl/drawings/drawing16.xml" ContentType="application/vnd.openxmlformats-officedocument.drawing+xml"/>
  <Override PartName="/xl/ctrlProps/ctrlProp8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G:\共有ドライブ\ius\2_普及活動\★プレゼン・講演会・セミナー資料\2024年度\20240913_Beyond2050研究会\presentation\beyond2050\gpci-simulator\_xlsx\"/>
    </mc:Choice>
  </mc:AlternateContent>
  <xr:revisionPtr revIDLastSave="0" documentId="13_ncr:1_{B3CB43E4-7158-48B1-999D-2EBB7B742752}" xr6:coauthVersionLast="47" xr6:coauthVersionMax="47" xr10:uidLastSave="{00000000-0000-0000-0000-000000000000}"/>
  <bookViews>
    <workbookView xWindow="-120" yWindow="-120" windowWidth="29040" windowHeight="15720" tabRatio="901" activeTab="9" xr2:uid="{00000000-000D-0000-FFFF-FFFF00000000}"/>
  </bookViews>
  <sheets>
    <sheet name="JPEN" sheetId="81" r:id="rId1"/>
    <sheet name="マスタ▶" sheetId="69" r:id="rId2"/>
    <sheet name="都市" sheetId="41" r:id="rId3"/>
    <sheet name="定義" sheetId="80" r:id="rId4"/>
    <sheet name="指標" sheetId="8" r:id="rId5"/>
    <sheet name="中心地" sheetId="73" r:id="rId6"/>
    <sheet name="Python0831" sheetId="113" r:id="rId7"/>
    <sheet name="結果▶" sheetId="67" r:id="rId8"/>
    <sheet name="生データ" sheetId="3" r:id="rId9"/>
    <sheet name="スコア" sheetId="4" r:id="rId10"/>
    <sheet name="順位" sheetId="82" r:id="rId11"/>
    <sheet name="偏差値" sheetId="83" r:id="rId12"/>
    <sheet name="アクター" sheetId="18" r:id="rId13"/>
    <sheet name="図表▶" sheetId="58" r:id="rId14"/>
    <sheet name="結果表" sheetId="59" r:id="rId15"/>
    <sheet name="プレス用" sheetId="99" r:id="rId16"/>
    <sheet name="レーダー" sheetId="93" r:id="rId17"/>
    <sheet name="総合横棒" sheetId="33" r:id="rId18"/>
    <sheet name="順位経年" sheetId="44" r:id="rId19"/>
    <sheet name="偏差値経年" sheetId="91" r:id="rId20"/>
    <sheet name="スコア経年" sheetId="90" r:id="rId21"/>
    <sheet name="分野経年" sheetId="98" r:id="rId22"/>
    <sheet name="指標縦棒" sheetId="97" r:id="rId23"/>
    <sheet name="一括収集▶" sheetId="100" r:id="rId24"/>
    <sheet name="データソース" sheetId="105" r:id="rId25"/>
    <sheet name="年次" sheetId="101" r:id="rId26"/>
    <sheet name="出典" sheetId="102" r:id="rId27"/>
    <sheet name="範囲" sheetId="111" r:id="rId28"/>
    <sheet name="定義収集" sheetId="109" r:id="rId29"/>
    <sheet name="コメント収集" sheetId="106" r:id="rId30"/>
    <sheet name="年度リセット" sheetId="110" r:id="rId31"/>
  </sheets>
  <functionGroups builtInGroupCount="19"/>
  <definedNames>
    <definedName name="_xlnm._FilterDatabase" localSheetId="12" hidden="1">アクター!$B$8:$BA$8</definedName>
    <definedName name="_xlnm._FilterDatabase" localSheetId="20" hidden="1">スコア経年!$B$3:$T$3</definedName>
    <definedName name="_xlnm._FilterDatabase" localSheetId="24" hidden="1">データソース!$B$5:$Z$762</definedName>
    <definedName name="_xlnm._FilterDatabase" localSheetId="16" hidden="1">レーダー!$B$3:$K$3</definedName>
    <definedName name="_xlnm._FilterDatabase" localSheetId="14" hidden="1">結果表!$C$5:$I$53</definedName>
    <definedName name="_xlnm._FilterDatabase" localSheetId="26" hidden="1">出典!$B$5:$BY$5</definedName>
    <definedName name="_xlnm._FilterDatabase" localSheetId="18" hidden="1">順位経年!$B$3:$T$3</definedName>
    <definedName name="_xlnm._FilterDatabase" localSheetId="17" hidden="1">総合横棒!$B$3:$L$3</definedName>
    <definedName name="_xlnm._FilterDatabase" localSheetId="25" hidden="1">年次!$B$5:$BY$5</definedName>
    <definedName name="_xlnm._FilterDatabase" localSheetId="27" hidden="1">範囲!$B$5:$BY$5</definedName>
    <definedName name="_xlnm._FilterDatabase" localSheetId="19" hidden="1">偏差値経年!$B$3:$T$3</definedName>
    <definedName name="_xlnm.Print_Area" localSheetId="20">スコア経年!$B$2:$AJ$51</definedName>
    <definedName name="_xlnm.Print_Area" localSheetId="15">プレス用!$B$2:$Z$17</definedName>
    <definedName name="_xlnm.Print_Area" localSheetId="16">レーダー!$B$2:$W$51</definedName>
    <definedName name="_xlnm.Print_Area" localSheetId="14">結果表!$B$2:$BK$53</definedName>
    <definedName name="_xlnm.Print_Area" localSheetId="18">順位経年!$B$2:$AJ$51</definedName>
    <definedName name="_xlnm.Print_Area" localSheetId="17">総合横棒!$A$2:$Z$53</definedName>
    <definedName name="_xlnm.Print_Area" localSheetId="21">分野経年!$B$2:$DD$26</definedName>
    <definedName name="_xlnm.Print_Area" localSheetId="19">偏差値経年!$A$2:$AJ$57</definedName>
    <definedName name="_xlnm.Print_Titles" localSheetId="3">定義!$2:$2</definedName>
    <definedName name="指標縦棒_スコア" localSheetId="22">OFFSET(指標縦棒!$H$3,1,0,COUNTA(指標縦棒!$E$4:$E$16),1)</definedName>
    <definedName name="指標縦棒_生データ" localSheetId="22">OFFSET(指標縦棒!$G$3,1,0,COUNTA(指標縦棒!$E$4:$E$16),1)</definedName>
    <definedName name="指標縦棒_都市名" localSheetId="22">OFFSET(指標縦棒!$F$3,1,0,COUNTA(指標縦棒!$E$4:$E$16),1)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3" i="3" l="1"/>
  <c r="G63" i="3"/>
  <c r="H63" i="3"/>
  <c r="I63" i="3"/>
  <c r="J63" i="3"/>
  <c r="K63" i="3"/>
  <c r="L63" i="3"/>
  <c r="M63" i="3"/>
  <c r="N63" i="3"/>
  <c r="O63" i="3"/>
  <c r="P63" i="3"/>
  <c r="Q63" i="3"/>
  <c r="R63" i="3"/>
  <c r="S63" i="3"/>
  <c r="T63" i="3"/>
  <c r="U63" i="3"/>
  <c r="V63" i="3"/>
  <c r="W63" i="3"/>
  <c r="X63" i="3"/>
  <c r="Y63" i="3"/>
  <c r="Z63" i="3"/>
  <c r="AA63" i="3"/>
  <c r="AB63" i="3"/>
  <c r="AC63" i="3"/>
  <c r="AD63" i="3"/>
  <c r="AE63" i="3"/>
  <c r="AF63" i="3"/>
  <c r="AG63" i="3"/>
  <c r="AH63" i="3"/>
  <c r="AI63" i="3"/>
  <c r="AJ63" i="3"/>
  <c r="AK63" i="3"/>
  <c r="AL63" i="3"/>
  <c r="AM63" i="3"/>
  <c r="AN63" i="3"/>
  <c r="AO63" i="3"/>
  <c r="AP63" i="3"/>
  <c r="AQ63" i="3"/>
  <c r="AR63" i="3"/>
  <c r="AS63" i="3"/>
  <c r="AT63" i="3"/>
  <c r="AU63" i="3"/>
  <c r="AV63" i="3"/>
  <c r="AW63" i="3"/>
  <c r="AX63" i="3"/>
  <c r="AY63" i="3"/>
  <c r="AZ63" i="3"/>
  <c r="BA63" i="3"/>
  <c r="BB63" i="3"/>
  <c r="BC63" i="3"/>
  <c r="BD63" i="3"/>
  <c r="BE63" i="3"/>
  <c r="BF63" i="3"/>
  <c r="BG63" i="3"/>
  <c r="BH63" i="3"/>
  <c r="BI63" i="3"/>
  <c r="BJ63" i="3"/>
  <c r="BK63" i="3"/>
  <c r="BL63" i="3"/>
  <c r="BM63" i="3"/>
  <c r="BN63" i="3"/>
  <c r="BO63" i="3"/>
  <c r="BP63" i="3"/>
  <c r="BQ63" i="3"/>
  <c r="BR63" i="3"/>
  <c r="BS63" i="3"/>
  <c r="BT63" i="3"/>
  <c r="BU63" i="3"/>
  <c r="BV63" i="3"/>
  <c r="BW63" i="3"/>
  <c r="BX63" i="3"/>
  <c r="BY63" i="3"/>
  <c r="F64" i="3"/>
  <c r="G64" i="3"/>
  <c r="H64" i="3"/>
  <c r="I64" i="3"/>
  <c r="J64" i="3"/>
  <c r="K64" i="3"/>
  <c r="L64" i="3"/>
  <c r="M64" i="3"/>
  <c r="N64" i="3"/>
  <c r="O64" i="3"/>
  <c r="P64" i="3"/>
  <c r="Q64" i="3"/>
  <c r="R64" i="3"/>
  <c r="S64" i="3"/>
  <c r="T64" i="3"/>
  <c r="U64" i="3"/>
  <c r="V64" i="3"/>
  <c r="W64" i="3"/>
  <c r="X64" i="3"/>
  <c r="Y64" i="3"/>
  <c r="Z64" i="3"/>
  <c r="AA64" i="3"/>
  <c r="AB64" i="3"/>
  <c r="AC64" i="3"/>
  <c r="AD64" i="3"/>
  <c r="AE64" i="3"/>
  <c r="AF64" i="3"/>
  <c r="AG64" i="3"/>
  <c r="AH64" i="3"/>
  <c r="AI64" i="3"/>
  <c r="AJ64" i="3"/>
  <c r="AK64" i="3"/>
  <c r="AL64" i="3"/>
  <c r="AM64" i="3"/>
  <c r="AN64" i="3"/>
  <c r="AO64" i="3"/>
  <c r="AP64" i="3"/>
  <c r="AQ64" i="3"/>
  <c r="AR64" i="3"/>
  <c r="AS64" i="3"/>
  <c r="AT64" i="3"/>
  <c r="AU64" i="3"/>
  <c r="AV64" i="3"/>
  <c r="AW64" i="3"/>
  <c r="AX64" i="3"/>
  <c r="AY64" i="3"/>
  <c r="AZ64" i="3"/>
  <c r="BA64" i="3"/>
  <c r="BB64" i="3"/>
  <c r="BC64" i="3"/>
  <c r="BD64" i="3"/>
  <c r="BE64" i="3"/>
  <c r="BF64" i="3"/>
  <c r="BG64" i="3"/>
  <c r="BH64" i="3"/>
  <c r="BI64" i="3"/>
  <c r="BJ64" i="3"/>
  <c r="BK64" i="3"/>
  <c r="BL64" i="3"/>
  <c r="BM64" i="3"/>
  <c r="BN64" i="3"/>
  <c r="BO64" i="3"/>
  <c r="BP64" i="3"/>
  <c r="BQ64" i="3"/>
  <c r="BR64" i="3"/>
  <c r="BS64" i="3"/>
  <c r="BT64" i="3"/>
  <c r="BU64" i="3"/>
  <c r="BV64" i="3"/>
  <c r="BW64" i="3"/>
  <c r="BX64" i="3"/>
  <c r="BY64" i="3"/>
  <c r="E64" i="3"/>
  <c r="E63" i="3"/>
  <c r="Y762" i="105"/>
  <c r="W762" i="105"/>
  <c r="X762" i="105" s="1"/>
  <c r="Z762" i="105" s="1"/>
  <c r="V762" i="105"/>
  <c r="U762" i="105"/>
  <c r="N762" i="105"/>
  <c r="M762" i="105"/>
  <c r="Y761" i="105"/>
  <c r="W761" i="105"/>
  <c r="X761" i="105" s="1"/>
  <c r="L761" i="105" s="1"/>
  <c r="V761" i="105"/>
  <c r="U761" i="105"/>
  <c r="N761" i="105"/>
  <c r="M761" i="105"/>
  <c r="Y760" i="105"/>
  <c r="W760" i="105"/>
  <c r="X760" i="105" s="1"/>
  <c r="V760" i="105"/>
  <c r="U760" i="105"/>
  <c r="N760" i="105"/>
  <c r="M760" i="105"/>
  <c r="Y759" i="105"/>
  <c r="W759" i="105"/>
  <c r="X759" i="105" s="1"/>
  <c r="V759" i="105"/>
  <c r="U759" i="105"/>
  <c r="N759" i="105"/>
  <c r="M759" i="105"/>
  <c r="Y758" i="105"/>
  <c r="W758" i="105"/>
  <c r="X758" i="105" s="1"/>
  <c r="V758" i="105"/>
  <c r="U758" i="105"/>
  <c r="N758" i="105"/>
  <c r="M758" i="105"/>
  <c r="Y757" i="105"/>
  <c r="W757" i="105"/>
  <c r="X757" i="105" s="1"/>
  <c r="V757" i="105"/>
  <c r="U757" i="105"/>
  <c r="N757" i="105"/>
  <c r="M757" i="105"/>
  <c r="Y756" i="105"/>
  <c r="W756" i="105"/>
  <c r="X756" i="105" s="1"/>
  <c r="L756" i="105" s="1"/>
  <c r="V756" i="105"/>
  <c r="U756" i="105"/>
  <c r="N756" i="105"/>
  <c r="M756" i="105"/>
  <c r="Y755" i="105"/>
  <c r="W755" i="105"/>
  <c r="X755" i="105" s="1"/>
  <c r="L755" i="105" s="1"/>
  <c r="V755" i="105"/>
  <c r="U755" i="105"/>
  <c r="N755" i="105"/>
  <c r="M755" i="105"/>
  <c r="Y754" i="105"/>
  <c r="W754" i="105"/>
  <c r="X754" i="105" s="1"/>
  <c r="V754" i="105"/>
  <c r="U754" i="105"/>
  <c r="N754" i="105"/>
  <c r="M754" i="105"/>
  <c r="Y753" i="105"/>
  <c r="W753" i="105"/>
  <c r="X753" i="105" s="1"/>
  <c r="V753" i="105"/>
  <c r="U753" i="105"/>
  <c r="N753" i="105"/>
  <c r="M753" i="105"/>
  <c r="Y752" i="105"/>
  <c r="W752" i="105"/>
  <c r="X752" i="105" s="1"/>
  <c r="V752" i="105"/>
  <c r="U752" i="105"/>
  <c r="N752" i="105"/>
  <c r="M752" i="105"/>
  <c r="Y751" i="105"/>
  <c r="W751" i="105"/>
  <c r="X751" i="105" s="1"/>
  <c r="V751" i="105"/>
  <c r="U751" i="105"/>
  <c r="N751" i="105"/>
  <c r="M751" i="105"/>
  <c r="Y750" i="105"/>
  <c r="W750" i="105"/>
  <c r="X750" i="105" s="1"/>
  <c r="V750" i="105"/>
  <c r="U750" i="105"/>
  <c r="N750" i="105"/>
  <c r="M750" i="105"/>
  <c r="Y749" i="105"/>
  <c r="W749" i="105"/>
  <c r="X749" i="105" s="1"/>
  <c r="V749" i="105"/>
  <c r="U749" i="105"/>
  <c r="N749" i="105"/>
  <c r="M749" i="105"/>
  <c r="Y748" i="105"/>
  <c r="W748" i="105"/>
  <c r="X748" i="105" s="1"/>
  <c r="V748" i="105"/>
  <c r="U748" i="105"/>
  <c r="N748" i="105"/>
  <c r="M748" i="105"/>
  <c r="Z747" i="105"/>
  <c r="R747" i="105" s="1"/>
  <c r="Y747" i="105"/>
  <c r="W747" i="105"/>
  <c r="X747" i="105" s="1"/>
  <c r="L747" i="105" s="1"/>
  <c r="V747" i="105"/>
  <c r="U747" i="105"/>
  <c r="N747" i="105"/>
  <c r="M747" i="105"/>
  <c r="Y746" i="105"/>
  <c r="W746" i="105"/>
  <c r="X746" i="105" s="1"/>
  <c r="V746" i="105"/>
  <c r="U746" i="105"/>
  <c r="N746" i="105"/>
  <c r="M746" i="105"/>
  <c r="Y745" i="105"/>
  <c r="X745" i="105"/>
  <c r="W745" i="105"/>
  <c r="V745" i="105"/>
  <c r="U745" i="105"/>
  <c r="N745" i="105"/>
  <c r="M745" i="105"/>
  <c r="Y744" i="105"/>
  <c r="W744" i="105"/>
  <c r="X744" i="105" s="1"/>
  <c r="V744" i="105"/>
  <c r="U744" i="105"/>
  <c r="N744" i="105"/>
  <c r="M744" i="105"/>
  <c r="Y743" i="105"/>
  <c r="W743" i="105"/>
  <c r="X743" i="105" s="1"/>
  <c r="V743" i="105"/>
  <c r="U743" i="105"/>
  <c r="N743" i="105"/>
  <c r="M743" i="105"/>
  <c r="Y742" i="105"/>
  <c r="W742" i="105"/>
  <c r="X742" i="105" s="1"/>
  <c r="V742" i="105"/>
  <c r="U742" i="105"/>
  <c r="N742" i="105"/>
  <c r="M742" i="105"/>
  <c r="Y741" i="105"/>
  <c r="W741" i="105"/>
  <c r="X741" i="105" s="1"/>
  <c r="Z741" i="105" s="1"/>
  <c r="V741" i="105"/>
  <c r="U741" i="105"/>
  <c r="N741" i="105"/>
  <c r="M741" i="105"/>
  <c r="Y740" i="105"/>
  <c r="W740" i="105"/>
  <c r="X740" i="105" s="1"/>
  <c r="V740" i="105"/>
  <c r="U740" i="105"/>
  <c r="N740" i="105"/>
  <c r="M740" i="105"/>
  <c r="Z739" i="105"/>
  <c r="Q739" i="105" s="1"/>
  <c r="Y739" i="105"/>
  <c r="W739" i="105"/>
  <c r="X739" i="105" s="1"/>
  <c r="L739" i="105" s="1"/>
  <c r="V739" i="105"/>
  <c r="U739" i="105"/>
  <c r="N739" i="105"/>
  <c r="M739" i="105"/>
  <c r="Y738" i="105"/>
  <c r="W738" i="105"/>
  <c r="X738" i="105" s="1"/>
  <c r="V738" i="105"/>
  <c r="U738" i="105"/>
  <c r="N738" i="105"/>
  <c r="M738" i="105"/>
  <c r="Y737" i="105"/>
  <c r="W737" i="105"/>
  <c r="X737" i="105" s="1"/>
  <c r="V737" i="105"/>
  <c r="U737" i="105"/>
  <c r="N737" i="105"/>
  <c r="M737" i="105"/>
  <c r="Y736" i="105"/>
  <c r="W736" i="105"/>
  <c r="X736" i="105" s="1"/>
  <c r="V736" i="105"/>
  <c r="U736" i="105"/>
  <c r="N736" i="105"/>
  <c r="M736" i="105"/>
  <c r="Y735" i="105"/>
  <c r="W735" i="105"/>
  <c r="X735" i="105" s="1"/>
  <c r="V735" i="105"/>
  <c r="U735" i="105"/>
  <c r="N735" i="105"/>
  <c r="M735" i="105"/>
  <c r="Z734" i="105"/>
  <c r="S734" i="105" s="1"/>
  <c r="Y734" i="105"/>
  <c r="X734" i="105"/>
  <c r="W734" i="105"/>
  <c r="V734" i="105"/>
  <c r="U734" i="105"/>
  <c r="N734" i="105"/>
  <c r="M734" i="105"/>
  <c r="Y733" i="105"/>
  <c r="X733" i="105"/>
  <c r="Z733" i="105" s="1"/>
  <c r="W733" i="105"/>
  <c r="V733" i="105"/>
  <c r="U733" i="105"/>
  <c r="N733" i="105"/>
  <c r="M733" i="105"/>
  <c r="Z732" i="105"/>
  <c r="Y732" i="105"/>
  <c r="X732" i="105"/>
  <c r="W732" i="105"/>
  <c r="V732" i="105"/>
  <c r="U732" i="105"/>
  <c r="S732" i="105"/>
  <c r="R732" i="105"/>
  <c r="N732" i="105"/>
  <c r="M732" i="105"/>
  <c r="Y731" i="105"/>
  <c r="W731" i="105"/>
  <c r="X731" i="105" s="1"/>
  <c r="L731" i="105" s="1"/>
  <c r="V731" i="105"/>
  <c r="U731" i="105"/>
  <c r="N731" i="105"/>
  <c r="M731" i="105"/>
  <c r="Y730" i="105"/>
  <c r="W730" i="105"/>
  <c r="X730" i="105" s="1"/>
  <c r="V730" i="105"/>
  <c r="U730" i="105"/>
  <c r="N730" i="105"/>
  <c r="M730" i="105"/>
  <c r="Y729" i="105"/>
  <c r="X729" i="105"/>
  <c r="W729" i="105"/>
  <c r="V729" i="105"/>
  <c r="U729" i="105"/>
  <c r="N729" i="105"/>
  <c r="M729" i="105"/>
  <c r="Y728" i="105"/>
  <c r="W728" i="105"/>
  <c r="X728" i="105" s="1"/>
  <c r="V728" i="105"/>
  <c r="U728" i="105"/>
  <c r="N728" i="105"/>
  <c r="M728" i="105"/>
  <c r="Y727" i="105"/>
  <c r="W727" i="105"/>
  <c r="X727" i="105" s="1"/>
  <c r="V727" i="105"/>
  <c r="U727" i="105"/>
  <c r="N727" i="105"/>
  <c r="M727" i="105"/>
  <c r="Y726" i="105"/>
  <c r="X726" i="105"/>
  <c r="W726" i="105"/>
  <c r="V726" i="105"/>
  <c r="U726" i="105"/>
  <c r="N726" i="105"/>
  <c r="M726" i="105"/>
  <c r="Y725" i="105"/>
  <c r="X725" i="105"/>
  <c r="Z725" i="105" s="1"/>
  <c r="W725" i="105"/>
  <c r="V725" i="105"/>
  <c r="U725" i="105"/>
  <c r="N725" i="105"/>
  <c r="M725" i="105"/>
  <c r="Y724" i="105"/>
  <c r="X724" i="105"/>
  <c r="W724" i="105"/>
  <c r="V724" i="105"/>
  <c r="U724" i="105"/>
  <c r="N724" i="105"/>
  <c r="M724" i="105"/>
  <c r="Z723" i="105"/>
  <c r="Y723" i="105"/>
  <c r="W723" i="105"/>
  <c r="X723" i="105" s="1"/>
  <c r="L723" i="105" s="1"/>
  <c r="V723" i="105"/>
  <c r="U723" i="105"/>
  <c r="R723" i="105"/>
  <c r="Q723" i="105"/>
  <c r="O723" i="105"/>
  <c r="N723" i="105"/>
  <c r="M723" i="105"/>
  <c r="Y722" i="105"/>
  <c r="W722" i="105"/>
  <c r="X722" i="105" s="1"/>
  <c r="V722" i="105"/>
  <c r="U722" i="105"/>
  <c r="N722" i="105"/>
  <c r="M722" i="105"/>
  <c r="Y721" i="105"/>
  <c r="X721" i="105"/>
  <c r="W721" i="105"/>
  <c r="V721" i="105"/>
  <c r="U721" i="105"/>
  <c r="N721" i="105"/>
  <c r="M721" i="105"/>
  <c r="Y720" i="105"/>
  <c r="W720" i="105"/>
  <c r="X720" i="105" s="1"/>
  <c r="Z720" i="105" s="1"/>
  <c r="V720" i="105"/>
  <c r="U720" i="105"/>
  <c r="N720" i="105"/>
  <c r="M720" i="105"/>
  <c r="Y719" i="105"/>
  <c r="W719" i="105"/>
  <c r="X719" i="105" s="1"/>
  <c r="V719" i="105"/>
  <c r="U719" i="105"/>
  <c r="N719" i="105"/>
  <c r="M719" i="105"/>
  <c r="Z718" i="105"/>
  <c r="Y718" i="105"/>
  <c r="X718" i="105"/>
  <c r="W718" i="105"/>
  <c r="V718" i="105"/>
  <c r="U718" i="105"/>
  <c r="N718" i="105"/>
  <c r="M718" i="105"/>
  <c r="L718" i="105"/>
  <c r="Y717" i="105"/>
  <c r="W717" i="105"/>
  <c r="X717" i="105" s="1"/>
  <c r="V717" i="105"/>
  <c r="U717" i="105"/>
  <c r="N717" i="105"/>
  <c r="M717" i="105"/>
  <c r="Y716" i="105"/>
  <c r="W716" i="105"/>
  <c r="X716" i="105" s="1"/>
  <c r="V716" i="105"/>
  <c r="U716" i="105"/>
  <c r="N716" i="105"/>
  <c r="M716" i="105"/>
  <c r="Y715" i="105"/>
  <c r="W715" i="105"/>
  <c r="X715" i="105" s="1"/>
  <c r="Z715" i="105" s="1"/>
  <c r="R715" i="105" s="1"/>
  <c r="V715" i="105"/>
  <c r="U715" i="105"/>
  <c r="N715" i="105"/>
  <c r="M715" i="105"/>
  <c r="Y714" i="105"/>
  <c r="W714" i="105"/>
  <c r="X714" i="105" s="1"/>
  <c r="V714" i="105"/>
  <c r="U714" i="105"/>
  <c r="N714" i="105"/>
  <c r="M714" i="105"/>
  <c r="Y713" i="105"/>
  <c r="W713" i="105"/>
  <c r="X713" i="105" s="1"/>
  <c r="V713" i="105"/>
  <c r="U713" i="105"/>
  <c r="N713" i="105"/>
  <c r="M713" i="105"/>
  <c r="Y712" i="105"/>
  <c r="W712" i="105"/>
  <c r="X712" i="105" s="1"/>
  <c r="Z712" i="105" s="1"/>
  <c r="V712" i="105"/>
  <c r="U712" i="105"/>
  <c r="T712" i="105"/>
  <c r="N712" i="105"/>
  <c r="M712" i="105"/>
  <c r="L712" i="105"/>
  <c r="Y711" i="105"/>
  <c r="W711" i="105"/>
  <c r="X711" i="105" s="1"/>
  <c r="V711" i="105"/>
  <c r="U711" i="105"/>
  <c r="N711" i="105"/>
  <c r="M711" i="105"/>
  <c r="Y710" i="105"/>
  <c r="W710" i="105"/>
  <c r="X710" i="105" s="1"/>
  <c r="V710" i="105"/>
  <c r="U710" i="105"/>
  <c r="N710" i="105"/>
  <c r="M710" i="105"/>
  <c r="Y709" i="105"/>
  <c r="W709" i="105"/>
  <c r="X709" i="105" s="1"/>
  <c r="V709" i="105"/>
  <c r="U709" i="105"/>
  <c r="N709" i="105"/>
  <c r="M709" i="105"/>
  <c r="Y708" i="105"/>
  <c r="W708" i="105"/>
  <c r="X708" i="105" s="1"/>
  <c r="V708" i="105"/>
  <c r="U708" i="105"/>
  <c r="N708" i="105"/>
  <c r="M708" i="105"/>
  <c r="Y707" i="105"/>
  <c r="W707" i="105"/>
  <c r="X707" i="105" s="1"/>
  <c r="V707" i="105"/>
  <c r="U707" i="105"/>
  <c r="N707" i="105"/>
  <c r="M707" i="105"/>
  <c r="Y706" i="105"/>
  <c r="W706" i="105"/>
  <c r="X706" i="105" s="1"/>
  <c r="V706" i="105"/>
  <c r="U706" i="105"/>
  <c r="N706" i="105"/>
  <c r="M706" i="105"/>
  <c r="Y705" i="105"/>
  <c r="W705" i="105"/>
  <c r="X705" i="105" s="1"/>
  <c r="V705" i="105"/>
  <c r="U705" i="105"/>
  <c r="N705" i="105"/>
  <c r="M705" i="105"/>
  <c r="Y704" i="105"/>
  <c r="W704" i="105"/>
  <c r="X704" i="105" s="1"/>
  <c r="V704" i="105"/>
  <c r="U704" i="105"/>
  <c r="N704" i="105"/>
  <c r="M704" i="105"/>
  <c r="Y703" i="105"/>
  <c r="W703" i="105"/>
  <c r="X703" i="105" s="1"/>
  <c r="Z703" i="105" s="1"/>
  <c r="T703" i="105" s="1"/>
  <c r="V703" i="105"/>
  <c r="U703" i="105"/>
  <c r="N703" i="105"/>
  <c r="M703" i="105"/>
  <c r="L703" i="105"/>
  <c r="Y702" i="105"/>
  <c r="W702" i="105"/>
  <c r="X702" i="105" s="1"/>
  <c r="V702" i="105"/>
  <c r="U702" i="105"/>
  <c r="N702" i="105"/>
  <c r="M702" i="105"/>
  <c r="Y701" i="105"/>
  <c r="W701" i="105"/>
  <c r="X701" i="105" s="1"/>
  <c r="V701" i="105"/>
  <c r="U701" i="105"/>
  <c r="N701" i="105"/>
  <c r="M701" i="105"/>
  <c r="Y700" i="105"/>
  <c r="W700" i="105"/>
  <c r="X700" i="105" s="1"/>
  <c r="V700" i="105"/>
  <c r="U700" i="105"/>
  <c r="N700" i="105"/>
  <c r="M700" i="105"/>
  <c r="Y699" i="105"/>
  <c r="W699" i="105"/>
  <c r="X699" i="105" s="1"/>
  <c r="V699" i="105"/>
  <c r="U699" i="105"/>
  <c r="N699" i="105"/>
  <c r="M699" i="105"/>
  <c r="Y698" i="105"/>
  <c r="W698" i="105"/>
  <c r="X698" i="105" s="1"/>
  <c r="V698" i="105"/>
  <c r="U698" i="105"/>
  <c r="N698" i="105"/>
  <c r="M698" i="105"/>
  <c r="Y697" i="105"/>
  <c r="W697" i="105"/>
  <c r="X697" i="105" s="1"/>
  <c r="V697" i="105"/>
  <c r="U697" i="105"/>
  <c r="N697" i="105"/>
  <c r="M697" i="105"/>
  <c r="Y696" i="105"/>
  <c r="W696" i="105"/>
  <c r="X696" i="105" s="1"/>
  <c r="V696" i="105"/>
  <c r="U696" i="105"/>
  <c r="N696" i="105"/>
  <c r="M696" i="105"/>
  <c r="Y695" i="105"/>
  <c r="W695" i="105"/>
  <c r="X695" i="105" s="1"/>
  <c r="V695" i="105"/>
  <c r="U695" i="105"/>
  <c r="N695" i="105"/>
  <c r="M695" i="105"/>
  <c r="Y694" i="105"/>
  <c r="W694" i="105"/>
  <c r="X694" i="105" s="1"/>
  <c r="V694" i="105"/>
  <c r="U694" i="105"/>
  <c r="N694" i="105"/>
  <c r="M694" i="105"/>
  <c r="Y693" i="105"/>
  <c r="W693" i="105"/>
  <c r="X693" i="105" s="1"/>
  <c r="Z693" i="105" s="1"/>
  <c r="T693" i="105" s="1"/>
  <c r="V693" i="105"/>
  <c r="U693" i="105"/>
  <c r="N693" i="105"/>
  <c r="M693" i="105"/>
  <c r="Y692" i="105"/>
  <c r="W692" i="105"/>
  <c r="X692" i="105" s="1"/>
  <c r="L692" i="105" s="1"/>
  <c r="V692" i="105"/>
  <c r="U692" i="105"/>
  <c r="N692" i="105"/>
  <c r="M692" i="105"/>
  <c r="Y691" i="105"/>
  <c r="W691" i="105"/>
  <c r="X691" i="105" s="1"/>
  <c r="V691" i="105"/>
  <c r="U691" i="105"/>
  <c r="N691" i="105"/>
  <c r="M691" i="105"/>
  <c r="Y690" i="105"/>
  <c r="W690" i="105"/>
  <c r="X690" i="105" s="1"/>
  <c r="Z690" i="105" s="1"/>
  <c r="T690" i="105" s="1"/>
  <c r="V690" i="105"/>
  <c r="U690" i="105"/>
  <c r="N690" i="105"/>
  <c r="M690" i="105"/>
  <c r="Y689" i="105"/>
  <c r="X689" i="105"/>
  <c r="W689" i="105"/>
  <c r="V689" i="105"/>
  <c r="U689" i="105"/>
  <c r="N689" i="105"/>
  <c r="M689" i="105"/>
  <c r="Y688" i="105"/>
  <c r="W688" i="105"/>
  <c r="X688" i="105" s="1"/>
  <c r="Z688" i="105" s="1"/>
  <c r="V688" i="105"/>
  <c r="U688" i="105"/>
  <c r="N688" i="105"/>
  <c r="M688" i="105"/>
  <c r="Y687" i="105"/>
  <c r="W687" i="105"/>
  <c r="X687" i="105" s="1"/>
  <c r="L687" i="105" s="1"/>
  <c r="V687" i="105"/>
  <c r="U687" i="105"/>
  <c r="N687" i="105"/>
  <c r="M687" i="105"/>
  <c r="Y686" i="105"/>
  <c r="W686" i="105"/>
  <c r="X686" i="105" s="1"/>
  <c r="V686" i="105"/>
  <c r="U686" i="105"/>
  <c r="N686" i="105"/>
  <c r="M686" i="105"/>
  <c r="Y685" i="105"/>
  <c r="W685" i="105"/>
  <c r="X685" i="105" s="1"/>
  <c r="V685" i="105"/>
  <c r="U685" i="105"/>
  <c r="N685" i="105"/>
  <c r="M685" i="105"/>
  <c r="Y684" i="105"/>
  <c r="W684" i="105"/>
  <c r="X684" i="105" s="1"/>
  <c r="V684" i="105"/>
  <c r="U684" i="105"/>
  <c r="N684" i="105"/>
  <c r="M684" i="105"/>
  <c r="Y683" i="105"/>
  <c r="W683" i="105"/>
  <c r="X683" i="105" s="1"/>
  <c r="V683" i="105"/>
  <c r="U683" i="105"/>
  <c r="N683" i="105"/>
  <c r="M683" i="105"/>
  <c r="Z682" i="105"/>
  <c r="Q682" i="105" s="1"/>
  <c r="Y682" i="105"/>
  <c r="W682" i="105"/>
  <c r="X682" i="105" s="1"/>
  <c r="L682" i="105" s="1"/>
  <c r="V682" i="105"/>
  <c r="U682" i="105"/>
  <c r="N682" i="105"/>
  <c r="M682" i="105"/>
  <c r="Y681" i="105"/>
  <c r="W681" i="105"/>
  <c r="X681" i="105" s="1"/>
  <c r="V681" i="105"/>
  <c r="U681" i="105"/>
  <c r="N681" i="105"/>
  <c r="M681" i="105"/>
  <c r="Y680" i="105"/>
  <c r="W680" i="105"/>
  <c r="X680" i="105" s="1"/>
  <c r="Z680" i="105" s="1"/>
  <c r="V680" i="105"/>
  <c r="U680" i="105"/>
  <c r="N680" i="105"/>
  <c r="M680" i="105"/>
  <c r="Y679" i="105"/>
  <c r="W679" i="105"/>
  <c r="X679" i="105" s="1"/>
  <c r="L679" i="105" s="1"/>
  <c r="V679" i="105"/>
  <c r="U679" i="105"/>
  <c r="N679" i="105"/>
  <c r="M679" i="105"/>
  <c r="Y678" i="105"/>
  <c r="W678" i="105"/>
  <c r="X678" i="105" s="1"/>
  <c r="L678" i="105" s="1"/>
  <c r="V678" i="105"/>
  <c r="U678" i="105"/>
  <c r="N678" i="105"/>
  <c r="M678" i="105"/>
  <c r="Y677" i="105"/>
  <c r="W677" i="105"/>
  <c r="X677" i="105" s="1"/>
  <c r="V677" i="105"/>
  <c r="U677" i="105"/>
  <c r="N677" i="105"/>
  <c r="M677" i="105"/>
  <c r="Y676" i="105"/>
  <c r="X676" i="105"/>
  <c r="Z676" i="105" s="1"/>
  <c r="W676" i="105"/>
  <c r="V676" i="105"/>
  <c r="U676" i="105"/>
  <c r="R676" i="105"/>
  <c r="N676" i="105"/>
  <c r="M676" i="105"/>
  <c r="Y675" i="105"/>
  <c r="W675" i="105"/>
  <c r="X675" i="105" s="1"/>
  <c r="V675" i="105"/>
  <c r="U675" i="105"/>
  <c r="N675" i="105"/>
  <c r="M675" i="105"/>
  <c r="Y674" i="105"/>
  <c r="W674" i="105"/>
  <c r="X674" i="105" s="1"/>
  <c r="V674" i="105"/>
  <c r="U674" i="105"/>
  <c r="N674" i="105"/>
  <c r="M674" i="105"/>
  <c r="Y673" i="105"/>
  <c r="W673" i="105"/>
  <c r="X673" i="105" s="1"/>
  <c r="V673" i="105"/>
  <c r="U673" i="105"/>
  <c r="N673" i="105"/>
  <c r="M673" i="105"/>
  <c r="Y672" i="105"/>
  <c r="W672" i="105"/>
  <c r="X672" i="105" s="1"/>
  <c r="V672" i="105"/>
  <c r="U672" i="105"/>
  <c r="N672" i="105"/>
  <c r="M672" i="105"/>
  <c r="Y671" i="105"/>
  <c r="W671" i="105"/>
  <c r="X671" i="105" s="1"/>
  <c r="V671" i="105"/>
  <c r="U671" i="105"/>
  <c r="N671" i="105"/>
  <c r="M671" i="105"/>
  <c r="Y670" i="105"/>
  <c r="W670" i="105"/>
  <c r="X670" i="105" s="1"/>
  <c r="V670" i="105"/>
  <c r="U670" i="105"/>
  <c r="N670" i="105"/>
  <c r="M670" i="105"/>
  <c r="Z669" i="105"/>
  <c r="Y669" i="105"/>
  <c r="X669" i="105"/>
  <c r="W669" i="105"/>
  <c r="V669" i="105"/>
  <c r="U669" i="105"/>
  <c r="N669" i="105"/>
  <c r="M669" i="105"/>
  <c r="L669" i="105"/>
  <c r="Y668" i="105"/>
  <c r="W668" i="105"/>
  <c r="X668" i="105" s="1"/>
  <c r="V668" i="105"/>
  <c r="U668" i="105"/>
  <c r="N668" i="105"/>
  <c r="M668" i="105"/>
  <c r="Z667" i="105"/>
  <c r="P667" i="105" s="1"/>
  <c r="Y667" i="105"/>
  <c r="W667" i="105"/>
  <c r="X667" i="105" s="1"/>
  <c r="L667" i="105" s="1"/>
  <c r="V667" i="105"/>
  <c r="U667" i="105"/>
  <c r="Q667" i="105"/>
  <c r="N667" i="105"/>
  <c r="M667" i="105"/>
  <c r="Y666" i="105"/>
  <c r="W666" i="105"/>
  <c r="X666" i="105" s="1"/>
  <c r="V666" i="105"/>
  <c r="U666" i="105"/>
  <c r="N666" i="105"/>
  <c r="M666" i="105"/>
  <c r="Y665" i="105"/>
  <c r="W665" i="105"/>
  <c r="X665" i="105" s="1"/>
  <c r="L665" i="105" s="1"/>
  <c r="V665" i="105"/>
  <c r="U665" i="105"/>
  <c r="N665" i="105"/>
  <c r="M665" i="105"/>
  <c r="Y664" i="105"/>
  <c r="W664" i="105"/>
  <c r="X664" i="105" s="1"/>
  <c r="V664" i="105"/>
  <c r="U664" i="105"/>
  <c r="N664" i="105"/>
  <c r="M664" i="105"/>
  <c r="Y663" i="105"/>
  <c r="W663" i="105"/>
  <c r="X663" i="105" s="1"/>
  <c r="V663" i="105"/>
  <c r="U663" i="105"/>
  <c r="N663" i="105"/>
  <c r="M663" i="105"/>
  <c r="Y662" i="105"/>
  <c r="W662" i="105"/>
  <c r="X662" i="105" s="1"/>
  <c r="L662" i="105" s="1"/>
  <c r="V662" i="105"/>
  <c r="U662" i="105"/>
  <c r="N662" i="105"/>
  <c r="M662" i="105"/>
  <c r="Y661" i="105"/>
  <c r="W661" i="105"/>
  <c r="X661" i="105" s="1"/>
  <c r="V661" i="105"/>
  <c r="U661" i="105"/>
  <c r="N661" i="105"/>
  <c r="M661" i="105"/>
  <c r="Y660" i="105"/>
  <c r="W660" i="105"/>
  <c r="X660" i="105" s="1"/>
  <c r="V660" i="105"/>
  <c r="U660" i="105"/>
  <c r="N660" i="105"/>
  <c r="M660" i="105"/>
  <c r="Y659" i="105"/>
  <c r="W659" i="105"/>
  <c r="X659" i="105" s="1"/>
  <c r="V659" i="105"/>
  <c r="U659" i="105"/>
  <c r="N659" i="105"/>
  <c r="M659" i="105"/>
  <c r="Y658" i="105"/>
  <c r="X658" i="105"/>
  <c r="W658" i="105"/>
  <c r="V658" i="105"/>
  <c r="U658" i="105"/>
  <c r="N658" i="105"/>
  <c r="M658" i="105"/>
  <c r="Y657" i="105"/>
  <c r="W657" i="105"/>
  <c r="X657" i="105" s="1"/>
  <c r="V657" i="105"/>
  <c r="U657" i="105"/>
  <c r="N657" i="105"/>
  <c r="M657" i="105"/>
  <c r="Y656" i="105"/>
  <c r="W656" i="105"/>
  <c r="X656" i="105" s="1"/>
  <c r="Z656" i="105" s="1"/>
  <c r="S656" i="105" s="1"/>
  <c r="V656" i="105"/>
  <c r="U656" i="105"/>
  <c r="N656" i="105"/>
  <c r="M656" i="105"/>
  <c r="Y655" i="105"/>
  <c r="W655" i="105"/>
  <c r="X655" i="105" s="1"/>
  <c r="V655" i="105"/>
  <c r="U655" i="105"/>
  <c r="N655" i="105"/>
  <c r="M655" i="105"/>
  <c r="Y654" i="105"/>
  <c r="W654" i="105"/>
  <c r="X654" i="105" s="1"/>
  <c r="L654" i="105" s="1"/>
  <c r="V654" i="105"/>
  <c r="U654" i="105"/>
  <c r="N654" i="105"/>
  <c r="M654" i="105"/>
  <c r="Y653" i="105"/>
  <c r="W653" i="105"/>
  <c r="X653" i="105" s="1"/>
  <c r="V653" i="105"/>
  <c r="U653" i="105"/>
  <c r="N653" i="105"/>
  <c r="M653" i="105"/>
  <c r="Y652" i="105"/>
  <c r="W652" i="105"/>
  <c r="X652" i="105" s="1"/>
  <c r="V652" i="105"/>
  <c r="U652" i="105"/>
  <c r="N652" i="105"/>
  <c r="M652" i="105"/>
  <c r="Y651" i="105"/>
  <c r="W651" i="105"/>
  <c r="X651" i="105" s="1"/>
  <c r="Z651" i="105" s="1"/>
  <c r="T651" i="105" s="1"/>
  <c r="V651" i="105"/>
  <c r="U651" i="105"/>
  <c r="N651" i="105"/>
  <c r="M651" i="105"/>
  <c r="Y650" i="105"/>
  <c r="X650" i="105"/>
  <c r="W650" i="105"/>
  <c r="V650" i="105"/>
  <c r="U650" i="105"/>
  <c r="N650" i="105"/>
  <c r="M650" i="105"/>
  <c r="Y649" i="105"/>
  <c r="X649" i="105"/>
  <c r="W649" i="105"/>
  <c r="V649" i="105"/>
  <c r="U649" i="105"/>
  <c r="N649" i="105"/>
  <c r="M649" i="105"/>
  <c r="Y648" i="105"/>
  <c r="W648" i="105"/>
  <c r="X648" i="105" s="1"/>
  <c r="V648" i="105"/>
  <c r="U648" i="105"/>
  <c r="N648" i="105"/>
  <c r="M648" i="105"/>
  <c r="Y647" i="105"/>
  <c r="W647" i="105"/>
  <c r="X647" i="105" s="1"/>
  <c r="Z647" i="105" s="1"/>
  <c r="V647" i="105"/>
  <c r="U647" i="105"/>
  <c r="N647" i="105"/>
  <c r="M647" i="105"/>
  <c r="Y646" i="105"/>
  <c r="W646" i="105"/>
  <c r="X646" i="105" s="1"/>
  <c r="Z646" i="105" s="1"/>
  <c r="V646" i="105"/>
  <c r="U646" i="105"/>
  <c r="N646" i="105"/>
  <c r="M646" i="105"/>
  <c r="L646" i="105"/>
  <c r="Y645" i="105"/>
  <c r="W645" i="105"/>
  <c r="X645" i="105" s="1"/>
  <c r="V645" i="105"/>
  <c r="U645" i="105"/>
  <c r="N645" i="105"/>
  <c r="M645" i="105"/>
  <c r="Y644" i="105"/>
  <c r="W644" i="105"/>
  <c r="X644" i="105" s="1"/>
  <c r="V644" i="105"/>
  <c r="U644" i="105"/>
  <c r="N644" i="105"/>
  <c r="M644" i="105"/>
  <c r="Y643" i="105"/>
  <c r="W643" i="105"/>
  <c r="X643" i="105" s="1"/>
  <c r="V643" i="105"/>
  <c r="U643" i="105"/>
  <c r="N643" i="105"/>
  <c r="M643" i="105"/>
  <c r="Z642" i="105"/>
  <c r="Y642" i="105"/>
  <c r="W642" i="105"/>
  <c r="X642" i="105" s="1"/>
  <c r="L642" i="105" s="1"/>
  <c r="V642" i="105"/>
  <c r="U642" i="105"/>
  <c r="N642" i="105"/>
  <c r="M642" i="105"/>
  <c r="Y641" i="105"/>
  <c r="W641" i="105"/>
  <c r="X641" i="105" s="1"/>
  <c r="V641" i="105"/>
  <c r="U641" i="105"/>
  <c r="N641" i="105"/>
  <c r="M641" i="105"/>
  <c r="Y640" i="105"/>
  <c r="W640" i="105"/>
  <c r="X640" i="105" s="1"/>
  <c r="V640" i="105"/>
  <c r="U640" i="105"/>
  <c r="N640" i="105"/>
  <c r="M640" i="105"/>
  <c r="Y639" i="105"/>
  <c r="W639" i="105"/>
  <c r="X639" i="105" s="1"/>
  <c r="Z639" i="105" s="1"/>
  <c r="V639" i="105"/>
  <c r="U639" i="105"/>
  <c r="T639" i="105"/>
  <c r="S639" i="105"/>
  <c r="N639" i="105"/>
  <c r="M639" i="105"/>
  <c r="L639" i="105"/>
  <c r="Y638" i="105"/>
  <c r="W638" i="105"/>
  <c r="X638" i="105" s="1"/>
  <c r="L638" i="105" s="1"/>
  <c r="V638" i="105"/>
  <c r="U638" i="105"/>
  <c r="N638" i="105"/>
  <c r="M638" i="105"/>
  <c r="Y637" i="105"/>
  <c r="W637" i="105"/>
  <c r="X637" i="105" s="1"/>
  <c r="V637" i="105"/>
  <c r="U637" i="105"/>
  <c r="N637" i="105"/>
  <c r="M637" i="105"/>
  <c r="Y636" i="105"/>
  <c r="W636" i="105"/>
  <c r="X636" i="105" s="1"/>
  <c r="Z636" i="105" s="1"/>
  <c r="T636" i="105" s="1"/>
  <c r="V636" i="105"/>
  <c r="U636" i="105"/>
  <c r="N636" i="105"/>
  <c r="M636" i="105"/>
  <c r="Z635" i="105"/>
  <c r="R635" i="105" s="1"/>
  <c r="Y635" i="105"/>
  <c r="W635" i="105"/>
  <c r="X635" i="105" s="1"/>
  <c r="L635" i="105" s="1"/>
  <c r="V635" i="105"/>
  <c r="U635" i="105"/>
  <c r="N635" i="105"/>
  <c r="M635" i="105"/>
  <c r="Y634" i="105"/>
  <c r="X634" i="105"/>
  <c r="Z634" i="105" s="1"/>
  <c r="W634" i="105"/>
  <c r="V634" i="105"/>
  <c r="U634" i="105"/>
  <c r="N634" i="105"/>
  <c r="M634" i="105"/>
  <c r="Y633" i="105"/>
  <c r="W633" i="105"/>
  <c r="X633" i="105" s="1"/>
  <c r="Z633" i="105" s="1"/>
  <c r="V633" i="105"/>
  <c r="U633" i="105"/>
  <c r="N633" i="105"/>
  <c r="M633" i="105"/>
  <c r="Y632" i="105"/>
  <c r="X632" i="105"/>
  <c r="W632" i="105"/>
  <c r="V632" i="105"/>
  <c r="U632" i="105"/>
  <c r="N632" i="105"/>
  <c r="M632" i="105"/>
  <c r="Y631" i="105"/>
  <c r="X631" i="105"/>
  <c r="L631" i="105" s="1"/>
  <c r="W631" i="105"/>
  <c r="V631" i="105"/>
  <c r="U631" i="105"/>
  <c r="N631" i="105"/>
  <c r="M631" i="105"/>
  <c r="Y630" i="105"/>
  <c r="W630" i="105"/>
  <c r="X630" i="105" s="1"/>
  <c r="Z630" i="105" s="1"/>
  <c r="Q630" i="105" s="1"/>
  <c r="V630" i="105"/>
  <c r="U630" i="105"/>
  <c r="N630" i="105"/>
  <c r="M630" i="105"/>
  <c r="Y629" i="105"/>
  <c r="W629" i="105"/>
  <c r="X629" i="105" s="1"/>
  <c r="Z629" i="105" s="1"/>
  <c r="V629" i="105"/>
  <c r="U629" i="105"/>
  <c r="T629" i="105"/>
  <c r="S629" i="105"/>
  <c r="Q629" i="105"/>
  <c r="P629" i="105"/>
  <c r="N629" i="105"/>
  <c r="M629" i="105"/>
  <c r="L629" i="105"/>
  <c r="Y628" i="105"/>
  <c r="X628" i="105"/>
  <c r="Z628" i="105" s="1"/>
  <c r="R628" i="105" s="1"/>
  <c r="W628" i="105"/>
  <c r="V628" i="105"/>
  <c r="U628" i="105"/>
  <c r="S628" i="105"/>
  <c r="N628" i="105"/>
  <c r="M628" i="105"/>
  <c r="Y627" i="105"/>
  <c r="W627" i="105"/>
  <c r="X627" i="105" s="1"/>
  <c r="Z627" i="105" s="1"/>
  <c r="V627" i="105"/>
  <c r="U627" i="105"/>
  <c r="N627" i="105"/>
  <c r="M627" i="105"/>
  <c r="Y626" i="105"/>
  <c r="W626" i="105"/>
  <c r="X626" i="105" s="1"/>
  <c r="V626" i="105"/>
  <c r="U626" i="105"/>
  <c r="N626" i="105"/>
  <c r="M626" i="105"/>
  <c r="Y625" i="105"/>
  <c r="W625" i="105"/>
  <c r="X625" i="105" s="1"/>
  <c r="V625" i="105"/>
  <c r="U625" i="105"/>
  <c r="N625" i="105"/>
  <c r="M625" i="105"/>
  <c r="Y624" i="105"/>
  <c r="W624" i="105"/>
  <c r="X624" i="105" s="1"/>
  <c r="V624" i="105"/>
  <c r="U624" i="105"/>
  <c r="N624" i="105"/>
  <c r="M624" i="105"/>
  <c r="Y623" i="105"/>
  <c r="W623" i="105"/>
  <c r="X623" i="105" s="1"/>
  <c r="Z623" i="105" s="1"/>
  <c r="V623" i="105"/>
  <c r="U623" i="105"/>
  <c r="N623" i="105"/>
  <c r="M623" i="105"/>
  <c r="Y622" i="105"/>
  <c r="X622" i="105"/>
  <c r="W622" i="105"/>
  <c r="V622" i="105"/>
  <c r="U622" i="105"/>
  <c r="N622" i="105"/>
  <c r="M622" i="105"/>
  <c r="Y621" i="105"/>
  <c r="W621" i="105"/>
  <c r="X621" i="105" s="1"/>
  <c r="V621" i="105"/>
  <c r="U621" i="105"/>
  <c r="N621" i="105"/>
  <c r="M621" i="105"/>
  <c r="Y620" i="105"/>
  <c r="W620" i="105"/>
  <c r="X620" i="105" s="1"/>
  <c r="V620" i="105"/>
  <c r="U620" i="105"/>
  <c r="N620" i="105"/>
  <c r="M620" i="105"/>
  <c r="Y619" i="105"/>
  <c r="W619" i="105"/>
  <c r="X619" i="105" s="1"/>
  <c r="L619" i="105" s="1"/>
  <c r="V619" i="105"/>
  <c r="U619" i="105"/>
  <c r="N619" i="105"/>
  <c r="M619" i="105"/>
  <c r="Y618" i="105"/>
  <c r="W618" i="105"/>
  <c r="X618" i="105" s="1"/>
  <c r="V618" i="105"/>
  <c r="U618" i="105"/>
  <c r="N618" i="105"/>
  <c r="M618" i="105"/>
  <c r="Y617" i="105"/>
  <c r="W617" i="105"/>
  <c r="X617" i="105" s="1"/>
  <c r="V617" i="105"/>
  <c r="U617" i="105"/>
  <c r="N617" i="105"/>
  <c r="M617" i="105"/>
  <c r="Y616" i="105"/>
  <c r="W616" i="105"/>
  <c r="X616" i="105" s="1"/>
  <c r="Z616" i="105" s="1"/>
  <c r="V616" i="105"/>
  <c r="U616" i="105"/>
  <c r="P616" i="105"/>
  <c r="N616" i="105"/>
  <c r="M616" i="105"/>
  <c r="L616" i="105"/>
  <c r="Y615" i="105"/>
  <c r="W615" i="105"/>
  <c r="X615" i="105" s="1"/>
  <c r="V615" i="105"/>
  <c r="U615" i="105"/>
  <c r="N615" i="105"/>
  <c r="M615" i="105"/>
  <c r="Y614" i="105"/>
  <c r="W614" i="105"/>
  <c r="X614" i="105" s="1"/>
  <c r="V614" i="105"/>
  <c r="U614" i="105"/>
  <c r="N614" i="105"/>
  <c r="M614" i="105"/>
  <c r="Y613" i="105"/>
  <c r="W613" i="105"/>
  <c r="X613" i="105" s="1"/>
  <c r="V613" i="105"/>
  <c r="U613" i="105"/>
  <c r="N613" i="105"/>
  <c r="M613" i="105"/>
  <c r="Y612" i="105"/>
  <c r="W612" i="105"/>
  <c r="X612" i="105" s="1"/>
  <c r="Z612" i="105" s="1"/>
  <c r="S612" i="105" s="1"/>
  <c r="V612" i="105"/>
  <c r="U612" i="105"/>
  <c r="N612" i="105"/>
  <c r="M612" i="105"/>
  <c r="L612" i="105"/>
  <c r="Y611" i="105"/>
  <c r="W611" i="105"/>
  <c r="X611" i="105" s="1"/>
  <c r="Z611" i="105" s="1"/>
  <c r="V611" i="105"/>
  <c r="U611" i="105"/>
  <c r="R611" i="105"/>
  <c r="N611" i="105"/>
  <c r="M611" i="105"/>
  <c r="Z610" i="105"/>
  <c r="Y610" i="105"/>
  <c r="W610" i="105"/>
  <c r="X610" i="105" s="1"/>
  <c r="V610" i="105"/>
  <c r="U610" i="105"/>
  <c r="N610" i="105"/>
  <c r="M610" i="105"/>
  <c r="Z609" i="105"/>
  <c r="Q609" i="105" s="1"/>
  <c r="Y609" i="105"/>
  <c r="W609" i="105"/>
  <c r="X609" i="105" s="1"/>
  <c r="L609" i="105" s="1"/>
  <c r="V609" i="105"/>
  <c r="U609" i="105"/>
  <c r="N609" i="105"/>
  <c r="M609" i="105"/>
  <c r="Y608" i="105"/>
  <c r="W608" i="105"/>
  <c r="X608" i="105" s="1"/>
  <c r="V608" i="105"/>
  <c r="U608" i="105"/>
  <c r="N608" i="105"/>
  <c r="M608" i="105"/>
  <c r="Y607" i="105"/>
  <c r="W607" i="105"/>
  <c r="X607" i="105" s="1"/>
  <c r="V607" i="105"/>
  <c r="U607" i="105"/>
  <c r="N607" i="105"/>
  <c r="M607" i="105"/>
  <c r="Z606" i="105"/>
  <c r="Y606" i="105"/>
  <c r="W606" i="105"/>
  <c r="X606" i="105" s="1"/>
  <c r="L606" i="105" s="1"/>
  <c r="V606" i="105"/>
  <c r="U606" i="105"/>
  <c r="N606" i="105"/>
  <c r="M606" i="105"/>
  <c r="Y605" i="105"/>
  <c r="W605" i="105"/>
  <c r="X605" i="105" s="1"/>
  <c r="V605" i="105"/>
  <c r="U605" i="105"/>
  <c r="N605" i="105"/>
  <c r="M605" i="105"/>
  <c r="Y604" i="105"/>
  <c r="W604" i="105"/>
  <c r="X604" i="105" s="1"/>
  <c r="Z604" i="105" s="1"/>
  <c r="V604" i="105"/>
  <c r="U604" i="105"/>
  <c r="P604" i="105"/>
  <c r="N604" i="105"/>
  <c r="M604" i="105"/>
  <c r="Y603" i="105"/>
  <c r="W603" i="105"/>
  <c r="X603" i="105" s="1"/>
  <c r="Z603" i="105" s="1"/>
  <c r="R603" i="105" s="1"/>
  <c r="V603" i="105"/>
  <c r="U603" i="105"/>
  <c r="T603" i="105"/>
  <c r="N603" i="105"/>
  <c r="M603" i="105"/>
  <c r="Y602" i="105"/>
  <c r="W602" i="105"/>
  <c r="X602" i="105" s="1"/>
  <c r="V602" i="105"/>
  <c r="U602" i="105"/>
  <c r="N602" i="105"/>
  <c r="M602" i="105"/>
  <c r="Y601" i="105"/>
  <c r="W601" i="105"/>
  <c r="X601" i="105" s="1"/>
  <c r="Z601" i="105" s="1"/>
  <c r="V601" i="105"/>
  <c r="U601" i="105"/>
  <c r="N601" i="105"/>
  <c r="M601" i="105"/>
  <c r="Y600" i="105"/>
  <c r="X600" i="105"/>
  <c r="L600" i="105" s="1"/>
  <c r="W600" i="105"/>
  <c r="V600" i="105"/>
  <c r="U600" i="105"/>
  <c r="N600" i="105"/>
  <c r="M600" i="105"/>
  <c r="Y599" i="105"/>
  <c r="W599" i="105"/>
  <c r="X599" i="105" s="1"/>
  <c r="L599" i="105" s="1"/>
  <c r="V599" i="105"/>
  <c r="U599" i="105"/>
  <c r="N599" i="105"/>
  <c r="M599" i="105"/>
  <c r="Y598" i="105"/>
  <c r="W598" i="105"/>
  <c r="X598" i="105" s="1"/>
  <c r="Z598" i="105" s="1"/>
  <c r="O598" i="105" s="1"/>
  <c r="V598" i="105"/>
  <c r="U598" i="105"/>
  <c r="N598" i="105"/>
  <c r="M598" i="105"/>
  <c r="Y597" i="105"/>
  <c r="X597" i="105"/>
  <c r="Z597" i="105" s="1"/>
  <c r="W597" i="105"/>
  <c r="V597" i="105"/>
  <c r="U597" i="105"/>
  <c r="Q597" i="105"/>
  <c r="N597" i="105"/>
  <c r="M597" i="105"/>
  <c r="Y596" i="105"/>
  <c r="W596" i="105"/>
  <c r="X596" i="105" s="1"/>
  <c r="V596" i="105"/>
  <c r="U596" i="105"/>
  <c r="N596" i="105"/>
  <c r="M596" i="105"/>
  <c r="Y595" i="105"/>
  <c r="W595" i="105"/>
  <c r="X595" i="105" s="1"/>
  <c r="V595" i="105"/>
  <c r="U595" i="105"/>
  <c r="N595" i="105"/>
  <c r="M595" i="105"/>
  <c r="Z594" i="105"/>
  <c r="T594" i="105" s="1"/>
  <c r="Y594" i="105"/>
  <c r="X594" i="105"/>
  <c r="W594" i="105"/>
  <c r="V594" i="105"/>
  <c r="U594" i="105"/>
  <c r="N594" i="105"/>
  <c r="M594" i="105"/>
  <c r="Y593" i="105"/>
  <c r="W593" i="105"/>
  <c r="X593" i="105" s="1"/>
  <c r="V593" i="105"/>
  <c r="U593" i="105"/>
  <c r="N593" i="105"/>
  <c r="M593" i="105"/>
  <c r="Y592" i="105"/>
  <c r="X592" i="105"/>
  <c r="Z592" i="105" s="1"/>
  <c r="W592" i="105"/>
  <c r="V592" i="105"/>
  <c r="U592" i="105"/>
  <c r="P592" i="105"/>
  <c r="N592" i="105"/>
  <c r="M592" i="105"/>
  <c r="L592" i="105"/>
  <c r="Y591" i="105"/>
  <c r="W591" i="105"/>
  <c r="X591" i="105" s="1"/>
  <c r="V591" i="105"/>
  <c r="U591" i="105"/>
  <c r="N591" i="105"/>
  <c r="M591" i="105"/>
  <c r="Y590" i="105"/>
  <c r="W590" i="105"/>
  <c r="X590" i="105" s="1"/>
  <c r="V590" i="105"/>
  <c r="U590" i="105"/>
  <c r="N590" i="105"/>
  <c r="M590" i="105"/>
  <c r="Y589" i="105"/>
  <c r="W589" i="105"/>
  <c r="X589" i="105" s="1"/>
  <c r="Z589" i="105" s="1"/>
  <c r="T589" i="105" s="1"/>
  <c r="V589" i="105"/>
  <c r="U589" i="105"/>
  <c r="N589" i="105"/>
  <c r="M589" i="105"/>
  <c r="L589" i="105"/>
  <c r="Y588" i="105"/>
  <c r="W588" i="105"/>
  <c r="X588" i="105" s="1"/>
  <c r="V588" i="105"/>
  <c r="U588" i="105"/>
  <c r="N588" i="105"/>
  <c r="M588" i="105"/>
  <c r="Y587" i="105"/>
  <c r="W587" i="105"/>
  <c r="X587" i="105" s="1"/>
  <c r="Z587" i="105" s="1"/>
  <c r="S587" i="105" s="1"/>
  <c r="V587" i="105"/>
  <c r="U587" i="105"/>
  <c r="R587" i="105"/>
  <c r="N587" i="105"/>
  <c r="M587" i="105"/>
  <c r="L587" i="105"/>
  <c r="Y586" i="105"/>
  <c r="W586" i="105"/>
  <c r="X586" i="105" s="1"/>
  <c r="V586" i="105"/>
  <c r="U586" i="105"/>
  <c r="N586" i="105"/>
  <c r="M586" i="105"/>
  <c r="Y585" i="105"/>
  <c r="X585" i="105"/>
  <c r="W585" i="105"/>
  <c r="V585" i="105"/>
  <c r="U585" i="105"/>
  <c r="N585" i="105"/>
  <c r="M585" i="105"/>
  <c r="Y584" i="105"/>
  <c r="W584" i="105"/>
  <c r="X584" i="105" s="1"/>
  <c r="L584" i="105" s="1"/>
  <c r="V584" i="105"/>
  <c r="U584" i="105"/>
  <c r="N584" i="105"/>
  <c r="M584" i="105"/>
  <c r="Y583" i="105"/>
  <c r="W583" i="105"/>
  <c r="X583" i="105" s="1"/>
  <c r="V583" i="105"/>
  <c r="U583" i="105"/>
  <c r="N583" i="105"/>
  <c r="M583" i="105"/>
  <c r="Y582" i="105"/>
  <c r="W582" i="105"/>
  <c r="X582" i="105" s="1"/>
  <c r="V582" i="105"/>
  <c r="U582" i="105"/>
  <c r="N582" i="105"/>
  <c r="M582" i="105"/>
  <c r="Y581" i="105"/>
  <c r="W581" i="105"/>
  <c r="X581" i="105" s="1"/>
  <c r="V581" i="105"/>
  <c r="U581" i="105"/>
  <c r="N581" i="105"/>
  <c r="M581" i="105"/>
  <c r="Y580" i="105"/>
  <c r="X580" i="105"/>
  <c r="W580" i="105"/>
  <c r="V580" i="105"/>
  <c r="U580" i="105"/>
  <c r="N580" i="105"/>
  <c r="M580" i="105"/>
  <c r="Y579" i="105"/>
  <c r="W579" i="105"/>
  <c r="X579" i="105" s="1"/>
  <c r="V579" i="105"/>
  <c r="U579" i="105"/>
  <c r="N579" i="105"/>
  <c r="M579" i="105"/>
  <c r="Z578" i="105"/>
  <c r="Q578" i="105" s="1"/>
  <c r="Y578" i="105"/>
  <c r="W578" i="105"/>
  <c r="X578" i="105" s="1"/>
  <c r="L578" i="105" s="1"/>
  <c r="V578" i="105"/>
  <c r="U578" i="105"/>
  <c r="N578" i="105"/>
  <c r="M578" i="105"/>
  <c r="Y577" i="105"/>
  <c r="W577" i="105"/>
  <c r="X577" i="105" s="1"/>
  <c r="V577" i="105"/>
  <c r="U577" i="105"/>
  <c r="N577" i="105"/>
  <c r="M577" i="105"/>
  <c r="Y576" i="105"/>
  <c r="W576" i="105"/>
  <c r="X576" i="105" s="1"/>
  <c r="V576" i="105"/>
  <c r="U576" i="105"/>
  <c r="N576" i="105"/>
  <c r="M576" i="105"/>
  <c r="Y575" i="105"/>
  <c r="W575" i="105"/>
  <c r="X575" i="105" s="1"/>
  <c r="V575" i="105"/>
  <c r="U575" i="105"/>
  <c r="N575" i="105"/>
  <c r="M575" i="105"/>
  <c r="Y574" i="105"/>
  <c r="W574" i="105"/>
  <c r="X574" i="105" s="1"/>
  <c r="V574" i="105"/>
  <c r="U574" i="105"/>
  <c r="N574" i="105"/>
  <c r="M574" i="105"/>
  <c r="Y573" i="105"/>
  <c r="W573" i="105"/>
  <c r="X573" i="105" s="1"/>
  <c r="V573" i="105"/>
  <c r="U573" i="105"/>
  <c r="N573" i="105"/>
  <c r="M573" i="105"/>
  <c r="Y572" i="105"/>
  <c r="W572" i="105"/>
  <c r="X572" i="105" s="1"/>
  <c r="Z572" i="105" s="1"/>
  <c r="V572" i="105"/>
  <c r="U572" i="105"/>
  <c r="O572" i="105"/>
  <c r="N572" i="105"/>
  <c r="M572" i="105"/>
  <c r="L572" i="105"/>
  <c r="Y571" i="105"/>
  <c r="W571" i="105"/>
  <c r="X571" i="105" s="1"/>
  <c r="V571" i="105"/>
  <c r="U571" i="105"/>
  <c r="N571" i="105"/>
  <c r="M571" i="105"/>
  <c r="Y570" i="105"/>
  <c r="W570" i="105"/>
  <c r="X570" i="105" s="1"/>
  <c r="V570" i="105"/>
  <c r="U570" i="105"/>
  <c r="N570" i="105"/>
  <c r="M570" i="105"/>
  <c r="Y569" i="105"/>
  <c r="X569" i="105"/>
  <c r="Z569" i="105" s="1"/>
  <c r="T569" i="105" s="1"/>
  <c r="W569" i="105"/>
  <c r="V569" i="105"/>
  <c r="U569" i="105"/>
  <c r="N569" i="105"/>
  <c r="M569" i="105"/>
  <c r="L569" i="105"/>
  <c r="Y568" i="105"/>
  <c r="W568" i="105"/>
  <c r="X568" i="105" s="1"/>
  <c r="Z568" i="105" s="1"/>
  <c r="V568" i="105"/>
  <c r="U568" i="105"/>
  <c r="S568" i="105"/>
  <c r="Q568" i="105"/>
  <c r="P568" i="105"/>
  <c r="N568" i="105"/>
  <c r="M568" i="105"/>
  <c r="L568" i="105"/>
  <c r="Y567" i="105"/>
  <c r="X567" i="105"/>
  <c r="W567" i="105"/>
  <c r="V567" i="105"/>
  <c r="U567" i="105"/>
  <c r="N567" i="105"/>
  <c r="M567" i="105"/>
  <c r="Y566" i="105"/>
  <c r="W566" i="105"/>
  <c r="X566" i="105" s="1"/>
  <c r="Z566" i="105" s="1"/>
  <c r="T566" i="105" s="1"/>
  <c r="V566" i="105"/>
  <c r="U566" i="105"/>
  <c r="R566" i="105"/>
  <c r="N566" i="105"/>
  <c r="M566" i="105"/>
  <c r="Y565" i="105"/>
  <c r="W565" i="105"/>
  <c r="X565" i="105" s="1"/>
  <c r="V565" i="105"/>
  <c r="U565" i="105"/>
  <c r="N565" i="105"/>
  <c r="M565" i="105"/>
  <c r="Y564" i="105"/>
  <c r="W564" i="105"/>
  <c r="X564" i="105" s="1"/>
  <c r="V564" i="105"/>
  <c r="U564" i="105"/>
  <c r="N564" i="105"/>
  <c r="M564" i="105"/>
  <c r="Y563" i="105"/>
  <c r="W563" i="105"/>
  <c r="X563" i="105" s="1"/>
  <c r="V563" i="105"/>
  <c r="U563" i="105"/>
  <c r="N563" i="105"/>
  <c r="M563" i="105"/>
  <c r="Y562" i="105"/>
  <c r="W562" i="105"/>
  <c r="X562" i="105" s="1"/>
  <c r="V562" i="105"/>
  <c r="U562" i="105"/>
  <c r="N562" i="105"/>
  <c r="M562" i="105"/>
  <c r="Y561" i="105"/>
  <c r="W561" i="105"/>
  <c r="X561" i="105" s="1"/>
  <c r="V561" i="105"/>
  <c r="U561" i="105"/>
  <c r="N561" i="105"/>
  <c r="M561" i="105"/>
  <c r="Y560" i="105"/>
  <c r="W560" i="105"/>
  <c r="X560" i="105" s="1"/>
  <c r="V560" i="105"/>
  <c r="U560" i="105"/>
  <c r="N560" i="105"/>
  <c r="M560" i="105"/>
  <c r="Y559" i="105"/>
  <c r="W559" i="105"/>
  <c r="X559" i="105" s="1"/>
  <c r="V559" i="105"/>
  <c r="U559" i="105"/>
  <c r="N559" i="105"/>
  <c r="M559" i="105"/>
  <c r="Y558" i="105"/>
  <c r="X558" i="105"/>
  <c r="L558" i="105" s="1"/>
  <c r="W558" i="105"/>
  <c r="V558" i="105"/>
  <c r="U558" i="105"/>
  <c r="N558" i="105"/>
  <c r="M558" i="105"/>
  <c r="Y557" i="105"/>
  <c r="W557" i="105"/>
  <c r="X557" i="105" s="1"/>
  <c r="V557" i="105"/>
  <c r="U557" i="105"/>
  <c r="N557" i="105"/>
  <c r="M557" i="105"/>
  <c r="Y556" i="105"/>
  <c r="W556" i="105"/>
  <c r="X556" i="105" s="1"/>
  <c r="V556" i="105"/>
  <c r="U556" i="105"/>
  <c r="N556" i="105"/>
  <c r="M556" i="105"/>
  <c r="Y555" i="105"/>
  <c r="W555" i="105"/>
  <c r="X555" i="105" s="1"/>
  <c r="V555" i="105"/>
  <c r="U555" i="105"/>
  <c r="N555" i="105"/>
  <c r="M555" i="105"/>
  <c r="Y554" i="105"/>
  <c r="W554" i="105"/>
  <c r="X554" i="105" s="1"/>
  <c r="Z554" i="105" s="1"/>
  <c r="T554" i="105" s="1"/>
  <c r="V554" i="105"/>
  <c r="U554" i="105"/>
  <c r="P554" i="105"/>
  <c r="N554" i="105"/>
  <c r="M554" i="105"/>
  <c r="Z553" i="105"/>
  <c r="Y553" i="105"/>
  <c r="X553" i="105"/>
  <c r="L553" i="105" s="1"/>
  <c r="W553" i="105"/>
  <c r="V553" i="105"/>
  <c r="U553" i="105"/>
  <c r="N553" i="105"/>
  <c r="M553" i="105"/>
  <c r="Y552" i="105"/>
  <c r="W552" i="105"/>
  <c r="X552" i="105" s="1"/>
  <c r="L552" i="105" s="1"/>
  <c r="V552" i="105"/>
  <c r="U552" i="105"/>
  <c r="N552" i="105"/>
  <c r="M552" i="105"/>
  <c r="Y551" i="105"/>
  <c r="W551" i="105"/>
  <c r="X551" i="105" s="1"/>
  <c r="L551" i="105" s="1"/>
  <c r="V551" i="105"/>
  <c r="U551" i="105"/>
  <c r="N551" i="105"/>
  <c r="M551" i="105"/>
  <c r="Y550" i="105"/>
  <c r="W550" i="105"/>
  <c r="X550" i="105" s="1"/>
  <c r="V550" i="105"/>
  <c r="U550" i="105"/>
  <c r="N550" i="105"/>
  <c r="M550" i="105"/>
  <c r="Y549" i="105"/>
  <c r="X549" i="105"/>
  <c r="Z549" i="105" s="1"/>
  <c r="T549" i="105" s="1"/>
  <c r="W549" i="105"/>
  <c r="V549" i="105"/>
  <c r="U549" i="105"/>
  <c r="N549" i="105"/>
  <c r="M549" i="105"/>
  <c r="L549" i="105"/>
  <c r="Y548" i="105"/>
  <c r="X548" i="105"/>
  <c r="L548" i="105" s="1"/>
  <c r="W548" i="105"/>
  <c r="V548" i="105"/>
  <c r="U548" i="105"/>
  <c r="N548" i="105"/>
  <c r="M548" i="105"/>
  <c r="Y547" i="105"/>
  <c r="W547" i="105"/>
  <c r="X547" i="105" s="1"/>
  <c r="V547" i="105"/>
  <c r="U547" i="105"/>
  <c r="N547" i="105"/>
  <c r="M547" i="105"/>
  <c r="Y546" i="105"/>
  <c r="W546" i="105"/>
  <c r="X546" i="105" s="1"/>
  <c r="Z546" i="105" s="1"/>
  <c r="V546" i="105"/>
  <c r="U546" i="105"/>
  <c r="Q546" i="105"/>
  <c r="N546" i="105"/>
  <c r="M546" i="105"/>
  <c r="Y545" i="105"/>
  <c r="W545" i="105"/>
  <c r="X545" i="105" s="1"/>
  <c r="V545" i="105"/>
  <c r="U545" i="105"/>
  <c r="N545" i="105"/>
  <c r="M545" i="105"/>
  <c r="Y544" i="105"/>
  <c r="W544" i="105"/>
  <c r="X544" i="105" s="1"/>
  <c r="V544" i="105"/>
  <c r="U544" i="105"/>
  <c r="N544" i="105"/>
  <c r="M544" i="105"/>
  <c r="Y543" i="105"/>
  <c r="W543" i="105"/>
  <c r="X543" i="105" s="1"/>
  <c r="V543" i="105"/>
  <c r="U543" i="105"/>
  <c r="N543" i="105"/>
  <c r="M543" i="105"/>
  <c r="Y542" i="105"/>
  <c r="W542" i="105"/>
  <c r="X542" i="105" s="1"/>
  <c r="V542" i="105"/>
  <c r="U542" i="105"/>
  <c r="N542" i="105"/>
  <c r="M542" i="105"/>
  <c r="Y541" i="105"/>
  <c r="W541" i="105"/>
  <c r="X541" i="105" s="1"/>
  <c r="V541" i="105"/>
  <c r="U541" i="105"/>
  <c r="N541" i="105"/>
  <c r="M541" i="105"/>
  <c r="Y540" i="105"/>
  <c r="X540" i="105"/>
  <c r="W540" i="105"/>
  <c r="V540" i="105"/>
  <c r="U540" i="105"/>
  <c r="N540" i="105"/>
  <c r="M540" i="105"/>
  <c r="Y539" i="105"/>
  <c r="X539" i="105"/>
  <c r="W539" i="105"/>
  <c r="V539" i="105"/>
  <c r="U539" i="105"/>
  <c r="N539" i="105"/>
  <c r="M539" i="105"/>
  <c r="Y538" i="105"/>
  <c r="W538" i="105"/>
  <c r="X538" i="105" s="1"/>
  <c r="V538" i="105"/>
  <c r="U538" i="105"/>
  <c r="N538" i="105"/>
  <c r="M538" i="105"/>
  <c r="Y537" i="105"/>
  <c r="X537" i="105"/>
  <c r="W537" i="105"/>
  <c r="V537" i="105"/>
  <c r="U537" i="105"/>
  <c r="N537" i="105"/>
  <c r="M537" i="105"/>
  <c r="Y536" i="105"/>
  <c r="W536" i="105"/>
  <c r="X536" i="105" s="1"/>
  <c r="Z536" i="105" s="1"/>
  <c r="V536" i="105"/>
  <c r="U536" i="105"/>
  <c r="N536" i="105"/>
  <c r="M536" i="105"/>
  <c r="Y535" i="105"/>
  <c r="W535" i="105"/>
  <c r="X535" i="105" s="1"/>
  <c r="V535" i="105"/>
  <c r="U535" i="105"/>
  <c r="N535" i="105"/>
  <c r="M535" i="105"/>
  <c r="Y534" i="105"/>
  <c r="W534" i="105"/>
  <c r="X534" i="105" s="1"/>
  <c r="V534" i="105"/>
  <c r="U534" i="105"/>
  <c r="N534" i="105"/>
  <c r="M534" i="105"/>
  <c r="Z533" i="105"/>
  <c r="Y533" i="105"/>
  <c r="X533" i="105"/>
  <c r="L533" i="105" s="1"/>
  <c r="W533" i="105"/>
  <c r="V533" i="105"/>
  <c r="U533" i="105"/>
  <c r="N533" i="105"/>
  <c r="M533" i="105"/>
  <c r="Y532" i="105"/>
  <c r="W532" i="105"/>
  <c r="X532" i="105" s="1"/>
  <c r="V532" i="105"/>
  <c r="U532" i="105"/>
  <c r="N532" i="105"/>
  <c r="M532" i="105"/>
  <c r="Y531" i="105"/>
  <c r="W531" i="105"/>
  <c r="X531" i="105" s="1"/>
  <c r="V531" i="105"/>
  <c r="U531" i="105"/>
  <c r="N531" i="105"/>
  <c r="M531" i="105"/>
  <c r="Y530" i="105"/>
  <c r="W530" i="105"/>
  <c r="X530" i="105" s="1"/>
  <c r="Z530" i="105" s="1"/>
  <c r="V530" i="105"/>
  <c r="U530" i="105"/>
  <c r="N530" i="105"/>
  <c r="M530" i="105"/>
  <c r="Y529" i="105"/>
  <c r="X529" i="105"/>
  <c r="W529" i="105"/>
  <c r="V529" i="105"/>
  <c r="U529" i="105"/>
  <c r="N529" i="105"/>
  <c r="M529" i="105"/>
  <c r="Y528" i="105"/>
  <c r="X528" i="105"/>
  <c r="W528" i="105"/>
  <c r="V528" i="105"/>
  <c r="U528" i="105"/>
  <c r="N528" i="105"/>
  <c r="M528" i="105"/>
  <c r="Y527" i="105"/>
  <c r="W527" i="105"/>
  <c r="X527" i="105" s="1"/>
  <c r="V527" i="105"/>
  <c r="U527" i="105"/>
  <c r="N527" i="105"/>
  <c r="M527" i="105"/>
  <c r="Y526" i="105"/>
  <c r="W526" i="105"/>
  <c r="X526" i="105" s="1"/>
  <c r="V526" i="105"/>
  <c r="U526" i="105"/>
  <c r="N526" i="105"/>
  <c r="M526" i="105"/>
  <c r="Y525" i="105"/>
  <c r="W525" i="105"/>
  <c r="X525" i="105" s="1"/>
  <c r="V525" i="105"/>
  <c r="U525" i="105"/>
  <c r="N525" i="105"/>
  <c r="M525" i="105"/>
  <c r="Y524" i="105"/>
  <c r="W524" i="105"/>
  <c r="X524" i="105" s="1"/>
  <c r="V524" i="105"/>
  <c r="U524" i="105"/>
  <c r="N524" i="105"/>
  <c r="M524" i="105"/>
  <c r="Y523" i="105"/>
  <c r="W523" i="105"/>
  <c r="X523" i="105" s="1"/>
  <c r="V523" i="105"/>
  <c r="U523" i="105"/>
  <c r="N523" i="105"/>
  <c r="M523" i="105"/>
  <c r="Y522" i="105"/>
  <c r="W522" i="105"/>
  <c r="X522" i="105" s="1"/>
  <c r="V522" i="105"/>
  <c r="U522" i="105"/>
  <c r="N522" i="105"/>
  <c r="M522" i="105"/>
  <c r="Y521" i="105"/>
  <c r="X521" i="105"/>
  <c r="W521" i="105"/>
  <c r="V521" i="105"/>
  <c r="U521" i="105"/>
  <c r="N521" i="105"/>
  <c r="M521" i="105"/>
  <c r="Y520" i="105"/>
  <c r="X520" i="105"/>
  <c r="L520" i="105" s="1"/>
  <c r="W520" i="105"/>
  <c r="V520" i="105"/>
  <c r="U520" i="105"/>
  <c r="N520" i="105"/>
  <c r="M520" i="105"/>
  <c r="Y519" i="105"/>
  <c r="W519" i="105"/>
  <c r="X519" i="105" s="1"/>
  <c r="L519" i="105" s="1"/>
  <c r="V519" i="105"/>
  <c r="U519" i="105"/>
  <c r="N519" i="105"/>
  <c r="M519" i="105"/>
  <c r="Z518" i="105"/>
  <c r="R518" i="105" s="1"/>
  <c r="Y518" i="105"/>
  <c r="W518" i="105"/>
  <c r="X518" i="105" s="1"/>
  <c r="L518" i="105" s="1"/>
  <c r="V518" i="105"/>
  <c r="U518" i="105"/>
  <c r="N518" i="105"/>
  <c r="M518" i="105"/>
  <c r="Y517" i="105"/>
  <c r="W517" i="105"/>
  <c r="X517" i="105" s="1"/>
  <c r="V517" i="105"/>
  <c r="U517" i="105"/>
  <c r="N517" i="105"/>
  <c r="M517" i="105"/>
  <c r="Y516" i="105"/>
  <c r="X516" i="105"/>
  <c r="W516" i="105"/>
  <c r="V516" i="105"/>
  <c r="U516" i="105"/>
  <c r="N516" i="105"/>
  <c r="M516" i="105"/>
  <c r="Y515" i="105"/>
  <c r="W515" i="105"/>
  <c r="X515" i="105" s="1"/>
  <c r="V515" i="105"/>
  <c r="U515" i="105"/>
  <c r="N515" i="105"/>
  <c r="M515" i="105"/>
  <c r="Y514" i="105"/>
  <c r="W514" i="105"/>
  <c r="X514" i="105" s="1"/>
  <c r="Z514" i="105" s="1"/>
  <c r="S514" i="105" s="1"/>
  <c r="V514" i="105"/>
  <c r="U514" i="105"/>
  <c r="N514" i="105"/>
  <c r="M514" i="105"/>
  <c r="Y513" i="105"/>
  <c r="W513" i="105"/>
  <c r="X513" i="105" s="1"/>
  <c r="Z513" i="105" s="1"/>
  <c r="V513" i="105"/>
  <c r="U513" i="105"/>
  <c r="N513" i="105"/>
  <c r="M513" i="105"/>
  <c r="Y512" i="105"/>
  <c r="X512" i="105"/>
  <c r="W512" i="105"/>
  <c r="V512" i="105"/>
  <c r="U512" i="105"/>
  <c r="N512" i="105"/>
  <c r="M512" i="105"/>
  <c r="Y511" i="105"/>
  <c r="W511" i="105"/>
  <c r="X511" i="105" s="1"/>
  <c r="V511" i="105"/>
  <c r="U511" i="105"/>
  <c r="N511" i="105"/>
  <c r="M511" i="105"/>
  <c r="Y510" i="105"/>
  <c r="W510" i="105"/>
  <c r="X510" i="105" s="1"/>
  <c r="L512" i="105" s="1"/>
  <c r="V510" i="105"/>
  <c r="U510" i="105"/>
  <c r="N510" i="105"/>
  <c r="M510" i="105"/>
  <c r="Y509" i="105"/>
  <c r="W509" i="105"/>
  <c r="X509" i="105" s="1"/>
  <c r="Z509" i="105" s="1"/>
  <c r="V509" i="105"/>
  <c r="U509" i="105"/>
  <c r="P509" i="105"/>
  <c r="N509" i="105"/>
  <c r="M509" i="105"/>
  <c r="Y508" i="105"/>
  <c r="X508" i="105"/>
  <c r="W508" i="105"/>
  <c r="V508" i="105"/>
  <c r="U508" i="105"/>
  <c r="N508" i="105"/>
  <c r="M508" i="105"/>
  <c r="Y507" i="105"/>
  <c r="W507" i="105"/>
  <c r="X507" i="105" s="1"/>
  <c r="V507" i="105"/>
  <c r="U507" i="105"/>
  <c r="N507" i="105"/>
  <c r="M507" i="105"/>
  <c r="Z506" i="105"/>
  <c r="Y506" i="105"/>
  <c r="W506" i="105"/>
  <c r="X506" i="105" s="1"/>
  <c r="V506" i="105"/>
  <c r="U506" i="105"/>
  <c r="R506" i="105"/>
  <c r="N506" i="105"/>
  <c r="M506" i="105"/>
  <c r="L506" i="105"/>
  <c r="Z505" i="105"/>
  <c r="Y505" i="105"/>
  <c r="X505" i="105"/>
  <c r="W505" i="105"/>
  <c r="V505" i="105"/>
  <c r="U505" i="105"/>
  <c r="N505" i="105"/>
  <c r="M505" i="105"/>
  <c r="L505" i="105"/>
  <c r="Y504" i="105"/>
  <c r="W504" i="105"/>
  <c r="X504" i="105" s="1"/>
  <c r="V504" i="105"/>
  <c r="U504" i="105"/>
  <c r="N504" i="105"/>
  <c r="M504" i="105"/>
  <c r="Y503" i="105"/>
  <c r="W503" i="105"/>
  <c r="X503" i="105" s="1"/>
  <c r="V503" i="105"/>
  <c r="U503" i="105"/>
  <c r="N503" i="105"/>
  <c r="M503" i="105"/>
  <c r="Y502" i="105"/>
  <c r="W502" i="105"/>
  <c r="X502" i="105" s="1"/>
  <c r="V502" i="105"/>
  <c r="U502" i="105"/>
  <c r="N502" i="105"/>
  <c r="M502" i="105"/>
  <c r="Y501" i="105"/>
  <c r="W501" i="105"/>
  <c r="X501" i="105" s="1"/>
  <c r="V501" i="105"/>
  <c r="U501" i="105"/>
  <c r="N501" i="105"/>
  <c r="M501" i="105"/>
  <c r="Y500" i="105"/>
  <c r="W500" i="105"/>
  <c r="X500" i="105" s="1"/>
  <c r="Z500" i="105" s="1"/>
  <c r="S500" i="105" s="1"/>
  <c r="V500" i="105"/>
  <c r="U500" i="105"/>
  <c r="N500" i="105"/>
  <c r="M500" i="105"/>
  <c r="L500" i="105"/>
  <c r="Y499" i="105"/>
  <c r="X499" i="105"/>
  <c r="W499" i="105"/>
  <c r="V499" i="105"/>
  <c r="U499" i="105"/>
  <c r="N499" i="105"/>
  <c r="M499" i="105"/>
  <c r="Y498" i="105"/>
  <c r="W498" i="105"/>
  <c r="X498" i="105" s="1"/>
  <c r="V498" i="105"/>
  <c r="U498" i="105"/>
  <c r="N498" i="105"/>
  <c r="M498" i="105"/>
  <c r="Y497" i="105"/>
  <c r="X497" i="105"/>
  <c r="W497" i="105"/>
  <c r="V497" i="105"/>
  <c r="U497" i="105"/>
  <c r="N497" i="105"/>
  <c r="M497" i="105"/>
  <c r="Y496" i="105"/>
  <c r="W496" i="105"/>
  <c r="X496" i="105" s="1"/>
  <c r="V496" i="105"/>
  <c r="U496" i="105"/>
  <c r="N496" i="105"/>
  <c r="M496" i="105"/>
  <c r="Y495" i="105"/>
  <c r="W495" i="105"/>
  <c r="X495" i="105" s="1"/>
  <c r="V495" i="105"/>
  <c r="U495" i="105"/>
  <c r="N495" i="105"/>
  <c r="M495" i="105"/>
  <c r="Z494" i="105"/>
  <c r="Y494" i="105"/>
  <c r="X494" i="105"/>
  <c r="L494" i="105" s="1"/>
  <c r="W494" i="105"/>
  <c r="V494" i="105"/>
  <c r="U494" i="105"/>
  <c r="N494" i="105"/>
  <c r="M494" i="105"/>
  <c r="Y493" i="105"/>
  <c r="X493" i="105"/>
  <c r="L493" i="105" s="1"/>
  <c r="W493" i="105"/>
  <c r="V493" i="105"/>
  <c r="U493" i="105"/>
  <c r="N493" i="105"/>
  <c r="M493" i="105"/>
  <c r="Y492" i="105"/>
  <c r="W492" i="105"/>
  <c r="X492" i="105" s="1"/>
  <c r="Z492" i="105" s="1"/>
  <c r="T492" i="105" s="1"/>
  <c r="V492" i="105"/>
  <c r="U492" i="105"/>
  <c r="N492" i="105"/>
  <c r="M492" i="105"/>
  <c r="L492" i="105"/>
  <c r="Y491" i="105"/>
  <c r="X491" i="105"/>
  <c r="W491" i="105"/>
  <c r="V491" i="105"/>
  <c r="U491" i="105"/>
  <c r="N491" i="105"/>
  <c r="M491" i="105"/>
  <c r="Y490" i="105"/>
  <c r="W490" i="105"/>
  <c r="X490" i="105" s="1"/>
  <c r="Z490" i="105" s="1"/>
  <c r="V490" i="105"/>
  <c r="U490" i="105"/>
  <c r="T490" i="105"/>
  <c r="S490" i="105"/>
  <c r="O490" i="105"/>
  <c r="N490" i="105"/>
  <c r="M490" i="105"/>
  <c r="L490" i="105"/>
  <c r="Y489" i="105"/>
  <c r="X489" i="105"/>
  <c r="Z489" i="105" s="1"/>
  <c r="W489" i="105"/>
  <c r="V489" i="105"/>
  <c r="U489" i="105"/>
  <c r="R489" i="105"/>
  <c r="N489" i="105"/>
  <c r="M489" i="105"/>
  <c r="L489" i="105"/>
  <c r="Y488" i="105"/>
  <c r="W488" i="105"/>
  <c r="X488" i="105" s="1"/>
  <c r="V488" i="105"/>
  <c r="U488" i="105"/>
  <c r="N488" i="105"/>
  <c r="M488" i="105"/>
  <c r="Y487" i="105"/>
  <c r="W487" i="105"/>
  <c r="X487" i="105" s="1"/>
  <c r="V487" i="105"/>
  <c r="U487" i="105"/>
  <c r="N487" i="105"/>
  <c r="M487" i="105"/>
  <c r="Y486" i="105"/>
  <c r="W486" i="105"/>
  <c r="X486" i="105" s="1"/>
  <c r="L486" i="105" s="1"/>
  <c r="V486" i="105"/>
  <c r="U486" i="105"/>
  <c r="N486" i="105"/>
  <c r="M486" i="105"/>
  <c r="Y485" i="105"/>
  <c r="W485" i="105"/>
  <c r="X485" i="105" s="1"/>
  <c r="V485" i="105"/>
  <c r="U485" i="105"/>
  <c r="N485" i="105"/>
  <c r="M485" i="105"/>
  <c r="Y484" i="105"/>
  <c r="W484" i="105"/>
  <c r="X484" i="105" s="1"/>
  <c r="V484" i="105"/>
  <c r="U484" i="105"/>
  <c r="N484" i="105"/>
  <c r="M484" i="105"/>
  <c r="Y483" i="105"/>
  <c r="W483" i="105"/>
  <c r="X483" i="105" s="1"/>
  <c r="Z483" i="105" s="1"/>
  <c r="V483" i="105"/>
  <c r="U483" i="105"/>
  <c r="N483" i="105"/>
  <c r="M483" i="105"/>
  <c r="Z482" i="105"/>
  <c r="S482" i="105" s="1"/>
  <c r="Y482" i="105"/>
  <c r="W482" i="105"/>
  <c r="X482" i="105" s="1"/>
  <c r="L482" i="105" s="1"/>
  <c r="V482" i="105"/>
  <c r="U482" i="105"/>
  <c r="N482" i="105"/>
  <c r="M482" i="105"/>
  <c r="Y481" i="105"/>
  <c r="X481" i="105"/>
  <c r="Z481" i="105" s="1"/>
  <c r="W481" i="105"/>
  <c r="V481" i="105"/>
  <c r="U481" i="105"/>
  <c r="N481" i="105"/>
  <c r="M481" i="105"/>
  <c r="Y480" i="105"/>
  <c r="W480" i="105"/>
  <c r="X480" i="105" s="1"/>
  <c r="Z480" i="105" s="1"/>
  <c r="V480" i="105"/>
  <c r="U480" i="105"/>
  <c r="T480" i="105"/>
  <c r="R480" i="105"/>
  <c r="N480" i="105"/>
  <c r="M480" i="105"/>
  <c r="Y479" i="105"/>
  <c r="W479" i="105"/>
  <c r="X479" i="105" s="1"/>
  <c r="V479" i="105"/>
  <c r="U479" i="105"/>
  <c r="N479" i="105"/>
  <c r="M479" i="105"/>
  <c r="Y478" i="105"/>
  <c r="W478" i="105"/>
  <c r="X478" i="105" s="1"/>
  <c r="V478" i="105"/>
  <c r="U478" i="105"/>
  <c r="N478" i="105"/>
  <c r="M478" i="105"/>
  <c r="Y477" i="105"/>
  <c r="W477" i="105"/>
  <c r="X477" i="105" s="1"/>
  <c r="Z477" i="105" s="1"/>
  <c r="O477" i="105" s="1"/>
  <c r="V477" i="105"/>
  <c r="U477" i="105"/>
  <c r="Q477" i="105"/>
  <c r="N477" i="105"/>
  <c r="M477" i="105"/>
  <c r="Y476" i="105"/>
  <c r="W476" i="105"/>
  <c r="X476" i="105" s="1"/>
  <c r="Z476" i="105" s="1"/>
  <c r="Q476" i="105" s="1"/>
  <c r="V476" i="105"/>
  <c r="U476" i="105"/>
  <c r="N476" i="105"/>
  <c r="M476" i="105"/>
  <c r="L476" i="105"/>
  <c r="Z475" i="105"/>
  <c r="R475" i="105" s="1"/>
  <c r="Y475" i="105"/>
  <c r="W475" i="105"/>
  <c r="X475" i="105" s="1"/>
  <c r="V475" i="105"/>
  <c r="U475" i="105"/>
  <c r="N475" i="105"/>
  <c r="M475" i="105"/>
  <c r="L475" i="105"/>
  <c r="Y474" i="105"/>
  <c r="W474" i="105"/>
  <c r="X474" i="105" s="1"/>
  <c r="Z474" i="105" s="1"/>
  <c r="S474" i="105" s="1"/>
  <c r="V474" i="105"/>
  <c r="U474" i="105"/>
  <c r="N474" i="105"/>
  <c r="M474" i="105"/>
  <c r="Y473" i="105"/>
  <c r="W473" i="105"/>
  <c r="X473" i="105" s="1"/>
  <c r="V473" i="105"/>
  <c r="U473" i="105"/>
  <c r="N473" i="105"/>
  <c r="M473" i="105"/>
  <c r="Y472" i="105"/>
  <c r="W472" i="105"/>
  <c r="X472" i="105" s="1"/>
  <c r="Z472" i="105" s="1"/>
  <c r="Q472" i="105" s="1"/>
  <c r="V472" i="105"/>
  <c r="U472" i="105"/>
  <c r="T472" i="105"/>
  <c r="R472" i="105"/>
  <c r="N472" i="105"/>
  <c r="M472" i="105"/>
  <c r="Y471" i="105"/>
  <c r="W471" i="105"/>
  <c r="X471" i="105" s="1"/>
  <c r="L471" i="105" s="1"/>
  <c r="V471" i="105"/>
  <c r="U471" i="105"/>
  <c r="N471" i="105"/>
  <c r="M471" i="105"/>
  <c r="Y470" i="105"/>
  <c r="W470" i="105"/>
  <c r="X470" i="105" s="1"/>
  <c r="V470" i="105"/>
  <c r="U470" i="105"/>
  <c r="N470" i="105"/>
  <c r="M470" i="105"/>
  <c r="Y469" i="105"/>
  <c r="X469" i="105"/>
  <c r="Z469" i="105" s="1"/>
  <c r="W469" i="105"/>
  <c r="V469" i="105"/>
  <c r="U469" i="105"/>
  <c r="N469" i="105"/>
  <c r="M469" i="105"/>
  <c r="L469" i="105"/>
  <c r="Y468" i="105"/>
  <c r="W468" i="105"/>
  <c r="X468" i="105" s="1"/>
  <c r="Z468" i="105" s="1"/>
  <c r="Q468" i="105" s="1"/>
  <c r="V468" i="105"/>
  <c r="U468" i="105"/>
  <c r="N468" i="105"/>
  <c r="M468" i="105"/>
  <c r="Y467" i="105"/>
  <c r="W467" i="105"/>
  <c r="X467" i="105" s="1"/>
  <c r="V467" i="105"/>
  <c r="U467" i="105"/>
  <c r="N467" i="105"/>
  <c r="M467" i="105"/>
  <c r="Y466" i="105"/>
  <c r="W466" i="105"/>
  <c r="X466" i="105" s="1"/>
  <c r="V466" i="105"/>
  <c r="U466" i="105"/>
  <c r="N466" i="105"/>
  <c r="M466" i="105"/>
  <c r="Y465" i="105"/>
  <c r="W465" i="105"/>
  <c r="X465" i="105" s="1"/>
  <c r="Z465" i="105" s="1"/>
  <c r="R465" i="105" s="1"/>
  <c r="V465" i="105"/>
  <c r="U465" i="105"/>
  <c r="N465" i="105"/>
  <c r="M465" i="105"/>
  <c r="Y464" i="105"/>
  <c r="W464" i="105"/>
  <c r="X464" i="105" s="1"/>
  <c r="Z464" i="105" s="1"/>
  <c r="V464" i="105"/>
  <c r="U464" i="105"/>
  <c r="R464" i="105"/>
  <c r="Q464" i="105"/>
  <c r="N464" i="105"/>
  <c r="M464" i="105"/>
  <c r="Y463" i="105"/>
  <c r="W463" i="105"/>
  <c r="X463" i="105" s="1"/>
  <c r="Z463" i="105" s="1"/>
  <c r="S463" i="105" s="1"/>
  <c r="V463" i="105"/>
  <c r="U463" i="105"/>
  <c r="Q463" i="105"/>
  <c r="N463" i="105"/>
  <c r="M463" i="105"/>
  <c r="Y462" i="105"/>
  <c r="W462" i="105"/>
  <c r="X462" i="105" s="1"/>
  <c r="Z462" i="105" s="1"/>
  <c r="P462" i="105" s="1"/>
  <c r="V462" i="105"/>
  <c r="U462" i="105"/>
  <c r="N462" i="105"/>
  <c r="M462" i="105"/>
  <c r="Y461" i="105"/>
  <c r="W461" i="105"/>
  <c r="X461" i="105" s="1"/>
  <c r="V461" i="105"/>
  <c r="U461" i="105"/>
  <c r="N461" i="105"/>
  <c r="M461" i="105"/>
  <c r="Y460" i="105"/>
  <c r="X460" i="105"/>
  <c r="W460" i="105"/>
  <c r="V460" i="105"/>
  <c r="U460" i="105"/>
  <c r="N460" i="105"/>
  <c r="M460" i="105"/>
  <c r="Y459" i="105"/>
  <c r="W459" i="105"/>
  <c r="X459" i="105" s="1"/>
  <c r="V459" i="105"/>
  <c r="U459" i="105"/>
  <c r="N459" i="105"/>
  <c r="M459" i="105"/>
  <c r="Z458" i="105"/>
  <c r="Q458" i="105" s="1"/>
  <c r="Y458" i="105"/>
  <c r="W458" i="105"/>
  <c r="X458" i="105" s="1"/>
  <c r="V458" i="105"/>
  <c r="U458" i="105"/>
  <c r="N458" i="105"/>
  <c r="M458" i="105"/>
  <c r="L458" i="105"/>
  <c r="Z457" i="105"/>
  <c r="Q457" i="105" s="1"/>
  <c r="Y457" i="105"/>
  <c r="W457" i="105"/>
  <c r="X457" i="105" s="1"/>
  <c r="L457" i="105" s="1"/>
  <c r="V457" i="105"/>
  <c r="U457" i="105"/>
  <c r="N457" i="105"/>
  <c r="M457" i="105"/>
  <c r="Y456" i="105"/>
  <c r="W456" i="105"/>
  <c r="X456" i="105" s="1"/>
  <c r="V456" i="105"/>
  <c r="U456" i="105"/>
  <c r="N456" i="105"/>
  <c r="M456" i="105"/>
  <c r="Y455" i="105"/>
  <c r="W455" i="105"/>
  <c r="X455" i="105" s="1"/>
  <c r="Z455" i="105" s="1"/>
  <c r="T455" i="105" s="1"/>
  <c r="V455" i="105"/>
  <c r="U455" i="105"/>
  <c r="S455" i="105"/>
  <c r="R455" i="105"/>
  <c r="O455" i="105"/>
  <c r="N455" i="105"/>
  <c r="M455" i="105"/>
  <c r="Y454" i="105"/>
  <c r="X454" i="105"/>
  <c r="W454" i="105"/>
  <c r="V454" i="105"/>
  <c r="U454" i="105"/>
  <c r="N454" i="105"/>
  <c r="M454" i="105"/>
  <c r="Y453" i="105"/>
  <c r="W453" i="105"/>
  <c r="X453" i="105" s="1"/>
  <c r="L453" i="105" s="1"/>
  <c r="V453" i="105"/>
  <c r="U453" i="105"/>
  <c r="N453" i="105"/>
  <c r="M453" i="105"/>
  <c r="Y452" i="105"/>
  <c r="W452" i="105"/>
  <c r="X452" i="105" s="1"/>
  <c r="V452" i="105"/>
  <c r="U452" i="105"/>
  <c r="N452" i="105"/>
  <c r="M452" i="105"/>
  <c r="Y451" i="105"/>
  <c r="W451" i="105"/>
  <c r="X451" i="105" s="1"/>
  <c r="Z451" i="105" s="1"/>
  <c r="V451" i="105"/>
  <c r="U451" i="105"/>
  <c r="N451" i="105"/>
  <c r="M451" i="105"/>
  <c r="L451" i="105"/>
  <c r="Y450" i="105"/>
  <c r="W450" i="105"/>
  <c r="X450" i="105" s="1"/>
  <c r="V450" i="105"/>
  <c r="U450" i="105"/>
  <c r="N450" i="105"/>
  <c r="M450" i="105"/>
  <c r="Y449" i="105"/>
  <c r="W449" i="105"/>
  <c r="X449" i="105" s="1"/>
  <c r="L449" i="105" s="1"/>
  <c r="V449" i="105"/>
  <c r="U449" i="105"/>
  <c r="N449" i="105"/>
  <c r="M449" i="105"/>
  <c r="Y448" i="105"/>
  <c r="W448" i="105"/>
  <c r="X448" i="105" s="1"/>
  <c r="Z448" i="105" s="1"/>
  <c r="V448" i="105"/>
  <c r="U448" i="105"/>
  <c r="N448" i="105"/>
  <c r="M448" i="105"/>
  <c r="Y447" i="105"/>
  <c r="X447" i="105"/>
  <c r="W447" i="105"/>
  <c r="V447" i="105"/>
  <c r="U447" i="105"/>
  <c r="N447" i="105"/>
  <c r="M447" i="105"/>
  <c r="Y446" i="105"/>
  <c r="W446" i="105"/>
  <c r="X446" i="105" s="1"/>
  <c r="V446" i="105"/>
  <c r="U446" i="105"/>
  <c r="N446" i="105"/>
  <c r="M446" i="105"/>
  <c r="Y445" i="105"/>
  <c r="W445" i="105"/>
  <c r="X445" i="105" s="1"/>
  <c r="V445" i="105"/>
  <c r="U445" i="105"/>
  <c r="N445" i="105"/>
  <c r="M445" i="105"/>
  <c r="Y444" i="105"/>
  <c r="W444" i="105"/>
  <c r="X444" i="105" s="1"/>
  <c r="V444" i="105"/>
  <c r="U444" i="105"/>
  <c r="N444" i="105"/>
  <c r="M444" i="105"/>
  <c r="Y443" i="105"/>
  <c r="W443" i="105"/>
  <c r="X443" i="105" s="1"/>
  <c r="V443" i="105"/>
  <c r="U443" i="105"/>
  <c r="N443" i="105"/>
  <c r="M443" i="105"/>
  <c r="Y442" i="105"/>
  <c r="W442" i="105"/>
  <c r="X442" i="105" s="1"/>
  <c r="L442" i="105" s="1"/>
  <c r="V442" i="105"/>
  <c r="U442" i="105"/>
  <c r="N442" i="105"/>
  <c r="M442" i="105"/>
  <c r="Y441" i="105"/>
  <c r="X441" i="105"/>
  <c r="W441" i="105"/>
  <c r="V441" i="105"/>
  <c r="U441" i="105"/>
  <c r="N441" i="105"/>
  <c r="M441" i="105"/>
  <c r="Y440" i="105"/>
  <c r="W440" i="105"/>
  <c r="X440" i="105" s="1"/>
  <c r="V440" i="105"/>
  <c r="U440" i="105"/>
  <c r="N440" i="105"/>
  <c r="M440" i="105"/>
  <c r="Y439" i="105"/>
  <c r="W439" i="105"/>
  <c r="X439" i="105" s="1"/>
  <c r="L439" i="105" s="1"/>
  <c r="V439" i="105"/>
  <c r="U439" i="105"/>
  <c r="N439" i="105"/>
  <c r="M439" i="105"/>
  <c r="Y438" i="105"/>
  <c r="W438" i="105"/>
  <c r="X438" i="105" s="1"/>
  <c r="V438" i="105"/>
  <c r="U438" i="105"/>
  <c r="N438" i="105"/>
  <c r="M438" i="105"/>
  <c r="Y437" i="105"/>
  <c r="X437" i="105"/>
  <c r="Z437" i="105" s="1"/>
  <c r="T437" i="105" s="1"/>
  <c r="W437" i="105"/>
  <c r="V437" i="105"/>
  <c r="U437" i="105"/>
  <c r="Q437" i="105"/>
  <c r="N437" i="105"/>
  <c r="M437" i="105"/>
  <c r="Y436" i="105"/>
  <c r="W436" i="105"/>
  <c r="X436" i="105" s="1"/>
  <c r="Z436" i="105" s="1"/>
  <c r="S436" i="105" s="1"/>
  <c r="V436" i="105"/>
  <c r="U436" i="105"/>
  <c r="P436" i="105"/>
  <c r="N436" i="105"/>
  <c r="M436" i="105"/>
  <c r="L436" i="105"/>
  <c r="Y435" i="105"/>
  <c r="W435" i="105"/>
  <c r="X435" i="105" s="1"/>
  <c r="V435" i="105"/>
  <c r="U435" i="105"/>
  <c r="N435" i="105"/>
  <c r="M435" i="105"/>
  <c r="Y434" i="105"/>
  <c r="W434" i="105"/>
  <c r="X434" i="105" s="1"/>
  <c r="Z434" i="105" s="1"/>
  <c r="S434" i="105" s="1"/>
  <c r="V434" i="105"/>
  <c r="U434" i="105"/>
  <c r="R434" i="105"/>
  <c r="N434" i="105"/>
  <c r="M434" i="105"/>
  <c r="L434" i="105"/>
  <c r="Y433" i="105"/>
  <c r="X433" i="105"/>
  <c r="W433" i="105"/>
  <c r="V433" i="105"/>
  <c r="U433" i="105"/>
  <c r="N433" i="105"/>
  <c r="M433" i="105"/>
  <c r="Y432" i="105"/>
  <c r="X432" i="105"/>
  <c r="Z432" i="105" s="1"/>
  <c r="W432" i="105"/>
  <c r="V432" i="105"/>
  <c r="U432" i="105"/>
  <c r="N432" i="105"/>
  <c r="M432" i="105"/>
  <c r="L432" i="105"/>
  <c r="Y431" i="105"/>
  <c r="W431" i="105"/>
  <c r="X431" i="105" s="1"/>
  <c r="V431" i="105"/>
  <c r="U431" i="105"/>
  <c r="N431" i="105"/>
  <c r="M431" i="105"/>
  <c r="Z430" i="105"/>
  <c r="Y430" i="105"/>
  <c r="W430" i="105"/>
  <c r="X430" i="105" s="1"/>
  <c r="V430" i="105"/>
  <c r="U430" i="105"/>
  <c r="N430" i="105"/>
  <c r="M430" i="105"/>
  <c r="Y429" i="105"/>
  <c r="W429" i="105"/>
  <c r="X429" i="105" s="1"/>
  <c r="V429" i="105"/>
  <c r="U429" i="105"/>
  <c r="N429" i="105"/>
  <c r="M429" i="105"/>
  <c r="Y428" i="105"/>
  <c r="X428" i="105"/>
  <c r="W428" i="105"/>
  <c r="V428" i="105"/>
  <c r="U428" i="105"/>
  <c r="N428" i="105"/>
  <c r="M428" i="105"/>
  <c r="Y427" i="105"/>
  <c r="W427" i="105"/>
  <c r="X427" i="105" s="1"/>
  <c r="L427" i="105" s="1"/>
  <c r="V427" i="105"/>
  <c r="U427" i="105"/>
  <c r="N427" i="105"/>
  <c r="M427" i="105"/>
  <c r="Y426" i="105"/>
  <c r="W426" i="105"/>
  <c r="X426" i="105" s="1"/>
  <c r="V426" i="105"/>
  <c r="U426" i="105"/>
  <c r="N426" i="105"/>
  <c r="M426" i="105"/>
  <c r="Y425" i="105"/>
  <c r="X425" i="105"/>
  <c r="L425" i="105" s="1"/>
  <c r="W425" i="105"/>
  <c r="V425" i="105"/>
  <c r="U425" i="105"/>
  <c r="N425" i="105"/>
  <c r="M425" i="105"/>
  <c r="Y424" i="105"/>
  <c r="W424" i="105"/>
  <c r="X424" i="105" s="1"/>
  <c r="Z424" i="105" s="1"/>
  <c r="O424" i="105" s="1"/>
  <c r="V424" i="105"/>
  <c r="U424" i="105"/>
  <c r="S424" i="105"/>
  <c r="N424" i="105"/>
  <c r="M424" i="105"/>
  <c r="Y423" i="105"/>
  <c r="W423" i="105"/>
  <c r="X423" i="105" s="1"/>
  <c r="L423" i="105" s="1"/>
  <c r="V423" i="105"/>
  <c r="U423" i="105"/>
  <c r="N423" i="105"/>
  <c r="M423" i="105"/>
  <c r="Z422" i="105"/>
  <c r="Y422" i="105"/>
  <c r="W422" i="105"/>
  <c r="X422" i="105" s="1"/>
  <c r="L422" i="105" s="1"/>
  <c r="V422" i="105"/>
  <c r="U422" i="105"/>
  <c r="N422" i="105"/>
  <c r="M422" i="105"/>
  <c r="Y421" i="105"/>
  <c r="W421" i="105"/>
  <c r="X421" i="105" s="1"/>
  <c r="L421" i="105" s="1"/>
  <c r="V421" i="105"/>
  <c r="U421" i="105"/>
  <c r="N421" i="105"/>
  <c r="M421" i="105"/>
  <c r="Y420" i="105"/>
  <c r="X420" i="105"/>
  <c r="Z420" i="105" s="1"/>
  <c r="S420" i="105" s="1"/>
  <c r="W420" i="105"/>
  <c r="V420" i="105"/>
  <c r="U420" i="105"/>
  <c r="T420" i="105"/>
  <c r="P420" i="105"/>
  <c r="N420" i="105"/>
  <c r="M420" i="105"/>
  <c r="L420" i="105"/>
  <c r="Y419" i="105"/>
  <c r="W419" i="105"/>
  <c r="X419" i="105" s="1"/>
  <c r="Z419" i="105" s="1"/>
  <c r="V419" i="105"/>
  <c r="U419" i="105"/>
  <c r="S419" i="105"/>
  <c r="N419" i="105"/>
  <c r="M419" i="105"/>
  <c r="Y418" i="105"/>
  <c r="W418" i="105"/>
  <c r="X418" i="105" s="1"/>
  <c r="L418" i="105" s="1"/>
  <c r="V418" i="105"/>
  <c r="U418" i="105"/>
  <c r="N418" i="105"/>
  <c r="M418" i="105"/>
  <c r="Y417" i="105"/>
  <c r="W417" i="105"/>
  <c r="X417" i="105" s="1"/>
  <c r="V417" i="105"/>
  <c r="U417" i="105"/>
  <c r="N417" i="105"/>
  <c r="M417" i="105"/>
  <c r="Y416" i="105"/>
  <c r="W416" i="105"/>
  <c r="X416" i="105" s="1"/>
  <c r="L416" i="105" s="1"/>
  <c r="V416" i="105"/>
  <c r="U416" i="105"/>
  <c r="N416" i="105"/>
  <c r="M416" i="105"/>
  <c r="Y415" i="105"/>
  <c r="W415" i="105"/>
  <c r="X415" i="105" s="1"/>
  <c r="Z415" i="105" s="1"/>
  <c r="O415" i="105" s="1"/>
  <c r="V415" i="105"/>
  <c r="U415" i="105"/>
  <c r="S415" i="105"/>
  <c r="N415" i="105"/>
  <c r="M415" i="105"/>
  <c r="Y414" i="105"/>
  <c r="X414" i="105"/>
  <c r="W414" i="105"/>
  <c r="V414" i="105"/>
  <c r="U414" i="105"/>
  <c r="N414" i="105"/>
  <c r="M414" i="105"/>
  <c r="Y413" i="105"/>
  <c r="W413" i="105"/>
  <c r="X413" i="105" s="1"/>
  <c r="V413" i="105"/>
  <c r="U413" i="105"/>
  <c r="N413" i="105"/>
  <c r="M413" i="105"/>
  <c r="Y412" i="105"/>
  <c r="W412" i="105"/>
  <c r="X412" i="105" s="1"/>
  <c r="V412" i="105"/>
  <c r="U412" i="105"/>
  <c r="N412" i="105"/>
  <c r="M412" i="105"/>
  <c r="Y411" i="105"/>
  <c r="X411" i="105"/>
  <c r="W411" i="105"/>
  <c r="V411" i="105"/>
  <c r="U411" i="105"/>
  <c r="N411" i="105"/>
  <c r="M411" i="105"/>
  <c r="Y410" i="105"/>
  <c r="W410" i="105"/>
  <c r="X410" i="105" s="1"/>
  <c r="Z410" i="105" s="1"/>
  <c r="Q410" i="105" s="1"/>
  <c r="V410" i="105"/>
  <c r="U410" i="105"/>
  <c r="N410" i="105"/>
  <c r="M410" i="105"/>
  <c r="Y409" i="105"/>
  <c r="W409" i="105"/>
  <c r="X409" i="105" s="1"/>
  <c r="V409" i="105"/>
  <c r="U409" i="105"/>
  <c r="N409" i="105"/>
  <c r="M409" i="105"/>
  <c r="Y408" i="105"/>
  <c r="W408" i="105"/>
  <c r="X408" i="105" s="1"/>
  <c r="V408" i="105"/>
  <c r="U408" i="105"/>
  <c r="N408" i="105"/>
  <c r="M408" i="105"/>
  <c r="Y407" i="105"/>
  <c r="W407" i="105"/>
  <c r="X407" i="105" s="1"/>
  <c r="Z407" i="105" s="1"/>
  <c r="R407" i="105" s="1"/>
  <c r="V407" i="105"/>
  <c r="U407" i="105"/>
  <c r="N407" i="105"/>
  <c r="M407" i="105"/>
  <c r="Z406" i="105"/>
  <c r="Y406" i="105"/>
  <c r="X406" i="105"/>
  <c r="W406" i="105"/>
  <c r="V406" i="105"/>
  <c r="U406" i="105"/>
  <c r="Q406" i="105"/>
  <c r="N406" i="105"/>
  <c r="M406" i="105"/>
  <c r="Y405" i="105"/>
  <c r="W405" i="105"/>
  <c r="X405" i="105" s="1"/>
  <c r="V405" i="105"/>
  <c r="U405" i="105"/>
  <c r="N405" i="105"/>
  <c r="M405" i="105"/>
  <c r="Y404" i="105"/>
  <c r="W404" i="105"/>
  <c r="X404" i="105" s="1"/>
  <c r="Z404" i="105" s="1"/>
  <c r="T404" i="105" s="1"/>
  <c r="V404" i="105"/>
  <c r="U404" i="105"/>
  <c r="N404" i="105"/>
  <c r="M404" i="105"/>
  <c r="Y403" i="105"/>
  <c r="W403" i="105"/>
  <c r="X403" i="105" s="1"/>
  <c r="V403" i="105"/>
  <c r="U403" i="105"/>
  <c r="N403" i="105"/>
  <c r="M403" i="105"/>
  <c r="Y402" i="105"/>
  <c r="W402" i="105"/>
  <c r="X402" i="105" s="1"/>
  <c r="Z402" i="105" s="1"/>
  <c r="T402" i="105" s="1"/>
  <c r="V402" i="105"/>
  <c r="U402" i="105"/>
  <c r="N402" i="105"/>
  <c r="M402" i="105"/>
  <c r="Y401" i="105"/>
  <c r="X401" i="105"/>
  <c r="Z401" i="105" s="1"/>
  <c r="W401" i="105"/>
  <c r="V401" i="105"/>
  <c r="U401" i="105"/>
  <c r="N401" i="105"/>
  <c r="M401" i="105"/>
  <c r="Y400" i="105"/>
  <c r="X400" i="105"/>
  <c r="W400" i="105"/>
  <c r="V400" i="105"/>
  <c r="U400" i="105"/>
  <c r="N400" i="105"/>
  <c r="M400" i="105"/>
  <c r="Y399" i="105"/>
  <c r="W399" i="105"/>
  <c r="X399" i="105" s="1"/>
  <c r="Z399" i="105" s="1"/>
  <c r="P399" i="105" s="1"/>
  <c r="V399" i="105"/>
  <c r="U399" i="105"/>
  <c r="N399" i="105"/>
  <c r="M399" i="105"/>
  <c r="L399" i="105"/>
  <c r="Y398" i="105"/>
  <c r="W398" i="105"/>
  <c r="X398" i="105" s="1"/>
  <c r="V398" i="105"/>
  <c r="U398" i="105"/>
  <c r="N398" i="105"/>
  <c r="M398" i="105"/>
  <c r="Y397" i="105"/>
  <c r="W397" i="105"/>
  <c r="X397" i="105" s="1"/>
  <c r="V397" i="105"/>
  <c r="U397" i="105"/>
  <c r="N397" i="105"/>
  <c r="M397" i="105"/>
  <c r="Y396" i="105"/>
  <c r="W396" i="105"/>
  <c r="X396" i="105" s="1"/>
  <c r="V396" i="105"/>
  <c r="U396" i="105"/>
  <c r="N396" i="105"/>
  <c r="M396" i="105"/>
  <c r="Y395" i="105"/>
  <c r="W395" i="105"/>
  <c r="X395" i="105" s="1"/>
  <c r="V395" i="105"/>
  <c r="U395" i="105"/>
  <c r="N395" i="105"/>
  <c r="M395" i="105"/>
  <c r="Y394" i="105"/>
  <c r="W394" i="105"/>
  <c r="X394" i="105" s="1"/>
  <c r="Z394" i="105" s="1"/>
  <c r="Q394" i="105" s="1"/>
  <c r="V394" i="105"/>
  <c r="U394" i="105"/>
  <c r="S394" i="105"/>
  <c r="N394" i="105"/>
  <c r="M394" i="105"/>
  <c r="Z393" i="105"/>
  <c r="T393" i="105" s="1"/>
  <c r="Y393" i="105"/>
  <c r="X393" i="105"/>
  <c r="W393" i="105"/>
  <c r="V393" i="105"/>
  <c r="U393" i="105"/>
  <c r="S393" i="105"/>
  <c r="R393" i="105"/>
  <c r="N393" i="105"/>
  <c r="M393" i="105"/>
  <c r="L393" i="105"/>
  <c r="Y392" i="105"/>
  <c r="W392" i="105"/>
  <c r="X392" i="105" s="1"/>
  <c r="L392" i="105" s="1"/>
  <c r="V392" i="105"/>
  <c r="U392" i="105"/>
  <c r="N392" i="105"/>
  <c r="M392" i="105"/>
  <c r="Y391" i="105"/>
  <c r="W391" i="105"/>
  <c r="X391" i="105" s="1"/>
  <c r="V391" i="105"/>
  <c r="U391" i="105"/>
  <c r="N391" i="105"/>
  <c r="M391" i="105"/>
  <c r="Y390" i="105"/>
  <c r="W390" i="105"/>
  <c r="X390" i="105" s="1"/>
  <c r="L390" i="105" s="1"/>
  <c r="V390" i="105"/>
  <c r="U390" i="105"/>
  <c r="N390" i="105"/>
  <c r="M390" i="105"/>
  <c r="Y389" i="105"/>
  <c r="W389" i="105"/>
  <c r="X389" i="105" s="1"/>
  <c r="V389" i="105"/>
  <c r="U389" i="105"/>
  <c r="N389" i="105"/>
  <c r="M389" i="105"/>
  <c r="Y388" i="105"/>
  <c r="W388" i="105"/>
  <c r="X388" i="105" s="1"/>
  <c r="V388" i="105"/>
  <c r="U388" i="105"/>
  <c r="N388" i="105"/>
  <c r="M388" i="105"/>
  <c r="Y387" i="105"/>
  <c r="X387" i="105"/>
  <c r="W387" i="105"/>
  <c r="V387" i="105"/>
  <c r="U387" i="105"/>
  <c r="N387" i="105"/>
  <c r="M387" i="105"/>
  <c r="Y386" i="105"/>
  <c r="W386" i="105"/>
  <c r="X386" i="105" s="1"/>
  <c r="V386" i="105"/>
  <c r="U386" i="105"/>
  <c r="N386" i="105"/>
  <c r="M386" i="105"/>
  <c r="Y385" i="105"/>
  <c r="W385" i="105"/>
  <c r="X385" i="105" s="1"/>
  <c r="Z385" i="105" s="1"/>
  <c r="V385" i="105"/>
  <c r="U385" i="105"/>
  <c r="Q385" i="105"/>
  <c r="N385" i="105"/>
  <c r="M385" i="105"/>
  <c r="Y384" i="105"/>
  <c r="W384" i="105"/>
  <c r="X384" i="105" s="1"/>
  <c r="Z384" i="105" s="1"/>
  <c r="V384" i="105"/>
  <c r="U384" i="105"/>
  <c r="N384" i="105"/>
  <c r="M384" i="105"/>
  <c r="Y383" i="105"/>
  <c r="W383" i="105"/>
  <c r="X383" i="105" s="1"/>
  <c r="L383" i="105" s="1"/>
  <c r="V383" i="105"/>
  <c r="U383" i="105"/>
  <c r="N383" i="105"/>
  <c r="M383" i="105"/>
  <c r="Y382" i="105"/>
  <c r="X382" i="105"/>
  <c r="W382" i="105"/>
  <c r="V382" i="105"/>
  <c r="U382" i="105"/>
  <c r="N382" i="105"/>
  <c r="M382" i="105"/>
  <c r="Z381" i="105"/>
  <c r="Y381" i="105"/>
  <c r="W381" i="105"/>
  <c r="X381" i="105" s="1"/>
  <c r="V381" i="105"/>
  <c r="U381" i="105"/>
  <c r="Q381" i="105"/>
  <c r="N381" i="105"/>
  <c r="M381" i="105"/>
  <c r="Y380" i="105"/>
  <c r="W380" i="105"/>
  <c r="X380" i="105" s="1"/>
  <c r="V380" i="105"/>
  <c r="U380" i="105"/>
  <c r="N380" i="105"/>
  <c r="M380" i="105"/>
  <c r="Y379" i="105"/>
  <c r="W379" i="105"/>
  <c r="X379" i="105" s="1"/>
  <c r="V379" i="105"/>
  <c r="U379" i="105"/>
  <c r="N379" i="105"/>
  <c r="M379" i="105"/>
  <c r="Y378" i="105"/>
  <c r="W378" i="105"/>
  <c r="X378" i="105" s="1"/>
  <c r="V378" i="105"/>
  <c r="U378" i="105"/>
  <c r="N378" i="105"/>
  <c r="M378" i="105"/>
  <c r="Z377" i="105"/>
  <c r="P377" i="105" s="1"/>
  <c r="Y377" i="105"/>
  <c r="X377" i="105"/>
  <c r="L377" i="105" s="1"/>
  <c r="W377" i="105"/>
  <c r="V377" i="105"/>
  <c r="U377" i="105"/>
  <c r="N377" i="105"/>
  <c r="M377" i="105"/>
  <c r="Y376" i="105"/>
  <c r="W376" i="105"/>
  <c r="X376" i="105" s="1"/>
  <c r="Z376" i="105" s="1"/>
  <c r="V376" i="105"/>
  <c r="U376" i="105"/>
  <c r="N376" i="105"/>
  <c r="M376" i="105"/>
  <c r="Y375" i="105"/>
  <c r="W375" i="105"/>
  <c r="X375" i="105" s="1"/>
  <c r="L375" i="105" s="1"/>
  <c r="V375" i="105"/>
  <c r="U375" i="105"/>
  <c r="N375" i="105"/>
  <c r="M375" i="105"/>
  <c r="Y374" i="105"/>
  <c r="W374" i="105"/>
  <c r="X374" i="105" s="1"/>
  <c r="V374" i="105"/>
  <c r="U374" i="105"/>
  <c r="N374" i="105"/>
  <c r="M374" i="105"/>
  <c r="Y373" i="105"/>
  <c r="X373" i="105"/>
  <c r="Z373" i="105" s="1"/>
  <c r="R373" i="105" s="1"/>
  <c r="W373" i="105"/>
  <c r="V373" i="105"/>
  <c r="U373" i="105"/>
  <c r="T373" i="105"/>
  <c r="N373" i="105"/>
  <c r="M373" i="105"/>
  <c r="Y372" i="105"/>
  <c r="W372" i="105"/>
  <c r="X372" i="105" s="1"/>
  <c r="Z372" i="105" s="1"/>
  <c r="V372" i="105"/>
  <c r="U372" i="105"/>
  <c r="N372" i="105"/>
  <c r="M372" i="105"/>
  <c r="Y371" i="105"/>
  <c r="W371" i="105"/>
  <c r="X371" i="105" s="1"/>
  <c r="V371" i="105"/>
  <c r="U371" i="105"/>
  <c r="N371" i="105"/>
  <c r="M371" i="105"/>
  <c r="Z370" i="105"/>
  <c r="S370" i="105" s="1"/>
  <c r="Y370" i="105"/>
  <c r="W370" i="105"/>
  <c r="X370" i="105" s="1"/>
  <c r="V370" i="105"/>
  <c r="U370" i="105"/>
  <c r="O370" i="105"/>
  <c r="N370" i="105"/>
  <c r="M370" i="105"/>
  <c r="Y369" i="105"/>
  <c r="W369" i="105"/>
  <c r="X369" i="105" s="1"/>
  <c r="Z369" i="105" s="1"/>
  <c r="V369" i="105"/>
  <c r="U369" i="105"/>
  <c r="N369" i="105"/>
  <c r="M369" i="105"/>
  <c r="Y368" i="105"/>
  <c r="W368" i="105"/>
  <c r="X368" i="105" s="1"/>
  <c r="V368" i="105"/>
  <c r="U368" i="105"/>
  <c r="N368" i="105"/>
  <c r="M368" i="105"/>
  <c r="Y367" i="105"/>
  <c r="W367" i="105"/>
  <c r="X367" i="105" s="1"/>
  <c r="Z367" i="105" s="1"/>
  <c r="V367" i="105"/>
  <c r="U367" i="105"/>
  <c r="O367" i="105"/>
  <c r="N367" i="105"/>
  <c r="M367" i="105"/>
  <c r="L367" i="105"/>
  <c r="Z366" i="105"/>
  <c r="Y366" i="105"/>
  <c r="W366" i="105"/>
  <c r="X366" i="105" s="1"/>
  <c r="L366" i="105" s="1"/>
  <c r="V366" i="105"/>
  <c r="U366" i="105"/>
  <c r="N366" i="105"/>
  <c r="M366" i="105"/>
  <c r="Y365" i="105"/>
  <c r="W365" i="105"/>
  <c r="X365" i="105" s="1"/>
  <c r="V365" i="105"/>
  <c r="U365" i="105"/>
  <c r="N365" i="105"/>
  <c r="M365" i="105"/>
  <c r="Y364" i="105"/>
  <c r="W364" i="105"/>
  <c r="X364" i="105" s="1"/>
  <c r="Z364" i="105" s="1"/>
  <c r="Q364" i="105" s="1"/>
  <c r="V364" i="105"/>
  <c r="U364" i="105"/>
  <c r="N364" i="105"/>
  <c r="M364" i="105"/>
  <c r="Y363" i="105"/>
  <c r="W363" i="105"/>
  <c r="X363" i="105" s="1"/>
  <c r="V363" i="105"/>
  <c r="U363" i="105"/>
  <c r="N363" i="105"/>
  <c r="M363" i="105"/>
  <c r="Y362" i="105"/>
  <c r="W362" i="105"/>
  <c r="X362" i="105" s="1"/>
  <c r="Z362" i="105" s="1"/>
  <c r="O362" i="105" s="1"/>
  <c r="V362" i="105"/>
  <c r="U362" i="105"/>
  <c r="N362" i="105"/>
  <c r="M362" i="105"/>
  <c r="L362" i="105"/>
  <c r="Y361" i="105"/>
  <c r="W361" i="105"/>
  <c r="X361" i="105" s="1"/>
  <c r="Z361" i="105" s="1"/>
  <c r="Q361" i="105" s="1"/>
  <c r="V361" i="105"/>
  <c r="U361" i="105"/>
  <c r="P361" i="105"/>
  <c r="N361" i="105"/>
  <c r="M361" i="105"/>
  <c r="Y360" i="105"/>
  <c r="W360" i="105"/>
  <c r="X360" i="105" s="1"/>
  <c r="V360" i="105"/>
  <c r="U360" i="105"/>
  <c r="N360" i="105"/>
  <c r="M360" i="105"/>
  <c r="Y359" i="105"/>
  <c r="W359" i="105"/>
  <c r="X359" i="105" s="1"/>
  <c r="V359" i="105"/>
  <c r="U359" i="105"/>
  <c r="N359" i="105"/>
  <c r="M359" i="105"/>
  <c r="Y358" i="105"/>
  <c r="W358" i="105"/>
  <c r="X358" i="105" s="1"/>
  <c r="Z358" i="105" s="1"/>
  <c r="V358" i="105"/>
  <c r="U358" i="105"/>
  <c r="N358" i="105"/>
  <c r="M358" i="105"/>
  <c r="Y357" i="105"/>
  <c r="X357" i="105"/>
  <c r="W357" i="105"/>
  <c r="V357" i="105"/>
  <c r="U357" i="105"/>
  <c r="N357" i="105"/>
  <c r="M357" i="105"/>
  <c r="Y356" i="105"/>
  <c r="X356" i="105"/>
  <c r="Z356" i="105" s="1"/>
  <c r="P356" i="105" s="1"/>
  <c r="W356" i="105"/>
  <c r="V356" i="105"/>
  <c r="U356" i="105"/>
  <c r="T356" i="105"/>
  <c r="O356" i="105"/>
  <c r="N356" i="105"/>
  <c r="M356" i="105"/>
  <c r="Y355" i="105"/>
  <c r="W355" i="105"/>
  <c r="X355" i="105" s="1"/>
  <c r="Z355" i="105" s="1"/>
  <c r="V355" i="105"/>
  <c r="U355" i="105"/>
  <c r="N355" i="105"/>
  <c r="M355" i="105"/>
  <c r="Y354" i="105"/>
  <c r="W354" i="105"/>
  <c r="X354" i="105" s="1"/>
  <c r="Z354" i="105" s="1"/>
  <c r="V354" i="105"/>
  <c r="U354" i="105"/>
  <c r="N354" i="105"/>
  <c r="M354" i="105"/>
  <c r="Y353" i="105"/>
  <c r="X353" i="105"/>
  <c r="W353" i="105"/>
  <c r="V353" i="105"/>
  <c r="U353" i="105"/>
  <c r="N353" i="105"/>
  <c r="M353" i="105"/>
  <c r="Y352" i="105"/>
  <c r="X352" i="105"/>
  <c r="L352" i="105" s="1"/>
  <c r="W352" i="105"/>
  <c r="V352" i="105"/>
  <c r="U352" i="105"/>
  <c r="N352" i="105"/>
  <c r="M352" i="105"/>
  <c r="Y351" i="105"/>
  <c r="W351" i="105"/>
  <c r="X351" i="105" s="1"/>
  <c r="V351" i="105"/>
  <c r="U351" i="105"/>
  <c r="N351" i="105"/>
  <c r="M351" i="105"/>
  <c r="Y350" i="105"/>
  <c r="X350" i="105"/>
  <c r="W350" i="105"/>
  <c r="V350" i="105"/>
  <c r="U350" i="105"/>
  <c r="N350" i="105"/>
  <c r="M350" i="105"/>
  <c r="Y349" i="105"/>
  <c r="W349" i="105"/>
  <c r="X349" i="105" s="1"/>
  <c r="V349" i="105"/>
  <c r="U349" i="105"/>
  <c r="N349" i="105"/>
  <c r="M349" i="105"/>
  <c r="Y348" i="105"/>
  <c r="W348" i="105"/>
  <c r="X348" i="105" s="1"/>
  <c r="Z348" i="105" s="1"/>
  <c r="T348" i="105" s="1"/>
  <c r="V348" i="105"/>
  <c r="U348" i="105"/>
  <c r="Q348" i="105"/>
  <c r="O348" i="105"/>
  <c r="N348" i="105"/>
  <c r="M348" i="105"/>
  <c r="L348" i="105"/>
  <c r="Y347" i="105"/>
  <c r="W347" i="105"/>
  <c r="X347" i="105" s="1"/>
  <c r="V347" i="105"/>
  <c r="U347" i="105"/>
  <c r="N347" i="105"/>
  <c r="M347" i="105"/>
  <c r="Z346" i="105"/>
  <c r="O346" i="105" s="1"/>
  <c r="Y346" i="105"/>
  <c r="W346" i="105"/>
  <c r="X346" i="105" s="1"/>
  <c r="V346" i="105"/>
  <c r="U346" i="105"/>
  <c r="N346" i="105"/>
  <c r="M346" i="105"/>
  <c r="Y345" i="105"/>
  <c r="X345" i="105"/>
  <c r="W345" i="105"/>
  <c r="V345" i="105"/>
  <c r="U345" i="105"/>
  <c r="N345" i="105"/>
  <c r="M345" i="105"/>
  <c r="Z344" i="105"/>
  <c r="Y344" i="105"/>
  <c r="W344" i="105"/>
  <c r="X344" i="105" s="1"/>
  <c r="V344" i="105"/>
  <c r="U344" i="105"/>
  <c r="T344" i="105"/>
  <c r="S344" i="105"/>
  <c r="Q344" i="105"/>
  <c r="O344" i="105"/>
  <c r="N344" i="105"/>
  <c r="M344" i="105"/>
  <c r="Y343" i="105"/>
  <c r="W343" i="105"/>
  <c r="X343" i="105" s="1"/>
  <c r="V343" i="105"/>
  <c r="U343" i="105"/>
  <c r="N343" i="105"/>
  <c r="M343" i="105"/>
  <c r="Y342" i="105"/>
  <c r="W342" i="105"/>
  <c r="X342" i="105" s="1"/>
  <c r="V342" i="105"/>
  <c r="U342" i="105"/>
  <c r="N342" i="105"/>
  <c r="M342" i="105"/>
  <c r="Z341" i="105"/>
  <c r="Y341" i="105"/>
  <c r="W341" i="105"/>
  <c r="X341" i="105" s="1"/>
  <c r="V341" i="105"/>
  <c r="U341" i="105"/>
  <c r="N341" i="105"/>
  <c r="M341" i="105"/>
  <c r="Y340" i="105"/>
  <c r="W340" i="105"/>
  <c r="X340" i="105" s="1"/>
  <c r="V340" i="105"/>
  <c r="U340" i="105"/>
  <c r="N340" i="105"/>
  <c r="M340" i="105"/>
  <c r="Z339" i="105"/>
  <c r="O339" i="105" s="1"/>
  <c r="Y339" i="105"/>
  <c r="W339" i="105"/>
  <c r="X339" i="105" s="1"/>
  <c r="V339" i="105"/>
  <c r="U339" i="105"/>
  <c r="N339" i="105"/>
  <c r="M339" i="105"/>
  <c r="Y338" i="105"/>
  <c r="W338" i="105"/>
  <c r="X338" i="105" s="1"/>
  <c r="V338" i="105"/>
  <c r="U338" i="105"/>
  <c r="N338" i="105"/>
  <c r="M338" i="105"/>
  <c r="Y337" i="105"/>
  <c r="W337" i="105"/>
  <c r="X337" i="105" s="1"/>
  <c r="Z337" i="105" s="1"/>
  <c r="O337" i="105" s="1"/>
  <c r="V337" i="105"/>
  <c r="U337" i="105"/>
  <c r="N337" i="105"/>
  <c r="M337" i="105"/>
  <c r="Y336" i="105"/>
  <c r="W336" i="105"/>
  <c r="X336" i="105" s="1"/>
  <c r="V336" i="105"/>
  <c r="U336" i="105"/>
  <c r="N336" i="105"/>
  <c r="M336" i="105"/>
  <c r="Y335" i="105"/>
  <c r="X335" i="105"/>
  <c r="W335" i="105"/>
  <c r="V335" i="105"/>
  <c r="U335" i="105"/>
  <c r="N335" i="105"/>
  <c r="M335" i="105"/>
  <c r="Y334" i="105"/>
  <c r="W334" i="105"/>
  <c r="X334" i="105" s="1"/>
  <c r="V334" i="105"/>
  <c r="U334" i="105"/>
  <c r="N334" i="105"/>
  <c r="M334" i="105"/>
  <c r="Y333" i="105"/>
  <c r="W333" i="105"/>
  <c r="X333" i="105" s="1"/>
  <c r="V333" i="105"/>
  <c r="U333" i="105"/>
  <c r="N333" i="105"/>
  <c r="M333" i="105"/>
  <c r="Y332" i="105"/>
  <c r="X332" i="105"/>
  <c r="W332" i="105"/>
  <c r="V332" i="105"/>
  <c r="U332" i="105"/>
  <c r="N332" i="105"/>
  <c r="M332" i="105"/>
  <c r="Y331" i="105"/>
  <c r="W331" i="105"/>
  <c r="X331" i="105" s="1"/>
  <c r="Z331" i="105" s="1"/>
  <c r="O331" i="105" s="1"/>
  <c r="V331" i="105"/>
  <c r="U331" i="105"/>
  <c r="R331" i="105"/>
  <c r="N331" i="105"/>
  <c r="M331" i="105"/>
  <c r="Y330" i="105"/>
  <c r="W330" i="105"/>
  <c r="X330" i="105" s="1"/>
  <c r="Z330" i="105" s="1"/>
  <c r="V330" i="105"/>
  <c r="U330" i="105"/>
  <c r="N330" i="105"/>
  <c r="M330" i="105"/>
  <c r="Y329" i="105"/>
  <c r="X329" i="105"/>
  <c r="W329" i="105"/>
  <c r="V329" i="105"/>
  <c r="U329" i="105"/>
  <c r="N329" i="105"/>
  <c r="M329" i="105"/>
  <c r="Y328" i="105"/>
  <c r="W328" i="105"/>
  <c r="X328" i="105" s="1"/>
  <c r="V328" i="105"/>
  <c r="U328" i="105"/>
  <c r="N328" i="105"/>
  <c r="M328" i="105"/>
  <c r="Y327" i="105"/>
  <c r="W327" i="105"/>
  <c r="X327" i="105" s="1"/>
  <c r="Z327" i="105" s="1"/>
  <c r="V327" i="105"/>
  <c r="U327" i="105"/>
  <c r="N327" i="105"/>
  <c r="M327" i="105"/>
  <c r="Y326" i="105"/>
  <c r="W326" i="105"/>
  <c r="X326" i="105" s="1"/>
  <c r="Z326" i="105" s="1"/>
  <c r="T326" i="105" s="1"/>
  <c r="V326" i="105"/>
  <c r="U326" i="105"/>
  <c r="R326" i="105"/>
  <c r="N326" i="105"/>
  <c r="M326" i="105"/>
  <c r="Y325" i="105"/>
  <c r="W325" i="105"/>
  <c r="X325" i="105" s="1"/>
  <c r="V325" i="105"/>
  <c r="U325" i="105"/>
  <c r="N325" i="105"/>
  <c r="M325" i="105"/>
  <c r="Y324" i="105"/>
  <c r="W324" i="105"/>
  <c r="X324" i="105" s="1"/>
  <c r="V324" i="105"/>
  <c r="U324" i="105"/>
  <c r="N324" i="105"/>
  <c r="M324" i="105"/>
  <c r="Y323" i="105"/>
  <c r="W323" i="105"/>
  <c r="X323" i="105" s="1"/>
  <c r="Z323" i="105" s="1"/>
  <c r="V323" i="105"/>
  <c r="U323" i="105"/>
  <c r="N323" i="105"/>
  <c r="M323" i="105"/>
  <c r="Y322" i="105"/>
  <c r="W322" i="105"/>
  <c r="X322" i="105" s="1"/>
  <c r="Z322" i="105" s="1"/>
  <c r="T322" i="105" s="1"/>
  <c r="V322" i="105"/>
  <c r="U322" i="105"/>
  <c r="N322" i="105"/>
  <c r="M322" i="105"/>
  <c r="L322" i="105"/>
  <c r="Y321" i="105"/>
  <c r="W321" i="105"/>
  <c r="X321" i="105" s="1"/>
  <c r="V321" i="105"/>
  <c r="U321" i="105"/>
  <c r="N321" i="105"/>
  <c r="M321" i="105"/>
  <c r="Y320" i="105"/>
  <c r="W320" i="105"/>
  <c r="X320" i="105" s="1"/>
  <c r="L320" i="105" s="1"/>
  <c r="V320" i="105"/>
  <c r="U320" i="105"/>
  <c r="N320" i="105"/>
  <c r="M320" i="105"/>
  <c r="Y319" i="105"/>
  <c r="W319" i="105"/>
  <c r="X319" i="105" s="1"/>
  <c r="V319" i="105"/>
  <c r="U319" i="105"/>
  <c r="N319" i="105"/>
  <c r="M319" i="105"/>
  <c r="Z318" i="105"/>
  <c r="Y318" i="105"/>
  <c r="W318" i="105"/>
  <c r="X318" i="105" s="1"/>
  <c r="V318" i="105"/>
  <c r="U318" i="105"/>
  <c r="R318" i="105"/>
  <c r="N318" i="105"/>
  <c r="M318" i="105"/>
  <c r="Y317" i="105"/>
  <c r="W317" i="105"/>
  <c r="X317" i="105" s="1"/>
  <c r="V317" i="105"/>
  <c r="U317" i="105"/>
  <c r="N317" i="105"/>
  <c r="M317" i="105"/>
  <c r="Y316" i="105"/>
  <c r="W316" i="105"/>
  <c r="X316" i="105" s="1"/>
  <c r="Z316" i="105" s="1"/>
  <c r="O316" i="105" s="1"/>
  <c r="V316" i="105"/>
  <c r="U316" i="105"/>
  <c r="N316" i="105"/>
  <c r="M316" i="105"/>
  <c r="Y315" i="105"/>
  <c r="W315" i="105"/>
  <c r="X315" i="105" s="1"/>
  <c r="L315" i="105" s="1"/>
  <c r="V315" i="105"/>
  <c r="U315" i="105"/>
  <c r="N315" i="105"/>
  <c r="M315" i="105"/>
  <c r="Y314" i="105"/>
  <c r="W314" i="105"/>
  <c r="X314" i="105" s="1"/>
  <c r="V314" i="105"/>
  <c r="U314" i="105"/>
  <c r="N314" i="105"/>
  <c r="M314" i="105"/>
  <c r="Y313" i="105"/>
  <c r="X313" i="105"/>
  <c r="L313" i="105" s="1"/>
  <c r="W313" i="105"/>
  <c r="V313" i="105"/>
  <c r="U313" i="105"/>
  <c r="N313" i="105"/>
  <c r="M313" i="105"/>
  <c r="Y312" i="105"/>
  <c r="W312" i="105"/>
  <c r="X312" i="105" s="1"/>
  <c r="Z312" i="105" s="1"/>
  <c r="Q312" i="105" s="1"/>
  <c r="V312" i="105"/>
  <c r="U312" i="105"/>
  <c r="N312" i="105"/>
  <c r="M312" i="105"/>
  <c r="L312" i="105"/>
  <c r="Y311" i="105"/>
  <c r="W311" i="105"/>
  <c r="X311" i="105" s="1"/>
  <c r="V311" i="105"/>
  <c r="U311" i="105"/>
  <c r="N311" i="105"/>
  <c r="M311" i="105"/>
  <c r="Y310" i="105"/>
  <c r="W310" i="105"/>
  <c r="X310" i="105" s="1"/>
  <c r="Z310" i="105" s="1"/>
  <c r="T310" i="105" s="1"/>
  <c r="V310" i="105"/>
  <c r="U310" i="105"/>
  <c r="N310" i="105"/>
  <c r="M310" i="105"/>
  <c r="L310" i="105"/>
  <c r="Y309" i="105"/>
  <c r="W309" i="105"/>
  <c r="X309" i="105" s="1"/>
  <c r="Z309" i="105" s="1"/>
  <c r="P309" i="105" s="1"/>
  <c r="V309" i="105"/>
  <c r="U309" i="105"/>
  <c r="O309" i="105"/>
  <c r="N309" i="105"/>
  <c r="M309" i="105"/>
  <c r="L309" i="105"/>
  <c r="Z308" i="105"/>
  <c r="Y308" i="105"/>
  <c r="W308" i="105"/>
  <c r="X308" i="105" s="1"/>
  <c r="L308" i="105" s="1"/>
  <c r="V308" i="105"/>
  <c r="U308" i="105"/>
  <c r="N308" i="105"/>
  <c r="M308" i="105"/>
  <c r="Y307" i="105"/>
  <c r="W307" i="105"/>
  <c r="X307" i="105" s="1"/>
  <c r="V307" i="105"/>
  <c r="U307" i="105"/>
  <c r="N307" i="105"/>
  <c r="M307" i="105"/>
  <c r="Y306" i="105"/>
  <c r="X306" i="105"/>
  <c r="Z306" i="105" s="1"/>
  <c r="P306" i="105" s="1"/>
  <c r="W306" i="105"/>
  <c r="V306" i="105"/>
  <c r="U306" i="105"/>
  <c r="R306" i="105"/>
  <c r="N306" i="105"/>
  <c r="M306" i="105"/>
  <c r="Y305" i="105"/>
  <c r="W305" i="105"/>
  <c r="X305" i="105" s="1"/>
  <c r="V305" i="105"/>
  <c r="U305" i="105"/>
  <c r="N305" i="105"/>
  <c r="M305" i="105"/>
  <c r="Y304" i="105"/>
  <c r="W304" i="105"/>
  <c r="X304" i="105" s="1"/>
  <c r="Z304" i="105" s="1"/>
  <c r="V304" i="105"/>
  <c r="U304" i="105"/>
  <c r="N304" i="105"/>
  <c r="M304" i="105"/>
  <c r="Y303" i="105"/>
  <c r="W303" i="105"/>
  <c r="X303" i="105" s="1"/>
  <c r="V303" i="105"/>
  <c r="U303" i="105"/>
  <c r="N303" i="105"/>
  <c r="M303" i="105"/>
  <c r="Y302" i="105"/>
  <c r="W302" i="105"/>
  <c r="X302" i="105" s="1"/>
  <c r="Z302" i="105" s="1"/>
  <c r="V302" i="105"/>
  <c r="U302" i="105"/>
  <c r="N302" i="105"/>
  <c r="M302" i="105"/>
  <c r="Y301" i="105"/>
  <c r="W301" i="105"/>
  <c r="X301" i="105" s="1"/>
  <c r="Z301" i="105" s="1"/>
  <c r="S301" i="105" s="1"/>
  <c r="V301" i="105"/>
  <c r="U301" i="105"/>
  <c r="Q301" i="105"/>
  <c r="N301" i="105"/>
  <c r="M301" i="105"/>
  <c r="Y300" i="105"/>
  <c r="W300" i="105"/>
  <c r="X300" i="105" s="1"/>
  <c r="V300" i="105"/>
  <c r="U300" i="105"/>
  <c r="N300" i="105"/>
  <c r="M300" i="105"/>
  <c r="Y299" i="105"/>
  <c r="W299" i="105"/>
  <c r="X299" i="105" s="1"/>
  <c r="V299" i="105"/>
  <c r="U299" i="105"/>
  <c r="N299" i="105"/>
  <c r="M299" i="105"/>
  <c r="Y298" i="105"/>
  <c r="X298" i="105"/>
  <c r="Z298" i="105" s="1"/>
  <c r="W298" i="105"/>
  <c r="V298" i="105"/>
  <c r="U298" i="105"/>
  <c r="Q298" i="105"/>
  <c r="N298" i="105"/>
  <c r="M298" i="105"/>
  <c r="L298" i="105"/>
  <c r="Z297" i="105"/>
  <c r="Y297" i="105"/>
  <c r="W297" i="105"/>
  <c r="X297" i="105" s="1"/>
  <c r="L297" i="105" s="1"/>
  <c r="V297" i="105"/>
  <c r="U297" i="105"/>
  <c r="S297" i="105"/>
  <c r="R297" i="105"/>
  <c r="Q297" i="105"/>
  <c r="O297" i="105"/>
  <c r="N297" i="105"/>
  <c r="M297" i="105"/>
  <c r="Z296" i="105"/>
  <c r="Y296" i="105"/>
  <c r="X296" i="105"/>
  <c r="W296" i="105"/>
  <c r="V296" i="105"/>
  <c r="U296" i="105"/>
  <c r="N296" i="105"/>
  <c r="M296" i="105"/>
  <c r="Y295" i="105"/>
  <c r="W295" i="105"/>
  <c r="X295" i="105" s="1"/>
  <c r="V295" i="105"/>
  <c r="U295" i="105"/>
  <c r="N295" i="105"/>
  <c r="M295" i="105"/>
  <c r="Y294" i="105"/>
  <c r="W294" i="105"/>
  <c r="X294" i="105" s="1"/>
  <c r="Z294" i="105" s="1"/>
  <c r="V294" i="105"/>
  <c r="U294" i="105"/>
  <c r="N294" i="105"/>
  <c r="M294" i="105"/>
  <c r="Y293" i="105"/>
  <c r="W293" i="105"/>
  <c r="X293" i="105" s="1"/>
  <c r="V293" i="105"/>
  <c r="U293" i="105"/>
  <c r="N293" i="105"/>
  <c r="M293" i="105"/>
  <c r="Y292" i="105"/>
  <c r="W292" i="105"/>
  <c r="X292" i="105" s="1"/>
  <c r="Z292" i="105" s="1"/>
  <c r="R292" i="105" s="1"/>
  <c r="V292" i="105"/>
  <c r="U292" i="105"/>
  <c r="N292" i="105"/>
  <c r="M292" i="105"/>
  <c r="Y291" i="105"/>
  <c r="W291" i="105"/>
  <c r="X291" i="105" s="1"/>
  <c r="Z291" i="105" s="1"/>
  <c r="R291" i="105" s="1"/>
  <c r="V291" i="105"/>
  <c r="U291" i="105"/>
  <c r="N291" i="105"/>
  <c r="M291" i="105"/>
  <c r="L291" i="105"/>
  <c r="Y290" i="105"/>
  <c r="W290" i="105"/>
  <c r="X290" i="105" s="1"/>
  <c r="V290" i="105"/>
  <c r="U290" i="105"/>
  <c r="N290" i="105"/>
  <c r="M290" i="105"/>
  <c r="Z289" i="105"/>
  <c r="Y289" i="105"/>
  <c r="X289" i="105"/>
  <c r="W289" i="105"/>
  <c r="V289" i="105"/>
  <c r="U289" i="105"/>
  <c r="N289" i="105"/>
  <c r="M289" i="105"/>
  <c r="Y288" i="105"/>
  <c r="W288" i="105"/>
  <c r="X288" i="105" s="1"/>
  <c r="V288" i="105"/>
  <c r="U288" i="105"/>
  <c r="N288" i="105"/>
  <c r="M288" i="105"/>
  <c r="Y287" i="105"/>
  <c r="W287" i="105"/>
  <c r="X287" i="105" s="1"/>
  <c r="V287" i="105"/>
  <c r="U287" i="105"/>
  <c r="N287" i="105"/>
  <c r="M287" i="105"/>
  <c r="Y286" i="105"/>
  <c r="X286" i="105"/>
  <c r="W286" i="105"/>
  <c r="V286" i="105"/>
  <c r="U286" i="105"/>
  <c r="N286" i="105"/>
  <c r="M286" i="105"/>
  <c r="Y285" i="105"/>
  <c r="W285" i="105"/>
  <c r="X285" i="105" s="1"/>
  <c r="V285" i="105"/>
  <c r="U285" i="105"/>
  <c r="N285" i="105"/>
  <c r="M285" i="105"/>
  <c r="Y284" i="105"/>
  <c r="W284" i="105"/>
  <c r="X284" i="105" s="1"/>
  <c r="V284" i="105"/>
  <c r="U284" i="105"/>
  <c r="N284" i="105"/>
  <c r="M284" i="105"/>
  <c r="Y283" i="105"/>
  <c r="W283" i="105"/>
  <c r="X283" i="105" s="1"/>
  <c r="Z283" i="105" s="1"/>
  <c r="O283" i="105" s="1"/>
  <c r="V283" i="105"/>
  <c r="U283" i="105"/>
  <c r="T283" i="105"/>
  <c r="N283" i="105"/>
  <c r="M283" i="105"/>
  <c r="L283" i="105"/>
  <c r="Y282" i="105"/>
  <c r="W282" i="105"/>
  <c r="X282" i="105" s="1"/>
  <c r="V282" i="105"/>
  <c r="U282" i="105"/>
  <c r="N282" i="105"/>
  <c r="M282" i="105"/>
  <c r="Y281" i="105"/>
  <c r="W281" i="105"/>
  <c r="X281" i="105" s="1"/>
  <c r="V281" i="105"/>
  <c r="U281" i="105"/>
  <c r="N281" i="105"/>
  <c r="M281" i="105"/>
  <c r="Y280" i="105"/>
  <c r="X280" i="105"/>
  <c r="Z280" i="105" s="1"/>
  <c r="S280" i="105" s="1"/>
  <c r="W280" i="105"/>
  <c r="V280" i="105"/>
  <c r="U280" i="105"/>
  <c r="N280" i="105"/>
  <c r="M280" i="105"/>
  <c r="Y279" i="105"/>
  <c r="W279" i="105"/>
  <c r="X279" i="105" s="1"/>
  <c r="V279" i="105"/>
  <c r="U279" i="105"/>
  <c r="N279" i="105"/>
  <c r="M279" i="105"/>
  <c r="Y278" i="105"/>
  <c r="W278" i="105"/>
  <c r="X278" i="105" s="1"/>
  <c r="Z278" i="105" s="1"/>
  <c r="R278" i="105" s="1"/>
  <c r="V278" i="105"/>
  <c r="U278" i="105"/>
  <c r="N278" i="105"/>
  <c r="M278" i="105"/>
  <c r="L278" i="105"/>
  <c r="Y277" i="105"/>
  <c r="X277" i="105"/>
  <c r="W277" i="105"/>
  <c r="V277" i="105"/>
  <c r="U277" i="105"/>
  <c r="N277" i="105"/>
  <c r="M277" i="105"/>
  <c r="Y276" i="105"/>
  <c r="W276" i="105"/>
  <c r="X276" i="105" s="1"/>
  <c r="V276" i="105"/>
  <c r="U276" i="105"/>
  <c r="N276" i="105"/>
  <c r="M276" i="105"/>
  <c r="Z275" i="105"/>
  <c r="Y275" i="105"/>
  <c r="W275" i="105"/>
  <c r="X275" i="105" s="1"/>
  <c r="V275" i="105"/>
  <c r="U275" i="105"/>
  <c r="N275" i="105"/>
  <c r="M275" i="105"/>
  <c r="L275" i="105"/>
  <c r="Z274" i="105"/>
  <c r="Y274" i="105"/>
  <c r="X274" i="105"/>
  <c r="L274" i="105" s="1"/>
  <c r="W274" i="105"/>
  <c r="V274" i="105"/>
  <c r="U274" i="105"/>
  <c r="Q274" i="105"/>
  <c r="N274" i="105"/>
  <c r="M274" i="105"/>
  <c r="Y273" i="105"/>
  <c r="W273" i="105"/>
  <c r="X273" i="105" s="1"/>
  <c r="Z273" i="105" s="1"/>
  <c r="S273" i="105" s="1"/>
  <c r="V273" i="105"/>
  <c r="U273" i="105"/>
  <c r="N273" i="105"/>
  <c r="M273" i="105"/>
  <c r="Y272" i="105"/>
  <c r="X272" i="105"/>
  <c r="W272" i="105"/>
  <c r="V272" i="105"/>
  <c r="U272" i="105"/>
  <c r="N272" i="105"/>
  <c r="M272" i="105"/>
  <c r="Y271" i="105"/>
  <c r="W271" i="105"/>
  <c r="X271" i="105" s="1"/>
  <c r="V271" i="105"/>
  <c r="U271" i="105"/>
  <c r="N271" i="105"/>
  <c r="M271" i="105"/>
  <c r="Y270" i="105"/>
  <c r="W270" i="105"/>
  <c r="X270" i="105" s="1"/>
  <c r="L270" i="105" s="1"/>
  <c r="V270" i="105"/>
  <c r="U270" i="105"/>
  <c r="N270" i="105"/>
  <c r="M270" i="105"/>
  <c r="Y269" i="105"/>
  <c r="W269" i="105"/>
  <c r="X269" i="105" s="1"/>
  <c r="V269" i="105"/>
  <c r="U269" i="105"/>
  <c r="N269" i="105"/>
  <c r="M269" i="105"/>
  <c r="Y268" i="105"/>
  <c r="W268" i="105"/>
  <c r="X268" i="105" s="1"/>
  <c r="Z268" i="105" s="1"/>
  <c r="V268" i="105"/>
  <c r="U268" i="105"/>
  <c r="N268" i="105"/>
  <c r="M268" i="105"/>
  <c r="L268" i="105"/>
  <c r="Z267" i="105"/>
  <c r="Y267" i="105"/>
  <c r="W267" i="105"/>
  <c r="X267" i="105" s="1"/>
  <c r="L267" i="105" s="1"/>
  <c r="V267" i="105"/>
  <c r="U267" i="105"/>
  <c r="N267" i="105"/>
  <c r="M267" i="105"/>
  <c r="Y266" i="105"/>
  <c r="W266" i="105"/>
  <c r="X266" i="105" s="1"/>
  <c r="V266" i="105"/>
  <c r="U266" i="105"/>
  <c r="N266" i="105"/>
  <c r="M266" i="105"/>
  <c r="Y265" i="105"/>
  <c r="W265" i="105"/>
  <c r="X265" i="105" s="1"/>
  <c r="V265" i="105"/>
  <c r="U265" i="105"/>
  <c r="N265" i="105"/>
  <c r="M265" i="105"/>
  <c r="Y264" i="105"/>
  <c r="W264" i="105"/>
  <c r="X264" i="105" s="1"/>
  <c r="Z264" i="105" s="1"/>
  <c r="V264" i="105"/>
  <c r="U264" i="105"/>
  <c r="N264" i="105"/>
  <c r="M264" i="105"/>
  <c r="Y263" i="105"/>
  <c r="W263" i="105"/>
  <c r="X263" i="105" s="1"/>
  <c r="V263" i="105"/>
  <c r="U263" i="105"/>
  <c r="N263" i="105"/>
  <c r="M263" i="105"/>
  <c r="Y262" i="105"/>
  <c r="W262" i="105"/>
  <c r="X262" i="105" s="1"/>
  <c r="V262" i="105"/>
  <c r="U262" i="105"/>
  <c r="N262" i="105"/>
  <c r="M262" i="105"/>
  <c r="Y261" i="105"/>
  <c r="W261" i="105"/>
  <c r="X261" i="105" s="1"/>
  <c r="Z261" i="105" s="1"/>
  <c r="V261" i="105"/>
  <c r="U261" i="105"/>
  <c r="N261" i="105"/>
  <c r="M261" i="105"/>
  <c r="Y260" i="105"/>
  <c r="W260" i="105"/>
  <c r="X260" i="105" s="1"/>
  <c r="V260" i="105"/>
  <c r="U260" i="105"/>
  <c r="N260" i="105"/>
  <c r="M260" i="105"/>
  <c r="Y259" i="105"/>
  <c r="W259" i="105"/>
  <c r="X259" i="105" s="1"/>
  <c r="V259" i="105"/>
  <c r="U259" i="105"/>
  <c r="N259" i="105"/>
  <c r="M259" i="105"/>
  <c r="Y258" i="105"/>
  <c r="W258" i="105"/>
  <c r="X258" i="105" s="1"/>
  <c r="V258" i="105"/>
  <c r="U258" i="105"/>
  <c r="N258" i="105"/>
  <c r="M258" i="105"/>
  <c r="Y257" i="105"/>
  <c r="W257" i="105"/>
  <c r="X257" i="105" s="1"/>
  <c r="Z257" i="105" s="1"/>
  <c r="V257" i="105"/>
  <c r="U257" i="105"/>
  <c r="S257" i="105"/>
  <c r="R257" i="105"/>
  <c r="Q257" i="105"/>
  <c r="N257" i="105"/>
  <c r="M257" i="105"/>
  <c r="Y256" i="105"/>
  <c r="X256" i="105"/>
  <c r="Z256" i="105" s="1"/>
  <c r="W256" i="105"/>
  <c r="V256" i="105"/>
  <c r="U256" i="105"/>
  <c r="N256" i="105"/>
  <c r="M256" i="105"/>
  <c r="Y255" i="105"/>
  <c r="W255" i="105"/>
  <c r="X255" i="105" s="1"/>
  <c r="V255" i="105"/>
  <c r="U255" i="105"/>
  <c r="N255" i="105"/>
  <c r="M255" i="105"/>
  <c r="Y254" i="105"/>
  <c r="W254" i="105"/>
  <c r="X254" i="105" s="1"/>
  <c r="V254" i="105"/>
  <c r="U254" i="105"/>
  <c r="N254" i="105"/>
  <c r="M254" i="105"/>
  <c r="Y253" i="105"/>
  <c r="W253" i="105"/>
  <c r="X253" i="105" s="1"/>
  <c r="Z253" i="105" s="1"/>
  <c r="T253" i="105" s="1"/>
  <c r="V253" i="105"/>
  <c r="U253" i="105"/>
  <c r="N253" i="105"/>
  <c r="M253" i="105"/>
  <c r="Y252" i="105"/>
  <c r="W252" i="105"/>
  <c r="X252" i="105" s="1"/>
  <c r="V252" i="105"/>
  <c r="U252" i="105"/>
  <c r="N252" i="105"/>
  <c r="M252" i="105"/>
  <c r="Y251" i="105"/>
  <c r="W251" i="105"/>
  <c r="X251" i="105" s="1"/>
  <c r="Z251" i="105" s="1"/>
  <c r="T251" i="105" s="1"/>
  <c r="V251" i="105"/>
  <c r="U251" i="105"/>
  <c r="N251" i="105"/>
  <c r="M251" i="105"/>
  <c r="Y250" i="105"/>
  <c r="W250" i="105"/>
  <c r="X250" i="105" s="1"/>
  <c r="Z250" i="105" s="1"/>
  <c r="S250" i="105" s="1"/>
  <c r="V250" i="105"/>
  <c r="U250" i="105"/>
  <c r="N250" i="105"/>
  <c r="M250" i="105"/>
  <c r="Y249" i="105"/>
  <c r="X249" i="105"/>
  <c r="Z249" i="105" s="1"/>
  <c r="P249" i="105" s="1"/>
  <c r="W249" i="105"/>
  <c r="V249" i="105"/>
  <c r="U249" i="105"/>
  <c r="S249" i="105"/>
  <c r="N249" i="105"/>
  <c r="M249" i="105"/>
  <c r="Y248" i="105"/>
  <c r="W248" i="105"/>
  <c r="X248" i="105" s="1"/>
  <c r="V248" i="105"/>
  <c r="U248" i="105"/>
  <c r="N248" i="105"/>
  <c r="M248" i="105"/>
  <c r="Y247" i="105"/>
  <c r="W247" i="105"/>
  <c r="X247" i="105" s="1"/>
  <c r="V247" i="105"/>
  <c r="U247" i="105"/>
  <c r="N247" i="105"/>
  <c r="M247" i="105"/>
  <c r="Y246" i="105"/>
  <c r="X246" i="105"/>
  <c r="Z246" i="105" s="1"/>
  <c r="P246" i="105" s="1"/>
  <c r="W246" i="105"/>
  <c r="V246" i="105"/>
  <c r="U246" i="105"/>
  <c r="N246" i="105"/>
  <c r="M246" i="105"/>
  <c r="Y245" i="105"/>
  <c r="W245" i="105"/>
  <c r="X245" i="105" s="1"/>
  <c r="Z245" i="105" s="1"/>
  <c r="V245" i="105"/>
  <c r="U245" i="105"/>
  <c r="N245" i="105"/>
  <c r="M245" i="105"/>
  <c r="Y244" i="105"/>
  <c r="W244" i="105"/>
  <c r="X244" i="105" s="1"/>
  <c r="V244" i="105"/>
  <c r="U244" i="105"/>
  <c r="N244" i="105"/>
  <c r="M244" i="105"/>
  <c r="Y243" i="105"/>
  <c r="W243" i="105"/>
  <c r="X243" i="105" s="1"/>
  <c r="Z243" i="105" s="1"/>
  <c r="Q243" i="105" s="1"/>
  <c r="V243" i="105"/>
  <c r="U243" i="105"/>
  <c r="N243" i="105"/>
  <c r="M243" i="105"/>
  <c r="Z242" i="105"/>
  <c r="Y242" i="105"/>
  <c r="X242" i="105"/>
  <c r="L242" i="105" s="1"/>
  <c r="W242" i="105"/>
  <c r="V242" i="105"/>
  <c r="U242" i="105"/>
  <c r="N242" i="105"/>
  <c r="M242" i="105"/>
  <c r="Y241" i="105"/>
  <c r="W241" i="105"/>
  <c r="X241" i="105" s="1"/>
  <c r="Z241" i="105" s="1"/>
  <c r="V241" i="105"/>
  <c r="U241" i="105"/>
  <c r="N241" i="105"/>
  <c r="M241" i="105"/>
  <c r="Y240" i="105"/>
  <c r="W240" i="105"/>
  <c r="X240" i="105" s="1"/>
  <c r="V240" i="105"/>
  <c r="U240" i="105"/>
  <c r="N240" i="105"/>
  <c r="M240" i="105"/>
  <c r="Y239" i="105"/>
  <c r="W239" i="105"/>
  <c r="X239" i="105" s="1"/>
  <c r="V239" i="105"/>
  <c r="U239" i="105"/>
  <c r="N239" i="105"/>
  <c r="M239" i="105"/>
  <c r="Z238" i="105"/>
  <c r="O238" i="105" s="1"/>
  <c r="Y238" i="105"/>
  <c r="W238" i="105"/>
  <c r="X238" i="105" s="1"/>
  <c r="L238" i="105" s="1"/>
  <c r="V238" i="105"/>
  <c r="U238" i="105"/>
  <c r="N238" i="105"/>
  <c r="M238" i="105"/>
  <c r="Y237" i="105"/>
  <c r="W237" i="105"/>
  <c r="X237" i="105" s="1"/>
  <c r="Z237" i="105" s="1"/>
  <c r="T237" i="105" s="1"/>
  <c r="V237" i="105"/>
  <c r="U237" i="105"/>
  <c r="N237" i="105"/>
  <c r="M237" i="105"/>
  <c r="Y236" i="105"/>
  <c r="W236" i="105"/>
  <c r="X236" i="105" s="1"/>
  <c r="L236" i="105" s="1"/>
  <c r="V236" i="105"/>
  <c r="U236" i="105"/>
  <c r="N236" i="105"/>
  <c r="M236" i="105"/>
  <c r="Y235" i="105"/>
  <c r="W235" i="105"/>
  <c r="X235" i="105" s="1"/>
  <c r="Z235" i="105" s="1"/>
  <c r="S235" i="105" s="1"/>
  <c r="V235" i="105"/>
  <c r="U235" i="105"/>
  <c r="O235" i="105"/>
  <c r="N235" i="105"/>
  <c r="M235" i="105"/>
  <c r="Y234" i="105"/>
  <c r="W234" i="105"/>
  <c r="X234" i="105" s="1"/>
  <c r="Z234" i="105" s="1"/>
  <c r="V234" i="105"/>
  <c r="U234" i="105"/>
  <c r="N234" i="105"/>
  <c r="M234" i="105"/>
  <c r="Y233" i="105"/>
  <c r="W233" i="105"/>
  <c r="X233" i="105" s="1"/>
  <c r="V233" i="105"/>
  <c r="U233" i="105"/>
  <c r="N233" i="105"/>
  <c r="M233" i="105"/>
  <c r="Y232" i="105"/>
  <c r="W232" i="105"/>
  <c r="X232" i="105" s="1"/>
  <c r="V232" i="105"/>
  <c r="U232" i="105"/>
  <c r="N232" i="105"/>
  <c r="M232" i="105"/>
  <c r="Y231" i="105"/>
  <c r="W231" i="105"/>
  <c r="X231" i="105" s="1"/>
  <c r="V231" i="105"/>
  <c r="U231" i="105"/>
  <c r="N231" i="105"/>
  <c r="M231" i="105"/>
  <c r="Z230" i="105"/>
  <c r="P230" i="105" s="1"/>
  <c r="Y230" i="105"/>
  <c r="W230" i="105"/>
  <c r="X230" i="105" s="1"/>
  <c r="V230" i="105"/>
  <c r="U230" i="105"/>
  <c r="N230" i="105"/>
  <c r="M230" i="105"/>
  <c r="Y229" i="105"/>
  <c r="W229" i="105"/>
  <c r="X229" i="105" s="1"/>
  <c r="V229" i="105"/>
  <c r="U229" i="105"/>
  <c r="N229" i="105"/>
  <c r="M229" i="105"/>
  <c r="Y228" i="105"/>
  <c r="X228" i="105"/>
  <c r="W228" i="105"/>
  <c r="V228" i="105"/>
  <c r="U228" i="105"/>
  <c r="N228" i="105"/>
  <c r="M228" i="105"/>
  <c r="Y227" i="105"/>
  <c r="W227" i="105"/>
  <c r="X227" i="105" s="1"/>
  <c r="Z227" i="105" s="1"/>
  <c r="V227" i="105"/>
  <c r="U227" i="105"/>
  <c r="N227" i="105"/>
  <c r="M227" i="105"/>
  <c r="Z226" i="105"/>
  <c r="Q226" i="105" s="1"/>
  <c r="Y226" i="105"/>
  <c r="W226" i="105"/>
  <c r="X226" i="105" s="1"/>
  <c r="L226" i="105" s="1"/>
  <c r="V226" i="105"/>
  <c r="U226" i="105"/>
  <c r="N226" i="105"/>
  <c r="M226" i="105"/>
  <c r="Y225" i="105"/>
  <c r="W225" i="105"/>
  <c r="X225" i="105" s="1"/>
  <c r="V225" i="105"/>
  <c r="U225" i="105"/>
  <c r="N225" i="105"/>
  <c r="M225" i="105"/>
  <c r="Y224" i="105"/>
  <c r="W224" i="105"/>
  <c r="X224" i="105" s="1"/>
  <c r="L224" i="105" s="1"/>
  <c r="V224" i="105"/>
  <c r="U224" i="105"/>
  <c r="N224" i="105"/>
  <c r="M224" i="105"/>
  <c r="Y223" i="105"/>
  <c r="W223" i="105"/>
  <c r="X223" i="105" s="1"/>
  <c r="Z223" i="105" s="1"/>
  <c r="V223" i="105"/>
  <c r="U223" i="105"/>
  <c r="T223" i="105"/>
  <c r="N223" i="105"/>
  <c r="M223" i="105"/>
  <c r="L223" i="105"/>
  <c r="Y222" i="105"/>
  <c r="W222" i="105"/>
  <c r="X222" i="105" s="1"/>
  <c r="V222" i="105"/>
  <c r="U222" i="105"/>
  <c r="N222" i="105"/>
  <c r="M222" i="105"/>
  <c r="Y221" i="105"/>
  <c r="W221" i="105"/>
  <c r="X221" i="105" s="1"/>
  <c r="Z221" i="105" s="1"/>
  <c r="V221" i="105"/>
  <c r="U221" i="105"/>
  <c r="N221" i="105"/>
  <c r="M221" i="105"/>
  <c r="Y220" i="105"/>
  <c r="W220" i="105"/>
  <c r="X220" i="105" s="1"/>
  <c r="V220" i="105"/>
  <c r="U220" i="105"/>
  <c r="N220" i="105"/>
  <c r="M220" i="105"/>
  <c r="Z219" i="105"/>
  <c r="R219" i="105" s="1"/>
  <c r="Y219" i="105"/>
  <c r="X219" i="105"/>
  <c r="L219" i="105" s="1"/>
  <c r="W219" i="105"/>
  <c r="V219" i="105"/>
  <c r="U219" i="105"/>
  <c r="N219" i="105"/>
  <c r="M219" i="105"/>
  <c r="Y218" i="105"/>
  <c r="W218" i="105"/>
  <c r="X218" i="105" s="1"/>
  <c r="V218" i="105"/>
  <c r="U218" i="105"/>
  <c r="N218" i="105"/>
  <c r="M218" i="105"/>
  <c r="Y217" i="105"/>
  <c r="W217" i="105"/>
  <c r="X217" i="105" s="1"/>
  <c r="V217" i="105"/>
  <c r="U217" i="105"/>
  <c r="N217" i="105"/>
  <c r="M217" i="105"/>
  <c r="Y216" i="105"/>
  <c r="W216" i="105"/>
  <c r="X216" i="105" s="1"/>
  <c r="V216" i="105"/>
  <c r="U216" i="105"/>
  <c r="N216" i="105"/>
  <c r="M216" i="105"/>
  <c r="Y215" i="105"/>
  <c r="X215" i="105"/>
  <c r="Z215" i="105" s="1"/>
  <c r="O215" i="105" s="1"/>
  <c r="W215" i="105"/>
  <c r="V215" i="105"/>
  <c r="U215" i="105"/>
  <c r="P215" i="105"/>
  <c r="N215" i="105"/>
  <c r="M215" i="105"/>
  <c r="L215" i="105"/>
  <c r="Y214" i="105"/>
  <c r="W214" i="105"/>
  <c r="X214" i="105" s="1"/>
  <c r="L214" i="105" s="1"/>
  <c r="V214" i="105"/>
  <c r="U214" i="105"/>
  <c r="N214" i="105"/>
  <c r="M214" i="105"/>
  <c r="Z213" i="105"/>
  <c r="Y213" i="105"/>
  <c r="W213" i="105"/>
  <c r="X213" i="105" s="1"/>
  <c r="L213" i="105" s="1"/>
  <c r="V213" i="105"/>
  <c r="U213" i="105"/>
  <c r="N213" i="105"/>
  <c r="M213" i="105"/>
  <c r="Y212" i="105"/>
  <c r="W212" i="105"/>
  <c r="X212" i="105" s="1"/>
  <c r="V212" i="105"/>
  <c r="U212" i="105"/>
  <c r="N212" i="105"/>
  <c r="M212" i="105"/>
  <c r="Y211" i="105"/>
  <c r="W211" i="105"/>
  <c r="X211" i="105" s="1"/>
  <c r="L211" i="105" s="1"/>
  <c r="V211" i="105"/>
  <c r="U211" i="105"/>
  <c r="N211" i="105"/>
  <c r="M211" i="105"/>
  <c r="Y210" i="105"/>
  <c r="W210" i="105"/>
  <c r="X210" i="105" s="1"/>
  <c r="V210" i="105"/>
  <c r="U210" i="105"/>
  <c r="N210" i="105"/>
  <c r="M210" i="105"/>
  <c r="Y209" i="105"/>
  <c r="W209" i="105"/>
  <c r="X209" i="105" s="1"/>
  <c r="V209" i="105"/>
  <c r="U209" i="105"/>
  <c r="N209" i="105"/>
  <c r="M209" i="105"/>
  <c r="Y208" i="105"/>
  <c r="W208" i="105"/>
  <c r="X208" i="105" s="1"/>
  <c r="V208" i="105"/>
  <c r="U208" i="105"/>
  <c r="N208" i="105"/>
  <c r="M208" i="105"/>
  <c r="Y207" i="105"/>
  <c r="W207" i="105"/>
  <c r="X207" i="105" s="1"/>
  <c r="V207" i="105"/>
  <c r="U207" i="105"/>
  <c r="N207" i="105"/>
  <c r="M207" i="105"/>
  <c r="Y206" i="105"/>
  <c r="W206" i="105"/>
  <c r="X206" i="105" s="1"/>
  <c r="Z206" i="105" s="1"/>
  <c r="V206" i="105"/>
  <c r="U206" i="105"/>
  <c r="N206" i="105"/>
  <c r="M206" i="105"/>
  <c r="Y205" i="105"/>
  <c r="W205" i="105"/>
  <c r="X205" i="105" s="1"/>
  <c r="V205" i="105"/>
  <c r="U205" i="105"/>
  <c r="N205" i="105"/>
  <c r="M205" i="105"/>
  <c r="Y204" i="105"/>
  <c r="X204" i="105"/>
  <c r="Z204" i="105" s="1"/>
  <c r="S204" i="105" s="1"/>
  <c r="W204" i="105"/>
  <c r="V204" i="105"/>
  <c r="U204" i="105"/>
  <c r="P204" i="105"/>
  <c r="N204" i="105"/>
  <c r="M204" i="105"/>
  <c r="Y203" i="105"/>
  <c r="W203" i="105"/>
  <c r="X203" i="105" s="1"/>
  <c r="V203" i="105"/>
  <c r="U203" i="105"/>
  <c r="N203" i="105"/>
  <c r="M203" i="105"/>
  <c r="Y202" i="105"/>
  <c r="W202" i="105"/>
  <c r="X202" i="105" s="1"/>
  <c r="V202" i="105"/>
  <c r="U202" i="105"/>
  <c r="N202" i="105"/>
  <c r="M202" i="105"/>
  <c r="Y201" i="105"/>
  <c r="W201" i="105"/>
  <c r="X201" i="105" s="1"/>
  <c r="Z201" i="105" s="1"/>
  <c r="O201" i="105" s="1"/>
  <c r="V201" i="105"/>
  <c r="U201" i="105"/>
  <c r="N201" i="105"/>
  <c r="M201" i="105"/>
  <c r="Y200" i="105"/>
  <c r="W200" i="105"/>
  <c r="X200" i="105" s="1"/>
  <c r="Z200" i="105" s="1"/>
  <c r="V200" i="105"/>
  <c r="U200" i="105"/>
  <c r="N200" i="105"/>
  <c r="M200" i="105"/>
  <c r="Y199" i="105"/>
  <c r="W199" i="105"/>
  <c r="X199" i="105" s="1"/>
  <c r="L198" i="105" s="1"/>
  <c r="V199" i="105"/>
  <c r="U199" i="105"/>
  <c r="N199" i="105"/>
  <c r="M199" i="105"/>
  <c r="Y198" i="105"/>
  <c r="W198" i="105"/>
  <c r="X198" i="105" s="1"/>
  <c r="Z198" i="105" s="1"/>
  <c r="V198" i="105"/>
  <c r="U198" i="105"/>
  <c r="T198" i="105"/>
  <c r="R198" i="105"/>
  <c r="N198" i="105"/>
  <c r="M198" i="105"/>
  <c r="Y197" i="105"/>
  <c r="W197" i="105"/>
  <c r="X197" i="105" s="1"/>
  <c r="Z197" i="105" s="1"/>
  <c r="V197" i="105"/>
  <c r="U197" i="105"/>
  <c r="N197" i="105"/>
  <c r="M197" i="105"/>
  <c r="Y196" i="105"/>
  <c r="W196" i="105"/>
  <c r="X196" i="105" s="1"/>
  <c r="Z196" i="105" s="1"/>
  <c r="V196" i="105"/>
  <c r="U196" i="105"/>
  <c r="N196" i="105"/>
  <c r="M196" i="105"/>
  <c r="Y195" i="105"/>
  <c r="W195" i="105"/>
  <c r="X195" i="105" s="1"/>
  <c r="V195" i="105"/>
  <c r="U195" i="105"/>
  <c r="N195" i="105"/>
  <c r="M195" i="105"/>
  <c r="Y194" i="105"/>
  <c r="X194" i="105"/>
  <c r="W194" i="105"/>
  <c r="V194" i="105"/>
  <c r="U194" i="105"/>
  <c r="N194" i="105"/>
  <c r="M194" i="105"/>
  <c r="Y193" i="105"/>
  <c r="W193" i="105"/>
  <c r="X193" i="105" s="1"/>
  <c r="V193" i="105"/>
  <c r="U193" i="105"/>
  <c r="N193" i="105"/>
  <c r="M193" i="105"/>
  <c r="Y192" i="105"/>
  <c r="W192" i="105"/>
  <c r="X192" i="105" s="1"/>
  <c r="L192" i="105" s="1"/>
  <c r="V192" i="105"/>
  <c r="U192" i="105"/>
  <c r="N192" i="105"/>
  <c r="M192" i="105"/>
  <c r="Y191" i="105"/>
  <c r="W191" i="105"/>
  <c r="X191" i="105" s="1"/>
  <c r="V191" i="105"/>
  <c r="U191" i="105"/>
  <c r="N191" i="105"/>
  <c r="M191" i="105"/>
  <c r="Y190" i="105"/>
  <c r="W190" i="105"/>
  <c r="X190" i="105" s="1"/>
  <c r="V190" i="105"/>
  <c r="U190" i="105"/>
  <c r="N190" i="105"/>
  <c r="M190" i="105"/>
  <c r="Y189" i="105"/>
  <c r="W189" i="105"/>
  <c r="X189" i="105" s="1"/>
  <c r="V189" i="105"/>
  <c r="U189" i="105"/>
  <c r="N189" i="105"/>
  <c r="M189" i="105"/>
  <c r="Y188" i="105"/>
  <c r="X188" i="105"/>
  <c r="W188" i="105"/>
  <c r="V188" i="105"/>
  <c r="U188" i="105"/>
  <c r="N188" i="105"/>
  <c r="M188" i="105"/>
  <c r="Y187" i="105"/>
  <c r="X187" i="105"/>
  <c r="W187" i="105"/>
  <c r="V187" i="105"/>
  <c r="U187" i="105"/>
  <c r="N187" i="105"/>
  <c r="M187" i="105"/>
  <c r="Y186" i="105"/>
  <c r="W186" i="105"/>
  <c r="X186" i="105" s="1"/>
  <c r="V186" i="105"/>
  <c r="U186" i="105"/>
  <c r="N186" i="105"/>
  <c r="M186" i="105"/>
  <c r="Y185" i="105"/>
  <c r="W185" i="105"/>
  <c r="X185" i="105" s="1"/>
  <c r="V185" i="105"/>
  <c r="U185" i="105"/>
  <c r="N185" i="105"/>
  <c r="M185" i="105"/>
  <c r="Y184" i="105"/>
  <c r="W184" i="105"/>
  <c r="X184" i="105" s="1"/>
  <c r="Z184" i="105" s="1"/>
  <c r="Q184" i="105" s="1"/>
  <c r="V184" i="105"/>
  <c r="U184" i="105"/>
  <c r="R184" i="105"/>
  <c r="N184" i="105"/>
  <c r="M184" i="105"/>
  <c r="L184" i="105"/>
  <c r="Y183" i="105"/>
  <c r="W183" i="105"/>
  <c r="X183" i="105" s="1"/>
  <c r="V183" i="105"/>
  <c r="U183" i="105"/>
  <c r="N183" i="105"/>
  <c r="M183" i="105"/>
  <c r="Y182" i="105"/>
  <c r="W182" i="105"/>
  <c r="X182" i="105" s="1"/>
  <c r="V182" i="105"/>
  <c r="U182" i="105"/>
  <c r="N182" i="105"/>
  <c r="M182" i="105"/>
  <c r="Y181" i="105"/>
  <c r="W181" i="105"/>
  <c r="X181" i="105" s="1"/>
  <c r="Z181" i="105" s="1"/>
  <c r="V181" i="105"/>
  <c r="U181" i="105"/>
  <c r="N181" i="105"/>
  <c r="M181" i="105"/>
  <c r="Y180" i="105"/>
  <c r="W180" i="105"/>
  <c r="X180" i="105" s="1"/>
  <c r="V180" i="105"/>
  <c r="U180" i="105"/>
  <c r="N180" i="105"/>
  <c r="M180" i="105"/>
  <c r="Y179" i="105"/>
  <c r="W179" i="105"/>
  <c r="X179" i="105" s="1"/>
  <c r="V179" i="105"/>
  <c r="U179" i="105"/>
  <c r="N179" i="105"/>
  <c r="M179" i="105"/>
  <c r="Y178" i="105"/>
  <c r="W178" i="105"/>
  <c r="X178" i="105" s="1"/>
  <c r="Z178" i="105" s="1"/>
  <c r="V178" i="105"/>
  <c r="U178" i="105"/>
  <c r="N178" i="105"/>
  <c r="M178" i="105"/>
  <c r="Z177" i="105"/>
  <c r="Q177" i="105" s="1"/>
  <c r="Y177" i="105"/>
  <c r="W177" i="105"/>
  <c r="X177" i="105" s="1"/>
  <c r="V177" i="105"/>
  <c r="U177" i="105"/>
  <c r="N177" i="105"/>
  <c r="M177" i="105"/>
  <c r="Y176" i="105"/>
  <c r="W176" i="105"/>
  <c r="X176" i="105" s="1"/>
  <c r="V176" i="105"/>
  <c r="U176" i="105"/>
  <c r="N176" i="105"/>
  <c r="M176" i="105"/>
  <c r="Y175" i="105"/>
  <c r="X175" i="105"/>
  <c r="Z175" i="105" s="1"/>
  <c r="O175" i="105" s="1"/>
  <c r="W175" i="105"/>
  <c r="V175" i="105"/>
  <c r="U175" i="105"/>
  <c r="N175" i="105"/>
  <c r="M175" i="105"/>
  <c r="Y174" i="105"/>
  <c r="W174" i="105"/>
  <c r="X174" i="105" s="1"/>
  <c r="V174" i="105"/>
  <c r="U174" i="105"/>
  <c r="N174" i="105"/>
  <c r="M174" i="105"/>
  <c r="Y173" i="105"/>
  <c r="W173" i="105"/>
  <c r="X173" i="105" s="1"/>
  <c r="L173" i="105" s="1"/>
  <c r="V173" i="105"/>
  <c r="U173" i="105"/>
  <c r="N173" i="105"/>
  <c r="M173" i="105"/>
  <c r="Z172" i="105"/>
  <c r="Y172" i="105"/>
  <c r="W172" i="105"/>
  <c r="X172" i="105" s="1"/>
  <c r="L172" i="105" s="1"/>
  <c r="V172" i="105"/>
  <c r="U172" i="105"/>
  <c r="Q172" i="105"/>
  <c r="P172" i="105"/>
  <c r="N172" i="105"/>
  <c r="M172" i="105"/>
  <c r="Y171" i="105"/>
  <c r="W171" i="105"/>
  <c r="X171" i="105" s="1"/>
  <c r="Z171" i="105" s="1"/>
  <c r="V171" i="105"/>
  <c r="U171" i="105"/>
  <c r="N171" i="105"/>
  <c r="M171" i="105"/>
  <c r="Y170" i="105"/>
  <c r="W170" i="105"/>
  <c r="X170" i="105" s="1"/>
  <c r="Z170" i="105" s="1"/>
  <c r="R170" i="105" s="1"/>
  <c r="V170" i="105"/>
  <c r="U170" i="105"/>
  <c r="N170" i="105"/>
  <c r="M170" i="105"/>
  <c r="Y169" i="105"/>
  <c r="X169" i="105"/>
  <c r="W169" i="105"/>
  <c r="V169" i="105"/>
  <c r="U169" i="105"/>
  <c r="N169" i="105"/>
  <c r="M169" i="105"/>
  <c r="Y168" i="105"/>
  <c r="W168" i="105"/>
  <c r="X168" i="105" s="1"/>
  <c r="Z168" i="105" s="1"/>
  <c r="R168" i="105" s="1"/>
  <c r="V168" i="105"/>
  <c r="U168" i="105"/>
  <c r="N168" i="105"/>
  <c r="M168" i="105"/>
  <c r="Y167" i="105"/>
  <c r="W167" i="105"/>
  <c r="X167" i="105" s="1"/>
  <c r="V167" i="105"/>
  <c r="U167" i="105"/>
  <c r="N167" i="105"/>
  <c r="M167" i="105"/>
  <c r="Y166" i="105"/>
  <c r="W166" i="105"/>
  <c r="X166" i="105" s="1"/>
  <c r="V166" i="105"/>
  <c r="U166" i="105"/>
  <c r="N166" i="105"/>
  <c r="M166" i="105"/>
  <c r="Y165" i="105"/>
  <c r="W165" i="105"/>
  <c r="X165" i="105" s="1"/>
  <c r="Z165" i="105" s="1"/>
  <c r="V165" i="105"/>
  <c r="U165" i="105"/>
  <c r="N165" i="105"/>
  <c r="M165" i="105"/>
  <c r="Y164" i="105"/>
  <c r="X164" i="105"/>
  <c r="W164" i="105"/>
  <c r="V164" i="105"/>
  <c r="U164" i="105"/>
  <c r="N164" i="105"/>
  <c r="M164" i="105"/>
  <c r="Y163" i="105"/>
  <c r="W163" i="105"/>
  <c r="X163" i="105" s="1"/>
  <c r="Z163" i="105" s="1"/>
  <c r="V163" i="105"/>
  <c r="U163" i="105"/>
  <c r="N163" i="105"/>
  <c r="M163" i="105"/>
  <c r="Y162" i="105"/>
  <c r="X162" i="105"/>
  <c r="Z162" i="105" s="1"/>
  <c r="T162" i="105" s="1"/>
  <c r="W162" i="105"/>
  <c r="V162" i="105"/>
  <c r="U162" i="105"/>
  <c r="N162" i="105"/>
  <c r="M162" i="105"/>
  <c r="Y161" i="105"/>
  <c r="W161" i="105"/>
  <c r="X161" i="105" s="1"/>
  <c r="Z161" i="105" s="1"/>
  <c r="V161" i="105"/>
  <c r="U161" i="105"/>
  <c r="N161" i="105"/>
  <c r="M161" i="105"/>
  <c r="Y160" i="105"/>
  <c r="W160" i="105"/>
  <c r="X160" i="105" s="1"/>
  <c r="V160" i="105"/>
  <c r="U160" i="105"/>
  <c r="N160" i="105"/>
  <c r="M160" i="105"/>
  <c r="Y159" i="105"/>
  <c r="W159" i="105"/>
  <c r="X159" i="105" s="1"/>
  <c r="Z159" i="105" s="1"/>
  <c r="P159" i="105" s="1"/>
  <c r="V159" i="105"/>
  <c r="U159" i="105"/>
  <c r="N159" i="105"/>
  <c r="M159" i="105"/>
  <c r="L159" i="105"/>
  <c r="Y158" i="105"/>
  <c r="W158" i="105"/>
  <c r="X158" i="105" s="1"/>
  <c r="Z158" i="105" s="1"/>
  <c r="S158" i="105" s="1"/>
  <c r="V158" i="105"/>
  <c r="U158" i="105"/>
  <c r="R158" i="105"/>
  <c r="N158" i="105"/>
  <c r="M158" i="105"/>
  <c r="L158" i="105"/>
  <c r="Y157" i="105"/>
  <c r="W157" i="105"/>
  <c r="X157" i="105" s="1"/>
  <c r="L157" i="105" s="1"/>
  <c r="V157" i="105"/>
  <c r="U157" i="105"/>
  <c r="N157" i="105"/>
  <c r="M157" i="105"/>
  <c r="Y156" i="105"/>
  <c r="W156" i="105"/>
  <c r="X156" i="105" s="1"/>
  <c r="Z156" i="105" s="1"/>
  <c r="V156" i="105"/>
  <c r="U156" i="105"/>
  <c r="N156" i="105"/>
  <c r="M156" i="105"/>
  <c r="Y155" i="105"/>
  <c r="W155" i="105"/>
  <c r="X155" i="105" s="1"/>
  <c r="L155" i="105" s="1"/>
  <c r="V155" i="105"/>
  <c r="U155" i="105"/>
  <c r="N155" i="105"/>
  <c r="M155" i="105"/>
  <c r="Y154" i="105"/>
  <c r="W154" i="105"/>
  <c r="X154" i="105" s="1"/>
  <c r="Z154" i="105" s="1"/>
  <c r="V154" i="105"/>
  <c r="U154" i="105"/>
  <c r="N154" i="105"/>
  <c r="M154" i="105"/>
  <c r="Y153" i="105"/>
  <c r="W153" i="105"/>
  <c r="X153" i="105" s="1"/>
  <c r="V153" i="105"/>
  <c r="U153" i="105"/>
  <c r="N153" i="105"/>
  <c r="M153" i="105"/>
  <c r="Y152" i="105"/>
  <c r="W152" i="105"/>
  <c r="X152" i="105" s="1"/>
  <c r="Z152" i="105" s="1"/>
  <c r="V152" i="105"/>
  <c r="U152" i="105"/>
  <c r="N152" i="105"/>
  <c r="M152" i="105"/>
  <c r="Y151" i="105"/>
  <c r="X151" i="105"/>
  <c r="Z151" i="105" s="1"/>
  <c r="O151" i="105" s="1"/>
  <c r="W151" i="105"/>
  <c r="V151" i="105"/>
  <c r="U151" i="105"/>
  <c r="N151" i="105"/>
  <c r="M151" i="105"/>
  <c r="Y150" i="105"/>
  <c r="W150" i="105"/>
  <c r="X150" i="105" s="1"/>
  <c r="V150" i="105"/>
  <c r="U150" i="105"/>
  <c r="N150" i="105"/>
  <c r="M150" i="105"/>
  <c r="Z149" i="105"/>
  <c r="Y149" i="105"/>
  <c r="W149" i="105"/>
  <c r="X149" i="105" s="1"/>
  <c r="V149" i="105"/>
  <c r="U149" i="105"/>
  <c r="N149" i="105"/>
  <c r="M149" i="105"/>
  <c r="Y148" i="105"/>
  <c r="W148" i="105"/>
  <c r="X148" i="105" s="1"/>
  <c r="V148" i="105"/>
  <c r="U148" i="105"/>
  <c r="N148" i="105"/>
  <c r="M148" i="105"/>
  <c r="Y147" i="105"/>
  <c r="W147" i="105"/>
  <c r="X147" i="105" s="1"/>
  <c r="V147" i="105"/>
  <c r="U147" i="105"/>
  <c r="N147" i="105"/>
  <c r="M147" i="105"/>
  <c r="Y146" i="105"/>
  <c r="W146" i="105"/>
  <c r="X146" i="105" s="1"/>
  <c r="V146" i="105"/>
  <c r="U146" i="105"/>
  <c r="N146" i="105"/>
  <c r="M146" i="105"/>
  <c r="Y145" i="105"/>
  <c r="W145" i="105"/>
  <c r="X145" i="105" s="1"/>
  <c r="V145" i="105"/>
  <c r="U145" i="105"/>
  <c r="N145" i="105"/>
  <c r="M145" i="105"/>
  <c r="Y144" i="105"/>
  <c r="W144" i="105"/>
  <c r="X144" i="105" s="1"/>
  <c r="Z144" i="105" s="1"/>
  <c r="V144" i="105"/>
  <c r="U144" i="105"/>
  <c r="N144" i="105"/>
  <c r="M144" i="105"/>
  <c r="Y143" i="105"/>
  <c r="W143" i="105"/>
  <c r="X143" i="105" s="1"/>
  <c r="V143" i="105"/>
  <c r="U143" i="105"/>
  <c r="N143" i="105"/>
  <c r="M143" i="105"/>
  <c r="Y142" i="105"/>
  <c r="W142" i="105"/>
  <c r="X142" i="105" s="1"/>
  <c r="V142" i="105"/>
  <c r="U142" i="105"/>
  <c r="N142" i="105"/>
  <c r="M142" i="105"/>
  <c r="Y141" i="105"/>
  <c r="W141" i="105"/>
  <c r="X141" i="105" s="1"/>
  <c r="Z141" i="105" s="1"/>
  <c r="V141" i="105"/>
  <c r="U141" i="105"/>
  <c r="T141" i="105"/>
  <c r="S141" i="105"/>
  <c r="N141" i="105"/>
  <c r="M141" i="105"/>
  <c r="L141" i="105"/>
  <c r="Y140" i="105"/>
  <c r="W140" i="105"/>
  <c r="X140" i="105" s="1"/>
  <c r="V140" i="105"/>
  <c r="U140" i="105"/>
  <c r="N140" i="105"/>
  <c r="M140" i="105"/>
  <c r="Y139" i="105"/>
  <c r="W139" i="105"/>
  <c r="X139" i="105" s="1"/>
  <c r="Z139" i="105" s="1"/>
  <c r="S139" i="105" s="1"/>
  <c r="V139" i="105"/>
  <c r="U139" i="105"/>
  <c r="Q139" i="105"/>
  <c r="N139" i="105"/>
  <c r="M139" i="105"/>
  <c r="Y138" i="105"/>
  <c r="X138" i="105"/>
  <c r="W138" i="105"/>
  <c r="V138" i="105"/>
  <c r="U138" i="105"/>
  <c r="N138" i="105"/>
  <c r="M138" i="105"/>
  <c r="Y137" i="105"/>
  <c r="W137" i="105"/>
  <c r="X137" i="105" s="1"/>
  <c r="V137" i="105"/>
  <c r="U137" i="105"/>
  <c r="N137" i="105"/>
  <c r="M137" i="105"/>
  <c r="Y136" i="105"/>
  <c r="W136" i="105"/>
  <c r="X136" i="105" s="1"/>
  <c r="Z136" i="105" s="1"/>
  <c r="P136" i="105" s="1"/>
  <c r="V136" i="105"/>
  <c r="U136" i="105"/>
  <c r="N136" i="105"/>
  <c r="M136" i="105"/>
  <c r="Y135" i="105"/>
  <c r="W135" i="105"/>
  <c r="X135" i="105" s="1"/>
  <c r="V135" i="105"/>
  <c r="U135" i="105"/>
  <c r="N135" i="105"/>
  <c r="M135" i="105"/>
  <c r="Z134" i="105"/>
  <c r="P134" i="105" s="1"/>
  <c r="Y134" i="105"/>
  <c r="W134" i="105"/>
  <c r="X134" i="105" s="1"/>
  <c r="V134" i="105"/>
  <c r="U134" i="105"/>
  <c r="N134" i="105"/>
  <c r="M134" i="105"/>
  <c r="Y133" i="105"/>
  <c r="W133" i="105"/>
  <c r="X133" i="105" s="1"/>
  <c r="Z133" i="105" s="1"/>
  <c r="S133" i="105" s="1"/>
  <c r="V133" i="105"/>
  <c r="U133" i="105"/>
  <c r="N133" i="105"/>
  <c r="M133" i="105"/>
  <c r="Y132" i="105"/>
  <c r="W132" i="105"/>
  <c r="X132" i="105" s="1"/>
  <c r="V132" i="105"/>
  <c r="U132" i="105"/>
  <c r="N132" i="105"/>
  <c r="M132" i="105"/>
  <c r="Y131" i="105"/>
  <c r="W131" i="105"/>
  <c r="X131" i="105" s="1"/>
  <c r="V131" i="105"/>
  <c r="U131" i="105"/>
  <c r="N131" i="105"/>
  <c r="M131" i="105"/>
  <c r="Y130" i="105"/>
  <c r="W130" i="105"/>
  <c r="X130" i="105" s="1"/>
  <c r="V130" i="105"/>
  <c r="U130" i="105"/>
  <c r="N130" i="105"/>
  <c r="M130" i="105"/>
  <c r="Y129" i="105"/>
  <c r="X129" i="105"/>
  <c r="W129" i="105"/>
  <c r="V129" i="105"/>
  <c r="U129" i="105"/>
  <c r="N129" i="105"/>
  <c r="M129" i="105"/>
  <c r="Y128" i="105"/>
  <c r="W128" i="105"/>
  <c r="X128" i="105" s="1"/>
  <c r="V128" i="105"/>
  <c r="U128" i="105"/>
  <c r="N128" i="105"/>
  <c r="M128" i="105"/>
  <c r="Y127" i="105"/>
  <c r="W127" i="105"/>
  <c r="X127" i="105" s="1"/>
  <c r="V127" i="105"/>
  <c r="U127" i="105"/>
  <c r="N127" i="105"/>
  <c r="M127" i="105"/>
  <c r="Y126" i="105"/>
  <c r="X126" i="105"/>
  <c r="Z126" i="105" s="1"/>
  <c r="W126" i="105"/>
  <c r="V126" i="105"/>
  <c r="U126" i="105"/>
  <c r="N126" i="105"/>
  <c r="M126" i="105"/>
  <c r="Z125" i="105"/>
  <c r="T125" i="105" s="1"/>
  <c r="Y125" i="105"/>
  <c r="W125" i="105"/>
  <c r="X125" i="105" s="1"/>
  <c r="V125" i="105"/>
  <c r="U125" i="105"/>
  <c r="N125" i="105"/>
  <c r="M125" i="105"/>
  <c r="L125" i="105"/>
  <c r="Y124" i="105"/>
  <c r="W124" i="105"/>
  <c r="X124" i="105" s="1"/>
  <c r="L124" i="105" s="1"/>
  <c r="V124" i="105"/>
  <c r="U124" i="105"/>
  <c r="N124" i="105"/>
  <c r="M124" i="105"/>
  <c r="Y123" i="105"/>
  <c r="W123" i="105"/>
  <c r="X123" i="105" s="1"/>
  <c r="Z123" i="105" s="1"/>
  <c r="V123" i="105"/>
  <c r="U123" i="105"/>
  <c r="N123" i="105"/>
  <c r="M123" i="105"/>
  <c r="Y122" i="105"/>
  <c r="W122" i="105"/>
  <c r="X122" i="105" s="1"/>
  <c r="V122" i="105"/>
  <c r="U122" i="105"/>
  <c r="N122" i="105"/>
  <c r="M122" i="105"/>
  <c r="Y121" i="105"/>
  <c r="W121" i="105"/>
  <c r="X121" i="105" s="1"/>
  <c r="L121" i="105" s="1"/>
  <c r="V121" i="105"/>
  <c r="U121" i="105"/>
  <c r="N121" i="105"/>
  <c r="M121" i="105"/>
  <c r="Y120" i="105"/>
  <c r="W120" i="105"/>
  <c r="X120" i="105" s="1"/>
  <c r="V120" i="105"/>
  <c r="U120" i="105"/>
  <c r="N120" i="105"/>
  <c r="M120" i="105"/>
  <c r="Y119" i="105"/>
  <c r="X119" i="105"/>
  <c r="W119" i="105"/>
  <c r="V119" i="105"/>
  <c r="U119" i="105"/>
  <c r="N119" i="105"/>
  <c r="M119" i="105"/>
  <c r="Y118" i="105"/>
  <c r="W118" i="105"/>
  <c r="X118" i="105" s="1"/>
  <c r="V118" i="105"/>
  <c r="U118" i="105"/>
  <c r="N118" i="105"/>
  <c r="M118" i="105"/>
  <c r="Y117" i="105"/>
  <c r="W117" i="105"/>
  <c r="X117" i="105" s="1"/>
  <c r="Z117" i="105" s="1"/>
  <c r="Q117" i="105" s="1"/>
  <c r="V117" i="105"/>
  <c r="U117" i="105"/>
  <c r="N117" i="105"/>
  <c r="M117" i="105"/>
  <c r="Y116" i="105"/>
  <c r="W116" i="105"/>
  <c r="X116" i="105" s="1"/>
  <c r="V116" i="105"/>
  <c r="U116" i="105"/>
  <c r="N116" i="105"/>
  <c r="M116" i="105"/>
  <c r="Y115" i="105"/>
  <c r="W115" i="105"/>
  <c r="X115" i="105" s="1"/>
  <c r="V115" i="105"/>
  <c r="U115" i="105"/>
  <c r="N115" i="105"/>
  <c r="M115" i="105"/>
  <c r="Y114" i="105"/>
  <c r="W114" i="105"/>
  <c r="X114" i="105" s="1"/>
  <c r="Z114" i="105" s="1"/>
  <c r="V114" i="105"/>
  <c r="U114" i="105"/>
  <c r="N114" i="105"/>
  <c r="M114" i="105"/>
  <c r="Y113" i="105"/>
  <c r="W113" i="105"/>
  <c r="X113" i="105" s="1"/>
  <c r="V113" i="105"/>
  <c r="U113" i="105"/>
  <c r="N113" i="105"/>
  <c r="M113" i="105"/>
  <c r="Y112" i="105"/>
  <c r="W112" i="105"/>
  <c r="X112" i="105" s="1"/>
  <c r="L112" i="105" s="1"/>
  <c r="V112" i="105"/>
  <c r="U112" i="105"/>
  <c r="N112" i="105"/>
  <c r="M112" i="105"/>
  <c r="Y111" i="105"/>
  <c r="W111" i="105"/>
  <c r="X111" i="105" s="1"/>
  <c r="V111" i="105"/>
  <c r="U111" i="105"/>
  <c r="N111" i="105"/>
  <c r="M111" i="105"/>
  <c r="Y110" i="105"/>
  <c r="W110" i="105"/>
  <c r="X110" i="105" s="1"/>
  <c r="V110" i="105"/>
  <c r="U110" i="105"/>
  <c r="N110" i="105"/>
  <c r="M110" i="105"/>
  <c r="Y109" i="105"/>
  <c r="W109" i="105"/>
  <c r="X109" i="105" s="1"/>
  <c r="V109" i="105"/>
  <c r="U109" i="105"/>
  <c r="N109" i="105"/>
  <c r="M109" i="105"/>
  <c r="Y108" i="105"/>
  <c r="W108" i="105"/>
  <c r="X108" i="105" s="1"/>
  <c r="V108" i="105"/>
  <c r="U108" i="105"/>
  <c r="N108" i="105"/>
  <c r="M108" i="105"/>
  <c r="Y107" i="105"/>
  <c r="W107" i="105"/>
  <c r="X107" i="105" s="1"/>
  <c r="V107" i="105"/>
  <c r="U107" i="105"/>
  <c r="N107" i="105"/>
  <c r="M107" i="105"/>
  <c r="Y106" i="105"/>
  <c r="W106" i="105"/>
  <c r="X106" i="105" s="1"/>
  <c r="V106" i="105"/>
  <c r="U106" i="105"/>
  <c r="N106" i="105"/>
  <c r="M106" i="105"/>
  <c r="Y105" i="105"/>
  <c r="X105" i="105"/>
  <c r="W105" i="105"/>
  <c r="V105" i="105"/>
  <c r="U105" i="105"/>
  <c r="N105" i="105"/>
  <c r="M105" i="105"/>
  <c r="Y104" i="105"/>
  <c r="W104" i="105"/>
  <c r="X104" i="105" s="1"/>
  <c r="V104" i="105"/>
  <c r="U104" i="105"/>
  <c r="N104" i="105"/>
  <c r="M104" i="105"/>
  <c r="Y103" i="105"/>
  <c r="W103" i="105"/>
  <c r="X103" i="105" s="1"/>
  <c r="Z103" i="105" s="1"/>
  <c r="T103" i="105" s="1"/>
  <c r="V103" i="105"/>
  <c r="U103" i="105"/>
  <c r="N103" i="105"/>
  <c r="M103" i="105"/>
  <c r="Z102" i="105"/>
  <c r="Y102" i="105"/>
  <c r="W102" i="105"/>
  <c r="X102" i="105" s="1"/>
  <c r="V102" i="105"/>
  <c r="U102" i="105"/>
  <c r="T102" i="105"/>
  <c r="Q102" i="105"/>
  <c r="N102" i="105"/>
  <c r="M102" i="105"/>
  <c r="L102" i="105"/>
  <c r="Y101" i="105"/>
  <c r="W101" i="105"/>
  <c r="X101" i="105" s="1"/>
  <c r="L101" i="105" s="1"/>
  <c r="V101" i="105"/>
  <c r="U101" i="105"/>
  <c r="N101" i="105"/>
  <c r="M101" i="105"/>
  <c r="Y100" i="105"/>
  <c r="W100" i="105"/>
  <c r="X100" i="105" s="1"/>
  <c r="V100" i="105"/>
  <c r="U100" i="105"/>
  <c r="N100" i="105"/>
  <c r="M100" i="105"/>
  <c r="Y99" i="105"/>
  <c r="X99" i="105"/>
  <c r="W99" i="105"/>
  <c r="V99" i="105"/>
  <c r="U99" i="105"/>
  <c r="N99" i="105"/>
  <c r="M99" i="105"/>
  <c r="Z98" i="105"/>
  <c r="R98" i="105" s="1"/>
  <c r="Y98" i="105"/>
  <c r="W98" i="105"/>
  <c r="X98" i="105" s="1"/>
  <c r="L98" i="105" s="1"/>
  <c r="V98" i="105"/>
  <c r="U98" i="105"/>
  <c r="N98" i="105"/>
  <c r="M98" i="105"/>
  <c r="Y97" i="105"/>
  <c r="W97" i="105"/>
  <c r="X97" i="105" s="1"/>
  <c r="V97" i="105"/>
  <c r="U97" i="105"/>
  <c r="N97" i="105"/>
  <c r="M97" i="105"/>
  <c r="Y96" i="105"/>
  <c r="X96" i="105"/>
  <c r="Z96" i="105" s="1"/>
  <c r="W96" i="105"/>
  <c r="V96" i="105"/>
  <c r="U96" i="105"/>
  <c r="O96" i="105"/>
  <c r="N96" i="105"/>
  <c r="M96" i="105"/>
  <c r="Y95" i="105"/>
  <c r="W95" i="105"/>
  <c r="X95" i="105" s="1"/>
  <c r="Z95" i="105" s="1"/>
  <c r="R95" i="105" s="1"/>
  <c r="V95" i="105"/>
  <c r="U95" i="105"/>
  <c r="N95" i="105"/>
  <c r="M95" i="105"/>
  <c r="Y94" i="105"/>
  <c r="W94" i="105"/>
  <c r="X94" i="105" s="1"/>
  <c r="V94" i="105"/>
  <c r="U94" i="105"/>
  <c r="N94" i="105"/>
  <c r="M94" i="105"/>
  <c r="Y93" i="105"/>
  <c r="W93" i="105"/>
  <c r="X93" i="105" s="1"/>
  <c r="V93" i="105"/>
  <c r="U93" i="105"/>
  <c r="N93" i="105"/>
  <c r="M93" i="105"/>
  <c r="Y92" i="105"/>
  <c r="X92" i="105"/>
  <c r="W92" i="105"/>
  <c r="V92" i="105"/>
  <c r="U92" i="105"/>
  <c r="N92" i="105"/>
  <c r="M92" i="105"/>
  <c r="Y91" i="105"/>
  <c r="W91" i="105"/>
  <c r="X91" i="105" s="1"/>
  <c r="V91" i="105"/>
  <c r="U91" i="105"/>
  <c r="N91" i="105"/>
  <c r="M91" i="105"/>
  <c r="Z90" i="105"/>
  <c r="Y90" i="105"/>
  <c r="W90" i="105"/>
  <c r="X90" i="105" s="1"/>
  <c r="V90" i="105"/>
  <c r="U90" i="105"/>
  <c r="N90" i="105"/>
  <c r="M90" i="105"/>
  <c r="Y89" i="105"/>
  <c r="W89" i="105"/>
  <c r="X89" i="105" s="1"/>
  <c r="V89" i="105"/>
  <c r="U89" i="105"/>
  <c r="N89" i="105"/>
  <c r="M89" i="105"/>
  <c r="Y88" i="105"/>
  <c r="W88" i="105"/>
  <c r="X88" i="105" s="1"/>
  <c r="V88" i="105"/>
  <c r="U88" i="105"/>
  <c r="N88" i="105"/>
  <c r="M88" i="105"/>
  <c r="Y87" i="105"/>
  <c r="W87" i="105"/>
  <c r="X87" i="105" s="1"/>
  <c r="Z87" i="105" s="1"/>
  <c r="T87" i="105" s="1"/>
  <c r="V87" i="105"/>
  <c r="U87" i="105"/>
  <c r="N87" i="105"/>
  <c r="M87" i="105"/>
  <c r="Z86" i="105"/>
  <c r="P86" i="105" s="1"/>
  <c r="Y86" i="105"/>
  <c r="X86" i="105"/>
  <c r="W86" i="105"/>
  <c r="V86" i="105"/>
  <c r="U86" i="105"/>
  <c r="R86" i="105"/>
  <c r="N86" i="105"/>
  <c r="M86" i="105"/>
  <c r="Y85" i="105"/>
  <c r="W85" i="105"/>
  <c r="X85" i="105" s="1"/>
  <c r="V85" i="105"/>
  <c r="U85" i="105"/>
  <c r="N85" i="105"/>
  <c r="M85" i="105"/>
  <c r="Y84" i="105"/>
  <c r="W84" i="105"/>
  <c r="X84" i="105" s="1"/>
  <c r="Z84" i="105" s="1"/>
  <c r="V84" i="105"/>
  <c r="U84" i="105"/>
  <c r="O84" i="105"/>
  <c r="N84" i="105"/>
  <c r="M84" i="105"/>
  <c r="Y83" i="105"/>
  <c r="W83" i="105"/>
  <c r="X83" i="105" s="1"/>
  <c r="V83" i="105"/>
  <c r="U83" i="105"/>
  <c r="N83" i="105"/>
  <c r="M83" i="105"/>
  <c r="Y82" i="105"/>
  <c r="W82" i="105"/>
  <c r="X82" i="105" s="1"/>
  <c r="V82" i="105"/>
  <c r="U82" i="105"/>
  <c r="N82" i="105"/>
  <c r="M82" i="105"/>
  <c r="Y81" i="105"/>
  <c r="X81" i="105"/>
  <c r="Z81" i="105" s="1"/>
  <c r="P81" i="105" s="1"/>
  <c r="W81" i="105"/>
  <c r="V81" i="105"/>
  <c r="U81" i="105"/>
  <c r="N81" i="105"/>
  <c r="M81" i="105"/>
  <c r="L81" i="105"/>
  <c r="Y80" i="105"/>
  <c r="W80" i="105"/>
  <c r="X80" i="105" s="1"/>
  <c r="V80" i="105"/>
  <c r="U80" i="105"/>
  <c r="N80" i="105"/>
  <c r="M80" i="105"/>
  <c r="Y79" i="105"/>
  <c r="W79" i="105"/>
  <c r="X79" i="105" s="1"/>
  <c r="Z79" i="105" s="1"/>
  <c r="T79" i="105" s="1"/>
  <c r="V79" i="105"/>
  <c r="U79" i="105"/>
  <c r="S79" i="105"/>
  <c r="Q79" i="105"/>
  <c r="O79" i="105"/>
  <c r="N79" i="105"/>
  <c r="M79" i="105"/>
  <c r="L79" i="105"/>
  <c r="Y78" i="105"/>
  <c r="W78" i="105"/>
  <c r="X78" i="105" s="1"/>
  <c r="V78" i="105"/>
  <c r="U78" i="105"/>
  <c r="N78" i="105"/>
  <c r="M78" i="105"/>
  <c r="Y77" i="105"/>
  <c r="X77" i="105"/>
  <c r="Z77" i="105" s="1"/>
  <c r="W77" i="105"/>
  <c r="V77" i="105"/>
  <c r="U77" i="105"/>
  <c r="N77" i="105"/>
  <c r="M77" i="105"/>
  <c r="Y76" i="105"/>
  <c r="W76" i="105"/>
  <c r="X76" i="105" s="1"/>
  <c r="V76" i="105"/>
  <c r="U76" i="105"/>
  <c r="N76" i="105"/>
  <c r="M76" i="105"/>
  <c r="Y75" i="105"/>
  <c r="W75" i="105"/>
  <c r="X75" i="105" s="1"/>
  <c r="L75" i="105" s="1"/>
  <c r="V75" i="105"/>
  <c r="U75" i="105"/>
  <c r="N75" i="105"/>
  <c r="M75" i="105"/>
  <c r="Y74" i="105"/>
  <c r="W74" i="105"/>
  <c r="X74" i="105" s="1"/>
  <c r="V74" i="105"/>
  <c r="U74" i="105"/>
  <c r="N74" i="105"/>
  <c r="M74" i="105"/>
  <c r="Y73" i="105"/>
  <c r="W73" i="105"/>
  <c r="X73" i="105" s="1"/>
  <c r="V73" i="105"/>
  <c r="U73" i="105"/>
  <c r="N73" i="105"/>
  <c r="M73" i="105"/>
  <c r="Y72" i="105"/>
  <c r="W72" i="105"/>
  <c r="X72" i="105" s="1"/>
  <c r="Z72" i="105" s="1"/>
  <c r="V72" i="105"/>
  <c r="U72" i="105"/>
  <c r="N72" i="105"/>
  <c r="M72" i="105"/>
  <c r="Y71" i="105"/>
  <c r="W71" i="105"/>
  <c r="X71" i="105" s="1"/>
  <c r="V71" i="105"/>
  <c r="U71" i="105"/>
  <c r="N71" i="105"/>
  <c r="M71" i="105"/>
  <c r="Y70" i="105"/>
  <c r="X70" i="105"/>
  <c r="Z70" i="105" s="1"/>
  <c r="W70" i="105"/>
  <c r="V70" i="105"/>
  <c r="U70" i="105"/>
  <c r="N70" i="105"/>
  <c r="M70" i="105"/>
  <c r="Y69" i="105"/>
  <c r="W69" i="105"/>
  <c r="X69" i="105" s="1"/>
  <c r="Z69" i="105" s="1"/>
  <c r="S69" i="105" s="1"/>
  <c r="V69" i="105"/>
  <c r="U69" i="105"/>
  <c r="N69" i="105"/>
  <c r="M69" i="105"/>
  <c r="L69" i="105"/>
  <c r="Y68" i="105"/>
  <c r="W68" i="105"/>
  <c r="X68" i="105" s="1"/>
  <c r="L68" i="105" s="1"/>
  <c r="V68" i="105"/>
  <c r="U68" i="105"/>
  <c r="N68" i="105"/>
  <c r="M68" i="105"/>
  <c r="Y67" i="105"/>
  <c r="W67" i="105"/>
  <c r="X67" i="105" s="1"/>
  <c r="L67" i="105" s="1"/>
  <c r="V67" i="105"/>
  <c r="U67" i="105"/>
  <c r="N67" i="105"/>
  <c r="M67" i="105"/>
  <c r="Y66" i="105"/>
  <c r="W66" i="105"/>
  <c r="X66" i="105" s="1"/>
  <c r="L66" i="105" s="1"/>
  <c r="V66" i="105"/>
  <c r="U66" i="105"/>
  <c r="N66" i="105"/>
  <c r="M66" i="105"/>
  <c r="Y65" i="105"/>
  <c r="W65" i="105"/>
  <c r="X65" i="105" s="1"/>
  <c r="V65" i="105"/>
  <c r="U65" i="105"/>
  <c r="N65" i="105"/>
  <c r="M65" i="105"/>
  <c r="Z64" i="105"/>
  <c r="Y64" i="105"/>
  <c r="W64" i="105"/>
  <c r="X64" i="105" s="1"/>
  <c r="L64" i="105" s="1"/>
  <c r="V64" i="105"/>
  <c r="U64" i="105"/>
  <c r="N64" i="105"/>
  <c r="M64" i="105"/>
  <c r="Y63" i="105"/>
  <c r="W63" i="105"/>
  <c r="X63" i="105" s="1"/>
  <c r="L63" i="105" s="1"/>
  <c r="V63" i="105"/>
  <c r="U63" i="105"/>
  <c r="N63" i="105"/>
  <c r="M63" i="105"/>
  <c r="Y62" i="105"/>
  <c r="W62" i="105"/>
  <c r="X62" i="105" s="1"/>
  <c r="V62" i="105"/>
  <c r="U62" i="105"/>
  <c r="N62" i="105"/>
  <c r="M62" i="105"/>
  <c r="Y61" i="105"/>
  <c r="W61" i="105"/>
  <c r="X61" i="105" s="1"/>
  <c r="L61" i="105" s="1"/>
  <c r="V61" i="105"/>
  <c r="U61" i="105"/>
  <c r="N61" i="105"/>
  <c r="M61" i="105"/>
  <c r="Y60" i="105"/>
  <c r="W60" i="105"/>
  <c r="X60" i="105" s="1"/>
  <c r="Z60" i="105" s="1"/>
  <c r="V60" i="105"/>
  <c r="U60" i="105"/>
  <c r="N60" i="105"/>
  <c r="M60" i="105"/>
  <c r="L60" i="105"/>
  <c r="Y59" i="105"/>
  <c r="W59" i="105"/>
  <c r="X59" i="105" s="1"/>
  <c r="V59" i="105"/>
  <c r="U59" i="105"/>
  <c r="N59" i="105"/>
  <c r="M59" i="105"/>
  <c r="Y58" i="105"/>
  <c r="W58" i="105"/>
  <c r="X58" i="105" s="1"/>
  <c r="V58" i="105"/>
  <c r="U58" i="105"/>
  <c r="N58" i="105"/>
  <c r="M58" i="105"/>
  <c r="Y57" i="105"/>
  <c r="W57" i="105"/>
  <c r="X57" i="105" s="1"/>
  <c r="Z57" i="105" s="1"/>
  <c r="V57" i="105"/>
  <c r="U57" i="105"/>
  <c r="S57" i="105"/>
  <c r="N57" i="105"/>
  <c r="M57" i="105"/>
  <c r="Y56" i="105"/>
  <c r="W56" i="105"/>
  <c r="X56" i="105" s="1"/>
  <c r="V56" i="105"/>
  <c r="U56" i="105"/>
  <c r="N56" i="105"/>
  <c r="M56" i="105"/>
  <c r="Y55" i="105"/>
  <c r="W55" i="105"/>
  <c r="X55" i="105" s="1"/>
  <c r="L55" i="105" s="1"/>
  <c r="V55" i="105"/>
  <c r="U55" i="105"/>
  <c r="N55" i="105"/>
  <c r="M55" i="105"/>
  <c r="Y54" i="105"/>
  <c r="X54" i="105"/>
  <c r="Z54" i="105" s="1"/>
  <c r="S54" i="105" s="1"/>
  <c r="W54" i="105"/>
  <c r="V54" i="105"/>
  <c r="U54" i="105"/>
  <c r="T54" i="105"/>
  <c r="N54" i="105"/>
  <c r="M54" i="105"/>
  <c r="Y53" i="105"/>
  <c r="W53" i="105"/>
  <c r="X53" i="105" s="1"/>
  <c r="L53" i="105" s="1"/>
  <c r="V53" i="105"/>
  <c r="U53" i="105"/>
  <c r="N53" i="105"/>
  <c r="M53" i="105"/>
  <c r="Y52" i="105"/>
  <c r="W52" i="105"/>
  <c r="X52" i="105" s="1"/>
  <c r="L52" i="105" s="1"/>
  <c r="V52" i="105"/>
  <c r="U52" i="105"/>
  <c r="N52" i="105"/>
  <c r="M52" i="105"/>
  <c r="Z51" i="105"/>
  <c r="Y51" i="105"/>
  <c r="X51" i="105"/>
  <c r="L51" i="105" s="1"/>
  <c r="W51" i="105"/>
  <c r="V51" i="105"/>
  <c r="U51" i="105"/>
  <c r="P51" i="105"/>
  <c r="N51" i="105"/>
  <c r="M51" i="105"/>
  <c r="Y50" i="105"/>
  <c r="W50" i="105"/>
  <c r="X50" i="105" s="1"/>
  <c r="V50" i="105"/>
  <c r="U50" i="105"/>
  <c r="N50" i="105"/>
  <c r="M50" i="105"/>
  <c r="Y49" i="105"/>
  <c r="W49" i="105"/>
  <c r="X49" i="105" s="1"/>
  <c r="Z49" i="105" s="1"/>
  <c r="Q49" i="105" s="1"/>
  <c r="V49" i="105"/>
  <c r="U49" i="105"/>
  <c r="N49" i="105"/>
  <c r="M49" i="105"/>
  <c r="Y48" i="105"/>
  <c r="W48" i="105"/>
  <c r="X48" i="105" s="1"/>
  <c r="V48" i="105"/>
  <c r="U48" i="105"/>
  <c r="N48" i="105"/>
  <c r="M48" i="105"/>
  <c r="Y47" i="105"/>
  <c r="W47" i="105"/>
  <c r="X47" i="105" s="1"/>
  <c r="Z47" i="105" s="1"/>
  <c r="O47" i="105" s="1"/>
  <c r="V47" i="105"/>
  <c r="U47" i="105"/>
  <c r="N47" i="105"/>
  <c r="M47" i="105"/>
  <c r="Z46" i="105"/>
  <c r="S46" i="105" s="1"/>
  <c r="Y46" i="105"/>
  <c r="X46" i="105"/>
  <c r="W46" i="105"/>
  <c r="V46" i="105"/>
  <c r="U46" i="105"/>
  <c r="R46" i="105"/>
  <c r="N46" i="105"/>
  <c r="M46" i="105"/>
  <c r="L46" i="105"/>
  <c r="Y45" i="105"/>
  <c r="X45" i="105"/>
  <c r="L45" i="105" s="1"/>
  <c r="W45" i="105"/>
  <c r="V45" i="105"/>
  <c r="U45" i="105"/>
  <c r="N45" i="105"/>
  <c r="M45" i="105"/>
  <c r="Y44" i="105"/>
  <c r="W44" i="105"/>
  <c r="X44" i="105" s="1"/>
  <c r="Z44" i="105" s="1"/>
  <c r="V44" i="105"/>
  <c r="U44" i="105"/>
  <c r="N44" i="105"/>
  <c r="M44" i="105"/>
  <c r="Y43" i="105"/>
  <c r="W43" i="105"/>
  <c r="X43" i="105" s="1"/>
  <c r="V43" i="105"/>
  <c r="U43" i="105"/>
  <c r="N43" i="105"/>
  <c r="M43" i="105"/>
  <c r="Y42" i="105"/>
  <c r="W42" i="105"/>
  <c r="X42" i="105" s="1"/>
  <c r="Z42" i="105" s="1"/>
  <c r="T42" i="105" s="1"/>
  <c r="V42" i="105"/>
  <c r="U42" i="105"/>
  <c r="N42" i="105"/>
  <c r="M42" i="105"/>
  <c r="Y41" i="105"/>
  <c r="X41" i="105"/>
  <c r="W41" i="105"/>
  <c r="V41" i="105"/>
  <c r="U41" i="105"/>
  <c r="N41" i="105"/>
  <c r="M41" i="105"/>
  <c r="Y40" i="105"/>
  <c r="W40" i="105"/>
  <c r="X40" i="105" s="1"/>
  <c r="V40" i="105"/>
  <c r="U40" i="105"/>
  <c r="N40" i="105"/>
  <c r="M40" i="105"/>
  <c r="Y39" i="105"/>
  <c r="W39" i="105"/>
  <c r="X39" i="105" s="1"/>
  <c r="Z39" i="105" s="1"/>
  <c r="T39" i="105" s="1"/>
  <c r="V39" i="105"/>
  <c r="U39" i="105"/>
  <c r="N39" i="105"/>
  <c r="M39" i="105"/>
  <c r="L39" i="105"/>
  <c r="Y38" i="105"/>
  <c r="W38" i="105"/>
  <c r="X38" i="105" s="1"/>
  <c r="Z38" i="105" s="1"/>
  <c r="V38" i="105"/>
  <c r="U38" i="105"/>
  <c r="N38" i="105"/>
  <c r="M38" i="105"/>
  <c r="Y37" i="105"/>
  <c r="W37" i="105"/>
  <c r="X37" i="105" s="1"/>
  <c r="V37" i="105"/>
  <c r="U37" i="105"/>
  <c r="N37" i="105"/>
  <c r="M37" i="105"/>
  <c r="Y36" i="105"/>
  <c r="W36" i="105"/>
  <c r="X36" i="105" s="1"/>
  <c r="V36" i="105"/>
  <c r="U36" i="105"/>
  <c r="N36" i="105"/>
  <c r="M36" i="105"/>
  <c r="Y35" i="105"/>
  <c r="X35" i="105"/>
  <c r="W35" i="105"/>
  <c r="V35" i="105"/>
  <c r="U35" i="105"/>
  <c r="N35" i="105"/>
  <c r="M35" i="105"/>
  <c r="Z34" i="105"/>
  <c r="Y34" i="105"/>
  <c r="W34" i="105"/>
  <c r="X34" i="105" s="1"/>
  <c r="L34" i="105" s="1"/>
  <c r="V34" i="105"/>
  <c r="U34" i="105"/>
  <c r="N34" i="105"/>
  <c r="M34" i="105"/>
  <c r="Y33" i="105"/>
  <c r="W33" i="105"/>
  <c r="X33" i="105" s="1"/>
  <c r="V33" i="105"/>
  <c r="U33" i="105"/>
  <c r="N33" i="105"/>
  <c r="M33" i="105"/>
  <c r="Y32" i="105"/>
  <c r="W32" i="105"/>
  <c r="X32" i="105" s="1"/>
  <c r="V32" i="105"/>
  <c r="U32" i="105"/>
  <c r="N32" i="105"/>
  <c r="M32" i="105"/>
  <c r="Y31" i="105"/>
  <c r="W31" i="105"/>
  <c r="X31" i="105" s="1"/>
  <c r="Z31" i="105" s="1"/>
  <c r="T31" i="105" s="1"/>
  <c r="V31" i="105"/>
  <c r="U31" i="105"/>
  <c r="N31" i="105"/>
  <c r="M31" i="105"/>
  <c r="Z30" i="105"/>
  <c r="O30" i="105" s="1"/>
  <c r="Y30" i="105"/>
  <c r="X30" i="105"/>
  <c r="L30" i="105" s="1"/>
  <c r="W30" i="105"/>
  <c r="V30" i="105"/>
  <c r="U30" i="105"/>
  <c r="T30" i="105"/>
  <c r="N30" i="105"/>
  <c r="M30" i="105"/>
  <c r="Y29" i="105"/>
  <c r="W29" i="105"/>
  <c r="X29" i="105" s="1"/>
  <c r="V29" i="105"/>
  <c r="U29" i="105"/>
  <c r="N29" i="105"/>
  <c r="M29" i="105"/>
  <c r="Y28" i="105"/>
  <c r="W28" i="105"/>
  <c r="X28" i="105" s="1"/>
  <c r="V28" i="105"/>
  <c r="U28" i="105"/>
  <c r="N28" i="105"/>
  <c r="M28" i="105"/>
  <c r="Y27" i="105"/>
  <c r="W27" i="105"/>
  <c r="X27" i="105" s="1"/>
  <c r="V27" i="105"/>
  <c r="U27" i="105"/>
  <c r="N27" i="105"/>
  <c r="M27" i="105"/>
  <c r="Y26" i="105"/>
  <c r="W26" i="105"/>
  <c r="X26" i="105" s="1"/>
  <c r="L26" i="105" s="1"/>
  <c r="V26" i="105"/>
  <c r="U26" i="105"/>
  <c r="N26" i="105"/>
  <c r="M26" i="105"/>
  <c r="Y25" i="105"/>
  <c r="W25" i="105"/>
  <c r="X25" i="105" s="1"/>
  <c r="V25" i="105"/>
  <c r="U25" i="105"/>
  <c r="N25" i="105"/>
  <c r="M25" i="105"/>
  <c r="Y24" i="105"/>
  <c r="W24" i="105"/>
  <c r="X24" i="105" s="1"/>
  <c r="V24" i="105"/>
  <c r="U24" i="105"/>
  <c r="N24" i="105"/>
  <c r="M24" i="105"/>
  <c r="Z23" i="105"/>
  <c r="R23" i="105" s="1"/>
  <c r="Y23" i="105"/>
  <c r="W23" i="105"/>
  <c r="X23" i="105" s="1"/>
  <c r="V23" i="105"/>
  <c r="U23" i="105"/>
  <c r="Q23" i="105"/>
  <c r="N23" i="105"/>
  <c r="M23" i="105"/>
  <c r="L23" i="105"/>
  <c r="Y22" i="105"/>
  <c r="W22" i="105"/>
  <c r="X22" i="105" s="1"/>
  <c r="V22" i="105"/>
  <c r="U22" i="105"/>
  <c r="N22" i="105"/>
  <c r="M22" i="105"/>
  <c r="Y21" i="105"/>
  <c r="W21" i="105"/>
  <c r="X21" i="105" s="1"/>
  <c r="V21" i="105"/>
  <c r="U21" i="105"/>
  <c r="N21" i="105"/>
  <c r="M21" i="105"/>
  <c r="Y20" i="105"/>
  <c r="W20" i="105"/>
  <c r="X20" i="105" s="1"/>
  <c r="V20" i="105"/>
  <c r="U20" i="105"/>
  <c r="N20" i="105"/>
  <c r="M20" i="105"/>
  <c r="Y19" i="105"/>
  <c r="W19" i="105"/>
  <c r="X19" i="105" s="1"/>
  <c r="V19" i="105"/>
  <c r="U19" i="105"/>
  <c r="N19" i="105"/>
  <c r="M19" i="105"/>
  <c r="Y18" i="105"/>
  <c r="W18" i="105"/>
  <c r="X18" i="105" s="1"/>
  <c r="L18" i="105" s="1"/>
  <c r="V18" i="105"/>
  <c r="U18" i="105"/>
  <c r="N18" i="105"/>
  <c r="M18" i="105"/>
  <c r="Y17" i="105"/>
  <c r="W17" i="105"/>
  <c r="X17" i="105" s="1"/>
  <c r="V17" i="105"/>
  <c r="U17" i="105"/>
  <c r="N17" i="105"/>
  <c r="M17" i="105"/>
  <c r="Y16" i="105"/>
  <c r="W16" i="105"/>
  <c r="X16" i="105" s="1"/>
  <c r="Z16" i="105" s="1"/>
  <c r="V16" i="105"/>
  <c r="U16" i="105"/>
  <c r="T16" i="105"/>
  <c r="S16" i="105"/>
  <c r="N16" i="105"/>
  <c r="M16" i="105"/>
  <c r="L16" i="105"/>
  <c r="Z15" i="105"/>
  <c r="P15" i="105" s="1"/>
  <c r="Y15" i="105"/>
  <c r="W15" i="105"/>
  <c r="X15" i="105" s="1"/>
  <c r="V15" i="105"/>
  <c r="U15" i="105"/>
  <c r="R15" i="105"/>
  <c r="Q15" i="105"/>
  <c r="O15" i="105"/>
  <c r="N15" i="105"/>
  <c r="M15" i="105"/>
  <c r="L15" i="105"/>
  <c r="Y14" i="105"/>
  <c r="X14" i="105"/>
  <c r="L14" i="105" s="1"/>
  <c r="W14" i="105"/>
  <c r="V14" i="105"/>
  <c r="U14" i="105"/>
  <c r="N14" i="105"/>
  <c r="M14" i="105"/>
  <c r="Y13" i="105"/>
  <c r="W13" i="105"/>
  <c r="X13" i="105" s="1"/>
  <c r="V13" i="105"/>
  <c r="U13" i="105"/>
  <c r="N13" i="105"/>
  <c r="M13" i="105"/>
  <c r="Y12" i="105"/>
  <c r="W12" i="105"/>
  <c r="X12" i="105" s="1"/>
  <c r="Z12" i="105" s="1"/>
  <c r="V12" i="105"/>
  <c r="U12" i="105"/>
  <c r="T12" i="105"/>
  <c r="N12" i="105"/>
  <c r="M12" i="105"/>
  <c r="L12" i="105"/>
  <c r="Y11" i="105"/>
  <c r="W11" i="105"/>
  <c r="X11" i="105" s="1"/>
  <c r="L11" i="105" s="1"/>
  <c r="V11" i="105"/>
  <c r="U11" i="105"/>
  <c r="N11" i="105"/>
  <c r="M11" i="105"/>
  <c r="Y10" i="105"/>
  <c r="W10" i="105"/>
  <c r="X10" i="105" s="1"/>
  <c r="V10" i="105"/>
  <c r="U10" i="105"/>
  <c r="N10" i="105"/>
  <c r="M10" i="105"/>
  <c r="Y9" i="105"/>
  <c r="W9" i="105"/>
  <c r="X9" i="105" s="1"/>
  <c r="V9" i="105"/>
  <c r="U9" i="105"/>
  <c r="N9" i="105"/>
  <c r="M9" i="105"/>
  <c r="Y8" i="105"/>
  <c r="W8" i="105"/>
  <c r="X8" i="105" s="1"/>
  <c r="Z8" i="105" s="1"/>
  <c r="V8" i="105"/>
  <c r="U8" i="105"/>
  <c r="N8" i="105"/>
  <c r="M8" i="105"/>
  <c r="Y7" i="105"/>
  <c r="W7" i="105"/>
  <c r="X7" i="105" s="1"/>
  <c r="L7" i="105" s="1"/>
  <c r="V7" i="105"/>
  <c r="U7" i="105"/>
  <c r="N7" i="105"/>
  <c r="M7" i="105"/>
  <c r="Y6" i="105"/>
  <c r="W6" i="105"/>
  <c r="X6" i="105" s="1"/>
  <c r="V6" i="105"/>
  <c r="U6" i="105"/>
  <c r="N6" i="105"/>
  <c r="M6" i="105"/>
  <c r="Z6" i="105" l="1"/>
  <c r="L6" i="105"/>
  <c r="L78" i="105"/>
  <c r="Z78" i="105"/>
  <c r="Z128" i="105"/>
  <c r="L128" i="105"/>
  <c r="L233" i="105"/>
  <c r="Z233" i="105"/>
  <c r="Z166" i="105"/>
  <c r="L166" i="105"/>
  <c r="T200" i="105"/>
  <c r="Q200" i="105"/>
  <c r="P200" i="105"/>
  <c r="Z140" i="105"/>
  <c r="P140" i="105" s="1"/>
  <c r="L140" i="105"/>
  <c r="T234" i="105"/>
  <c r="P234" i="105"/>
  <c r="T38" i="105"/>
  <c r="S38" i="105"/>
  <c r="R38" i="105"/>
  <c r="Q38" i="105"/>
  <c r="Z58" i="105"/>
  <c r="L58" i="105"/>
  <c r="Z146" i="105"/>
  <c r="P146" i="105" s="1"/>
  <c r="L146" i="105"/>
  <c r="Z148" i="105"/>
  <c r="T148" i="105" s="1"/>
  <c r="L148" i="105"/>
  <c r="T44" i="105"/>
  <c r="Q44" i="105"/>
  <c r="Z62" i="105"/>
  <c r="L62" i="105"/>
  <c r="L110" i="105"/>
  <c r="Z110" i="105"/>
  <c r="S110" i="105" s="1"/>
  <c r="Z118" i="105"/>
  <c r="R118" i="105" s="1"/>
  <c r="L118" i="105"/>
  <c r="O165" i="105"/>
  <c r="Q165" i="105"/>
  <c r="L180" i="105"/>
  <c r="Z180" i="105"/>
  <c r="L175" i="105"/>
  <c r="L22" i="105"/>
  <c r="Z22" i="105"/>
  <c r="P156" i="105"/>
  <c r="S156" i="105"/>
  <c r="T156" i="105"/>
  <c r="O308" i="105"/>
  <c r="T308" i="105"/>
  <c r="R308" i="105"/>
  <c r="L189" i="105"/>
  <c r="Z189" i="105"/>
  <c r="O189" i="105" s="1"/>
  <c r="R323" i="105"/>
  <c r="Q323" i="105"/>
  <c r="L336" i="105"/>
  <c r="Z336" i="105"/>
  <c r="Z338" i="105"/>
  <c r="Q338" i="105" s="1"/>
  <c r="L338" i="105"/>
  <c r="Z417" i="105"/>
  <c r="L417" i="105"/>
  <c r="Q634" i="105"/>
  <c r="T634" i="105"/>
  <c r="Z299" i="105"/>
  <c r="L299" i="105"/>
  <c r="Z632" i="105"/>
  <c r="L632" i="105"/>
  <c r="Z220" i="105"/>
  <c r="L220" i="105"/>
  <c r="S366" i="105"/>
  <c r="Q366" i="105"/>
  <c r="O366" i="105"/>
  <c r="T741" i="105"/>
  <c r="S741" i="105"/>
  <c r="S15" i="105"/>
  <c r="L95" i="105"/>
  <c r="Z112" i="105"/>
  <c r="O112" i="105" s="1"/>
  <c r="P151" i="105"/>
  <c r="Z173" i="105"/>
  <c r="T204" i="105"/>
  <c r="Z270" i="105"/>
  <c r="L306" i="105"/>
  <c r="L307" i="105"/>
  <c r="Z453" i="105"/>
  <c r="L478" i="105"/>
  <c r="Z478" i="105"/>
  <c r="L517" i="105"/>
  <c r="Z517" i="105"/>
  <c r="L626" i="105"/>
  <c r="Z626" i="105"/>
  <c r="S626" i="105" s="1"/>
  <c r="L699" i="105"/>
  <c r="Z699" i="105"/>
  <c r="L701" i="105"/>
  <c r="Z701" i="105"/>
  <c r="Z55" i="105"/>
  <c r="Z63" i="105"/>
  <c r="Q151" i="105"/>
  <c r="Z157" i="105"/>
  <c r="O157" i="105" s="1"/>
  <c r="L163" i="105"/>
  <c r="P177" i="105"/>
  <c r="S178" i="105"/>
  <c r="T178" i="105"/>
  <c r="L221" i="105"/>
  <c r="L251" i="105"/>
  <c r="Z709" i="105"/>
  <c r="L709" i="105"/>
  <c r="P725" i="105"/>
  <c r="S725" i="105"/>
  <c r="R725" i="105"/>
  <c r="Q725" i="105"/>
  <c r="T725" i="105"/>
  <c r="Z749" i="105"/>
  <c r="L749" i="105"/>
  <c r="L643" i="105"/>
  <c r="Z643" i="105"/>
  <c r="L282" i="105"/>
  <c r="Z282" i="105"/>
  <c r="T15" i="105"/>
  <c r="Z52" i="105"/>
  <c r="Z76" i="105"/>
  <c r="Q76" i="105" s="1"/>
  <c r="L76" i="105"/>
  <c r="L117" i="105"/>
  <c r="S151" i="105"/>
  <c r="L196" i="105"/>
  <c r="L259" i="105"/>
  <c r="Z259" i="105"/>
  <c r="Q259" i="105" s="1"/>
  <c r="Z272" i="105"/>
  <c r="L272" i="105"/>
  <c r="Z307" i="105"/>
  <c r="Z347" i="105"/>
  <c r="L347" i="105"/>
  <c r="Z435" i="105"/>
  <c r="P435" i="105" s="1"/>
  <c r="L435" i="105"/>
  <c r="Z450" i="105"/>
  <c r="L450" i="105"/>
  <c r="Z473" i="105"/>
  <c r="L473" i="105"/>
  <c r="Z186" i="105"/>
  <c r="L186" i="105"/>
  <c r="Z550" i="105"/>
  <c r="P550" i="105" s="1"/>
  <c r="L550" i="105"/>
  <c r="Q98" i="105"/>
  <c r="Z164" i="105"/>
  <c r="L164" i="105"/>
  <c r="L188" i="105"/>
  <c r="Z188" i="105"/>
  <c r="T275" i="105"/>
  <c r="O275" i="105"/>
  <c r="P354" i="105"/>
  <c r="Q354" i="105"/>
  <c r="T354" i="105"/>
  <c r="S354" i="105"/>
  <c r="R354" i="105"/>
  <c r="O354" i="105"/>
  <c r="R401" i="105"/>
  <c r="T401" i="105"/>
  <c r="S401" i="105"/>
  <c r="P401" i="105"/>
  <c r="Z571" i="105"/>
  <c r="L571" i="105"/>
  <c r="Z600" i="105"/>
  <c r="R600" i="105" s="1"/>
  <c r="Z111" i="105"/>
  <c r="T111" i="105" s="1"/>
  <c r="L111" i="105"/>
  <c r="L168" i="105"/>
  <c r="L187" i="105"/>
  <c r="Z187" i="105"/>
  <c r="Z208" i="105"/>
  <c r="L208" i="105"/>
  <c r="Z210" i="105"/>
  <c r="T210" i="105" s="1"/>
  <c r="L210" i="105"/>
  <c r="Z212" i="105"/>
  <c r="Q212" i="105" s="1"/>
  <c r="L212" i="105"/>
  <c r="Q242" i="105"/>
  <c r="R242" i="105"/>
  <c r="L244" i="105"/>
  <c r="Z244" i="105"/>
  <c r="T304" i="105"/>
  <c r="S304" i="105"/>
  <c r="Z496" i="105"/>
  <c r="L496" i="105"/>
  <c r="L684" i="105"/>
  <c r="Z684" i="105"/>
  <c r="R684" i="105" s="1"/>
  <c r="L31" i="105"/>
  <c r="Z45" i="105"/>
  <c r="L49" i="105"/>
  <c r="L70" i="105"/>
  <c r="L126" i="105"/>
  <c r="R141" i="105"/>
  <c r="O141" i="105"/>
  <c r="Z224" i="105"/>
  <c r="L271" i="105"/>
  <c r="Z271" i="105"/>
  <c r="P271" i="105" s="1"/>
  <c r="R376" i="105"/>
  <c r="Q376" i="105"/>
  <c r="Z529" i="105"/>
  <c r="Q529" i="105" s="1"/>
  <c r="L529" i="105"/>
  <c r="L544" i="105"/>
  <c r="Z544" i="105"/>
  <c r="S103" i="105"/>
  <c r="L170" i="105"/>
  <c r="Z194" i="105"/>
  <c r="L194" i="105"/>
  <c r="O219" i="105"/>
  <c r="Q219" i="105"/>
  <c r="T246" i="105"/>
  <c r="R246" i="105"/>
  <c r="O246" i="105"/>
  <c r="Q273" i="105"/>
  <c r="L328" i="105"/>
  <c r="Z328" i="105"/>
  <c r="S369" i="105"/>
  <c r="Q369" i="105"/>
  <c r="Z396" i="105"/>
  <c r="L396" i="105"/>
  <c r="Z409" i="105"/>
  <c r="L409" i="105"/>
  <c r="L407" i="105"/>
  <c r="Z491" i="105"/>
  <c r="L491" i="105"/>
  <c r="L680" i="105"/>
  <c r="L671" i="105"/>
  <c r="R31" i="105"/>
  <c r="Z88" i="105"/>
  <c r="T88" i="105" s="1"/>
  <c r="L88" i="105"/>
  <c r="Z174" i="105"/>
  <c r="L174" i="105"/>
  <c r="L228" i="105"/>
  <c r="Z228" i="105"/>
  <c r="R250" i="105"/>
  <c r="Z258" i="105"/>
  <c r="L258" i="105"/>
  <c r="S330" i="105"/>
  <c r="R330" i="105"/>
  <c r="S358" i="105"/>
  <c r="R358" i="105"/>
  <c r="P358" i="105"/>
  <c r="Z445" i="105"/>
  <c r="R445" i="105" s="1"/>
  <c r="L445" i="105"/>
  <c r="L563" i="105"/>
  <c r="Z563" i="105"/>
  <c r="L660" i="105"/>
  <c r="Z660" i="105"/>
  <c r="T77" i="105"/>
  <c r="O77" i="105"/>
  <c r="T133" i="105"/>
  <c r="L8" i="105"/>
  <c r="R30" i="105"/>
  <c r="T49" i="105"/>
  <c r="L54" i="105"/>
  <c r="L87" i="105"/>
  <c r="L96" i="105"/>
  <c r="Z124" i="105"/>
  <c r="L178" i="105"/>
  <c r="L204" i="105"/>
  <c r="L249" i="105"/>
  <c r="L260" i="105"/>
  <c r="Z260" i="105"/>
  <c r="L262" i="105"/>
  <c r="Z262" i="105"/>
  <c r="Z266" i="105"/>
  <c r="L266" i="105"/>
  <c r="Z425" i="105"/>
  <c r="L507" i="105"/>
  <c r="Z507" i="105"/>
  <c r="S306" i="105"/>
  <c r="L395" i="105"/>
  <c r="L406" i="105"/>
  <c r="L415" i="105"/>
  <c r="T424" i="105"/>
  <c r="Q434" i="105"/>
  <c r="L437" i="105"/>
  <c r="S472" i="105"/>
  <c r="Q494" i="105"/>
  <c r="O494" i="105"/>
  <c r="L515" i="105"/>
  <c r="Z515" i="105"/>
  <c r="Q515" i="105" s="1"/>
  <c r="Z538" i="105"/>
  <c r="T538" i="105" s="1"/>
  <c r="L538" i="105"/>
  <c r="L546" i="105"/>
  <c r="Z622" i="105"/>
  <c r="L628" i="105"/>
  <c r="P636" i="105"/>
  <c r="R680" i="105"/>
  <c r="O680" i="105"/>
  <c r="T680" i="105"/>
  <c r="Q680" i="105"/>
  <c r="P680" i="105"/>
  <c r="L295" i="105"/>
  <c r="Z315" i="105"/>
  <c r="O315" i="105" s="1"/>
  <c r="S356" i="105"/>
  <c r="L361" i="105"/>
  <c r="T370" i="105"/>
  <c r="L372" i="105"/>
  <c r="R410" i="105"/>
  <c r="T434" i="105"/>
  <c r="O475" i="105"/>
  <c r="L673" i="105"/>
  <c r="Z673" i="105"/>
  <c r="Z345" i="105"/>
  <c r="L345" i="105"/>
  <c r="Z353" i="105"/>
  <c r="R353" i="105" s="1"/>
  <c r="L353" i="105"/>
  <c r="Z411" i="105"/>
  <c r="L411" i="105"/>
  <c r="Z452" i="105"/>
  <c r="L452" i="105"/>
  <c r="L542" i="105"/>
  <c r="Z542" i="105"/>
  <c r="S542" i="105" s="1"/>
  <c r="R597" i="105"/>
  <c r="S597" i="105"/>
  <c r="P597" i="105"/>
  <c r="O597" i="105"/>
  <c r="T597" i="105"/>
  <c r="Z717" i="105"/>
  <c r="L717" i="105"/>
  <c r="Z757" i="105"/>
  <c r="S757" i="105" s="1"/>
  <c r="L757" i="105"/>
  <c r="L381" i="105"/>
  <c r="P385" i="105"/>
  <c r="S385" i="105"/>
  <c r="L536" i="105"/>
  <c r="Z556" i="105"/>
  <c r="L556" i="105"/>
  <c r="L668" i="105"/>
  <c r="Z668" i="105"/>
  <c r="R668" i="105" s="1"/>
  <c r="Z694" i="105"/>
  <c r="L694" i="105"/>
  <c r="P316" i="105"/>
  <c r="Z324" i="105"/>
  <c r="L324" i="105"/>
  <c r="S331" i="105"/>
  <c r="Z442" i="105"/>
  <c r="Q474" i="105"/>
  <c r="Z487" i="105"/>
  <c r="L487" i="105"/>
  <c r="Z498" i="105"/>
  <c r="L498" i="105"/>
  <c r="Z519" i="105"/>
  <c r="P519" i="105" s="1"/>
  <c r="Z621" i="105"/>
  <c r="L621" i="105"/>
  <c r="Z677" i="105"/>
  <c r="L677" i="105"/>
  <c r="L702" i="105"/>
  <c r="Z702" i="105"/>
  <c r="L740" i="105"/>
  <c r="Z740" i="105"/>
  <c r="S740" i="105" s="1"/>
  <c r="L742" i="105"/>
  <c r="Z742" i="105"/>
  <c r="T316" i="105"/>
  <c r="T331" i="105"/>
  <c r="Z426" i="105"/>
  <c r="S426" i="105" s="1"/>
  <c r="L426" i="105"/>
  <c r="Z532" i="105"/>
  <c r="L532" i="105"/>
  <c r="Z537" i="105"/>
  <c r="L537" i="105"/>
  <c r="T546" i="105"/>
  <c r="S546" i="105"/>
  <c r="Q549" i="105"/>
  <c r="O549" i="105"/>
  <c r="T601" i="105"/>
  <c r="P601" i="105"/>
  <c r="T610" i="105"/>
  <c r="S610" i="105"/>
  <c r="R610" i="105"/>
  <c r="Q610" i="105"/>
  <c r="R623" i="105"/>
  <c r="P623" i="105"/>
  <c r="Z655" i="105"/>
  <c r="S655" i="105" s="1"/>
  <c r="L655" i="105"/>
  <c r="Z681" i="105"/>
  <c r="R681" i="105" s="1"/>
  <c r="L681" i="105"/>
  <c r="L424" i="105"/>
  <c r="L433" i="105"/>
  <c r="Z433" i="105"/>
  <c r="S433" i="105" s="1"/>
  <c r="L472" i="105"/>
  <c r="L560" i="105"/>
  <c r="Z560" i="105"/>
  <c r="Z574" i="105"/>
  <c r="L574" i="105"/>
  <c r="Z576" i="105"/>
  <c r="R576" i="105" s="1"/>
  <c r="L576" i="105"/>
  <c r="L625" i="105"/>
  <c r="Z625" i="105"/>
  <c r="L685" i="105"/>
  <c r="Z685" i="105"/>
  <c r="T685" i="105" s="1"/>
  <c r="L710" i="105"/>
  <c r="Z710" i="105"/>
  <c r="T710" i="105" s="1"/>
  <c r="L748" i="105"/>
  <c r="Z748" i="105"/>
  <c r="R748" i="105" s="1"/>
  <c r="R235" i="105"/>
  <c r="Q341" i="105"/>
  <c r="P341" i="105"/>
  <c r="P344" i="105"/>
  <c r="R344" i="105"/>
  <c r="Z521" i="105"/>
  <c r="L521" i="105"/>
  <c r="Z539" i="105"/>
  <c r="L539" i="105"/>
  <c r="Z558" i="105"/>
  <c r="L597" i="105"/>
  <c r="T646" i="105"/>
  <c r="S646" i="105"/>
  <c r="R646" i="105"/>
  <c r="Z661" i="105"/>
  <c r="L661" i="105"/>
  <c r="L663" i="105"/>
  <c r="Z663" i="105"/>
  <c r="L726" i="105"/>
  <c r="Z726" i="105"/>
  <c r="R726" i="105" s="1"/>
  <c r="L750" i="105"/>
  <c r="Z750" i="105"/>
  <c r="P407" i="105"/>
  <c r="T407" i="105"/>
  <c r="Z428" i="105"/>
  <c r="L428" i="105"/>
  <c r="Z441" i="105"/>
  <c r="L441" i="105"/>
  <c r="S468" i="105"/>
  <c r="P468" i="105"/>
  <c r="L481" i="105"/>
  <c r="L497" i="105"/>
  <c r="Z497" i="105"/>
  <c r="Z637" i="105"/>
  <c r="L637" i="105"/>
  <c r="Z648" i="105"/>
  <c r="L648" i="105"/>
  <c r="S680" i="105"/>
  <c r="S693" i="105"/>
  <c r="P693" i="105"/>
  <c r="Z758" i="105"/>
  <c r="L758" i="105"/>
  <c r="L356" i="105"/>
  <c r="L385" i="105"/>
  <c r="T509" i="105"/>
  <c r="R509" i="105"/>
  <c r="Q509" i="105"/>
  <c r="Z548" i="105"/>
  <c r="R548" i="105" s="1"/>
  <c r="L586" i="105"/>
  <c r="Z586" i="105"/>
  <c r="Z618" i="105"/>
  <c r="L618" i="105"/>
  <c r="P676" i="105"/>
  <c r="Q676" i="105"/>
  <c r="Z695" i="105"/>
  <c r="T695" i="105" s="1"/>
  <c r="L695" i="105"/>
  <c r="Z756" i="105"/>
  <c r="R756" i="105" s="1"/>
  <c r="L301" i="105"/>
  <c r="L455" i="105"/>
  <c r="Q603" i="105"/>
  <c r="L647" i="105"/>
  <c r="Q651" i="105"/>
  <c r="Z619" i="105"/>
  <c r="Z662" i="105"/>
  <c r="T662" i="105" s="1"/>
  <c r="Z678" i="105"/>
  <c r="O678" i="105" s="1"/>
  <c r="Z552" i="105"/>
  <c r="Q552" i="105" s="1"/>
  <c r="L430" i="105"/>
  <c r="T463" i="105"/>
  <c r="P500" i="105"/>
  <c r="T587" i="105"/>
  <c r="L627" i="105"/>
  <c r="L725" i="105"/>
  <c r="Z755" i="105"/>
  <c r="Q500" i="105"/>
  <c r="O514" i="105"/>
  <c r="Q594" i="105"/>
  <c r="L604" i="105"/>
  <c r="Z654" i="105"/>
  <c r="P656" i="105"/>
  <c r="S682" i="105"/>
  <c r="S703" i="105"/>
  <c r="Z375" i="105"/>
  <c r="P375" i="105" s="1"/>
  <c r="Z418" i="105"/>
  <c r="Q418" i="105" s="1"/>
  <c r="L566" i="105"/>
  <c r="S589" i="105"/>
  <c r="R594" i="105"/>
  <c r="R734" i="105"/>
  <c r="L603" i="105"/>
  <c r="L630" i="105"/>
  <c r="T734" i="105"/>
  <c r="Z17" i="105"/>
  <c r="L17" i="105"/>
  <c r="Z25" i="105"/>
  <c r="L25" i="105"/>
  <c r="Z50" i="105"/>
  <c r="L50" i="105"/>
  <c r="Z24" i="105"/>
  <c r="L24" i="105"/>
  <c r="Z9" i="105"/>
  <c r="L9" i="105"/>
  <c r="L10" i="105"/>
  <c r="Z10" i="105"/>
  <c r="L21" i="105"/>
  <c r="Z21" i="105"/>
  <c r="L29" i="105"/>
  <c r="Z29" i="105"/>
  <c r="Z32" i="105"/>
  <c r="L32" i="105"/>
  <c r="L74" i="105"/>
  <c r="Z74" i="105"/>
  <c r="L115" i="105"/>
  <c r="Z115" i="105"/>
  <c r="P60" i="105"/>
  <c r="O60" i="105"/>
  <c r="S60" i="105"/>
  <c r="T60" i="105"/>
  <c r="R60" i="105"/>
  <c r="Q60" i="105"/>
  <c r="Z183" i="105"/>
  <c r="L183" i="105"/>
  <c r="L232" i="105"/>
  <c r="Z232" i="105"/>
  <c r="L48" i="105"/>
  <c r="Z48" i="105"/>
  <c r="Z20" i="105"/>
  <c r="L20" i="105"/>
  <c r="L27" i="105"/>
  <c r="Z27" i="105"/>
  <c r="L36" i="105"/>
  <c r="Z36" i="105"/>
  <c r="L40" i="105"/>
  <c r="Z40" i="105"/>
  <c r="Z73" i="105"/>
  <c r="L73" i="105"/>
  <c r="L247" i="105"/>
  <c r="Z247" i="105"/>
  <c r="Z13" i="105"/>
  <c r="L13" i="105"/>
  <c r="L239" i="105"/>
  <c r="Z239" i="105"/>
  <c r="L234" i="105"/>
  <c r="Q8" i="105"/>
  <c r="P8" i="105"/>
  <c r="O8" i="105"/>
  <c r="T8" i="105"/>
  <c r="S8" i="105"/>
  <c r="R8" i="105"/>
  <c r="Q72" i="105"/>
  <c r="P72" i="105"/>
  <c r="O72" i="105"/>
  <c r="T72" i="105"/>
  <c r="S72" i="105"/>
  <c r="R72" i="105"/>
  <c r="Z142" i="105"/>
  <c r="L142" i="105"/>
  <c r="Z33" i="105"/>
  <c r="L33" i="105"/>
  <c r="L43" i="105"/>
  <c r="Z43" i="105"/>
  <c r="L108" i="105"/>
  <c r="Z108" i="105"/>
  <c r="P181" i="105"/>
  <c r="R181" i="105"/>
  <c r="T181" i="105"/>
  <c r="S181" i="105"/>
  <c r="Q181" i="105"/>
  <c r="O181" i="105"/>
  <c r="Z14" i="105"/>
  <c r="L195" i="105"/>
  <c r="L200" i="105"/>
  <c r="Z195" i="105"/>
  <c r="L202" i="105"/>
  <c r="Z202" i="105"/>
  <c r="L203" i="105"/>
  <c r="Z203" i="105"/>
  <c r="Z207" i="105"/>
  <c r="L207" i="105"/>
  <c r="O220" i="105"/>
  <c r="Q220" i="105"/>
  <c r="T220" i="105"/>
  <c r="S220" i="105"/>
  <c r="L222" i="105"/>
  <c r="Z222" i="105"/>
  <c r="L225" i="105"/>
  <c r="Z225" i="105"/>
  <c r="L252" i="105"/>
  <c r="L256" i="105"/>
  <c r="Z252" i="105"/>
  <c r="L257" i="105"/>
  <c r="P267" i="105"/>
  <c r="T267" i="105"/>
  <c r="Q267" i="105"/>
  <c r="S267" i="105"/>
  <c r="R267" i="105"/>
  <c r="L281" i="105"/>
  <c r="Z281" i="105"/>
  <c r="Z284" i="105"/>
  <c r="L284" i="105"/>
  <c r="S302" i="105"/>
  <c r="P302" i="105"/>
  <c r="T302" i="105"/>
  <c r="R302" i="105"/>
  <c r="O302" i="105"/>
  <c r="Q302" i="105"/>
  <c r="Z11" i="105"/>
  <c r="S34" i="105"/>
  <c r="P34" i="105"/>
  <c r="O34" i="105"/>
  <c r="L35" i="105"/>
  <c r="Z35" i="105"/>
  <c r="L37" i="105"/>
  <c r="O70" i="105"/>
  <c r="T70" i="105"/>
  <c r="R70" i="105"/>
  <c r="S70" i="105"/>
  <c r="T161" i="105"/>
  <c r="R161" i="105"/>
  <c r="Q161" i="105"/>
  <c r="R57" i="105"/>
  <c r="P57" i="105"/>
  <c r="O57" i="105"/>
  <c r="T57" i="105"/>
  <c r="S128" i="105"/>
  <c r="R128" i="105"/>
  <c r="P128" i="105"/>
  <c r="O128" i="105"/>
  <c r="Q128" i="105"/>
  <c r="L131" i="105"/>
  <c r="Z131" i="105"/>
  <c r="P149" i="105"/>
  <c r="R149" i="105"/>
  <c r="T149" i="105"/>
  <c r="Q149" i="105"/>
  <c r="L153" i="105"/>
  <c r="Z153" i="105"/>
  <c r="O161" i="105"/>
  <c r="P163" i="105"/>
  <c r="R163" i="105"/>
  <c r="T163" i="105"/>
  <c r="S163" i="105"/>
  <c r="O163" i="105"/>
  <c r="T201" i="105"/>
  <c r="R201" i="105"/>
  <c r="S201" i="105"/>
  <c r="Q201" i="105"/>
  <c r="Z205" i="105"/>
  <c r="L205" i="105"/>
  <c r="P212" i="105"/>
  <c r="P220" i="105"/>
  <c r="L250" i="105"/>
  <c r="P264" i="105"/>
  <c r="S264" i="105"/>
  <c r="T264" i="105"/>
  <c r="Q264" i="105"/>
  <c r="O264" i="105"/>
  <c r="L279" i="105"/>
  <c r="Z279" i="105"/>
  <c r="O282" i="105"/>
  <c r="T282" i="105"/>
  <c r="P282" i="105"/>
  <c r="R282" i="105"/>
  <c r="Q282" i="105"/>
  <c r="S282" i="105"/>
  <c r="Z65" i="105"/>
  <c r="L65" i="105"/>
  <c r="S90" i="105"/>
  <c r="O90" i="105"/>
  <c r="R90" i="105"/>
  <c r="L94" i="105"/>
  <c r="Z94" i="105"/>
  <c r="P161" i="105"/>
  <c r="L171" i="105"/>
  <c r="S187" i="105"/>
  <c r="T187" i="105"/>
  <c r="R187" i="105"/>
  <c r="P187" i="105"/>
  <c r="O196" i="105"/>
  <c r="Q196" i="105"/>
  <c r="R196" i="105"/>
  <c r="P196" i="105"/>
  <c r="P197" i="105"/>
  <c r="O197" i="105"/>
  <c r="T197" i="105"/>
  <c r="S197" i="105"/>
  <c r="R197" i="105"/>
  <c r="Z216" i="105"/>
  <c r="L216" i="105"/>
  <c r="L217" i="105"/>
  <c r="Z217" i="105"/>
  <c r="Z218" i="105"/>
  <c r="L218" i="105"/>
  <c r="R220" i="105"/>
  <c r="P227" i="105"/>
  <c r="O227" i="105"/>
  <c r="S227" i="105"/>
  <c r="T227" i="105"/>
  <c r="R227" i="105"/>
  <c r="Q227" i="105"/>
  <c r="L240" i="105"/>
  <c r="Z240" i="105"/>
  <c r="S241" i="105"/>
  <c r="R241" i="105"/>
  <c r="Q241" i="105"/>
  <c r="P241" i="105"/>
  <c r="O241" i="105"/>
  <c r="L253" i="105"/>
  <c r="Q112" i="105"/>
  <c r="T112" i="105"/>
  <c r="S112" i="105"/>
  <c r="P112" i="105"/>
  <c r="Z113" i="105"/>
  <c r="L113" i="105"/>
  <c r="S114" i="105"/>
  <c r="R114" i="105"/>
  <c r="P114" i="105"/>
  <c r="Q114" i="105"/>
  <c r="O114" i="105"/>
  <c r="P117" i="105"/>
  <c r="O117" i="105"/>
  <c r="S117" i="105"/>
  <c r="Z119" i="105"/>
  <c r="L119" i="105"/>
  <c r="Z120" i="105"/>
  <c r="L120" i="105"/>
  <c r="O6" i="105"/>
  <c r="T6" i="105"/>
  <c r="S6" i="105"/>
  <c r="R6" i="105"/>
  <c r="Q64" i="105"/>
  <c r="O64" i="105"/>
  <c r="S64" i="105"/>
  <c r="O69" i="105"/>
  <c r="L71" i="105"/>
  <c r="Z71" i="105"/>
  <c r="P77" i="105"/>
  <c r="O78" i="105"/>
  <c r="S78" i="105"/>
  <c r="T78" i="105"/>
  <c r="P78" i="105"/>
  <c r="O81" i="105"/>
  <c r="L82" i="105"/>
  <c r="Z82" i="105"/>
  <c r="L83" i="105"/>
  <c r="Z83" i="105"/>
  <c r="Q87" i="105"/>
  <c r="L129" i="105"/>
  <c r="Z129" i="105"/>
  <c r="Z130" i="105"/>
  <c r="L151" i="105"/>
  <c r="L130" i="105"/>
  <c r="S154" i="105"/>
  <c r="P154" i="105"/>
  <c r="R154" i="105"/>
  <c r="Q154" i="105"/>
  <c r="S31" i="105"/>
  <c r="T34" i="105"/>
  <c r="L38" i="105"/>
  <c r="S39" i="105"/>
  <c r="R42" i="105"/>
  <c r="L47" i="105"/>
  <c r="P49" i="105"/>
  <c r="O54" i="105"/>
  <c r="R54" i="105"/>
  <c r="Q54" i="105"/>
  <c r="P54" i="105"/>
  <c r="Z61" i="105"/>
  <c r="R64" i="105"/>
  <c r="T69" i="105"/>
  <c r="P70" i="105"/>
  <c r="L72" i="105"/>
  <c r="R76" i="105"/>
  <c r="P76" i="105"/>
  <c r="R78" i="105"/>
  <c r="L84" i="105"/>
  <c r="L86" i="105"/>
  <c r="Q90" i="105"/>
  <c r="Q96" i="105"/>
  <c r="T96" i="105"/>
  <c r="R96" i="105"/>
  <c r="S96" i="105"/>
  <c r="P96" i="105"/>
  <c r="T117" i="105"/>
  <c r="L132" i="105"/>
  <c r="Z132" i="105"/>
  <c r="O149" i="105"/>
  <c r="L154" i="105"/>
  <c r="S161" i="105"/>
  <c r="O172" i="105"/>
  <c r="S172" i="105"/>
  <c r="T172" i="105"/>
  <c r="R172" i="105"/>
  <c r="O187" i="105"/>
  <c r="Q198" i="105"/>
  <c r="S198" i="105"/>
  <c r="P198" i="105"/>
  <c r="O198" i="105"/>
  <c r="P201" i="105"/>
  <c r="S224" i="105"/>
  <c r="R224" i="105"/>
  <c r="O224" i="105"/>
  <c r="T224" i="105"/>
  <c r="L231" i="105"/>
  <c r="Z231" i="105"/>
  <c r="Z236" i="105"/>
  <c r="P243" i="105"/>
  <c r="R243" i="105"/>
  <c r="S243" i="105"/>
  <c r="T243" i="105"/>
  <c r="O243" i="105"/>
  <c r="O250" i="105"/>
  <c r="Q250" i="105"/>
  <c r="P250" i="105"/>
  <c r="T250" i="105"/>
  <c r="O267" i="105"/>
  <c r="T51" i="105"/>
  <c r="S51" i="105"/>
  <c r="L56" i="105"/>
  <c r="Z56" i="105"/>
  <c r="P125" i="105"/>
  <c r="O125" i="105"/>
  <c r="S125" i="105"/>
  <c r="Z127" i="105"/>
  <c r="L127" i="105"/>
  <c r="R12" i="105"/>
  <c r="Q12" i="105"/>
  <c r="P12" i="105"/>
  <c r="Q34" i="105"/>
  <c r="R44" i="105"/>
  <c r="Q125" i="105"/>
  <c r="P23" i="105"/>
  <c r="O23" i="105"/>
  <c r="Z26" i="105"/>
  <c r="R34" i="105"/>
  <c r="Z37" i="105"/>
  <c r="S44" i="105"/>
  <c r="O46" i="105"/>
  <c r="Q46" i="105"/>
  <c r="P46" i="105"/>
  <c r="P47" i="105"/>
  <c r="S47" i="105"/>
  <c r="R47" i="105"/>
  <c r="Q47" i="105"/>
  <c r="R51" i="105"/>
  <c r="Z53" i="105"/>
  <c r="L57" i="105"/>
  <c r="P64" i="105"/>
  <c r="Z66" i="105"/>
  <c r="P6" i="105"/>
  <c r="O12" i="105"/>
  <c r="L19" i="105"/>
  <c r="Z19" i="105"/>
  <c r="P45" i="105"/>
  <c r="T46" i="105"/>
  <c r="P52" i="105"/>
  <c r="T64" i="105"/>
  <c r="Z67" i="105"/>
  <c r="Q70" i="105"/>
  <c r="Z80" i="105"/>
  <c r="L80" i="105"/>
  <c r="T90" i="105"/>
  <c r="L116" i="105"/>
  <c r="Z116" i="105"/>
  <c r="L123" i="105"/>
  <c r="P133" i="105"/>
  <c r="O133" i="105"/>
  <c r="R133" i="105"/>
  <c r="Q133" i="105"/>
  <c r="L134" i="105"/>
  <c r="L137" i="105"/>
  <c r="Z137" i="105"/>
  <c r="S144" i="105"/>
  <c r="P144" i="105"/>
  <c r="Q144" i="105"/>
  <c r="T144" i="105"/>
  <c r="O144" i="105"/>
  <c r="R144" i="105"/>
  <c r="L145" i="105"/>
  <c r="Z145" i="105"/>
  <c r="S149" i="105"/>
  <c r="L152" i="105"/>
  <c r="Q163" i="105"/>
  <c r="Q174" i="105"/>
  <c r="O174" i="105"/>
  <c r="S174" i="105"/>
  <c r="T174" i="105"/>
  <c r="Q187" i="105"/>
  <c r="L197" i="105"/>
  <c r="Z199" i="105"/>
  <c r="L199" i="105"/>
  <c r="O226" i="105"/>
  <c r="P226" i="105"/>
  <c r="T226" i="105"/>
  <c r="S226" i="105"/>
  <c r="Z229" i="105"/>
  <c r="L229" i="105"/>
  <c r="S238" i="105"/>
  <c r="P238" i="105"/>
  <c r="T238" i="105"/>
  <c r="R238" i="105"/>
  <c r="L241" i="105"/>
  <c r="S262" i="105"/>
  <c r="T262" i="105"/>
  <c r="Q262" i="105"/>
  <c r="O262" i="105"/>
  <c r="R262" i="105"/>
  <c r="Z276" i="105"/>
  <c r="L276" i="105"/>
  <c r="Z305" i="105"/>
  <c r="L305" i="105"/>
  <c r="L42" i="105"/>
  <c r="P87" i="105"/>
  <c r="O87" i="105"/>
  <c r="S87" i="105"/>
  <c r="P170" i="105"/>
  <c r="Q170" i="105"/>
  <c r="O170" i="105"/>
  <c r="T170" i="105"/>
  <c r="Q171" i="105"/>
  <c r="P171" i="105"/>
  <c r="T171" i="105"/>
  <c r="S171" i="105"/>
  <c r="R171" i="105"/>
  <c r="R49" i="105"/>
  <c r="O49" i="105"/>
  <c r="Q51" i="105"/>
  <c r="Z75" i="105"/>
  <c r="Q78" i="105"/>
  <c r="S84" i="105"/>
  <c r="R84" i="105"/>
  <c r="Q84" i="105"/>
  <c r="P84" i="105"/>
  <c r="L85" i="105"/>
  <c r="Z85" i="105"/>
  <c r="R87" i="105"/>
  <c r="P90" i="105"/>
  <c r="P95" i="105"/>
  <c r="Q95" i="105"/>
  <c r="O95" i="105"/>
  <c r="T95" i="105"/>
  <c r="Z101" i="105"/>
  <c r="L109" i="105"/>
  <c r="Z109" i="105"/>
  <c r="R112" i="105"/>
  <c r="L114" i="105"/>
  <c r="R117" i="105"/>
  <c r="Z121" i="105"/>
  <c r="Z122" i="105"/>
  <c r="L122" i="105"/>
  <c r="S123" i="105"/>
  <c r="R123" i="105"/>
  <c r="Q123" i="105"/>
  <c r="P123" i="105"/>
  <c r="O123" i="105"/>
  <c r="R125" i="105"/>
  <c r="S23" i="105"/>
  <c r="L28" i="105"/>
  <c r="Z28" i="105"/>
  <c r="P30" i="105"/>
  <c r="O62" i="105"/>
  <c r="S62" i="105"/>
  <c r="R62" i="105"/>
  <c r="Q62" i="105"/>
  <c r="Z97" i="105"/>
  <c r="L97" i="105"/>
  <c r="L104" i="105"/>
  <c r="Z104" i="105"/>
  <c r="Q6" i="105"/>
  <c r="Z7" i="105"/>
  <c r="S12" i="105"/>
  <c r="Q16" i="105"/>
  <c r="R16" i="105"/>
  <c r="O16" i="105"/>
  <c r="P16" i="105"/>
  <c r="Z18" i="105"/>
  <c r="T23" i="105"/>
  <c r="Q30" i="105"/>
  <c r="Q45" i="105"/>
  <c r="S49" i="105"/>
  <c r="Q52" i="105"/>
  <c r="Q57" i="105"/>
  <c r="Z68" i="105"/>
  <c r="L77" i="105"/>
  <c r="P79" i="105"/>
  <c r="R79" i="105"/>
  <c r="O86" i="105"/>
  <c r="T86" i="105"/>
  <c r="S86" i="105"/>
  <c r="Q86" i="105"/>
  <c r="P103" i="105"/>
  <c r="R103" i="105"/>
  <c r="Q103" i="105"/>
  <c r="O103" i="105"/>
  <c r="L107" i="105"/>
  <c r="Z107" i="105"/>
  <c r="P111" i="105"/>
  <c r="S111" i="105"/>
  <c r="R111" i="105"/>
  <c r="Q111" i="105"/>
  <c r="O111" i="105"/>
  <c r="T114" i="105"/>
  <c r="T128" i="105"/>
  <c r="L133" i="105"/>
  <c r="Z135" i="105"/>
  <c r="L135" i="105"/>
  <c r="S136" i="105"/>
  <c r="O136" i="105"/>
  <c r="T136" i="105"/>
  <c r="Q136" i="105"/>
  <c r="R136" i="105"/>
  <c r="L138" i="105"/>
  <c r="Z138" i="105"/>
  <c r="Z143" i="105"/>
  <c r="L143" i="105"/>
  <c r="L147" i="105"/>
  <c r="Z147" i="105"/>
  <c r="Z160" i="105"/>
  <c r="L160" i="105"/>
  <c r="S170" i="105"/>
  <c r="O171" i="105"/>
  <c r="L176" i="105"/>
  <c r="Z176" i="105"/>
  <c r="L182" i="105"/>
  <c r="Z182" i="105"/>
  <c r="S196" i="105"/>
  <c r="L227" i="105"/>
  <c r="Z269" i="105"/>
  <c r="L269" i="105"/>
  <c r="L288" i="105"/>
  <c r="Z288" i="105"/>
  <c r="Z41" i="105"/>
  <c r="L41" i="105"/>
  <c r="O44" i="105"/>
  <c r="L44" i="105"/>
  <c r="R69" i="105"/>
  <c r="P69" i="105"/>
  <c r="Q69" i="105"/>
  <c r="S77" i="105"/>
  <c r="R77" i="105"/>
  <c r="Q77" i="105"/>
  <c r="L99" i="105"/>
  <c r="Z99" i="105"/>
  <c r="L100" i="105"/>
  <c r="Z100" i="105"/>
  <c r="O102" i="105"/>
  <c r="P102" i="105"/>
  <c r="S102" i="105"/>
  <c r="Z105" i="105"/>
  <c r="L105" i="105"/>
  <c r="Z106" i="105"/>
  <c r="L106" i="105"/>
  <c r="Q110" i="105"/>
  <c r="P110" i="105"/>
  <c r="T110" i="105"/>
  <c r="Q134" i="105"/>
  <c r="S134" i="105"/>
  <c r="T134" i="105"/>
  <c r="R134" i="105"/>
  <c r="O134" i="105"/>
  <c r="R139" i="105"/>
  <c r="P139" i="105"/>
  <c r="O139" i="105"/>
  <c r="T139" i="105"/>
  <c r="O154" i="105"/>
  <c r="P157" i="105"/>
  <c r="S157" i="105"/>
  <c r="T157" i="105"/>
  <c r="Q157" i="105"/>
  <c r="R157" i="105"/>
  <c r="Q158" i="105"/>
  <c r="O158" i="105"/>
  <c r="P158" i="105"/>
  <c r="T158" i="105"/>
  <c r="R159" i="105"/>
  <c r="O159" i="105"/>
  <c r="S159" i="105"/>
  <c r="Q159" i="105"/>
  <c r="T159" i="105"/>
  <c r="L161" i="105"/>
  <c r="Z167" i="105"/>
  <c r="L167" i="105"/>
  <c r="S168" i="105"/>
  <c r="T168" i="105"/>
  <c r="O168" i="105"/>
  <c r="Q168" i="105"/>
  <c r="P168" i="105"/>
  <c r="L181" i="105"/>
  <c r="L185" i="105"/>
  <c r="Z185" i="105"/>
  <c r="Z190" i="105"/>
  <c r="L190" i="105"/>
  <c r="Z191" i="105"/>
  <c r="L191" i="105"/>
  <c r="L193" i="105"/>
  <c r="Z193" i="105"/>
  <c r="S194" i="105"/>
  <c r="T194" i="105"/>
  <c r="R194" i="105"/>
  <c r="Q194" i="105"/>
  <c r="P194" i="105"/>
  <c r="O194" i="105"/>
  <c r="T196" i="105"/>
  <c r="R226" i="105"/>
  <c r="Q238" i="105"/>
  <c r="Q244" i="105"/>
  <c r="O244" i="105"/>
  <c r="T244" i="105"/>
  <c r="S244" i="105"/>
  <c r="Z248" i="105"/>
  <c r="L248" i="105"/>
  <c r="Z254" i="105"/>
  <c r="L254" i="105"/>
  <c r="P262" i="105"/>
  <c r="R264" i="105"/>
  <c r="Q268" i="105"/>
  <c r="O268" i="105"/>
  <c r="T268" i="105"/>
  <c r="S268" i="105"/>
  <c r="R268" i="105"/>
  <c r="P268" i="105"/>
  <c r="O22" i="105"/>
  <c r="T22" i="105"/>
  <c r="P55" i="105"/>
  <c r="T55" i="105"/>
  <c r="S55" i="105"/>
  <c r="R55" i="105"/>
  <c r="L59" i="105"/>
  <c r="Z59" i="105"/>
  <c r="S63" i="105"/>
  <c r="O63" i="105"/>
  <c r="R81" i="105"/>
  <c r="T81" i="105"/>
  <c r="S81" i="105"/>
  <c r="Q81" i="105"/>
  <c r="Z89" i="105"/>
  <c r="L89" i="105"/>
  <c r="R22" i="105"/>
  <c r="S30" i="105"/>
  <c r="P31" i="105"/>
  <c r="Q31" i="105"/>
  <c r="O31" i="105"/>
  <c r="O38" i="105"/>
  <c r="P38" i="105"/>
  <c r="P39" i="105"/>
  <c r="R39" i="105"/>
  <c r="O39" i="105"/>
  <c r="Q39" i="105"/>
  <c r="S42" i="105"/>
  <c r="Q42" i="105"/>
  <c r="P42" i="105"/>
  <c r="O42" i="105"/>
  <c r="P44" i="105"/>
  <c r="S45" i="105"/>
  <c r="T47" i="105"/>
  <c r="O51" i="105"/>
  <c r="S52" i="105"/>
  <c r="T84" i="105"/>
  <c r="Q88" i="105"/>
  <c r="S88" i="105"/>
  <c r="P88" i="105"/>
  <c r="R88" i="105"/>
  <c r="O88" i="105"/>
  <c r="L90" i="105"/>
  <c r="L91" i="105"/>
  <c r="Z91" i="105"/>
  <c r="L92" i="105"/>
  <c r="Z92" i="105"/>
  <c r="L93" i="105"/>
  <c r="Z93" i="105"/>
  <c r="S95" i="105"/>
  <c r="S98" i="105"/>
  <c r="P98" i="105"/>
  <c r="O98" i="105"/>
  <c r="T98" i="105"/>
  <c r="R102" i="105"/>
  <c r="P118" i="105"/>
  <c r="S118" i="105"/>
  <c r="T123" i="105"/>
  <c r="Q126" i="105"/>
  <c r="R126" i="105"/>
  <c r="T126" i="105"/>
  <c r="S126" i="105"/>
  <c r="P126" i="105"/>
  <c r="O126" i="105"/>
  <c r="L136" i="105"/>
  <c r="L139" i="105"/>
  <c r="O140" i="105"/>
  <c r="T140" i="105"/>
  <c r="S140" i="105"/>
  <c r="R140" i="105"/>
  <c r="Q140" i="105"/>
  <c r="L144" i="105"/>
  <c r="L150" i="105"/>
  <c r="Z150" i="105"/>
  <c r="T154" i="105"/>
  <c r="O162" i="105"/>
  <c r="S162" i="105"/>
  <c r="R162" i="105"/>
  <c r="P162" i="105"/>
  <c r="Q162" i="105"/>
  <c r="L169" i="105"/>
  <c r="Z169" i="105"/>
  <c r="Q178" i="105"/>
  <c r="R178" i="105"/>
  <c r="P178" i="105"/>
  <c r="O178" i="105"/>
  <c r="Z179" i="105"/>
  <c r="L179" i="105"/>
  <c r="S184" i="105"/>
  <c r="T184" i="105"/>
  <c r="P184" i="105"/>
  <c r="O184" i="105"/>
  <c r="R186" i="105"/>
  <c r="Q186" i="105"/>
  <c r="P186" i="105"/>
  <c r="O186" i="105"/>
  <c r="P189" i="105"/>
  <c r="R189" i="105"/>
  <c r="T189" i="105"/>
  <c r="S189" i="105"/>
  <c r="Q189" i="105"/>
  <c r="Q197" i="105"/>
  <c r="S208" i="105"/>
  <c r="P208" i="105"/>
  <c r="T208" i="105"/>
  <c r="R208" i="105"/>
  <c r="Q208" i="105"/>
  <c r="O208" i="105"/>
  <c r="L209" i="105"/>
  <c r="Z209" i="105"/>
  <c r="Q210" i="105"/>
  <c r="O210" i="105"/>
  <c r="O233" i="105"/>
  <c r="P233" i="105"/>
  <c r="Q233" i="105"/>
  <c r="T233" i="105"/>
  <c r="T241" i="105"/>
  <c r="L265" i="105"/>
  <c r="Z265" i="105"/>
  <c r="O266" i="105"/>
  <c r="S266" i="105"/>
  <c r="P266" i="105"/>
  <c r="T266" i="105"/>
  <c r="R266" i="105"/>
  <c r="Q266" i="105"/>
  <c r="L319" i="105"/>
  <c r="Z319" i="105"/>
  <c r="L103" i="105"/>
  <c r="S152" i="105"/>
  <c r="Q152" i="105"/>
  <c r="P165" i="105"/>
  <c r="T165" i="105"/>
  <c r="R175" i="105"/>
  <c r="Q175" i="105"/>
  <c r="T177" i="105"/>
  <c r="O177" i="105"/>
  <c r="L206" i="105"/>
  <c r="R215" i="105"/>
  <c r="Q215" i="105"/>
  <c r="P219" i="105"/>
  <c r="L230" i="105"/>
  <c r="L235" i="105"/>
  <c r="L237" i="105"/>
  <c r="L245" i="105"/>
  <c r="O249" i="105"/>
  <c r="T249" i="105"/>
  <c r="Q249" i="105"/>
  <c r="S260" i="105"/>
  <c r="L261" i="105"/>
  <c r="Q270" i="105"/>
  <c r="T271" i="105"/>
  <c r="O271" i="105"/>
  <c r="S271" i="105"/>
  <c r="R271" i="105"/>
  <c r="O274" i="105"/>
  <c r="T274" i="105"/>
  <c r="S274" i="105"/>
  <c r="R274" i="105"/>
  <c r="P292" i="105"/>
  <c r="L294" i="105"/>
  <c r="S294" i="105"/>
  <c r="O294" i="105"/>
  <c r="R294" i="105"/>
  <c r="T294" i="105"/>
  <c r="Q294" i="105"/>
  <c r="Z295" i="105"/>
  <c r="L296" i="105"/>
  <c r="P307" i="105"/>
  <c r="T307" i="105"/>
  <c r="S307" i="105"/>
  <c r="R307" i="105"/>
  <c r="Q307" i="105"/>
  <c r="P310" i="105"/>
  <c r="Z313" i="105"/>
  <c r="S318" i="105"/>
  <c r="T318" i="105"/>
  <c r="P318" i="105"/>
  <c r="O318" i="105"/>
  <c r="Z320" i="105"/>
  <c r="L321" i="105"/>
  <c r="Z321" i="105"/>
  <c r="T327" i="105"/>
  <c r="R327" i="105"/>
  <c r="Q327" i="105"/>
  <c r="S327" i="105"/>
  <c r="Z329" i="105"/>
  <c r="L329" i="105"/>
  <c r="Z334" i="105"/>
  <c r="L334" i="105"/>
  <c r="L391" i="105"/>
  <c r="Z391" i="105"/>
  <c r="Q206" i="105"/>
  <c r="T206" i="105"/>
  <c r="P206" i="105"/>
  <c r="R223" i="105"/>
  <c r="O223" i="105"/>
  <c r="P223" i="105"/>
  <c r="R237" i="105"/>
  <c r="S237" i="105"/>
  <c r="O242" i="105"/>
  <c r="P242" i="105"/>
  <c r="R245" i="105"/>
  <c r="P245" i="105"/>
  <c r="S245" i="105"/>
  <c r="P253" i="105"/>
  <c r="O256" i="105"/>
  <c r="R256" i="105"/>
  <c r="T260" i="105"/>
  <c r="R261" i="105"/>
  <c r="P261" i="105"/>
  <c r="Q261" i="105"/>
  <c r="L264" i="105"/>
  <c r="R270" i="105"/>
  <c r="P274" i="105"/>
  <c r="Q278" i="105"/>
  <c r="L280" i="105"/>
  <c r="P283" i="105"/>
  <c r="R283" i="105"/>
  <c r="S283" i="105"/>
  <c r="L304" i="105"/>
  <c r="Q310" i="105"/>
  <c r="Q318" i="105"/>
  <c r="T328" i="105"/>
  <c r="P328" i="105"/>
  <c r="S328" i="105"/>
  <c r="R328" i="105"/>
  <c r="O328" i="105"/>
  <c r="L335" i="105"/>
  <c r="Z335" i="105"/>
  <c r="P384" i="105"/>
  <c r="O384" i="105"/>
  <c r="T384" i="105"/>
  <c r="S384" i="105"/>
  <c r="R384" i="105"/>
  <c r="Q384" i="105"/>
  <c r="Z386" i="105"/>
  <c r="L386" i="105"/>
  <c r="P213" i="105"/>
  <c r="R213" i="105"/>
  <c r="T213" i="105"/>
  <c r="P221" i="105"/>
  <c r="S221" i="105"/>
  <c r="R221" i="105"/>
  <c r="S230" i="105"/>
  <c r="O230" i="105"/>
  <c r="O234" i="105"/>
  <c r="Q234" i="105"/>
  <c r="S234" i="105"/>
  <c r="S242" i="105"/>
  <c r="L243" i="105"/>
  <c r="O251" i="105"/>
  <c r="Q253" i="105"/>
  <c r="P256" i="105"/>
  <c r="P259" i="105"/>
  <c r="T259" i="105"/>
  <c r="S259" i="105"/>
  <c r="O259" i="105"/>
  <c r="R280" i="105"/>
  <c r="Q280" i="105"/>
  <c r="T280" i="105"/>
  <c r="T289" i="105"/>
  <c r="R289" i="105"/>
  <c r="S289" i="105"/>
  <c r="P289" i="105"/>
  <c r="T296" i="105"/>
  <c r="R296" i="105"/>
  <c r="S296" i="105"/>
  <c r="Q296" i="105"/>
  <c r="L302" i="105"/>
  <c r="Q304" i="105"/>
  <c r="R304" i="105"/>
  <c r="O327" i="105"/>
  <c r="Z332" i="105"/>
  <c r="L332" i="105"/>
  <c r="Z351" i="105"/>
  <c r="L351" i="105"/>
  <c r="L357" i="105"/>
  <c r="Z357" i="105"/>
  <c r="L355" i="105"/>
  <c r="R165" i="105"/>
  <c r="P175" i="105"/>
  <c r="R177" i="105"/>
  <c r="P152" i="105"/>
  <c r="L156" i="105"/>
  <c r="O164" i="105"/>
  <c r="R164" i="105"/>
  <c r="S164" i="105"/>
  <c r="S165" i="105"/>
  <c r="Q166" i="105"/>
  <c r="R166" i="105"/>
  <c r="R173" i="105"/>
  <c r="S175" i="105"/>
  <c r="S177" i="105"/>
  <c r="S200" i="105"/>
  <c r="O200" i="105"/>
  <c r="O204" i="105"/>
  <c r="R204" i="105"/>
  <c r="O206" i="105"/>
  <c r="Z211" i="105"/>
  <c r="O213" i="105"/>
  <c r="S215" i="105"/>
  <c r="S219" i="105"/>
  <c r="O221" i="105"/>
  <c r="Q230" i="105"/>
  <c r="R234" i="105"/>
  <c r="O237" i="105"/>
  <c r="T242" i="105"/>
  <c r="O245" i="105"/>
  <c r="L246" i="105"/>
  <c r="R249" i="105"/>
  <c r="R251" i="105"/>
  <c r="S253" i="105"/>
  <c r="Q256" i="105"/>
  <c r="P257" i="105"/>
  <c r="T257" i="105"/>
  <c r="O257" i="105"/>
  <c r="O261" i="105"/>
  <c r="Q271" i="105"/>
  <c r="P275" i="105"/>
  <c r="R275" i="105"/>
  <c r="Q275" i="105"/>
  <c r="Q283" i="105"/>
  <c r="O289" i="105"/>
  <c r="L290" i="105"/>
  <c r="P294" i="105"/>
  <c r="O296" i="105"/>
  <c r="O307" i="105"/>
  <c r="P315" i="105"/>
  <c r="P327" i="105"/>
  <c r="Q328" i="105"/>
  <c r="L342" i="105"/>
  <c r="Z342" i="105"/>
  <c r="L343" i="105"/>
  <c r="Z343" i="105"/>
  <c r="Z349" i="105"/>
  <c r="L349" i="105"/>
  <c r="Z360" i="105"/>
  <c r="L360" i="105"/>
  <c r="O148" i="105"/>
  <c r="P148" i="105"/>
  <c r="S148" i="105"/>
  <c r="R152" i="105"/>
  <c r="T175" i="105"/>
  <c r="Z192" i="105"/>
  <c r="Q213" i="105"/>
  <c r="T215" i="105"/>
  <c r="T219" i="105"/>
  <c r="Q221" i="105"/>
  <c r="Q223" i="105"/>
  <c r="R230" i="105"/>
  <c r="Q245" i="105"/>
  <c r="S256" i="105"/>
  <c r="S261" i="105"/>
  <c r="R273" i="105"/>
  <c r="O273" i="105"/>
  <c r="T273" i="105"/>
  <c r="P273" i="105"/>
  <c r="Z277" i="105"/>
  <c r="L277" i="105"/>
  <c r="O280" i="105"/>
  <c r="L286" i="105"/>
  <c r="Z286" i="105"/>
  <c r="Q289" i="105"/>
  <c r="P291" i="105"/>
  <c r="O291" i="105"/>
  <c r="T291" i="105"/>
  <c r="Q291" i="105"/>
  <c r="S291" i="105"/>
  <c r="P296" i="105"/>
  <c r="O304" i="105"/>
  <c r="L316" i="105"/>
  <c r="O322" i="105"/>
  <c r="S322" i="105"/>
  <c r="R322" i="105"/>
  <c r="Q322" i="105"/>
  <c r="P337" i="105"/>
  <c r="S337" i="105"/>
  <c r="R337" i="105"/>
  <c r="T337" i="105"/>
  <c r="Q337" i="105"/>
  <c r="Z380" i="105"/>
  <c r="L380" i="105"/>
  <c r="L379" i="105"/>
  <c r="O152" i="105"/>
  <c r="Z155" i="105"/>
  <c r="L162" i="105"/>
  <c r="Q148" i="105"/>
  <c r="O156" i="105"/>
  <c r="Q156" i="105"/>
  <c r="R156" i="105"/>
  <c r="S173" i="105"/>
  <c r="L201" i="105"/>
  <c r="R206" i="105"/>
  <c r="P237" i="105"/>
  <c r="R148" i="105"/>
  <c r="L149" i="105"/>
  <c r="R151" i="105"/>
  <c r="T151" i="105"/>
  <c r="T152" i="105"/>
  <c r="P164" i="105"/>
  <c r="L165" i="105"/>
  <c r="P166" i="105"/>
  <c r="T173" i="105"/>
  <c r="O180" i="105"/>
  <c r="T180" i="105"/>
  <c r="O188" i="105"/>
  <c r="P188" i="105"/>
  <c r="R200" i="105"/>
  <c r="Q204" i="105"/>
  <c r="S206" i="105"/>
  <c r="S213" i="105"/>
  <c r="Z214" i="105"/>
  <c r="T221" i="105"/>
  <c r="S223" i="105"/>
  <c r="T228" i="105"/>
  <c r="T230" i="105"/>
  <c r="Q237" i="105"/>
  <c r="T245" i="105"/>
  <c r="S246" i="105"/>
  <c r="Q246" i="105"/>
  <c r="L255" i="105"/>
  <c r="Z255" i="105"/>
  <c r="T256" i="105"/>
  <c r="R259" i="105"/>
  <c r="O260" i="105"/>
  <c r="T261" i="105"/>
  <c r="L273" i="105"/>
  <c r="S275" i="105"/>
  <c r="P280" i="105"/>
  <c r="L287" i="105"/>
  <c r="Z287" i="105"/>
  <c r="Z290" i="105"/>
  <c r="T297" i="105"/>
  <c r="P297" i="105"/>
  <c r="O298" i="105"/>
  <c r="R298" i="105"/>
  <c r="T298" i="105"/>
  <c r="S298" i="105"/>
  <c r="P298" i="105"/>
  <c r="P304" i="105"/>
  <c r="R312" i="105"/>
  <c r="T312" i="105"/>
  <c r="S312" i="105"/>
  <c r="O312" i="105"/>
  <c r="P312" i="105"/>
  <c r="Z317" i="105"/>
  <c r="L318" i="105"/>
  <c r="L317" i="105"/>
  <c r="P322" i="105"/>
  <c r="Q292" i="105"/>
  <c r="S292" i="105"/>
  <c r="T292" i="105"/>
  <c r="O292" i="105"/>
  <c r="Z293" i="105"/>
  <c r="L293" i="105"/>
  <c r="Z325" i="105"/>
  <c r="L325" i="105"/>
  <c r="L330" i="105"/>
  <c r="L331" i="105"/>
  <c r="L337" i="105"/>
  <c r="P251" i="105"/>
  <c r="S251" i="105"/>
  <c r="Q251" i="105"/>
  <c r="R253" i="105"/>
  <c r="O253" i="105"/>
  <c r="L263" i="105"/>
  <c r="Z263" i="105"/>
  <c r="S270" i="105"/>
  <c r="O270" i="105"/>
  <c r="S278" i="105"/>
  <c r="O278" i="105"/>
  <c r="T278" i="105"/>
  <c r="P278" i="105"/>
  <c r="L303" i="105"/>
  <c r="Z303" i="105"/>
  <c r="S310" i="105"/>
  <c r="R310" i="105"/>
  <c r="O310" i="105"/>
  <c r="P339" i="105"/>
  <c r="R339" i="105"/>
  <c r="S339" i="105"/>
  <c r="T339" i="105"/>
  <c r="Q339" i="105"/>
  <c r="P346" i="105"/>
  <c r="T346" i="105"/>
  <c r="Q346" i="105"/>
  <c r="R346" i="105"/>
  <c r="Q355" i="105"/>
  <c r="O355" i="105"/>
  <c r="S355" i="105"/>
  <c r="R355" i="105"/>
  <c r="T355" i="105"/>
  <c r="P355" i="105"/>
  <c r="Z359" i="105"/>
  <c r="L359" i="105"/>
  <c r="P364" i="105"/>
  <c r="O369" i="105"/>
  <c r="P369" i="105"/>
  <c r="T369" i="105"/>
  <c r="R369" i="105"/>
  <c r="Z371" i="105"/>
  <c r="L371" i="105"/>
  <c r="L370" i="105"/>
  <c r="O377" i="105"/>
  <c r="Q377" i="105"/>
  <c r="T377" i="105"/>
  <c r="S377" i="105"/>
  <c r="R377" i="105"/>
  <c r="L378" i="105"/>
  <c r="Z379" i="105"/>
  <c r="S399" i="105"/>
  <c r="T399" i="105"/>
  <c r="R399" i="105"/>
  <c r="O399" i="105"/>
  <c r="L400" i="105"/>
  <c r="Z400" i="105"/>
  <c r="L404" i="105"/>
  <c r="Z413" i="105"/>
  <c r="L413" i="105"/>
  <c r="O338" i="105"/>
  <c r="P338" i="105"/>
  <c r="S338" i="105"/>
  <c r="R338" i="105"/>
  <c r="L340" i="105"/>
  <c r="Z340" i="105"/>
  <c r="L346" i="105"/>
  <c r="L344" i="105"/>
  <c r="T406" i="105"/>
  <c r="P406" i="105"/>
  <c r="S406" i="105"/>
  <c r="O406" i="105"/>
  <c r="T433" i="105"/>
  <c r="L438" i="105"/>
  <c r="Z438" i="105"/>
  <c r="R372" i="105"/>
  <c r="T372" i="105"/>
  <c r="P372" i="105"/>
  <c r="S372" i="105"/>
  <c r="L374" i="105"/>
  <c r="Z374" i="105"/>
  <c r="S381" i="105"/>
  <c r="O381" i="105"/>
  <c r="R381" i="105"/>
  <c r="L382" i="105"/>
  <c r="Z382" i="105"/>
  <c r="T430" i="105"/>
  <c r="P430" i="105"/>
  <c r="R430" i="105"/>
  <c r="O430" i="105"/>
  <c r="S430" i="105"/>
  <c r="Q430" i="105"/>
  <c r="P442" i="105"/>
  <c r="O442" i="105"/>
  <c r="S442" i="105"/>
  <c r="T442" i="105"/>
  <c r="R442" i="105"/>
  <c r="Q442" i="105"/>
  <c r="Q483" i="105"/>
  <c r="O483" i="105"/>
  <c r="R483" i="105"/>
  <c r="S483" i="105"/>
  <c r="T483" i="105"/>
  <c r="P483" i="105"/>
  <c r="P141" i="105"/>
  <c r="Q141" i="105"/>
  <c r="L177" i="105"/>
  <c r="P235" i="105"/>
  <c r="Q235" i="105"/>
  <c r="T235" i="105"/>
  <c r="Q272" i="105"/>
  <c r="R272" i="105"/>
  <c r="Z285" i="105"/>
  <c r="L285" i="105"/>
  <c r="L289" i="105"/>
  <c r="L292" i="105"/>
  <c r="P299" i="105"/>
  <c r="Q299" i="105"/>
  <c r="O299" i="105"/>
  <c r="R299" i="105"/>
  <c r="Q308" i="105"/>
  <c r="P308" i="105"/>
  <c r="S308" i="105"/>
  <c r="R309" i="105"/>
  <c r="S309" i="105"/>
  <c r="Q309" i="105"/>
  <c r="T309" i="105"/>
  <c r="P323" i="105"/>
  <c r="O323" i="105"/>
  <c r="T323" i="105"/>
  <c r="S323" i="105"/>
  <c r="Q324" i="105"/>
  <c r="S324" i="105"/>
  <c r="P324" i="105"/>
  <c r="T324" i="105"/>
  <c r="Z333" i="105"/>
  <c r="L333" i="105"/>
  <c r="O336" i="105"/>
  <c r="T336" i="105"/>
  <c r="Q336" i="105"/>
  <c r="P336" i="105"/>
  <c r="T338" i="105"/>
  <c r="L341" i="105"/>
  <c r="S346" i="105"/>
  <c r="Z352" i="105"/>
  <c r="O361" i="105"/>
  <c r="T361" i="105"/>
  <c r="S361" i="105"/>
  <c r="R361" i="105"/>
  <c r="L363" i="105"/>
  <c r="Z363" i="105"/>
  <c r="Z365" i="105"/>
  <c r="L365" i="105"/>
  <c r="S373" i="105"/>
  <c r="P373" i="105"/>
  <c r="O373" i="105"/>
  <c r="Q373" i="105"/>
  <c r="P381" i="105"/>
  <c r="P394" i="105"/>
  <c r="R394" i="105"/>
  <c r="T394" i="105"/>
  <c r="O394" i="105"/>
  <c r="Z395" i="105"/>
  <c r="Q399" i="105"/>
  <c r="R406" i="105"/>
  <c r="L408" i="105"/>
  <c r="Z408" i="105"/>
  <c r="O409" i="105"/>
  <c r="R409" i="105"/>
  <c r="P409" i="105"/>
  <c r="Q409" i="105"/>
  <c r="S409" i="105"/>
  <c r="T409" i="105"/>
  <c r="P410" i="105"/>
  <c r="T410" i="105"/>
  <c r="S410" i="105"/>
  <c r="O410" i="105"/>
  <c r="Z456" i="105"/>
  <c r="L456" i="105"/>
  <c r="P362" i="105"/>
  <c r="R362" i="105"/>
  <c r="Q362" i="105"/>
  <c r="T362" i="105"/>
  <c r="S362" i="105"/>
  <c r="R364" i="105"/>
  <c r="S364" i="105"/>
  <c r="O364" i="105"/>
  <c r="T364" i="105"/>
  <c r="S375" i="105"/>
  <c r="T375" i="105"/>
  <c r="R375" i="105"/>
  <c r="Q375" i="105"/>
  <c r="P402" i="105"/>
  <c r="S402" i="105"/>
  <c r="R402" i="105"/>
  <c r="O402" i="105"/>
  <c r="Q402" i="105"/>
  <c r="S448" i="105"/>
  <c r="P448" i="105"/>
  <c r="R448" i="105"/>
  <c r="O448" i="105"/>
  <c r="T448" i="105"/>
  <c r="Q448" i="105"/>
  <c r="Q487" i="105"/>
  <c r="P487" i="105"/>
  <c r="R487" i="105"/>
  <c r="T487" i="105"/>
  <c r="S487" i="105"/>
  <c r="O487" i="105"/>
  <c r="Z495" i="105"/>
  <c r="L495" i="105"/>
  <c r="L300" i="105"/>
  <c r="Z300" i="105"/>
  <c r="S326" i="105"/>
  <c r="O326" i="105"/>
  <c r="P326" i="105"/>
  <c r="Q326" i="105"/>
  <c r="S341" i="105"/>
  <c r="R341" i="105"/>
  <c r="T341" i="105"/>
  <c r="L364" i="105"/>
  <c r="R367" i="105"/>
  <c r="Q367" i="105"/>
  <c r="T367" i="105"/>
  <c r="S367" i="105"/>
  <c r="P367" i="105"/>
  <c r="L368" i="105"/>
  <c r="Z368" i="105"/>
  <c r="O372" i="105"/>
  <c r="T381" i="105"/>
  <c r="L384" i="105"/>
  <c r="Z392" i="105"/>
  <c r="L394" i="105"/>
  <c r="L398" i="105"/>
  <c r="Z398" i="105"/>
  <c r="R301" i="105"/>
  <c r="O301" i="105"/>
  <c r="T301" i="105"/>
  <c r="P301" i="105"/>
  <c r="L311" i="105"/>
  <c r="Z311" i="105"/>
  <c r="L326" i="105"/>
  <c r="L327" i="105"/>
  <c r="O330" i="105"/>
  <c r="T330" i="105"/>
  <c r="Q330" i="105"/>
  <c r="P330" i="105"/>
  <c r="O341" i="105"/>
  <c r="O345" i="105"/>
  <c r="R345" i="105"/>
  <c r="S345" i="105"/>
  <c r="T345" i="105"/>
  <c r="L350" i="105"/>
  <c r="Z350" i="105"/>
  <c r="T366" i="105"/>
  <c r="P366" i="105"/>
  <c r="R366" i="105"/>
  <c r="Q372" i="105"/>
  <c r="O375" i="105"/>
  <c r="T376" i="105"/>
  <c r="P376" i="105"/>
  <c r="S376" i="105"/>
  <c r="O376" i="105"/>
  <c r="Z387" i="105"/>
  <c r="L387" i="105"/>
  <c r="Z388" i="105"/>
  <c r="L388" i="105"/>
  <c r="L389" i="105"/>
  <c r="Z389" i="105"/>
  <c r="Z390" i="105"/>
  <c r="Z397" i="105"/>
  <c r="L397" i="105"/>
  <c r="L401" i="105"/>
  <c r="L402" i="105"/>
  <c r="L403" i="105"/>
  <c r="Z403" i="105"/>
  <c r="R404" i="105"/>
  <c r="O404" i="105"/>
  <c r="P404" i="105"/>
  <c r="Q404" i="105"/>
  <c r="S404" i="105"/>
  <c r="L405" i="105"/>
  <c r="Z405" i="105"/>
  <c r="P418" i="105"/>
  <c r="S418" i="105"/>
  <c r="R418" i="105"/>
  <c r="O418" i="105"/>
  <c r="T418" i="105"/>
  <c r="L448" i="105"/>
  <c r="Q451" i="105"/>
  <c r="T451" i="105"/>
  <c r="S451" i="105"/>
  <c r="R451" i="105"/>
  <c r="P451" i="105"/>
  <c r="O451" i="105"/>
  <c r="Z467" i="105"/>
  <c r="L461" i="105"/>
  <c r="L467" i="105"/>
  <c r="Z412" i="105"/>
  <c r="L412" i="105"/>
  <c r="L414" i="105"/>
  <c r="Z414" i="105"/>
  <c r="T422" i="105"/>
  <c r="O422" i="105"/>
  <c r="Q422" i="105"/>
  <c r="R422" i="105"/>
  <c r="P422" i="105"/>
  <c r="S422" i="105"/>
  <c r="Z431" i="105"/>
  <c r="L431" i="105"/>
  <c r="S432" i="105"/>
  <c r="R432" i="105"/>
  <c r="Q432" i="105"/>
  <c r="O432" i="105"/>
  <c r="P432" i="105"/>
  <c r="T432" i="105"/>
  <c r="L440" i="105"/>
  <c r="Z440" i="105"/>
  <c r="Z443" i="105"/>
  <c r="L443" i="105"/>
  <c r="S469" i="105"/>
  <c r="R469" i="105"/>
  <c r="O469" i="105"/>
  <c r="Q469" i="105"/>
  <c r="P469" i="105"/>
  <c r="T469" i="105"/>
  <c r="Q316" i="105"/>
  <c r="R316" i="105"/>
  <c r="S348" i="105"/>
  <c r="T358" i="105"/>
  <c r="O358" i="105"/>
  <c r="Q435" i="105"/>
  <c r="R435" i="105"/>
  <c r="O435" i="105"/>
  <c r="T435" i="105"/>
  <c r="S437" i="105"/>
  <c r="O437" i="105"/>
  <c r="O258" i="105"/>
  <c r="R258" i="105"/>
  <c r="O306" i="105"/>
  <c r="T306" i="105"/>
  <c r="Q306" i="105"/>
  <c r="L314" i="105"/>
  <c r="Z314" i="105"/>
  <c r="Q347" i="105"/>
  <c r="R347" i="105"/>
  <c r="T347" i="105"/>
  <c r="R356" i="105"/>
  <c r="Q356" i="105"/>
  <c r="Q358" i="105"/>
  <c r="Z378" i="105"/>
  <c r="Z383" i="105"/>
  <c r="O417" i="105"/>
  <c r="S417" i="105"/>
  <c r="Q417" i="105"/>
  <c r="R424" i="105"/>
  <c r="Q424" i="105"/>
  <c r="P424" i="105"/>
  <c r="R437" i="105"/>
  <c r="L447" i="105"/>
  <c r="Z447" i="105"/>
  <c r="Z449" i="105"/>
  <c r="Z460" i="105"/>
  <c r="L460" i="105"/>
  <c r="L465" i="105"/>
  <c r="L474" i="105"/>
  <c r="T478" i="105"/>
  <c r="R478" i="105"/>
  <c r="O478" i="105"/>
  <c r="Q480" i="105"/>
  <c r="O480" i="105"/>
  <c r="S480" i="105"/>
  <c r="P480" i="105"/>
  <c r="L485" i="105"/>
  <c r="Z485" i="105"/>
  <c r="P490" i="105"/>
  <c r="Q490" i="105"/>
  <c r="R490" i="105"/>
  <c r="Z522" i="105"/>
  <c r="L522" i="105"/>
  <c r="L523" i="105"/>
  <c r="Z523" i="105"/>
  <c r="Z524" i="105"/>
  <c r="L524" i="105"/>
  <c r="P415" i="105"/>
  <c r="T415" i="105"/>
  <c r="Q415" i="105"/>
  <c r="R436" i="105"/>
  <c r="T436" i="105"/>
  <c r="O436" i="105"/>
  <c r="Q436" i="105"/>
  <c r="Z461" i="105"/>
  <c r="L468" i="105"/>
  <c r="O463" i="105"/>
  <c r="L464" i="105"/>
  <c r="Z471" i="105"/>
  <c r="Q478" i="105"/>
  <c r="L480" i="105"/>
  <c r="Z486" i="105"/>
  <c r="T494" i="105"/>
  <c r="P494" i="105"/>
  <c r="R494" i="105"/>
  <c r="S494" i="105"/>
  <c r="Z512" i="105"/>
  <c r="L514" i="105"/>
  <c r="O481" i="105"/>
  <c r="S481" i="105"/>
  <c r="R481" i="105"/>
  <c r="P481" i="105"/>
  <c r="Q491" i="105"/>
  <c r="P491" i="105"/>
  <c r="R491" i="105"/>
  <c r="T491" i="105"/>
  <c r="O505" i="105"/>
  <c r="P505" i="105"/>
  <c r="S505" i="105"/>
  <c r="R505" i="105"/>
  <c r="O513" i="105"/>
  <c r="Q513" i="105"/>
  <c r="R513" i="105"/>
  <c r="S513" i="105"/>
  <c r="T513" i="105"/>
  <c r="L528" i="105"/>
  <c r="Z528" i="105"/>
  <c r="P536" i="105"/>
  <c r="T536" i="105"/>
  <c r="R536" i="105"/>
  <c r="S536" i="105"/>
  <c r="Q536" i="105"/>
  <c r="O536" i="105"/>
  <c r="S316" i="105"/>
  <c r="L323" i="105"/>
  <c r="L339" i="105"/>
  <c r="R348" i="105"/>
  <c r="P348" i="105"/>
  <c r="R415" i="105"/>
  <c r="Z421" i="105"/>
  <c r="Z427" i="105"/>
  <c r="S435" i="105"/>
  <c r="Z439" i="105"/>
  <c r="Z444" i="105"/>
  <c r="L444" i="105"/>
  <c r="S453" i="105"/>
  <c r="P453" i="105"/>
  <c r="R453" i="105"/>
  <c r="Q453" i="105"/>
  <c r="L454" i="105"/>
  <c r="Z454" i="105"/>
  <c r="L462" i="105"/>
  <c r="R476" i="105"/>
  <c r="P476" i="105"/>
  <c r="T476" i="105"/>
  <c r="S476" i="105"/>
  <c r="O476" i="105"/>
  <c r="R492" i="105"/>
  <c r="S492" i="105"/>
  <c r="P492" i="105"/>
  <c r="Q492" i="105"/>
  <c r="S496" i="105"/>
  <c r="T496" i="105"/>
  <c r="P496" i="105"/>
  <c r="Z499" i="105"/>
  <c r="L499" i="105"/>
  <c r="Q505" i="105"/>
  <c r="L513" i="105"/>
  <c r="Z516" i="105"/>
  <c r="L516" i="105"/>
  <c r="Z535" i="105"/>
  <c r="L535" i="105"/>
  <c r="Z541" i="105"/>
  <c r="L541" i="105"/>
  <c r="L543" i="105"/>
  <c r="Z543" i="105"/>
  <c r="Q419" i="105"/>
  <c r="O419" i="105"/>
  <c r="P419" i="105"/>
  <c r="T419" i="105"/>
  <c r="R419" i="105"/>
  <c r="O464" i="105"/>
  <c r="P464" i="105"/>
  <c r="S464" i="105"/>
  <c r="O465" i="105"/>
  <c r="Q465" i="105"/>
  <c r="S465" i="105"/>
  <c r="T465" i="105"/>
  <c r="Q475" i="105"/>
  <c r="P475" i="105"/>
  <c r="T475" i="105"/>
  <c r="T505" i="105"/>
  <c r="O515" i="105"/>
  <c r="S515" i="105"/>
  <c r="R515" i="105"/>
  <c r="O529" i="105"/>
  <c r="O425" i="105"/>
  <c r="T425" i="105"/>
  <c r="S445" i="105"/>
  <c r="O445" i="105"/>
  <c r="Q445" i="105"/>
  <c r="T445" i="105"/>
  <c r="P445" i="105"/>
  <c r="O457" i="105"/>
  <c r="P457" i="105"/>
  <c r="T457" i="105"/>
  <c r="T462" i="105"/>
  <c r="S462" i="105"/>
  <c r="O462" i="105"/>
  <c r="L466" i="105"/>
  <c r="L470" i="105"/>
  <c r="Z470" i="105"/>
  <c r="Q481" i="105"/>
  <c r="P482" i="105"/>
  <c r="O482" i="105"/>
  <c r="T482" i="105"/>
  <c r="Z484" i="105"/>
  <c r="L484" i="105"/>
  <c r="Z488" i="105"/>
  <c r="L488" i="105"/>
  <c r="O491" i="105"/>
  <c r="L501" i="105"/>
  <c r="Z501" i="105"/>
  <c r="L502" i="105"/>
  <c r="Z502" i="105"/>
  <c r="S533" i="105"/>
  <c r="R533" i="105"/>
  <c r="O533" i="105"/>
  <c r="T533" i="105"/>
  <c r="Q533" i="105"/>
  <c r="P533" i="105"/>
  <c r="P538" i="105"/>
  <c r="Q538" i="105"/>
  <c r="Z540" i="105"/>
  <c r="L540" i="105"/>
  <c r="P370" i="105"/>
  <c r="R370" i="105"/>
  <c r="L373" i="105"/>
  <c r="O385" i="105"/>
  <c r="R385" i="105"/>
  <c r="T385" i="105"/>
  <c r="O407" i="105"/>
  <c r="S407" i="105"/>
  <c r="Q407" i="105"/>
  <c r="L410" i="105"/>
  <c r="Z416" i="105"/>
  <c r="L419" i="105"/>
  <c r="R425" i="105"/>
  <c r="P437" i="105"/>
  <c r="O441" i="105"/>
  <c r="T441" i="105"/>
  <c r="Q441" i="105"/>
  <c r="R457" i="105"/>
  <c r="P458" i="105"/>
  <c r="R458" i="105"/>
  <c r="S458" i="105"/>
  <c r="T458" i="105"/>
  <c r="O458" i="105"/>
  <c r="Q462" i="105"/>
  <c r="L463" i="105"/>
  <c r="T464" i="105"/>
  <c r="O473" i="105"/>
  <c r="R473" i="105"/>
  <c r="T473" i="105"/>
  <c r="S473" i="105"/>
  <c r="S475" i="105"/>
  <c r="T481" i="105"/>
  <c r="Q482" i="105"/>
  <c r="L483" i="105"/>
  <c r="O489" i="105"/>
  <c r="T489" i="105"/>
  <c r="P489" i="105"/>
  <c r="S489" i="105"/>
  <c r="Q489" i="105"/>
  <c r="S491" i="105"/>
  <c r="O496" i="105"/>
  <c r="P513" i="105"/>
  <c r="Z525" i="105"/>
  <c r="L525" i="105"/>
  <c r="Q370" i="105"/>
  <c r="L376" i="105"/>
  <c r="R396" i="105"/>
  <c r="Q396" i="105"/>
  <c r="R420" i="105"/>
  <c r="Q420" i="105"/>
  <c r="O420" i="105"/>
  <c r="Z423" i="105"/>
  <c r="S425" i="105"/>
  <c r="Z429" i="105"/>
  <c r="L429" i="105"/>
  <c r="S457" i="105"/>
  <c r="R462" i="105"/>
  <c r="R463" i="105"/>
  <c r="P463" i="105"/>
  <c r="P465" i="105"/>
  <c r="Z466" i="105"/>
  <c r="P474" i="105"/>
  <c r="T474" i="105"/>
  <c r="R474" i="105"/>
  <c r="O474" i="105"/>
  <c r="L479" i="105"/>
  <c r="Z479" i="105"/>
  <c r="R482" i="105"/>
  <c r="O492" i="105"/>
  <c r="Z493" i="105"/>
  <c r="T518" i="105"/>
  <c r="S518" i="105"/>
  <c r="Q518" i="105"/>
  <c r="P518" i="105"/>
  <c r="O518" i="105"/>
  <c r="T519" i="105"/>
  <c r="O519" i="105"/>
  <c r="R519" i="105"/>
  <c r="Q519" i="105"/>
  <c r="S519" i="105"/>
  <c r="L530" i="105"/>
  <c r="L534" i="105"/>
  <c r="Z534" i="105"/>
  <c r="Z547" i="105"/>
  <c r="L547" i="105"/>
  <c r="Q553" i="105"/>
  <c r="S553" i="105"/>
  <c r="T553" i="105"/>
  <c r="O553" i="105"/>
  <c r="P553" i="105"/>
  <c r="P331" i="105"/>
  <c r="Q331" i="105"/>
  <c r="O393" i="105"/>
  <c r="P393" i="105"/>
  <c r="Q393" i="105"/>
  <c r="O401" i="105"/>
  <c r="Q401" i="105"/>
  <c r="R428" i="105"/>
  <c r="S428" i="105"/>
  <c r="L446" i="105"/>
  <c r="Z446" i="105"/>
  <c r="L459" i="105"/>
  <c r="L477" i="105"/>
  <c r="S477" i="105"/>
  <c r="T477" i="105"/>
  <c r="R477" i="105"/>
  <c r="Z503" i="105"/>
  <c r="L503" i="105"/>
  <c r="L504" i="105"/>
  <c r="Z504" i="105"/>
  <c r="Z520" i="105"/>
  <c r="R553" i="105"/>
  <c r="P428" i="105"/>
  <c r="P434" i="105"/>
  <c r="O434" i="105"/>
  <c r="Q452" i="105"/>
  <c r="P455" i="105"/>
  <c r="Q455" i="105"/>
  <c r="Z459" i="105"/>
  <c r="R468" i="105"/>
  <c r="O468" i="105"/>
  <c r="T468" i="105"/>
  <c r="P472" i="105"/>
  <c r="O472" i="105"/>
  <c r="P477" i="105"/>
  <c r="L511" i="105"/>
  <c r="Z511" i="105"/>
  <c r="L526" i="105"/>
  <c r="Z526" i="105"/>
  <c r="P530" i="105"/>
  <c r="S530" i="105"/>
  <c r="Q530" i="105"/>
  <c r="R530" i="105"/>
  <c r="T530" i="105"/>
  <c r="O530" i="105"/>
  <c r="L531" i="105"/>
  <c r="Z531" i="105"/>
  <c r="Q507" i="105"/>
  <c r="S507" i="105"/>
  <c r="R507" i="105"/>
  <c r="Z508" i="105"/>
  <c r="L508" i="105"/>
  <c r="Z527" i="105"/>
  <c r="L527" i="105"/>
  <c r="Q560" i="105"/>
  <c r="T560" i="105"/>
  <c r="O560" i="105"/>
  <c r="R560" i="105"/>
  <c r="P560" i="105"/>
  <c r="S560" i="105"/>
  <c r="T542" i="105"/>
  <c r="R542" i="105"/>
  <c r="O542" i="105"/>
  <c r="Q542" i="105"/>
  <c r="R500" i="105"/>
  <c r="T500" i="105"/>
  <c r="O500" i="105"/>
  <c r="L510" i="105"/>
  <c r="Z510" i="105"/>
  <c r="P514" i="105"/>
  <c r="Q514" i="105"/>
  <c r="T514" i="105"/>
  <c r="R514" i="105"/>
  <c r="S517" i="105"/>
  <c r="P517" i="105"/>
  <c r="R517" i="105"/>
  <c r="P542" i="105"/>
  <c r="L577" i="105"/>
  <c r="Z577" i="105"/>
  <c r="L354" i="105"/>
  <c r="L358" i="105"/>
  <c r="L369" i="105"/>
  <c r="P450" i="105"/>
  <c r="Q450" i="105"/>
  <c r="P506" i="105"/>
  <c r="O506" i="105"/>
  <c r="S506" i="105"/>
  <c r="T506" i="105"/>
  <c r="Q506" i="105"/>
  <c r="S550" i="105"/>
  <c r="T550" i="105"/>
  <c r="Q550" i="105"/>
  <c r="O550" i="105"/>
  <c r="R550" i="105"/>
  <c r="Z565" i="105"/>
  <c r="L565" i="105"/>
  <c r="Q539" i="105"/>
  <c r="R539" i="105"/>
  <c r="P539" i="105"/>
  <c r="T539" i="105"/>
  <c r="Z557" i="105"/>
  <c r="L557" i="105"/>
  <c r="Z564" i="105"/>
  <c r="L564" i="105"/>
  <c r="L567" i="105"/>
  <c r="Z567" i="105"/>
  <c r="O578" i="105"/>
  <c r="S578" i="105"/>
  <c r="P578" i="105"/>
  <c r="T578" i="105"/>
  <c r="R578" i="105"/>
  <c r="L583" i="105"/>
  <c r="Z583" i="105"/>
  <c r="Z584" i="105"/>
  <c r="L588" i="105"/>
  <c r="Z588" i="105"/>
  <c r="Z595" i="105"/>
  <c r="L594" i="105"/>
  <c r="L595" i="105"/>
  <c r="R532" i="105"/>
  <c r="O532" i="105"/>
  <c r="O546" i="105"/>
  <c r="R546" i="105"/>
  <c r="P546" i="105"/>
  <c r="O554" i="105"/>
  <c r="S554" i="105"/>
  <c r="Q554" i="105"/>
  <c r="Q556" i="105"/>
  <c r="O556" i="105"/>
  <c r="P556" i="105"/>
  <c r="R556" i="105"/>
  <c r="L559" i="105"/>
  <c r="Z559" i="105"/>
  <c r="Z561" i="105"/>
  <c r="L561" i="105"/>
  <c r="S569" i="105"/>
  <c r="Q569" i="105"/>
  <c r="P569" i="105"/>
  <c r="R569" i="105"/>
  <c r="L570" i="105"/>
  <c r="Z570" i="105"/>
  <c r="S609" i="105"/>
  <c r="O609" i="105"/>
  <c r="P609" i="105"/>
  <c r="T609" i="105"/>
  <c r="P619" i="105"/>
  <c r="R619" i="105"/>
  <c r="Q619" i="105"/>
  <c r="T619" i="105"/>
  <c r="O619" i="105"/>
  <c r="S619" i="105"/>
  <c r="S606" i="105"/>
  <c r="O606" i="105"/>
  <c r="R606" i="105"/>
  <c r="Q606" i="105"/>
  <c r="T606" i="105"/>
  <c r="P606" i="105"/>
  <c r="R609" i="105"/>
  <c r="L617" i="105"/>
  <c r="Z617" i="105"/>
  <c r="L509" i="105"/>
  <c r="O521" i="105"/>
  <c r="P521" i="105"/>
  <c r="R554" i="105"/>
  <c r="S558" i="105"/>
  <c r="P558" i="105"/>
  <c r="O558" i="105"/>
  <c r="S566" i="105"/>
  <c r="P566" i="105"/>
  <c r="O566" i="105"/>
  <c r="Q566" i="105"/>
  <c r="O569" i="105"/>
  <c r="Z582" i="105"/>
  <c r="L582" i="105"/>
  <c r="Z593" i="105"/>
  <c r="L593" i="105"/>
  <c r="L608" i="105"/>
  <c r="Z608" i="105"/>
  <c r="S509" i="105"/>
  <c r="O509" i="105"/>
  <c r="O544" i="105"/>
  <c r="S544" i="105"/>
  <c r="T544" i="105"/>
  <c r="Z545" i="105"/>
  <c r="L545" i="105"/>
  <c r="Q548" i="105"/>
  <c r="T548" i="105"/>
  <c r="O548" i="105"/>
  <c r="S548" i="105"/>
  <c r="R552" i="105"/>
  <c r="O552" i="105"/>
  <c r="T552" i="105"/>
  <c r="S552" i="105"/>
  <c r="L575" i="105"/>
  <c r="Z575" i="105"/>
  <c r="S576" i="105"/>
  <c r="P576" i="105"/>
  <c r="O576" i="105"/>
  <c r="Q576" i="105"/>
  <c r="T576" i="105"/>
  <c r="Z580" i="105"/>
  <c r="L580" i="105"/>
  <c r="L591" i="105"/>
  <c r="Z591" i="105"/>
  <c r="Q544" i="105"/>
  <c r="P548" i="105"/>
  <c r="Z590" i="105"/>
  <c r="L590" i="105"/>
  <c r="R592" i="105"/>
  <c r="Q592" i="105"/>
  <c r="O592" i="105"/>
  <c r="S592" i="105"/>
  <c r="T592" i="105"/>
  <c r="L607" i="105"/>
  <c r="Z607" i="105"/>
  <c r="L601" i="105"/>
  <c r="Z644" i="105"/>
  <c r="L644" i="105"/>
  <c r="Z562" i="105"/>
  <c r="L562" i="105"/>
  <c r="Q572" i="105"/>
  <c r="R572" i="105"/>
  <c r="S572" i="105"/>
  <c r="P572" i="105"/>
  <c r="T572" i="105"/>
  <c r="P600" i="105"/>
  <c r="O600" i="105"/>
  <c r="Q600" i="105"/>
  <c r="S630" i="105"/>
  <c r="R630" i="105"/>
  <c r="T630" i="105"/>
  <c r="P630" i="105"/>
  <c r="O630" i="105"/>
  <c r="O537" i="105"/>
  <c r="R537" i="105"/>
  <c r="R568" i="105"/>
  <c r="T568" i="105"/>
  <c r="O568" i="105"/>
  <c r="O571" i="105"/>
  <c r="Z573" i="105"/>
  <c r="L573" i="105"/>
  <c r="O586" i="105"/>
  <c r="T586" i="105"/>
  <c r="P586" i="105"/>
  <c r="S598" i="105"/>
  <c r="Q598" i="105"/>
  <c r="R598" i="105"/>
  <c r="P598" i="105"/>
  <c r="T598" i="105"/>
  <c r="S600" i="105"/>
  <c r="O601" i="105"/>
  <c r="R601" i="105"/>
  <c r="Q601" i="105"/>
  <c r="S601" i="105"/>
  <c r="P611" i="105"/>
  <c r="Q611" i="105"/>
  <c r="S611" i="105"/>
  <c r="T611" i="105"/>
  <c r="O611" i="105"/>
  <c r="Q612" i="105"/>
  <c r="T612" i="105"/>
  <c r="P612" i="105"/>
  <c r="O612" i="105"/>
  <c r="R612" i="105"/>
  <c r="L633" i="105"/>
  <c r="P635" i="105"/>
  <c r="T635" i="105"/>
  <c r="S635" i="105"/>
  <c r="Q635" i="105"/>
  <c r="L641" i="105"/>
  <c r="Z641" i="105"/>
  <c r="T600" i="105"/>
  <c r="Z602" i="105"/>
  <c r="L602" i="105"/>
  <c r="L614" i="105"/>
  <c r="Z614" i="105"/>
  <c r="T642" i="105"/>
  <c r="O642" i="105"/>
  <c r="R642" i="105"/>
  <c r="S642" i="105"/>
  <c r="P642" i="105"/>
  <c r="Q643" i="105"/>
  <c r="P643" i="105"/>
  <c r="O643" i="105"/>
  <c r="T643" i="105"/>
  <c r="R643" i="105"/>
  <c r="S643" i="105"/>
  <c r="S574" i="105"/>
  <c r="Q574" i="105"/>
  <c r="P574" i="105"/>
  <c r="R574" i="105"/>
  <c r="S586" i="105"/>
  <c r="O594" i="105"/>
  <c r="P594" i="105"/>
  <c r="S594" i="105"/>
  <c r="L598" i="105"/>
  <c r="L611" i="105"/>
  <c r="Z613" i="105"/>
  <c r="L613" i="105"/>
  <c r="P627" i="105"/>
  <c r="S627" i="105"/>
  <c r="O627" i="105"/>
  <c r="R627" i="105"/>
  <c r="Q627" i="105"/>
  <c r="T627" i="105"/>
  <c r="Z631" i="105"/>
  <c r="O635" i="105"/>
  <c r="R549" i="105"/>
  <c r="P549" i="105"/>
  <c r="S549" i="105"/>
  <c r="L555" i="105"/>
  <c r="Z555" i="105"/>
  <c r="L554" i="105"/>
  <c r="P563" i="105"/>
  <c r="T563" i="105"/>
  <c r="O563" i="105"/>
  <c r="Z579" i="105"/>
  <c r="L579" i="105"/>
  <c r="L585" i="105"/>
  <c r="Z585" i="105"/>
  <c r="R589" i="105"/>
  <c r="P589" i="105"/>
  <c r="O589" i="105"/>
  <c r="Q589" i="105"/>
  <c r="L596" i="105"/>
  <c r="Z596" i="105"/>
  <c r="Z599" i="105"/>
  <c r="P603" i="105"/>
  <c r="S603" i="105"/>
  <c r="O603" i="105"/>
  <c r="Q604" i="105"/>
  <c r="S604" i="105"/>
  <c r="R604" i="105"/>
  <c r="O604" i="105"/>
  <c r="T604" i="105"/>
  <c r="S616" i="105"/>
  <c r="R616" i="105"/>
  <c r="Q616" i="105"/>
  <c r="O616" i="105"/>
  <c r="T616" i="105"/>
  <c r="Z605" i="105"/>
  <c r="L605" i="105"/>
  <c r="L634" i="105"/>
  <c r="L636" i="105"/>
  <c r="L610" i="105"/>
  <c r="O626" i="105"/>
  <c r="Q626" i="105"/>
  <c r="T626" i="105"/>
  <c r="P626" i="105"/>
  <c r="Q628" i="105"/>
  <c r="T628" i="105"/>
  <c r="P628" i="105"/>
  <c r="O628" i="105"/>
  <c r="Q642" i="105"/>
  <c r="Z657" i="105"/>
  <c r="L657" i="105"/>
  <c r="L620" i="105"/>
  <c r="Z620" i="105"/>
  <c r="T623" i="105"/>
  <c r="O623" i="105"/>
  <c r="S623" i="105"/>
  <c r="Q623" i="105"/>
  <c r="L624" i="105"/>
  <c r="R626" i="105"/>
  <c r="Q633" i="105"/>
  <c r="P633" i="105"/>
  <c r="R633" i="105"/>
  <c r="O633" i="105"/>
  <c r="T633" i="105"/>
  <c r="S633" i="105"/>
  <c r="Z551" i="105"/>
  <c r="O610" i="105"/>
  <c r="P610" i="105"/>
  <c r="O618" i="105"/>
  <c r="P618" i="105"/>
  <c r="R636" i="105"/>
  <c r="P660" i="105"/>
  <c r="O669" i="105"/>
  <c r="S669" i="105"/>
  <c r="Q669" i="105"/>
  <c r="P669" i="105"/>
  <c r="T669" i="105"/>
  <c r="L623" i="105"/>
  <c r="Z624" i="105"/>
  <c r="L666" i="105"/>
  <c r="Z666" i="105"/>
  <c r="R669" i="105"/>
  <c r="Q647" i="105"/>
  <c r="P647" i="105"/>
  <c r="T647" i="105"/>
  <c r="R647" i="105"/>
  <c r="S647" i="105"/>
  <c r="Q688" i="105"/>
  <c r="S688" i="105"/>
  <c r="O688" i="105"/>
  <c r="R688" i="105"/>
  <c r="T688" i="105"/>
  <c r="P688" i="105"/>
  <c r="P587" i="105"/>
  <c r="Q587" i="105"/>
  <c r="Z638" i="105"/>
  <c r="Q639" i="105"/>
  <c r="O639" i="105"/>
  <c r="R639" i="105"/>
  <c r="P639" i="105"/>
  <c r="Q655" i="105"/>
  <c r="R655" i="105"/>
  <c r="T655" i="105"/>
  <c r="P655" i="105"/>
  <c r="O655" i="105"/>
  <c r="L659" i="105"/>
  <c r="Z659" i="105"/>
  <c r="P662" i="105"/>
  <c r="O662" i="105"/>
  <c r="S662" i="105"/>
  <c r="R662" i="105"/>
  <c r="Q662" i="105"/>
  <c r="Z664" i="105"/>
  <c r="L664" i="105"/>
  <c r="T667" i="105"/>
  <c r="O667" i="105"/>
  <c r="R667" i="105"/>
  <c r="S667" i="105"/>
  <c r="L675" i="105"/>
  <c r="Z675" i="105"/>
  <c r="O587" i="105"/>
  <c r="L622" i="105"/>
  <c r="O625" i="105"/>
  <c r="S625" i="105"/>
  <c r="Z640" i="105"/>
  <c r="L640" i="105"/>
  <c r="O647" i="105"/>
  <c r="L650" i="105"/>
  <c r="Z650" i="105"/>
  <c r="Q663" i="105"/>
  <c r="S663" i="105"/>
  <c r="O663" i="105"/>
  <c r="T668" i="105"/>
  <c r="S668" i="105"/>
  <c r="P668" i="105"/>
  <c r="Z581" i="105"/>
  <c r="L581" i="105"/>
  <c r="L615" i="105"/>
  <c r="Z615" i="105"/>
  <c r="S622" i="105"/>
  <c r="Q622" i="105"/>
  <c r="T622" i="105"/>
  <c r="O634" i="105"/>
  <c r="S634" i="105"/>
  <c r="R634" i="105"/>
  <c r="P634" i="105"/>
  <c r="Q636" i="105"/>
  <c r="O636" i="105"/>
  <c r="S636" i="105"/>
  <c r="L645" i="105"/>
  <c r="Z645" i="105"/>
  <c r="L649" i="105"/>
  <c r="Z649" i="105"/>
  <c r="Z652" i="105"/>
  <c r="L652" i="105"/>
  <c r="L653" i="105"/>
  <c r="Z653" i="105"/>
  <c r="T660" i="105"/>
  <c r="O660" i="105"/>
  <c r="Q660" i="105"/>
  <c r="R629" i="105"/>
  <c r="O629" i="105"/>
  <c r="P632" i="105"/>
  <c r="O632" i="105"/>
  <c r="O637" i="105"/>
  <c r="S637" i="105"/>
  <c r="R637" i="105"/>
  <c r="Q637" i="105"/>
  <c r="L651" i="105"/>
  <c r="L656" i="105"/>
  <c r="Z672" i="105"/>
  <c r="L672" i="105"/>
  <c r="Z679" i="105"/>
  <c r="P681" i="105"/>
  <c r="L683" i="105"/>
  <c r="Z683" i="105"/>
  <c r="Z687" i="105"/>
  <c r="P646" i="105"/>
  <c r="Q646" i="105"/>
  <c r="O646" i="105"/>
  <c r="Z665" i="105"/>
  <c r="L688" i="105"/>
  <c r="Z689" i="105"/>
  <c r="L689" i="105"/>
  <c r="Z706" i="105"/>
  <c r="L706" i="105"/>
  <c r="L676" i="105"/>
  <c r="S690" i="105"/>
  <c r="O690" i="105"/>
  <c r="R690" i="105"/>
  <c r="P690" i="105"/>
  <c r="L705" i="105"/>
  <c r="Z705" i="105"/>
  <c r="Z670" i="105"/>
  <c r="L670" i="105"/>
  <c r="S673" i="105"/>
  <c r="P673" i="105"/>
  <c r="O673" i="105"/>
  <c r="L674" i="105"/>
  <c r="Z674" i="105"/>
  <c r="P678" i="105"/>
  <c r="R678" i="105"/>
  <c r="S678" i="105"/>
  <c r="Q678" i="105"/>
  <c r="O684" i="105"/>
  <c r="T684" i="105"/>
  <c r="S684" i="105"/>
  <c r="P684" i="105"/>
  <c r="Z686" i="105"/>
  <c r="L686" i="105"/>
  <c r="L690" i="105"/>
  <c r="L691" i="105"/>
  <c r="Z691" i="105"/>
  <c r="O676" i="105"/>
  <c r="T676" i="105"/>
  <c r="S681" i="105"/>
  <c r="Q681" i="105"/>
  <c r="T681" i="105"/>
  <c r="O681" i="105"/>
  <c r="Q684" i="105"/>
  <c r="L697" i="105"/>
  <c r="Z697" i="105"/>
  <c r="O685" i="105"/>
  <c r="Q685" i="105"/>
  <c r="P685" i="105"/>
  <c r="S685" i="105"/>
  <c r="R651" i="105"/>
  <c r="S651" i="105"/>
  <c r="P651" i="105"/>
  <c r="O651" i="105"/>
  <c r="R656" i="105"/>
  <c r="T656" i="105"/>
  <c r="Q656" i="105"/>
  <c r="O656" i="105"/>
  <c r="Z671" i="105"/>
  <c r="S676" i="105"/>
  <c r="T678" i="105"/>
  <c r="T682" i="105"/>
  <c r="R682" i="105"/>
  <c r="P682" i="105"/>
  <c r="O682" i="105"/>
  <c r="R685" i="105"/>
  <c r="Q690" i="105"/>
  <c r="L700" i="105"/>
  <c r="Z700" i="105"/>
  <c r="L708" i="105"/>
  <c r="Z708" i="105"/>
  <c r="Q693" i="105"/>
  <c r="S695" i="105"/>
  <c r="S699" i="105"/>
  <c r="T699" i="105"/>
  <c r="Z704" i="105"/>
  <c r="L704" i="105"/>
  <c r="L724" i="105"/>
  <c r="Z724" i="105"/>
  <c r="L735" i="105"/>
  <c r="Z735" i="105"/>
  <c r="L734" i="105"/>
  <c r="L733" i="105"/>
  <c r="O715" i="105"/>
  <c r="O654" i="105"/>
  <c r="Z692" i="105"/>
  <c r="Z696" i="105"/>
  <c r="L696" i="105"/>
  <c r="Z698" i="105"/>
  <c r="L698" i="105"/>
  <c r="Z728" i="105"/>
  <c r="L728" i="105"/>
  <c r="R648" i="105"/>
  <c r="S648" i="105"/>
  <c r="L658" i="105"/>
  <c r="Z658" i="105"/>
  <c r="P661" i="105"/>
  <c r="L693" i="105"/>
  <c r="P695" i="105"/>
  <c r="R695" i="105"/>
  <c r="L713" i="105"/>
  <c r="Z713" i="105"/>
  <c r="L737" i="105"/>
  <c r="Z737" i="105"/>
  <c r="P701" i="105"/>
  <c r="O701" i="105"/>
  <c r="O677" i="105"/>
  <c r="P677" i="105"/>
  <c r="O693" i="105"/>
  <c r="R693" i="105"/>
  <c r="S701" i="105"/>
  <c r="L707" i="105"/>
  <c r="Z707" i="105"/>
  <c r="L716" i="105"/>
  <c r="Z716" i="105"/>
  <c r="S715" i="105"/>
  <c r="P715" i="105"/>
  <c r="T715" i="105"/>
  <c r="Q715" i="105"/>
  <c r="L721" i="105"/>
  <c r="Z721" i="105"/>
  <c r="L711" i="105"/>
  <c r="Z711" i="105"/>
  <c r="P712" i="105"/>
  <c r="S712" i="105"/>
  <c r="R712" i="105"/>
  <c r="Q712" i="105"/>
  <c r="O712" i="105"/>
  <c r="P720" i="105"/>
  <c r="S720" i="105"/>
  <c r="R720" i="105"/>
  <c r="Q720" i="105"/>
  <c r="T720" i="105"/>
  <c r="O720" i="105"/>
  <c r="L727" i="105"/>
  <c r="Z727" i="105"/>
  <c r="L719" i="105"/>
  <c r="Z719" i="105"/>
  <c r="Z746" i="105"/>
  <c r="L746" i="105"/>
  <c r="S710" i="105"/>
  <c r="Q710" i="105"/>
  <c r="P710" i="105"/>
  <c r="O710" i="105"/>
  <c r="R710" i="105"/>
  <c r="L720" i="105"/>
  <c r="S726" i="105"/>
  <c r="Q726" i="105"/>
  <c r="P726" i="105"/>
  <c r="O726" i="105"/>
  <c r="T726" i="105"/>
  <c r="Z738" i="105"/>
  <c r="L738" i="105"/>
  <c r="L745" i="105"/>
  <c r="Z745" i="105"/>
  <c r="S718" i="105"/>
  <c r="Q718" i="105"/>
  <c r="P718" i="105"/>
  <c r="O718" i="105"/>
  <c r="T718" i="105"/>
  <c r="R718" i="105"/>
  <c r="Z730" i="105"/>
  <c r="L730" i="105"/>
  <c r="L736" i="105"/>
  <c r="Z736" i="105"/>
  <c r="L729" i="105"/>
  <c r="Z729" i="105"/>
  <c r="R733" i="105"/>
  <c r="Q733" i="105"/>
  <c r="P733" i="105"/>
  <c r="O733" i="105"/>
  <c r="T733" i="105"/>
  <c r="S733" i="105"/>
  <c r="L743" i="105"/>
  <c r="Z743" i="105"/>
  <c r="L741" i="105"/>
  <c r="S755" i="105"/>
  <c r="P755" i="105"/>
  <c r="O755" i="105"/>
  <c r="T755" i="105"/>
  <c r="L760" i="105"/>
  <c r="Z760" i="105"/>
  <c r="S747" i="105"/>
  <c r="P747" i="105"/>
  <c r="O747" i="105"/>
  <c r="T747" i="105"/>
  <c r="Z722" i="105"/>
  <c r="L722" i="105"/>
  <c r="S739" i="105"/>
  <c r="P739" i="105"/>
  <c r="O739" i="105"/>
  <c r="T739" i="105"/>
  <c r="Q755" i="105"/>
  <c r="O756" i="105"/>
  <c r="T757" i="105"/>
  <c r="R757" i="105"/>
  <c r="Q757" i="105"/>
  <c r="P757" i="105"/>
  <c r="O757" i="105"/>
  <c r="L759" i="105"/>
  <c r="Z759" i="105"/>
  <c r="Z714" i="105"/>
  <c r="L714" i="105"/>
  <c r="Z731" i="105"/>
  <c r="L732" i="105"/>
  <c r="Q747" i="105"/>
  <c r="T748" i="105"/>
  <c r="Q748" i="105"/>
  <c r="P748" i="105"/>
  <c r="O748" i="105"/>
  <c r="R755" i="105"/>
  <c r="L715" i="105"/>
  <c r="T740" i="105"/>
  <c r="Q740" i="105"/>
  <c r="P740" i="105"/>
  <c r="O740" i="105"/>
  <c r="R749" i="105"/>
  <c r="Q749" i="105"/>
  <c r="P749" i="105"/>
  <c r="O749" i="105"/>
  <c r="L752" i="105"/>
  <c r="Z752" i="105"/>
  <c r="P694" i="105"/>
  <c r="O694" i="105"/>
  <c r="Q702" i="105"/>
  <c r="P702" i="105"/>
  <c r="O702" i="105"/>
  <c r="O703" i="105"/>
  <c r="R703" i="105"/>
  <c r="Q703" i="105"/>
  <c r="P703" i="105"/>
  <c r="S723" i="105"/>
  <c r="P723" i="105"/>
  <c r="T723" i="105"/>
  <c r="T732" i="105"/>
  <c r="Q732" i="105"/>
  <c r="P732" i="105"/>
  <c r="O732" i="105"/>
  <c r="R739" i="105"/>
  <c r="R740" i="105"/>
  <c r="R741" i="105"/>
  <c r="Q741" i="105"/>
  <c r="P741" i="105"/>
  <c r="O741" i="105"/>
  <c r="L744" i="105"/>
  <c r="Z744" i="105"/>
  <c r="S748" i="105"/>
  <c r="L751" i="105"/>
  <c r="Z751" i="105"/>
  <c r="L753" i="105"/>
  <c r="Z753" i="105"/>
  <c r="Z754" i="105"/>
  <c r="L754" i="105"/>
  <c r="R762" i="105"/>
  <c r="Q762" i="105"/>
  <c r="P762" i="105"/>
  <c r="O762" i="105"/>
  <c r="T762" i="105"/>
  <c r="S762" i="105"/>
  <c r="O734" i="105"/>
  <c r="O742" i="105"/>
  <c r="O750" i="105"/>
  <c r="O758" i="105"/>
  <c r="Z761" i="105"/>
  <c r="O709" i="105"/>
  <c r="O717" i="105"/>
  <c r="O725" i="105"/>
  <c r="P734" i="105"/>
  <c r="P742" i="105"/>
  <c r="P750" i="105"/>
  <c r="P758" i="105"/>
  <c r="L762" i="105"/>
  <c r="Q734" i="105"/>
  <c r="Q742" i="105"/>
  <c r="Q750" i="105"/>
  <c r="Q758" i="105"/>
  <c r="S758" i="105"/>
  <c r="BH4" i="59"/>
  <c r="BF4" i="59"/>
  <c r="AY4" i="59"/>
  <c r="AW4" i="59"/>
  <c r="AP4" i="59"/>
  <c r="AN4" i="59"/>
  <c r="AG4" i="59"/>
  <c r="AE4" i="59"/>
  <c r="X4" i="59"/>
  <c r="V4" i="59"/>
  <c r="O4" i="59"/>
  <c r="M4" i="59"/>
  <c r="O497" i="105" l="1"/>
  <c r="R497" i="105"/>
  <c r="P497" i="105"/>
  <c r="S497" i="105"/>
  <c r="Q497" i="105"/>
  <c r="S571" i="105"/>
  <c r="R571" i="105"/>
  <c r="Q571" i="105"/>
  <c r="P756" i="105"/>
  <c r="T571" i="105"/>
  <c r="O433" i="105"/>
  <c r="P210" i="105"/>
  <c r="T118" i="105"/>
  <c r="R146" i="105"/>
  <c r="O212" i="105"/>
  <c r="S539" i="105"/>
  <c r="O539" i="105"/>
  <c r="Q694" i="105"/>
  <c r="S694" i="105"/>
  <c r="R694" i="105"/>
  <c r="T694" i="105"/>
  <c r="P717" i="105"/>
  <c r="T717" i="105"/>
  <c r="S717" i="105"/>
  <c r="R717" i="105"/>
  <c r="Q717" i="105"/>
  <c r="R660" i="105"/>
  <c r="S660" i="105"/>
  <c r="Q258" i="105"/>
  <c r="T258" i="105"/>
  <c r="S258" i="105"/>
  <c r="P258" i="105"/>
  <c r="Q188" i="105"/>
  <c r="R188" i="105"/>
  <c r="T188" i="105"/>
  <c r="S188" i="105"/>
  <c r="T450" i="105"/>
  <c r="R450" i="105"/>
  <c r="S450" i="105"/>
  <c r="O450" i="105"/>
  <c r="P478" i="105"/>
  <c r="S478" i="105"/>
  <c r="P571" i="105"/>
  <c r="Q426" i="105"/>
  <c r="Q146" i="105"/>
  <c r="P58" i="105"/>
  <c r="O58" i="105"/>
  <c r="O668" i="105"/>
  <c r="P654" i="105"/>
  <c r="Q654" i="105"/>
  <c r="S654" i="105"/>
  <c r="R654" i="105"/>
  <c r="T654" i="105"/>
  <c r="R663" i="105"/>
  <c r="P663" i="105"/>
  <c r="T521" i="105"/>
  <c r="Q521" i="105"/>
  <c r="S521" i="105"/>
  <c r="R521" i="105"/>
  <c r="T625" i="105"/>
  <c r="Q625" i="105"/>
  <c r="P625" i="105"/>
  <c r="R625" i="105"/>
  <c r="S742" i="105"/>
  <c r="T742" i="105"/>
  <c r="R742" i="105"/>
  <c r="P498" i="105"/>
  <c r="Q498" i="105"/>
  <c r="S498" i="105"/>
  <c r="R498" i="105"/>
  <c r="T498" i="105"/>
  <c r="O498" i="105"/>
  <c r="O507" i="105"/>
  <c r="T507" i="105"/>
  <c r="P507" i="105"/>
  <c r="R124" i="105"/>
  <c r="P124" i="105"/>
  <c r="Q563" i="105"/>
  <c r="S563" i="105"/>
  <c r="R563" i="105"/>
  <c r="P228" i="105"/>
  <c r="O228" i="105"/>
  <c r="R228" i="105"/>
  <c r="T76" i="105"/>
  <c r="O76" i="105"/>
  <c r="S76" i="105"/>
  <c r="R63" i="105"/>
  <c r="Q63" i="105"/>
  <c r="T453" i="105"/>
  <c r="O453" i="105"/>
  <c r="R417" i="105"/>
  <c r="T417" i="105"/>
  <c r="P417" i="105"/>
  <c r="T166" i="105"/>
  <c r="S166" i="105"/>
  <c r="O166" i="105"/>
  <c r="R621" i="105"/>
  <c r="O621" i="105"/>
  <c r="T621" i="105"/>
  <c r="Q621" i="105"/>
  <c r="P621" i="105"/>
  <c r="S621" i="105"/>
  <c r="T411" i="105"/>
  <c r="R411" i="105"/>
  <c r="P411" i="105"/>
  <c r="S411" i="105"/>
  <c r="Q756" i="105"/>
  <c r="T497" i="105"/>
  <c r="Q118" i="105"/>
  <c r="O695" i="105"/>
  <c r="Q668" i="105"/>
  <c r="P552" i="105"/>
  <c r="R538" i="105"/>
  <c r="T515" i="105"/>
  <c r="P353" i="105"/>
  <c r="R426" i="105"/>
  <c r="S228" i="105"/>
  <c r="S210" i="105"/>
  <c r="R110" i="105"/>
  <c r="T63" i="105"/>
  <c r="T146" i="105"/>
  <c r="T758" i="105"/>
  <c r="R758" i="105"/>
  <c r="Q345" i="105"/>
  <c r="P345" i="105"/>
  <c r="Q496" i="105"/>
  <c r="R496" i="105"/>
  <c r="T164" i="105"/>
  <c r="Q164" i="105"/>
  <c r="O52" i="105"/>
  <c r="T52" i="105"/>
  <c r="R52" i="105"/>
  <c r="Q55" i="105"/>
  <c r="O55" i="105"/>
  <c r="S233" i="105"/>
  <c r="R233" i="105"/>
  <c r="T756" i="105"/>
  <c r="Q695" i="105"/>
  <c r="O538" i="105"/>
  <c r="T426" i="105"/>
  <c r="R210" i="105"/>
  <c r="S146" i="105"/>
  <c r="T663" i="105"/>
  <c r="P515" i="105"/>
  <c r="S538" i="105"/>
  <c r="Q353" i="105"/>
  <c r="O426" i="105"/>
  <c r="Q228" i="105"/>
  <c r="P63" i="105"/>
  <c r="O146" i="105"/>
  <c r="T556" i="105"/>
  <c r="S556" i="105"/>
  <c r="T673" i="105"/>
  <c r="Q673" i="105"/>
  <c r="R673" i="105"/>
  <c r="P425" i="105"/>
  <c r="Q425" i="105"/>
  <c r="P224" i="105"/>
  <c r="Q224" i="105"/>
  <c r="P347" i="105"/>
  <c r="S347" i="105"/>
  <c r="O347" i="105"/>
  <c r="Q701" i="105"/>
  <c r="T701" i="105"/>
  <c r="R701" i="105"/>
  <c r="S756" i="105"/>
  <c r="T353" i="105"/>
  <c r="P426" i="105"/>
  <c r="T618" i="105"/>
  <c r="R618" i="105"/>
  <c r="Q618" i="105"/>
  <c r="S618" i="105"/>
  <c r="P441" i="105"/>
  <c r="S441" i="105"/>
  <c r="R441" i="105"/>
  <c r="O661" i="105"/>
  <c r="T661" i="105"/>
  <c r="R661" i="105"/>
  <c r="Q661" i="105"/>
  <c r="S661" i="105"/>
  <c r="R174" i="105"/>
  <c r="P174" i="105"/>
  <c r="O396" i="105"/>
  <c r="T396" i="105"/>
  <c r="S396" i="105"/>
  <c r="P396" i="105"/>
  <c r="P709" i="105"/>
  <c r="T709" i="105"/>
  <c r="R709" i="105"/>
  <c r="Q709" i="105"/>
  <c r="S709" i="105"/>
  <c r="T270" i="105"/>
  <c r="P270" i="105"/>
  <c r="S336" i="105"/>
  <c r="R336" i="105"/>
  <c r="P22" i="105"/>
  <c r="S22" i="105"/>
  <c r="Q22" i="105"/>
  <c r="T62" i="105"/>
  <c r="P62" i="105"/>
  <c r="R529" i="105"/>
  <c r="Q433" i="105"/>
  <c r="S353" i="105"/>
  <c r="Q124" i="105"/>
  <c r="R586" i="105"/>
  <c r="Q586" i="105"/>
  <c r="T702" i="105"/>
  <c r="S702" i="105"/>
  <c r="R702" i="105"/>
  <c r="R244" i="105"/>
  <c r="P244" i="105"/>
  <c r="R699" i="105"/>
  <c r="P699" i="105"/>
  <c r="O699" i="105"/>
  <c r="Q699" i="105"/>
  <c r="O411" i="105"/>
  <c r="S529" i="105"/>
  <c r="O353" i="105"/>
  <c r="Q315" i="105"/>
  <c r="S124" i="105"/>
  <c r="R58" i="105"/>
  <c r="Q428" i="105"/>
  <c r="T428" i="105"/>
  <c r="O428" i="105"/>
  <c r="T574" i="105"/>
  <c r="O574" i="105"/>
  <c r="T537" i="105"/>
  <c r="P537" i="105"/>
  <c r="S537" i="105"/>
  <c r="Q537" i="105"/>
  <c r="P272" i="105"/>
  <c r="S272" i="105"/>
  <c r="O272" i="105"/>
  <c r="T272" i="105"/>
  <c r="P173" i="105"/>
  <c r="Q173" i="105"/>
  <c r="O173" i="105"/>
  <c r="Q411" i="105"/>
  <c r="T529" i="105"/>
  <c r="P433" i="105"/>
  <c r="R315" i="105"/>
  <c r="T124" i="105"/>
  <c r="Q58" i="105"/>
  <c r="S212" i="105"/>
  <c r="O648" i="105"/>
  <c r="Q648" i="105"/>
  <c r="P648" i="105"/>
  <c r="T648" i="105"/>
  <c r="R544" i="105"/>
  <c r="P544" i="105"/>
  <c r="S186" i="105"/>
  <c r="T186" i="105"/>
  <c r="T632" i="105"/>
  <c r="S632" i="105"/>
  <c r="Q632" i="105"/>
  <c r="R632" i="105"/>
  <c r="S180" i="105"/>
  <c r="R180" i="105"/>
  <c r="Q180" i="105"/>
  <c r="P180" i="105"/>
  <c r="P529" i="105"/>
  <c r="R433" i="105"/>
  <c r="S315" i="105"/>
  <c r="O118" i="105"/>
  <c r="O124" i="105"/>
  <c r="R212" i="105"/>
  <c r="T58" i="105"/>
  <c r="T212" i="105"/>
  <c r="P532" i="105"/>
  <c r="S532" i="105"/>
  <c r="Q532" i="105"/>
  <c r="T532" i="105"/>
  <c r="T677" i="105"/>
  <c r="R677" i="105"/>
  <c r="Q677" i="105"/>
  <c r="S677" i="105"/>
  <c r="R324" i="105"/>
  <c r="O324" i="105"/>
  <c r="R452" i="105"/>
  <c r="P452" i="105"/>
  <c r="O452" i="105"/>
  <c r="T452" i="105"/>
  <c r="S452" i="105"/>
  <c r="Q260" i="105"/>
  <c r="R260" i="105"/>
  <c r="P260" i="105"/>
  <c r="T315" i="105"/>
  <c r="O110" i="105"/>
  <c r="S58" i="105"/>
  <c r="T637" i="105"/>
  <c r="P637" i="105"/>
  <c r="S750" i="105"/>
  <c r="T750" i="105"/>
  <c r="R750" i="105"/>
  <c r="R558" i="105"/>
  <c r="Q558" i="105"/>
  <c r="T558" i="105"/>
  <c r="O622" i="105"/>
  <c r="P622" i="105"/>
  <c r="R622" i="105"/>
  <c r="O45" i="105"/>
  <c r="T45" i="105"/>
  <c r="R45" i="105"/>
  <c r="Q473" i="105"/>
  <c r="P473" i="105"/>
  <c r="T749" i="105"/>
  <c r="S749" i="105"/>
  <c r="T517" i="105"/>
  <c r="Q517" i="105"/>
  <c r="O517" i="105"/>
  <c r="T299" i="105"/>
  <c r="S299" i="105"/>
  <c r="T674" i="105"/>
  <c r="S674" i="105"/>
  <c r="Q674" i="105"/>
  <c r="P674" i="105"/>
  <c r="O674" i="105"/>
  <c r="R674" i="105"/>
  <c r="T683" i="105"/>
  <c r="R683" i="105"/>
  <c r="Q683" i="105"/>
  <c r="S683" i="105"/>
  <c r="P683" i="105"/>
  <c r="O683" i="105"/>
  <c r="R581" i="105"/>
  <c r="O581" i="105"/>
  <c r="P581" i="105"/>
  <c r="T581" i="105"/>
  <c r="Q581" i="105"/>
  <c r="S581" i="105"/>
  <c r="S659" i="105"/>
  <c r="R659" i="105"/>
  <c r="Q659" i="105"/>
  <c r="O659" i="105"/>
  <c r="T659" i="105"/>
  <c r="P659" i="105"/>
  <c r="S614" i="105"/>
  <c r="P614" i="105"/>
  <c r="R614" i="105"/>
  <c r="Q614" i="105"/>
  <c r="T614" i="105"/>
  <c r="O614" i="105"/>
  <c r="S593" i="105"/>
  <c r="R593" i="105"/>
  <c r="P593" i="105"/>
  <c r="T593" i="105"/>
  <c r="Q593" i="105"/>
  <c r="O593" i="105"/>
  <c r="Q564" i="105"/>
  <c r="P564" i="105"/>
  <c r="S564" i="105"/>
  <c r="R564" i="105"/>
  <c r="T564" i="105"/>
  <c r="O564" i="105"/>
  <c r="R565" i="105"/>
  <c r="S565" i="105"/>
  <c r="Q565" i="105"/>
  <c r="T565" i="105"/>
  <c r="P565" i="105"/>
  <c r="O565" i="105"/>
  <c r="T577" i="105"/>
  <c r="S577" i="105"/>
  <c r="R577" i="105"/>
  <c r="P577" i="105"/>
  <c r="Q577" i="105"/>
  <c r="O577" i="105"/>
  <c r="Q531" i="105"/>
  <c r="P531" i="105"/>
  <c r="T531" i="105"/>
  <c r="S531" i="105"/>
  <c r="O531" i="105"/>
  <c r="R531" i="105"/>
  <c r="T526" i="105"/>
  <c r="P526" i="105"/>
  <c r="R526" i="105"/>
  <c r="S526" i="105"/>
  <c r="Q526" i="105"/>
  <c r="O526" i="105"/>
  <c r="P547" i="105"/>
  <c r="T547" i="105"/>
  <c r="O547" i="105"/>
  <c r="R547" i="105"/>
  <c r="S547" i="105"/>
  <c r="Q547" i="105"/>
  <c r="Q423" i="105"/>
  <c r="O423" i="105"/>
  <c r="T423" i="105"/>
  <c r="R423" i="105"/>
  <c r="P423" i="105"/>
  <c r="S423" i="105"/>
  <c r="T470" i="105"/>
  <c r="S470" i="105"/>
  <c r="P470" i="105"/>
  <c r="O470" i="105"/>
  <c r="R470" i="105"/>
  <c r="Q470" i="105"/>
  <c r="O535" i="105"/>
  <c r="R535" i="105"/>
  <c r="P535" i="105"/>
  <c r="T535" i="105"/>
  <c r="S535" i="105"/>
  <c r="Q535" i="105"/>
  <c r="O512" i="105"/>
  <c r="T512" i="105"/>
  <c r="R512" i="105"/>
  <c r="S512" i="105"/>
  <c r="Q512" i="105"/>
  <c r="P512" i="105"/>
  <c r="O471" i="105"/>
  <c r="T471" i="105"/>
  <c r="S471" i="105"/>
  <c r="R471" i="105"/>
  <c r="Q471" i="105"/>
  <c r="P471" i="105"/>
  <c r="Q403" i="105"/>
  <c r="P403" i="105"/>
  <c r="R403" i="105"/>
  <c r="T403" i="105"/>
  <c r="S403" i="105"/>
  <c r="O403" i="105"/>
  <c r="Q300" i="105"/>
  <c r="T300" i="105"/>
  <c r="P300" i="105"/>
  <c r="S300" i="105"/>
  <c r="R300" i="105"/>
  <c r="O300" i="105"/>
  <c r="T438" i="105"/>
  <c r="Q438" i="105"/>
  <c r="S438" i="105"/>
  <c r="O438" i="105"/>
  <c r="P438" i="105"/>
  <c r="R438" i="105"/>
  <c r="T287" i="105"/>
  <c r="Q287" i="105"/>
  <c r="O287" i="105"/>
  <c r="S287" i="105"/>
  <c r="R287" i="105"/>
  <c r="P287" i="105"/>
  <c r="O155" i="105"/>
  <c r="R155" i="105"/>
  <c r="T155" i="105"/>
  <c r="S155" i="105"/>
  <c r="P155" i="105"/>
  <c r="Q155" i="105"/>
  <c r="R360" i="105"/>
  <c r="T360" i="105"/>
  <c r="O360" i="105"/>
  <c r="Q360" i="105"/>
  <c r="P360" i="105"/>
  <c r="S360" i="105"/>
  <c r="T335" i="105"/>
  <c r="S335" i="105"/>
  <c r="P335" i="105"/>
  <c r="R335" i="105"/>
  <c r="Q335" i="105"/>
  <c r="O335" i="105"/>
  <c r="T321" i="105"/>
  <c r="P321" i="105"/>
  <c r="S321" i="105"/>
  <c r="R321" i="105"/>
  <c r="Q321" i="105"/>
  <c r="O321" i="105"/>
  <c r="T91" i="105"/>
  <c r="R91" i="105"/>
  <c r="Q91" i="105"/>
  <c r="P91" i="105"/>
  <c r="O91" i="105"/>
  <c r="S91" i="105"/>
  <c r="S254" i="105"/>
  <c r="R254" i="105"/>
  <c r="T254" i="105"/>
  <c r="P254" i="105"/>
  <c r="O254" i="105"/>
  <c r="Q254" i="105"/>
  <c r="T193" i="105"/>
  <c r="Q193" i="105"/>
  <c r="O193" i="105"/>
  <c r="R193" i="105"/>
  <c r="S193" i="105"/>
  <c r="P193" i="105"/>
  <c r="R105" i="105"/>
  <c r="T105" i="105"/>
  <c r="Q105" i="105"/>
  <c r="S105" i="105"/>
  <c r="O105" i="105"/>
  <c r="P105" i="105"/>
  <c r="Q182" i="105"/>
  <c r="P182" i="105"/>
  <c r="R182" i="105"/>
  <c r="O182" i="105"/>
  <c r="T182" i="105"/>
  <c r="S182" i="105"/>
  <c r="P147" i="105"/>
  <c r="S147" i="105"/>
  <c r="T147" i="105"/>
  <c r="Q147" i="105"/>
  <c r="R147" i="105"/>
  <c r="O147" i="105"/>
  <c r="R143" i="105"/>
  <c r="O143" i="105"/>
  <c r="S143" i="105"/>
  <c r="T143" i="105"/>
  <c r="P143" i="105"/>
  <c r="Q143" i="105"/>
  <c r="P7" i="105"/>
  <c r="T7" i="105"/>
  <c r="R7" i="105"/>
  <c r="O7" i="105"/>
  <c r="Q7" i="105"/>
  <c r="S7" i="105"/>
  <c r="R199" i="105"/>
  <c r="S199" i="105"/>
  <c r="T199" i="105"/>
  <c r="P199" i="105"/>
  <c r="O199" i="105"/>
  <c r="Q199" i="105"/>
  <c r="T67" i="105"/>
  <c r="O67" i="105"/>
  <c r="R67" i="105"/>
  <c r="S67" i="105"/>
  <c r="Q67" i="105"/>
  <c r="P67" i="105"/>
  <c r="S26" i="105"/>
  <c r="O26" i="105"/>
  <c r="T26" i="105"/>
  <c r="R26" i="105"/>
  <c r="P26" i="105"/>
  <c r="Q26" i="105"/>
  <c r="S82" i="105"/>
  <c r="Q82" i="105"/>
  <c r="T82" i="105"/>
  <c r="O82" i="105"/>
  <c r="R82" i="105"/>
  <c r="P82" i="105"/>
  <c r="P71" i="105"/>
  <c r="T71" i="105"/>
  <c r="Q71" i="105"/>
  <c r="S71" i="105"/>
  <c r="R71" i="105"/>
  <c r="O71" i="105"/>
  <c r="S216" i="105"/>
  <c r="Q216" i="105"/>
  <c r="P216" i="105"/>
  <c r="O216" i="105"/>
  <c r="T216" i="105"/>
  <c r="R216" i="105"/>
  <c r="O94" i="105"/>
  <c r="T94" i="105"/>
  <c r="R94" i="105"/>
  <c r="S94" i="105"/>
  <c r="Q94" i="105"/>
  <c r="P94" i="105"/>
  <c r="T35" i="105"/>
  <c r="S35" i="105"/>
  <c r="Q35" i="105"/>
  <c r="R35" i="105"/>
  <c r="P35" i="105"/>
  <c r="O35" i="105"/>
  <c r="Q142" i="105"/>
  <c r="T142" i="105"/>
  <c r="S142" i="105"/>
  <c r="P142" i="105"/>
  <c r="R142" i="105"/>
  <c r="O142" i="105"/>
  <c r="S36" i="105"/>
  <c r="T36" i="105"/>
  <c r="R36" i="105"/>
  <c r="Q36" i="105"/>
  <c r="P36" i="105"/>
  <c r="O36" i="105"/>
  <c r="T232" i="105"/>
  <c r="S232" i="105"/>
  <c r="R232" i="105"/>
  <c r="Q232" i="105"/>
  <c r="P232" i="105"/>
  <c r="O232" i="105"/>
  <c r="T29" i="105"/>
  <c r="S29" i="105"/>
  <c r="Q29" i="105"/>
  <c r="P29" i="105"/>
  <c r="R29" i="105"/>
  <c r="O29" i="105"/>
  <c r="R714" i="105"/>
  <c r="O714" i="105"/>
  <c r="T714" i="105"/>
  <c r="S714" i="105"/>
  <c r="Q714" i="105"/>
  <c r="P714" i="105"/>
  <c r="P696" i="105"/>
  <c r="S696" i="105"/>
  <c r="R696" i="105"/>
  <c r="Q696" i="105"/>
  <c r="T696" i="105"/>
  <c r="O696" i="105"/>
  <c r="T724" i="105"/>
  <c r="Q724" i="105"/>
  <c r="O724" i="105"/>
  <c r="S724" i="105"/>
  <c r="R724" i="105"/>
  <c r="P724" i="105"/>
  <c r="T708" i="105"/>
  <c r="O708" i="105"/>
  <c r="S708" i="105"/>
  <c r="P708" i="105"/>
  <c r="R708" i="105"/>
  <c r="Q708" i="105"/>
  <c r="T551" i="105"/>
  <c r="Q551" i="105"/>
  <c r="O551" i="105"/>
  <c r="R551" i="105"/>
  <c r="P551" i="105"/>
  <c r="S551" i="105"/>
  <c r="R561" i="105"/>
  <c r="P561" i="105"/>
  <c r="O561" i="105"/>
  <c r="Q561" i="105"/>
  <c r="T561" i="105"/>
  <c r="S561" i="105"/>
  <c r="T534" i="105"/>
  <c r="O534" i="105"/>
  <c r="R534" i="105"/>
  <c r="Q534" i="105"/>
  <c r="P534" i="105"/>
  <c r="S534" i="105"/>
  <c r="P479" i="105"/>
  <c r="T479" i="105"/>
  <c r="O479" i="105"/>
  <c r="S479" i="105"/>
  <c r="R479" i="105"/>
  <c r="Q479" i="105"/>
  <c r="S525" i="105"/>
  <c r="Q525" i="105"/>
  <c r="R525" i="105"/>
  <c r="O525" i="105"/>
  <c r="P525" i="105"/>
  <c r="T525" i="105"/>
  <c r="R488" i="105"/>
  <c r="S488" i="105"/>
  <c r="Q488" i="105"/>
  <c r="O488" i="105"/>
  <c r="T488" i="105"/>
  <c r="P488" i="105"/>
  <c r="P522" i="105"/>
  <c r="R522" i="105"/>
  <c r="S522" i="105"/>
  <c r="Q522" i="105"/>
  <c r="T522" i="105"/>
  <c r="O522" i="105"/>
  <c r="R460" i="105"/>
  <c r="S460" i="105"/>
  <c r="T460" i="105"/>
  <c r="Q460" i="105"/>
  <c r="P460" i="105"/>
  <c r="O460" i="105"/>
  <c r="R412" i="105"/>
  <c r="P412" i="105"/>
  <c r="S412" i="105"/>
  <c r="T412" i="105"/>
  <c r="O412" i="105"/>
  <c r="Q412" i="105"/>
  <c r="S405" i="105"/>
  <c r="R405" i="105"/>
  <c r="Q405" i="105"/>
  <c r="O405" i="105"/>
  <c r="T405" i="105"/>
  <c r="P405" i="105"/>
  <c r="S368" i="105"/>
  <c r="O368" i="105"/>
  <c r="P368" i="105"/>
  <c r="Q368" i="105"/>
  <c r="R368" i="105"/>
  <c r="T368" i="105"/>
  <c r="S413" i="105"/>
  <c r="T413" i="105"/>
  <c r="P413" i="105"/>
  <c r="R413" i="105"/>
  <c r="Q413" i="105"/>
  <c r="O413" i="105"/>
  <c r="Q379" i="105"/>
  <c r="S379" i="105"/>
  <c r="T379" i="105"/>
  <c r="R379" i="105"/>
  <c r="P379" i="105"/>
  <c r="O379" i="105"/>
  <c r="Q359" i="105"/>
  <c r="R359" i="105"/>
  <c r="T359" i="105"/>
  <c r="O359" i="105"/>
  <c r="P359" i="105"/>
  <c r="S359" i="105"/>
  <c r="R293" i="105"/>
  <c r="S293" i="105"/>
  <c r="O293" i="105"/>
  <c r="T293" i="105"/>
  <c r="Q293" i="105"/>
  <c r="P293" i="105"/>
  <c r="R317" i="105"/>
  <c r="T317" i="105"/>
  <c r="S317" i="105"/>
  <c r="O317" i="105"/>
  <c r="Q317" i="105"/>
  <c r="P317" i="105"/>
  <c r="T255" i="105"/>
  <c r="O255" i="105"/>
  <c r="P255" i="105"/>
  <c r="S255" i="105"/>
  <c r="R255" i="105"/>
  <c r="Q255" i="105"/>
  <c r="S192" i="105"/>
  <c r="R192" i="105"/>
  <c r="Q192" i="105"/>
  <c r="P192" i="105"/>
  <c r="O192" i="105"/>
  <c r="T192" i="105"/>
  <c r="P386" i="105"/>
  <c r="Q386" i="105"/>
  <c r="T386" i="105"/>
  <c r="O386" i="105"/>
  <c r="S386" i="105"/>
  <c r="R386" i="105"/>
  <c r="S334" i="105"/>
  <c r="P334" i="105"/>
  <c r="Q334" i="105"/>
  <c r="O334" i="105"/>
  <c r="R334" i="105"/>
  <c r="T334" i="105"/>
  <c r="R179" i="105"/>
  <c r="T179" i="105"/>
  <c r="S179" i="105"/>
  <c r="Q179" i="105"/>
  <c r="O179" i="105"/>
  <c r="P179" i="105"/>
  <c r="R41" i="105"/>
  <c r="P41" i="105"/>
  <c r="O41" i="105"/>
  <c r="Q41" i="105"/>
  <c r="T41" i="105"/>
  <c r="S41" i="105"/>
  <c r="T138" i="105"/>
  <c r="P138" i="105"/>
  <c r="S138" i="105"/>
  <c r="Q138" i="105"/>
  <c r="O138" i="105"/>
  <c r="R138" i="105"/>
  <c r="R135" i="105"/>
  <c r="P135" i="105"/>
  <c r="O135" i="105"/>
  <c r="T135" i="105"/>
  <c r="S135" i="105"/>
  <c r="Q135" i="105"/>
  <c r="S66" i="105"/>
  <c r="T66" i="105"/>
  <c r="R66" i="105"/>
  <c r="O66" i="105"/>
  <c r="Q66" i="105"/>
  <c r="P66" i="105"/>
  <c r="O132" i="105"/>
  <c r="T132" i="105"/>
  <c r="R132" i="105"/>
  <c r="S132" i="105"/>
  <c r="Q132" i="105"/>
  <c r="P132" i="105"/>
  <c r="T225" i="105"/>
  <c r="P225" i="105"/>
  <c r="S225" i="105"/>
  <c r="R225" i="105"/>
  <c r="Q225" i="105"/>
  <c r="O225" i="105"/>
  <c r="T108" i="105"/>
  <c r="S108" i="105"/>
  <c r="Q108" i="105"/>
  <c r="P108" i="105"/>
  <c r="R108" i="105"/>
  <c r="O108" i="105"/>
  <c r="S13" i="105"/>
  <c r="R13" i="105"/>
  <c r="Q13" i="105"/>
  <c r="P13" i="105"/>
  <c r="T13" i="105"/>
  <c r="O13" i="105"/>
  <c r="Q24" i="105"/>
  <c r="S24" i="105"/>
  <c r="P24" i="105"/>
  <c r="R24" i="105"/>
  <c r="T24" i="105"/>
  <c r="O24" i="105"/>
  <c r="P760" i="105"/>
  <c r="O760" i="105"/>
  <c r="T760" i="105"/>
  <c r="S760" i="105"/>
  <c r="R760" i="105"/>
  <c r="Q760" i="105"/>
  <c r="R689" i="105"/>
  <c r="T689" i="105"/>
  <c r="S689" i="105"/>
  <c r="O689" i="105"/>
  <c r="Q689" i="105"/>
  <c r="P689" i="105"/>
  <c r="S657" i="105"/>
  <c r="T657" i="105"/>
  <c r="R657" i="105"/>
  <c r="O657" i="105"/>
  <c r="Q657" i="105"/>
  <c r="P657" i="105"/>
  <c r="O759" i="105"/>
  <c r="T759" i="105"/>
  <c r="S759" i="105"/>
  <c r="R759" i="105"/>
  <c r="Q759" i="105"/>
  <c r="P759" i="105"/>
  <c r="T692" i="105"/>
  <c r="O692" i="105"/>
  <c r="S692" i="105"/>
  <c r="Q692" i="105"/>
  <c r="P692" i="105"/>
  <c r="R692" i="105"/>
  <c r="Q697" i="105"/>
  <c r="T697" i="105"/>
  <c r="S697" i="105"/>
  <c r="R697" i="105"/>
  <c r="P697" i="105"/>
  <c r="O697" i="105"/>
  <c r="T650" i="105"/>
  <c r="P650" i="105"/>
  <c r="O650" i="105"/>
  <c r="Q650" i="105"/>
  <c r="S650" i="105"/>
  <c r="R650" i="105"/>
  <c r="R664" i="105"/>
  <c r="T664" i="105"/>
  <c r="Q664" i="105"/>
  <c r="P664" i="105"/>
  <c r="S664" i="105"/>
  <c r="O664" i="105"/>
  <c r="T666" i="105"/>
  <c r="R666" i="105"/>
  <c r="Q666" i="105"/>
  <c r="P666" i="105"/>
  <c r="O666" i="105"/>
  <c r="S666" i="105"/>
  <c r="T631" i="105"/>
  <c r="S631" i="105"/>
  <c r="R631" i="105"/>
  <c r="P631" i="105"/>
  <c r="Q631" i="105"/>
  <c r="O631" i="105"/>
  <c r="R613" i="105"/>
  <c r="Q613" i="105"/>
  <c r="S613" i="105"/>
  <c r="O613" i="105"/>
  <c r="P613" i="105"/>
  <c r="T613" i="105"/>
  <c r="T591" i="105"/>
  <c r="S591" i="105"/>
  <c r="O591" i="105"/>
  <c r="P591" i="105"/>
  <c r="Q591" i="105"/>
  <c r="R591" i="105"/>
  <c r="S582" i="105"/>
  <c r="O582" i="105"/>
  <c r="T582" i="105"/>
  <c r="R582" i="105"/>
  <c r="P582" i="105"/>
  <c r="Q582" i="105"/>
  <c r="O570" i="105"/>
  <c r="T570" i="105"/>
  <c r="R570" i="105"/>
  <c r="S570" i="105"/>
  <c r="Q570" i="105"/>
  <c r="P570" i="105"/>
  <c r="T559" i="105"/>
  <c r="O559" i="105"/>
  <c r="S559" i="105"/>
  <c r="R559" i="105"/>
  <c r="P559" i="105"/>
  <c r="Q559" i="105"/>
  <c r="P595" i="105"/>
  <c r="R595" i="105"/>
  <c r="O595" i="105"/>
  <c r="Q595" i="105"/>
  <c r="T595" i="105"/>
  <c r="S595" i="105"/>
  <c r="R557" i="105"/>
  <c r="Q557" i="105"/>
  <c r="S557" i="105"/>
  <c r="O557" i="105"/>
  <c r="T557" i="105"/>
  <c r="P557" i="105"/>
  <c r="T510" i="105"/>
  <c r="R510" i="105"/>
  <c r="Q510" i="105"/>
  <c r="O510" i="105"/>
  <c r="S510" i="105"/>
  <c r="P510" i="105"/>
  <c r="R527" i="105"/>
  <c r="Q527" i="105"/>
  <c r="O527" i="105"/>
  <c r="T527" i="105"/>
  <c r="P527" i="105"/>
  <c r="S527" i="105"/>
  <c r="T511" i="105"/>
  <c r="Q511" i="105"/>
  <c r="O511" i="105"/>
  <c r="R511" i="105"/>
  <c r="S511" i="105"/>
  <c r="P511" i="105"/>
  <c r="Q416" i="105"/>
  <c r="R416" i="105"/>
  <c r="T416" i="105"/>
  <c r="S416" i="105"/>
  <c r="P416" i="105"/>
  <c r="O416" i="105"/>
  <c r="R516" i="105"/>
  <c r="S516" i="105"/>
  <c r="T516" i="105"/>
  <c r="P516" i="105"/>
  <c r="Q516" i="105"/>
  <c r="O516" i="105"/>
  <c r="O449" i="105"/>
  <c r="T449" i="105"/>
  <c r="R449" i="105"/>
  <c r="Q449" i="105"/>
  <c r="P449" i="105"/>
  <c r="S449" i="105"/>
  <c r="R388" i="105"/>
  <c r="T388" i="105"/>
  <c r="P388" i="105"/>
  <c r="S388" i="105"/>
  <c r="Q388" i="105"/>
  <c r="O388" i="105"/>
  <c r="T398" i="105"/>
  <c r="Q398" i="105"/>
  <c r="O398" i="105"/>
  <c r="S398" i="105"/>
  <c r="R398" i="105"/>
  <c r="P398" i="105"/>
  <c r="Q352" i="105"/>
  <c r="P352" i="105"/>
  <c r="O352" i="105"/>
  <c r="T352" i="105"/>
  <c r="R352" i="105"/>
  <c r="S352" i="105"/>
  <c r="R285" i="105"/>
  <c r="T285" i="105"/>
  <c r="P285" i="105"/>
  <c r="Q285" i="105"/>
  <c r="O285" i="105"/>
  <c r="S285" i="105"/>
  <c r="T374" i="105"/>
  <c r="Q374" i="105"/>
  <c r="O374" i="105"/>
  <c r="P374" i="105"/>
  <c r="R374" i="105"/>
  <c r="S374" i="105"/>
  <c r="Q371" i="105"/>
  <c r="R371" i="105"/>
  <c r="T371" i="105"/>
  <c r="S371" i="105"/>
  <c r="P371" i="105"/>
  <c r="O371" i="105"/>
  <c r="S349" i="105"/>
  <c r="T349" i="105"/>
  <c r="O349" i="105"/>
  <c r="P349" i="105"/>
  <c r="R349" i="105"/>
  <c r="Q349" i="105"/>
  <c r="T211" i="105"/>
  <c r="S211" i="105"/>
  <c r="R211" i="105"/>
  <c r="Q211" i="105"/>
  <c r="P211" i="105"/>
  <c r="O211" i="105"/>
  <c r="P351" i="105"/>
  <c r="S351" i="105"/>
  <c r="Q351" i="105"/>
  <c r="O351" i="105"/>
  <c r="R351" i="105"/>
  <c r="T351" i="105"/>
  <c r="S320" i="105"/>
  <c r="T320" i="105"/>
  <c r="P320" i="105"/>
  <c r="O320" i="105"/>
  <c r="Q320" i="105"/>
  <c r="R320" i="105"/>
  <c r="T209" i="105"/>
  <c r="S209" i="105"/>
  <c r="R209" i="105"/>
  <c r="O209" i="105"/>
  <c r="Q209" i="105"/>
  <c r="P209" i="105"/>
  <c r="R248" i="105"/>
  <c r="O248" i="105"/>
  <c r="T248" i="105"/>
  <c r="S248" i="105"/>
  <c r="Q248" i="105"/>
  <c r="P248" i="105"/>
  <c r="S288" i="105"/>
  <c r="O288" i="105"/>
  <c r="T288" i="105"/>
  <c r="P288" i="105"/>
  <c r="R288" i="105"/>
  <c r="Q288" i="105"/>
  <c r="S176" i="105"/>
  <c r="R176" i="105"/>
  <c r="P176" i="105"/>
  <c r="O176" i="105"/>
  <c r="T176" i="105"/>
  <c r="Q176" i="105"/>
  <c r="S18" i="105"/>
  <c r="T18" i="105"/>
  <c r="R18" i="105"/>
  <c r="Q18" i="105"/>
  <c r="P18" i="105"/>
  <c r="O18" i="105"/>
  <c r="Q104" i="105"/>
  <c r="T104" i="105"/>
  <c r="S104" i="105"/>
  <c r="R104" i="105"/>
  <c r="O104" i="105"/>
  <c r="P104" i="105"/>
  <c r="O109" i="105"/>
  <c r="T109" i="105"/>
  <c r="R109" i="105"/>
  <c r="S109" i="105"/>
  <c r="Q109" i="105"/>
  <c r="P109" i="105"/>
  <c r="T75" i="105"/>
  <c r="P75" i="105"/>
  <c r="O75" i="105"/>
  <c r="S75" i="105"/>
  <c r="R75" i="105"/>
  <c r="Q75" i="105"/>
  <c r="R229" i="105"/>
  <c r="Q229" i="105"/>
  <c r="T229" i="105"/>
  <c r="S229" i="105"/>
  <c r="P229" i="105"/>
  <c r="O229" i="105"/>
  <c r="T145" i="105"/>
  <c r="S145" i="105"/>
  <c r="P145" i="105"/>
  <c r="O145" i="105"/>
  <c r="Q145" i="105"/>
  <c r="R145" i="105"/>
  <c r="T137" i="105"/>
  <c r="R137" i="105"/>
  <c r="Q137" i="105"/>
  <c r="P137" i="105"/>
  <c r="O137" i="105"/>
  <c r="S137" i="105"/>
  <c r="O116" i="105"/>
  <c r="T116" i="105"/>
  <c r="R116" i="105"/>
  <c r="Q116" i="105"/>
  <c r="P116" i="105"/>
  <c r="S116" i="105"/>
  <c r="R127" i="105"/>
  <c r="T127" i="105"/>
  <c r="Q127" i="105"/>
  <c r="S127" i="105"/>
  <c r="P127" i="105"/>
  <c r="O127" i="105"/>
  <c r="S130" i="105"/>
  <c r="Q130" i="105"/>
  <c r="P130" i="105"/>
  <c r="O130" i="105"/>
  <c r="T130" i="105"/>
  <c r="R130" i="105"/>
  <c r="T240" i="105"/>
  <c r="S240" i="105"/>
  <c r="P240" i="105"/>
  <c r="O240" i="105"/>
  <c r="R240" i="105"/>
  <c r="Q240" i="105"/>
  <c r="R207" i="105"/>
  <c r="T207" i="105"/>
  <c r="S207" i="105"/>
  <c r="Q207" i="105"/>
  <c r="P207" i="105"/>
  <c r="O207" i="105"/>
  <c r="O14" i="105"/>
  <c r="T14" i="105"/>
  <c r="S14" i="105"/>
  <c r="R14" i="105"/>
  <c r="Q14" i="105"/>
  <c r="P14" i="105"/>
  <c r="T247" i="105"/>
  <c r="P247" i="105"/>
  <c r="S247" i="105"/>
  <c r="R247" i="105"/>
  <c r="Q247" i="105"/>
  <c r="O247" i="105"/>
  <c r="T27" i="105"/>
  <c r="R27" i="105"/>
  <c r="Q27" i="105"/>
  <c r="P27" i="105"/>
  <c r="S27" i="105"/>
  <c r="O27" i="105"/>
  <c r="T115" i="105"/>
  <c r="S115" i="105"/>
  <c r="R115" i="105"/>
  <c r="P115" i="105"/>
  <c r="Q115" i="105"/>
  <c r="O115" i="105"/>
  <c r="T21" i="105"/>
  <c r="S21" i="105"/>
  <c r="R21" i="105"/>
  <c r="Q21" i="105"/>
  <c r="P21" i="105"/>
  <c r="O21" i="105"/>
  <c r="O751" i="105"/>
  <c r="T751" i="105"/>
  <c r="S751" i="105"/>
  <c r="R751" i="105"/>
  <c r="Q751" i="105"/>
  <c r="P751" i="105"/>
  <c r="Q761" i="105"/>
  <c r="P761" i="105"/>
  <c r="O761" i="105"/>
  <c r="T761" i="105"/>
  <c r="S761" i="105"/>
  <c r="R761" i="105"/>
  <c r="P744" i="105"/>
  <c r="T744" i="105"/>
  <c r="S744" i="105"/>
  <c r="R744" i="105"/>
  <c r="Q744" i="105"/>
  <c r="O744" i="105"/>
  <c r="T700" i="105"/>
  <c r="O700" i="105"/>
  <c r="R700" i="105"/>
  <c r="Q700" i="105"/>
  <c r="P700" i="105"/>
  <c r="S700" i="105"/>
  <c r="T675" i="105"/>
  <c r="S675" i="105"/>
  <c r="R675" i="105"/>
  <c r="Q675" i="105"/>
  <c r="P675" i="105"/>
  <c r="O675" i="105"/>
  <c r="P638" i="105"/>
  <c r="T638" i="105"/>
  <c r="S638" i="105"/>
  <c r="R638" i="105"/>
  <c r="O638" i="105"/>
  <c r="Q638" i="105"/>
  <c r="O602" i="105"/>
  <c r="Q602" i="105"/>
  <c r="T602" i="105"/>
  <c r="R602" i="105"/>
  <c r="P602" i="105"/>
  <c r="S602" i="105"/>
  <c r="O562" i="105"/>
  <c r="T562" i="105"/>
  <c r="S562" i="105"/>
  <c r="Q562" i="105"/>
  <c r="R562" i="105"/>
  <c r="P562" i="105"/>
  <c r="T575" i="105"/>
  <c r="Q575" i="105"/>
  <c r="R575" i="105"/>
  <c r="S575" i="105"/>
  <c r="P575" i="105"/>
  <c r="O575" i="105"/>
  <c r="Q588" i="105"/>
  <c r="T588" i="105"/>
  <c r="S588" i="105"/>
  <c r="R588" i="105"/>
  <c r="P588" i="105"/>
  <c r="O588" i="105"/>
  <c r="Q459" i="105"/>
  <c r="S459" i="105"/>
  <c r="O459" i="105"/>
  <c r="T459" i="105"/>
  <c r="R459" i="105"/>
  <c r="P459" i="105"/>
  <c r="Q520" i="105"/>
  <c r="O520" i="105"/>
  <c r="T520" i="105"/>
  <c r="S520" i="105"/>
  <c r="R520" i="105"/>
  <c r="P520" i="105"/>
  <c r="T502" i="105"/>
  <c r="Q502" i="105"/>
  <c r="R502" i="105"/>
  <c r="O502" i="105"/>
  <c r="S502" i="105"/>
  <c r="P502" i="105"/>
  <c r="R484" i="105"/>
  <c r="Q484" i="105"/>
  <c r="P484" i="105"/>
  <c r="O484" i="105"/>
  <c r="T484" i="105"/>
  <c r="S484" i="105"/>
  <c r="T543" i="105"/>
  <c r="P543" i="105"/>
  <c r="S543" i="105"/>
  <c r="O543" i="105"/>
  <c r="R543" i="105"/>
  <c r="Q543" i="105"/>
  <c r="R444" i="105"/>
  <c r="O444" i="105"/>
  <c r="T444" i="105"/>
  <c r="P444" i="105"/>
  <c r="S444" i="105"/>
  <c r="Q444" i="105"/>
  <c r="T447" i="105"/>
  <c r="Q447" i="105"/>
  <c r="S447" i="105"/>
  <c r="R447" i="105"/>
  <c r="O447" i="105"/>
  <c r="P447" i="105"/>
  <c r="T311" i="105"/>
  <c r="P311" i="105"/>
  <c r="Q311" i="105"/>
  <c r="S311" i="105"/>
  <c r="R311" i="105"/>
  <c r="O311" i="105"/>
  <c r="R495" i="105"/>
  <c r="P495" i="105"/>
  <c r="T495" i="105"/>
  <c r="Q495" i="105"/>
  <c r="S495" i="105"/>
  <c r="O495" i="105"/>
  <c r="Q456" i="105"/>
  <c r="T456" i="105"/>
  <c r="S456" i="105"/>
  <c r="P456" i="105"/>
  <c r="R456" i="105"/>
  <c r="O456" i="105"/>
  <c r="Q395" i="105"/>
  <c r="O395" i="105"/>
  <c r="S395" i="105"/>
  <c r="T395" i="105"/>
  <c r="R395" i="105"/>
  <c r="P395" i="105"/>
  <c r="R333" i="105"/>
  <c r="O333" i="105"/>
  <c r="T333" i="105"/>
  <c r="P333" i="105"/>
  <c r="S333" i="105"/>
  <c r="Q333" i="105"/>
  <c r="O400" i="105"/>
  <c r="S400" i="105"/>
  <c r="R400" i="105"/>
  <c r="T400" i="105"/>
  <c r="Q400" i="105"/>
  <c r="P400" i="105"/>
  <c r="R277" i="105"/>
  <c r="S277" i="105"/>
  <c r="O277" i="105"/>
  <c r="T277" i="105"/>
  <c r="P277" i="105"/>
  <c r="Q277" i="105"/>
  <c r="O343" i="105"/>
  <c r="R343" i="105"/>
  <c r="T343" i="105"/>
  <c r="Q343" i="105"/>
  <c r="P343" i="105"/>
  <c r="S343" i="105"/>
  <c r="R329" i="105"/>
  <c r="P329" i="105"/>
  <c r="Q329" i="105"/>
  <c r="O329" i="105"/>
  <c r="T329" i="105"/>
  <c r="S329" i="105"/>
  <c r="R191" i="105"/>
  <c r="T191" i="105"/>
  <c r="P191" i="105"/>
  <c r="S191" i="105"/>
  <c r="O191" i="105"/>
  <c r="Q191" i="105"/>
  <c r="Q68" i="105"/>
  <c r="O68" i="105"/>
  <c r="P68" i="105"/>
  <c r="T68" i="105"/>
  <c r="R68" i="105"/>
  <c r="S68" i="105"/>
  <c r="T28" i="105"/>
  <c r="R28" i="105"/>
  <c r="S28" i="105"/>
  <c r="P28" i="105"/>
  <c r="O28" i="105"/>
  <c r="Q28" i="105"/>
  <c r="T85" i="105"/>
  <c r="S85" i="105"/>
  <c r="R85" i="105"/>
  <c r="Q85" i="105"/>
  <c r="O85" i="105"/>
  <c r="P85" i="105"/>
  <c r="T129" i="105"/>
  <c r="Q129" i="105"/>
  <c r="S129" i="105"/>
  <c r="P129" i="105"/>
  <c r="R129" i="105"/>
  <c r="O129" i="105"/>
  <c r="S120" i="105"/>
  <c r="Q120" i="105"/>
  <c r="P120" i="105"/>
  <c r="O120" i="105"/>
  <c r="T120" i="105"/>
  <c r="R120" i="105"/>
  <c r="Q222" i="105"/>
  <c r="T222" i="105"/>
  <c r="S222" i="105"/>
  <c r="R222" i="105"/>
  <c r="P222" i="105"/>
  <c r="O222" i="105"/>
  <c r="P203" i="105"/>
  <c r="T203" i="105"/>
  <c r="S203" i="105"/>
  <c r="Q203" i="105"/>
  <c r="R203" i="105"/>
  <c r="O203" i="105"/>
  <c r="T43" i="105"/>
  <c r="S43" i="105"/>
  <c r="R43" i="105"/>
  <c r="Q43" i="105"/>
  <c r="P43" i="105"/>
  <c r="O43" i="105"/>
  <c r="R183" i="105"/>
  <c r="S183" i="105"/>
  <c r="O183" i="105"/>
  <c r="T183" i="105"/>
  <c r="Q183" i="105"/>
  <c r="P183" i="105"/>
  <c r="S50" i="105"/>
  <c r="R50" i="105"/>
  <c r="P50" i="105"/>
  <c r="Q50" i="105"/>
  <c r="T50" i="105"/>
  <c r="O50" i="105"/>
  <c r="S731" i="105"/>
  <c r="P731" i="105"/>
  <c r="O731" i="105"/>
  <c r="T731" i="105"/>
  <c r="Q731" i="105"/>
  <c r="R731" i="105"/>
  <c r="O743" i="105"/>
  <c r="T743" i="105"/>
  <c r="S743" i="105"/>
  <c r="R743" i="105"/>
  <c r="Q743" i="105"/>
  <c r="P743" i="105"/>
  <c r="Q729" i="105"/>
  <c r="T729" i="105"/>
  <c r="S729" i="105"/>
  <c r="R729" i="105"/>
  <c r="P729" i="105"/>
  <c r="O729" i="105"/>
  <c r="Q745" i="105"/>
  <c r="T745" i="105"/>
  <c r="S745" i="105"/>
  <c r="R745" i="105"/>
  <c r="P745" i="105"/>
  <c r="O745" i="105"/>
  <c r="R746" i="105"/>
  <c r="O746" i="105"/>
  <c r="T746" i="105"/>
  <c r="S746" i="105"/>
  <c r="Q746" i="105"/>
  <c r="P746" i="105"/>
  <c r="O711" i="105"/>
  <c r="T711" i="105"/>
  <c r="R711" i="105"/>
  <c r="Q711" i="105"/>
  <c r="P711" i="105"/>
  <c r="S711" i="105"/>
  <c r="T716" i="105"/>
  <c r="Q716" i="105"/>
  <c r="O716" i="105"/>
  <c r="S716" i="105"/>
  <c r="R716" i="105"/>
  <c r="P716" i="105"/>
  <c r="P752" i="105"/>
  <c r="T752" i="105"/>
  <c r="S752" i="105"/>
  <c r="R752" i="105"/>
  <c r="Q752" i="105"/>
  <c r="O752" i="105"/>
  <c r="R730" i="105"/>
  <c r="O730" i="105"/>
  <c r="T730" i="105"/>
  <c r="S730" i="105"/>
  <c r="Q730" i="105"/>
  <c r="P730" i="105"/>
  <c r="O719" i="105"/>
  <c r="T719" i="105"/>
  <c r="R719" i="105"/>
  <c r="Q719" i="105"/>
  <c r="P719" i="105"/>
  <c r="S719" i="105"/>
  <c r="P704" i="105"/>
  <c r="S704" i="105"/>
  <c r="R704" i="105"/>
  <c r="Q704" i="105"/>
  <c r="O704" i="105"/>
  <c r="T704" i="105"/>
  <c r="Q624" i="105"/>
  <c r="O624" i="105"/>
  <c r="R624" i="105"/>
  <c r="P624" i="105"/>
  <c r="T624" i="105"/>
  <c r="S624" i="105"/>
  <c r="R573" i="105"/>
  <c r="T573" i="105"/>
  <c r="S573" i="105"/>
  <c r="O573" i="105"/>
  <c r="Q573" i="105"/>
  <c r="P573" i="105"/>
  <c r="R508" i="105"/>
  <c r="Q508" i="105"/>
  <c r="T508" i="105"/>
  <c r="P508" i="105"/>
  <c r="O508" i="105"/>
  <c r="S508" i="105"/>
  <c r="T504" i="105"/>
  <c r="O504" i="105"/>
  <c r="S504" i="105"/>
  <c r="P504" i="105"/>
  <c r="R504" i="105"/>
  <c r="Q504" i="105"/>
  <c r="T454" i="105"/>
  <c r="S454" i="105"/>
  <c r="R454" i="105"/>
  <c r="P454" i="105"/>
  <c r="Q454" i="105"/>
  <c r="O454" i="105"/>
  <c r="S439" i="105"/>
  <c r="P439" i="105"/>
  <c r="T439" i="105"/>
  <c r="R439" i="105"/>
  <c r="Q439" i="105"/>
  <c r="O439" i="105"/>
  <c r="O528" i="105"/>
  <c r="T528" i="105"/>
  <c r="S528" i="105"/>
  <c r="P528" i="105"/>
  <c r="R528" i="105"/>
  <c r="Q528" i="105"/>
  <c r="S461" i="105"/>
  <c r="Q461" i="105"/>
  <c r="O461" i="105"/>
  <c r="R461" i="105"/>
  <c r="T461" i="105"/>
  <c r="P461" i="105"/>
  <c r="T383" i="105"/>
  <c r="P383" i="105"/>
  <c r="O383" i="105"/>
  <c r="Q383" i="105"/>
  <c r="R383" i="105"/>
  <c r="S383" i="105"/>
  <c r="O314" i="105"/>
  <c r="R314" i="105"/>
  <c r="S314" i="105"/>
  <c r="T314" i="105"/>
  <c r="Q314" i="105"/>
  <c r="P314" i="105"/>
  <c r="Q467" i="105"/>
  <c r="P467" i="105"/>
  <c r="T467" i="105"/>
  <c r="R467" i="105"/>
  <c r="S467" i="105"/>
  <c r="O467" i="105"/>
  <c r="Q387" i="105"/>
  <c r="T387" i="105"/>
  <c r="P387" i="105"/>
  <c r="R387" i="105"/>
  <c r="O387" i="105"/>
  <c r="S387" i="105"/>
  <c r="T303" i="105"/>
  <c r="S303" i="105"/>
  <c r="R303" i="105"/>
  <c r="O303" i="105"/>
  <c r="Q303" i="105"/>
  <c r="P303" i="105"/>
  <c r="T263" i="105"/>
  <c r="P263" i="105"/>
  <c r="Q263" i="105"/>
  <c r="S263" i="105"/>
  <c r="R263" i="105"/>
  <c r="O263" i="105"/>
  <c r="R380" i="105"/>
  <c r="S380" i="105"/>
  <c r="O380" i="105"/>
  <c r="Q380" i="105"/>
  <c r="P380" i="105"/>
  <c r="T380" i="105"/>
  <c r="Q332" i="105"/>
  <c r="T332" i="105"/>
  <c r="S332" i="105"/>
  <c r="P332" i="105"/>
  <c r="O332" i="105"/>
  <c r="R332" i="105"/>
  <c r="T93" i="105"/>
  <c r="S93" i="105"/>
  <c r="R93" i="105"/>
  <c r="P93" i="105"/>
  <c r="Q93" i="105"/>
  <c r="O93" i="105"/>
  <c r="T100" i="105"/>
  <c r="S100" i="105"/>
  <c r="R100" i="105"/>
  <c r="P100" i="105"/>
  <c r="O100" i="105"/>
  <c r="Q100" i="105"/>
  <c r="T101" i="105"/>
  <c r="S101" i="105"/>
  <c r="Q101" i="105"/>
  <c r="R101" i="105"/>
  <c r="O101" i="105"/>
  <c r="P101" i="105"/>
  <c r="R305" i="105"/>
  <c r="S305" i="105"/>
  <c r="T305" i="105"/>
  <c r="Q305" i="105"/>
  <c r="O305" i="105"/>
  <c r="P305" i="105"/>
  <c r="P53" i="105"/>
  <c r="O53" i="105"/>
  <c r="T53" i="105"/>
  <c r="S53" i="105"/>
  <c r="Q53" i="105"/>
  <c r="R53" i="105"/>
  <c r="Q236" i="105"/>
  <c r="T236" i="105"/>
  <c r="O236" i="105"/>
  <c r="S236" i="105"/>
  <c r="R236" i="105"/>
  <c r="P236" i="105"/>
  <c r="Q61" i="105"/>
  <c r="P61" i="105"/>
  <c r="O61" i="105"/>
  <c r="T61" i="105"/>
  <c r="S61" i="105"/>
  <c r="R61" i="105"/>
  <c r="S218" i="105"/>
  <c r="Q218" i="105"/>
  <c r="P218" i="105"/>
  <c r="O218" i="105"/>
  <c r="T218" i="105"/>
  <c r="R218" i="105"/>
  <c r="P205" i="105"/>
  <c r="Q205" i="105"/>
  <c r="T205" i="105"/>
  <c r="S205" i="105"/>
  <c r="R205" i="105"/>
  <c r="O205" i="105"/>
  <c r="S74" i="105"/>
  <c r="T74" i="105"/>
  <c r="P74" i="105"/>
  <c r="Q74" i="105"/>
  <c r="R74" i="105"/>
  <c r="O74" i="105"/>
  <c r="S10" i="105"/>
  <c r="T10" i="105"/>
  <c r="Q10" i="105"/>
  <c r="P10" i="105"/>
  <c r="O10" i="105"/>
  <c r="R10" i="105"/>
  <c r="Q713" i="105"/>
  <c r="T713" i="105"/>
  <c r="S713" i="105"/>
  <c r="R713" i="105"/>
  <c r="O713" i="105"/>
  <c r="P713" i="105"/>
  <c r="T658" i="105"/>
  <c r="Q658" i="105"/>
  <c r="P658" i="105"/>
  <c r="O658" i="105"/>
  <c r="S658" i="105"/>
  <c r="R658" i="105"/>
  <c r="P736" i="105"/>
  <c r="T736" i="105"/>
  <c r="S736" i="105"/>
  <c r="R736" i="105"/>
  <c r="Q736" i="105"/>
  <c r="O736" i="105"/>
  <c r="O645" i="105"/>
  <c r="T645" i="105"/>
  <c r="P645" i="105"/>
  <c r="Q645" i="105"/>
  <c r="R645" i="105"/>
  <c r="S645" i="105"/>
  <c r="R722" i="105"/>
  <c r="O722" i="105"/>
  <c r="T722" i="105"/>
  <c r="S722" i="105"/>
  <c r="P722" i="105"/>
  <c r="Q722" i="105"/>
  <c r="T691" i="105"/>
  <c r="R691" i="105"/>
  <c r="P691" i="105"/>
  <c r="O691" i="105"/>
  <c r="S691" i="105"/>
  <c r="Q691" i="105"/>
  <c r="S665" i="105"/>
  <c r="O665" i="105"/>
  <c r="T665" i="105"/>
  <c r="R665" i="105"/>
  <c r="P665" i="105"/>
  <c r="Q665" i="105"/>
  <c r="Q679" i="105"/>
  <c r="P679" i="105"/>
  <c r="O679" i="105"/>
  <c r="T679" i="105"/>
  <c r="S679" i="105"/>
  <c r="R679" i="105"/>
  <c r="O653" i="105"/>
  <c r="Q653" i="105"/>
  <c r="P653" i="105"/>
  <c r="S653" i="105"/>
  <c r="R653" i="105"/>
  <c r="T653" i="105"/>
  <c r="T585" i="105"/>
  <c r="R585" i="105"/>
  <c r="S585" i="105"/>
  <c r="Q585" i="105"/>
  <c r="P585" i="105"/>
  <c r="O585" i="105"/>
  <c r="P555" i="105"/>
  <c r="S555" i="105"/>
  <c r="Q555" i="105"/>
  <c r="T555" i="105"/>
  <c r="R555" i="105"/>
  <c r="O555" i="105"/>
  <c r="R754" i="105"/>
  <c r="O754" i="105"/>
  <c r="T754" i="105"/>
  <c r="S754" i="105"/>
  <c r="Q754" i="105"/>
  <c r="P754" i="105"/>
  <c r="Q721" i="105"/>
  <c r="T721" i="105"/>
  <c r="S721" i="105"/>
  <c r="R721" i="105"/>
  <c r="P721" i="105"/>
  <c r="O721" i="105"/>
  <c r="S707" i="105"/>
  <c r="T707" i="105"/>
  <c r="O707" i="105"/>
  <c r="Q707" i="105"/>
  <c r="P707" i="105"/>
  <c r="R707" i="105"/>
  <c r="P728" i="105"/>
  <c r="S728" i="105"/>
  <c r="R728" i="105"/>
  <c r="Q728" i="105"/>
  <c r="T728" i="105"/>
  <c r="O728" i="105"/>
  <c r="Q671" i="105"/>
  <c r="T671" i="105"/>
  <c r="R671" i="105"/>
  <c r="O671" i="105"/>
  <c r="P671" i="105"/>
  <c r="S671" i="105"/>
  <c r="R672" i="105"/>
  <c r="S672" i="105"/>
  <c r="Q672" i="105"/>
  <c r="T672" i="105"/>
  <c r="P672" i="105"/>
  <c r="O672" i="105"/>
  <c r="T615" i="105"/>
  <c r="S615" i="105"/>
  <c r="P615" i="105"/>
  <c r="R615" i="105"/>
  <c r="O615" i="105"/>
  <c r="Q615" i="105"/>
  <c r="T599" i="105"/>
  <c r="S599" i="105"/>
  <c r="O599" i="105"/>
  <c r="R599" i="105"/>
  <c r="Q599" i="105"/>
  <c r="P599" i="105"/>
  <c r="S641" i="105"/>
  <c r="Q641" i="105"/>
  <c r="P641" i="105"/>
  <c r="T641" i="105"/>
  <c r="O641" i="105"/>
  <c r="R641" i="105"/>
  <c r="R644" i="105"/>
  <c r="S644" i="105"/>
  <c r="Q644" i="105"/>
  <c r="T644" i="105"/>
  <c r="P644" i="105"/>
  <c r="O644" i="105"/>
  <c r="Q580" i="105"/>
  <c r="S580" i="105"/>
  <c r="T580" i="105"/>
  <c r="P580" i="105"/>
  <c r="R580" i="105"/>
  <c r="O580" i="105"/>
  <c r="T608" i="105"/>
  <c r="S608" i="105"/>
  <c r="Q608" i="105"/>
  <c r="R608" i="105"/>
  <c r="P608" i="105"/>
  <c r="O608" i="105"/>
  <c r="T584" i="105"/>
  <c r="S584" i="105"/>
  <c r="R584" i="105"/>
  <c r="P584" i="105"/>
  <c r="Q584" i="105"/>
  <c r="O584" i="105"/>
  <c r="T567" i="105"/>
  <c r="P567" i="105"/>
  <c r="S567" i="105"/>
  <c r="Q567" i="105"/>
  <c r="R567" i="105"/>
  <c r="O567" i="105"/>
  <c r="T446" i="105"/>
  <c r="R446" i="105"/>
  <c r="P446" i="105"/>
  <c r="O446" i="105"/>
  <c r="S446" i="105"/>
  <c r="Q446" i="105"/>
  <c r="S501" i="105"/>
  <c r="T501" i="105"/>
  <c r="R501" i="105"/>
  <c r="O501" i="105"/>
  <c r="P501" i="105"/>
  <c r="Q501" i="105"/>
  <c r="T486" i="105"/>
  <c r="O486" i="105"/>
  <c r="S486" i="105"/>
  <c r="R486" i="105"/>
  <c r="Q486" i="105"/>
  <c r="P486" i="105"/>
  <c r="R524" i="105"/>
  <c r="P524" i="105"/>
  <c r="Q524" i="105"/>
  <c r="T524" i="105"/>
  <c r="S524" i="105"/>
  <c r="O524" i="105"/>
  <c r="S485" i="105"/>
  <c r="Q485" i="105"/>
  <c r="T485" i="105"/>
  <c r="R485" i="105"/>
  <c r="P485" i="105"/>
  <c r="O485" i="105"/>
  <c r="P378" i="105"/>
  <c r="O378" i="105"/>
  <c r="T378" i="105"/>
  <c r="S378" i="105"/>
  <c r="R378" i="105"/>
  <c r="Q378" i="105"/>
  <c r="Q443" i="105"/>
  <c r="S443" i="105"/>
  <c r="R443" i="105"/>
  <c r="O443" i="105"/>
  <c r="P443" i="105"/>
  <c r="T443" i="105"/>
  <c r="S397" i="105"/>
  <c r="Q397" i="105"/>
  <c r="T397" i="105"/>
  <c r="O397" i="105"/>
  <c r="R397" i="105"/>
  <c r="P397" i="105"/>
  <c r="R392" i="105"/>
  <c r="O392" i="105"/>
  <c r="P392" i="105"/>
  <c r="T392" i="105"/>
  <c r="S392" i="105"/>
  <c r="Q392" i="105"/>
  <c r="T382" i="105"/>
  <c r="R382" i="105"/>
  <c r="S382" i="105"/>
  <c r="P382" i="105"/>
  <c r="Q382" i="105"/>
  <c r="O382" i="105"/>
  <c r="Q340" i="105"/>
  <c r="R340" i="105"/>
  <c r="T340" i="105"/>
  <c r="O340" i="105"/>
  <c r="S340" i="105"/>
  <c r="P340" i="105"/>
  <c r="Q214" i="105"/>
  <c r="O214" i="105"/>
  <c r="P214" i="105"/>
  <c r="T214" i="105"/>
  <c r="S214" i="105"/>
  <c r="R214" i="105"/>
  <c r="T342" i="105"/>
  <c r="R342" i="105"/>
  <c r="P342" i="105"/>
  <c r="O342" i="105"/>
  <c r="Q342" i="105"/>
  <c r="S342" i="105"/>
  <c r="Q190" i="105"/>
  <c r="R190" i="105"/>
  <c r="P190" i="105"/>
  <c r="O190" i="105"/>
  <c r="T190" i="105"/>
  <c r="S190" i="105"/>
  <c r="R269" i="105"/>
  <c r="Q269" i="105"/>
  <c r="T269" i="105"/>
  <c r="S269" i="105"/>
  <c r="O269" i="105"/>
  <c r="P269" i="105"/>
  <c r="R97" i="105"/>
  <c r="T97" i="105"/>
  <c r="S97" i="105"/>
  <c r="P97" i="105"/>
  <c r="O97" i="105"/>
  <c r="Q97" i="105"/>
  <c r="R122" i="105"/>
  <c r="O122" i="105"/>
  <c r="S122" i="105"/>
  <c r="T122" i="105"/>
  <c r="Q122" i="105"/>
  <c r="P122" i="105"/>
  <c r="T19" i="105"/>
  <c r="Q19" i="105"/>
  <c r="P19" i="105"/>
  <c r="O19" i="105"/>
  <c r="S19" i="105"/>
  <c r="R19" i="105"/>
  <c r="T231" i="105"/>
  <c r="R231" i="105"/>
  <c r="Q231" i="105"/>
  <c r="P231" i="105"/>
  <c r="O231" i="105"/>
  <c r="S231" i="105"/>
  <c r="R119" i="105"/>
  <c r="S119" i="105"/>
  <c r="T119" i="105"/>
  <c r="P119" i="105"/>
  <c r="Q119" i="105"/>
  <c r="O119" i="105"/>
  <c r="T217" i="105"/>
  <c r="Q217" i="105"/>
  <c r="S217" i="105"/>
  <c r="R217" i="105"/>
  <c r="P217" i="105"/>
  <c r="O217" i="105"/>
  <c r="T279" i="105"/>
  <c r="P279" i="105"/>
  <c r="S279" i="105"/>
  <c r="Q279" i="105"/>
  <c r="R279" i="105"/>
  <c r="O279" i="105"/>
  <c r="T131" i="105"/>
  <c r="S131" i="105"/>
  <c r="Q131" i="105"/>
  <c r="R131" i="105"/>
  <c r="O131" i="105"/>
  <c r="P131" i="105"/>
  <c r="T11" i="105"/>
  <c r="P11" i="105"/>
  <c r="O11" i="105"/>
  <c r="S11" i="105"/>
  <c r="R11" i="105"/>
  <c r="Q11" i="105"/>
  <c r="Q284" i="105"/>
  <c r="R284" i="105"/>
  <c r="P284" i="105"/>
  <c r="S284" i="105"/>
  <c r="T284" i="105"/>
  <c r="O284" i="105"/>
  <c r="T202" i="105"/>
  <c r="S202" i="105"/>
  <c r="R202" i="105"/>
  <c r="Q202" i="105"/>
  <c r="P202" i="105"/>
  <c r="O202" i="105"/>
  <c r="R73" i="105"/>
  <c r="S73" i="105"/>
  <c r="P73" i="105"/>
  <c r="Q73" i="105"/>
  <c r="T73" i="105"/>
  <c r="O73" i="105"/>
  <c r="S20" i="105"/>
  <c r="R20" i="105"/>
  <c r="Q20" i="105"/>
  <c r="P20" i="105"/>
  <c r="O20" i="105"/>
  <c r="T20" i="105"/>
  <c r="R25" i="105"/>
  <c r="S25" i="105"/>
  <c r="T25" i="105"/>
  <c r="O25" i="105"/>
  <c r="Q25" i="105"/>
  <c r="P25" i="105"/>
  <c r="R738" i="105"/>
  <c r="O738" i="105"/>
  <c r="T738" i="105"/>
  <c r="S738" i="105"/>
  <c r="Q738" i="105"/>
  <c r="P738" i="105"/>
  <c r="O727" i="105"/>
  <c r="T727" i="105"/>
  <c r="R727" i="105"/>
  <c r="Q727" i="105"/>
  <c r="P727" i="105"/>
  <c r="S727" i="105"/>
  <c r="Q737" i="105"/>
  <c r="T737" i="105"/>
  <c r="S737" i="105"/>
  <c r="R737" i="105"/>
  <c r="P737" i="105"/>
  <c r="O737" i="105"/>
  <c r="P670" i="105"/>
  <c r="Q670" i="105"/>
  <c r="T670" i="105"/>
  <c r="S670" i="105"/>
  <c r="R670" i="105"/>
  <c r="O670" i="105"/>
  <c r="S652" i="105"/>
  <c r="T652" i="105"/>
  <c r="R652" i="105"/>
  <c r="O652" i="105"/>
  <c r="Q652" i="105"/>
  <c r="P652" i="105"/>
  <c r="R640" i="105"/>
  <c r="Q640" i="105"/>
  <c r="S640" i="105"/>
  <c r="P640" i="105"/>
  <c r="O640" i="105"/>
  <c r="T640" i="105"/>
  <c r="Q620" i="105"/>
  <c r="P620" i="105"/>
  <c r="O620" i="105"/>
  <c r="R620" i="105"/>
  <c r="T620" i="105"/>
  <c r="S620" i="105"/>
  <c r="Q596" i="105"/>
  <c r="T596" i="105"/>
  <c r="R596" i="105"/>
  <c r="S596" i="105"/>
  <c r="P596" i="105"/>
  <c r="O596" i="105"/>
  <c r="T583" i="105"/>
  <c r="R583" i="105"/>
  <c r="O583" i="105"/>
  <c r="P583" i="105"/>
  <c r="S583" i="105"/>
  <c r="Q583" i="105"/>
  <c r="S493" i="105"/>
  <c r="R493" i="105"/>
  <c r="Q493" i="105"/>
  <c r="O493" i="105"/>
  <c r="T493" i="105"/>
  <c r="P493" i="105"/>
  <c r="S429" i="105"/>
  <c r="Q429" i="105"/>
  <c r="T429" i="105"/>
  <c r="R429" i="105"/>
  <c r="O429" i="105"/>
  <c r="P429" i="105"/>
  <c r="R540" i="105"/>
  <c r="P540" i="105"/>
  <c r="S540" i="105"/>
  <c r="T540" i="105"/>
  <c r="Q540" i="105"/>
  <c r="O540" i="105"/>
  <c r="S541" i="105"/>
  <c r="O541" i="105"/>
  <c r="T541" i="105"/>
  <c r="R541" i="105"/>
  <c r="Q541" i="105"/>
  <c r="P541" i="105"/>
  <c r="Q499" i="105"/>
  <c r="R499" i="105"/>
  <c r="S499" i="105"/>
  <c r="T499" i="105"/>
  <c r="O499" i="105"/>
  <c r="P499" i="105"/>
  <c r="Q427" i="105"/>
  <c r="P427" i="105"/>
  <c r="T427" i="105"/>
  <c r="S427" i="105"/>
  <c r="R427" i="105"/>
  <c r="O427" i="105"/>
  <c r="Q523" i="105"/>
  <c r="T523" i="105"/>
  <c r="R523" i="105"/>
  <c r="S523" i="105"/>
  <c r="O523" i="105"/>
  <c r="P523" i="105"/>
  <c r="T440" i="105"/>
  <c r="Q440" i="105"/>
  <c r="O440" i="105"/>
  <c r="S440" i="105"/>
  <c r="P440" i="105"/>
  <c r="R440" i="105"/>
  <c r="T414" i="105"/>
  <c r="Q414" i="105"/>
  <c r="P414" i="105"/>
  <c r="O414" i="105"/>
  <c r="S414" i="105"/>
  <c r="R414" i="105"/>
  <c r="T390" i="105"/>
  <c r="S390" i="105"/>
  <c r="R390" i="105"/>
  <c r="Q390" i="105"/>
  <c r="P390" i="105"/>
  <c r="O390" i="105"/>
  <c r="T350" i="105"/>
  <c r="S350" i="105"/>
  <c r="O350" i="105"/>
  <c r="P350" i="105"/>
  <c r="Q350" i="105"/>
  <c r="R350" i="105"/>
  <c r="S365" i="105"/>
  <c r="T365" i="105"/>
  <c r="R365" i="105"/>
  <c r="O365" i="105"/>
  <c r="Q365" i="105"/>
  <c r="P365" i="105"/>
  <c r="T391" i="105"/>
  <c r="Q391" i="105"/>
  <c r="S391" i="105"/>
  <c r="R391" i="105"/>
  <c r="P391" i="105"/>
  <c r="O391" i="105"/>
  <c r="T319" i="105"/>
  <c r="Q319" i="105"/>
  <c r="R319" i="105"/>
  <c r="S319" i="105"/>
  <c r="O319" i="105"/>
  <c r="P319" i="105"/>
  <c r="Q265" i="105"/>
  <c r="O265" i="105"/>
  <c r="T265" i="105"/>
  <c r="S265" i="105"/>
  <c r="R265" i="105"/>
  <c r="P265" i="105"/>
  <c r="T169" i="105"/>
  <c r="S169" i="105"/>
  <c r="R169" i="105"/>
  <c r="P169" i="105"/>
  <c r="Q169" i="105"/>
  <c r="O169" i="105"/>
  <c r="Q150" i="105"/>
  <c r="R150" i="105"/>
  <c r="T150" i="105"/>
  <c r="S150" i="105"/>
  <c r="O150" i="105"/>
  <c r="P150" i="105"/>
  <c r="T92" i="105"/>
  <c r="S92" i="105"/>
  <c r="R92" i="105"/>
  <c r="Q92" i="105"/>
  <c r="O92" i="105"/>
  <c r="P92" i="105"/>
  <c r="R89" i="105"/>
  <c r="T89" i="105"/>
  <c r="S89" i="105"/>
  <c r="Q89" i="105"/>
  <c r="O89" i="105"/>
  <c r="P89" i="105"/>
  <c r="T185" i="105"/>
  <c r="P185" i="105"/>
  <c r="S185" i="105"/>
  <c r="R185" i="105"/>
  <c r="O185" i="105"/>
  <c r="Q185" i="105"/>
  <c r="S106" i="105"/>
  <c r="Q106" i="105"/>
  <c r="P106" i="105"/>
  <c r="O106" i="105"/>
  <c r="R106" i="105"/>
  <c r="T106" i="105"/>
  <c r="T99" i="105"/>
  <c r="S99" i="105"/>
  <c r="Q99" i="105"/>
  <c r="R99" i="105"/>
  <c r="P99" i="105"/>
  <c r="O99" i="105"/>
  <c r="T107" i="105"/>
  <c r="S107" i="105"/>
  <c r="R107" i="105"/>
  <c r="Q107" i="105"/>
  <c r="O107" i="105"/>
  <c r="P107" i="105"/>
  <c r="T121" i="105"/>
  <c r="P121" i="105"/>
  <c r="S121" i="105"/>
  <c r="R121" i="105"/>
  <c r="O121" i="105"/>
  <c r="Q121" i="105"/>
  <c r="Q276" i="105"/>
  <c r="P276" i="105"/>
  <c r="R276" i="105"/>
  <c r="S276" i="105"/>
  <c r="T276" i="105"/>
  <c r="O276" i="105"/>
  <c r="Q80" i="105"/>
  <c r="R80" i="105"/>
  <c r="P80" i="105"/>
  <c r="O80" i="105"/>
  <c r="S80" i="105"/>
  <c r="T80" i="105"/>
  <c r="T37" i="105"/>
  <c r="S37" i="105"/>
  <c r="Q37" i="105"/>
  <c r="P37" i="105"/>
  <c r="R37" i="105"/>
  <c r="O37" i="105"/>
  <c r="Q56" i="105"/>
  <c r="R56" i="105"/>
  <c r="T56" i="105"/>
  <c r="P56" i="105"/>
  <c r="S56" i="105"/>
  <c r="O56" i="105"/>
  <c r="T83" i="105"/>
  <c r="Q83" i="105"/>
  <c r="P83" i="105"/>
  <c r="O83" i="105"/>
  <c r="S83" i="105"/>
  <c r="R83" i="105"/>
  <c r="R65" i="105"/>
  <c r="Q65" i="105"/>
  <c r="P65" i="105"/>
  <c r="O65" i="105"/>
  <c r="T65" i="105"/>
  <c r="S65" i="105"/>
  <c r="S281" i="105"/>
  <c r="P281" i="105"/>
  <c r="Q281" i="105"/>
  <c r="O281" i="105"/>
  <c r="T281" i="105"/>
  <c r="R281" i="105"/>
  <c r="Q252" i="105"/>
  <c r="T252" i="105"/>
  <c r="R252" i="105"/>
  <c r="P252" i="105"/>
  <c r="O252" i="105"/>
  <c r="S252" i="105"/>
  <c r="R33" i="105"/>
  <c r="T33" i="105"/>
  <c r="Q33" i="105"/>
  <c r="P33" i="105"/>
  <c r="O33" i="105"/>
  <c r="S33" i="105"/>
  <c r="T239" i="105"/>
  <c r="S239" i="105"/>
  <c r="Q239" i="105"/>
  <c r="R239" i="105"/>
  <c r="P239" i="105"/>
  <c r="O239" i="105"/>
  <c r="Q40" i="105"/>
  <c r="S40" i="105"/>
  <c r="T40" i="105"/>
  <c r="R40" i="105"/>
  <c r="P40" i="105"/>
  <c r="O40" i="105"/>
  <c r="Q48" i="105"/>
  <c r="T48" i="105"/>
  <c r="P48" i="105"/>
  <c r="O48" i="105"/>
  <c r="S48" i="105"/>
  <c r="R48" i="105"/>
  <c r="Q753" i="105"/>
  <c r="T753" i="105"/>
  <c r="S753" i="105"/>
  <c r="R753" i="105"/>
  <c r="P753" i="105"/>
  <c r="O753" i="105"/>
  <c r="R698" i="105"/>
  <c r="T698" i="105"/>
  <c r="S698" i="105"/>
  <c r="O698" i="105"/>
  <c r="Q698" i="105"/>
  <c r="P698" i="105"/>
  <c r="O735" i="105"/>
  <c r="T735" i="105"/>
  <c r="S735" i="105"/>
  <c r="R735" i="105"/>
  <c r="Q735" i="105"/>
  <c r="P735" i="105"/>
  <c r="P686" i="105"/>
  <c r="S686" i="105"/>
  <c r="T686" i="105"/>
  <c r="Q686" i="105"/>
  <c r="O686" i="105"/>
  <c r="R686" i="105"/>
  <c r="Q705" i="105"/>
  <c r="T705" i="105"/>
  <c r="S705" i="105"/>
  <c r="R705" i="105"/>
  <c r="O705" i="105"/>
  <c r="P705" i="105"/>
  <c r="R706" i="105"/>
  <c r="T706" i="105"/>
  <c r="S706" i="105"/>
  <c r="Q706" i="105"/>
  <c r="P706" i="105"/>
  <c r="O706" i="105"/>
  <c r="Q687" i="105"/>
  <c r="T687" i="105"/>
  <c r="P687" i="105"/>
  <c r="S687" i="105"/>
  <c r="R687" i="105"/>
  <c r="O687" i="105"/>
  <c r="S649" i="105"/>
  <c r="R649" i="105"/>
  <c r="Q649" i="105"/>
  <c r="T649" i="105"/>
  <c r="P649" i="105"/>
  <c r="O649" i="105"/>
  <c r="R605" i="105"/>
  <c r="P605" i="105"/>
  <c r="T605" i="105"/>
  <c r="S605" i="105"/>
  <c r="Q605" i="105"/>
  <c r="O605" i="105"/>
  <c r="P579" i="105"/>
  <c r="O579" i="105"/>
  <c r="Q579" i="105"/>
  <c r="R579" i="105"/>
  <c r="T579" i="105"/>
  <c r="S579" i="105"/>
  <c r="T607" i="105"/>
  <c r="R607" i="105"/>
  <c r="P607" i="105"/>
  <c r="O607" i="105"/>
  <c r="S607" i="105"/>
  <c r="Q607" i="105"/>
  <c r="S590" i="105"/>
  <c r="P590" i="105"/>
  <c r="T590" i="105"/>
  <c r="Q590" i="105"/>
  <c r="R590" i="105"/>
  <c r="O590" i="105"/>
  <c r="P545" i="105"/>
  <c r="Q545" i="105"/>
  <c r="S545" i="105"/>
  <c r="O545" i="105"/>
  <c r="T545" i="105"/>
  <c r="R545" i="105"/>
  <c r="T617" i="105"/>
  <c r="R617" i="105"/>
  <c r="S617" i="105"/>
  <c r="Q617" i="105"/>
  <c r="P617" i="105"/>
  <c r="O617" i="105"/>
  <c r="S503" i="105"/>
  <c r="R503" i="105"/>
  <c r="P503" i="105"/>
  <c r="T503" i="105"/>
  <c r="Q503" i="105"/>
  <c r="O503" i="105"/>
  <c r="P466" i="105"/>
  <c r="S466" i="105"/>
  <c r="T466" i="105"/>
  <c r="R466" i="105"/>
  <c r="Q466" i="105"/>
  <c r="O466" i="105"/>
  <c r="S421" i="105"/>
  <c r="P421" i="105"/>
  <c r="T421" i="105"/>
  <c r="Q421" i="105"/>
  <c r="O421" i="105"/>
  <c r="R421" i="105"/>
  <c r="R431" i="105"/>
  <c r="O431" i="105"/>
  <c r="T431" i="105"/>
  <c r="S431" i="105"/>
  <c r="Q431" i="105"/>
  <c r="P431" i="105"/>
  <c r="S389" i="105"/>
  <c r="P389" i="105"/>
  <c r="T389" i="105"/>
  <c r="O389" i="105"/>
  <c r="R389" i="105"/>
  <c r="Q389" i="105"/>
  <c r="P408" i="105"/>
  <c r="T408" i="105"/>
  <c r="Q408" i="105"/>
  <c r="R408" i="105"/>
  <c r="O408" i="105"/>
  <c r="S408" i="105"/>
  <c r="Q363" i="105"/>
  <c r="P363" i="105"/>
  <c r="T363" i="105"/>
  <c r="O363" i="105"/>
  <c r="S363" i="105"/>
  <c r="R363" i="105"/>
  <c r="R325" i="105"/>
  <c r="O325" i="105"/>
  <c r="T325" i="105"/>
  <c r="S325" i="105"/>
  <c r="Q325" i="105"/>
  <c r="P325" i="105"/>
  <c r="O290" i="105"/>
  <c r="Q290" i="105"/>
  <c r="T290" i="105"/>
  <c r="S290" i="105"/>
  <c r="P290" i="105"/>
  <c r="R290" i="105"/>
  <c r="S286" i="105"/>
  <c r="P286" i="105"/>
  <c r="Q286" i="105"/>
  <c r="R286" i="105"/>
  <c r="T286" i="105"/>
  <c r="O286" i="105"/>
  <c r="S357" i="105"/>
  <c r="R357" i="105"/>
  <c r="T357" i="105"/>
  <c r="Q357" i="105"/>
  <c r="P357" i="105"/>
  <c r="O357" i="105"/>
  <c r="S313" i="105"/>
  <c r="T313" i="105"/>
  <c r="R313" i="105"/>
  <c r="Q313" i="105"/>
  <c r="P313" i="105"/>
  <c r="O313" i="105"/>
  <c r="T295" i="105"/>
  <c r="R295" i="105"/>
  <c r="S295" i="105"/>
  <c r="O295" i="105"/>
  <c r="P295" i="105"/>
  <c r="Q295" i="105"/>
  <c r="T59" i="105"/>
  <c r="Q59" i="105"/>
  <c r="O59" i="105"/>
  <c r="S59" i="105"/>
  <c r="P59" i="105"/>
  <c r="R59" i="105"/>
  <c r="R167" i="105"/>
  <c r="P167" i="105"/>
  <c r="T167" i="105"/>
  <c r="S167" i="105"/>
  <c r="O167" i="105"/>
  <c r="Q167" i="105"/>
  <c r="S160" i="105"/>
  <c r="R160" i="105"/>
  <c r="Q160" i="105"/>
  <c r="P160" i="105"/>
  <c r="O160" i="105"/>
  <c r="T160" i="105"/>
  <c r="R113" i="105"/>
  <c r="O113" i="105"/>
  <c r="S113" i="105"/>
  <c r="T113" i="105"/>
  <c r="Q113" i="105"/>
  <c r="P113" i="105"/>
  <c r="T153" i="105"/>
  <c r="S153" i="105"/>
  <c r="P153" i="105"/>
  <c r="O153" i="105"/>
  <c r="R153" i="105"/>
  <c r="Q153" i="105"/>
  <c r="T195" i="105"/>
  <c r="S195" i="105"/>
  <c r="Q195" i="105"/>
  <c r="R195" i="105"/>
  <c r="P195" i="105"/>
  <c r="O195" i="105"/>
  <c r="Q32" i="105"/>
  <c r="T32" i="105"/>
  <c r="R32" i="105"/>
  <c r="S32" i="105"/>
  <c r="P32" i="105"/>
  <c r="O32" i="105"/>
  <c r="R9" i="105"/>
  <c r="S9" i="105"/>
  <c r="Q9" i="105"/>
  <c r="P9" i="105"/>
  <c r="T9" i="105"/>
  <c r="O9" i="105"/>
  <c r="R17" i="105"/>
  <c r="T17" i="105"/>
  <c r="S17" i="105"/>
  <c r="Q17" i="105"/>
  <c r="P17" i="105"/>
  <c r="O17" i="105"/>
  <c r="AX7" i="18"/>
  <c r="AX6" i="18"/>
  <c r="AT7" i="18"/>
  <c r="AT6" i="18"/>
  <c r="AP7" i="18"/>
  <c r="AP6" i="18"/>
  <c r="AL7" i="18"/>
  <c r="AL6" i="18"/>
  <c r="L3" i="18" l="1"/>
  <c r="D8" i="18"/>
  <c r="H1113" i="97" l="1"/>
  <c r="G1113" i="97"/>
  <c r="H1112" i="97"/>
  <c r="G1112" i="97"/>
  <c r="H1111" i="97"/>
  <c r="G1111" i="97"/>
  <c r="H1110" i="97"/>
  <c r="G1110" i="97"/>
  <c r="C1103" i="97"/>
  <c r="B1102" i="97"/>
  <c r="C1102" i="97" s="1"/>
  <c r="B1101" i="97"/>
  <c r="F1100" i="97"/>
  <c r="F1108" i="97" s="1"/>
  <c r="H1098" i="97"/>
  <c r="G1098" i="97"/>
  <c r="H1097" i="97"/>
  <c r="G1097" i="97"/>
  <c r="H1096" i="97"/>
  <c r="G1096" i="97"/>
  <c r="H1095" i="97"/>
  <c r="G1095" i="97"/>
  <c r="C1088" i="97"/>
  <c r="B1087" i="97"/>
  <c r="C1087" i="97" s="1"/>
  <c r="B1086" i="97"/>
  <c r="F1085" i="97"/>
  <c r="F1096" i="97" s="1"/>
  <c r="H1083" i="97"/>
  <c r="G1083" i="97"/>
  <c r="H1082" i="97"/>
  <c r="G1082" i="97"/>
  <c r="H1081" i="97"/>
  <c r="G1081" i="97"/>
  <c r="H1080" i="97"/>
  <c r="G1080" i="97"/>
  <c r="C1073" i="97"/>
  <c r="B1072" i="97"/>
  <c r="C1072" i="97" s="1"/>
  <c r="B1071" i="97"/>
  <c r="F1070" i="97"/>
  <c r="F1081" i="97" s="1"/>
  <c r="H1068" i="97"/>
  <c r="G1068" i="97"/>
  <c r="H1067" i="97"/>
  <c r="G1067" i="97"/>
  <c r="H1066" i="97"/>
  <c r="G1066" i="97"/>
  <c r="H1065" i="97"/>
  <c r="G1065" i="97"/>
  <c r="C1058" i="97"/>
  <c r="B1057" i="97"/>
  <c r="C1057" i="97" s="1"/>
  <c r="B1056" i="97"/>
  <c r="F1055" i="97"/>
  <c r="F1066" i="97" s="1"/>
  <c r="H1053" i="97"/>
  <c r="G1053" i="97"/>
  <c r="H1052" i="97"/>
  <c r="G1052" i="97"/>
  <c r="H1051" i="97"/>
  <c r="G1051" i="97"/>
  <c r="H1050" i="97"/>
  <c r="G1050" i="97"/>
  <c r="C1043" i="97"/>
  <c r="B1042" i="97"/>
  <c r="C1042" i="97" s="1"/>
  <c r="B1041" i="97"/>
  <c r="F1040" i="97"/>
  <c r="F1051" i="97" s="1"/>
  <c r="H1038" i="97"/>
  <c r="G1038" i="97"/>
  <c r="H1037" i="97"/>
  <c r="G1037" i="97"/>
  <c r="H1036" i="97"/>
  <c r="G1036" i="97"/>
  <c r="H1035" i="97"/>
  <c r="G1035" i="97"/>
  <c r="C1028" i="97"/>
  <c r="B1027" i="97"/>
  <c r="C1027" i="97" s="1"/>
  <c r="B1026" i="97"/>
  <c r="F1025" i="97"/>
  <c r="F1036" i="97" s="1"/>
  <c r="H1023" i="97"/>
  <c r="G1023" i="97"/>
  <c r="H1022" i="97"/>
  <c r="G1022" i="97"/>
  <c r="H1021" i="97"/>
  <c r="G1021" i="97"/>
  <c r="H1020" i="97"/>
  <c r="G1020" i="97"/>
  <c r="C1013" i="97"/>
  <c r="B1012" i="97"/>
  <c r="C1012" i="97" s="1"/>
  <c r="B1011" i="97"/>
  <c r="F1010" i="97"/>
  <c r="F1021" i="97" s="1"/>
  <c r="H1008" i="97"/>
  <c r="G1008" i="97"/>
  <c r="H1007" i="97"/>
  <c r="G1007" i="97"/>
  <c r="H1006" i="97"/>
  <c r="G1006" i="97"/>
  <c r="H1005" i="97"/>
  <c r="G1005" i="97"/>
  <c r="C998" i="97"/>
  <c r="B997" i="97"/>
  <c r="C997" i="97" s="1"/>
  <c r="B996" i="97"/>
  <c r="F995" i="97"/>
  <c r="F1006" i="97" s="1"/>
  <c r="H993" i="97"/>
  <c r="G993" i="97"/>
  <c r="H992" i="97"/>
  <c r="G992" i="97"/>
  <c r="H991" i="97"/>
  <c r="G991" i="97"/>
  <c r="H990" i="97"/>
  <c r="G990" i="97"/>
  <c r="C983" i="97"/>
  <c r="B982" i="97"/>
  <c r="C982" i="97" s="1"/>
  <c r="B981" i="97"/>
  <c r="F980" i="97"/>
  <c r="F991" i="97" s="1"/>
  <c r="H978" i="97"/>
  <c r="G978" i="97"/>
  <c r="H977" i="97"/>
  <c r="G977" i="97"/>
  <c r="H976" i="97"/>
  <c r="G976" i="97"/>
  <c r="H975" i="97"/>
  <c r="G975" i="97"/>
  <c r="C968" i="97"/>
  <c r="B967" i="97"/>
  <c r="C967" i="97" s="1"/>
  <c r="B966" i="97"/>
  <c r="F965" i="97"/>
  <c r="F976" i="97" s="1"/>
  <c r="H963" i="97"/>
  <c r="G963" i="97"/>
  <c r="H962" i="97"/>
  <c r="G962" i="97"/>
  <c r="H961" i="97"/>
  <c r="G961" i="97"/>
  <c r="H960" i="97"/>
  <c r="G960" i="97"/>
  <c r="C953" i="97"/>
  <c r="B952" i="97"/>
  <c r="C952" i="97" s="1"/>
  <c r="B951" i="97"/>
  <c r="F950" i="97"/>
  <c r="F961" i="97" s="1"/>
  <c r="H948" i="97"/>
  <c r="G948" i="97"/>
  <c r="H947" i="97"/>
  <c r="G947" i="97"/>
  <c r="H946" i="97"/>
  <c r="G946" i="97"/>
  <c r="H945" i="97"/>
  <c r="G945" i="97"/>
  <c r="C938" i="97"/>
  <c r="B937" i="97"/>
  <c r="C937" i="97" s="1"/>
  <c r="B936" i="97"/>
  <c r="F935" i="97"/>
  <c r="F946" i="97" s="1"/>
  <c r="H933" i="97"/>
  <c r="G933" i="97"/>
  <c r="H932" i="97"/>
  <c r="G932" i="97"/>
  <c r="H931" i="97"/>
  <c r="G931" i="97"/>
  <c r="H930" i="97"/>
  <c r="G930" i="97"/>
  <c r="C923" i="97"/>
  <c r="B922" i="97"/>
  <c r="C922" i="97" s="1"/>
  <c r="B921" i="97"/>
  <c r="F920" i="97"/>
  <c r="F931" i="97" s="1"/>
  <c r="H918" i="97"/>
  <c r="G918" i="97"/>
  <c r="H917" i="97"/>
  <c r="G917" i="97"/>
  <c r="H916" i="97"/>
  <c r="G916" i="97"/>
  <c r="H915" i="97"/>
  <c r="G915" i="97"/>
  <c r="C908" i="97"/>
  <c r="B907" i="97"/>
  <c r="C907" i="97" s="1"/>
  <c r="B906" i="97"/>
  <c r="F905" i="97"/>
  <c r="F913" i="97" s="1"/>
  <c r="H903" i="97"/>
  <c r="G903" i="97"/>
  <c r="H902" i="97"/>
  <c r="G902" i="97"/>
  <c r="H901" i="97"/>
  <c r="G901" i="97"/>
  <c r="H900" i="97"/>
  <c r="G900" i="97"/>
  <c r="C893" i="97"/>
  <c r="B892" i="97"/>
  <c r="C892" i="97" s="1"/>
  <c r="B891" i="97"/>
  <c r="F890" i="97"/>
  <c r="F901" i="97" s="1"/>
  <c r="H888" i="97"/>
  <c r="G888" i="97"/>
  <c r="H887" i="97"/>
  <c r="G887" i="97"/>
  <c r="H886" i="97"/>
  <c r="G886" i="97"/>
  <c r="H885" i="97"/>
  <c r="G885" i="97"/>
  <c r="C878" i="97"/>
  <c r="B877" i="97"/>
  <c r="C877" i="97" s="1"/>
  <c r="B876" i="97"/>
  <c r="F875" i="97"/>
  <c r="F886" i="97" s="1"/>
  <c r="H873" i="97"/>
  <c r="G873" i="97"/>
  <c r="H872" i="97"/>
  <c r="G872" i="97"/>
  <c r="H871" i="97"/>
  <c r="G871" i="97"/>
  <c r="H870" i="97"/>
  <c r="G870" i="97"/>
  <c r="C863" i="97"/>
  <c r="B862" i="97"/>
  <c r="C862" i="97" s="1"/>
  <c r="B861" i="97"/>
  <c r="F860" i="97"/>
  <c r="F871" i="97" s="1"/>
  <c r="H858" i="97"/>
  <c r="G858" i="97"/>
  <c r="H857" i="97"/>
  <c r="G857" i="97"/>
  <c r="H856" i="97"/>
  <c r="G856" i="97"/>
  <c r="H855" i="97"/>
  <c r="G855" i="97"/>
  <c r="C848" i="97"/>
  <c r="B847" i="97"/>
  <c r="C847" i="97" s="1"/>
  <c r="B846" i="97"/>
  <c r="F845" i="97"/>
  <c r="F856" i="97" s="1"/>
  <c r="H843" i="97"/>
  <c r="G843" i="97"/>
  <c r="H842" i="97"/>
  <c r="G842" i="97"/>
  <c r="H841" i="97"/>
  <c r="G841" i="97"/>
  <c r="H840" i="97"/>
  <c r="G840" i="97"/>
  <c r="C833" i="97"/>
  <c r="B832" i="97"/>
  <c r="C832" i="97" s="1"/>
  <c r="B831" i="97"/>
  <c r="F830" i="97"/>
  <c r="F841" i="97" s="1"/>
  <c r="H828" i="97"/>
  <c r="G828" i="97"/>
  <c r="H827" i="97"/>
  <c r="G827" i="97"/>
  <c r="H826" i="97"/>
  <c r="G826" i="97"/>
  <c r="H825" i="97"/>
  <c r="G825" i="97"/>
  <c r="C818" i="97"/>
  <c r="B817" i="97"/>
  <c r="C817" i="97" s="1"/>
  <c r="B816" i="97"/>
  <c r="F815" i="97"/>
  <c r="F826" i="97" s="1"/>
  <c r="H813" i="97"/>
  <c r="G813" i="97"/>
  <c r="H812" i="97"/>
  <c r="G812" i="97"/>
  <c r="H811" i="97"/>
  <c r="G811" i="97"/>
  <c r="H810" i="97"/>
  <c r="G810" i="97"/>
  <c r="C803" i="97"/>
  <c r="B802" i="97"/>
  <c r="C802" i="97" s="1"/>
  <c r="B801" i="97"/>
  <c r="F800" i="97"/>
  <c r="F811" i="97" s="1"/>
  <c r="H798" i="97"/>
  <c r="G798" i="97"/>
  <c r="H797" i="97"/>
  <c r="G797" i="97"/>
  <c r="H796" i="97"/>
  <c r="G796" i="97"/>
  <c r="H795" i="97"/>
  <c r="G795" i="97"/>
  <c r="C788" i="97"/>
  <c r="B787" i="97"/>
  <c r="C787" i="97" s="1"/>
  <c r="B786" i="97"/>
  <c r="F785" i="97"/>
  <c r="F796" i="97" s="1"/>
  <c r="H783" i="97"/>
  <c r="G783" i="97"/>
  <c r="H782" i="97"/>
  <c r="G782" i="97"/>
  <c r="H781" i="97"/>
  <c r="G781" i="97"/>
  <c r="H780" i="97"/>
  <c r="G780" i="97"/>
  <c r="C773" i="97"/>
  <c r="B772" i="97"/>
  <c r="C772" i="97" s="1"/>
  <c r="B771" i="97"/>
  <c r="F770" i="97"/>
  <c r="F778" i="97" s="1"/>
  <c r="H768" i="97"/>
  <c r="G768" i="97"/>
  <c r="H767" i="97"/>
  <c r="G767" i="97"/>
  <c r="H766" i="97"/>
  <c r="G766" i="97"/>
  <c r="H765" i="97"/>
  <c r="G765" i="97"/>
  <c r="C758" i="97"/>
  <c r="B757" i="97"/>
  <c r="C757" i="97" s="1"/>
  <c r="B756" i="97"/>
  <c r="F755" i="97"/>
  <c r="F766" i="97" s="1"/>
  <c r="H753" i="97"/>
  <c r="G753" i="97"/>
  <c r="H752" i="97"/>
  <c r="G752" i="97"/>
  <c r="H751" i="97"/>
  <c r="G751" i="97"/>
  <c r="H750" i="97"/>
  <c r="G750" i="97"/>
  <c r="C743" i="97"/>
  <c r="B742" i="97"/>
  <c r="C742" i="97" s="1"/>
  <c r="B741" i="97"/>
  <c r="F740" i="97"/>
  <c r="F751" i="97" s="1"/>
  <c r="H738" i="97"/>
  <c r="G738" i="97"/>
  <c r="H737" i="97"/>
  <c r="G737" i="97"/>
  <c r="H736" i="97"/>
  <c r="G736" i="97"/>
  <c r="H735" i="97"/>
  <c r="G735" i="97"/>
  <c r="C728" i="97"/>
  <c r="B727" i="97"/>
  <c r="C727" i="97" s="1"/>
  <c r="B726" i="97"/>
  <c r="F725" i="97"/>
  <c r="F736" i="97" s="1"/>
  <c r="H723" i="97"/>
  <c r="G723" i="97"/>
  <c r="H722" i="97"/>
  <c r="G722" i="97"/>
  <c r="H721" i="97"/>
  <c r="G721" i="97"/>
  <c r="H720" i="97"/>
  <c r="G720" i="97"/>
  <c r="C713" i="97"/>
  <c r="B712" i="97"/>
  <c r="C712" i="97" s="1"/>
  <c r="B711" i="97"/>
  <c r="F710" i="97"/>
  <c r="F721" i="97" s="1"/>
  <c r="H708" i="97"/>
  <c r="G708" i="97"/>
  <c r="H707" i="97"/>
  <c r="G707" i="97"/>
  <c r="H706" i="97"/>
  <c r="G706" i="97"/>
  <c r="H705" i="97"/>
  <c r="G705" i="97"/>
  <c r="C698" i="97"/>
  <c r="B697" i="97"/>
  <c r="C697" i="97" s="1"/>
  <c r="B696" i="97"/>
  <c r="F695" i="97"/>
  <c r="F706" i="97" s="1"/>
  <c r="H693" i="97"/>
  <c r="G693" i="97"/>
  <c r="H692" i="97"/>
  <c r="G692" i="97"/>
  <c r="H691" i="97"/>
  <c r="G691" i="97"/>
  <c r="H690" i="97"/>
  <c r="G690" i="97"/>
  <c r="C683" i="97"/>
  <c r="B682" i="97"/>
  <c r="C682" i="97" s="1"/>
  <c r="B681" i="97"/>
  <c r="F680" i="97"/>
  <c r="F691" i="97" s="1"/>
  <c r="H678" i="97"/>
  <c r="G678" i="97"/>
  <c r="H677" i="97"/>
  <c r="G677" i="97"/>
  <c r="H676" i="97"/>
  <c r="G676" i="97"/>
  <c r="H675" i="97"/>
  <c r="G675" i="97"/>
  <c r="C668" i="97"/>
  <c r="B667" i="97"/>
  <c r="C667" i="97" s="1"/>
  <c r="B666" i="97"/>
  <c r="F665" i="97"/>
  <c r="F676" i="97" s="1"/>
  <c r="H663" i="97"/>
  <c r="G663" i="97"/>
  <c r="H662" i="97"/>
  <c r="G662" i="97"/>
  <c r="H661" i="97"/>
  <c r="G661" i="97"/>
  <c r="H660" i="97"/>
  <c r="G660" i="97"/>
  <c r="C653" i="97"/>
  <c r="B652" i="97"/>
  <c r="C652" i="97" s="1"/>
  <c r="B651" i="97"/>
  <c r="F650" i="97"/>
  <c r="F661" i="97" s="1"/>
  <c r="H648" i="97"/>
  <c r="G648" i="97"/>
  <c r="H647" i="97"/>
  <c r="G647" i="97"/>
  <c r="H646" i="97"/>
  <c r="G646" i="97"/>
  <c r="H645" i="97"/>
  <c r="G645" i="97"/>
  <c r="C638" i="97"/>
  <c r="B637" i="97"/>
  <c r="C637" i="97" s="1"/>
  <c r="B636" i="97"/>
  <c r="F635" i="97"/>
  <c r="F646" i="97" s="1"/>
  <c r="H633" i="97"/>
  <c r="G633" i="97"/>
  <c r="H632" i="97"/>
  <c r="G632" i="97"/>
  <c r="H631" i="97"/>
  <c r="G631" i="97"/>
  <c r="H630" i="97"/>
  <c r="G630" i="97"/>
  <c r="C623" i="97"/>
  <c r="B622" i="97"/>
  <c r="C622" i="97" s="1"/>
  <c r="B621" i="97"/>
  <c r="F620" i="97"/>
  <c r="F631" i="97" s="1"/>
  <c r="H618" i="97"/>
  <c r="G618" i="97"/>
  <c r="H617" i="97"/>
  <c r="G617" i="97"/>
  <c r="H616" i="97"/>
  <c r="G616" i="97"/>
  <c r="H615" i="97"/>
  <c r="G615" i="97"/>
  <c r="C608" i="97"/>
  <c r="B607" i="97"/>
  <c r="C607" i="97" s="1"/>
  <c r="B606" i="97"/>
  <c r="F605" i="97"/>
  <c r="F616" i="97" s="1"/>
  <c r="H603" i="97"/>
  <c r="G603" i="97"/>
  <c r="H602" i="97"/>
  <c r="G602" i="97"/>
  <c r="H601" i="97"/>
  <c r="G601" i="97"/>
  <c r="H600" i="97"/>
  <c r="G600" i="97"/>
  <c r="C593" i="97"/>
  <c r="B592" i="97"/>
  <c r="C592" i="97" s="1"/>
  <c r="B591" i="97"/>
  <c r="F590" i="97"/>
  <c r="F601" i="97" s="1"/>
  <c r="H588" i="97"/>
  <c r="G588" i="97"/>
  <c r="H587" i="97"/>
  <c r="G587" i="97"/>
  <c r="H586" i="97"/>
  <c r="G586" i="97"/>
  <c r="H585" i="97"/>
  <c r="G585" i="97"/>
  <c r="C578" i="97"/>
  <c r="B577" i="97"/>
  <c r="C577" i="97" s="1"/>
  <c r="B576" i="97"/>
  <c r="F575" i="97"/>
  <c r="F586" i="97" s="1"/>
  <c r="H573" i="97"/>
  <c r="G573" i="97"/>
  <c r="H572" i="97"/>
  <c r="G572" i="97"/>
  <c r="H571" i="97"/>
  <c r="G571" i="97"/>
  <c r="H570" i="97"/>
  <c r="G570" i="97"/>
  <c r="C563" i="97"/>
  <c r="B562" i="97"/>
  <c r="C562" i="97" s="1"/>
  <c r="B561" i="97"/>
  <c r="F560" i="97"/>
  <c r="F571" i="97" s="1"/>
  <c r="H558" i="97"/>
  <c r="G558" i="97"/>
  <c r="H557" i="97"/>
  <c r="G557" i="97"/>
  <c r="H556" i="97"/>
  <c r="G556" i="97"/>
  <c r="H555" i="97"/>
  <c r="G555" i="97"/>
  <c r="C548" i="97"/>
  <c r="B547" i="97"/>
  <c r="C547" i="97" s="1"/>
  <c r="B546" i="97"/>
  <c r="F545" i="97"/>
  <c r="F553" i="97" s="1"/>
  <c r="H543" i="97"/>
  <c r="G543" i="97"/>
  <c r="H542" i="97"/>
  <c r="G542" i="97"/>
  <c r="H541" i="97"/>
  <c r="G541" i="97"/>
  <c r="H540" i="97"/>
  <c r="G540" i="97"/>
  <c r="C533" i="97"/>
  <c r="B532" i="97"/>
  <c r="C532" i="97" s="1"/>
  <c r="B531" i="97"/>
  <c r="F530" i="97"/>
  <c r="F541" i="97" s="1"/>
  <c r="H528" i="97"/>
  <c r="G528" i="97"/>
  <c r="H527" i="97"/>
  <c r="G527" i="97"/>
  <c r="H526" i="97"/>
  <c r="G526" i="97"/>
  <c r="H525" i="97"/>
  <c r="G525" i="97"/>
  <c r="C518" i="97"/>
  <c r="B517" i="97"/>
  <c r="C517" i="97" s="1"/>
  <c r="B516" i="97"/>
  <c r="F515" i="97"/>
  <c r="F526" i="97" s="1"/>
  <c r="H513" i="97"/>
  <c r="G513" i="97"/>
  <c r="H512" i="97"/>
  <c r="G512" i="97"/>
  <c r="H511" i="97"/>
  <c r="G511" i="97"/>
  <c r="H510" i="97"/>
  <c r="G510" i="97"/>
  <c r="C503" i="97"/>
  <c r="B502" i="97"/>
  <c r="C502" i="97" s="1"/>
  <c r="B501" i="97"/>
  <c r="F500" i="97"/>
  <c r="F511" i="97" s="1"/>
  <c r="H498" i="97"/>
  <c r="G498" i="97"/>
  <c r="H497" i="97"/>
  <c r="G497" i="97"/>
  <c r="H496" i="97"/>
  <c r="G496" i="97"/>
  <c r="H495" i="97"/>
  <c r="G495" i="97"/>
  <c r="C488" i="97"/>
  <c r="B487" i="97"/>
  <c r="C487" i="97" s="1"/>
  <c r="B486" i="97"/>
  <c r="F485" i="97"/>
  <c r="F496" i="97" s="1"/>
  <c r="H483" i="97"/>
  <c r="G483" i="97"/>
  <c r="H482" i="97"/>
  <c r="G482" i="97"/>
  <c r="H481" i="97"/>
  <c r="G481" i="97"/>
  <c r="H480" i="97"/>
  <c r="G480" i="97"/>
  <c r="C473" i="97"/>
  <c r="B472" i="97"/>
  <c r="C472" i="97" s="1"/>
  <c r="B471" i="97"/>
  <c r="F470" i="97"/>
  <c r="F481" i="97" s="1"/>
  <c r="H468" i="97"/>
  <c r="G468" i="97"/>
  <c r="H467" i="97"/>
  <c r="G467" i="97"/>
  <c r="H466" i="97"/>
  <c r="G466" i="97"/>
  <c r="H465" i="97"/>
  <c r="G465" i="97"/>
  <c r="C458" i="97"/>
  <c r="B457" i="97"/>
  <c r="C457" i="97" s="1"/>
  <c r="B456" i="97"/>
  <c r="F455" i="97"/>
  <c r="F466" i="97" s="1"/>
  <c r="H453" i="97"/>
  <c r="G453" i="97"/>
  <c r="H452" i="97"/>
  <c r="G452" i="97"/>
  <c r="H451" i="97"/>
  <c r="G451" i="97"/>
  <c r="H450" i="97"/>
  <c r="G450" i="97"/>
  <c r="C443" i="97"/>
  <c r="B442" i="97"/>
  <c r="C442" i="97" s="1"/>
  <c r="B441" i="97"/>
  <c r="F440" i="97"/>
  <c r="F451" i="97" s="1"/>
  <c r="H438" i="97"/>
  <c r="G438" i="97"/>
  <c r="H437" i="97"/>
  <c r="G437" i="97"/>
  <c r="H436" i="97"/>
  <c r="G436" i="97"/>
  <c r="H435" i="97"/>
  <c r="G435" i="97"/>
  <c r="C428" i="97"/>
  <c r="B427" i="97"/>
  <c r="C427" i="97" s="1"/>
  <c r="B426" i="97"/>
  <c r="F425" i="97"/>
  <c r="F436" i="97" s="1"/>
  <c r="H423" i="97"/>
  <c r="G423" i="97"/>
  <c r="H422" i="97"/>
  <c r="G422" i="97"/>
  <c r="H421" i="97"/>
  <c r="G421" i="97"/>
  <c r="H420" i="97"/>
  <c r="G420" i="97"/>
  <c r="C413" i="97"/>
  <c r="B412" i="97"/>
  <c r="C412" i="97" s="1"/>
  <c r="B411" i="97"/>
  <c r="F410" i="97"/>
  <c r="F421" i="97" s="1"/>
  <c r="H408" i="97"/>
  <c r="G408" i="97"/>
  <c r="H407" i="97"/>
  <c r="G407" i="97"/>
  <c r="H406" i="97"/>
  <c r="G406" i="97"/>
  <c r="H405" i="97"/>
  <c r="G405" i="97"/>
  <c r="C398" i="97"/>
  <c r="B397" i="97"/>
  <c r="C397" i="97" s="1"/>
  <c r="B396" i="97"/>
  <c r="F395" i="97"/>
  <c r="F406" i="97" s="1"/>
  <c r="H393" i="97"/>
  <c r="G393" i="97"/>
  <c r="H392" i="97"/>
  <c r="G392" i="97"/>
  <c r="H391" i="97"/>
  <c r="G391" i="97"/>
  <c r="H390" i="97"/>
  <c r="G390" i="97"/>
  <c r="C383" i="97"/>
  <c r="B382" i="97"/>
  <c r="C382" i="97" s="1"/>
  <c r="B381" i="97"/>
  <c r="F380" i="97"/>
  <c r="F391" i="97" s="1"/>
  <c r="H378" i="97"/>
  <c r="G378" i="97"/>
  <c r="H377" i="97"/>
  <c r="G377" i="97"/>
  <c r="H376" i="97"/>
  <c r="G376" i="97"/>
  <c r="H375" i="97"/>
  <c r="G375" i="97"/>
  <c r="C368" i="97"/>
  <c r="B367" i="97"/>
  <c r="C367" i="97" s="1"/>
  <c r="B366" i="97"/>
  <c r="F365" i="97"/>
  <c r="F376" i="97" s="1"/>
  <c r="H363" i="97"/>
  <c r="G363" i="97"/>
  <c r="H362" i="97"/>
  <c r="G362" i="97"/>
  <c r="H361" i="97"/>
  <c r="G361" i="97"/>
  <c r="H360" i="97"/>
  <c r="G360" i="97"/>
  <c r="C353" i="97"/>
  <c r="B352" i="97"/>
  <c r="C352" i="97" s="1"/>
  <c r="B351" i="97"/>
  <c r="F350" i="97"/>
  <c r="F361" i="97" s="1"/>
  <c r="H348" i="97"/>
  <c r="G348" i="97"/>
  <c r="H347" i="97"/>
  <c r="G347" i="97"/>
  <c r="H346" i="97"/>
  <c r="G346" i="97"/>
  <c r="H345" i="97"/>
  <c r="G345" i="97"/>
  <c r="C338" i="97"/>
  <c r="B337" i="97"/>
  <c r="C337" i="97" s="1"/>
  <c r="B336" i="97"/>
  <c r="F335" i="97"/>
  <c r="F346" i="97" s="1"/>
  <c r="H333" i="97"/>
  <c r="G333" i="97"/>
  <c r="H332" i="97"/>
  <c r="G332" i="97"/>
  <c r="H331" i="97"/>
  <c r="G331" i="97"/>
  <c r="H330" i="97"/>
  <c r="G330" i="97"/>
  <c r="C323" i="97"/>
  <c r="B322" i="97"/>
  <c r="C322" i="97" s="1"/>
  <c r="B321" i="97"/>
  <c r="F320" i="97"/>
  <c r="F331" i="97" s="1"/>
  <c r="H318" i="97"/>
  <c r="G318" i="97"/>
  <c r="H317" i="97"/>
  <c r="G317" i="97"/>
  <c r="H316" i="97"/>
  <c r="G316" i="97"/>
  <c r="H315" i="97"/>
  <c r="G315" i="97"/>
  <c r="C308" i="97"/>
  <c r="B307" i="97"/>
  <c r="C307" i="97" s="1"/>
  <c r="B306" i="97"/>
  <c r="F305" i="97"/>
  <c r="F316" i="97" s="1"/>
  <c r="H303" i="97"/>
  <c r="G303" i="97"/>
  <c r="H302" i="97"/>
  <c r="G302" i="97"/>
  <c r="H301" i="97"/>
  <c r="G301" i="97"/>
  <c r="H300" i="97"/>
  <c r="G300" i="97"/>
  <c r="C293" i="97"/>
  <c r="B292" i="97"/>
  <c r="C292" i="97" s="1"/>
  <c r="B291" i="97"/>
  <c r="F290" i="97"/>
  <c r="F301" i="97" s="1"/>
  <c r="H288" i="97"/>
  <c r="G288" i="97"/>
  <c r="H287" i="97"/>
  <c r="G287" i="97"/>
  <c r="H286" i="97"/>
  <c r="G286" i="97"/>
  <c r="H285" i="97"/>
  <c r="G285" i="97"/>
  <c r="C278" i="97"/>
  <c r="B277" i="97"/>
  <c r="C277" i="97" s="1"/>
  <c r="B276" i="97"/>
  <c r="F275" i="97"/>
  <c r="F286" i="97" s="1"/>
  <c r="H273" i="97"/>
  <c r="G273" i="97"/>
  <c r="H272" i="97"/>
  <c r="G272" i="97"/>
  <c r="H271" i="97"/>
  <c r="G271" i="97"/>
  <c r="H270" i="97"/>
  <c r="G270" i="97"/>
  <c r="C263" i="97"/>
  <c r="B262" i="97"/>
  <c r="C262" i="97" s="1"/>
  <c r="B261" i="97"/>
  <c r="F260" i="97"/>
  <c r="F271" i="97" s="1"/>
  <c r="H258" i="97"/>
  <c r="G258" i="97"/>
  <c r="H257" i="97"/>
  <c r="G257" i="97"/>
  <c r="H256" i="97"/>
  <c r="G256" i="97"/>
  <c r="H255" i="97"/>
  <c r="G255" i="97"/>
  <c r="C248" i="97"/>
  <c r="B247" i="97"/>
  <c r="C247" i="97" s="1"/>
  <c r="B246" i="97"/>
  <c r="F245" i="97"/>
  <c r="F258" i="97" s="1"/>
  <c r="H243" i="97"/>
  <c r="G243" i="97"/>
  <c r="H242" i="97"/>
  <c r="G242" i="97"/>
  <c r="H241" i="97"/>
  <c r="G241" i="97"/>
  <c r="H240" i="97"/>
  <c r="G240" i="97"/>
  <c r="C233" i="97"/>
  <c r="B232" i="97"/>
  <c r="C232" i="97" s="1"/>
  <c r="B231" i="97"/>
  <c r="F230" i="97"/>
  <c r="F241" i="97" s="1"/>
  <c r="H228" i="97"/>
  <c r="G228" i="97"/>
  <c r="H227" i="97"/>
  <c r="G227" i="97"/>
  <c r="H226" i="97"/>
  <c r="G226" i="97"/>
  <c r="H225" i="97"/>
  <c r="G225" i="97"/>
  <c r="C218" i="97"/>
  <c r="B217" i="97"/>
  <c r="C217" i="97" s="1"/>
  <c r="B216" i="97"/>
  <c r="F215" i="97"/>
  <c r="F226" i="97" s="1"/>
  <c r="H213" i="97"/>
  <c r="G213" i="97"/>
  <c r="H212" i="97"/>
  <c r="G212" i="97"/>
  <c r="H211" i="97"/>
  <c r="G211" i="97"/>
  <c r="H210" i="97"/>
  <c r="G210" i="97"/>
  <c r="C203" i="97"/>
  <c r="B202" i="97"/>
  <c r="C202" i="97" s="1"/>
  <c r="B201" i="97"/>
  <c r="F200" i="97"/>
  <c r="F208" i="97" s="1"/>
  <c r="H198" i="97"/>
  <c r="G198" i="97"/>
  <c r="H197" i="97"/>
  <c r="G197" i="97"/>
  <c r="H196" i="97"/>
  <c r="G196" i="97"/>
  <c r="H195" i="97"/>
  <c r="G195" i="97"/>
  <c r="C188" i="97"/>
  <c r="B187" i="97"/>
  <c r="C187" i="97" s="1"/>
  <c r="B186" i="97"/>
  <c r="F185" i="97"/>
  <c r="F188" i="97" s="1"/>
  <c r="H183" i="97"/>
  <c r="G183" i="97"/>
  <c r="H182" i="97"/>
  <c r="G182" i="97"/>
  <c r="H181" i="97"/>
  <c r="G181" i="97"/>
  <c r="H180" i="97"/>
  <c r="G180" i="97"/>
  <c r="C173" i="97"/>
  <c r="B172" i="97"/>
  <c r="C172" i="97" s="1"/>
  <c r="B171" i="97"/>
  <c r="F170" i="97"/>
  <c r="F181" i="97" s="1"/>
  <c r="H168" i="97"/>
  <c r="G168" i="97"/>
  <c r="H167" i="97"/>
  <c r="G167" i="97"/>
  <c r="H166" i="97"/>
  <c r="G166" i="97"/>
  <c r="H165" i="97"/>
  <c r="G165" i="97"/>
  <c r="C158" i="97"/>
  <c r="B157" i="97"/>
  <c r="C157" i="97" s="1"/>
  <c r="B156" i="97"/>
  <c r="F155" i="97"/>
  <c r="F168" i="97" s="1"/>
  <c r="H153" i="97"/>
  <c r="G153" i="97"/>
  <c r="H152" i="97"/>
  <c r="G152" i="97"/>
  <c r="H151" i="97"/>
  <c r="G151" i="97"/>
  <c r="H150" i="97"/>
  <c r="G150" i="97"/>
  <c r="C143" i="97"/>
  <c r="B142" i="97"/>
  <c r="C142" i="97" s="1"/>
  <c r="B141" i="97"/>
  <c r="F140" i="97"/>
  <c r="F151" i="97" s="1"/>
  <c r="H138" i="97"/>
  <c r="G138" i="97"/>
  <c r="H137" i="97"/>
  <c r="G137" i="97"/>
  <c r="H136" i="97"/>
  <c r="G136" i="97"/>
  <c r="H135" i="97"/>
  <c r="G135" i="97"/>
  <c r="C128" i="97"/>
  <c r="B127" i="97"/>
  <c r="C127" i="97" s="1"/>
  <c r="B126" i="97"/>
  <c r="F125" i="97"/>
  <c r="F138" i="97" s="1"/>
  <c r="H123" i="97"/>
  <c r="G123" i="97"/>
  <c r="H122" i="97"/>
  <c r="G122" i="97"/>
  <c r="H121" i="97"/>
  <c r="G121" i="97"/>
  <c r="H120" i="97"/>
  <c r="G120" i="97"/>
  <c r="C113" i="97"/>
  <c r="B112" i="97"/>
  <c r="C112" i="97" s="1"/>
  <c r="B111" i="97"/>
  <c r="F110" i="97"/>
  <c r="F121" i="97" s="1"/>
  <c r="H108" i="97"/>
  <c r="G108" i="97"/>
  <c r="H107" i="97"/>
  <c r="G107" i="97"/>
  <c r="H106" i="97"/>
  <c r="G106" i="97"/>
  <c r="H105" i="97"/>
  <c r="G105" i="97"/>
  <c r="C98" i="97"/>
  <c r="B97" i="97"/>
  <c r="C97" i="97" s="1"/>
  <c r="B96" i="97"/>
  <c r="F95" i="97"/>
  <c r="F108" i="97" s="1"/>
  <c r="H93" i="97"/>
  <c r="G93" i="97"/>
  <c r="H92" i="97"/>
  <c r="G92" i="97"/>
  <c r="H91" i="97"/>
  <c r="G91" i="97"/>
  <c r="H90" i="97"/>
  <c r="G90" i="97"/>
  <c r="C83" i="97"/>
  <c r="B82" i="97"/>
  <c r="C82" i="97" s="1"/>
  <c r="B81" i="97"/>
  <c r="F80" i="97"/>
  <c r="F91" i="97" s="1"/>
  <c r="H78" i="97"/>
  <c r="G78" i="97"/>
  <c r="H77" i="97"/>
  <c r="G77" i="97"/>
  <c r="H76" i="97"/>
  <c r="G76" i="97"/>
  <c r="H75" i="97"/>
  <c r="G75" i="97"/>
  <c r="C68" i="97"/>
  <c r="B67" i="97"/>
  <c r="C67" i="97" s="1"/>
  <c r="B66" i="97"/>
  <c r="F65" i="97"/>
  <c r="F76" i="97" s="1"/>
  <c r="H63" i="97"/>
  <c r="G63" i="97"/>
  <c r="H62" i="97"/>
  <c r="G62" i="97"/>
  <c r="H61" i="97"/>
  <c r="G61" i="97"/>
  <c r="H60" i="97"/>
  <c r="G60" i="97"/>
  <c r="C53" i="97"/>
  <c r="B52" i="97"/>
  <c r="C52" i="97" s="1"/>
  <c r="B51" i="97"/>
  <c r="F50" i="97"/>
  <c r="F63" i="97" s="1"/>
  <c r="H48" i="97"/>
  <c r="G48" i="97"/>
  <c r="H47" i="97"/>
  <c r="G47" i="97"/>
  <c r="H46" i="97"/>
  <c r="G46" i="97"/>
  <c r="H45" i="97"/>
  <c r="G45" i="97"/>
  <c r="C38" i="97"/>
  <c r="B37" i="97"/>
  <c r="C37" i="97" s="1"/>
  <c r="B36" i="97"/>
  <c r="F35" i="97"/>
  <c r="F46" i="97" s="1"/>
  <c r="H33" i="97"/>
  <c r="G33" i="97"/>
  <c r="H32" i="97"/>
  <c r="G32" i="97"/>
  <c r="H31" i="97"/>
  <c r="G31" i="97"/>
  <c r="H30" i="97"/>
  <c r="G30" i="97"/>
  <c r="C23" i="97"/>
  <c r="B22" i="97"/>
  <c r="C22" i="97" s="1"/>
  <c r="B21" i="97"/>
  <c r="F20" i="97"/>
  <c r="F31" i="97" s="1"/>
  <c r="C66" i="97"/>
  <c r="C411" i="97"/>
  <c r="C456" i="97"/>
  <c r="C81" i="97"/>
  <c r="C36" i="97"/>
  <c r="C966" i="97"/>
  <c r="C396" i="97"/>
  <c r="C921" i="97"/>
  <c r="C276" i="97"/>
  <c r="C561" i="97"/>
  <c r="C1011" i="97"/>
  <c r="C231" i="97"/>
  <c r="C531" i="97"/>
  <c r="C996" i="97"/>
  <c r="C741" i="97"/>
  <c r="C1101" i="97"/>
  <c r="C801" i="97"/>
  <c r="C141" i="97"/>
  <c r="C696" i="97"/>
  <c r="C651" i="97"/>
  <c r="C711" i="97"/>
  <c r="C951" i="97"/>
  <c r="C636" i="97"/>
  <c r="C186" i="97"/>
  <c r="C726" i="97"/>
  <c r="C441" i="97"/>
  <c r="C306" i="97"/>
  <c r="C216" i="97"/>
  <c r="C606" i="97"/>
  <c r="C846" i="97"/>
  <c r="C681" i="97"/>
  <c r="C936" i="97"/>
  <c r="C756" i="97"/>
  <c r="C891" i="97"/>
  <c r="C21" i="97"/>
  <c r="C351" i="97"/>
  <c r="C201" i="97"/>
  <c r="C471" i="97"/>
  <c r="C156" i="97"/>
  <c r="C576" i="97"/>
  <c r="C1071" i="97"/>
  <c r="C426" i="97"/>
  <c r="C831" i="97"/>
  <c r="C246" i="97"/>
  <c r="C261" i="97"/>
  <c r="C96" i="97"/>
  <c r="C1026" i="97"/>
  <c r="C591" i="97"/>
  <c r="C321" i="97"/>
  <c r="C861" i="97"/>
  <c r="C786" i="97"/>
  <c r="C111" i="97"/>
  <c r="C501" i="97"/>
  <c r="C171" i="97"/>
  <c r="C291" i="97"/>
  <c r="C666" i="97"/>
  <c r="C336" i="97"/>
  <c r="C1056" i="97"/>
  <c r="C771" i="97"/>
  <c r="C51" i="97"/>
  <c r="C876" i="97"/>
  <c r="C486" i="97"/>
  <c r="C381" i="97"/>
  <c r="C1086" i="97"/>
  <c r="C546" i="97"/>
  <c r="C906" i="97"/>
  <c r="C516" i="97"/>
  <c r="C366" i="97"/>
  <c r="C981" i="97"/>
  <c r="C126" i="97"/>
  <c r="C621" i="97"/>
  <c r="C816" i="97"/>
  <c r="C1041" i="97"/>
  <c r="F186" i="97" l="1"/>
  <c r="F306" i="97"/>
  <c r="F261" i="97"/>
  <c r="F579" i="97"/>
  <c r="F836" i="97"/>
  <c r="F111" i="97"/>
  <c r="F321" i="97"/>
  <c r="F272" i="97"/>
  <c r="F73" i="97"/>
  <c r="F471" i="97"/>
  <c r="F476" i="97"/>
  <c r="F1041" i="97"/>
  <c r="F279" i="97"/>
  <c r="F726" i="97"/>
  <c r="F771" i="97"/>
  <c r="F981" i="97"/>
  <c r="F114" i="97"/>
  <c r="F54" i="97"/>
  <c r="F600" i="97"/>
  <c r="F621" i="97"/>
  <c r="F626" i="97"/>
  <c r="F231" i="97"/>
  <c r="F328" i="97"/>
  <c r="F506" i="97"/>
  <c r="F973" i="97"/>
  <c r="F1049" i="97"/>
  <c r="F1111" i="97"/>
  <c r="F39" i="97"/>
  <c r="F36" i="97"/>
  <c r="F216" i="97"/>
  <c r="F546" i="97"/>
  <c r="F561" i="97"/>
  <c r="F566" i="97"/>
  <c r="F891" i="97"/>
  <c r="F896" i="97"/>
  <c r="F1011" i="97"/>
  <c r="F69" i="97"/>
  <c r="F78" i="97"/>
  <c r="F126" i="97"/>
  <c r="F66" i="97"/>
  <c r="F70" i="97"/>
  <c r="F47" i="97"/>
  <c r="F118" i="97"/>
  <c r="F156" i="97"/>
  <c r="F238" i="97"/>
  <c r="F486" i="97"/>
  <c r="F491" i="97"/>
  <c r="F598" i="97"/>
  <c r="F48" i="97"/>
  <c r="F774" i="97"/>
  <c r="F996" i="97"/>
  <c r="F1045" i="97"/>
  <c r="F40" i="97"/>
  <c r="F43" i="97"/>
  <c r="F58" i="97"/>
  <c r="F77" i="97"/>
  <c r="F325" i="97"/>
  <c r="F594" i="97"/>
  <c r="F781" i="97"/>
  <c r="F970" i="97"/>
  <c r="F268" i="97"/>
  <c r="F548" i="97"/>
  <c r="F555" i="97"/>
  <c r="F591" i="97"/>
  <c r="F595" i="97"/>
  <c r="F637" i="97"/>
  <c r="F900" i="97"/>
  <c r="F129" i="97"/>
  <c r="F171" i="97"/>
  <c r="F51" i="97"/>
  <c r="F74" i="97"/>
  <c r="F280" i="97"/>
  <c r="F326" i="97"/>
  <c r="F539" i="97"/>
  <c r="F549" i="97"/>
  <c r="F556" i="97"/>
  <c r="F638" i="97"/>
  <c r="F641" i="97"/>
  <c r="F662" i="97"/>
  <c r="F669" i="97"/>
  <c r="F714" i="97"/>
  <c r="F894" i="97"/>
  <c r="F915" i="97"/>
  <c r="F951" i="97"/>
  <c r="F974" i="97"/>
  <c r="F985" i="97"/>
  <c r="F1103" i="97"/>
  <c r="F159" i="97"/>
  <c r="F223" i="97"/>
  <c r="F246" i="97"/>
  <c r="F133" i="97"/>
  <c r="F163" i="97"/>
  <c r="F44" i="97"/>
  <c r="F174" i="97"/>
  <c r="F203" i="97"/>
  <c r="F206" i="97"/>
  <c r="F253" i="97"/>
  <c r="F264" i="97"/>
  <c r="F294" i="97"/>
  <c r="F596" i="97"/>
  <c r="F599" i="97"/>
  <c r="F602" i="97"/>
  <c r="F659" i="97"/>
  <c r="F677" i="97"/>
  <c r="F684" i="97"/>
  <c r="F786" i="97"/>
  <c r="F906" i="97"/>
  <c r="F908" i="97"/>
  <c r="F1061" i="97"/>
  <c r="F1068" i="97"/>
  <c r="F1078" i="97"/>
  <c r="F1086" i="97"/>
  <c r="F178" i="97"/>
  <c r="F284" i="97"/>
  <c r="F298" i="97"/>
  <c r="F653" i="97"/>
  <c r="F656" i="97"/>
  <c r="F779" i="97"/>
  <c r="F782" i="97"/>
  <c r="F966" i="97"/>
  <c r="F1075" i="97"/>
  <c r="F182" i="97"/>
  <c r="F302" i="97"/>
  <c r="F557" i="97"/>
  <c r="F629" i="97"/>
  <c r="F639" i="97"/>
  <c r="F773" i="97"/>
  <c r="F776" i="97"/>
  <c r="F916" i="97"/>
  <c r="F955" i="97"/>
  <c r="F958" i="97"/>
  <c r="F969" i="97"/>
  <c r="F1026" i="97"/>
  <c r="F1056" i="97"/>
  <c r="F204" i="97"/>
  <c r="F211" i="97"/>
  <c r="F265" i="97"/>
  <c r="F276" i="97"/>
  <c r="F386" i="97"/>
  <c r="F531" i="97"/>
  <c r="F1079" i="97"/>
  <c r="F1090" i="97"/>
  <c r="F647" i="97"/>
  <c r="F654" i="97"/>
  <c r="F731" i="97"/>
  <c r="F1094" i="97"/>
  <c r="F219" i="97"/>
  <c r="F269" i="97"/>
  <c r="F956" i="97"/>
  <c r="F1060" i="97"/>
  <c r="F1063" i="97"/>
  <c r="F1071" i="97"/>
  <c r="F283" i="97"/>
  <c r="F291" i="97"/>
  <c r="F381" i="97"/>
  <c r="F535" i="97"/>
  <c r="F1074" i="97"/>
  <c r="F1109" i="97"/>
  <c r="F1106" i="97"/>
  <c r="F1104" i="97"/>
  <c r="F1112" i="97"/>
  <c r="F1102" i="97"/>
  <c r="F1107" i="97"/>
  <c r="F1110" i="97"/>
  <c r="F1105" i="97"/>
  <c r="F1113" i="97"/>
  <c r="F1101" i="97"/>
  <c r="F1091" i="97"/>
  <c r="F1089" i="97"/>
  <c r="F1097" i="97"/>
  <c r="F1087" i="97"/>
  <c r="F1092" i="97"/>
  <c r="F1095" i="97"/>
  <c r="F1098" i="97"/>
  <c r="F1093" i="97"/>
  <c r="F1088" i="97"/>
  <c r="F1076" i="97"/>
  <c r="F1082" i="97"/>
  <c r="F1072" i="97"/>
  <c r="F1077" i="97"/>
  <c r="F1080" i="97"/>
  <c r="F1083" i="97"/>
  <c r="F1073" i="97"/>
  <c r="F1064" i="97"/>
  <c r="F1059" i="97"/>
  <c r="F1067" i="97"/>
  <c r="F1057" i="97"/>
  <c r="F1062" i="97"/>
  <c r="F1065" i="97"/>
  <c r="F1058" i="97"/>
  <c r="F1046" i="97"/>
  <c r="F1044" i="97"/>
  <c r="F1052" i="97"/>
  <c r="F1042" i="97"/>
  <c r="F1047" i="97"/>
  <c r="F1050" i="97"/>
  <c r="F1053" i="97"/>
  <c r="F1048" i="97"/>
  <c r="F1043" i="97"/>
  <c r="F1031" i="97"/>
  <c r="F1034" i="97"/>
  <c r="F1029" i="97"/>
  <c r="F1037" i="97"/>
  <c r="F1027" i="97"/>
  <c r="F1032" i="97"/>
  <c r="F1035" i="97"/>
  <c r="F1030" i="97"/>
  <c r="F1038" i="97"/>
  <c r="F1033" i="97"/>
  <c r="F1028" i="97"/>
  <c r="F1016" i="97"/>
  <c r="F1019" i="97"/>
  <c r="F1014" i="97"/>
  <c r="F1022" i="97"/>
  <c r="F1012" i="97"/>
  <c r="F1017" i="97"/>
  <c r="F1020" i="97"/>
  <c r="F1015" i="97"/>
  <c r="F1023" i="97"/>
  <c r="F1018" i="97"/>
  <c r="F1013" i="97"/>
  <c r="F1001" i="97"/>
  <c r="F1004" i="97"/>
  <c r="F999" i="97"/>
  <c r="F1007" i="97"/>
  <c r="F997" i="97"/>
  <c r="F1002" i="97"/>
  <c r="F1005" i="97"/>
  <c r="F1000" i="97"/>
  <c r="F1008" i="97"/>
  <c r="F1003" i="97"/>
  <c r="F998" i="97"/>
  <c r="F986" i="97"/>
  <c r="F989" i="97"/>
  <c r="F984" i="97"/>
  <c r="F992" i="97"/>
  <c r="F982" i="97"/>
  <c r="F987" i="97"/>
  <c r="F990" i="97"/>
  <c r="F993" i="97"/>
  <c r="F988" i="97"/>
  <c r="F983" i="97"/>
  <c r="F971" i="97"/>
  <c r="F977" i="97"/>
  <c r="F967" i="97"/>
  <c r="F972" i="97"/>
  <c r="F975" i="97"/>
  <c r="F978" i="97"/>
  <c r="F968" i="97"/>
  <c r="F959" i="97"/>
  <c r="F954" i="97"/>
  <c r="F962" i="97"/>
  <c r="F952" i="97"/>
  <c r="F957" i="97"/>
  <c r="F960" i="97"/>
  <c r="F963" i="97"/>
  <c r="F953" i="97"/>
  <c r="F941" i="97"/>
  <c r="F944" i="97"/>
  <c r="F939" i="97"/>
  <c r="F947" i="97"/>
  <c r="F937" i="97"/>
  <c r="F942" i="97"/>
  <c r="F945" i="97"/>
  <c r="F940" i="97"/>
  <c r="F948" i="97"/>
  <c r="F936" i="97"/>
  <c r="F943" i="97"/>
  <c r="F938" i="97"/>
  <c r="F928" i="97"/>
  <c r="F926" i="97"/>
  <c r="F929" i="97"/>
  <c r="F924" i="97"/>
  <c r="F932" i="97"/>
  <c r="F922" i="97"/>
  <c r="F927" i="97"/>
  <c r="F930" i="97"/>
  <c r="F925" i="97"/>
  <c r="F933" i="97"/>
  <c r="F921" i="97"/>
  <c r="F923" i="97"/>
  <c r="F911" i="97"/>
  <c r="F914" i="97"/>
  <c r="F909" i="97"/>
  <c r="F917" i="97"/>
  <c r="F907" i="97"/>
  <c r="F912" i="97"/>
  <c r="F910" i="97"/>
  <c r="F918" i="97"/>
  <c r="F899" i="97"/>
  <c r="F902" i="97"/>
  <c r="F892" i="97"/>
  <c r="F897" i="97"/>
  <c r="F895" i="97"/>
  <c r="F903" i="97"/>
  <c r="F898" i="97"/>
  <c r="F893" i="97"/>
  <c r="F883" i="97"/>
  <c r="F881" i="97"/>
  <c r="F884" i="97"/>
  <c r="F879" i="97"/>
  <c r="F887" i="97"/>
  <c r="F877" i="97"/>
  <c r="F882" i="97"/>
  <c r="F885" i="97"/>
  <c r="F880" i="97"/>
  <c r="F888" i="97"/>
  <c r="F876" i="97"/>
  <c r="F878" i="97"/>
  <c r="F866" i="97"/>
  <c r="F869" i="97"/>
  <c r="F864" i="97"/>
  <c r="F872" i="97"/>
  <c r="F862" i="97"/>
  <c r="F867" i="97"/>
  <c r="F870" i="97"/>
  <c r="F865" i="97"/>
  <c r="F873" i="97"/>
  <c r="F861" i="97"/>
  <c r="F868" i="97"/>
  <c r="F863" i="97"/>
  <c r="F851" i="97"/>
  <c r="F854" i="97"/>
  <c r="F849" i="97"/>
  <c r="F857" i="97"/>
  <c r="F847" i="97"/>
  <c r="F852" i="97"/>
  <c r="F855" i="97"/>
  <c r="F850" i="97"/>
  <c r="F858" i="97"/>
  <c r="F846" i="97"/>
  <c r="F853" i="97"/>
  <c r="F848" i="97"/>
  <c r="F839" i="97"/>
  <c r="F834" i="97"/>
  <c r="F842" i="97"/>
  <c r="F832" i="97"/>
  <c r="F837" i="97"/>
  <c r="F840" i="97"/>
  <c r="F835" i="97"/>
  <c r="F843" i="97"/>
  <c r="F838" i="97"/>
  <c r="F831" i="97"/>
  <c r="F833" i="97"/>
  <c r="F821" i="97"/>
  <c r="F824" i="97"/>
  <c r="F819" i="97"/>
  <c r="F827" i="97"/>
  <c r="F817" i="97"/>
  <c r="F822" i="97"/>
  <c r="F825" i="97"/>
  <c r="F820" i="97"/>
  <c r="F828" i="97"/>
  <c r="F816" i="97"/>
  <c r="F823" i="97"/>
  <c r="F818" i="97"/>
  <c r="F806" i="97"/>
  <c r="F809" i="97"/>
  <c r="F804" i="97"/>
  <c r="F812" i="97"/>
  <c r="F802" i="97"/>
  <c r="F807" i="97"/>
  <c r="F810" i="97"/>
  <c r="F805" i="97"/>
  <c r="F813" i="97"/>
  <c r="F801" i="97"/>
  <c r="F808" i="97"/>
  <c r="F803" i="97"/>
  <c r="F791" i="97"/>
  <c r="F794" i="97"/>
  <c r="F789" i="97"/>
  <c r="F797" i="97"/>
  <c r="F787" i="97"/>
  <c r="F792" i="97"/>
  <c r="F795" i="97"/>
  <c r="F790" i="97"/>
  <c r="F798" i="97"/>
  <c r="F793" i="97"/>
  <c r="F788" i="97"/>
  <c r="F772" i="97"/>
  <c r="F777" i="97"/>
  <c r="F780" i="97"/>
  <c r="F775" i="97"/>
  <c r="F783" i="97"/>
  <c r="F756" i="97"/>
  <c r="F763" i="97"/>
  <c r="F761" i="97"/>
  <c r="F764" i="97"/>
  <c r="F759" i="97"/>
  <c r="F767" i="97"/>
  <c r="F757" i="97"/>
  <c r="F762" i="97"/>
  <c r="F765" i="97"/>
  <c r="F760" i="97"/>
  <c r="F768" i="97"/>
  <c r="F758" i="97"/>
  <c r="F741" i="97"/>
  <c r="F748" i="97"/>
  <c r="F746" i="97"/>
  <c r="F749" i="97"/>
  <c r="F744" i="97"/>
  <c r="F752" i="97"/>
  <c r="F742" i="97"/>
  <c r="F747" i="97"/>
  <c r="F750" i="97"/>
  <c r="F745" i="97"/>
  <c r="F753" i="97"/>
  <c r="F743" i="97"/>
  <c r="F734" i="97"/>
  <c r="F729" i="97"/>
  <c r="F737" i="97"/>
  <c r="F727" i="97"/>
  <c r="F732" i="97"/>
  <c r="F735" i="97"/>
  <c r="F730" i="97"/>
  <c r="F738" i="97"/>
  <c r="F733" i="97"/>
  <c r="F728" i="97"/>
  <c r="F711" i="97"/>
  <c r="F716" i="97"/>
  <c r="F719" i="97"/>
  <c r="F722" i="97"/>
  <c r="F712" i="97"/>
  <c r="F717" i="97"/>
  <c r="F720" i="97"/>
  <c r="F715" i="97"/>
  <c r="F723" i="97"/>
  <c r="F718" i="97"/>
  <c r="F713" i="97"/>
  <c r="F696" i="97"/>
  <c r="F703" i="97"/>
  <c r="F701" i="97"/>
  <c r="F704" i="97"/>
  <c r="F699" i="97"/>
  <c r="F707" i="97"/>
  <c r="F697" i="97"/>
  <c r="F702" i="97"/>
  <c r="F705" i="97"/>
  <c r="F700" i="97"/>
  <c r="F708" i="97"/>
  <c r="F698" i="97"/>
  <c r="F686" i="97"/>
  <c r="F689" i="97"/>
  <c r="F692" i="97"/>
  <c r="F682" i="97"/>
  <c r="F687" i="97"/>
  <c r="F690" i="97"/>
  <c r="F685" i="97"/>
  <c r="F693" i="97"/>
  <c r="F681" i="97"/>
  <c r="F688" i="97"/>
  <c r="F683" i="97"/>
  <c r="F671" i="97"/>
  <c r="F674" i="97"/>
  <c r="F667" i="97"/>
  <c r="F672" i="97"/>
  <c r="F675" i="97"/>
  <c r="F670" i="97"/>
  <c r="F678" i="97"/>
  <c r="F666" i="97"/>
  <c r="F673" i="97"/>
  <c r="F668" i="97"/>
  <c r="F657" i="97"/>
  <c r="F660" i="97"/>
  <c r="F655" i="97"/>
  <c r="F663" i="97"/>
  <c r="F652" i="97"/>
  <c r="F651" i="97"/>
  <c r="F658" i="97"/>
  <c r="F644" i="97"/>
  <c r="F642" i="97"/>
  <c r="F645" i="97"/>
  <c r="F640" i="97"/>
  <c r="F648" i="97"/>
  <c r="F636" i="97"/>
  <c r="F643" i="97"/>
  <c r="F624" i="97"/>
  <c r="F632" i="97"/>
  <c r="F622" i="97"/>
  <c r="F627" i="97"/>
  <c r="F630" i="97"/>
  <c r="F625" i="97"/>
  <c r="F633" i="97"/>
  <c r="F628" i="97"/>
  <c r="F623" i="97"/>
  <c r="F606" i="97"/>
  <c r="F613" i="97"/>
  <c r="F611" i="97"/>
  <c r="F614" i="97"/>
  <c r="F609" i="97"/>
  <c r="F617" i="97"/>
  <c r="F607" i="97"/>
  <c r="F612" i="97"/>
  <c r="F615" i="97"/>
  <c r="F610" i="97"/>
  <c r="F618" i="97"/>
  <c r="F608" i="97"/>
  <c r="F592" i="97"/>
  <c r="F597" i="97"/>
  <c r="F603" i="97"/>
  <c r="F593" i="97"/>
  <c r="F580" i="97"/>
  <c r="F576" i="97"/>
  <c r="F581" i="97"/>
  <c r="F584" i="97"/>
  <c r="F587" i="97"/>
  <c r="F577" i="97"/>
  <c r="F582" i="97"/>
  <c r="F585" i="97"/>
  <c r="F588" i="97"/>
  <c r="F583" i="97"/>
  <c r="F578" i="97"/>
  <c r="F569" i="97"/>
  <c r="F564" i="97"/>
  <c r="F572" i="97"/>
  <c r="F562" i="97"/>
  <c r="F567" i="97"/>
  <c r="F570" i="97"/>
  <c r="F565" i="97"/>
  <c r="F573" i="97"/>
  <c r="F568" i="97"/>
  <c r="F563" i="97"/>
  <c r="F551" i="97"/>
  <c r="F554" i="97"/>
  <c r="F547" i="97"/>
  <c r="F552" i="97"/>
  <c r="F550" i="97"/>
  <c r="F558" i="97"/>
  <c r="F536" i="97"/>
  <c r="F534" i="97"/>
  <c r="F542" i="97"/>
  <c r="F532" i="97"/>
  <c r="F537" i="97"/>
  <c r="F540" i="97"/>
  <c r="F543" i="97"/>
  <c r="F538" i="97"/>
  <c r="F533" i="97"/>
  <c r="F516" i="97"/>
  <c r="F521" i="97"/>
  <c r="F524" i="97"/>
  <c r="F519" i="97"/>
  <c r="F527" i="97"/>
  <c r="F517" i="97"/>
  <c r="F522" i="97"/>
  <c r="F525" i="97"/>
  <c r="F520" i="97"/>
  <c r="F528" i="97"/>
  <c r="F523" i="97"/>
  <c r="F518" i="97"/>
  <c r="F509" i="97"/>
  <c r="F504" i="97"/>
  <c r="F512" i="97"/>
  <c r="F502" i="97"/>
  <c r="F507" i="97"/>
  <c r="F510" i="97"/>
  <c r="F505" i="97"/>
  <c r="F513" i="97"/>
  <c r="F501" i="97"/>
  <c r="F508" i="97"/>
  <c r="F503" i="97"/>
  <c r="F494" i="97"/>
  <c r="F489" i="97"/>
  <c r="F497" i="97"/>
  <c r="F487" i="97"/>
  <c r="F492" i="97"/>
  <c r="F495" i="97"/>
  <c r="F490" i="97"/>
  <c r="F498" i="97"/>
  <c r="F493" i="97"/>
  <c r="F488" i="97"/>
  <c r="F479" i="97"/>
  <c r="F474" i="97"/>
  <c r="F482" i="97"/>
  <c r="F472" i="97"/>
  <c r="F477" i="97"/>
  <c r="F480" i="97"/>
  <c r="F475" i="97"/>
  <c r="F483" i="97"/>
  <c r="F478" i="97"/>
  <c r="F473" i="97"/>
  <c r="F461" i="97"/>
  <c r="F464" i="97"/>
  <c r="F459" i="97"/>
  <c r="F467" i="97"/>
  <c r="F457" i="97"/>
  <c r="F462" i="97"/>
  <c r="F465" i="97"/>
  <c r="F468" i="97"/>
  <c r="F463" i="97"/>
  <c r="F460" i="97"/>
  <c r="F456" i="97"/>
  <c r="F458" i="97"/>
  <c r="F448" i="97"/>
  <c r="F446" i="97"/>
  <c r="F449" i="97"/>
  <c r="F444" i="97"/>
  <c r="F452" i="97"/>
  <c r="F442" i="97"/>
  <c r="F447" i="97"/>
  <c r="F450" i="97"/>
  <c r="F445" i="97"/>
  <c r="F453" i="97"/>
  <c r="F441" i="97"/>
  <c r="F443" i="97"/>
  <c r="F426" i="97"/>
  <c r="F431" i="97"/>
  <c r="F434" i="97"/>
  <c r="F429" i="97"/>
  <c r="F437" i="97"/>
  <c r="F435" i="97"/>
  <c r="F430" i="97"/>
  <c r="F438" i="97"/>
  <c r="F432" i="97"/>
  <c r="F433" i="97"/>
  <c r="F427" i="97"/>
  <c r="F428" i="97"/>
  <c r="F417" i="97"/>
  <c r="F416" i="97"/>
  <c r="F419" i="97"/>
  <c r="F414" i="97"/>
  <c r="F422" i="97"/>
  <c r="F412" i="97"/>
  <c r="F420" i="97"/>
  <c r="F415" i="97"/>
  <c r="F423" i="97"/>
  <c r="F411" i="97"/>
  <c r="F418" i="97"/>
  <c r="F413" i="97"/>
  <c r="F401" i="97"/>
  <c r="F404" i="97"/>
  <c r="F399" i="97"/>
  <c r="F407" i="97"/>
  <c r="F402" i="97"/>
  <c r="F405" i="97"/>
  <c r="F400" i="97"/>
  <c r="F408" i="97"/>
  <c r="F403" i="97"/>
  <c r="F397" i="97"/>
  <c r="F396" i="97"/>
  <c r="F398" i="97"/>
  <c r="F389" i="97"/>
  <c r="F384" i="97"/>
  <c r="F392" i="97"/>
  <c r="F382" i="97"/>
  <c r="F387" i="97"/>
  <c r="F390" i="97"/>
  <c r="F385" i="97"/>
  <c r="F393" i="97"/>
  <c r="F388" i="97"/>
  <c r="F383" i="97"/>
  <c r="F374" i="97"/>
  <c r="F371" i="97"/>
  <c r="F369" i="97"/>
  <c r="F377" i="97"/>
  <c r="F372" i="97"/>
  <c r="F375" i="97"/>
  <c r="F378" i="97"/>
  <c r="F373" i="97"/>
  <c r="F367" i="97"/>
  <c r="F370" i="97"/>
  <c r="F366" i="97"/>
  <c r="F368" i="97"/>
  <c r="F356" i="97"/>
  <c r="F359" i="97"/>
  <c r="F354" i="97"/>
  <c r="F362" i="97"/>
  <c r="F352" i="97"/>
  <c r="F357" i="97"/>
  <c r="F360" i="97"/>
  <c r="F355" i="97"/>
  <c r="F363" i="97"/>
  <c r="F351" i="97"/>
  <c r="F358" i="97"/>
  <c r="F353" i="97"/>
  <c r="F337" i="97"/>
  <c r="F343" i="97"/>
  <c r="F341" i="97"/>
  <c r="F344" i="97"/>
  <c r="F339" i="97"/>
  <c r="F347" i="97"/>
  <c r="F342" i="97"/>
  <c r="F345" i="97"/>
  <c r="F348" i="97"/>
  <c r="F340" i="97"/>
  <c r="F336" i="97"/>
  <c r="F338" i="97"/>
  <c r="F329" i="97"/>
  <c r="F324" i="97"/>
  <c r="F332" i="97"/>
  <c r="F322" i="97"/>
  <c r="F327" i="97"/>
  <c r="F330" i="97"/>
  <c r="F333" i="97"/>
  <c r="F323" i="97"/>
  <c r="F311" i="97"/>
  <c r="F308" i="97"/>
  <c r="F314" i="97"/>
  <c r="F309" i="97"/>
  <c r="F317" i="97"/>
  <c r="F315" i="97"/>
  <c r="F307" i="97"/>
  <c r="F312" i="97"/>
  <c r="F310" i="97"/>
  <c r="F318" i="97"/>
  <c r="F313" i="97"/>
  <c r="F296" i="97"/>
  <c r="F299" i="97"/>
  <c r="F292" i="97"/>
  <c r="F297" i="97"/>
  <c r="F300" i="97"/>
  <c r="F295" i="97"/>
  <c r="F303" i="97"/>
  <c r="F293" i="97"/>
  <c r="F281" i="97"/>
  <c r="F287" i="97"/>
  <c r="F277" i="97"/>
  <c r="F282" i="97"/>
  <c r="F285" i="97"/>
  <c r="F288" i="97"/>
  <c r="F278" i="97"/>
  <c r="F266" i="97"/>
  <c r="F262" i="97"/>
  <c r="F267" i="97"/>
  <c r="F270" i="97"/>
  <c r="F273" i="97"/>
  <c r="F263" i="97"/>
  <c r="F256" i="97"/>
  <c r="F251" i="97"/>
  <c r="F248" i="97"/>
  <c r="F254" i="97"/>
  <c r="F249" i="97"/>
  <c r="F257" i="97"/>
  <c r="F255" i="97"/>
  <c r="F247" i="97"/>
  <c r="F252" i="97"/>
  <c r="F250" i="97"/>
  <c r="F236" i="97"/>
  <c r="F239" i="97"/>
  <c r="F234" i="97"/>
  <c r="F242" i="97"/>
  <c r="F237" i="97"/>
  <c r="F240" i="97"/>
  <c r="F232" i="97"/>
  <c r="F235" i="97"/>
  <c r="F243" i="97"/>
  <c r="F233" i="97"/>
  <c r="F218" i="97"/>
  <c r="F221" i="97"/>
  <c r="F224" i="97"/>
  <c r="F227" i="97"/>
  <c r="F222" i="97"/>
  <c r="F217" i="97"/>
  <c r="F225" i="97"/>
  <c r="F220" i="97"/>
  <c r="F228" i="97"/>
  <c r="F209" i="97"/>
  <c r="F212" i="97"/>
  <c r="F207" i="97"/>
  <c r="F210" i="97"/>
  <c r="F202" i="97"/>
  <c r="F205" i="97"/>
  <c r="F213" i="97"/>
  <c r="F201" i="97"/>
  <c r="F191" i="97"/>
  <c r="F196" i="97"/>
  <c r="F194" i="97"/>
  <c r="F189" i="97"/>
  <c r="F197" i="97"/>
  <c r="F195" i="97"/>
  <c r="F187" i="97"/>
  <c r="F192" i="97"/>
  <c r="F190" i="97"/>
  <c r="F198" i="97"/>
  <c r="F193" i="97"/>
  <c r="F176" i="97"/>
  <c r="F179" i="97"/>
  <c r="F172" i="97"/>
  <c r="F177" i="97"/>
  <c r="F180" i="97"/>
  <c r="F175" i="97"/>
  <c r="F183" i="97"/>
  <c r="F173" i="97"/>
  <c r="F158" i="97"/>
  <c r="F166" i="97"/>
  <c r="F161" i="97"/>
  <c r="F164" i="97"/>
  <c r="F167" i="97"/>
  <c r="F157" i="97"/>
  <c r="F162" i="97"/>
  <c r="F165" i="97"/>
  <c r="F160" i="97"/>
  <c r="F146" i="97"/>
  <c r="F141" i="97"/>
  <c r="F149" i="97"/>
  <c r="F144" i="97"/>
  <c r="F152" i="97"/>
  <c r="F147" i="97"/>
  <c r="F142" i="97"/>
  <c r="F150" i="97"/>
  <c r="F145" i="97"/>
  <c r="F153" i="97"/>
  <c r="F148" i="97"/>
  <c r="F143" i="97"/>
  <c r="F131" i="97"/>
  <c r="F128" i="97"/>
  <c r="F136" i="97"/>
  <c r="F134" i="97"/>
  <c r="F137" i="97"/>
  <c r="F127" i="97"/>
  <c r="F132" i="97"/>
  <c r="F135" i="97"/>
  <c r="F130" i="97"/>
  <c r="F116" i="97"/>
  <c r="F119" i="97"/>
  <c r="F122" i="97"/>
  <c r="F112" i="97"/>
  <c r="F117" i="97"/>
  <c r="F120" i="97"/>
  <c r="F115" i="97"/>
  <c r="F123" i="97"/>
  <c r="F113" i="97"/>
  <c r="F100" i="97"/>
  <c r="F96" i="97"/>
  <c r="F103" i="97"/>
  <c r="F106" i="97"/>
  <c r="F101" i="97"/>
  <c r="F104" i="97"/>
  <c r="F98" i="97"/>
  <c r="F99" i="97"/>
  <c r="F107" i="97"/>
  <c r="F97" i="97"/>
  <c r="F102" i="97"/>
  <c r="F105" i="97"/>
  <c r="F86" i="97"/>
  <c r="F89" i="97"/>
  <c r="F84" i="97"/>
  <c r="F92" i="97"/>
  <c r="F87" i="97"/>
  <c r="F82" i="97"/>
  <c r="F90" i="97"/>
  <c r="F85" i="97"/>
  <c r="F93" i="97"/>
  <c r="F88" i="97"/>
  <c r="F81" i="97"/>
  <c r="F83" i="97"/>
  <c r="F71" i="97"/>
  <c r="F67" i="97"/>
  <c r="F72" i="97"/>
  <c r="F75" i="97"/>
  <c r="F68" i="97"/>
  <c r="F61" i="97"/>
  <c r="F56" i="97"/>
  <c r="F53" i="97"/>
  <c r="F59" i="97"/>
  <c r="F62" i="97"/>
  <c r="F52" i="97"/>
  <c r="F60" i="97"/>
  <c r="F57" i="97"/>
  <c r="F55" i="97"/>
  <c r="F41" i="97"/>
  <c r="F37" i="97"/>
  <c r="F42" i="97"/>
  <c r="F45" i="97"/>
  <c r="F38" i="97"/>
  <c r="F29" i="97"/>
  <c r="F24" i="97"/>
  <c r="F32" i="97"/>
  <c r="F26" i="97"/>
  <c r="F27" i="97"/>
  <c r="F22" i="97"/>
  <c r="F30" i="97"/>
  <c r="F21" i="97"/>
  <c r="F25" i="97"/>
  <c r="F33" i="97"/>
  <c r="F28" i="97"/>
  <c r="F23" i="97"/>
  <c r="D53" i="3" l="1"/>
  <c r="BG53" i="3" s="1"/>
  <c r="M53" i="3" l="1"/>
  <c r="U53" i="3"/>
  <c r="AC53" i="3"/>
  <c r="AK53" i="3"/>
  <c r="AS53" i="3"/>
  <c r="BA53" i="3"/>
  <c r="BI53" i="3"/>
  <c r="BQ53" i="3"/>
  <c r="BY53" i="3"/>
  <c r="G53" i="3"/>
  <c r="O53" i="3"/>
  <c r="W53" i="3"/>
  <c r="AE53" i="3"/>
  <c r="AM53" i="3"/>
  <c r="AU53" i="3"/>
  <c r="BC53" i="3"/>
  <c r="BK53" i="3"/>
  <c r="BS53" i="3"/>
  <c r="I53" i="3"/>
  <c r="Q53" i="3"/>
  <c r="Y53" i="3"/>
  <c r="AG53" i="3"/>
  <c r="AO53" i="3"/>
  <c r="AW53" i="3"/>
  <c r="BE53" i="3"/>
  <c r="BM53" i="3"/>
  <c r="BU53" i="3"/>
  <c r="L53" i="3"/>
  <c r="Z53" i="3"/>
  <c r="AL53" i="3"/>
  <c r="AY53" i="3"/>
  <c r="BL53" i="3"/>
  <c r="BX53" i="3"/>
  <c r="BD53" i="3"/>
  <c r="E53" i="3"/>
  <c r="K53" i="3"/>
  <c r="N53" i="3"/>
  <c r="AA53" i="3"/>
  <c r="AN53" i="3"/>
  <c r="AZ53" i="3"/>
  <c r="BN53" i="3"/>
  <c r="R53" i="3"/>
  <c r="AQ53" i="3"/>
  <c r="BP53" i="3"/>
  <c r="BJ53" i="3"/>
  <c r="P53" i="3"/>
  <c r="AB53" i="3"/>
  <c r="AP53" i="3"/>
  <c r="BB53" i="3"/>
  <c r="BO53" i="3"/>
  <c r="AD53" i="3"/>
  <c r="BW53" i="3"/>
  <c r="F53" i="3"/>
  <c r="S53" i="3"/>
  <c r="AF53" i="3"/>
  <c r="AR53" i="3"/>
  <c r="BF53" i="3"/>
  <c r="BR53" i="3"/>
  <c r="AT53" i="3"/>
  <c r="X53" i="3"/>
  <c r="AX53" i="3"/>
  <c r="H53" i="3"/>
  <c r="T53" i="3"/>
  <c r="AH53" i="3"/>
  <c r="BT53" i="3"/>
  <c r="AJ53" i="3"/>
  <c r="J53" i="3"/>
  <c r="V53" i="3"/>
  <c r="AI53" i="3"/>
  <c r="AV53" i="3"/>
  <c r="BH53" i="3"/>
  <c r="BV53" i="3"/>
  <c r="BE2" i="59" l="1"/>
  <c r="F16" i="80" l="1"/>
  <c r="D8" i="3" l="1"/>
  <c r="BG8" i="3" s="1"/>
  <c r="J8" i="3" l="1"/>
  <c r="G96" i="97" s="1"/>
  <c r="R8" i="3"/>
  <c r="G216" i="97" s="1"/>
  <c r="Z8" i="3"/>
  <c r="G336" i="97" s="1"/>
  <c r="AH8" i="3"/>
  <c r="G456" i="97" s="1"/>
  <c r="AP8" i="3"/>
  <c r="G576" i="97" s="1"/>
  <c r="AX8" i="3"/>
  <c r="G696" i="97" s="1"/>
  <c r="BF8" i="3"/>
  <c r="G816" i="97" s="1"/>
  <c r="BN8" i="3"/>
  <c r="G936" i="97" s="1"/>
  <c r="BV8" i="3"/>
  <c r="G1056" i="97" s="1"/>
  <c r="K8" i="3"/>
  <c r="G111" i="97" s="1"/>
  <c r="S8" i="3"/>
  <c r="G231" i="97" s="1"/>
  <c r="AA8" i="3"/>
  <c r="G351" i="97" s="1"/>
  <c r="AI8" i="3"/>
  <c r="G471" i="97" s="1"/>
  <c r="AQ8" i="3"/>
  <c r="G591" i="97" s="1"/>
  <c r="AY8" i="3"/>
  <c r="G711" i="97" s="1"/>
  <c r="G831" i="97"/>
  <c r="BO8" i="3"/>
  <c r="G951" i="97" s="1"/>
  <c r="BW8" i="3"/>
  <c r="G1071" i="97" s="1"/>
  <c r="L8" i="3"/>
  <c r="G126" i="97" s="1"/>
  <c r="T8" i="3"/>
  <c r="G246" i="97" s="1"/>
  <c r="AB8" i="3"/>
  <c r="G366" i="97" s="1"/>
  <c r="AJ8" i="3"/>
  <c r="G486" i="97" s="1"/>
  <c r="AR8" i="3"/>
  <c r="G606" i="97" s="1"/>
  <c r="AZ8" i="3"/>
  <c r="G726" i="97" s="1"/>
  <c r="BH8" i="3"/>
  <c r="G846" i="97" s="1"/>
  <c r="BP8" i="3"/>
  <c r="G966" i="97" s="1"/>
  <c r="BX8" i="3"/>
  <c r="G1086" i="97" s="1"/>
  <c r="N8" i="3"/>
  <c r="G156" i="97" s="1"/>
  <c r="Y8" i="3"/>
  <c r="G321" i="97" s="1"/>
  <c r="AM8" i="3"/>
  <c r="G531" i="97" s="1"/>
  <c r="BA8" i="3"/>
  <c r="G741" i="97" s="1"/>
  <c r="BL8" i="3"/>
  <c r="G906" i="97" s="1"/>
  <c r="F8" i="3"/>
  <c r="G36" i="97" s="1"/>
  <c r="Q8" i="3"/>
  <c r="G201" i="97" s="1"/>
  <c r="AE8" i="3"/>
  <c r="G411" i="97" s="1"/>
  <c r="AS8" i="3"/>
  <c r="G621" i="97" s="1"/>
  <c r="BD8" i="3"/>
  <c r="G786" i="97" s="1"/>
  <c r="BR8" i="3"/>
  <c r="G996" i="97" s="1"/>
  <c r="G8" i="3"/>
  <c r="G51" i="97" s="1"/>
  <c r="U8" i="3"/>
  <c r="G261" i="97" s="1"/>
  <c r="AF8" i="3"/>
  <c r="G426" i="97" s="1"/>
  <c r="AT8" i="3"/>
  <c r="G636" i="97" s="1"/>
  <c r="BE8" i="3"/>
  <c r="G801" i="97" s="1"/>
  <c r="BS8" i="3"/>
  <c r="G1011" i="97" s="1"/>
  <c r="V8" i="3"/>
  <c r="G276" i="97" s="1"/>
  <c r="AN8" i="3"/>
  <c r="G546" i="97" s="1"/>
  <c r="BJ8" i="3"/>
  <c r="G876" i="97" s="1"/>
  <c r="H8" i="3"/>
  <c r="G66" i="97" s="1"/>
  <c r="AC8" i="3"/>
  <c r="G381" i="97" s="1"/>
  <c r="AV8" i="3"/>
  <c r="G666" i="97" s="1"/>
  <c r="BQ8" i="3"/>
  <c r="G981" i="97" s="1"/>
  <c r="I8" i="3"/>
  <c r="G81" i="97" s="1"/>
  <c r="AD8" i="3"/>
  <c r="G396" i="97" s="1"/>
  <c r="AW8" i="3"/>
  <c r="G681" i="97" s="1"/>
  <c r="BT8" i="3"/>
  <c r="G1026" i="97" s="1"/>
  <c r="AL8" i="3"/>
  <c r="G516" i="97" s="1"/>
  <c r="BU8" i="3"/>
  <c r="G1041" i="97" s="1"/>
  <c r="P8" i="3"/>
  <c r="G186" i="97" s="1"/>
  <c r="BB8" i="3"/>
  <c r="G756" i="97" s="1"/>
  <c r="W8" i="3"/>
  <c r="G291" i="97" s="1"/>
  <c r="BC8" i="3"/>
  <c r="G771" i="97" s="1"/>
  <c r="AO8" i="3"/>
  <c r="G561" i="97" s="1"/>
  <c r="AU8" i="3"/>
  <c r="G651" i="97" s="1"/>
  <c r="BI8" i="3"/>
  <c r="G861" i="97" s="1"/>
  <c r="M8" i="3"/>
  <c r="G141" i="97" s="1"/>
  <c r="BK8" i="3"/>
  <c r="G891" i="97" s="1"/>
  <c r="O8" i="3"/>
  <c r="G171" i="97" s="1"/>
  <c r="BM8" i="3"/>
  <c r="G921" i="97" s="1"/>
  <c r="X8" i="3"/>
  <c r="G306" i="97" s="1"/>
  <c r="BY8" i="3"/>
  <c r="G1101" i="97" s="1"/>
  <c r="AG8" i="3"/>
  <c r="G441" i="97" s="1"/>
  <c r="AK8" i="3"/>
  <c r="G501" i="97" s="1"/>
  <c r="E8" i="3"/>
  <c r="G21" i="97" s="1"/>
  <c r="D53" i="111"/>
  <c r="D52" i="111"/>
  <c r="D51" i="111"/>
  <c r="D50" i="111"/>
  <c r="D49" i="111"/>
  <c r="D48" i="111"/>
  <c r="D47" i="111"/>
  <c r="D46" i="111"/>
  <c r="D45" i="111"/>
  <c r="D44" i="111"/>
  <c r="D43" i="111"/>
  <c r="D42" i="111"/>
  <c r="D41" i="111"/>
  <c r="D40" i="111"/>
  <c r="D39" i="111"/>
  <c r="D38" i="111"/>
  <c r="D37" i="111"/>
  <c r="D36" i="111"/>
  <c r="D35" i="111"/>
  <c r="D34" i="111"/>
  <c r="D33" i="111"/>
  <c r="D32" i="111"/>
  <c r="D31" i="111"/>
  <c r="D30" i="111"/>
  <c r="D29" i="111"/>
  <c r="D28" i="111"/>
  <c r="D27" i="111"/>
  <c r="D26" i="111"/>
  <c r="D25" i="111"/>
  <c r="D24" i="111"/>
  <c r="D23" i="111"/>
  <c r="D22" i="111"/>
  <c r="D21" i="111"/>
  <c r="D20" i="111"/>
  <c r="D19" i="111"/>
  <c r="D18" i="111"/>
  <c r="D17" i="111"/>
  <c r="D16" i="111"/>
  <c r="D15" i="111"/>
  <c r="D14" i="111"/>
  <c r="D13" i="111"/>
  <c r="D12" i="111"/>
  <c r="D11" i="111"/>
  <c r="D10" i="111"/>
  <c r="D9" i="111"/>
  <c r="D8" i="111"/>
  <c r="D7" i="111"/>
  <c r="D6" i="111"/>
  <c r="D4" i="111"/>
  <c r="BY4" i="111" s="1"/>
  <c r="D3" i="111"/>
  <c r="BY3" i="111" s="1"/>
  <c r="B3" i="111"/>
  <c r="D2" i="111"/>
  <c r="BT2" i="111" s="1"/>
  <c r="F4" i="110"/>
  <c r="F5" i="110"/>
  <c r="F6" i="110"/>
  <c r="F7" i="110"/>
  <c r="F8" i="110"/>
  <c r="F9" i="110"/>
  <c r="F10" i="110"/>
  <c r="F11" i="110"/>
  <c r="F12" i="110"/>
  <c r="F13" i="110"/>
  <c r="F14" i="110"/>
  <c r="F15" i="110"/>
  <c r="F16" i="110"/>
  <c r="F17" i="110"/>
  <c r="F18" i="110"/>
  <c r="F19" i="110"/>
  <c r="F20" i="110"/>
  <c r="F21" i="110"/>
  <c r="F22" i="110"/>
  <c r="F23" i="110"/>
  <c r="F24" i="110"/>
  <c r="F25" i="110"/>
  <c r="F26" i="110"/>
  <c r="F27" i="110"/>
  <c r="F28" i="110"/>
  <c r="F29" i="110"/>
  <c r="F30" i="110"/>
  <c r="F31" i="110"/>
  <c r="F32" i="110"/>
  <c r="F33" i="110"/>
  <c r="F34" i="110"/>
  <c r="F35" i="110"/>
  <c r="F36" i="110"/>
  <c r="F37" i="110"/>
  <c r="F38" i="110"/>
  <c r="F39" i="110"/>
  <c r="F40" i="110"/>
  <c r="F41" i="110"/>
  <c r="F42" i="110"/>
  <c r="F43" i="110"/>
  <c r="F44" i="110"/>
  <c r="F45" i="110"/>
  <c r="F46" i="110"/>
  <c r="F47" i="110"/>
  <c r="F48" i="110"/>
  <c r="F49" i="110"/>
  <c r="F50" i="110"/>
  <c r="F51" i="110"/>
  <c r="F52" i="110"/>
  <c r="F53" i="110"/>
  <c r="F54" i="110"/>
  <c r="F55" i="110"/>
  <c r="F56" i="110"/>
  <c r="F57" i="110"/>
  <c r="F58" i="110"/>
  <c r="F59" i="110"/>
  <c r="F60" i="110"/>
  <c r="F61" i="110"/>
  <c r="F62" i="110"/>
  <c r="F63" i="110"/>
  <c r="F64" i="110"/>
  <c r="F65" i="110"/>
  <c r="F66" i="110"/>
  <c r="F67" i="110"/>
  <c r="F68" i="110"/>
  <c r="F69" i="110"/>
  <c r="F70" i="110"/>
  <c r="F71" i="110"/>
  <c r="F72" i="110"/>
  <c r="F73" i="110"/>
  <c r="F74" i="110"/>
  <c r="F75" i="110"/>
  <c r="F3" i="110"/>
  <c r="E3" i="110"/>
  <c r="E4" i="110"/>
  <c r="E5" i="110"/>
  <c r="E6" i="110"/>
  <c r="E7" i="110"/>
  <c r="E8" i="110"/>
  <c r="E9" i="110"/>
  <c r="E10" i="110"/>
  <c r="E11" i="110"/>
  <c r="E12" i="110"/>
  <c r="E13" i="110"/>
  <c r="E14" i="110"/>
  <c r="E15" i="110"/>
  <c r="E16" i="110"/>
  <c r="E17" i="110"/>
  <c r="E18" i="110"/>
  <c r="E19" i="110"/>
  <c r="E20" i="110"/>
  <c r="E21" i="110"/>
  <c r="E22" i="110"/>
  <c r="E23" i="110"/>
  <c r="E24" i="110"/>
  <c r="E25" i="110"/>
  <c r="E26" i="110"/>
  <c r="E27" i="110"/>
  <c r="E28" i="110"/>
  <c r="E29" i="110"/>
  <c r="E30" i="110"/>
  <c r="E31" i="110"/>
  <c r="E32" i="110"/>
  <c r="E33" i="110"/>
  <c r="E34" i="110"/>
  <c r="E35" i="110"/>
  <c r="E36" i="110"/>
  <c r="E37" i="110"/>
  <c r="E38" i="110"/>
  <c r="E39" i="110"/>
  <c r="E40" i="110"/>
  <c r="E41" i="110"/>
  <c r="E42" i="110"/>
  <c r="E43" i="110"/>
  <c r="E44" i="110"/>
  <c r="E45" i="110"/>
  <c r="E46" i="110"/>
  <c r="E47" i="110"/>
  <c r="E48" i="110"/>
  <c r="E49" i="110"/>
  <c r="E50" i="110"/>
  <c r="E51" i="110"/>
  <c r="E52" i="110"/>
  <c r="E53" i="110"/>
  <c r="E54" i="110"/>
  <c r="E55" i="110"/>
  <c r="E56" i="110"/>
  <c r="E57" i="110"/>
  <c r="E58" i="110"/>
  <c r="E59" i="110"/>
  <c r="E60" i="110"/>
  <c r="E61" i="110"/>
  <c r="E62" i="110"/>
  <c r="E63" i="110"/>
  <c r="E64" i="110"/>
  <c r="E65" i="110"/>
  <c r="E66" i="110"/>
  <c r="E67" i="110"/>
  <c r="E68" i="110"/>
  <c r="E69" i="110"/>
  <c r="E70" i="110"/>
  <c r="E71" i="110"/>
  <c r="E72" i="110"/>
  <c r="E73" i="110"/>
  <c r="E74" i="110"/>
  <c r="E75" i="110"/>
  <c r="J4" i="110"/>
  <c r="J3" i="110"/>
  <c r="D4" i="110"/>
  <c r="D5" i="110"/>
  <c r="D6" i="110"/>
  <c r="D7" i="110"/>
  <c r="D8" i="110"/>
  <c r="D9" i="110"/>
  <c r="D10" i="110"/>
  <c r="D11" i="110"/>
  <c r="D12" i="110"/>
  <c r="D13" i="110"/>
  <c r="D14" i="110"/>
  <c r="D15" i="110"/>
  <c r="D16" i="110"/>
  <c r="D17" i="110"/>
  <c r="D18" i="110"/>
  <c r="D19" i="110"/>
  <c r="D20" i="110"/>
  <c r="D21" i="110"/>
  <c r="D22" i="110"/>
  <c r="D23" i="110"/>
  <c r="D24" i="110"/>
  <c r="D25" i="110"/>
  <c r="D26" i="110"/>
  <c r="D27" i="110"/>
  <c r="D28" i="110"/>
  <c r="D29" i="110"/>
  <c r="D30" i="110"/>
  <c r="D31" i="110"/>
  <c r="D32" i="110"/>
  <c r="D33" i="110"/>
  <c r="D34" i="110"/>
  <c r="D35" i="110"/>
  <c r="D36" i="110"/>
  <c r="D37" i="110"/>
  <c r="D38" i="110"/>
  <c r="D39" i="110"/>
  <c r="D40" i="110"/>
  <c r="D41" i="110"/>
  <c r="D42" i="110"/>
  <c r="D43" i="110"/>
  <c r="D44" i="110"/>
  <c r="D45" i="110"/>
  <c r="D46" i="110"/>
  <c r="D47" i="110"/>
  <c r="D48" i="110"/>
  <c r="D49" i="110"/>
  <c r="D50" i="110"/>
  <c r="D51" i="110"/>
  <c r="D52" i="110"/>
  <c r="D53" i="110"/>
  <c r="D54" i="110"/>
  <c r="D55" i="110"/>
  <c r="D56" i="110"/>
  <c r="D57" i="110"/>
  <c r="D58" i="110"/>
  <c r="D59" i="110"/>
  <c r="D60" i="110"/>
  <c r="D61" i="110"/>
  <c r="D62" i="110"/>
  <c r="D63" i="110"/>
  <c r="D64" i="110"/>
  <c r="D65" i="110"/>
  <c r="D66" i="110"/>
  <c r="D67" i="110"/>
  <c r="D68" i="110"/>
  <c r="D69" i="110"/>
  <c r="D70" i="110"/>
  <c r="D71" i="110"/>
  <c r="D72" i="110"/>
  <c r="D73" i="110"/>
  <c r="D74" i="110"/>
  <c r="D75" i="110"/>
  <c r="D3" i="110"/>
  <c r="C3" i="110"/>
  <c r="G3" i="110" s="1"/>
  <c r="C4" i="110"/>
  <c r="G4" i="110" s="1"/>
  <c r="C5" i="110"/>
  <c r="C6" i="110"/>
  <c r="C7" i="110"/>
  <c r="C8" i="110"/>
  <c r="C9" i="110"/>
  <c r="C10" i="110"/>
  <c r="C11" i="110"/>
  <c r="G11" i="110" s="1"/>
  <c r="C12" i="110"/>
  <c r="G12" i="110" s="1"/>
  <c r="C13" i="110"/>
  <c r="G13" i="110" s="1"/>
  <c r="C14" i="110"/>
  <c r="G14" i="110" s="1"/>
  <c r="C15" i="110"/>
  <c r="G15" i="110" s="1"/>
  <c r="C16" i="110"/>
  <c r="G16" i="110" s="1"/>
  <c r="C17" i="110"/>
  <c r="G17" i="110" s="1"/>
  <c r="C18" i="110"/>
  <c r="G18" i="110" s="1"/>
  <c r="C19" i="110"/>
  <c r="G19" i="110" s="1"/>
  <c r="C20" i="110"/>
  <c r="G20" i="110" s="1"/>
  <c r="C21" i="110"/>
  <c r="G21" i="110" s="1"/>
  <c r="C22" i="110"/>
  <c r="G22" i="110" s="1"/>
  <c r="C23" i="110"/>
  <c r="G23" i="110" s="1"/>
  <c r="C24" i="110"/>
  <c r="G24" i="110" s="1"/>
  <c r="C25" i="110"/>
  <c r="G25" i="110" s="1"/>
  <c r="C26" i="110"/>
  <c r="G26" i="110" s="1"/>
  <c r="C27" i="110"/>
  <c r="G27" i="110" s="1"/>
  <c r="C28" i="110"/>
  <c r="G28" i="110" s="1"/>
  <c r="C29" i="110"/>
  <c r="G29" i="110" s="1"/>
  <c r="C30" i="110"/>
  <c r="G30" i="110" s="1"/>
  <c r="C31" i="110"/>
  <c r="G31" i="110" s="1"/>
  <c r="C32" i="110"/>
  <c r="G32" i="110" s="1"/>
  <c r="C33" i="110"/>
  <c r="G33" i="110" s="1"/>
  <c r="C34" i="110"/>
  <c r="G34" i="110" s="1"/>
  <c r="C35" i="110"/>
  <c r="G35" i="110" s="1"/>
  <c r="C36" i="110"/>
  <c r="G36" i="110" s="1"/>
  <c r="C37" i="110"/>
  <c r="G37" i="110" s="1"/>
  <c r="C38" i="110"/>
  <c r="G38" i="110" s="1"/>
  <c r="C39" i="110"/>
  <c r="G39" i="110" s="1"/>
  <c r="C40" i="110"/>
  <c r="G40" i="110" s="1"/>
  <c r="C41" i="110"/>
  <c r="G41" i="110" s="1"/>
  <c r="C42" i="110"/>
  <c r="G42" i="110" s="1"/>
  <c r="C43" i="110"/>
  <c r="G43" i="110" s="1"/>
  <c r="C44" i="110"/>
  <c r="G44" i="110" s="1"/>
  <c r="C45" i="110"/>
  <c r="G45" i="110" s="1"/>
  <c r="C46" i="110"/>
  <c r="G46" i="110" s="1"/>
  <c r="C47" i="110"/>
  <c r="G47" i="110" s="1"/>
  <c r="C48" i="110"/>
  <c r="G48" i="110" s="1"/>
  <c r="C49" i="110"/>
  <c r="G49" i="110" s="1"/>
  <c r="C50" i="110"/>
  <c r="G50" i="110" s="1"/>
  <c r="C51" i="110"/>
  <c r="G51" i="110" s="1"/>
  <c r="C52" i="110"/>
  <c r="G52" i="110" s="1"/>
  <c r="C53" i="110"/>
  <c r="G53" i="110" s="1"/>
  <c r="C54" i="110"/>
  <c r="G54" i="110" s="1"/>
  <c r="C55" i="110"/>
  <c r="G55" i="110" s="1"/>
  <c r="C56" i="110"/>
  <c r="G56" i="110" s="1"/>
  <c r="C57" i="110"/>
  <c r="G57" i="110" s="1"/>
  <c r="C58" i="110"/>
  <c r="G58" i="110" s="1"/>
  <c r="C59" i="110"/>
  <c r="G59" i="110" s="1"/>
  <c r="C60" i="110"/>
  <c r="G60" i="110" s="1"/>
  <c r="C61" i="110"/>
  <c r="G61" i="110" s="1"/>
  <c r="C62" i="110"/>
  <c r="G62" i="110" s="1"/>
  <c r="C63" i="110"/>
  <c r="G63" i="110" s="1"/>
  <c r="C64" i="110"/>
  <c r="G64" i="110" s="1"/>
  <c r="C65" i="110"/>
  <c r="G65" i="110" s="1"/>
  <c r="C66" i="110"/>
  <c r="G66" i="110" s="1"/>
  <c r="C67" i="110"/>
  <c r="G67" i="110" s="1"/>
  <c r="C68" i="110"/>
  <c r="G68" i="110" s="1"/>
  <c r="C69" i="110"/>
  <c r="G69" i="110" s="1"/>
  <c r="C70" i="110"/>
  <c r="G70" i="110" s="1"/>
  <c r="C71" i="110"/>
  <c r="G71" i="110" s="1"/>
  <c r="C72" i="110"/>
  <c r="G72" i="110" s="1"/>
  <c r="C73" i="110"/>
  <c r="G73" i="110" s="1"/>
  <c r="C74" i="110"/>
  <c r="G74" i="110" s="1"/>
  <c r="C75" i="110"/>
  <c r="G75" i="110" s="1"/>
  <c r="G5" i="110"/>
  <c r="G6" i="110"/>
  <c r="G7" i="110"/>
  <c r="G8" i="110"/>
  <c r="G9" i="110"/>
  <c r="G10" i="110"/>
  <c r="BU4" i="111" l="1"/>
  <c r="AG2" i="111"/>
  <c r="BV2" i="111"/>
  <c r="I4" i="111"/>
  <c r="Q4" i="111"/>
  <c r="N3" i="111"/>
  <c r="G2" i="111"/>
  <c r="AM2" i="111"/>
  <c r="I2" i="111"/>
  <c r="AO2" i="111"/>
  <c r="J2" i="111"/>
  <c r="AP2" i="111"/>
  <c r="O2" i="111"/>
  <c r="AU2" i="111"/>
  <c r="Q2" i="111"/>
  <c r="AW2" i="111"/>
  <c r="W2" i="111"/>
  <c r="BE2" i="111"/>
  <c r="Y2" i="111"/>
  <c r="BU2" i="111"/>
  <c r="AE2" i="111"/>
  <c r="BF2" i="111"/>
  <c r="AI3" i="111"/>
  <c r="BK2" i="111"/>
  <c r="AL3" i="111"/>
  <c r="BS2" i="111"/>
  <c r="AM3" i="111"/>
  <c r="Z2" i="111"/>
  <c r="BC2" i="111"/>
  <c r="BC3" i="111"/>
  <c r="BG3" i="111"/>
  <c r="BJ3" i="111"/>
  <c r="O3" i="111"/>
  <c r="BM2" i="111"/>
  <c r="S3" i="111"/>
  <c r="N2" i="111"/>
  <c r="AD2" i="111"/>
  <c r="AT2" i="111"/>
  <c r="BJ2" i="111"/>
  <c r="V3" i="111"/>
  <c r="AQ3" i="111"/>
  <c r="BK3" i="111"/>
  <c r="Y4" i="111"/>
  <c r="W3" i="111"/>
  <c r="AT3" i="111"/>
  <c r="BO3" i="111"/>
  <c r="AG4" i="111"/>
  <c r="F3" i="111"/>
  <c r="AA3" i="111"/>
  <c r="AU3" i="111"/>
  <c r="BR3" i="111"/>
  <c r="AO4" i="111"/>
  <c r="R2" i="111"/>
  <c r="AH2" i="111"/>
  <c r="AX2" i="111"/>
  <c r="BN2" i="111"/>
  <c r="G3" i="111"/>
  <c r="AD3" i="111"/>
  <c r="AY3" i="111"/>
  <c r="BS3" i="111"/>
  <c r="AW4" i="111"/>
  <c r="F2" i="111"/>
  <c r="V2" i="111"/>
  <c r="AL2" i="111"/>
  <c r="BB2" i="111"/>
  <c r="BR2" i="111"/>
  <c r="K3" i="111"/>
  <c r="AE3" i="111"/>
  <c r="BB3" i="111"/>
  <c r="BW3" i="111"/>
  <c r="BE4" i="111"/>
  <c r="BM4" i="111"/>
  <c r="K2" i="111"/>
  <c r="S2" i="111"/>
  <c r="AA2" i="111"/>
  <c r="AI2" i="111"/>
  <c r="AQ2" i="111"/>
  <c r="AY2" i="111"/>
  <c r="BG2" i="111"/>
  <c r="BO2" i="111"/>
  <c r="BW2" i="111"/>
  <c r="H3" i="111"/>
  <c r="P3" i="111"/>
  <c r="X3" i="111"/>
  <c r="AF3" i="111"/>
  <c r="AN3" i="111"/>
  <c r="AV3" i="111"/>
  <c r="BD3" i="111"/>
  <c r="BL3" i="111"/>
  <c r="BT3" i="111"/>
  <c r="F4" i="111"/>
  <c r="N4" i="111"/>
  <c r="V4" i="111"/>
  <c r="AD4" i="111"/>
  <c r="AL4" i="111"/>
  <c r="AT4" i="111"/>
  <c r="BB4" i="111"/>
  <c r="BJ4" i="111"/>
  <c r="BR4" i="111"/>
  <c r="L2" i="111"/>
  <c r="T2" i="111"/>
  <c r="AB2" i="111"/>
  <c r="AJ2" i="111"/>
  <c r="AR2" i="111"/>
  <c r="AZ2" i="111"/>
  <c r="BH2" i="111"/>
  <c r="BP2" i="111"/>
  <c r="BX2" i="111"/>
  <c r="I3" i="111"/>
  <c r="Q3" i="111"/>
  <c r="Y3" i="111"/>
  <c r="AG3" i="111"/>
  <c r="AO3" i="111"/>
  <c r="AW3" i="111"/>
  <c r="BE3" i="111"/>
  <c r="BM3" i="111"/>
  <c r="BU3" i="111"/>
  <c r="G4" i="111"/>
  <c r="O4" i="111"/>
  <c r="W4" i="111"/>
  <c r="AE4" i="111"/>
  <c r="AM4" i="111"/>
  <c r="AU4" i="111"/>
  <c r="BC4" i="111"/>
  <c r="BK4" i="111"/>
  <c r="BS4" i="111"/>
  <c r="E2" i="111"/>
  <c r="M2" i="111"/>
  <c r="U2" i="111"/>
  <c r="AC2" i="111"/>
  <c r="AK2" i="111"/>
  <c r="AS2" i="111"/>
  <c r="BA2" i="111"/>
  <c r="BI2" i="111"/>
  <c r="BQ2" i="111"/>
  <c r="BY2" i="111"/>
  <c r="J3" i="111"/>
  <c r="R3" i="111"/>
  <c r="Z3" i="111"/>
  <c r="AH3" i="111"/>
  <c r="AP3" i="111"/>
  <c r="AX3" i="111"/>
  <c r="BF3" i="111"/>
  <c r="BN3" i="111"/>
  <c r="BV3" i="111"/>
  <c r="H4" i="111"/>
  <c r="P4" i="111"/>
  <c r="X4" i="111"/>
  <c r="AF4" i="111"/>
  <c r="AN4" i="111"/>
  <c r="AV4" i="111"/>
  <c r="BD4" i="111"/>
  <c r="BL4" i="111"/>
  <c r="BT4" i="111"/>
  <c r="L3" i="111"/>
  <c r="T3" i="111"/>
  <c r="AB3" i="111"/>
  <c r="AJ3" i="111"/>
  <c r="AR3" i="111"/>
  <c r="AZ3" i="111"/>
  <c r="BH3" i="111"/>
  <c r="BP3" i="111"/>
  <c r="BX3" i="111"/>
  <c r="J4" i="111"/>
  <c r="R4" i="111"/>
  <c r="Z4" i="111"/>
  <c r="AH4" i="111"/>
  <c r="AP4" i="111"/>
  <c r="AX4" i="111"/>
  <c r="BF4" i="111"/>
  <c r="BN4" i="111"/>
  <c r="BV4" i="111"/>
  <c r="H2" i="111"/>
  <c r="P2" i="111"/>
  <c r="X2" i="111"/>
  <c r="AF2" i="111"/>
  <c r="AN2" i="111"/>
  <c r="AV2" i="111"/>
  <c r="BD2" i="111"/>
  <c r="BL2" i="111"/>
  <c r="E3" i="111"/>
  <c r="M3" i="111"/>
  <c r="U3" i="111"/>
  <c r="AC3" i="111"/>
  <c r="AK3" i="111"/>
  <c r="AS3" i="111"/>
  <c r="BA3" i="111"/>
  <c r="BI3" i="111"/>
  <c r="BQ3" i="111"/>
  <c r="K4" i="111"/>
  <c r="S4" i="111"/>
  <c r="AA4" i="111"/>
  <c r="AI4" i="111"/>
  <c r="AQ4" i="111"/>
  <c r="AY4" i="111"/>
  <c r="BG4" i="111"/>
  <c r="BO4" i="111"/>
  <c r="BW4" i="111"/>
  <c r="L4" i="111"/>
  <c r="T4" i="111"/>
  <c r="AB4" i="111"/>
  <c r="AJ4" i="111"/>
  <c r="AR4" i="111"/>
  <c r="AZ4" i="111"/>
  <c r="BH4" i="111"/>
  <c r="BP4" i="111"/>
  <c r="BX4" i="111"/>
  <c r="E4" i="111"/>
  <c r="M4" i="111"/>
  <c r="U4" i="111"/>
  <c r="AC4" i="111"/>
  <c r="AK4" i="111"/>
  <c r="AS4" i="111"/>
  <c r="BA4" i="111"/>
  <c r="BI4" i="111"/>
  <c r="BQ4" i="111"/>
  <c r="U2" i="99" l="1"/>
  <c r="D53" i="102" l="1"/>
  <c r="D52" i="102"/>
  <c r="D51" i="102"/>
  <c r="D50" i="102"/>
  <c r="D49" i="102"/>
  <c r="D48" i="102"/>
  <c r="D47" i="102"/>
  <c r="D46" i="102"/>
  <c r="D45" i="102"/>
  <c r="D44" i="102"/>
  <c r="D43" i="102"/>
  <c r="D42" i="102"/>
  <c r="D41" i="102"/>
  <c r="D40" i="102"/>
  <c r="D39" i="102"/>
  <c r="D38" i="102"/>
  <c r="D37" i="102"/>
  <c r="D36" i="102"/>
  <c r="D35" i="102"/>
  <c r="D34" i="102"/>
  <c r="D33" i="102"/>
  <c r="D32" i="102"/>
  <c r="D31" i="102"/>
  <c r="D30" i="102"/>
  <c r="D29" i="102"/>
  <c r="D28" i="102"/>
  <c r="D27" i="102"/>
  <c r="D26" i="102"/>
  <c r="D25" i="102"/>
  <c r="D24" i="102"/>
  <c r="D23" i="102"/>
  <c r="D22" i="102"/>
  <c r="D21" i="102"/>
  <c r="D20" i="102"/>
  <c r="D19" i="102"/>
  <c r="D18" i="102"/>
  <c r="D17" i="102"/>
  <c r="D16" i="102"/>
  <c r="D15" i="102"/>
  <c r="D14" i="102"/>
  <c r="D13" i="102"/>
  <c r="D12" i="102"/>
  <c r="D11" i="102"/>
  <c r="D10" i="102"/>
  <c r="D9" i="102"/>
  <c r="D8" i="102"/>
  <c r="D7" i="102"/>
  <c r="D6" i="102"/>
  <c r="D4" i="102"/>
  <c r="BY4" i="102" s="1"/>
  <c r="D3" i="102"/>
  <c r="BS3" i="102" s="1"/>
  <c r="D2" i="102"/>
  <c r="BU2" i="102" s="1"/>
  <c r="D7" i="101"/>
  <c r="D8" i="101"/>
  <c r="D9" i="101"/>
  <c r="D10" i="101"/>
  <c r="D11" i="101"/>
  <c r="D12" i="101"/>
  <c r="D13" i="101"/>
  <c r="D14" i="101"/>
  <c r="D15" i="101"/>
  <c r="D16" i="101"/>
  <c r="D17" i="101"/>
  <c r="D18" i="101"/>
  <c r="D19" i="101"/>
  <c r="D20" i="101"/>
  <c r="D21" i="101"/>
  <c r="D22" i="101"/>
  <c r="D23" i="101"/>
  <c r="D24" i="101"/>
  <c r="D25" i="101"/>
  <c r="D26" i="101"/>
  <c r="D27" i="101"/>
  <c r="D28" i="101"/>
  <c r="D29" i="101"/>
  <c r="D30" i="101"/>
  <c r="D31" i="101"/>
  <c r="D32" i="101"/>
  <c r="D33" i="101"/>
  <c r="D34" i="101"/>
  <c r="D35" i="101"/>
  <c r="D36" i="101"/>
  <c r="D37" i="101"/>
  <c r="D38" i="101"/>
  <c r="D39" i="101"/>
  <c r="D40" i="101"/>
  <c r="D41" i="101"/>
  <c r="D42" i="101"/>
  <c r="D43" i="101"/>
  <c r="D44" i="101"/>
  <c r="D45" i="101"/>
  <c r="D46" i="101"/>
  <c r="D47" i="101"/>
  <c r="D48" i="101"/>
  <c r="D49" i="101"/>
  <c r="D50" i="101"/>
  <c r="D51" i="101"/>
  <c r="D52" i="101"/>
  <c r="D53" i="101"/>
  <c r="D6" i="101"/>
  <c r="D4" i="101"/>
  <c r="BS4" i="101" s="1"/>
  <c r="D3" i="101"/>
  <c r="BS3" i="101" s="1"/>
  <c r="D2" i="101"/>
  <c r="BS2" i="101" s="1"/>
  <c r="AF3" i="101" l="1"/>
  <c r="AN3" i="101"/>
  <c r="X3" i="101"/>
  <c r="BT3" i="101"/>
  <c r="X4" i="101"/>
  <c r="AN4" i="101"/>
  <c r="AV4" i="101"/>
  <c r="AV3" i="101"/>
  <c r="AO4" i="101"/>
  <c r="AW4" i="101"/>
  <c r="H4" i="101"/>
  <c r="H3" i="101"/>
  <c r="I4" i="101"/>
  <c r="BT4" i="101"/>
  <c r="P3" i="101"/>
  <c r="P4" i="101"/>
  <c r="Q4" i="101"/>
  <c r="BD3" i="101"/>
  <c r="Y4" i="101"/>
  <c r="BE4" i="101"/>
  <c r="J3" i="102"/>
  <c r="AY3" i="102"/>
  <c r="Q4" i="102"/>
  <c r="BL3" i="101"/>
  <c r="AF4" i="101"/>
  <c r="BL4" i="101"/>
  <c r="K3" i="102"/>
  <c r="BA3" i="102"/>
  <c r="S4" i="102"/>
  <c r="AG4" i="101"/>
  <c r="BM4" i="101"/>
  <c r="R3" i="102"/>
  <c r="BG3" i="102"/>
  <c r="AI4" i="102"/>
  <c r="AA3" i="102"/>
  <c r="BQ3" i="102"/>
  <c r="AN4" i="102"/>
  <c r="BU4" i="101"/>
  <c r="AC3" i="102"/>
  <c r="BV3" i="102"/>
  <c r="AO4" i="102"/>
  <c r="AH3" i="102"/>
  <c r="BW3" i="102"/>
  <c r="BE4" i="102"/>
  <c r="AK3" i="102"/>
  <c r="BG4" i="102"/>
  <c r="BD4" i="101"/>
  <c r="E3" i="102"/>
  <c r="AX3" i="102"/>
  <c r="P4" i="102"/>
  <c r="BL4" i="102"/>
  <c r="H2" i="101"/>
  <c r="AF2" i="101"/>
  <c r="AV2" i="101"/>
  <c r="BL2" i="101"/>
  <c r="Y2" i="101"/>
  <c r="AW2" i="101"/>
  <c r="I3" i="101"/>
  <c r="AH2" i="101"/>
  <c r="E2" i="101"/>
  <c r="K2" i="101"/>
  <c r="S2" i="101"/>
  <c r="AA2" i="101"/>
  <c r="AI2" i="101"/>
  <c r="AQ2" i="101"/>
  <c r="AY2" i="101"/>
  <c r="BG2" i="101"/>
  <c r="BO2" i="101"/>
  <c r="BW2" i="101"/>
  <c r="K3" i="101"/>
  <c r="S3" i="101"/>
  <c r="AA3" i="101"/>
  <c r="AI3" i="101"/>
  <c r="AQ3" i="101"/>
  <c r="AY3" i="101"/>
  <c r="BG3" i="101"/>
  <c r="BO3" i="101"/>
  <c r="BW3" i="101"/>
  <c r="K4" i="101"/>
  <c r="S4" i="101"/>
  <c r="AA4" i="101"/>
  <c r="AI4" i="101"/>
  <c r="AQ4" i="101"/>
  <c r="AY4" i="101"/>
  <c r="BG4" i="101"/>
  <c r="BO4" i="101"/>
  <c r="BW4" i="101"/>
  <c r="M3" i="102"/>
  <c r="AI3" i="102"/>
  <c r="BF3" i="102"/>
  <c r="BY3" i="102"/>
  <c r="X4" i="102"/>
  <c r="AQ4" i="102"/>
  <c r="BM4" i="102"/>
  <c r="P2" i="101"/>
  <c r="AN2" i="101"/>
  <c r="BD2" i="101"/>
  <c r="BT2" i="101"/>
  <c r="I2" i="101"/>
  <c r="AO2" i="101"/>
  <c r="BM2" i="101"/>
  <c r="Q3" i="101"/>
  <c r="AO3" i="101"/>
  <c r="BM3" i="101"/>
  <c r="Y4" i="102"/>
  <c r="AV4" i="102"/>
  <c r="BO4" i="102"/>
  <c r="E4" i="101"/>
  <c r="M2" i="101"/>
  <c r="U2" i="101"/>
  <c r="AC2" i="101"/>
  <c r="AK2" i="101"/>
  <c r="AS2" i="101"/>
  <c r="BA2" i="101"/>
  <c r="BI2" i="101"/>
  <c r="BQ2" i="101"/>
  <c r="BY2" i="101"/>
  <c r="M3" i="101"/>
  <c r="U3" i="101"/>
  <c r="AC3" i="101"/>
  <c r="AK3" i="101"/>
  <c r="AS3" i="101"/>
  <c r="BA3" i="101"/>
  <c r="BI3" i="101"/>
  <c r="BQ3" i="101"/>
  <c r="BY3" i="101"/>
  <c r="M4" i="101"/>
  <c r="U4" i="101"/>
  <c r="AC4" i="101"/>
  <c r="AK4" i="101"/>
  <c r="AS4" i="101"/>
  <c r="BA4" i="101"/>
  <c r="BI4" i="101"/>
  <c r="BQ4" i="101"/>
  <c r="BY4" i="101"/>
  <c r="S3" i="102"/>
  <c r="AP3" i="102"/>
  <c r="BI3" i="102"/>
  <c r="H4" i="102"/>
  <c r="AA4" i="102"/>
  <c r="AW4" i="102"/>
  <c r="BT4" i="102"/>
  <c r="X2" i="101"/>
  <c r="Q2" i="101"/>
  <c r="AG2" i="101"/>
  <c r="BE2" i="101"/>
  <c r="BU2" i="101"/>
  <c r="Y3" i="101"/>
  <c r="AG3" i="101"/>
  <c r="AW3" i="101"/>
  <c r="BE3" i="101"/>
  <c r="BU3" i="101"/>
  <c r="T2" i="101"/>
  <c r="AR2" i="101"/>
  <c r="BH2" i="101"/>
  <c r="L3" i="101"/>
  <c r="AB3" i="101"/>
  <c r="AZ3" i="101"/>
  <c r="BX3" i="101"/>
  <c r="T4" i="101"/>
  <c r="AJ4" i="101"/>
  <c r="AZ4" i="101"/>
  <c r="BP4" i="101"/>
  <c r="F2" i="101"/>
  <c r="N2" i="101"/>
  <c r="V2" i="101"/>
  <c r="AD2" i="101"/>
  <c r="AL2" i="101"/>
  <c r="AT2" i="101"/>
  <c r="BB2" i="101"/>
  <c r="BJ2" i="101"/>
  <c r="BR2" i="101"/>
  <c r="F3" i="101"/>
  <c r="N3" i="101"/>
  <c r="V3" i="101"/>
  <c r="AD3" i="101"/>
  <c r="AL3" i="101"/>
  <c r="AT3" i="101"/>
  <c r="BB3" i="101"/>
  <c r="BJ3" i="101"/>
  <c r="BR3" i="101"/>
  <c r="F4" i="101"/>
  <c r="N4" i="101"/>
  <c r="V4" i="101"/>
  <c r="AD4" i="101"/>
  <c r="AL4" i="101"/>
  <c r="AT4" i="101"/>
  <c r="BB4" i="101"/>
  <c r="BJ4" i="101"/>
  <c r="BR4" i="101"/>
  <c r="U3" i="102"/>
  <c r="AQ3" i="102"/>
  <c r="BN3" i="102"/>
  <c r="I4" i="102"/>
  <c r="AF4" i="102"/>
  <c r="AY4" i="102"/>
  <c r="BU4" i="102"/>
  <c r="J2" i="101"/>
  <c r="R2" i="101"/>
  <c r="Z2" i="101"/>
  <c r="AP2" i="101"/>
  <c r="AX2" i="101"/>
  <c r="BF2" i="101"/>
  <c r="BN2" i="101"/>
  <c r="BV2" i="101"/>
  <c r="J3" i="101"/>
  <c r="R3" i="101"/>
  <c r="Z3" i="101"/>
  <c r="AH3" i="101"/>
  <c r="AP3" i="101"/>
  <c r="AX3" i="101"/>
  <c r="BF3" i="101"/>
  <c r="BN3" i="101"/>
  <c r="BV3" i="101"/>
  <c r="J4" i="101"/>
  <c r="R4" i="101"/>
  <c r="Z4" i="101"/>
  <c r="AH4" i="101"/>
  <c r="AP4" i="101"/>
  <c r="AX4" i="101"/>
  <c r="BF4" i="101"/>
  <c r="BN4" i="101"/>
  <c r="BV4" i="101"/>
  <c r="E3" i="101"/>
  <c r="L2" i="101"/>
  <c r="AB2" i="101"/>
  <c r="AJ2" i="101"/>
  <c r="AZ2" i="101"/>
  <c r="BP2" i="101"/>
  <c r="BX2" i="101"/>
  <c r="T3" i="101"/>
  <c r="AJ3" i="101"/>
  <c r="AR3" i="101"/>
  <c r="BH3" i="101"/>
  <c r="BP3" i="101"/>
  <c r="L4" i="101"/>
  <c r="AB4" i="101"/>
  <c r="AR4" i="101"/>
  <c r="BH4" i="101"/>
  <c r="BX4" i="101"/>
  <c r="G2" i="101"/>
  <c r="O2" i="101"/>
  <c r="W2" i="101"/>
  <c r="AE2" i="101"/>
  <c r="AM2" i="101"/>
  <c r="AU2" i="101"/>
  <c r="BC2" i="101"/>
  <c r="BK2" i="101"/>
  <c r="G3" i="101"/>
  <c r="O3" i="101"/>
  <c r="W3" i="101"/>
  <c r="AE3" i="101"/>
  <c r="AM3" i="101"/>
  <c r="AU3" i="101"/>
  <c r="BC3" i="101"/>
  <c r="BK3" i="101"/>
  <c r="G4" i="101"/>
  <c r="O4" i="101"/>
  <c r="W4" i="101"/>
  <c r="AE4" i="101"/>
  <c r="AM4" i="101"/>
  <c r="AU4" i="101"/>
  <c r="BC4" i="101"/>
  <c r="BK4" i="101"/>
  <c r="Z3" i="102"/>
  <c r="AS3" i="102"/>
  <c r="BO3" i="102"/>
  <c r="K4" i="102"/>
  <c r="AG4" i="102"/>
  <c r="BD4" i="102"/>
  <c r="BW4" i="102"/>
  <c r="H2" i="102"/>
  <c r="P2" i="102"/>
  <c r="X2" i="102"/>
  <c r="AF2" i="102"/>
  <c r="AN2" i="102"/>
  <c r="AV2" i="102"/>
  <c r="BD2" i="102"/>
  <c r="BL2" i="102"/>
  <c r="BT2" i="102"/>
  <c r="F3" i="102"/>
  <c r="N3" i="102"/>
  <c r="V3" i="102"/>
  <c r="AD3" i="102"/>
  <c r="AL3" i="102"/>
  <c r="AT3" i="102"/>
  <c r="BB3" i="102"/>
  <c r="BJ3" i="102"/>
  <c r="BR3" i="102"/>
  <c r="J2" i="102"/>
  <c r="R2" i="102"/>
  <c r="Z2" i="102"/>
  <c r="AH2" i="102"/>
  <c r="AP2" i="102"/>
  <c r="AX2" i="102"/>
  <c r="BF2" i="102"/>
  <c r="BN2" i="102"/>
  <c r="BV2" i="102"/>
  <c r="H3" i="102"/>
  <c r="P3" i="102"/>
  <c r="X3" i="102"/>
  <c r="AF3" i="102"/>
  <c r="AN3" i="102"/>
  <c r="AV3" i="102"/>
  <c r="BD3" i="102"/>
  <c r="BL3" i="102"/>
  <c r="BT3" i="102"/>
  <c r="F4" i="102"/>
  <c r="N4" i="102"/>
  <c r="V4" i="102"/>
  <c r="AD4" i="102"/>
  <c r="AL4" i="102"/>
  <c r="AT4" i="102"/>
  <c r="BB4" i="102"/>
  <c r="BJ4" i="102"/>
  <c r="BR4" i="102"/>
  <c r="K2" i="102"/>
  <c r="S2" i="102"/>
  <c r="AA2" i="102"/>
  <c r="AI2" i="102"/>
  <c r="AQ2" i="102"/>
  <c r="AY2" i="102"/>
  <c r="BG2" i="102"/>
  <c r="BO2" i="102"/>
  <c r="BW2" i="102"/>
  <c r="I3" i="102"/>
  <c r="Q3" i="102"/>
  <c r="Y3" i="102"/>
  <c r="AG3" i="102"/>
  <c r="AO3" i="102"/>
  <c r="AW3" i="102"/>
  <c r="BE3" i="102"/>
  <c r="BM3" i="102"/>
  <c r="BU3" i="102"/>
  <c r="G4" i="102"/>
  <c r="O4" i="102"/>
  <c r="W4" i="102"/>
  <c r="AE4" i="102"/>
  <c r="AM4" i="102"/>
  <c r="AU4" i="102"/>
  <c r="BC4" i="102"/>
  <c r="BK4" i="102"/>
  <c r="BS4" i="102"/>
  <c r="T2" i="102"/>
  <c r="AJ2" i="102"/>
  <c r="BH2" i="102"/>
  <c r="BX2" i="102"/>
  <c r="F2" i="102"/>
  <c r="N2" i="102"/>
  <c r="V2" i="102"/>
  <c r="AD2" i="102"/>
  <c r="AL2" i="102"/>
  <c r="AT2" i="102"/>
  <c r="BB2" i="102"/>
  <c r="BJ2" i="102"/>
  <c r="BR2" i="102"/>
  <c r="L3" i="102"/>
  <c r="T3" i="102"/>
  <c r="AB3" i="102"/>
  <c r="AJ3" i="102"/>
  <c r="AR3" i="102"/>
  <c r="AZ3" i="102"/>
  <c r="BH3" i="102"/>
  <c r="BP3" i="102"/>
  <c r="BX3" i="102"/>
  <c r="J4" i="102"/>
  <c r="R4" i="102"/>
  <c r="Z4" i="102"/>
  <c r="AH4" i="102"/>
  <c r="AP4" i="102"/>
  <c r="AX4" i="102"/>
  <c r="BF4" i="102"/>
  <c r="BN4" i="102"/>
  <c r="BV4" i="102"/>
  <c r="AR2" i="102"/>
  <c r="E2" i="102"/>
  <c r="U2" i="102"/>
  <c r="AK2" i="102"/>
  <c r="AS2" i="102"/>
  <c r="BA2" i="102"/>
  <c r="BI2" i="102"/>
  <c r="BQ2" i="102"/>
  <c r="BY2" i="102"/>
  <c r="G2" i="102"/>
  <c r="W2" i="102"/>
  <c r="AM2" i="102"/>
  <c r="AU2" i="102"/>
  <c r="BC2" i="102"/>
  <c r="BK2" i="102"/>
  <c r="BS2" i="102"/>
  <c r="M2" i="102"/>
  <c r="AC2" i="102"/>
  <c r="AE2" i="102"/>
  <c r="L2" i="102"/>
  <c r="AB2" i="102"/>
  <c r="AZ2" i="102"/>
  <c r="BP2" i="102"/>
  <c r="O2" i="102"/>
  <c r="L4" i="102"/>
  <c r="T4" i="102"/>
  <c r="AB4" i="102"/>
  <c r="AJ4" i="102"/>
  <c r="AR4" i="102"/>
  <c r="AZ4" i="102"/>
  <c r="BH4" i="102"/>
  <c r="BP4" i="102"/>
  <c r="BX4" i="102"/>
  <c r="I2" i="102"/>
  <c r="Q2" i="102"/>
  <c r="Y2" i="102"/>
  <c r="AG2" i="102"/>
  <c r="AO2" i="102"/>
  <c r="AW2" i="102"/>
  <c r="BE2" i="102"/>
  <c r="BM2" i="102"/>
  <c r="G3" i="102"/>
  <c r="O3" i="102"/>
  <c r="W3" i="102"/>
  <c r="AE3" i="102"/>
  <c r="AM3" i="102"/>
  <c r="AU3" i="102"/>
  <c r="BC3" i="102"/>
  <c r="BK3" i="102"/>
  <c r="E4" i="102"/>
  <c r="M4" i="102"/>
  <c r="U4" i="102"/>
  <c r="AC4" i="102"/>
  <c r="AK4" i="102"/>
  <c r="AS4" i="102"/>
  <c r="BA4" i="102"/>
  <c r="BI4" i="102"/>
  <c r="BQ4" i="102"/>
  <c r="M1" i="105"/>
  <c r="N1" i="105" l="1"/>
  <c r="U1" i="105"/>
  <c r="V1" i="105"/>
  <c r="W1" i="105"/>
  <c r="X1" i="105" s="1"/>
  <c r="Y1" i="105"/>
  <c r="B3" i="102"/>
  <c r="B3" i="101"/>
  <c r="L1" i="105" l="1"/>
  <c r="Z1" i="105"/>
  <c r="T1" i="105" l="1"/>
  <c r="O1" i="105"/>
  <c r="P1" i="105"/>
  <c r="Q1" i="105"/>
  <c r="R1" i="105"/>
  <c r="S1" i="105"/>
  <c r="D3" i="93"/>
  <c r="CP15" i="98" l="1"/>
  <c r="CA15" i="98"/>
  <c r="BL15" i="98"/>
  <c r="AW15" i="98"/>
  <c r="AH15" i="98"/>
  <c r="S15" i="98"/>
  <c r="D15" i="98"/>
  <c r="C16" i="98"/>
  <c r="D2" i="98"/>
  <c r="S2" i="98"/>
  <c r="CP2" i="98"/>
  <c r="CA2" i="98"/>
  <c r="BL2" i="98"/>
  <c r="AW2" i="98"/>
  <c r="AH2" i="98"/>
  <c r="C3" i="98"/>
  <c r="C6" i="98" s="1"/>
  <c r="C18" i="98" l="1"/>
  <c r="C17" i="98"/>
  <c r="C11" i="98"/>
  <c r="C24" i="98"/>
  <c r="C4" i="98"/>
  <c r="C10" i="98"/>
  <c r="C23" i="98"/>
  <c r="C9" i="98"/>
  <c r="C22" i="98"/>
  <c r="C8" i="98"/>
  <c r="C21" i="98"/>
  <c r="C7" i="98"/>
  <c r="C20" i="98"/>
  <c r="C5" i="98"/>
  <c r="C19" i="98"/>
  <c r="H16" i="97"/>
  <c r="H15" i="97"/>
  <c r="H14" i="97"/>
  <c r="H13" i="97"/>
  <c r="G16" i="97"/>
  <c r="G15" i="97"/>
  <c r="G14" i="97"/>
  <c r="G13" i="97"/>
  <c r="F3" i="97"/>
  <c r="F16" i="97" s="1"/>
  <c r="D27" i="93"/>
  <c r="C4" i="99"/>
  <c r="W4" i="99"/>
  <c r="S4" i="99"/>
  <c r="O4" i="99"/>
  <c r="K4" i="99"/>
  <c r="G4" i="99"/>
  <c r="D3" i="91"/>
  <c r="D3" i="90"/>
  <c r="D32" i="90" s="1"/>
  <c r="D3" i="44"/>
  <c r="D6" i="44" s="1"/>
  <c r="D3" i="33"/>
  <c r="D5" i="33" s="1"/>
  <c r="D4" i="4"/>
  <c r="D46" i="91" l="1"/>
  <c r="D5" i="91"/>
  <c r="D6" i="91"/>
  <c r="D12" i="91"/>
  <c r="D22" i="91"/>
  <c r="D21" i="91"/>
  <c r="D16" i="91"/>
  <c r="D7" i="91"/>
  <c r="D15" i="91"/>
  <c r="D25" i="91"/>
  <c r="D8" i="91"/>
  <c r="D9" i="91"/>
  <c r="D11" i="91"/>
  <c r="D13" i="91"/>
  <c r="D14" i="91"/>
  <c r="D18" i="91"/>
  <c r="D10" i="91"/>
  <c r="D24" i="91"/>
  <c r="D4" i="91"/>
  <c r="D17" i="91"/>
  <c r="D20" i="91"/>
  <c r="F4" i="97"/>
  <c r="F9" i="97"/>
  <c r="F10" i="97"/>
  <c r="D4" i="93"/>
  <c r="F11" i="97"/>
  <c r="F12" i="97"/>
  <c r="F5" i="97"/>
  <c r="F13" i="97"/>
  <c r="F6" i="97"/>
  <c r="F14" i="97"/>
  <c r="F7" i="97"/>
  <c r="F15" i="97"/>
  <c r="F8" i="97"/>
  <c r="D47" i="44"/>
  <c r="D45" i="44"/>
  <c r="D44" i="44"/>
  <c r="D11" i="44"/>
  <c r="D30" i="44"/>
  <c r="D23" i="44"/>
  <c r="D31" i="44"/>
  <c r="D15" i="44"/>
  <c r="D40" i="44"/>
  <c r="D4" i="44"/>
  <c r="D28" i="44"/>
  <c r="D5" i="44"/>
  <c r="D29" i="44"/>
  <c r="D17" i="44"/>
  <c r="D4" i="33"/>
  <c r="D21" i="44"/>
  <c r="D48" i="44"/>
  <c r="D32" i="44"/>
  <c r="D41" i="91"/>
  <c r="D30" i="90"/>
  <c r="D18" i="90"/>
  <c r="D24" i="90"/>
  <c r="D42" i="44"/>
  <c r="D27" i="44"/>
  <c r="D12" i="44"/>
  <c r="D10" i="90"/>
  <c r="D41" i="90"/>
  <c r="D4" i="90"/>
  <c r="D31" i="90"/>
  <c r="D38" i="90"/>
  <c r="D26" i="91"/>
  <c r="D45" i="90"/>
  <c r="D33" i="90"/>
  <c r="D33" i="44"/>
  <c r="D16" i="44"/>
  <c r="D8" i="44"/>
  <c r="D16" i="90"/>
  <c r="D35" i="90"/>
  <c r="D37" i="91"/>
  <c r="D12" i="93"/>
  <c r="D41" i="93"/>
  <c r="D42" i="93"/>
  <c r="D9" i="93"/>
  <c r="D16" i="93"/>
  <c r="D23" i="93"/>
  <c r="D51" i="93"/>
  <c r="D43" i="93"/>
  <c r="D26" i="93"/>
  <c r="D24" i="93"/>
  <c r="D46" i="90"/>
  <c r="D11" i="90"/>
  <c r="D51" i="44"/>
  <c r="D41" i="44"/>
  <c r="D37" i="44"/>
  <c r="D20" i="44"/>
  <c r="D26" i="44"/>
  <c r="D13" i="44"/>
  <c r="D21" i="90"/>
  <c r="D22" i="90"/>
  <c r="D20" i="90"/>
  <c r="D26" i="90"/>
  <c r="D39" i="90"/>
  <c r="D12" i="90"/>
  <c r="D30" i="91"/>
  <c r="D28" i="91"/>
  <c r="D29" i="91"/>
  <c r="D45" i="91"/>
  <c r="D44" i="93"/>
  <c r="D50" i="93"/>
  <c r="D33" i="93"/>
  <c r="D47" i="93"/>
  <c r="D14" i="93"/>
  <c r="D6" i="90"/>
  <c r="D48" i="90"/>
  <c r="D25" i="90"/>
  <c r="D23" i="91"/>
  <c r="D32" i="91"/>
  <c r="D31" i="91"/>
  <c r="D47" i="91"/>
  <c r="D49" i="44"/>
  <c r="D38" i="44"/>
  <c r="D39" i="44"/>
  <c r="D35" i="44"/>
  <c r="D22" i="44"/>
  <c r="D10" i="44"/>
  <c r="D44" i="90"/>
  <c r="D28" i="90"/>
  <c r="D40" i="90"/>
  <c r="D34" i="90"/>
  <c r="D14" i="90"/>
  <c r="D29" i="90"/>
  <c r="D27" i="91"/>
  <c r="D44" i="91"/>
  <c r="D42" i="91"/>
  <c r="D21" i="93"/>
  <c r="D20" i="93"/>
  <c r="D10" i="93"/>
  <c r="D36" i="93"/>
  <c r="D31" i="93"/>
  <c r="D42" i="90"/>
  <c r="D30" i="93"/>
  <c r="D29" i="93"/>
  <c r="D18" i="93"/>
  <c r="D34" i="93"/>
  <c r="D50" i="44"/>
  <c r="D43" i="44"/>
  <c r="D18" i="44"/>
  <c r="D25" i="44"/>
  <c r="D19" i="44"/>
  <c r="D9" i="44"/>
  <c r="D19" i="90"/>
  <c r="D50" i="90"/>
  <c r="D27" i="90"/>
  <c r="D5" i="90"/>
  <c r="D17" i="90"/>
  <c r="D9" i="90"/>
  <c r="D34" i="91"/>
  <c r="D36" i="91"/>
  <c r="D48" i="91"/>
  <c r="D45" i="93"/>
  <c r="D25" i="93"/>
  <c r="D39" i="93"/>
  <c r="D40" i="93"/>
  <c r="D11" i="93"/>
  <c r="D40" i="91"/>
  <c r="D33" i="91"/>
  <c r="D50" i="91"/>
  <c r="D46" i="44"/>
  <c r="D36" i="44"/>
  <c r="D34" i="44"/>
  <c r="D14" i="44"/>
  <c r="D24" i="44"/>
  <c r="D7" i="44"/>
  <c r="D37" i="90"/>
  <c r="D13" i="90"/>
  <c r="D49" i="90"/>
  <c r="D15" i="90"/>
  <c r="D36" i="90"/>
  <c r="D7" i="90"/>
  <c r="D19" i="91"/>
  <c r="D43" i="91"/>
  <c r="D49" i="91"/>
  <c r="D32" i="93"/>
  <c r="D48" i="93"/>
  <c r="D28" i="93"/>
  <c r="D19" i="93"/>
  <c r="D6" i="93"/>
  <c r="D43" i="90"/>
  <c r="D23" i="90"/>
  <c r="D8" i="90"/>
  <c r="D47" i="90"/>
  <c r="D51" i="90"/>
  <c r="D35" i="91"/>
  <c r="D39" i="91"/>
  <c r="D38" i="91"/>
  <c r="D51" i="91"/>
  <c r="D46" i="93"/>
  <c r="D22" i="93"/>
  <c r="D35" i="93"/>
  <c r="D8" i="93"/>
  <c r="D7" i="93"/>
  <c r="D38" i="93"/>
  <c r="D15" i="93"/>
  <c r="D49" i="93"/>
  <c r="D17" i="93"/>
  <c r="D37" i="93"/>
  <c r="D5" i="93"/>
  <c r="D13" i="93"/>
  <c r="D51" i="33"/>
  <c r="D41" i="33"/>
  <c r="D37" i="33"/>
  <c r="D20" i="33"/>
  <c r="D26" i="33"/>
  <c r="D13" i="33"/>
  <c r="D44" i="33"/>
  <c r="D47" i="33"/>
  <c r="D21" i="33"/>
  <c r="D49" i="33"/>
  <c r="D38" i="33"/>
  <c r="D39" i="33"/>
  <c r="D35" i="33"/>
  <c r="D22" i="33"/>
  <c r="D10" i="33"/>
  <c r="D11" i="33"/>
  <c r="D32" i="33"/>
  <c r="D50" i="33"/>
  <c r="D43" i="33"/>
  <c r="D18" i="33"/>
  <c r="D25" i="33"/>
  <c r="D19" i="33"/>
  <c r="D9" i="33"/>
  <c r="D42" i="33"/>
  <c r="D23" i="33"/>
  <c r="D48" i="33"/>
  <c r="D33" i="33"/>
  <c r="D40" i="33"/>
  <c r="D16" i="33"/>
  <c r="D17" i="33"/>
  <c r="D8" i="33"/>
  <c r="D12" i="33"/>
  <c r="D31" i="33"/>
  <c r="D46" i="33"/>
  <c r="D36" i="33"/>
  <c r="D34" i="33"/>
  <c r="D14" i="33"/>
  <c r="D24" i="33"/>
  <c r="D7" i="33"/>
  <c r="D27" i="33"/>
  <c r="D6" i="33"/>
  <c r="D45" i="33"/>
  <c r="D29" i="33"/>
  <c r="D28" i="33"/>
  <c r="D30" i="33"/>
  <c r="D15" i="33"/>
  <c r="C6" i="97"/>
  <c r="B5" i="97"/>
  <c r="C5" i="97" s="1"/>
  <c r="B4" i="97"/>
  <c r="C4" i="97"/>
  <c r="AB8" i="18" l="1"/>
  <c r="AA8" i="18"/>
  <c r="Z8" i="18"/>
  <c r="Y8" i="18"/>
  <c r="AF8" i="18"/>
  <c r="AE8" i="18"/>
  <c r="AD8" i="18"/>
  <c r="AC8" i="18"/>
  <c r="AJ8" i="18"/>
  <c r="AI8" i="18"/>
  <c r="AH8" i="18"/>
  <c r="AG8" i="18"/>
  <c r="S8" i="18"/>
  <c r="R8" i="18"/>
  <c r="Q8" i="18"/>
  <c r="P8" i="18"/>
  <c r="O8" i="18"/>
  <c r="N8" i="18"/>
  <c r="M8" i="18"/>
  <c r="L8" i="18"/>
  <c r="F8" i="18"/>
  <c r="E8" i="18"/>
  <c r="C8" i="18"/>
  <c r="J8" i="18" l="1"/>
  <c r="D3" i="82"/>
  <c r="D3" i="4"/>
  <c r="D3" i="3"/>
  <c r="D2" i="80"/>
  <c r="D3" i="83"/>
  <c r="D2" i="83"/>
  <c r="I8" i="18"/>
  <c r="I9" i="18" s="1"/>
  <c r="D2" i="82"/>
  <c r="D2" i="4"/>
  <c r="D2" i="3"/>
  <c r="C2" i="80"/>
  <c r="C3" i="80" s="1"/>
  <c r="K8" i="18"/>
  <c r="D4" i="83"/>
  <c r="D4" i="82"/>
  <c r="D4" i="3"/>
  <c r="H4" i="3" s="1"/>
  <c r="E2" i="80"/>
  <c r="E71" i="80" l="1"/>
  <c r="E44" i="80"/>
  <c r="E68" i="80"/>
  <c r="E69" i="80"/>
  <c r="E26" i="80"/>
  <c r="V2" i="33" l="1"/>
  <c r="AG2" i="91"/>
  <c r="AG2" i="90"/>
  <c r="AG2" i="44"/>
  <c r="U2" i="93"/>
  <c r="J3" i="93"/>
  <c r="I3" i="93"/>
  <c r="H3" i="93"/>
  <c r="G3" i="93"/>
  <c r="F3" i="93"/>
  <c r="E3" i="93"/>
  <c r="BJ4" i="59" l="1"/>
  <c r="BA4" i="59"/>
  <c r="AR4" i="59"/>
  <c r="AI4" i="59"/>
  <c r="Z4" i="59"/>
  <c r="Q4" i="59"/>
  <c r="H4" i="59"/>
  <c r="H5" i="59"/>
  <c r="AS5" i="59"/>
  <c r="AR5" i="59"/>
  <c r="AQ5" i="59"/>
  <c r="AP5" i="59"/>
  <c r="AO5" i="59"/>
  <c r="AN5" i="59"/>
  <c r="BB5" i="59"/>
  <c r="BA5" i="59"/>
  <c r="AZ5" i="59"/>
  <c r="AY5" i="59"/>
  <c r="AX5" i="59"/>
  <c r="AW5" i="59"/>
  <c r="BK5" i="59"/>
  <c r="BJ5" i="59"/>
  <c r="BI5" i="59"/>
  <c r="BH5" i="59"/>
  <c r="BG5" i="59"/>
  <c r="BF5" i="59"/>
  <c r="AJ5" i="59"/>
  <c r="AI5" i="59"/>
  <c r="AH5" i="59"/>
  <c r="AG5" i="59"/>
  <c r="AF5" i="59"/>
  <c r="AE5" i="59"/>
  <c r="AA5" i="59"/>
  <c r="Z5" i="59"/>
  <c r="Y5" i="59"/>
  <c r="X5" i="59"/>
  <c r="W5" i="59"/>
  <c r="V5" i="59"/>
  <c r="R5" i="59"/>
  <c r="Q5" i="59"/>
  <c r="P5" i="59"/>
  <c r="O5" i="59"/>
  <c r="N5" i="59"/>
  <c r="M5" i="59"/>
  <c r="G5" i="59"/>
  <c r="F5" i="59"/>
  <c r="I5" i="59"/>
  <c r="E5" i="59"/>
  <c r="D5" i="59"/>
  <c r="C5" i="59"/>
  <c r="L3" i="33"/>
  <c r="K3" i="33"/>
  <c r="J3" i="33"/>
  <c r="I3" i="33"/>
  <c r="H3" i="33"/>
  <c r="G3" i="33"/>
  <c r="F3" i="33"/>
  <c r="BE5" i="59"/>
  <c r="AV5" i="59"/>
  <c r="AM5" i="59"/>
  <c r="AD5" i="59"/>
  <c r="U5" i="59"/>
  <c r="L5" i="59"/>
  <c r="DF2" i="83"/>
  <c r="DE2" i="83"/>
  <c r="DD2" i="83"/>
  <c r="DC2" i="83"/>
  <c r="DB2" i="83"/>
  <c r="DA2" i="83"/>
  <c r="CZ2" i="83"/>
  <c r="DF2" i="82"/>
  <c r="DE2" i="82"/>
  <c r="DD2" i="82"/>
  <c r="DC2" i="82"/>
  <c r="DB2" i="82"/>
  <c r="DA2" i="82"/>
  <c r="CZ2" i="82"/>
  <c r="DF2" i="4"/>
  <c r="DE2" i="4"/>
  <c r="DD2" i="4"/>
  <c r="DC2" i="4"/>
  <c r="DB2" i="4"/>
  <c r="DA2" i="4"/>
  <c r="CZ2" i="4"/>
  <c r="Q9" i="18" l="1"/>
  <c r="P3" i="18"/>
  <c r="D43" i="3"/>
  <c r="BG43" i="3" s="1"/>
  <c r="D34" i="3"/>
  <c r="D9" i="3"/>
  <c r="BG9" i="3" s="1"/>
  <c r="D26" i="3"/>
  <c r="BG26" i="3" s="1"/>
  <c r="D11" i="3"/>
  <c r="BG11" i="3" s="1"/>
  <c r="D31" i="3"/>
  <c r="BG31" i="3" s="1"/>
  <c r="D14" i="3"/>
  <c r="BG14" i="3" s="1"/>
  <c r="D27" i="3"/>
  <c r="D35" i="3"/>
  <c r="D38" i="3"/>
  <c r="BG38" i="3" s="1"/>
  <c r="D6" i="3"/>
  <c r="BG6" i="3" s="1"/>
  <c r="D19" i="3"/>
  <c r="BG19" i="3" s="1"/>
  <c r="D16" i="3"/>
  <c r="BG16" i="3" s="1"/>
  <c r="D41" i="3"/>
  <c r="BG41" i="3" s="1"/>
  <c r="D13" i="3"/>
  <c r="BG13" i="3" s="1"/>
  <c r="D37" i="3"/>
  <c r="BG37" i="3" s="1"/>
  <c r="D49" i="3"/>
  <c r="BG49" i="3" s="1"/>
  <c r="D17" i="3"/>
  <c r="BG17" i="3" s="1"/>
  <c r="D18" i="3"/>
  <c r="BG18" i="3" s="1"/>
  <c r="D7" i="3"/>
  <c r="BG7" i="3" s="1"/>
  <c r="D36" i="3"/>
  <c r="BG36" i="3" s="1"/>
  <c r="D28" i="3"/>
  <c r="BG28" i="3" s="1"/>
  <c r="D44" i="3"/>
  <c r="BG44" i="3" s="1"/>
  <c r="D40" i="3"/>
  <c r="BG40" i="3" s="1"/>
  <c r="D10" i="3"/>
  <c r="BG10" i="3" s="1"/>
  <c r="D51" i="3"/>
  <c r="BG51" i="3" s="1"/>
  <c r="D33" i="3"/>
  <c r="BG33" i="3" s="1"/>
  <c r="D29" i="3"/>
  <c r="BG29" i="3" s="1"/>
  <c r="D42" i="3"/>
  <c r="BG42" i="3" s="1"/>
  <c r="D22" i="3"/>
  <c r="BG22" i="3" s="1"/>
  <c r="D50" i="3"/>
  <c r="BG50" i="3" s="1"/>
  <c r="D12" i="3"/>
  <c r="BG12" i="3" s="1"/>
  <c r="D25" i="3"/>
  <c r="BG25" i="3" s="1"/>
  <c r="D15" i="3"/>
  <c r="BG15" i="3" s="1"/>
  <c r="D20" i="3"/>
  <c r="BG20" i="3" s="1"/>
  <c r="D52" i="3"/>
  <c r="BG52" i="3" s="1"/>
  <c r="D30" i="3"/>
  <c r="BG30" i="3" s="1"/>
  <c r="D24" i="3"/>
  <c r="BG24" i="3" s="1"/>
  <c r="D48" i="3"/>
  <c r="BG48" i="3" s="1"/>
  <c r="D32" i="3"/>
  <c r="BG32" i="3" s="1"/>
  <c r="D45" i="3"/>
  <c r="BG45" i="3" s="1"/>
  <c r="D39" i="3"/>
  <c r="BG39" i="3" s="1"/>
  <c r="D47" i="3"/>
  <c r="BG47" i="3" s="1"/>
  <c r="D21" i="3"/>
  <c r="BG21" i="3" s="1"/>
  <c r="D46" i="3"/>
  <c r="BG46" i="3" s="1"/>
  <c r="D23" i="3"/>
  <c r="BG23" i="3" s="1"/>
  <c r="D8" i="4"/>
  <c r="D43" i="4"/>
  <c r="D34" i="4"/>
  <c r="D9" i="4"/>
  <c r="D26" i="4"/>
  <c r="D11" i="4"/>
  <c r="D31" i="4"/>
  <c r="D14" i="4"/>
  <c r="D27" i="4"/>
  <c r="D35" i="4"/>
  <c r="D53" i="4"/>
  <c r="D38" i="4"/>
  <c r="D6" i="4"/>
  <c r="D19" i="4"/>
  <c r="D16" i="4"/>
  <c r="D41" i="4"/>
  <c r="D13" i="4"/>
  <c r="D37" i="4"/>
  <c r="D49" i="4"/>
  <c r="D17" i="4"/>
  <c r="D18" i="4"/>
  <c r="D7" i="4"/>
  <c r="D36" i="4"/>
  <c r="D28" i="4"/>
  <c r="D44" i="4"/>
  <c r="D40" i="4"/>
  <c r="D10" i="4"/>
  <c r="D51" i="4"/>
  <c r="D33" i="4"/>
  <c r="D29" i="4"/>
  <c r="D42" i="4"/>
  <c r="D22" i="4"/>
  <c r="D50" i="4"/>
  <c r="D12" i="4"/>
  <c r="D25" i="4"/>
  <c r="D15" i="4"/>
  <c r="D20" i="4"/>
  <c r="D52" i="4"/>
  <c r="D30" i="4"/>
  <c r="D24" i="4"/>
  <c r="D48" i="4"/>
  <c r="D32" i="4"/>
  <c r="D45" i="4"/>
  <c r="D39" i="4"/>
  <c r="D47" i="4"/>
  <c r="D21" i="4"/>
  <c r="D46" i="4"/>
  <c r="D23" i="4"/>
  <c r="D8" i="82"/>
  <c r="D43" i="82"/>
  <c r="D34" i="82"/>
  <c r="D9" i="82"/>
  <c r="D26" i="82"/>
  <c r="D11" i="82"/>
  <c r="D31" i="82"/>
  <c r="D14" i="82"/>
  <c r="D27" i="82"/>
  <c r="D35" i="82"/>
  <c r="D53" i="82"/>
  <c r="D38" i="82"/>
  <c r="D6" i="82"/>
  <c r="D19" i="82"/>
  <c r="D16" i="82"/>
  <c r="D41" i="82"/>
  <c r="D13" i="82"/>
  <c r="D37" i="82"/>
  <c r="D49" i="82"/>
  <c r="D17" i="82"/>
  <c r="D18" i="82"/>
  <c r="D7" i="82"/>
  <c r="D36" i="82"/>
  <c r="D28" i="82"/>
  <c r="D44" i="82"/>
  <c r="D40" i="82"/>
  <c r="D10" i="82"/>
  <c r="D51" i="82"/>
  <c r="D33" i="82"/>
  <c r="D29" i="82"/>
  <c r="D42" i="82"/>
  <c r="D22" i="82"/>
  <c r="D50" i="82"/>
  <c r="D12" i="82"/>
  <c r="D25" i="82"/>
  <c r="D15" i="82"/>
  <c r="D20" i="82"/>
  <c r="D52" i="82"/>
  <c r="D30" i="82"/>
  <c r="D24" i="82"/>
  <c r="D48" i="82"/>
  <c r="D32" i="82"/>
  <c r="D45" i="82"/>
  <c r="D39" i="82"/>
  <c r="D47" i="82"/>
  <c r="D21" i="82"/>
  <c r="D46" i="82"/>
  <c r="D23" i="82"/>
  <c r="D19" i="83"/>
  <c r="D27" i="83"/>
  <c r="D6" i="83"/>
  <c r="D9" i="83"/>
  <c r="D29" i="83"/>
  <c r="D11" i="83"/>
  <c r="D31" i="83"/>
  <c r="D25" i="83"/>
  <c r="D15" i="83"/>
  <c r="D38" i="83"/>
  <c r="D24" i="83"/>
  <c r="D16" i="83"/>
  <c r="D18" i="83"/>
  <c r="D21" i="83"/>
  <c r="D35" i="83"/>
  <c r="D52" i="83"/>
  <c r="D39" i="83"/>
  <c r="D53" i="83"/>
  <c r="D43" i="83"/>
  <c r="D46" i="83"/>
  <c r="D10" i="83"/>
  <c r="D23" i="83"/>
  <c r="D22" i="83"/>
  <c r="D20" i="83"/>
  <c r="D40" i="83"/>
  <c r="D12" i="83"/>
  <c r="D47" i="83"/>
  <c r="D42" i="83"/>
  <c r="D8" i="83"/>
  <c r="D17" i="83"/>
  <c r="D37" i="83"/>
  <c r="D32" i="83"/>
  <c r="D26" i="83"/>
  <c r="D48" i="83"/>
  <c r="D30" i="83"/>
  <c r="D28" i="83"/>
  <c r="D41" i="83"/>
  <c r="D7" i="83"/>
  <c r="D34" i="83"/>
  <c r="D44" i="83"/>
  <c r="D51" i="83"/>
  <c r="D50" i="83"/>
  <c r="D49" i="83"/>
  <c r="D13" i="83"/>
  <c r="D33" i="83"/>
  <c r="D36" i="83"/>
  <c r="D45" i="83"/>
  <c r="D14" i="83"/>
  <c r="X9" i="18"/>
  <c r="X10" i="18"/>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X42" i="18"/>
  <c r="X43" i="18"/>
  <c r="X44" i="18"/>
  <c r="X45" i="18"/>
  <c r="X46" i="18"/>
  <c r="X47" i="18"/>
  <c r="X48" i="18"/>
  <c r="X49" i="18"/>
  <c r="X50" i="18"/>
  <c r="X51" i="18"/>
  <c r="X52" i="18"/>
  <c r="X53" i="18"/>
  <c r="X54" i="18"/>
  <c r="X55" i="18"/>
  <c r="X56" i="18"/>
  <c r="K78" i="18"/>
  <c r="BI4" i="82"/>
  <c r="J73" i="18"/>
  <c r="I76" i="18"/>
  <c r="H2" i="3"/>
  <c r="T4" i="83"/>
  <c r="L4" i="83"/>
  <c r="BW4" i="83"/>
  <c r="CV3" i="83"/>
  <c r="CT2" i="83"/>
  <c r="CL3" i="82"/>
  <c r="CV2" i="82"/>
  <c r="BY63" i="4"/>
  <c r="E63" i="4"/>
  <c r="J12" i="73"/>
  <c r="J13" i="73"/>
  <c r="J14" i="73"/>
  <c r="BG34" i="3" l="1"/>
  <c r="P34" i="3"/>
  <c r="K35" i="3"/>
  <c r="BG35" i="3"/>
  <c r="K27" i="3"/>
  <c r="G117" i="97" s="1"/>
  <c r="BG27" i="3"/>
  <c r="J12" i="3"/>
  <c r="R12" i="3"/>
  <c r="Z12" i="3"/>
  <c r="AH12" i="3"/>
  <c r="AP12" i="3"/>
  <c r="AX12" i="3"/>
  <c r="BF12" i="3"/>
  <c r="BN12" i="3"/>
  <c r="BV12" i="3"/>
  <c r="K12" i="3"/>
  <c r="S12" i="3"/>
  <c r="AA12" i="3"/>
  <c r="AI12" i="3"/>
  <c r="AQ12" i="3"/>
  <c r="AY12" i="3"/>
  <c r="BO12" i="3"/>
  <c r="BW12" i="3"/>
  <c r="L12" i="3"/>
  <c r="T12" i="3"/>
  <c r="AB12" i="3"/>
  <c r="AJ12" i="3"/>
  <c r="AR12" i="3"/>
  <c r="AZ12" i="3"/>
  <c r="BH12" i="3"/>
  <c r="BP12" i="3"/>
  <c r="BX12" i="3"/>
  <c r="G12" i="3"/>
  <c r="U12" i="3"/>
  <c r="AF12" i="3"/>
  <c r="AT12" i="3"/>
  <c r="BE12" i="3"/>
  <c r="BS12" i="3"/>
  <c r="M12" i="3"/>
  <c r="X12" i="3"/>
  <c r="AL12" i="3"/>
  <c r="AW12" i="3"/>
  <c r="BK12" i="3"/>
  <c r="BY12" i="3"/>
  <c r="N12" i="3"/>
  <c r="Y12" i="3"/>
  <c r="AM12" i="3"/>
  <c r="BA12" i="3"/>
  <c r="BL12" i="3"/>
  <c r="Q12" i="3"/>
  <c r="AN12" i="3"/>
  <c r="BI12" i="3"/>
  <c r="F12" i="3"/>
  <c r="AC12" i="3"/>
  <c r="AU12" i="3"/>
  <c r="BQ12" i="3"/>
  <c r="H12" i="3"/>
  <c r="AD12" i="3"/>
  <c r="AV12" i="3"/>
  <c r="BR12" i="3"/>
  <c r="O12" i="3"/>
  <c r="AS12" i="3"/>
  <c r="W12" i="3"/>
  <c r="BD12" i="3"/>
  <c r="AE12" i="3"/>
  <c r="BJ12" i="3"/>
  <c r="P12" i="3"/>
  <c r="BT12" i="3"/>
  <c r="V12" i="3"/>
  <c r="BU12" i="3"/>
  <c r="AG12" i="3"/>
  <c r="AK12" i="3"/>
  <c r="AO12" i="3"/>
  <c r="BB12" i="3"/>
  <c r="BC12" i="3"/>
  <c r="I12" i="3"/>
  <c r="BM12" i="3"/>
  <c r="E12" i="3"/>
  <c r="H37" i="3"/>
  <c r="P37" i="3"/>
  <c r="X37" i="3"/>
  <c r="AF37" i="3"/>
  <c r="AN37" i="3"/>
  <c r="AV37" i="3"/>
  <c r="BD37" i="3"/>
  <c r="BL37" i="3"/>
  <c r="J37" i="3"/>
  <c r="R37" i="3"/>
  <c r="Z37" i="3"/>
  <c r="AH37" i="3"/>
  <c r="AP37" i="3"/>
  <c r="AX37" i="3"/>
  <c r="BF37" i="3"/>
  <c r="BN37" i="3"/>
  <c r="BV37" i="3"/>
  <c r="K37" i="3"/>
  <c r="S37" i="3"/>
  <c r="AA37" i="3"/>
  <c r="AI37" i="3"/>
  <c r="AQ37" i="3"/>
  <c r="AY37" i="3"/>
  <c r="BO37" i="3"/>
  <c r="BW37" i="3"/>
  <c r="L37" i="3"/>
  <c r="T37" i="3"/>
  <c r="AB37" i="3"/>
  <c r="AJ37" i="3"/>
  <c r="AR37" i="3"/>
  <c r="AZ37" i="3"/>
  <c r="BH37" i="3"/>
  <c r="BP37" i="3"/>
  <c r="BX37" i="3"/>
  <c r="M37" i="3"/>
  <c r="U37" i="3"/>
  <c r="AC37" i="3"/>
  <c r="AK37" i="3"/>
  <c r="AS37" i="3"/>
  <c r="BA37" i="3"/>
  <c r="BI37" i="3"/>
  <c r="BQ37" i="3"/>
  <c r="BY37" i="3"/>
  <c r="F37" i="3"/>
  <c r="N37" i="3"/>
  <c r="V37" i="3"/>
  <c r="AD37" i="3"/>
  <c r="AL37" i="3"/>
  <c r="AT37" i="3"/>
  <c r="BB37" i="3"/>
  <c r="BJ37" i="3"/>
  <c r="BR37" i="3"/>
  <c r="AG37" i="3"/>
  <c r="BM37" i="3"/>
  <c r="G37" i="3"/>
  <c r="AM37" i="3"/>
  <c r="BS37" i="3"/>
  <c r="I37" i="3"/>
  <c r="AO37" i="3"/>
  <c r="BT37" i="3"/>
  <c r="O37" i="3"/>
  <c r="AU37" i="3"/>
  <c r="BU37" i="3"/>
  <c r="Q37" i="3"/>
  <c r="AW37" i="3"/>
  <c r="W37" i="3"/>
  <c r="BC37" i="3"/>
  <c r="Y37" i="3"/>
  <c r="BE37" i="3"/>
  <c r="AE37" i="3"/>
  <c r="BK37" i="3"/>
  <c r="E37" i="3"/>
  <c r="J23" i="3"/>
  <c r="F23" i="3"/>
  <c r="G23" i="3"/>
  <c r="P23" i="3"/>
  <c r="X23" i="3"/>
  <c r="AF23" i="3"/>
  <c r="AN23" i="3"/>
  <c r="AV23" i="3"/>
  <c r="BD23" i="3"/>
  <c r="BL23" i="3"/>
  <c r="BT23" i="3"/>
  <c r="K23" i="3"/>
  <c r="S23" i="3"/>
  <c r="AA23" i="3"/>
  <c r="AI23" i="3"/>
  <c r="AQ23" i="3"/>
  <c r="AY23" i="3"/>
  <c r="BO23" i="3"/>
  <c r="BW23" i="3"/>
  <c r="L23" i="3"/>
  <c r="T23" i="3"/>
  <c r="AB23" i="3"/>
  <c r="AJ23" i="3"/>
  <c r="AR23" i="3"/>
  <c r="AZ23" i="3"/>
  <c r="BH23" i="3"/>
  <c r="BP23" i="3"/>
  <c r="BX23" i="3"/>
  <c r="R23" i="3"/>
  <c r="AE23" i="3"/>
  <c r="AS23" i="3"/>
  <c r="BE23" i="3"/>
  <c r="BR23" i="3"/>
  <c r="U23" i="3"/>
  <c r="AG23" i="3"/>
  <c r="AT23" i="3"/>
  <c r="BF23" i="3"/>
  <c r="BS23" i="3"/>
  <c r="H23" i="3"/>
  <c r="V23" i="3"/>
  <c r="AH23" i="3"/>
  <c r="AU23" i="3"/>
  <c r="BI23" i="3"/>
  <c r="BU23" i="3"/>
  <c r="I23" i="3"/>
  <c r="W23" i="3"/>
  <c r="AK23" i="3"/>
  <c r="AW23" i="3"/>
  <c r="BJ23" i="3"/>
  <c r="BV23" i="3"/>
  <c r="M23" i="3"/>
  <c r="Y23" i="3"/>
  <c r="AL23" i="3"/>
  <c r="AX23" i="3"/>
  <c r="BK23" i="3"/>
  <c r="BY23" i="3"/>
  <c r="N23" i="3"/>
  <c r="Z23" i="3"/>
  <c r="AM23" i="3"/>
  <c r="BA23" i="3"/>
  <c r="BM23" i="3"/>
  <c r="O23" i="3"/>
  <c r="AC23" i="3"/>
  <c r="AO23" i="3"/>
  <c r="BB23" i="3"/>
  <c r="BN23" i="3"/>
  <c r="AD23" i="3"/>
  <c r="AP23" i="3"/>
  <c r="BC23" i="3"/>
  <c r="BQ23" i="3"/>
  <c r="Q23" i="3"/>
  <c r="E23" i="3"/>
  <c r="H24" i="3"/>
  <c r="P24" i="3"/>
  <c r="X24" i="3"/>
  <c r="AF24" i="3"/>
  <c r="AN24" i="3"/>
  <c r="AV24" i="3"/>
  <c r="BD24" i="3"/>
  <c r="BL24" i="3"/>
  <c r="BT24" i="3"/>
  <c r="K24" i="3"/>
  <c r="S24" i="3"/>
  <c r="AA24" i="3"/>
  <c r="AI24" i="3"/>
  <c r="AQ24" i="3"/>
  <c r="AY24" i="3"/>
  <c r="BO24" i="3"/>
  <c r="BW24" i="3"/>
  <c r="L24" i="3"/>
  <c r="T24" i="3"/>
  <c r="AB24" i="3"/>
  <c r="AJ24" i="3"/>
  <c r="AR24" i="3"/>
  <c r="AZ24" i="3"/>
  <c r="BH24" i="3"/>
  <c r="BP24" i="3"/>
  <c r="BX24" i="3"/>
  <c r="J24" i="3"/>
  <c r="W24" i="3"/>
  <c r="AK24" i="3"/>
  <c r="AW24" i="3"/>
  <c r="BJ24" i="3"/>
  <c r="BV24" i="3"/>
  <c r="M24" i="3"/>
  <c r="Y24" i="3"/>
  <c r="AL24" i="3"/>
  <c r="AX24" i="3"/>
  <c r="BK24" i="3"/>
  <c r="BY24" i="3"/>
  <c r="N24" i="3"/>
  <c r="Z24" i="3"/>
  <c r="AM24" i="3"/>
  <c r="BA24" i="3"/>
  <c r="BM24" i="3"/>
  <c r="O24" i="3"/>
  <c r="AC24" i="3"/>
  <c r="AO24" i="3"/>
  <c r="BB24" i="3"/>
  <c r="BN24" i="3"/>
  <c r="Q24" i="3"/>
  <c r="AD24" i="3"/>
  <c r="AP24" i="3"/>
  <c r="BC24" i="3"/>
  <c r="BQ24" i="3"/>
  <c r="F24" i="3"/>
  <c r="R24" i="3"/>
  <c r="AE24" i="3"/>
  <c r="AS24" i="3"/>
  <c r="BE24" i="3"/>
  <c r="BR24" i="3"/>
  <c r="G24" i="3"/>
  <c r="U24" i="3"/>
  <c r="AG24" i="3"/>
  <c r="AT24" i="3"/>
  <c r="BF24" i="3"/>
  <c r="BS24" i="3"/>
  <c r="AH24" i="3"/>
  <c r="BI24" i="3"/>
  <c r="BU24" i="3"/>
  <c r="I24" i="3"/>
  <c r="V24" i="3"/>
  <c r="AU24" i="3"/>
  <c r="E24" i="3"/>
  <c r="J22" i="3"/>
  <c r="R22" i="3"/>
  <c r="Z22" i="3"/>
  <c r="AH22" i="3"/>
  <c r="AP22" i="3"/>
  <c r="AX22" i="3"/>
  <c r="BF22" i="3"/>
  <c r="BN22" i="3"/>
  <c r="BV22" i="3"/>
  <c r="M22" i="3"/>
  <c r="U22" i="3"/>
  <c r="AC22" i="3"/>
  <c r="AK22" i="3"/>
  <c r="AS22" i="3"/>
  <c r="BA22" i="3"/>
  <c r="BI22" i="3"/>
  <c r="F22" i="3"/>
  <c r="N22" i="3"/>
  <c r="V22" i="3"/>
  <c r="AD22" i="3"/>
  <c r="AL22" i="3"/>
  <c r="AT22" i="3"/>
  <c r="BB22" i="3"/>
  <c r="BJ22" i="3"/>
  <c r="BR22" i="3"/>
  <c r="Q22" i="3"/>
  <c r="AE22" i="3"/>
  <c r="AQ22" i="3"/>
  <c r="BD22" i="3"/>
  <c r="BP22" i="3"/>
  <c r="I22" i="3"/>
  <c r="W22" i="3"/>
  <c r="AI22" i="3"/>
  <c r="AV22" i="3"/>
  <c r="BH22" i="3"/>
  <c r="BT22" i="3"/>
  <c r="K22" i="3"/>
  <c r="X22" i="3"/>
  <c r="AJ22" i="3"/>
  <c r="AW22" i="3"/>
  <c r="BK22" i="3"/>
  <c r="BU22" i="3"/>
  <c r="P22" i="3"/>
  <c r="AM22" i="3"/>
  <c r="BE22" i="3"/>
  <c r="BX22" i="3"/>
  <c r="S22" i="3"/>
  <c r="AN22" i="3"/>
  <c r="BY22" i="3"/>
  <c r="T22" i="3"/>
  <c r="AO22" i="3"/>
  <c r="BL22" i="3"/>
  <c r="Y22" i="3"/>
  <c r="AR22" i="3"/>
  <c r="BM22" i="3"/>
  <c r="G22" i="3"/>
  <c r="AA22" i="3"/>
  <c r="AU22" i="3"/>
  <c r="BO22" i="3"/>
  <c r="H22" i="3"/>
  <c r="AB22" i="3"/>
  <c r="AY22" i="3"/>
  <c r="BQ22" i="3"/>
  <c r="L22" i="3"/>
  <c r="AF22" i="3"/>
  <c r="AZ22" i="3"/>
  <c r="BS22" i="3"/>
  <c r="BW22" i="3"/>
  <c r="O22" i="3"/>
  <c r="AG22" i="3"/>
  <c r="E22" i="3"/>
  <c r="BC22" i="3"/>
  <c r="H28" i="3"/>
  <c r="G73" i="97" s="1"/>
  <c r="P28" i="3"/>
  <c r="G193" i="97" s="1"/>
  <c r="X28" i="3"/>
  <c r="G313" i="97" s="1"/>
  <c r="AF28" i="3"/>
  <c r="G433" i="97" s="1"/>
  <c r="AN28" i="3"/>
  <c r="G553" i="97" s="1"/>
  <c r="AV28" i="3"/>
  <c r="G673" i="97" s="1"/>
  <c r="BD28" i="3"/>
  <c r="G793" i="97" s="1"/>
  <c r="BL28" i="3"/>
  <c r="G913" i="97" s="1"/>
  <c r="BT28" i="3"/>
  <c r="G1033" i="97" s="1"/>
  <c r="K28" i="3"/>
  <c r="G118" i="97" s="1"/>
  <c r="S28" i="3"/>
  <c r="G238" i="97" s="1"/>
  <c r="AA28" i="3"/>
  <c r="G358" i="97" s="1"/>
  <c r="AI28" i="3"/>
  <c r="G478" i="97" s="1"/>
  <c r="AQ28" i="3"/>
  <c r="G598" i="97" s="1"/>
  <c r="AY28" i="3"/>
  <c r="G718" i="97" s="1"/>
  <c r="G838" i="97"/>
  <c r="BO28" i="3"/>
  <c r="G958" i="97" s="1"/>
  <c r="BW28" i="3"/>
  <c r="G1078" i="97" s="1"/>
  <c r="L28" i="3"/>
  <c r="G133" i="97" s="1"/>
  <c r="T28" i="3"/>
  <c r="G253" i="97" s="1"/>
  <c r="AB28" i="3"/>
  <c r="G373" i="97" s="1"/>
  <c r="AJ28" i="3"/>
  <c r="G493" i="97" s="1"/>
  <c r="AR28" i="3"/>
  <c r="G613" i="97" s="1"/>
  <c r="AZ28" i="3"/>
  <c r="G733" i="97" s="1"/>
  <c r="BH28" i="3"/>
  <c r="G853" i="97" s="1"/>
  <c r="BP28" i="3"/>
  <c r="G973" i="97" s="1"/>
  <c r="BX28" i="3"/>
  <c r="G1093" i="97" s="1"/>
  <c r="Q28" i="3"/>
  <c r="G208" i="97" s="1"/>
  <c r="AD28" i="3"/>
  <c r="G403" i="97" s="1"/>
  <c r="AP28" i="3"/>
  <c r="G583" i="97" s="1"/>
  <c r="BC28" i="3"/>
  <c r="G778" i="97" s="1"/>
  <c r="BQ28" i="3"/>
  <c r="G988" i="97" s="1"/>
  <c r="F28" i="3"/>
  <c r="G43" i="97" s="1"/>
  <c r="R28" i="3"/>
  <c r="G223" i="97" s="1"/>
  <c r="AE28" i="3"/>
  <c r="G418" i="97" s="1"/>
  <c r="AS28" i="3"/>
  <c r="G628" i="97" s="1"/>
  <c r="BE28" i="3"/>
  <c r="G808" i="97" s="1"/>
  <c r="BR28" i="3"/>
  <c r="G1003" i="97" s="1"/>
  <c r="G28" i="3"/>
  <c r="G58" i="97" s="1"/>
  <c r="U28" i="3"/>
  <c r="G268" i="97" s="1"/>
  <c r="AG28" i="3"/>
  <c r="G448" i="97" s="1"/>
  <c r="AT28" i="3"/>
  <c r="G643" i="97" s="1"/>
  <c r="BF28" i="3"/>
  <c r="G823" i="97" s="1"/>
  <c r="BS28" i="3"/>
  <c r="G1018" i="97" s="1"/>
  <c r="I28" i="3"/>
  <c r="G88" i="97" s="1"/>
  <c r="V28" i="3"/>
  <c r="G283" i="97" s="1"/>
  <c r="AH28" i="3"/>
  <c r="G463" i="97" s="1"/>
  <c r="AU28" i="3"/>
  <c r="G658" i="97" s="1"/>
  <c r="BI28" i="3"/>
  <c r="G868" i="97" s="1"/>
  <c r="BU28" i="3"/>
  <c r="G1048" i="97" s="1"/>
  <c r="J28" i="3"/>
  <c r="G103" i="97" s="1"/>
  <c r="W28" i="3"/>
  <c r="G298" i="97" s="1"/>
  <c r="AK28" i="3"/>
  <c r="G508" i="97" s="1"/>
  <c r="AW28" i="3"/>
  <c r="G688" i="97" s="1"/>
  <c r="BJ28" i="3"/>
  <c r="G883" i="97" s="1"/>
  <c r="BV28" i="3"/>
  <c r="G1063" i="97" s="1"/>
  <c r="M28" i="3"/>
  <c r="G148" i="97" s="1"/>
  <c r="Y28" i="3"/>
  <c r="G328" i="97" s="1"/>
  <c r="AL28" i="3"/>
  <c r="G523" i="97" s="1"/>
  <c r="AX28" i="3"/>
  <c r="G703" i="97" s="1"/>
  <c r="BK28" i="3"/>
  <c r="G898" i="97" s="1"/>
  <c r="BY28" i="3"/>
  <c r="G1108" i="97" s="1"/>
  <c r="N28" i="3"/>
  <c r="G163" i="97" s="1"/>
  <c r="Z28" i="3"/>
  <c r="G343" i="97" s="1"/>
  <c r="AM28" i="3"/>
  <c r="G538" i="97" s="1"/>
  <c r="BA28" i="3"/>
  <c r="G748" i="97" s="1"/>
  <c r="BM28" i="3"/>
  <c r="G928" i="97" s="1"/>
  <c r="BB28" i="3"/>
  <c r="G763" i="97" s="1"/>
  <c r="O28" i="3"/>
  <c r="G178" i="97" s="1"/>
  <c r="AC28" i="3"/>
  <c r="G388" i="97" s="1"/>
  <c r="BN28" i="3"/>
  <c r="G943" i="97" s="1"/>
  <c r="AO28" i="3"/>
  <c r="G568" i="97" s="1"/>
  <c r="E28" i="3"/>
  <c r="G28" i="97" s="1"/>
  <c r="L41" i="3"/>
  <c r="T41" i="3"/>
  <c r="AB41" i="3"/>
  <c r="AJ41" i="3"/>
  <c r="AR41" i="3"/>
  <c r="AZ41" i="3"/>
  <c r="BH41" i="3"/>
  <c r="BP41" i="3"/>
  <c r="M41" i="3"/>
  <c r="U41" i="3"/>
  <c r="AC41" i="3"/>
  <c r="AK41" i="3"/>
  <c r="AS41" i="3"/>
  <c r="F41" i="3"/>
  <c r="N41" i="3"/>
  <c r="V41" i="3"/>
  <c r="AD41" i="3"/>
  <c r="AL41" i="3"/>
  <c r="AT41" i="3"/>
  <c r="I41" i="3"/>
  <c r="W41" i="3"/>
  <c r="AH41" i="3"/>
  <c r="AV41" i="3"/>
  <c r="BE41" i="3"/>
  <c r="BN41" i="3"/>
  <c r="BW41" i="3"/>
  <c r="J41" i="3"/>
  <c r="X41" i="3"/>
  <c r="AI41" i="3"/>
  <c r="AW41" i="3"/>
  <c r="BF41" i="3"/>
  <c r="BO41" i="3"/>
  <c r="BX41" i="3"/>
  <c r="K41" i="3"/>
  <c r="Y41" i="3"/>
  <c r="AM41" i="3"/>
  <c r="AX41" i="3"/>
  <c r="BQ41" i="3"/>
  <c r="BY41" i="3"/>
  <c r="O41" i="3"/>
  <c r="Z41" i="3"/>
  <c r="AN41" i="3"/>
  <c r="AY41" i="3"/>
  <c r="BI41" i="3"/>
  <c r="BR41" i="3"/>
  <c r="P41" i="3"/>
  <c r="AA41" i="3"/>
  <c r="AO41" i="3"/>
  <c r="BA41" i="3"/>
  <c r="BJ41" i="3"/>
  <c r="BS41" i="3"/>
  <c r="Q41" i="3"/>
  <c r="AE41" i="3"/>
  <c r="AP41" i="3"/>
  <c r="BB41" i="3"/>
  <c r="BK41" i="3"/>
  <c r="BT41" i="3"/>
  <c r="G41" i="3"/>
  <c r="R41" i="3"/>
  <c r="AF41" i="3"/>
  <c r="AQ41" i="3"/>
  <c r="BC41" i="3"/>
  <c r="BL41" i="3"/>
  <c r="BU41" i="3"/>
  <c r="BD41" i="3"/>
  <c r="BM41" i="3"/>
  <c r="BV41" i="3"/>
  <c r="E41" i="3"/>
  <c r="H41" i="3"/>
  <c r="AU41" i="3"/>
  <c r="S41" i="3"/>
  <c r="AG41" i="3"/>
  <c r="H31" i="3"/>
  <c r="G71" i="97" s="1"/>
  <c r="P31" i="3"/>
  <c r="G191" i="97" s="1"/>
  <c r="X31" i="3"/>
  <c r="G311" i="97" s="1"/>
  <c r="AF31" i="3"/>
  <c r="G431" i="97" s="1"/>
  <c r="AN31" i="3"/>
  <c r="G551" i="97" s="1"/>
  <c r="AV31" i="3"/>
  <c r="G671" i="97" s="1"/>
  <c r="BD31" i="3"/>
  <c r="G791" i="97" s="1"/>
  <c r="BL31" i="3"/>
  <c r="G911" i="97" s="1"/>
  <c r="BT31" i="3"/>
  <c r="G1031" i="97" s="1"/>
  <c r="K31" i="3"/>
  <c r="G116" i="97" s="1"/>
  <c r="S31" i="3"/>
  <c r="G236" i="97" s="1"/>
  <c r="AA31" i="3"/>
  <c r="G356" i="97" s="1"/>
  <c r="AI31" i="3"/>
  <c r="G476" i="97" s="1"/>
  <c r="AQ31" i="3"/>
  <c r="G596" i="97" s="1"/>
  <c r="AY31" i="3"/>
  <c r="G716" i="97" s="1"/>
  <c r="G836" i="97"/>
  <c r="BO31" i="3"/>
  <c r="G956" i="97" s="1"/>
  <c r="BW31" i="3"/>
  <c r="G1076" i="97" s="1"/>
  <c r="L31" i="3"/>
  <c r="G131" i="97" s="1"/>
  <c r="T31" i="3"/>
  <c r="G251" i="97" s="1"/>
  <c r="AB31" i="3"/>
  <c r="G371" i="97" s="1"/>
  <c r="AJ31" i="3"/>
  <c r="G491" i="97" s="1"/>
  <c r="AR31" i="3"/>
  <c r="G611" i="97" s="1"/>
  <c r="AZ31" i="3"/>
  <c r="G731" i="97" s="1"/>
  <c r="BH31" i="3"/>
  <c r="G851" i="97" s="1"/>
  <c r="BP31" i="3"/>
  <c r="G971" i="97" s="1"/>
  <c r="BX31" i="3"/>
  <c r="G1091" i="97" s="1"/>
  <c r="F31" i="3"/>
  <c r="G41" i="97" s="1"/>
  <c r="R31" i="3"/>
  <c r="G221" i="97" s="1"/>
  <c r="AE31" i="3"/>
  <c r="G416" i="97" s="1"/>
  <c r="AS31" i="3"/>
  <c r="G626" i="97" s="1"/>
  <c r="BE31" i="3"/>
  <c r="G806" i="97" s="1"/>
  <c r="BR31" i="3"/>
  <c r="G1001" i="97" s="1"/>
  <c r="G31" i="3"/>
  <c r="G56" i="97" s="1"/>
  <c r="U31" i="3"/>
  <c r="G266" i="97" s="1"/>
  <c r="AG31" i="3"/>
  <c r="G446" i="97" s="1"/>
  <c r="AT31" i="3"/>
  <c r="G641" i="97" s="1"/>
  <c r="BF31" i="3"/>
  <c r="G821" i="97" s="1"/>
  <c r="BS31" i="3"/>
  <c r="G1016" i="97" s="1"/>
  <c r="I31" i="3"/>
  <c r="G86" i="97" s="1"/>
  <c r="V31" i="3"/>
  <c r="G281" i="97" s="1"/>
  <c r="AH31" i="3"/>
  <c r="G461" i="97" s="1"/>
  <c r="AU31" i="3"/>
  <c r="G656" i="97" s="1"/>
  <c r="BI31" i="3"/>
  <c r="G866" i="97" s="1"/>
  <c r="BU31" i="3"/>
  <c r="G1046" i="97" s="1"/>
  <c r="J31" i="3"/>
  <c r="G101" i="97" s="1"/>
  <c r="W31" i="3"/>
  <c r="G296" i="97" s="1"/>
  <c r="AK31" i="3"/>
  <c r="G506" i="97" s="1"/>
  <c r="AW31" i="3"/>
  <c r="G686" i="97" s="1"/>
  <c r="BJ31" i="3"/>
  <c r="G881" i="97" s="1"/>
  <c r="BV31" i="3"/>
  <c r="G1061" i="97" s="1"/>
  <c r="M31" i="3"/>
  <c r="G146" i="97" s="1"/>
  <c r="Y31" i="3"/>
  <c r="G326" i="97" s="1"/>
  <c r="AL31" i="3"/>
  <c r="G521" i="97" s="1"/>
  <c r="AX31" i="3"/>
  <c r="G701" i="97" s="1"/>
  <c r="BK31" i="3"/>
  <c r="G896" i="97" s="1"/>
  <c r="BY31" i="3"/>
  <c r="G1106" i="97" s="1"/>
  <c r="N31" i="3"/>
  <c r="G161" i="97" s="1"/>
  <c r="Z31" i="3"/>
  <c r="G341" i="97" s="1"/>
  <c r="AM31" i="3"/>
  <c r="G536" i="97" s="1"/>
  <c r="BA31" i="3"/>
  <c r="G746" i="97" s="1"/>
  <c r="BM31" i="3"/>
  <c r="G926" i="97" s="1"/>
  <c r="O31" i="3"/>
  <c r="G176" i="97" s="1"/>
  <c r="AC31" i="3"/>
  <c r="G386" i="97" s="1"/>
  <c r="AO31" i="3"/>
  <c r="G566" i="97" s="1"/>
  <c r="BB31" i="3"/>
  <c r="G761" i="97" s="1"/>
  <c r="BN31" i="3"/>
  <c r="G941" i="97" s="1"/>
  <c r="AP31" i="3"/>
  <c r="G581" i="97" s="1"/>
  <c r="BQ31" i="3"/>
  <c r="G986" i="97" s="1"/>
  <c r="Q31" i="3"/>
  <c r="G206" i="97" s="1"/>
  <c r="AD31" i="3"/>
  <c r="G401" i="97" s="1"/>
  <c r="BC31" i="3"/>
  <c r="G776" i="97" s="1"/>
  <c r="E31" i="3"/>
  <c r="G26" i="97" s="1"/>
  <c r="J11" i="3"/>
  <c r="R11" i="3"/>
  <c r="Z11" i="3"/>
  <c r="AH11" i="3"/>
  <c r="AP11" i="3"/>
  <c r="AX11" i="3"/>
  <c r="BF11" i="3"/>
  <c r="BN11" i="3"/>
  <c r="BV11" i="3"/>
  <c r="K11" i="3"/>
  <c r="S11" i="3"/>
  <c r="AA11" i="3"/>
  <c r="AI11" i="3"/>
  <c r="AQ11" i="3"/>
  <c r="AY11" i="3"/>
  <c r="BO11" i="3"/>
  <c r="BW11" i="3"/>
  <c r="L11" i="3"/>
  <c r="T11" i="3"/>
  <c r="AB11" i="3"/>
  <c r="AJ11" i="3"/>
  <c r="AR11" i="3"/>
  <c r="AZ11" i="3"/>
  <c r="BH11" i="3"/>
  <c r="BP11" i="3"/>
  <c r="BX11" i="3"/>
  <c r="O11" i="3"/>
  <c r="AC11" i="3"/>
  <c r="AN11" i="3"/>
  <c r="BB11" i="3"/>
  <c r="BM11" i="3"/>
  <c r="G11" i="3"/>
  <c r="U11" i="3"/>
  <c r="AF11" i="3"/>
  <c r="AT11" i="3"/>
  <c r="BE11" i="3"/>
  <c r="BS11" i="3"/>
  <c r="H11" i="3"/>
  <c r="V11" i="3"/>
  <c r="AG11" i="3"/>
  <c r="AU11" i="3"/>
  <c r="BI11" i="3"/>
  <c r="BT11" i="3"/>
  <c r="I11" i="3"/>
  <c r="AD11" i="3"/>
  <c r="AW11" i="3"/>
  <c r="BR11" i="3"/>
  <c r="P11" i="3"/>
  <c r="AL11" i="3"/>
  <c r="BD11" i="3"/>
  <c r="Q11" i="3"/>
  <c r="AM11" i="3"/>
  <c r="BJ11" i="3"/>
  <c r="W11" i="3"/>
  <c r="BA11" i="3"/>
  <c r="AE11" i="3"/>
  <c r="BL11" i="3"/>
  <c r="AK11" i="3"/>
  <c r="BQ11" i="3"/>
  <c r="AO11" i="3"/>
  <c r="AS11" i="3"/>
  <c r="AV11" i="3"/>
  <c r="F11" i="3"/>
  <c r="BC11" i="3"/>
  <c r="M11" i="3"/>
  <c r="BK11" i="3"/>
  <c r="N11" i="3"/>
  <c r="BU11" i="3"/>
  <c r="X11" i="3"/>
  <c r="BY11" i="3"/>
  <c r="Y11" i="3"/>
  <c r="E11" i="3"/>
  <c r="M46" i="3"/>
  <c r="U46" i="3"/>
  <c r="AC46" i="3"/>
  <c r="AK46" i="3"/>
  <c r="AS46" i="3"/>
  <c r="BA46" i="3"/>
  <c r="BI46" i="3"/>
  <c r="BQ46" i="3"/>
  <c r="BY46" i="3"/>
  <c r="E46" i="3"/>
  <c r="N46" i="3"/>
  <c r="F46" i="3"/>
  <c r="V46" i="3"/>
  <c r="G46" i="3"/>
  <c r="O46" i="3"/>
  <c r="W46" i="3"/>
  <c r="AE46" i="3"/>
  <c r="AM46" i="3"/>
  <c r="AU46" i="3"/>
  <c r="BC46" i="3"/>
  <c r="BK46" i="3"/>
  <c r="BS46" i="3"/>
  <c r="H46" i="3"/>
  <c r="P46" i="3"/>
  <c r="X46" i="3"/>
  <c r="I46" i="3"/>
  <c r="Q46" i="3"/>
  <c r="Y46" i="3"/>
  <c r="AG46" i="3"/>
  <c r="AO46" i="3"/>
  <c r="AW46" i="3"/>
  <c r="BE46" i="3"/>
  <c r="BM46" i="3"/>
  <c r="BU46" i="3"/>
  <c r="K46" i="3"/>
  <c r="AD46" i="3"/>
  <c r="AQ46" i="3"/>
  <c r="BD46" i="3"/>
  <c r="BP46" i="3"/>
  <c r="AI46" i="3"/>
  <c r="BV46" i="3"/>
  <c r="L46" i="3"/>
  <c r="AF46" i="3"/>
  <c r="AR46" i="3"/>
  <c r="BF46" i="3"/>
  <c r="BR46" i="3"/>
  <c r="AV46" i="3"/>
  <c r="R46" i="3"/>
  <c r="AH46" i="3"/>
  <c r="AT46" i="3"/>
  <c r="BT46" i="3"/>
  <c r="S46" i="3"/>
  <c r="BH46" i="3"/>
  <c r="T46" i="3"/>
  <c r="AJ46" i="3"/>
  <c r="AX46" i="3"/>
  <c r="BJ46" i="3"/>
  <c r="BW46" i="3"/>
  <c r="J46" i="3"/>
  <c r="AP46" i="3"/>
  <c r="Z46" i="3"/>
  <c r="AL46" i="3"/>
  <c r="AY46" i="3"/>
  <c r="BL46" i="3"/>
  <c r="BX46" i="3"/>
  <c r="BB46" i="3"/>
  <c r="AA46" i="3"/>
  <c r="AN46" i="3"/>
  <c r="AZ46" i="3"/>
  <c r="BN46" i="3"/>
  <c r="AB46" i="3"/>
  <c r="BO46" i="3"/>
  <c r="J16" i="3"/>
  <c r="R16" i="3"/>
  <c r="Z16" i="3"/>
  <c r="AH16" i="3"/>
  <c r="K16" i="3"/>
  <c r="S16" i="3"/>
  <c r="AA16" i="3"/>
  <c r="AI16" i="3"/>
  <c r="M16" i="3"/>
  <c r="W16" i="3"/>
  <c r="AG16" i="3"/>
  <c r="AQ16" i="3"/>
  <c r="AY16" i="3"/>
  <c r="BO16" i="3"/>
  <c r="BW16" i="3"/>
  <c r="F16" i="3"/>
  <c r="P16" i="3"/>
  <c r="AB16" i="3"/>
  <c r="AL16" i="3"/>
  <c r="AT16" i="3"/>
  <c r="BB16" i="3"/>
  <c r="BJ16" i="3"/>
  <c r="BR16" i="3"/>
  <c r="G16" i="3"/>
  <c r="Q16" i="3"/>
  <c r="AC16" i="3"/>
  <c r="AM16" i="3"/>
  <c r="AU16" i="3"/>
  <c r="BC16" i="3"/>
  <c r="BK16" i="3"/>
  <c r="BS16" i="3"/>
  <c r="L16" i="3"/>
  <c r="AD16" i="3"/>
  <c r="AR16" i="3"/>
  <c r="BE16" i="3"/>
  <c r="BQ16" i="3"/>
  <c r="T16" i="3"/>
  <c r="AJ16" i="3"/>
  <c r="AW16" i="3"/>
  <c r="BI16" i="3"/>
  <c r="BV16" i="3"/>
  <c r="U16" i="3"/>
  <c r="AK16" i="3"/>
  <c r="AX16" i="3"/>
  <c r="BL16" i="3"/>
  <c r="BX16" i="3"/>
  <c r="X16" i="3"/>
  <c r="AV16" i="3"/>
  <c r="BP16" i="3"/>
  <c r="H16" i="3"/>
  <c r="AF16" i="3"/>
  <c r="BD16" i="3"/>
  <c r="BY16" i="3"/>
  <c r="I16" i="3"/>
  <c r="AN16" i="3"/>
  <c r="BF16" i="3"/>
  <c r="O16" i="3"/>
  <c r="BA16" i="3"/>
  <c r="V16" i="3"/>
  <c r="BH16" i="3"/>
  <c r="Y16" i="3"/>
  <c r="BM16" i="3"/>
  <c r="AE16" i="3"/>
  <c r="BN16" i="3"/>
  <c r="AO16" i="3"/>
  <c r="BT16" i="3"/>
  <c r="AP16" i="3"/>
  <c r="BU16" i="3"/>
  <c r="AS16" i="3"/>
  <c r="N16" i="3"/>
  <c r="AZ16" i="3"/>
  <c r="E16" i="3"/>
  <c r="J21" i="3"/>
  <c r="R21" i="3"/>
  <c r="Z21" i="3"/>
  <c r="AH21" i="3"/>
  <c r="AP21" i="3"/>
  <c r="AX21" i="3"/>
  <c r="BF21" i="3"/>
  <c r="BN21" i="3"/>
  <c r="BV21" i="3"/>
  <c r="M21" i="3"/>
  <c r="U21" i="3"/>
  <c r="AC21" i="3"/>
  <c r="AK21" i="3"/>
  <c r="AS21" i="3"/>
  <c r="BA21" i="3"/>
  <c r="BI21" i="3"/>
  <c r="BQ21" i="3"/>
  <c r="BY21" i="3"/>
  <c r="F21" i="3"/>
  <c r="N21" i="3"/>
  <c r="V21" i="3"/>
  <c r="AD21" i="3"/>
  <c r="AL21" i="3"/>
  <c r="AT21" i="3"/>
  <c r="BB21" i="3"/>
  <c r="BJ21" i="3"/>
  <c r="BR21" i="3"/>
  <c r="L21" i="3"/>
  <c r="Y21" i="3"/>
  <c r="AM21" i="3"/>
  <c r="AY21" i="3"/>
  <c r="BL21" i="3"/>
  <c r="BX21" i="3"/>
  <c r="Q21" i="3"/>
  <c r="AE21" i="3"/>
  <c r="AQ21" i="3"/>
  <c r="BD21" i="3"/>
  <c r="BP21" i="3"/>
  <c r="G21" i="3"/>
  <c r="S21" i="3"/>
  <c r="AF21" i="3"/>
  <c r="AR21" i="3"/>
  <c r="BE21" i="3"/>
  <c r="BS21" i="3"/>
  <c r="H21" i="3"/>
  <c r="AA21" i="3"/>
  <c r="AV21" i="3"/>
  <c r="BO21" i="3"/>
  <c r="I21" i="3"/>
  <c r="AB21" i="3"/>
  <c r="AW21" i="3"/>
  <c r="BT21" i="3"/>
  <c r="K21" i="3"/>
  <c r="AG21" i="3"/>
  <c r="AZ21" i="3"/>
  <c r="BU21" i="3"/>
  <c r="O21" i="3"/>
  <c r="AI21" i="3"/>
  <c r="BC21" i="3"/>
  <c r="BW21" i="3"/>
  <c r="P21" i="3"/>
  <c r="AJ21" i="3"/>
  <c r="T21" i="3"/>
  <c r="AN21" i="3"/>
  <c r="BH21" i="3"/>
  <c r="W21" i="3"/>
  <c r="AO21" i="3"/>
  <c r="BK21" i="3"/>
  <c r="X21" i="3"/>
  <c r="AU21" i="3"/>
  <c r="BM21" i="3"/>
  <c r="E21" i="3"/>
  <c r="M52" i="3"/>
  <c r="U52" i="3"/>
  <c r="AC52" i="3"/>
  <c r="AK52" i="3"/>
  <c r="AS52" i="3"/>
  <c r="BA52" i="3"/>
  <c r="BI52" i="3"/>
  <c r="BQ52" i="3"/>
  <c r="BY52" i="3"/>
  <c r="G52" i="3"/>
  <c r="O52" i="3"/>
  <c r="W52" i="3"/>
  <c r="AE52" i="3"/>
  <c r="AM52" i="3"/>
  <c r="AU52" i="3"/>
  <c r="BC52" i="3"/>
  <c r="BK52" i="3"/>
  <c r="BS52" i="3"/>
  <c r="I52" i="3"/>
  <c r="Q52" i="3"/>
  <c r="Y52" i="3"/>
  <c r="AG52" i="3"/>
  <c r="AO52" i="3"/>
  <c r="AW52" i="3"/>
  <c r="BE52" i="3"/>
  <c r="BM52" i="3"/>
  <c r="BU52" i="3"/>
  <c r="H52" i="3"/>
  <c r="T52" i="3"/>
  <c r="AH52" i="3"/>
  <c r="AT52" i="3"/>
  <c r="BT52" i="3"/>
  <c r="E52" i="3"/>
  <c r="AL52" i="3"/>
  <c r="BX52" i="3"/>
  <c r="J52" i="3"/>
  <c r="V52" i="3"/>
  <c r="AI52" i="3"/>
  <c r="AV52" i="3"/>
  <c r="BH52" i="3"/>
  <c r="BV52" i="3"/>
  <c r="Z52" i="3"/>
  <c r="BL52" i="3"/>
  <c r="AF52" i="3"/>
  <c r="K52" i="3"/>
  <c r="X52" i="3"/>
  <c r="AJ52" i="3"/>
  <c r="AX52" i="3"/>
  <c r="BJ52" i="3"/>
  <c r="BW52" i="3"/>
  <c r="L52" i="3"/>
  <c r="AY52" i="3"/>
  <c r="AR52" i="3"/>
  <c r="N52" i="3"/>
  <c r="AA52" i="3"/>
  <c r="AN52" i="3"/>
  <c r="AZ52" i="3"/>
  <c r="BN52" i="3"/>
  <c r="S52" i="3"/>
  <c r="P52" i="3"/>
  <c r="AB52" i="3"/>
  <c r="AP52" i="3"/>
  <c r="BB52" i="3"/>
  <c r="BO52" i="3"/>
  <c r="F52" i="3"/>
  <c r="BF52" i="3"/>
  <c r="R52" i="3"/>
  <c r="AD52" i="3"/>
  <c r="AQ52" i="3"/>
  <c r="BD52" i="3"/>
  <c r="BP52" i="3"/>
  <c r="BR52" i="3"/>
  <c r="H29" i="3"/>
  <c r="G74" i="97" s="1"/>
  <c r="P29" i="3"/>
  <c r="G194" i="97" s="1"/>
  <c r="X29" i="3"/>
  <c r="G314" i="97" s="1"/>
  <c r="AF29" i="3"/>
  <c r="G434" i="97" s="1"/>
  <c r="AN29" i="3"/>
  <c r="G554" i="97" s="1"/>
  <c r="AV29" i="3"/>
  <c r="G674" i="97" s="1"/>
  <c r="BD29" i="3"/>
  <c r="G794" i="97" s="1"/>
  <c r="BL29" i="3"/>
  <c r="G914" i="97" s="1"/>
  <c r="BT29" i="3"/>
  <c r="G1034" i="97" s="1"/>
  <c r="K29" i="3"/>
  <c r="G119" i="97" s="1"/>
  <c r="S29" i="3"/>
  <c r="G239" i="97" s="1"/>
  <c r="AA29" i="3"/>
  <c r="G359" i="97" s="1"/>
  <c r="AI29" i="3"/>
  <c r="G479" i="97" s="1"/>
  <c r="AQ29" i="3"/>
  <c r="G599" i="97" s="1"/>
  <c r="AY29" i="3"/>
  <c r="G719" i="97" s="1"/>
  <c r="G839" i="97"/>
  <c r="BO29" i="3"/>
  <c r="G959" i="97" s="1"/>
  <c r="BW29" i="3"/>
  <c r="G1079" i="97" s="1"/>
  <c r="L29" i="3"/>
  <c r="G134" i="97" s="1"/>
  <c r="T29" i="3"/>
  <c r="G254" i="97" s="1"/>
  <c r="AB29" i="3"/>
  <c r="G374" i="97" s="1"/>
  <c r="AJ29" i="3"/>
  <c r="G494" i="97" s="1"/>
  <c r="AR29" i="3"/>
  <c r="G614" i="97" s="1"/>
  <c r="AZ29" i="3"/>
  <c r="G734" i="97" s="1"/>
  <c r="BH29" i="3"/>
  <c r="G854" i="97" s="1"/>
  <c r="BP29" i="3"/>
  <c r="G974" i="97" s="1"/>
  <c r="BX29" i="3"/>
  <c r="G1094" i="97" s="1"/>
  <c r="I29" i="3"/>
  <c r="G89" i="97" s="1"/>
  <c r="V29" i="3"/>
  <c r="G284" i="97" s="1"/>
  <c r="AH29" i="3"/>
  <c r="G464" i="97" s="1"/>
  <c r="AU29" i="3"/>
  <c r="G659" i="97" s="1"/>
  <c r="BI29" i="3"/>
  <c r="G869" i="97" s="1"/>
  <c r="BU29" i="3"/>
  <c r="G1049" i="97" s="1"/>
  <c r="J29" i="3"/>
  <c r="G104" i="97" s="1"/>
  <c r="W29" i="3"/>
  <c r="G299" i="97" s="1"/>
  <c r="AK29" i="3"/>
  <c r="G509" i="97" s="1"/>
  <c r="AW29" i="3"/>
  <c r="G689" i="97" s="1"/>
  <c r="BJ29" i="3"/>
  <c r="G884" i="97" s="1"/>
  <c r="BV29" i="3"/>
  <c r="G1064" i="97" s="1"/>
  <c r="M29" i="3"/>
  <c r="G149" i="97" s="1"/>
  <c r="Y29" i="3"/>
  <c r="G329" i="97" s="1"/>
  <c r="AL29" i="3"/>
  <c r="G524" i="97" s="1"/>
  <c r="AX29" i="3"/>
  <c r="G704" i="97" s="1"/>
  <c r="BK29" i="3"/>
  <c r="G899" i="97" s="1"/>
  <c r="BY29" i="3"/>
  <c r="G1109" i="97" s="1"/>
  <c r="N29" i="3"/>
  <c r="G164" i="97" s="1"/>
  <c r="Z29" i="3"/>
  <c r="G344" i="97" s="1"/>
  <c r="AM29" i="3"/>
  <c r="G539" i="97" s="1"/>
  <c r="BA29" i="3"/>
  <c r="G749" i="97" s="1"/>
  <c r="BM29" i="3"/>
  <c r="G929" i="97" s="1"/>
  <c r="O29" i="3"/>
  <c r="G179" i="97" s="1"/>
  <c r="AC29" i="3"/>
  <c r="G389" i="97" s="1"/>
  <c r="AO29" i="3"/>
  <c r="G569" i="97" s="1"/>
  <c r="BB29" i="3"/>
  <c r="G764" i="97" s="1"/>
  <c r="BN29" i="3"/>
  <c r="G944" i="97" s="1"/>
  <c r="Q29" i="3"/>
  <c r="G209" i="97" s="1"/>
  <c r="AD29" i="3"/>
  <c r="G404" i="97" s="1"/>
  <c r="AP29" i="3"/>
  <c r="G584" i="97" s="1"/>
  <c r="BC29" i="3"/>
  <c r="G779" i="97" s="1"/>
  <c r="BQ29" i="3"/>
  <c r="G989" i="97" s="1"/>
  <c r="F29" i="3"/>
  <c r="G44" i="97" s="1"/>
  <c r="R29" i="3"/>
  <c r="G224" i="97" s="1"/>
  <c r="AE29" i="3"/>
  <c r="G419" i="97" s="1"/>
  <c r="AS29" i="3"/>
  <c r="G629" i="97" s="1"/>
  <c r="BE29" i="3"/>
  <c r="G809" i="97" s="1"/>
  <c r="BR29" i="3"/>
  <c r="G1004" i="97" s="1"/>
  <c r="G29" i="3"/>
  <c r="G59" i="97" s="1"/>
  <c r="U29" i="3"/>
  <c r="G269" i="97" s="1"/>
  <c r="AG29" i="3"/>
  <c r="G449" i="97" s="1"/>
  <c r="AT29" i="3"/>
  <c r="G644" i="97" s="1"/>
  <c r="BF29" i="3"/>
  <c r="G824" i="97" s="1"/>
  <c r="BS29" i="3"/>
  <c r="G1019" i="97" s="1"/>
  <c r="E29" i="3"/>
  <c r="G29" i="97" s="1"/>
  <c r="J7" i="3"/>
  <c r="R7" i="3"/>
  <c r="Z7" i="3"/>
  <c r="AH7" i="3"/>
  <c r="AP7" i="3"/>
  <c r="AX7" i="3"/>
  <c r="BF7" i="3"/>
  <c r="BN7" i="3"/>
  <c r="BV7" i="3"/>
  <c r="K7" i="3"/>
  <c r="S7" i="3"/>
  <c r="AA7" i="3"/>
  <c r="AI7" i="3"/>
  <c r="AQ7" i="3"/>
  <c r="AY7" i="3"/>
  <c r="BO7" i="3"/>
  <c r="BW7" i="3"/>
  <c r="L7" i="3"/>
  <c r="T7" i="3"/>
  <c r="AB7" i="3"/>
  <c r="AJ7" i="3"/>
  <c r="AR7" i="3"/>
  <c r="AZ7" i="3"/>
  <c r="BH7" i="3"/>
  <c r="BP7" i="3"/>
  <c r="BX7" i="3"/>
  <c r="H7" i="3"/>
  <c r="V7" i="3"/>
  <c r="AG7" i="3"/>
  <c r="AU7" i="3"/>
  <c r="BI7" i="3"/>
  <c r="BT7" i="3"/>
  <c r="N7" i="3"/>
  <c r="Y7" i="3"/>
  <c r="AM7" i="3"/>
  <c r="BA7" i="3"/>
  <c r="BL7" i="3"/>
  <c r="O7" i="3"/>
  <c r="AC7" i="3"/>
  <c r="AN7" i="3"/>
  <c r="BB7" i="3"/>
  <c r="BM7" i="3"/>
  <c r="I7" i="3"/>
  <c r="AE7" i="3"/>
  <c r="AW7" i="3"/>
  <c r="BS7" i="3"/>
  <c r="Q7" i="3"/>
  <c r="AL7" i="3"/>
  <c r="BE7" i="3"/>
  <c r="U7" i="3"/>
  <c r="AO7" i="3"/>
  <c r="BJ7" i="3"/>
  <c r="M7" i="3"/>
  <c r="AT7" i="3"/>
  <c r="BY7" i="3"/>
  <c r="W7" i="3"/>
  <c r="X7" i="3"/>
  <c r="BD7" i="3"/>
  <c r="AD7" i="3"/>
  <c r="BK7" i="3"/>
  <c r="F7" i="3"/>
  <c r="BQ7" i="3"/>
  <c r="G7" i="3"/>
  <c r="BR7" i="3"/>
  <c r="P7" i="3"/>
  <c r="BU7" i="3"/>
  <c r="AF7" i="3"/>
  <c r="AK7" i="3"/>
  <c r="AS7" i="3"/>
  <c r="AV7" i="3"/>
  <c r="BC7" i="3"/>
  <c r="E7" i="3"/>
  <c r="K19" i="3"/>
  <c r="S19" i="3"/>
  <c r="AA19" i="3"/>
  <c r="AI19" i="3"/>
  <c r="AQ19" i="3"/>
  <c r="AY19" i="3"/>
  <c r="M19" i="3"/>
  <c r="V19" i="3"/>
  <c r="AE19" i="3"/>
  <c r="AN19" i="3"/>
  <c r="AW19" i="3"/>
  <c r="BF19" i="3"/>
  <c r="BN19" i="3"/>
  <c r="BV19" i="3"/>
  <c r="G19" i="3"/>
  <c r="P19" i="3"/>
  <c r="Y19" i="3"/>
  <c r="AH19" i="3"/>
  <c r="AR19" i="3"/>
  <c r="BA19" i="3"/>
  <c r="BI19" i="3"/>
  <c r="BQ19" i="3"/>
  <c r="BY19" i="3"/>
  <c r="H19" i="3"/>
  <c r="Q19" i="3"/>
  <c r="Z19" i="3"/>
  <c r="AJ19" i="3"/>
  <c r="AS19" i="3"/>
  <c r="BB19" i="3"/>
  <c r="BJ19" i="3"/>
  <c r="BR19" i="3"/>
  <c r="J19" i="3"/>
  <c r="X19" i="3"/>
  <c r="AM19" i="3"/>
  <c r="BC19" i="3"/>
  <c r="BO19" i="3"/>
  <c r="O19" i="3"/>
  <c r="AD19" i="3"/>
  <c r="AT19" i="3"/>
  <c r="BT19" i="3"/>
  <c r="R19" i="3"/>
  <c r="AF19" i="3"/>
  <c r="AU19" i="3"/>
  <c r="BH19" i="3"/>
  <c r="BU19" i="3"/>
  <c r="W19" i="3"/>
  <c r="AV19" i="3"/>
  <c r="BP19" i="3"/>
  <c r="AB19" i="3"/>
  <c r="AX19" i="3"/>
  <c r="BS19" i="3"/>
  <c r="F19" i="3"/>
  <c r="AC19" i="3"/>
  <c r="AZ19" i="3"/>
  <c r="BW19" i="3"/>
  <c r="I19" i="3"/>
  <c r="AG19" i="3"/>
  <c r="BD19" i="3"/>
  <c r="BX19" i="3"/>
  <c r="L19" i="3"/>
  <c r="AK19" i="3"/>
  <c r="BE19" i="3"/>
  <c r="N19" i="3"/>
  <c r="AL19" i="3"/>
  <c r="BK19" i="3"/>
  <c r="T19" i="3"/>
  <c r="AO19" i="3"/>
  <c r="BL19" i="3"/>
  <c r="U19" i="3"/>
  <c r="AP19" i="3"/>
  <c r="BM19" i="3"/>
  <c r="E19" i="3"/>
  <c r="H26" i="3"/>
  <c r="G70" i="97" s="1"/>
  <c r="P26" i="3"/>
  <c r="G190" i="97" s="1"/>
  <c r="X26" i="3"/>
  <c r="G310" i="97" s="1"/>
  <c r="AF26" i="3"/>
  <c r="G430" i="97" s="1"/>
  <c r="AN26" i="3"/>
  <c r="G550" i="97" s="1"/>
  <c r="AV26" i="3"/>
  <c r="G670" i="97" s="1"/>
  <c r="BD26" i="3"/>
  <c r="G790" i="97" s="1"/>
  <c r="BL26" i="3"/>
  <c r="G910" i="97" s="1"/>
  <c r="BT26" i="3"/>
  <c r="G1030" i="97" s="1"/>
  <c r="K26" i="3"/>
  <c r="G115" i="97" s="1"/>
  <c r="S26" i="3"/>
  <c r="G235" i="97" s="1"/>
  <c r="AA26" i="3"/>
  <c r="G355" i="97" s="1"/>
  <c r="AI26" i="3"/>
  <c r="G475" i="97" s="1"/>
  <c r="AQ26" i="3"/>
  <c r="G595" i="97" s="1"/>
  <c r="AY26" i="3"/>
  <c r="G715" i="97" s="1"/>
  <c r="G835" i="97"/>
  <c r="BO26" i="3"/>
  <c r="G955" i="97" s="1"/>
  <c r="BW26" i="3"/>
  <c r="G1075" i="97" s="1"/>
  <c r="L26" i="3"/>
  <c r="G130" i="97" s="1"/>
  <c r="T26" i="3"/>
  <c r="G250" i="97" s="1"/>
  <c r="AB26" i="3"/>
  <c r="G370" i="97" s="1"/>
  <c r="AJ26" i="3"/>
  <c r="G490" i="97" s="1"/>
  <c r="AR26" i="3"/>
  <c r="G610" i="97" s="1"/>
  <c r="AZ26" i="3"/>
  <c r="G730" i="97" s="1"/>
  <c r="BH26" i="3"/>
  <c r="G850" i="97" s="1"/>
  <c r="BP26" i="3"/>
  <c r="G970" i="97" s="1"/>
  <c r="BX26" i="3"/>
  <c r="G1090" i="97" s="1"/>
  <c r="G26" i="3"/>
  <c r="G55" i="97" s="1"/>
  <c r="U26" i="3"/>
  <c r="G265" i="97" s="1"/>
  <c r="AG26" i="3"/>
  <c r="G445" i="97" s="1"/>
  <c r="AT26" i="3"/>
  <c r="G640" i="97" s="1"/>
  <c r="BF26" i="3"/>
  <c r="G820" i="97" s="1"/>
  <c r="BS26" i="3"/>
  <c r="G1015" i="97" s="1"/>
  <c r="I26" i="3"/>
  <c r="G85" i="97" s="1"/>
  <c r="V26" i="3"/>
  <c r="G280" i="97" s="1"/>
  <c r="AH26" i="3"/>
  <c r="G460" i="97" s="1"/>
  <c r="AU26" i="3"/>
  <c r="G655" i="97" s="1"/>
  <c r="BI26" i="3"/>
  <c r="G865" i="97" s="1"/>
  <c r="BU26" i="3"/>
  <c r="G1045" i="97" s="1"/>
  <c r="J26" i="3"/>
  <c r="G100" i="97" s="1"/>
  <c r="W26" i="3"/>
  <c r="G295" i="97" s="1"/>
  <c r="AK26" i="3"/>
  <c r="G505" i="97" s="1"/>
  <c r="AW26" i="3"/>
  <c r="G685" i="97" s="1"/>
  <c r="BJ26" i="3"/>
  <c r="G880" i="97" s="1"/>
  <c r="BV26" i="3"/>
  <c r="G1060" i="97" s="1"/>
  <c r="M26" i="3"/>
  <c r="G145" i="97" s="1"/>
  <c r="Y26" i="3"/>
  <c r="G325" i="97" s="1"/>
  <c r="AL26" i="3"/>
  <c r="G520" i="97" s="1"/>
  <c r="AX26" i="3"/>
  <c r="G700" i="97" s="1"/>
  <c r="BK26" i="3"/>
  <c r="G895" i="97" s="1"/>
  <c r="BY26" i="3"/>
  <c r="G1105" i="97" s="1"/>
  <c r="N26" i="3"/>
  <c r="G160" i="97" s="1"/>
  <c r="Z26" i="3"/>
  <c r="G340" i="97" s="1"/>
  <c r="AM26" i="3"/>
  <c r="G535" i="97" s="1"/>
  <c r="BA26" i="3"/>
  <c r="G745" i="97" s="1"/>
  <c r="BM26" i="3"/>
  <c r="G925" i="97" s="1"/>
  <c r="O26" i="3"/>
  <c r="G175" i="97" s="1"/>
  <c r="AC26" i="3"/>
  <c r="G385" i="97" s="1"/>
  <c r="AO26" i="3"/>
  <c r="G565" i="97" s="1"/>
  <c r="BB26" i="3"/>
  <c r="G760" i="97" s="1"/>
  <c r="BN26" i="3"/>
  <c r="G940" i="97" s="1"/>
  <c r="Q26" i="3"/>
  <c r="G205" i="97" s="1"/>
  <c r="AD26" i="3"/>
  <c r="G400" i="97" s="1"/>
  <c r="AP26" i="3"/>
  <c r="G580" i="97" s="1"/>
  <c r="BC26" i="3"/>
  <c r="G775" i="97" s="1"/>
  <c r="BQ26" i="3"/>
  <c r="G985" i="97" s="1"/>
  <c r="R26" i="3"/>
  <c r="G220" i="97" s="1"/>
  <c r="AE26" i="3"/>
  <c r="G415" i="97" s="1"/>
  <c r="AS26" i="3"/>
  <c r="G625" i="97" s="1"/>
  <c r="BE26" i="3"/>
  <c r="G805" i="97" s="1"/>
  <c r="BR26" i="3"/>
  <c r="G1000" i="97" s="1"/>
  <c r="F26" i="3"/>
  <c r="G40" i="97" s="1"/>
  <c r="E26" i="3"/>
  <c r="G25" i="97" s="1"/>
  <c r="H36" i="3"/>
  <c r="P36" i="3"/>
  <c r="X36" i="3"/>
  <c r="AF36" i="3"/>
  <c r="AN36" i="3"/>
  <c r="AV36" i="3"/>
  <c r="BD36" i="3"/>
  <c r="BL36" i="3"/>
  <c r="BT36" i="3"/>
  <c r="J36" i="3"/>
  <c r="R36" i="3"/>
  <c r="Z36" i="3"/>
  <c r="AH36" i="3"/>
  <c r="AP36" i="3"/>
  <c r="AX36" i="3"/>
  <c r="BF36" i="3"/>
  <c r="BN36" i="3"/>
  <c r="BV36" i="3"/>
  <c r="K36" i="3"/>
  <c r="S36" i="3"/>
  <c r="AA36" i="3"/>
  <c r="AI36" i="3"/>
  <c r="AQ36" i="3"/>
  <c r="AY36" i="3"/>
  <c r="BO36" i="3"/>
  <c r="BW36" i="3"/>
  <c r="L36" i="3"/>
  <c r="T36" i="3"/>
  <c r="AB36" i="3"/>
  <c r="AJ36" i="3"/>
  <c r="AR36" i="3"/>
  <c r="AZ36" i="3"/>
  <c r="BH36" i="3"/>
  <c r="BP36" i="3"/>
  <c r="BX36" i="3"/>
  <c r="M36" i="3"/>
  <c r="U36" i="3"/>
  <c r="AC36" i="3"/>
  <c r="AK36" i="3"/>
  <c r="AS36" i="3"/>
  <c r="BA36" i="3"/>
  <c r="BI36" i="3"/>
  <c r="BQ36" i="3"/>
  <c r="BY36" i="3"/>
  <c r="F36" i="3"/>
  <c r="N36" i="3"/>
  <c r="V36" i="3"/>
  <c r="AD36" i="3"/>
  <c r="AL36" i="3"/>
  <c r="AT36" i="3"/>
  <c r="BB36" i="3"/>
  <c r="BJ36" i="3"/>
  <c r="BR36" i="3"/>
  <c r="I36" i="3"/>
  <c r="AO36" i="3"/>
  <c r="BU36" i="3"/>
  <c r="O36" i="3"/>
  <c r="AU36" i="3"/>
  <c r="Q36" i="3"/>
  <c r="AW36" i="3"/>
  <c r="W36" i="3"/>
  <c r="BC36" i="3"/>
  <c r="Y36" i="3"/>
  <c r="BE36" i="3"/>
  <c r="AE36" i="3"/>
  <c r="BK36" i="3"/>
  <c r="AG36" i="3"/>
  <c r="BM36" i="3"/>
  <c r="G36" i="3"/>
  <c r="AM36" i="3"/>
  <c r="BS36" i="3"/>
  <c r="E36" i="3"/>
  <c r="M47" i="3"/>
  <c r="U47" i="3"/>
  <c r="AC47" i="3"/>
  <c r="AK47" i="3"/>
  <c r="AS47" i="3"/>
  <c r="BA47" i="3"/>
  <c r="BI47" i="3"/>
  <c r="BQ47" i="3"/>
  <c r="BY47" i="3"/>
  <c r="G47" i="3"/>
  <c r="O47" i="3"/>
  <c r="W47" i="3"/>
  <c r="AE47" i="3"/>
  <c r="AM47" i="3"/>
  <c r="AU47" i="3"/>
  <c r="BC47" i="3"/>
  <c r="BK47" i="3"/>
  <c r="BS47" i="3"/>
  <c r="I47" i="3"/>
  <c r="Q47" i="3"/>
  <c r="Y47" i="3"/>
  <c r="AG47" i="3"/>
  <c r="AO47" i="3"/>
  <c r="AW47" i="3"/>
  <c r="BE47" i="3"/>
  <c r="BM47" i="3"/>
  <c r="BU47" i="3"/>
  <c r="J47" i="3"/>
  <c r="V47" i="3"/>
  <c r="AI47" i="3"/>
  <c r="AV47" i="3"/>
  <c r="BH47" i="3"/>
  <c r="BV47" i="3"/>
  <c r="AZ47" i="3"/>
  <c r="K47" i="3"/>
  <c r="X47" i="3"/>
  <c r="AJ47" i="3"/>
  <c r="AX47" i="3"/>
  <c r="BJ47" i="3"/>
  <c r="BW47" i="3"/>
  <c r="N47" i="3"/>
  <c r="AN47" i="3"/>
  <c r="L47" i="3"/>
  <c r="Z47" i="3"/>
  <c r="AL47" i="3"/>
  <c r="AY47" i="3"/>
  <c r="BL47" i="3"/>
  <c r="BX47" i="3"/>
  <c r="AA47" i="3"/>
  <c r="BN47" i="3"/>
  <c r="P47" i="3"/>
  <c r="AB47" i="3"/>
  <c r="AP47" i="3"/>
  <c r="BB47" i="3"/>
  <c r="BO47" i="3"/>
  <c r="H47" i="3"/>
  <c r="AH47" i="3"/>
  <c r="BT47" i="3"/>
  <c r="R47" i="3"/>
  <c r="AD47" i="3"/>
  <c r="AQ47" i="3"/>
  <c r="BD47" i="3"/>
  <c r="BP47" i="3"/>
  <c r="T47" i="3"/>
  <c r="F47" i="3"/>
  <c r="S47" i="3"/>
  <c r="AF47" i="3"/>
  <c r="AR47" i="3"/>
  <c r="BF47" i="3"/>
  <c r="BR47" i="3"/>
  <c r="AT47" i="3"/>
  <c r="E47" i="3"/>
  <c r="J20" i="3"/>
  <c r="R20" i="3"/>
  <c r="Z20" i="3"/>
  <c r="AH20" i="3"/>
  <c r="AP20" i="3"/>
  <c r="AX20" i="3"/>
  <c r="BF20" i="3"/>
  <c r="BN20" i="3"/>
  <c r="BV20" i="3"/>
  <c r="M20" i="3"/>
  <c r="U20" i="3"/>
  <c r="AC20" i="3"/>
  <c r="AK20" i="3"/>
  <c r="AS20" i="3"/>
  <c r="BA20" i="3"/>
  <c r="BI20" i="3"/>
  <c r="BQ20" i="3"/>
  <c r="BY20" i="3"/>
  <c r="F20" i="3"/>
  <c r="N20" i="3"/>
  <c r="V20" i="3"/>
  <c r="AD20" i="3"/>
  <c r="AL20" i="3"/>
  <c r="AT20" i="3"/>
  <c r="BB20" i="3"/>
  <c r="BJ20" i="3"/>
  <c r="BR20" i="3"/>
  <c r="H20" i="3"/>
  <c r="T20" i="3"/>
  <c r="AG20" i="3"/>
  <c r="AU20" i="3"/>
  <c r="BT20" i="3"/>
  <c r="L20" i="3"/>
  <c r="Y20" i="3"/>
  <c r="AM20" i="3"/>
  <c r="AY20" i="3"/>
  <c r="BL20" i="3"/>
  <c r="BX20" i="3"/>
  <c r="O20" i="3"/>
  <c r="AA20" i="3"/>
  <c r="AN20" i="3"/>
  <c r="AZ20" i="3"/>
  <c r="BM20" i="3"/>
  <c r="Q20" i="3"/>
  <c r="AJ20" i="3"/>
  <c r="BE20" i="3"/>
  <c r="S20" i="3"/>
  <c r="AO20" i="3"/>
  <c r="BH20" i="3"/>
  <c r="W20" i="3"/>
  <c r="AQ20" i="3"/>
  <c r="BK20" i="3"/>
  <c r="X20" i="3"/>
  <c r="AR20" i="3"/>
  <c r="BO20" i="3"/>
  <c r="G20" i="3"/>
  <c r="AB20" i="3"/>
  <c r="AV20" i="3"/>
  <c r="BP20" i="3"/>
  <c r="I20" i="3"/>
  <c r="AE20" i="3"/>
  <c r="AW20" i="3"/>
  <c r="BS20" i="3"/>
  <c r="K20" i="3"/>
  <c r="AF20" i="3"/>
  <c r="BC20" i="3"/>
  <c r="BU20" i="3"/>
  <c r="BD20" i="3"/>
  <c r="P20" i="3"/>
  <c r="AI20" i="3"/>
  <c r="BW20" i="3"/>
  <c r="E20" i="3"/>
  <c r="H33" i="3"/>
  <c r="P33" i="3"/>
  <c r="X33" i="3"/>
  <c r="AF33" i="3"/>
  <c r="AN33" i="3"/>
  <c r="AV33" i="3"/>
  <c r="BD33" i="3"/>
  <c r="BL33" i="3"/>
  <c r="BT33" i="3"/>
  <c r="K33" i="3"/>
  <c r="S33" i="3"/>
  <c r="AA33" i="3"/>
  <c r="AI33" i="3"/>
  <c r="AQ33" i="3"/>
  <c r="AY33" i="3"/>
  <c r="BO33" i="3"/>
  <c r="BW33" i="3"/>
  <c r="L33" i="3"/>
  <c r="T33" i="3"/>
  <c r="AB33" i="3"/>
  <c r="AJ33" i="3"/>
  <c r="AR33" i="3"/>
  <c r="AZ33" i="3"/>
  <c r="BH33" i="3"/>
  <c r="BP33" i="3"/>
  <c r="BX33" i="3"/>
  <c r="G33" i="3"/>
  <c r="U33" i="3"/>
  <c r="AG33" i="3"/>
  <c r="AT33" i="3"/>
  <c r="BF33" i="3"/>
  <c r="BS33" i="3"/>
  <c r="J33" i="3"/>
  <c r="W33" i="3"/>
  <c r="AK33" i="3"/>
  <c r="AW33" i="3"/>
  <c r="BJ33" i="3"/>
  <c r="BV33" i="3"/>
  <c r="M33" i="3"/>
  <c r="Y33" i="3"/>
  <c r="AL33" i="3"/>
  <c r="AX33" i="3"/>
  <c r="BK33" i="3"/>
  <c r="BY33" i="3"/>
  <c r="N33" i="3"/>
  <c r="Z33" i="3"/>
  <c r="AM33" i="3"/>
  <c r="BA33" i="3"/>
  <c r="BM33" i="3"/>
  <c r="O33" i="3"/>
  <c r="AC33" i="3"/>
  <c r="AO33" i="3"/>
  <c r="BB33" i="3"/>
  <c r="BN33" i="3"/>
  <c r="Q33" i="3"/>
  <c r="AD33" i="3"/>
  <c r="AP33" i="3"/>
  <c r="BC33" i="3"/>
  <c r="BQ33" i="3"/>
  <c r="V33" i="3"/>
  <c r="BU33" i="3"/>
  <c r="AE33" i="3"/>
  <c r="AH33" i="3"/>
  <c r="AS33" i="3"/>
  <c r="AU33" i="3"/>
  <c r="F33" i="3"/>
  <c r="BE33" i="3"/>
  <c r="I33" i="3"/>
  <c r="BI33" i="3"/>
  <c r="R33" i="3"/>
  <c r="BR33" i="3"/>
  <c r="E33" i="3"/>
  <c r="K18" i="3"/>
  <c r="S18" i="3"/>
  <c r="AA18" i="3"/>
  <c r="AI18" i="3"/>
  <c r="AQ18" i="3"/>
  <c r="AY18" i="3"/>
  <c r="BO18" i="3"/>
  <c r="BW18" i="3"/>
  <c r="F18" i="3"/>
  <c r="N18" i="3"/>
  <c r="V18" i="3"/>
  <c r="AD18" i="3"/>
  <c r="AL18" i="3"/>
  <c r="AT18" i="3"/>
  <c r="BB18" i="3"/>
  <c r="BJ18" i="3"/>
  <c r="G18" i="3"/>
  <c r="O18" i="3"/>
  <c r="W18" i="3"/>
  <c r="AE18" i="3"/>
  <c r="AM18" i="3"/>
  <c r="AU18" i="3"/>
  <c r="BC18" i="3"/>
  <c r="BK18" i="3"/>
  <c r="P18" i="3"/>
  <c r="AB18" i="3"/>
  <c r="AO18" i="3"/>
  <c r="BA18" i="3"/>
  <c r="BN18" i="3"/>
  <c r="BX18" i="3"/>
  <c r="H18" i="3"/>
  <c r="T18" i="3"/>
  <c r="AG18" i="3"/>
  <c r="AS18" i="3"/>
  <c r="BF18" i="3"/>
  <c r="BR18" i="3"/>
  <c r="I18" i="3"/>
  <c r="U18" i="3"/>
  <c r="AH18" i="3"/>
  <c r="AV18" i="3"/>
  <c r="BH18" i="3"/>
  <c r="BS18" i="3"/>
  <c r="Z18" i="3"/>
  <c r="AW18" i="3"/>
  <c r="BP18" i="3"/>
  <c r="M18" i="3"/>
  <c r="AJ18" i="3"/>
  <c r="BD18" i="3"/>
  <c r="BU18" i="3"/>
  <c r="Q18" i="3"/>
  <c r="AK18" i="3"/>
  <c r="BE18" i="3"/>
  <c r="BV18" i="3"/>
  <c r="J18" i="3"/>
  <c r="AP18" i="3"/>
  <c r="BT18" i="3"/>
  <c r="L18" i="3"/>
  <c r="AR18" i="3"/>
  <c r="BY18" i="3"/>
  <c r="R18" i="3"/>
  <c r="AX18" i="3"/>
  <c r="X18" i="3"/>
  <c r="AZ18" i="3"/>
  <c r="Y18" i="3"/>
  <c r="BI18" i="3"/>
  <c r="AC18" i="3"/>
  <c r="BL18" i="3"/>
  <c r="AF18" i="3"/>
  <c r="BM18" i="3"/>
  <c r="BQ18" i="3"/>
  <c r="AN18" i="3"/>
  <c r="E18" i="3"/>
  <c r="N6" i="3"/>
  <c r="V6" i="3"/>
  <c r="AD6" i="3"/>
  <c r="AL6" i="3"/>
  <c r="AT6" i="3"/>
  <c r="BB6" i="3"/>
  <c r="BJ6" i="3"/>
  <c r="BR6" i="3"/>
  <c r="F6" i="3"/>
  <c r="E6" i="3"/>
  <c r="H6" i="3"/>
  <c r="P6" i="3"/>
  <c r="X6" i="3"/>
  <c r="AF6" i="3"/>
  <c r="AN6" i="3"/>
  <c r="AV6" i="3"/>
  <c r="BD6" i="3"/>
  <c r="BL6" i="3"/>
  <c r="BT6" i="3"/>
  <c r="J6" i="3"/>
  <c r="R6" i="3"/>
  <c r="Z6" i="3"/>
  <c r="AH6" i="3"/>
  <c r="AP6" i="3"/>
  <c r="AX6" i="3"/>
  <c r="BF6" i="3"/>
  <c r="BN6" i="3"/>
  <c r="BV6" i="3"/>
  <c r="S6" i="3"/>
  <c r="AE6" i="3"/>
  <c r="AR6" i="3"/>
  <c r="BE6" i="3"/>
  <c r="BQ6" i="3"/>
  <c r="W6" i="3"/>
  <c r="BI6" i="3"/>
  <c r="Q6" i="3"/>
  <c r="G6" i="3"/>
  <c r="T6" i="3"/>
  <c r="AG6" i="3"/>
  <c r="AS6" i="3"/>
  <c r="BS6" i="3"/>
  <c r="AJ6" i="3"/>
  <c r="BW6" i="3"/>
  <c r="BP6" i="3"/>
  <c r="I6" i="3"/>
  <c r="U6" i="3"/>
  <c r="AI6" i="3"/>
  <c r="AU6" i="3"/>
  <c r="BH6" i="3"/>
  <c r="BU6" i="3"/>
  <c r="K6" i="3"/>
  <c r="AW6" i="3"/>
  <c r="L6" i="3"/>
  <c r="Y6" i="3"/>
  <c r="AK6" i="3"/>
  <c r="AY6" i="3"/>
  <c r="BK6" i="3"/>
  <c r="BX6" i="3"/>
  <c r="AM6" i="3"/>
  <c r="BY6" i="3"/>
  <c r="BO6" i="3"/>
  <c r="AQ6" i="3"/>
  <c r="M6" i="3"/>
  <c r="AA6" i="3"/>
  <c r="AZ6" i="3"/>
  <c r="BM6" i="3"/>
  <c r="BC6" i="3"/>
  <c r="O6" i="3"/>
  <c r="AB6" i="3"/>
  <c r="AO6" i="3"/>
  <c r="BA6" i="3"/>
  <c r="AC6" i="3"/>
  <c r="J9" i="3"/>
  <c r="G99" i="97" s="1"/>
  <c r="R9" i="3"/>
  <c r="G219" i="97" s="1"/>
  <c r="Z9" i="3"/>
  <c r="G339" i="97" s="1"/>
  <c r="AH9" i="3"/>
  <c r="G459" i="97" s="1"/>
  <c r="AP9" i="3"/>
  <c r="G579" i="97" s="1"/>
  <c r="AX9" i="3"/>
  <c r="G699" i="97" s="1"/>
  <c r="BF9" i="3"/>
  <c r="G819" i="97" s="1"/>
  <c r="BN9" i="3"/>
  <c r="G939" i="97" s="1"/>
  <c r="BV9" i="3"/>
  <c r="G1059" i="97" s="1"/>
  <c r="K9" i="3"/>
  <c r="G114" i="97" s="1"/>
  <c r="S9" i="3"/>
  <c r="G234" i="97" s="1"/>
  <c r="AA9" i="3"/>
  <c r="G354" i="97" s="1"/>
  <c r="AI9" i="3"/>
  <c r="G474" i="97" s="1"/>
  <c r="AQ9" i="3"/>
  <c r="G594" i="97" s="1"/>
  <c r="AY9" i="3"/>
  <c r="G714" i="97" s="1"/>
  <c r="G834" i="97"/>
  <c r="BO9" i="3"/>
  <c r="G954" i="97" s="1"/>
  <c r="BW9" i="3"/>
  <c r="G1074" i="97" s="1"/>
  <c r="L9" i="3"/>
  <c r="G129" i="97" s="1"/>
  <c r="T9" i="3"/>
  <c r="G249" i="97" s="1"/>
  <c r="AB9" i="3"/>
  <c r="G369" i="97" s="1"/>
  <c r="AJ9" i="3"/>
  <c r="G489" i="97" s="1"/>
  <c r="AR9" i="3"/>
  <c r="G609" i="97" s="1"/>
  <c r="AZ9" i="3"/>
  <c r="G729" i="97" s="1"/>
  <c r="BH9" i="3"/>
  <c r="G849" i="97" s="1"/>
  <c r="BP9" i="3"/>
  <c r="G969" i="97" s="1"/>
  <c r="BX9" i="3"/>
  <c r="G1089" i="97" s="1"/>
  <c r="F9" i="3"/>
  <c r="G39" i="97" s="1"/>
  <c r="Q9" i="3"/>
  <c r="G204" i="97" s="1"/>
  <c r="AE9" i="3"/>
  <c r="G414" i="97" s="1"/>
  <c r="AS9" i="3"/>
  <c r="G624" i="97" s="1"/>
  <c r="BD9" i="3"/>
  <c r="G789" i="97" s="1"/>
  <c r="BR9" i="3"/>
  <c r="G999" i="97" s="1"/>
  <c r="I9" i="3"/>
  <c r="G84" i="97" s="1"/>
  <c r="W9" i="3"/>
  <c r="G294" i="97" s="1"/>
  <c r="AK9" i="3"/>
  <c r="G504" i="97" s="1"/>
  <c r="AV9" i="3"/>
  <c r="G669" i="97" s="1"/>
  <c r="BJ9" i="3"/>
  <c r="G879" i="97" s="1"/>
  <c r="BU9" i="3"/>
  <c r="G1044" i="97" s="1"/>
  <c r="M9" i="3"/>
  <c r="G144" i="97" s="1"/>
  <c r="X9" i="3"/>
  <c r="G309" i="97" s="1"/>
  <c r="AL9" i="3"/>
  <c r="G519" i="97" s="1"/>
  <c r="AW9" i="3"/>
  <c r="G684" i="97" s="1"/>
  <c r="BK9" i="3"/>
  <c r="G894" i="97" s="1"/>
  <c r="BY9" i="3"/>
  <c r="G1104" i="97" s="1"/>
  <c r="H9" i="3"/>
  <c r="G69" i="97" s="1"/>
  <c r="AD9" i="3"/>
  <c r="G399" i="97" s="1"/>
  <c r="BA9" i="3"/>
  <c r="G744" i="97" s="1"/>
  <c r="BS9" i="3"/>
  <c r="G1014" i="97" s="1"/>
  <c r="P9" i="3"/>
  <c r="G189" i="97" s="1"/>
  <c r="AM9" i="3"/>
  <c r="G534" i="97" s="1"/>
  <c r="BE9" i="3"/>
  <c r="G804" i="97" s="1"/>
  <c r="U9" i="3"/>
  <c r="G264" i="97" s="1"/>
  <c r="AN9" i="3"/>
  <c r="G549" i="97" s="1"/>
  <c r="BI9" i="3"/>
  <c r="G864" i="97" s="1"/>
  <c r="AF9" i="3"/>
  <c r="G429" i="97" s="1"/>
  <c r="BM9" i="3"/>
  <c r="G924" i="97" s="1"/>
  <c r="N9" i="3"/>
  <c r="G159" i="97" s="1"/>
  <c r="AT9" i="3"/>
  <c r="G639" i="97" s="1"/>
  <c r="O9" i="3"/>
  <c r="G174" i="97" s="1"/>
  <c r="AU9" i="3"/>
  <c r="G654" i="97" s="1"/>
  <c r="Y9" i="3"/>
  <c r="G324" i="97" s="1"/>
  <c r="BT9" i="3"/>
  <c r="G1029" i="97" s="1"/>
  <c r="AC9" i="3"/>
  <c r="G384" i="97" s="1"/>
  <c r="AG9" i="3"/>
  <c r="G444" i="97" s="1"/>
  <c r="AO9" i="3"/>
  <c r="G564" i="97" s="1"/>
  <c r="BB9" i="3"/>
  <c r="G759" i="97" s="1"/>
  <c r="BC9" i="3"/>
  <c r="G774" i="97" s="1"/>
  <c r="G9" i="3"/>
  <c r="G54" i="97" s="1"/>
  <c r="BL9" i="3"/>
  <c r="G909" i="97" s="1"/>
  <c r="V9" i="3"/>
  <c r="G279" i="97" s="1"/>
  <c r="BQ9" i="3"/>
  <c r="G984" i="97" s="1"/>
  <c r="E9" i="3"/>
  <c r="G24" i="97" s="1"/>
  <c r="K42" i="3"/>
  <c r="S42" i="3"/>
  <c r="AA42" i="3"/>
  <c r="AI42" i="3"/>
  <c r="AQ42" i="3"/>
  <c r="AY42" i="3"/>
  <c r="BO42" i="3"/>
  <c r="BW42" i="3"/>
  <c r="L42" i="3"/>
  <c r="T42" i="3"/>
  <c r="AB42" i="3"/>
  <c r="AJ42" i="3"/>
  <c r="AR42" i="3"/>
  <c r="AZ42" i="3"/>
  <c r="BH42" i="3"/>
  <c r="BP42" i="3"/>
  <c r="BX42" i="3"/>
  <c r="M42" i="3"/>
  <c r="U42" i="3"/>
  <c r="AC42" i="3"/>
  <c r="AK42" i="3"/>
  <c r="AS42" i="3"/>
  <c r="BA42" i="3"/>
  <c r="BI42" i="3"/>
  <c r="BQ42" i="3"/>
  <c r="BY42" i="3"/>
  <c r="BJ42" i="3"/>
  <c r="F42" i="3"/>
  <c r="N42" i="3"/>
  <c r="V42" i="3"/>
  <c r="AD42" i="3"/>
  <c r="AL42" i="3"/>
  <c r="AT42" i="3"/>
  <c r="BB42" i="3"/>
  <c r="BR42" i="3"/>
  <c r="G42" i="3"/>
  <c r="O42" i="3"/>
  <c r="W42" i="3"/>
  <c r="AE42" i="3"/>
  <c r="AM42" i="3"/>
  <c r="AU42" i="3"/>
  <c r="BC42" i="3"/>
  <c r="BK42" i="3"/>
  <c r="BS42" i="3"/>
  <c r="BL42" i="3"/>
  <c r="H42" i="3"/>
  <c r="P42" i="3"/>
  <c r="X42" i="3"/>
  <c r="AF42" i="3"/>
  <c r="AN42" i="3"/>
  <c r="AV42" i="3"/>
  <c r="BD42" i="3"/>
  <c r="BT42" i="3"/>
  <c r="I42" i="3"/>
  <c r="Q42" i="3"/>
  <c r="Y42" i="3"/>
  <c r="AG42" i="3"/>
  <c r="AO42" i="3"/>
  <c r="AW42" i="3"/>
  <c r="BE42" i="3"/>
  <c r="BM42" i="3"/>
  <c r="BU42" i="3"/>
  <c r="E42" i="3"/>
  <c r="AX42" i="3"/>
  <c r="J42" i="3"/>
  <c r="BF42" i="3"/>
  <c r="BN42" i="3"/>
  <c r="BV42" i="3"/>
  <c r="R42" i="3"/>
  <c r="Z42" i="3"/>
  <c r="AH42" i="3"/>
  <c r="AP42" i="3"/>
  <c r="J39" i="3"/>
  <c r="R39" i="3"/>
  <c r="Z39" i="3"/>
  <c r="AH39" i="3"/>
  <c r="AP39" i="3"/>
  <c r="AX39" i="3"/>
  <c r="BF39" i="3"/>
  <c r="BN39" i="3"/>
  <c r="BV39" i="3"/>
  <c r="K39" i="3"/>
  <c r="S39" i="3"/>
  <c r="AA39" i="3"/>
  <c r="AI39" i="3"/>
  <c r="AQ39" i="3"/>
  <c r="AY39" i="3"/>
  <c r="BO39" i="3"/>
  <c r="BW39" i="3"/>
  <c r="L39" i="3"/>
  <c r="T39" i="3"/>
  <c r="AB39" i="3"/>
  <c r="AJ39" i="3"/>
  <c r="AR39" i="3"/>
  <c r="AZ39" i="3"/>
  <c r="BH39" i="3"/>
  <c r="BP39" i="3"/>
  <c r="BX39" i="3"/>
  <c r="M39" i="3"/>
  <c r="U39" i="3"/>
  <c r="AC39" i="3"/>
  <c r="AK39" i="3"/>
  <c r="AS39" i="3"/>
  <c r="BA39" i="3"/>
  <c r="BI39" i="3"/>
  <c r="BQ39" i="3"/>
  <c r="BY39" i="3"/>
  <c r="F39" i="3"/>
  <c r="N39" i="3"/>
  <c r="V39" i="3"/>
  <c r="AD39" i="3"/>
  <c r="AL39" i="3"/>
  <c r="AT39" i="3"/>
  <c r="BB39" i="3"/>
  <c r="BJ39" i="3"/>
  <c r="BR39" i="3"/>
  <c r="H39" i="3"/>
  <c r="AE39" i="3"/>
  <c r="AW39" i="3"/>
  <c r="BT39" i="3"/>
  <c r="I39" i="3"/>
  <c r="AF39" i="3"/>
  <c r="BC39" i="3"/>
  <c r="BU39" i="3"/>
  <c r="O39" i="3"/>
  <c r="AG39" i="3"/>
  <c r="BD39" i="3"/>
  <c r="P39" i="3"/>
  <c r="AM39" i="3"/>
  <c r="BE39" i="3"/>
  <c r="Q39" i="3"/>
  <c r="AN39" i="3"/>
  <c r="BK39" i="3"/>
  <c r="W39" i="3"/>
  <c r="AO39" i="3"/>
  <c r="BL39" i="3"/>
  <c r="X39" i="3"/>
  <c r="AU39" i="3"/>
  <c r="BM39" i="3"/>
  <c r="G39" i="3"/>
  <c r="Y39" i="3"/>
  <c r="BS39" i="3"/>
  <c r="E39" i="3"/>
  <c r="AV39" i="3"/>
  <c r="J15" i="3"/>
  <c r="R15" i="3"/>
  <c r="Z15" i="3"/>
  <c r="AH15" i="3"/>
  <c r="AP15" i="3"/>
  <c r="AX15" i="3"/>
  <c r="BF15" i="3"/>
  <c r="BN15" i="3"/>
  <c r="BV15" i="3"/>
  <c r="K15" i="3"/>
  <c r="S15" i="3"/>
  <c r="AA15" i="3"/>
  <c r="AI15" i="3"/>
  <c r="AQ15" i="3"/>
  <c r="AY15" i="3"/>
  <c r="BO15" i="3"/>
  <c r="BW15" i="3"/>
  <c r="I15" i="3"/>
  <c r="U15" i="3"/>
  <c r="AE15" i="3"/>
  <c r="AO15" i="3"/>
  <c r="BA15" i="3"/>
  <c r="BK15" i="3"/>
  <c r="BU15" i="3"/>
  <c r="N15" i="3"/>
  <c r="X15" i="3"/>
  <c r="AJ15" i="3"/>
  <c r="AT15" i="3"/>
  <c r="BD15" i="3"/>
  <c r="BP15" i="3"/>
  <c r="O15" i="3"/>
  <c r="Y15" i="3"/>
  <c r="AK15" i="3"/>
  <c r="AU15" i="3"/>
  <c r="BE15" i="3"/>
  <c r="BQ15" i="3"/>
  <c r="P15" i="3"/>
  <c r="AF15" i="3"/>
  <c r="AW15" i="3"/>
  <c r="BM15" i="3"/>
  <c r="F15" i="3"/>
  <c r="V15" i="3"/>
  <c r="AM15" i="3"/>
  <c r="BC15" i="3"/>
  <c r="BT15" i="3"/>
  <c r="G15" i="3"/>
  <c r="W15" i="3"/>
  <c r="AN15" i="3"/>
  <c r="BH15" i="3"/>
  <c r="BX15" i="3"/>
  <c r="M15" i="3"/>
  <c r="AR15" i="3"/>
  <c r="BR15" i="3"/>
  <c r="AB15" i="3"/>
  <c r="AZ15" i="3"/>
  <c r="AC15" i="3"/>
  <c r="BB15" i="3"/>
  <c r="AS15" i="3"/>
  <c r="H15" i="3"/>
  <c r="AV15" i="3"/>
  <c r="L15" i="3"/>
  <c r="BI15" i="3"/>
  <c r="Q15" i="3"/>
  <c r="BJ15" i="3"/>
  <c r="T15" i="3"/>
  <c r="BL15" i="3"/>
  <c r="AD15" i="3"/>
  <c r="BS15" i="3"/>
  <c r="AG15" i="3"/>
  <c r="BY15" i="3"/>
  <c r="AL15" i="3"/>
  <c r="E15" i="3"/>
  <c r="M51" i="3"/>
  <c r="U51" i="3"/>
  <c r="AC51" i="3"/>
  <c r="AK51" i="3"/>
  <c r="AS51" i="3"/>
  <c r="BA51" i="3"/>
  <c r="BI51" i="3"/>
  <c r="BQ51" i="3"/>
  <c r="BY51" i="3"/>
  <c r="G51" i="3"/>
  <c r="O51" i="3"/>
  <c r="W51" i="3"/>
  <c r="AE51" i="3"/>
  <c r="AM51" i="3"/>
  <c r="AU51" i="3"/>
  <c r="BC51" i="3"/>
  <c r="BK51" i="3"/>
  <c r="BS51" i="3"/>
  <c r="I51" i="3"/>
  <c r="Q51" i="3"/>
  <c r="Y51" i="3"/>
  <c r="AG51" i="3"/>
  <c r="AO51" i="3"/>
  <c r="AW51" i="3"/>
  <c r="BE51" i="3"/>
  <c r="BM51" i="3"/>
  <c r="BU51" i="3"/>
  <c r="P51" i="3"/>
  <c r="AB51" i="3"/>
  <c r="AP51" i="3"/>
  <c r="BB51" i="3"/>
  <c r="BO51" i="3"/>
  <c r="T51" i="3"/>
  <c r="BT51" i="3"/>
  <c r="R51" i="3"/>
  <c r="AD51" i="3"/>
  <c r="AQ51" i="3"/>
  <c r="BD51" i="3"/>
  <c r="BP51" i="3"/>
  <c r="E51" i="3"/>
  <c r="AH51" i="3"/>
  <c r="F51" i="3"/>
  <c r="S51" i="3"/>
  <c r="AF51" i="3"/>
  <c r="AR51" i="3"/>
  <c r="BF51" i="3"/>
  <c r="BR51" i="3"/>
  <c r="H51" i="3"/>
  <c r="AT51" i="3"/>
  <c r="J51" i="3"/>
  <c r="V51" i="3"/>
  <c r="AI51" i="3"/>
  <c r="AV51" i="3"/>
  <c r="BH51" i="3"/>
  <c r="BV51" i="3"/>
  <c r="N51" i="3"/>
  <c r="AZ51" i="3"/>
  <c r="K51" i="3"/>
  <c r="X51" i="3"/>
  <c r="AJ51" i="3"/>
  <c r="AX51" i="3"/>
  <c r="BJ51" i="3"/>
  <c r="BW51" i="3"/>
  <c r="AN51" i="3"/>
  <c r="L51" i="3"/>
  <c r="Z51" i="3"/>
  <c r="AL51" i="3"/>
  <c r="AY51" i="3"/>
  <c r="BL51" i="3"/>
  <c r="BX51" i="3"/>
  <c r="AA51" i="3"/>
  <c r="BN51" i="3"/>
  <c r="K17" i="3"/>
  <c r="S17" i="3"/>
  <c r="AA17" i="3"/>
  <c r="AI17" i="3"/>
  <c r="AQ17" i="3"/>
  <c r="AY17" i="3"/>
  <c r="BO17" i="3"/>
  <c r="BW17" i="3"/>
  <c r="F17" i="3"/>
  <c r="N17" i="3"/>
  <c r="V17" i="3"/>
  <c r="AD17" i="3"/>
  <c r="AL17" i="3"/>
  <c r="AT17" i="3"/>
  <c r="BB17" i="3"/>
  <c r="BJ17" i="3"/>
  <c r="BR17" i="3"/>
  <c r="G17" i="3"/>
  <c r="O17" i="3"/>
  <c r="W17" i="3"/>
  <c r="AE17" i="3"/>
  <c r="AM17" i="3"/>
  <c r="AU17" i="3"/>
  <c r="BC17" i="3"/>
  <c r="BK17" i="3"/>
  <c r="BS17" i="3"/>
  <c r="J17" i="3"/>
  <c r="X17" i="3"/>
  <c r="AJ17" i="3"/>
  <c r="AW17" i="3"/>
  <c r="BI17" i="3"/>
  <c r="BV17" i="3"/>
  <c r="P17" i="3"/>
  <c r="AB17" i="3"/>
  <c r="AO17" i="3"/>
  <c r="BA17" i="3"/>
  <c r="BN17" i="3"/>
  <c r="Q17" i="3"/>
  <c r="AC17" i="3"/>
  <c r="AP17" i="3"/>
  <c r="BD17" i="3"/>
  <c r="BP17" i="3"/>
  <c r="R17" i="3"/>
  <c r="AK17" i="3"/>
  <c r="BF17" i="3"/>
  <c r="BY17" i="3"/>
  <c r="Y17" i="3"/>
  <c r="AS17" i="3"/>
  <c r="BM17" i="3"/>
  <c r="H17" i="3"/>
  <c r="Z17" i="3"/>
  <c r="AV17" i="3"/>
  <c r="BQ17" i="3"/>
  <c r="M17" i="3"/>
  <c r="AX17" i="3"/>
  <c r="T17" i="3"/>
  <c r="AZ17" i="3"/>
  <c r="U17" i="3"/>
  <c r="BE17" i="3"/>
  <c r="AF17" i="3"/>
  <c r="BH17" i="3"/>
  <c r="AG17" i="3"/>
  <c r="BL17" i="3"/>
  <c r="AH17" i="3"/>
  <c r="BT17" i="3"/>
  <c r="I17" i="3"/>
  <c r="AN17" i="3"/>
  <c r="BU17" i="3"/>
  <c r="BX17" i="3"/>
  <c r="L17" i="3"/>
  <c r="AR17" i="3"/>
  <c r="E17" i="3"/>
  <c r="J38" i="3"/>
  <c r="R38" i="3"/>
  <c r="Z38" i="3"/>
  <c r="AH38" i="3"/>
  <c r="AP38" i="3"/>
  <c r="AX38" i="3"/>
  <c r="BF38" i="3"/>
  <c r="BN38" i="3"/>
  <c r="BV38" i="3"/>
  <c r="K38" i="3"/>
  <c r="S38" i="3"/>
  <c r="AA38" i="3"/>
  <c r="AI38" i="3"/>
  <c r="AQ38" i="3"/>
  <c r="AY38" i="3"/>
  <c r="BO38" i="3"/>
  <c r="BW38" i="3"/>
  <c r="L38" i="3"/>
  <c r="T38" i="3"/>
  <c r="AB38" i="3"/>
  <c r="AJ38" i="3"/>
  <c r="AR38" i="3"/>
  <c r="AZ38" i="3"/>
  <c r="BH38" i="3"/>
  <c r="BP38" i="3"/>
  <c r="BX38" i="3"/>
  <c r="M38" i="3"/>
  <c r="U38" i="3"/>
  <c r="AC38" i="3"/>
  <c r="AK38" i="3"/>
  <c r="AS38" i="3"/>
  <c r="BA38" i="3"/>
  <c r="BI38" i="3"/>
  <c r="BQ38" i="3"/>
  <c r="BY38" i="3"/>
  <c r="F38" i="3"/>
  <c r="N38" i="3"/>
  <c r="V38" i="3"/>
  <c r="AD38" i="3"/>
  <c r="AL38" i="3"/>
  <c r="AT38" i="3"/>
  <c r="BB38" i="3"/>
  <c r="BJ38" i="3"/>
  <c r="BR38" i="3"/>
  <c r="P38" i="3"/>
  <c r="AM38" i="3"/>
  <c r="BE38" i="3"/>
  <c r="Q38" i="3"/>
  <c r="AN38" i="3"/>
  <c r="BK38" i="3"/>
  <c r="W38" i="3"/>
  <c r="AO38" i="3"/>
  <c r="BL38" i="3"/>
  <c r="E38" i="3"/>
  <c r="X38" i="3"/>
  <c r="AU38" i="3"/>
  <c r="BM38" i="3"/>
  <c r="G38" i="3"/>
  <c r="Y38" i="3"/>
  <c r="AV38" i="3"/>
  <c r="BS38" i="3"/>
  <c r="H38" i="3"/>
  <c r="AE38" i="3"/>
  <c r="AW38" i="3"/>
  <c r="BT38" i="3"/>
  <c r="I38" i="3"/>
  <c r="AF38" i="3"/>
  <c r="BC38" i="3"/>
  <c r="BU38" i="3"/>
  <c r="O38" i="3"/>
  <c r="AG38" i="3"/>
  <c r="BD38" i="3"/>
  <c r="H34" i="3"/>
  <c r="G68" i="97" s="1"/>
  <c r="G188" i="97"/>
  <c r="X34" i="3"/>
  <c r="G308" i="97" s="1"/>
  <c r="AF34" i="3"/>
  <c r="G428" i="97" s="1"/>
  <c r="AN34" i="3"/>
  <c r="G548" i="97" s="1"/>
  <c r="AV34" i="3"/>
  <c r="G668" i="97" s="1"/>
  <c r="BD34" i="3"/>
  <c r="G788" i="97" s="1"/>
  <c r="BL34" i="3"/>
  <c r="G908" i="97" s="1"/>
  <c r="BT34" i="3"/>
  <c r="G1028" i="97" s="1"/>
  <c r="K34" i="3"/>
  <c r="G113" i="97" s="1"/>
  <c r="S34" i="3"/>
  <c r="G233" i="97" s="1"/>
  <c r="AA34" i="3"/>
  <c r="G353" i="97" s="1"/>
  <c r="AI34" i="3"/>
  <c r="G473" i="97" s="1"/>
  <c r="AQ34" i="3"/>
  <c r="G593" i="97" s="1"/>
  <c r="AY34" i="3"/>
  <c r="G713" i="97" s="1"/>
  <c r="G833" i="97"/>
  <c r="BO34" i="3"/>
  <c r="G953" i="97" s="1"/>
  <c r="BW34" i="3"/>
  <c r="G1073" i="97" s="1"/>
  <c r="L34" i="3"/>
  <c r="G128" i="97" s="1"/>
  <c r="T34" i="3"/>
  <c r="G248" i="97" s="1"/>
  <c r="AB34" i="3"/>
  <c r="G368" i="97" s="1"/>
  <c r="AJ34" i="3"/>
  <c r="G488" i="97" s="1"/>
  <c r="AR34" i="3"/>
  <c r="G608" i="97" s="1"/>
  <c r="AZ34" i="3"/>
  <c r="G728" i="97" s="1"/>
  <c r="BH34" i="3"/>
  <c r="G848" i="97" s="1"/>
  <c r="BP34" i="3"/>
  <c r="G968" i="97" s="1"/>
  <c r="BX34" i="3"/>
  <c r="G1088" i="97" s="1"/>
  <c r="M34" i="3"/>
  <c r="G143" i="97" s="1"/>
  <c r="Y34" i="3"/>
  <c r="G323" i="97" s="1"/>
  <c r="AL34" i="3"/>
  <c r="G518" i="97" s="1"/>
  <c r="AX34" i="3"/>
  <c r="G698" i="97" s="1"/>
  <c r="BK34" i="3"/>
  <c r="G893" i="97" s="1"/>
  <c r="BY34" i="3"/>
  <c r="G1103" i="97" s="1"/>
  <c r="O34" i="3"/>
  <c r="G173" i="97" s="1"/>
  <c r="AC34" i="3"/>
  <c r="G383" i="97" s="1"/>
  <c r="AO34" i="3"/>
  <c r="G563" i="97" s="1"/>
  <c r="BB34" i="3"/>
  <c r="G758" i="97" s="1"/>
  <c r="BN34" i="3"/>
  <c r="G938" i="97" s="1"/>
  <c r="Q34" i="3"/>
  <c r="G203" i="97" s="1"/>
  <c r="AD34" i="3"/>
  <c r="G398" i="97" s="1"/>
  <c r="AP34" i="3"/>
  <c r="G578" i="97" s="1"/>
  <c r="BC34" i="3"/>
  <c r="G773" i="97" s="1"/>
  <c r="BQ34" i="3"/>
  <c r="G983" i="97" s="1"/>
  <c r="F34" i="3"/>
  <c r="G38" i="97" s="1"/>
  <c r="R34" i="3"/>
  <c r="G218" i="97" s="1"/>
  <c r="AE34" i="3"/>
  <c r="G413" i="97" s="1"/>
  <c r="AS34" i="3"/>
  <c r="G623" i="97" s="1"/>
  <c r="BE34" i="3"/>
  <c r="G803" i="97" s="1"/>
  <c r="BR34" i="3"/>
  <c r="G998" i="97" s="1"/>
  <c r="G34" i="3"/>
  <c r="G53" i="97" s="1"/>
  <c r="U34" i="3"/>
  <c r="G263" i="97" s="1"/>
  <c r="AG34" i="3"/>
  <c r="G443" i="97" s="1"/>
  <c r="AT34" i="3"/>
  <c r="G638" i="97" s="1"/>
  <c r="BF34" i="3"/>
  <c r="G818" i="97" s="1"/>
  <c r="BS34" i="3"/>
  <c r="G1013" i="97" s="1"/>
  <c r="I34" i="3"/>
  <c r="G83" i="97" s="1"/>
  <c r="V34" i="3"/>
  <c r="G278" i="97" s="1"/>
  <c r="AH34" i="3"/>
  <c r="G458" i="97" s="1"/>
  <c r="AU34" i="3"/>
  <c r="G653" i="97" s="1"/>
  <c r="BI34" i="3"/>
  <c r="G863" i="97" s="1"/>
  <c r="BU34" i="3"/>
  <c r="G1043" i="97" s="1"/>
  <c r="BA34" i="3"/>
  <c r="G743" i="97" s="1"/>
  <c r="J34" i="3"/>
  <c r="G98" i="97" s="1"/>
  <c r="BJ34" i="3"/>
  <c r="G878" i="97" s="1"/>
  <c r="N34" i="3"/>
  <c r="G158" i="97" s="1"/>
  <c r="BM34" i="3"/>
  <c r="G923" i="97" s="1"/>
  <c r="W34" i="3"/>
  <c r="G293" i="97" s="1"/>
  <c r="BV34" i="3"/>
  <c r="G1058" i="97" s="1"/>
  <c r="Z34" i="3"/>
  <c r="G338" i="97" s="1"/>
  <c r="AK34" i="3"/>
  <c r="G503" i="97" s="1"/>
  <c r="AM34" i="3"/>
  <c r="G533" i="97" s="1"/>
  <c r="E34" i="3"/>
  <c r="G23" i="97" s="1"/>
  <c r="AW34" i="3"/>
  <c r="G683" i="97" s="1"/>
  <c r="H30" i="3"/>
  <c r="P30" i="3"/>
  <c r="X30" i="3"/>
  <c r="AF30" i="3"/>
  <c r="AN30" i="3"/>
  <c r="AV30" i="3"/>
  <c r="BD30" i="3"/>
  <c r="BL30" i="3"/>
  <c r="BT30" i="3"/>
  <c r="K30" i="3"/>
  <c r="S30" i="3"/>
  <c r="AA30" i="3"/>
  <c r="AI30" i="3"/>
  <c r="AQ30" i="3"/>
  <c r="AY30" i="3"/>
  <c r="BO30" i="3"/>
  <c r="BW30" i="3"/>
  <c r="L30" i="3"/>
  <c r="T30" i="3"/>
  <c r="AB30" i="3"/>
  <c r="AJ30" i="3"/>
  <c r="AR30" i="3"/>
  <c r="AZ30" i="3"/>
  <c r="BH30" i="3"/>
  <c r="BP30" i="3"/>
  <c r="BX30" i="3"/>
  <c r="N30" i="3"/>
  <c r="Z30" i="3"/>
  <c r="AM30" i="3"/>
  <c r="BA30" i="3"/>
  <c r="BM30" i="3"/>
  <c r="O30" i="3"/>
  <c r="AC30" i="3"/>
  <c r="AO30" i="3"/>
  <c r="BB30" i="3"/>
  <c r="BN30" i="3"/>
  <c r="Q30" i="3"/>
  <c r="AD30" i="3"/>
  <c r="AP30" i="3"/>
  <c r="BC30" i="3"/>
  <c r="BQ30" i="3"/>
  <c r="F30" i="3"/>
  <c r="R30" i="3"/>
  <c r="AE30" i="3"/>
  <c r="AS30" i="3"/>
  <c r="BE30" i="3"/>
  <c r="BR30" i="3"/>
  <c r="G30" i="3"/>
  <c r="U30" i="3"/>
  <c r="AG30" i="3"/>
  <c r="AT30" i="3"/>
  <c r="BF30" i="3"/>
  <c r="BS30" i="3"/>
  <c r="I30" i="3"/>
  <c r="V30" i="3"/>
  <c r="AH30" i="3"/>
  <c r="AU30" i="3"/>
  <c r="BI30" i="3"/>
  <c r="BU30" i="3"/>
  <c r="J30" i="3"/>
  <c r="W30" i="3"/>
  <c r="AK30" i="3"/>
  <c r="AW30" i="3"/>
  <c r="BJ30" i="3"/>
  <c r="BV30" i="3"/>
  <c r="M30" i="3"/>
  <c r="AL30" i="3"/>
  <c r="AX30" i="3"/>
  <c r="BK30" i="3"/>
  <c r="BY30" i="3"/>
  <c r="Y30" i="3"/>
  <c r="E30" i="3"/>
  <c r="K45" i="3"/>
  <c r="L45" i="3"/>
  <c r="M45" i="3"/>
  <c r="U45" i="3"/>
  <c r="AC45" i="3"/>
  <c r="AK45" i="3"/>
  <c r="AS45" i="3"/>
  <c r="BA45" i="3"/>
  <c r="BI45" i="3"/>
  <c r="BQ45" i="3"/>
  <c r="BY45" i="3"/>
  <c r="N45" i="3"/>
  <c r="V45" i="3"/>
  <c r="AL45" i="3"/>
  <c r="BB45" i="3"/>
  <c r="BR45" i="3"/>
  <c r="F45" i="3"/>
  <c r="AD45" i="3"/>
  <c r="AT45" i="3"/>
  <c r="BJ45" i="3"/>
  <c r="G45" i="3"/>
  <c r="O45" i="3"/>
  <c r="W45" i="3"/>
  <c r="AE45" i="3"/>
  <c r="AM45" i="3"/>
  <c r="AU45" i="3"/>
  <c r="BC45" i="3"/>
  <c r="BK45" i="3"/>
  <c r="BS45" i="3"/>
  <c r="P45" i="3"/>
  <c r="AF45" i="3"/>
  <c r="AV45" i="3"/>
  <c r="BL45" i="3"/>
  <c r="H45" i="3"/>
  <c r="X45" i="3"/>
  <c r="AN45" i="3"/>
  <c r="BD45" i="3"/>
  <c r="BT45" i="3"/>
  <c r="I45" i="3"/>
  <c r="Q45" i="3"/>
  <c r="Y45" i="3"/>
  <c r="AG45" i="3"/>
  <c r="AO45" i="3"/>
  <c r="AW45" i="3"/>
  <c r="BE45" i="3"/>
  <c r="BM45" i="3"/>
  <c r="BU45" i="3"/>
  <c r="S45" i="3"/>
  <c r="AP45" i="3"/>
  <c r="BH45" i="3"/>
  <c r="AX45" i="3"/>
  <c r="T45" i="3"/>
  <c r="AQ45" i="3"/>
  <c r="BN45" i="3"/>
  <c r="BP45" i="3"/>
  <c r="Z45" i="3"/>
  <c r="AR45" i="3"/>
  <c r="BO45" i="3"/>
  <c r="AA45" i="3"/>
  <c r="AB45" i="3"/>
  <c r="AY45" i="3"/>
  <c r="BV45" i="3"/>
  <c r="R45" i="3"/>
  <c r="AH45" i="3"/>
  <c r="AZ45" i="3"/>
  <c r="BW45" i="3"/>
  <c r="J45" i="3"/>
  <c r="AI45" i="3"/>
  <c r="BF45" i="3"/>
  <c r="BX45" i="3"/>
  <c r="E45" i="3"/>
  <c r="AJ45" i="3"/>
  <c r="H25" i="3"/>
  <c r="P25" i="3"/>
  <c r="X25" i="3"/>
  <c r="AF25" i="3"/>
  <c r="AN25" i="3"/>
  <c r="AV25" i="3"/>
  <c r="BD25" i="3"/>
  <c r="BL25" i="3"/>
  <c r="BT25" i="3"/>
  <c r="K25" i="3"/>
  <c r="S25" i="3"/>
  <c r="AA25" i="3"/>
  <c r="AI25" i="3"/>
  <c r="AQ25" i="3"/>
  <c r="AY25" i="3"/>
  <c r="BO25" i="3"/>
  <c r="BW25" i="3"/>
  <c r="L25" i="3"/>
  <c r="T25" i="3"/>
  <c r="AB25" i="3"/>
  <c r="AJ25" i="3"/>
  <c r="AR25" i="3"/>
  <c r="AZ25" i="3"/>
  <c r="BH25" i="3"/>
  <c r="BP25" i="3"/>
  <c r="BX25" i="3"/>
  <c r="O25" i="3"/>
  <c r="AC25" i="3"/>
  <c r="AO25" i="3"/>
  <c r="BB25" i="3"/>
  <c r="BN25" i="3"/>
  <c r="Q25" i="3"/>
  <c r="AD25" i="3"/>
  <c r="AP25" i="3"/>
  <c r="BC25" i="3"/>
  <c r="BQ25" i="3"/>
  <c r="F25" i="3"/>
  <c r="R25" i="3"/>
  <c r="AE25" i="3"/>
  <c r="AS25" i="3"/>
  <c r="BE25" i="3"/>
  <c r="BR25" i="3"/>
  <c r="G25" i="3"/>
  <c r="U25" i="3"/>
  <c r="AG25" i="3"/>
  <c r="AT25" i="3"/>
  <c r="BF25" i="3"/>
  <c r="BS25" i="3"/>
  <c r="I25" i="3"/>
  <c r="V25" i="3"/>
  <c r="AH25" i="3"/>
  <c r="AU25" i="3"/>
  <c r="BI25" i="3"/>
  <c r="BU25" i="3"/>
  <c r="J25" i="3"/>
  <c r="W25" i="3"/>
  <c r="AK25" i="3"/>
  <c r="AW25" i="3"/>
  <c r="BJ25" i="3"/>
  <c r="BV25" i="3"/>
  <c r="M25" i="3"/>
  <c r="Y25" i="3"/>
  <c r="AL25" i="3"/>
  <c r="AX25" i="3"/>
  <c r="BK25" i="3"/>
  <c r="BY25" i="3"/>
  <c r="BM25" i="3"/>
  <c r="N25" i="3"/>
  <c r="Z25" i="3"/>
  <c r="AM25" i="3"/>
  <c r="BA25" i="3"/>
  <c r="E25" i="3"/>
  <c r="J10" i="3"/>
  <c r="R10" i="3"/>
  <c r="Z10" i="3"/>
  <c r="AH10" i="3"/>
  <c r="AP10" i="3"/>
  <c r="AX10" i="3"/>
  <c r="BF10" i="3"/>
  <c r="BN10" i="3"/>
  <c r="BV10" i="3"/>
  <c r="K10" i="3"/>
  <c r="S10" i="3"/>
  <c r="AA10" i="3"/>
  <c r="AI10" i="3"/>
  <c r="AQ10" i="3"/>
  <c r="AY10" i="3"/>
  <c r="BO10" i="3"/>
  <c r="BW10" i="3"/>
  <c r="L10" i="3"/>
  <c r="T10" i="3"/>
  <c r="AB10" i="3"/>
  <c r="AJ10" i="3"/>
  <c r="AR10" i="3"/>
  <c r="AZ10" i="3"/>
  <c r="BH10" i="3"/>
  <c r="BP10" i="3"/>
  <c r="BX10" i="3"/>
  <c r="I10" i="3"/>
  <c r="W10" i="3"/>
  <c r="AK10" i="3"/>
  <c r="AV10" i="3"/>
  <c r="BJ10" i="3"/>
  <c r="BU10" i="3"/>
  <c r="O10" i="3"/>
  <c r="AC10" i="3"/>
  <c r="AN10" i="3"/>
  <c r="BB10" i="3"/>
  <c r="BM10" i="3"/>
  <c r="P10" i="3"/>
  <c r="AD10" i="3"/>
  <c r="AO10" i="3"/>
  <c r="BC10" i="3"/>
  <c r="BQ10" i="3"/>
  <c r="U10" i="3"/>
  <c r="AM10" i="3"/>
  <c r="BI10" i="3"/>
  <c r="G10" i="3"/>
  <c r="Y10" i="3"/>
  <c r="AU10" i="3"/>
  <c r="BR10" i="3"/>
  <c r="H10" i="3"/>
  <c r="AE10" i="3"/>
  <c r="AW10" i="3"/>
  <c r="BS10" i="3"/>
  <c r="X10" i="3"/>
  <c r="BE10" i="3"/>
  <c r="F10" i="3"/>
  <c r="AL10" i="3"/>
  <c r="BT10" i="3"/>
  <c r="M10" i="3"/>
  <c r="AS10" i="3"/>
  <c r="BY10" i="3"/>
  <c r="BD10" i="3"/>
  <c r="N10" i="3"/>
  <c r="BK10" i="3"/>
  <c r="Q10" i="3"/>
  <c r="BL10" i="3"/>
  <c r="V10" i="3"/>
  <c r="AF10" i="3"/>
  <c r="AG10" i="3"/>
  <c r="AT10" i="3"/>
  <c r="BA10" i="3"/>
  <c r="E10" i="3"/>
  <c r="M49" i="3"/>
  <c r="U49" i="3"/>
  <c r="AC49" i="3"/>
  <c r="AK49" i="3"/>
  <c r="AS49" i="3"/>
  <c r="BA49" i="3"/>
  <c r="BI49" i="3"/>
  <c r="BQ49" i="3"/>
  <c r="BY49" i="3"/>
  <c r="G49" i="3"/>
  <c r="O49" i="3"/>
  <c r="W49" i="3"/>
  <c r="AE49" i="3"/>
  <c r="AM49" i="3"/>
  <c r="AU49" i="3"/>
  <c r="BC49" i="3"/>
  <c r="BK49" i="3"/>
  <c r="BS49" i="3"/>
  <c r="I49" i="3"/>
  <c r="Q49" i="3"/>
  <c r="Y49" i="3"/>
  <c r="AG49" i="3"/>
  <c r="AO49" i="3"/>
  <c r="AW49" i="3"/>
  <c r="BE49" i="3"/>
  <c r="BM49" i="3"/>
  <c r="BU49" i="3"/>
  <c r="F49" i="3"/>
  <c r="S49" i="3"/>
  <c r="AF49" i="3"/>
  <c r="AR49" i="3"/>
  <c r="BF49" i="3"/>
  <c r="BR49" i="3"/>
  <c r="E49" i="3"/>
  <c r="AJ49" i="3"/>
  <c r="BW49" i="3"/>
  <c r="H49" i="3"/>
  <c r="T49" i="3"/>
  <c r="AH49" i="3"/>
  <c r="AT49" i="3"/>
  <c r="BT49" i="3"/>
  <c r="K49" i="3"/>
  <c r="AX49" i="3"/>
  <c r="J49" i="3"/>
  <c r="V49" i="3"/>
  <c r="AI49" i="3"/>
  <c r="AV49" i="3"/>
  <c r="BH49" i="3"/>
  <c r="BV49" i="3"/>
  <c r="X49" i="3"/>
  <c r="BJ49" i="3"/>
  <c r="L49" i="3"/>
  <c r="Z49" i="3"/>
  <c r="AL49" i="3"/>
  <c r="AY49" i="3"/>
  <c r="BL49" i="3"/>
  <c r="BX49" i="3"/>
  <c r="AQ49" i="3"/>
  <c r="BD49" i="3"/>
  <c r="N49" i="3"/>
  <c r="AA49" i="3"/>
  <c r="AN49" i="3"/>
  <c r="AZ49" i="3"/>
  <c r="BN49" i="3"/>
  <c r="AD49" i="3"/>
  <c r="P49" i="3"/>
  <c r="AB49" i="3"/>
  <c r="AP49" i="3"/>
  <c r="BB49" i="3"/>
  <c r="BO49" i="3"/>
  <c r="R49" i="3"/>
  <c r="BP49" i="3"/>
  <c r="H35" i="3"/>
  <c r="P35" i="3"/>
  <c r="X35" i="3"/>
  <c r="AF35" i="3"/>
  <c r="AN35" i="3"/>
  <c r="AV35" i="3"/>
  <c r="BD35" i="3"/>
  <c r="BL35" i="3"/>
  <c r="BT35" i="3"/>
  <c r="S35" i="3"/>
  <c r="AA35" i="3"/>
  <c r="AI35" i="3"/>
  <c r="AQ35" i="3"/>
  <c r="AY35" i="3"/>
  <c r="BO35" i="3"/>
  <c r="BW35" i="3"/>
  <c r="L35" i="3"/>
  <c r="T35" i="3"/>
  <c r="AB35" i="3"/>
  <c r="AJ35" i="3"/>
  <c r="AR35" i="3"/>
  <c r="AZ35" i="3"/>
  <c r="BH35" i="3"/>
  <c r="BP35" i="3"/>
  <c r="BX35" i="3"/>
  <c r="Q35" i="3"/>
  <c r="AD35" i="3"/>
  <c r="AP35" i="3"/>
  <c r="BC35" i="3"/>
  <c r="BQ35" i="3"/>
  <c r="G35" i="3"/>
  <c r="U35" i="3"/>
  <c r="AG35" i="3"/>
  <c r="AT35" i="3"/>
  <c r="BF35" i="3"/>
  <c r="BS35" i="3"/>
  <c r="I35" i="3"/>
  <c r="V35" i="3"/>
  <c r="AH35" i="3"/>
  <c r="AU35" i="3"/>
  <c r="BI35" i="3"/>
  <c r="BU35" i="3"/>
  <c r="J35" i="3"/>
  <c r="W35" i="3"/>
  <c r="AK35" i="3"/>
  <c r="AW35" i="3"/>
  <c r="BJ35" i="3"/>
  <c r="BV35" i="3"/>
  <c r="M35" i="3"/>
  <c r="Y35" i="3"/>
  <c r="AL35" i="3"/>
  <c r="AX35" i="3"/>
  <c r="BK35" i="3"/>
  <c r="BY35" i="3"/>
  <c r="N35" i="3"/>
  <c r="Z35" i="3"/>
  <c r="AM35" i="3"/>
  <c r="BA35" i="3"/>
  <c r="BM35" i="3"/>
  <c r="AE35" i="3"/>
  <c r="AO35" i="3"/>
  <c r="AS35" i="3"/>
  <c r="BB35" i="3"/>
  <c r="F35" i="3"/>
  <c r="BE35" i="3"/>
  <c r="O35" i="3"/>
  <c r="BN35" i="3"/>
  <c r="R35" i="3"/>
  <c r="BR35" i="3"/>
  <c r="AC35" i="3"/>
  <c r="E35" i="3"/>
  <c r="K43" i="3"/>
  <c r="G112" i="97" s="1"/>
  <c r="S43" i="3"/>
  <c r="G232" i="97" s="1"/>
  <c r="AA43" i="3"/>
  <c r="G352" i="97" s="1"/>
  <c r="AI43" i="3"/>
  <c r="G472" i="97" s="1"/>
  <c r="AQ43" i="3"/>
  <c r="G592" i="97" s="1"/>
  <c r="AY43" i="3"/>
  <c r="G712" i="97" s="1"/>
  <c r="G832" i="97"/>
  <c r="BO43" i="3"/>
  <c r="G952" i="97" s="1"/>
  <c r="BW43" i="3"/>
  <c r="G1072" i="97" s="1"/>
  <c r="L43" i="3"/>
  <c r="G127" i="97" s="1"/>
  <c r="T43" i="3"/>
  <c r="G247" i="97" s="1"/>
  <c r="AB43" i="3"/>
  <c r="G367" i="97" s="1"/>
  <c r="AJ43" i="3"/>
  <c r="G487" i="97" s="1"/>
  <c r="AR43" i="3"/>
  <c r="G607" i="97" s="1"/>
  <c r="AZ43" i="3"/>
  <c r="G727" i="97" s="1"/>
  <c r="BH43" i="3"/>
  <c r="G847" i="97" s="1"/>
  <c r="BP43" i="3"/>
  <c r="G967" i="97" s="1"/>
  <c r="BX43" i="3"/>
  <c r="G1087" i="97" s="1"/>
  <c r="M43" i="3"/>
  <c r="G142" i="97" s="1"/>
  <c r="U43" i="3"/>
  <c r="G262" i="97" s="1"/>
  <c r="AC43" i="3"/>
  <c r="G382" i="97" s="1"/>
  <c r="AK43" i="3"/>
  <c r="G502" i="97" s="1"/>
  <c r="AS43" i="3"/>
  <c r="G622" i="97" s="1"/>
  <c r="BA43" i="3"/>
  <c r="G742" i="97" s="1"/>
  <c r="BI43" i="3"/>
  <c r="G862" i="97" s="1"/>
  <c r="BQ43" i="3"/>
  <c r="G982" i="97" s="1"/>
  <c r="BY43" i="3"/>
  <c r="G1102" i="97" s="1"/>
  <c r="V43" i="3"/>
  <c r="G277" i="97" s="1"/>
  <c r="AT43" i="3"/>
  <c r="G637" i="97" s="1"/>
  <c r="BJ43" i="3"/>
  <c r="G877" i="97" s="1"/>
  <c r="F43" i="3"/>
  <c r="G37" i="97" s="1"/>
  <c r="N43" i="3"/>
  <c r="G157" i="97" s="1"/>
  <c r="AD43" i="3"/>
  <c r="G397" i="97" s="1"/>
  <c r="AL43" i="3"/>
  <c r="G517" i="97" s="1"/>
  <c r="BB43" i="3"/>
  <c r="G757" i="97" s="1"/>
  <c r="BR43" i="3"/>
  <c r="G997" i="97" s="1"/>
  <c r="G43" i="3"/>
  <c r="G52" i="97" s="1"/>
  <c r="O43" i="3"/>
  <c r="G172" i="97" s="1"/>
  <c r="W43" i="3"/>
  <c r="G292" i="97" s="1"/>
  <c r="AE43" i="3"/>
  <c r="G412" i="97" s="1"/>
  <c r="AM43" i="3"/>
  <c r="G532" i="97" s="1"/>
  <c r="AU43" i="3"/>
  <c r="G652" i="97" s="1"/>
  <c r="BC43" i="3"/>
  <c r="G772" i="97" s="1"/>
  <c r="BK43" i="3"/>
  <c r="G892" i="97" s="1"/>
  <c r="BS43" i="3"/>
  <c r="G1012" i="97" s="1"/>
  <c r="P43" i="3"/>
  <c r="G187" i="97" s="1"/>
  <c r="AF43" i="3"/>
  <c r="G427" i="97" s="1"/>
  <c r="AV43" i="3"/>
  <c r="G667" i="97" s="1"/>
  <c r="BL43" i="3"/>
  <c r="G907" i="97" s="1"/>
  <c r="BT43" i="3"/>
  <c r="G1027" i="97" s="1"/>
  <c r="H43" i="3"/>
  <c r="G67" i="97" s="1"/>
  <c r="X43" i="3"/>
  <c r="G307" i="97" s="1"/>
  <c r="AN43" i="3"/>
  <c r="G547" i="97" s="1"/>
  <c r="BD43" i="3"/>
  <c r="G787" i="97" s="1"/>
  <c r="I43" i="3"/>
  <c r="G82" i="97" s="1"/>
  <c r="Q43" i="3"/>
  <c r="G202" i="97" s="1"/>
  <c r="Y43" i="3"/>
  <c r="G322" i="97" s="1"/>
  <c r="AG43" i="3"/>
  <c r="G442" i="97" s="1"/>
  <c r="AO43" i="3"/>
  <c r="G562" i="97" s="1"/>
  <c r="AW43" i="3"/>
  <c r="G682" i="97" s="1"/>
  <c r="BE43" i="3"/>
  <c r="G802" i="97" s="1"/>
  <c r="BM43" i="3"/>
  <c r="G922" i="97" s="1"/>
  <c r="BU43" i="3"/>
  <c r="G1042" i="97" s="1"/>
  <c r="AP43" i="3"/>
  <c r="G577" i="97" s="1"/>
  <c r="AX43" i="3"/>
  <c r="G697" i="97" s="1"/>
  <c r="BF43" i="3"/>
  <c r="G817" i="97" s="1"/>
  <c r="BN43" i="3"/>
  <c r="G937" i="97" s="1"/>
  <c r="J43" i="3"/>
  <c r="G97" i="97" s="1"/>
  <c r="BV43" i="3"/>
  <c r="G1057" i="97" s="1"/>
  <c r="E43" i="3"/>
  <c r="G22" i="97" s="1"/>
  <c r="AH43" i="3"/>
  <c r="G457" i="97" s="1"/>
  <c r="R43" i="3"/>
  <c r="G217" i="97" s="1"/>
  <c r="Z43" i="3"/>
  <c r="G337" i="97" s="1"/>
  <c r="H27" i="3"/>
  <c r="G72" i="97" s="1"/>
  <c r="P27" i="3"/>
  <c r="G192" i="97" s="1"/>
  <c r="X27" i="3"/>
  <c r="G312" i="97" s="1"/>
  <c r="AF27" i="3"/>
  <c r="G432" i="97" s="1"/>
  <c r="AN27" i="3"/>
  <c r="G552" i="97" s="1"/>
  <c r="AV27" i="3"/>
  <c r="G672" i="97" s="1"/>
  <c r="BD27" i="3"/>
  <c r="G792" i="97" s="1"/>
  <c r="BL27" i="3"/>
  <c r="G912" i="97" s="1"/>
  <c r="BT27" i="3"/>
  <c r="G1032" i="97" s="1"/>
  <c r="S27" i="3"/>
  <c r="G237" i="97" s="1"/>
  <c r="AA27" i="3"/>
  <c r="G357" i="97" s="1"/>
  <c r="AI27" i="3"/>
  <c r="G477" i="97" s="1"/>
  <c r="AQ27" i="3"/>
  <c r="G597" i="97" s="1"/>
  <c r="AY27" i="3"/>
  <c r="G717" i="97" s="1"/>
  <c r="G837" i="97"/>
  <c r="BO27" i="3"/>
  <c r="G957" i="97" s="1"/>
  <c r="BW27" i="3"/>
  <c r="G1077" i="97" s="1"/>
  <c r="L27" i="3"/>
  <c r="G132" i="97" s="1"/>
  <c r="T27" i="3"/>
  <c r="G252" i="97" s="1"/>
  <c r="AB27" i="3"/>
  <c r="G372" i="97" s="1"/>
  <c r="AJ27" i="3"/>
  <c r="G492" i="97" s="1"/>
  <c r="AR27" i="3"/>
  <c r="G612" i="97" s="1"/>
  <c r="AZ27" i="3"/>
  <c r="G732" i="97" s="1"/>
  <c r="BH27" i="3"/>
  <c r="G852" i="97" s="1"/>
  <c r="BP27" i="3"/>
  <c r="G972" i="97" s="1"/>
  <c r="BX27" i="3"/>
  <c r="G1092" i="97" s="1"/>
  <c r="M27" i="3"/>
  <c r="G147" i="97" s="1"/>
  <c r="Y27" i="3"/>
  <c r="G327" i="97" s="1"/>
  <c r="AL27" i="3"/>
  <c r="G522" i="97" s="1"/>
  <c r="AX27" i="3"/>
  <c r="G702" i="97" s="1"/>
  <c r="BK27" i="3"/>
  <c r="G897" i="97" s="1"/>
  <c r="BY27" i="3"/>
  <c r="G1107" i="97" s="1"/>
  <c r="N27" i="3"/>
  <c r="G162" i="97" s="1"/>
  <c r="Z27" i="3"/>
  <c r="G342" i="97" s="1"/>
  <c r="AM27" i="3"/>
  <c r="G537" i="97" s="1"/>
  <c r="BA27" i="3"/>
  <c r="G747" i="97" s="1"/>
  <c r="BM27" i="3"/>
  <c r="G927" i="97" s="1"/>
  <c r="O27" i="3"/>
  <c r="G177" i="97" s="1"/>
  <c r="AC27" i="3"/>
  <c r="G387" i="97" s="1"/>
  <c r="AO27" i="3"/>
  <c r="G567" i="97" s="1"/>
  <c r="BB27" i="3"/>
  <c r="G762" i="97" s="1"/>
  <c r="BN27" i="3"/>
  <c r="G942" i="97" s="1"/>
  <c r="Q27" i="3"/>
  <c r="G207" i="97" s="1"/>
  <c r="AD27" i="3"/>
  <c r="G402" i="97" s="1"/>
  <c r="AP27" i="3"/>
  <c r="G582" i="97" s="1"/>
  <c r="BC27" i="3"/>
  <c r="G777" i="97" s="1"/>
  <c r="BQ27" i="3"/>
  <c r="G987" i="97" s="1"/>
  <c r="F27" i="3"/>
  <c r="G42" i="97" s="1"/>
  <c r="R27" i="3"/>
  <c r="G222" i="97" s="1"/>
  <c r="AE27" i="3"/>
  <c r="G417" i="97" s="1"/>
  <c r="AS27" i="3"/>
  <c r="G627" i="97" s="1"/>
  <c r="BE27" i="3"/>
  <c r="G807" i="97" s="1"/>
  <c r="BR27" i="3"/>
  <c r="G1002" i="97" s="1"/>
  <c r="G27" i="3"/>
  <c r="G57" i="97" s="1"/>
  <c r="U27" i="3"/>
  <c r="G267" i="97" s="1"/>
  <c r="AG27" i="3"/>
  <c r="G447" i="97" s="1"/>
  <c r="AT27" i="3"/>
  <c r="G642" i="97" s="1"/>
  <c r="BF27" i="3"/>
  <c r="G822" i="97" s="1"/>
  <c r="BS27" i="3"/>
  <c r="G1017" i="97" s="1"/>
  <c r="I27" i="3"/>
  <c r="G87" i="97" s="1"/>
  <c r="V27" i="3"/>
  <c r="G282" i="97" s="1"/>
  <c r="AH27" i="3"/>
  <c r="G462" i="97" s="1"/>
  <c r="AU27" i="3"/>
  <c r="G657" i="97" s="1"/>
  <c r="BI27" i="3"/>
  <c r="G867" i="97" s="1"/>
  <c r="BU27" i="3"/>
  <c r="G1047" i="97" s="1"/>
  <c r="W27" i="3"/>
  <c r="G297" i="97" s="1"/>
  <c r="AW27" i="3"/>
  <c r="G687" i="97" s="1"/>
  <c r="BJ27" i="3"/>
  <c r="G882" i="97" s="1"/>
  <c r="BV27" i="3"/>
  <c r="G1062" i="97" s="1"/>
  <c r="J27" i="3"/>
  <c r="G102" i="97" s="1"/>
  <c r="AK27" i="3"/>
  <c r="G507" i="97" s="1"/>
  <c r="E27" i="3"/>
  <c r="G27" i="97" s="1"/>
  <c r="H32" i="3"/>
  <c r="P32" i="3"/>
  <c r="X32" i="3"/>
  <c r="AF32" i="3"/>
  <c r="AN32" i="3"/>
  <c r="AV32" i="3"/>
  <c r="BD32" i="3"/>
  <c r="BL32" i="3"/>
  <c r="BT32" i="3"/>
  <c r="K32" i="3"/>
  <c r="S32" i="3"/>
  <c r="AA32" i="3"/>
  <c r="AI32" i="3"/>
  <c r="AQ32" i="3"/>
  <c r="AY32" i="3"/>
  <c r="BO32" i="3"/>
  <c r="BW32" i="3"/>
  <c r="L32" i="3"/>
  <c r="T32" i="3"/>
  <c r="AB32" i="3"/>
  <c r="AJ32" i="3"/>
  <c r="AR32" i="3"/>
  <c r="AZ32" i="3"/>
  <c r="BH32" i="3"/>
  <c r="BP32" i="3"/>
  <c r="BX32" i="3"/>
  <c r="M32" i="3"/>
  <c r="N32" i="3"/>
  <c r="Z32" i="3"/>
  <c r="O32" i="3"/>
  <c r="Q32" i="3"/>
  <c r="F32" i="3"/>
  <c r="R32" i="3"/>
  <c r="G32" i="3"/>
  <c r="U32" i="3"/>
  <c r="AC32" i="3"/>
  <c r="AO32" i="3"/>
  <c r="BB32" i="3"/>
  <c r="BN32" i="3"/>
  <c r="AE32" i="3"/>
  <c r="AS32" i="3"/>
  <c r="BE32" i="3"/>
  <c r="BR32" i="3"/>
  <c r="I32" i="3"/>
  <c r="AG32" i="3"/>
  <c r="AT32" i="3"/>
  <c r="BF32" i="3"/>
  <c r="BS32" i="3"/>
  <c r="J32" i="3"/>
  <c r="AH32" i="3"/>
  <c r="AU32" i="3"/>
  <c r="BI32" i="3"/>
  <c r="BU32" i="3"/>
  <c r="V32" i="3"/>
  <c r="AK32" i="3"/>
  <c r="AW32" i="3"/>
  <c r="BJ32" i="3"/>
  <c r="BV32" i="3"/>
  <c r="W32" i="3"/>
  <c r="AL32" i="3"/>
  <c r="AX32" i="3"/>
  <c r="BK32" i="3"/>
  <c r="BY32" i="3"/>
  <c r="AP32" i="3"/>
  <c r="BA32" i="3"/>
  <c r="BC32" i="3"/>
  <c r="BM32" i="3"/>
  <c r="BQ32" i="3"/>
  <c r="E32" i="3"/>
  <c r="Y32" i="3"/>
  <c r="AD32" i="3"/>
  <c r="AM32" i="3"/>
  <c r="J40" i="3"/>
  <c r="R40" i="3"/>
  <c r="Z40" i="3"/>
  <c r="AH40" i="3"/>
  <c r="AP40" i="3"/>
  <c r="AX40" i="3"/>
  <c r="BF40" i="3"/>
  <c r="BN40" i="3"/>
  <c r="BV40" i="3"/>
  <c r="K40" i="3"/>
  <c r="S40" i="3"/>
  <c r="AA40" i="3"/>
  <c r="AI40" i="3"/>
  <c r="AQ40" i="3"/>
  <c r="AY40" i="3"/>
  <c r="BO40" i="3"/>
  <c r="L40" i="3"/>
  <c r="T40" i="3"/>
  <c r="AB40" i="3"/>
  <c r="AJ40" i="3"/>
  <c r="AR40" i="3"/>
  <c r="AZ40" i="3"/>
  <c r="BH40" i="3"/>
  <c r="BP40" i="3"/>
  <c r="BX40" i="3"/>
  <c r="M40" i="3"/>
  <c r="U40" i="3"/>
  <c r="AC40" i="3"/>
  <c r="AK40" i="3"/>
  <c r="AS40" i="3"/>
  <c r="BA40" i="3"/>
  <c r="BI40" i="3"/>
  <c r="BQ40" i="3"/>
  <c r="BY40" i="3"/>
  <c r="F40" i="3"/>
  <c r="N40" i="3"/>
  <c r="V40" i="3"/>
  <c r="AD40" i="3"/>
  <c r="AL40" i="3"/>
  <c r="AT40" i="3"/>
  <c r="BB40" i="3"/>
  <c r="BJ40" i="3"/>
  <c r="BR40" i="3"/>
  <c r="W40" i="3"/>
  <c r="AO40" i="3"/>
  <c r="BL40" i="3"/>
  <c r="X40" i="3"/>
  <c r="AU40" i="3"/>
  <c r="BM40" i="3"/>
  <c r="G40" i="3"/>
  <c r="Y40" i="3"/>
  <c r="AV40" i="3"/>
  <c r="BS40" i="3"/>
  <c r="H40" i="3"/>
  <c r="AE40" i="3"/>
  <c r="AW40" i="3"/>
  <c r="BT40" i="3"/>
  <c r="I40" i="3"/>
  <c r="AF40" i="3"/>
  <c r="BC40" i="3"/>
  <c r="BU40" i="3"/>
  <c r="E40" i="3"/>
  <c r="O40" i="3"/>
  <c r="AG40" i="3"/>
  <c r="BD40" i="3"/>
  <c r="BW40" i="3"/>
  <c r="P40" i="3"/>
  <c r="AM40" i="3"/>
  <c r="BE40" i="3"/>
  <c r="Q40" i="3"/>
  <c r="BK40" i="3"/>
  <c r="AN40" i="3"/>
  <c r="M48" i="3"/>
  <c r="U48" i="3"/>
  <c r="AC48" i="3"/>
  <c r="AK48" i="3"/>
  <c r="AS48" i="3"/>
  <c r="BA48" i="3"/>
  <c r="BI48" i="3"/>
  <c r="BQ48" i="3"/>
  <c r="BY48" i="3"/>
  <c r="G48" i="3"/>
  <c r="O48" i="3"/>
  <c r="W48" i="3"/>
  <c r="AE48" i="3"/>
  <c r="AM48" i="3"/>
  <c r="AU48" i="3"/>
  <c r="BC48" i="3"/>
  <c r="BK48" i="3"/>
  <c r="BS48" i="3"/>
  <c r="E48" i="3"/>
  <c r="I48" i="3"/>
  <c r="Q48" i="3"/>
  <c r="Y48" i="3"/>
  <c r="AG48" i="3"/>
  <c r="AO48" i="3"/>
  <c r="AW48" i="3"/>
  <c r="BE48" i="3"/>
  <c r="BM48" i="3"/>
  <c r="BU48" i="3"/>
  <c r="N48" i="3"/>
  <c r="AA48" i="3"/>
  <c r="AN48" i="3"/>
  <c r="AZ48" i="3"/>
  <c r="BN48" i="3"/>
  <c r="AF48" i="3"/>
  <c r="BR48" i="3"/>
  <c r="P48" i="3"/>
  <c r="AB48" i="3"/>
  <c r="AP48" i="3"/>
  <c r="BB48" i="3"/>
  <c r="BO48" i="3"/>
  <c r="F48" i="3"/>
  <c r="AR48" i="3"/>
  <c r="R48" i="3"/>
  <c r="AD48" i="3"/>
  <c r="AQ48" i="3"/>
  <c r="BD48" i="3"/>
  <c r="BP48" i="3"/>
  <c r="S48" i="3"/>
  <c r="BF48" i="3"/>
  <c r="H48" i="3"/>
  <c r="T48" i="3"/>
  <c r="AH48" i="3"/>
  <c r="AT48" i="3"/>
  <c r="BT48" i="3"/>
  <c r="AL48" i="3"/>
  <c r="BX48" i="3"/>
  <c r="J48" i="3"/>
  <c r="V48" i="3"/>
  <c r="AI48" i="3"/>
  <c r="AV48" i="3"/>
  <c r="BH48" i="3"/>
  <c r="BV48" i="3"/>
  <c r="Z48" i="3"/>
  <c r="BL48" i="3"/>
  <c r="K48" i="3"/>
  <c r="X48" i="3"/>
  <c r="AJ48" i="3"/>
  <c r="AX48" i="3"/>
  <c r="BJ48" i="3"/>
  <c r="BW48" i="3"/>
  <c r="L48" i="3"/>
  <c r="AY48" i="3"/>
  <c r="M50" i="3"/>
  <c r="U50" i="3"/>
  <c r="AC50" i="3"/>
  <c r="AK50" i="3"/>
  <c r="AS50" i="3"/>
  <c r="BA50" i="3"/>
  <c r="BI50" i="3"/>
  <c r="BQ50" i="3"/>
  <c r="BY50" i="3"/>
  <c r="G50" i="3"/>
  <c r="O50" i="3"/>
  <c r="W50" i="3"/>
  <c r="AE50" i="3"/>
  <c r="AM50" i="3"/>
  <c r="AU50" i="3"/>
  <c r="BC50" i="3"/>
  <c r="BK50" i="3"/>
  <c r="BS50" i="3"/>
  <c r="I50" i="3"/>
  <c r="Q50" i="3"/>
  <c r="Y50" i="3"/>
  <c r="AG50" i="3"/>
  <c r="AO50" i="3"/>
  <c r="AW50" i="3"/>
  <c r="BE50" i="3"/>
  <c r="BM50" i="3"/>
  <c r="BU50" i="3"/>
  <c r="E50" i="3"/>
  <c r="K50" i="3"/>
  <c r="X50" i="3"/>
  <c r="AJ50" i="3"/>
  <c r="AX50" i="3"/>
  <c r="BJ50" i="3"/>
  <c r="BW50" i="3"/>
  <c r="AP50" i="3"/>
  <c r="L50" i="3"/>
  <c r="Z50" i="3"/>
  <c r="AL50" i="3"/>
  <c r="AY50" i="3"/>
  <c r="BL50" i="3"/>
  <c r="BX50" i="3"/>
  <c r="P50" i="3"/>
  <c r="BB50" i="3"/>
  <c r="N50" i="3"/>
  <c r="AA50" i="3"/>
  <c r="AN50" i="3"/>
  <c r="AZ50" i="3"/>
  <c r="BN50" i="3"/>
  <c r="AB50" i="3"/>
  <c r="BO50" i="3"/>
  <c r="R50" i="3"/>
  <c r="AD50" i="3"/>
  <c r="AQ50" i="3"/>
  <c r="BD50" i="3"/>
  <c r="BP50" i="3"/>
  <c r="V50" i="3"/>
  <c r="AV50" i="3"/>
  <c r="F50" i="3"/>
  <c r="S50" i="3"/>
  <c r="AF50" i="3"/>
  <c r="AR50" i="3"/>
  <c r="BF50" i="3"/>
  <c r="BR50" i="3"/>
  <c r="J50" i="3"/>
  <c r="AI50" i="3"/>
  <c r="BV50" i="3"/>
  <c r="H50" i="3"/>
  <c r="T50" i="3"/>
  <c r="AH50" i="3"/>
  <c r="AT50" i="3"/>
  <c r="BT50" i="3"/>
  <c r="BH50" i="3"/>
  <c r="K44" i="3"/>
  <c r="S44" i="3"/>
  <c r="AA44" i="3"/>
  <c r="AI44" i="3"/>
  <c r="AQ44" i="3"/>
  <c r="AY44" i="3"/>
  <c r="BO44" i="3"/>
  <c r="BW44" i="3"/>
  <c r="L44" i="3"/>
  <c r="T44" i="3"/>
  <c r="AB44" i="3"/>
  <c r="AJ44" i="3"/>
  <c r="AR44" i="3"/>
  <c r="AZ44" i="3"/>
  <c r="BH44" i="3"/>
  <c r="BP44" i="3"/>
  <c r="BX44" i="3"/>
  <c r="M44" i="3"/>
  <c r="U44" i="3"/>
  <c r="AC44" i="3"/>
  <c r="AK44" i="3"/>
  <c r="AS44" i="3"/>
  <c r="BA44" i="3"/>
  <c r="BI44" i="3"/>
  <c r="BQ44" i="3"/>
  <c r="BY44" i="3"/>
  <c r="F44" i="3"/>
  <c r="V44" i="3"/>
  <c r="AL44" i="3"/>
  <c r="BB44" i="3"/>
  <c r="BR44" i="3"/>
  <c r="N44" i="3"/>
  <c r="AD44" i="3"/>
  <c r="AT44" i="3"/>
  <c r="BJ44" i="3"/>
  <c r="G44" i="3"/>
  <c r="O44" i="3"/>
  <c r="W44" i="3"/>
  <c r="AE44" i="3"/>
  <c r="AM44" i="3"/>
  <c r="AU44" i="3"/>
  <c r="BC44" i="3"/>
  <c r="BK44" i="3"/>
  <c r="BS44" i="3"/>
  <c r="P44" i="3"/>
  <c r="AF44" i="3"/>
  <c r="AV44" i="3"/>
  <c r="BD44" i="3"/>
  <c r="BT44" i="3"/>
  <c r="H44" i="3"/>
  <c r="X44" i="3"/>
  <c r="AN44" i="3"/>
  <c r="BL44" i="3"/>
  <c r="I44" i="3"/>
  <c r="Q44" i="3"/>
  <c r="Y44" i="3"/>
  <c r="AG44" i="3"/>
  <c r="AO44" i="3"/>
  <c r="AW44" i="3"/>
  <c r="BE44" i="3"/>
  <c r="BM44" i="3"/>
  <c r="BU44" i="3"/>
  <c r="AH44" i="3"/>
  <c r="AP44" i="3"/>
  <c r="AX44" i="3"/>
  <c r="BF44" i="3"/>
  <c r="BN44" i="3"/>
  <c r="J44" i="3"/>
  <c r="BV44" i="3"/>
  <c r="E44" i="3"/>
  <c r="R44" i="3"/>
  <c r="Z44" i="3"/>
  <c r="J13" i="3"/>
  <c r="R13" i="3"/>
  <c r="Z13" i="3"/>
  <c r="AH13" i="3"/>
  <c r="AP13" i="3"/>
  <c r="AX13" i="3"/>
  <c r="BF13" i="3"/>
  <c r="BN13" i="3"/>
  <c r="BV13" i="3"/>
  <c r="K13" i="3"/>
  <c r="S13" i="3"/>
  <c r="AA13" i="3"/>
  <c r="AI13" i="3"/>
  <c r="AQ13" i="3"/>
  <c r="AY13" i="3"/>
  <c r="BO13" i="3"/>
  <c r="BW13" i="3"/>
  <c r="L13" i="3"/>
  <c r="T13" i="3"/>
  <c r="AB13" i="3"/>
  <c r="AJ13" i="3"/>
  <c r="AR13" i="3"/>
  <c r="AZ13" i="3"/>
  <c r="BH13" i="3"/>
  <c r="BP13" i="3"/>
  <c r="BX13" i="3"/>
  <c r="M13" i="3"/>
  <c r="X13" i="3"/>
  <c r="AL13" i="3"/>
  <c r="AW13" i="3"/>
  <c r="BK13" i="3"/>
  <c r="BY13" i="3"/>
  <c r="P13" i="3"/>
  <c r="AD13" i="3"/>
  <c r="AO13" i="3"/>
  <c r="BC13" i="3"/>
  <c r="BQ13" i="3"/>
  <c r="F13" i="3"/>
  <c r="Q13" i="3"/>
  <c r="AE13" i="3"/>
  <c r="AS13" i="3"/>
  <c r="BD13" i="3"/>
  <c r="BR13" i="3"/>
  <c r="H13" i="3"/>
  <c r="AC13" i="3"/>
  <c r="AV13" i="3"/>
  <c r="BS13" i="3"/>
  <c r="O13" i="3"/>
  <c r="AK13" i="3"/>
  <c r="BE13" i="3"/>
  <c r="U13" i="3"/>
  <c r="AM13" i="3"/>
  <c r="BI13" i="3"/>
  <c r="G13" i="3"/>
  <c r="AN13" i="3"/>
  <c r="BT13" i="3"/>
  <c r="V13" i="3"/>
  <c r="BA13" i="3"/>
  <c r="W13" i="3"/>
  <c r="BB13" i="3"/>
  <c r="AU13" i="3"/>
  <c r="BJ13" i="3"/>
  <c r="I13" i="3"/>
  <c r="BL13" i="3"/>
  <c r="N13" i="3"/>
  <c r="BM13" i="3"/>
  <c r="Y13" i="3"/>
  <c r="BU13" i="3"/>
  <c r="AF13" i="3"/>
  <c r="AG13" i="3"/>
  <c r="AT13" i="3"/>
  <c r="E13" i="3"/>
  <c r="J14" i="3"/>
  <c r="R14" i="3"/>
  <c r="Z14" i="3"/>
  <c r="AH14" i="3"/>
  <c r="AP14" i="3"/>
  <c r="AX14" i="3"/>
  <c r="BF14" i="3"/>
  <c r="BN14" i="3"/>
  <c r="BV14" i="3"/>
  <c r="K14" i="3"/>
  <c r="S14" i="3"/>
  <c r="AA14" i="3"/>
  <c r="AI14" i="3"/>
  <c r="AQ14" i="3"/>
  <c r="AY14" i="3"/>
  <c r="BO14" i="3"/>
  <c r="BW14" i="3"/>
  <c r="L14" i="3"/>
  <c r="T14" i="3"/>
  <c r="P14" i="3"/>
  <c r="AC14" i="3"/>
  <c r="AM14" i="3"/>
  <c r="AW14" i="3"/>
  <c r="BI14" i="3"/>
  <c r="BS14" i="3"/>
  <c r="H14" i="3"/>
  <c r="V14" i="3"/>
  <c r="AF14" i="3"/>
  <c r="AR14" i="3"/>
  <c r="BB14" i="3"/>
  <c r="BL14" i="3"/>
  <c r="BX14" i="3"/>
  <c r="I14" i="3"/>
  <c r="W14" i="3"/>
  <c r="AG14" i="3"/>
  <c r="AS14" i="3"/>
  <c r="BC14" i="3"/>
  <c r="BM14" i="3"/>
  <c r="BY14" i="3"/>
  <c r="Q14" i="3"/>
  <c r="AK14" i="3"/>
  <c r="BA14" i="3"/>
  <c r="BR14" i="3"/>
  <c r="F14" i="3"/>
  <c r="Y14" i="3"/>
  <c r="AO14" i="3"/>
  <c r="BH14" i="3"/>
  <c r="G14" i="3"/>
  <c r="AB14" i="3"/>
  <c r="AT14" i="3"/>
  <c r="BJ14" i="3"/>
  <c r="AE14" i="3"/>
  <c r="BE14" i="3"/>
  <c r="N14" i="3"/>
  <c r="AN14" i="3"/>
  <c r="BQ14" i="3"/>
  <c r="O14" i="3"/>
  <c r="AU14" i="3"/>
  <c r="BT14" i="3"/>
  <c r="AD14" i="3"/>
  <c r="BU14" i="3"/>
  <c r="AJ14" i="3"/>
  <c r="AL14" i="3"/>
  <c r="AV14" i="3"/>
  <c r="AZ14" i="3"/>
  <c r="M14" i="3"/>
  <c r="BD14" i="3"/>
  <c r="U14" i="3"/>
  <c r="BK14" i="3"/>
  <c r="BP14" i="3"/>
  <c r="X14" i="3"/>
  <c r="E14" i="3"/>
  <c r="I3" i="83"/>
  <c r="BK4" i="83"/>
  <c r="BG2" i="83"/>
  <c r="R2" i="82"/>
  <c r="AW3" i="83"/>
  <c r="AM2" i="82"/>
  <c r="BD2" i="82"/>
  <c r="I4" i="83"/>
  <c r="BI2" i="82"/>
  <c r="AM3" i="82"/>
  <c r="S4" i="83"/>
  <c r="BA4" i="83"/>
  <c r="G3" i="83"/>
  <c r="AU3" i="83"/>
  <c r="S2" i="82"/>
  <c r="BU3" i="83"/>
  <c r="K65" i="18"/>
  <c r="BR2" i="82"/>
  <c r="J3" i="83"/>
  <c r="U2" i="82"/>
  <c r="CL2" i="82"/>
  <c r="K3" i="83"/>
  <c r="BV3" i="83"/>
  <c r="W2" i="82"/>
  <c r="CM2" i="82"/>
  <c r="R3" i="83"/>
  <c r="AG2" i="82"/>
  <c r="S3" i="83"/>
  <c r="AH2" i="82"/>
  <c r="X3" i="83"/>
  <c r="AQ3" i="83"/>
  <c r="AI3" i="83"/>
  <c r="G3" i="82"/>
  <c r="AP2" i="82"/>
  <c r="AU3" i="82"/>
  <c r="K11" i="18"/>
  <c r="K17" i="18"/>
  <c r="K27" i="18"/>
  <c r="J20" i="18"/>
  <c r="K22" i="18"/>
  <c r="J9" i="18"/>
  <c r="J28" i="18"/>
  <c r="K33" i="18"/>
  <c r="J14" i="18"/>
  <c r="J41" i="18"/>
  <c r="J17" i="18"/>
  <c r="J52" i="18"/>
  <c r="K14" i="18"/>
  <c r="J25" i="18"/>
  <c r="J36" i="18"/>
  <c r="K57" i="18"/>
  <c r="K25" i="18"/>
  <c r="K38" i="18"/>
  <c r="J60" i="18"/>
  <c r="K9" i="18"/>
  <c r="K19" i="18"/>
  <c r="I28" i="18"/>
  <c r="K41" i="18"/>
  <c r="J68" i="18"/>
  <c r="I20" i="18"/>
  <c r="J44" i="18"/>
  <c r="K73" i="18"/>
  <c r="I12" i="18"/>
  <c r="K30" i="18"/>
  <c r="K46" i="18"/>
  <c r="J76" i="18"/>
  <c r="J12" i="18"/>
  <c r="J22" i="18"/>
  <c r="J33" i="18"/>
  <c r="K49" i="18"/>
  <c r="I23" i="18"/>
  <c r="I10" i="18"/>
  <c r="K12" i="18"/>
  <c r="J15" i="18"/>
  <c r="I18" i="18"/>
  <c r="K20" i="18"/>
  <c r="J23" i="18"/>
  <c r="I26" i="18"/>
  <c r="K28" i="18"/>
  <c r="J31" i="18"/>
  <c r="I34" i="18"/>
  <c r="K36" i="18"/>
  <c r="J39" i="18"/>
  <c r="I42" i="18"/>
  <c r="K44" i="18"/>
  <c r="J47" i="18"/>
  <c r="I50" i="18"/>
  <c r="K52" i="18"/>
  <c r="J55" i="18"/>
  <c r="I58" i="18"/>
  <c r="K60" i="18"/>
  <c r="J63" i="18"/>
  <c r="I66" i="18"/>
  <c r="K68" i="18"/>
  <c r="J71" i="18"/>
  <c r="I74" i="18"/>
  <c r="K76" i="18"/>
  <c r="I15" i="18"/>
  <c r="I47" i="18"/>
  <c r="I55" i="18"/>
  <c r="J10" i="18"/>
  <c r="I13" i="18"/>
  <c r="K15" i="18"/>
  <c r="J18" i="18"/>
  <c r="I21" i="18"/>
  <c r="K23" i="18"/>
  <c r="J26" i="18"/>
  <c r="I29" i="18"/>
  <c r="K31" i="18"/>
  <c r="J34" i="18"/>
  <c r="I37" i="18"/>
  <c r="K39" i="18"/>
  <c r="J42" i="18"/>
  <c r="I45" i="18"/>
  <c r="K47" i="18"/>
  <c r="J50" i="18"/>
  <c r="I53" i="18"/>
  <c r="K55" i="18"/>
  <c r="J58" i="18"/>
  <c r="I61" i="18"/>
  <c r="K63" i="18"/>
  <c r="J66" i="18"/>
  <c r="I69" i="18"/>
  <c r="K71" i="18"/>
  <c r="J74" i="18"/>
  <c r="I77" i="18"/>
  <c r="I39" i="18"/>
  <c r="K10" i="18"/>
  <c r="J13" i="18"/>
  <c r="I16" i="18"/>
  <c r="K18" i="18"/>
  <c r="J21" i="18"/>
  <c r="I24" i="18"/>
  <c r="K26" i="18"/>
  <c r="J29" i="18"/>
  <c r="I32" i="18"/>
  <c r="K34" i="18"/>
  <c r="J37" i="18"/>
  <c r="I40" i="18"/>
  <c r="K42" i="18"/>
  <c r="J45" i="18"/>
  <c r="I48" i="18"/>
  <c r="K50" i="18"/>
  <c r="J53" i="18"/>
  <c r="I56" i="18"/>
  <c r="K58" i="18"/>
  <c r="J61" i="18"/>
  <c r="I64" i="18"/>
  <c r="K66" i="18"/>
  <c r="J69" i="18"/>
  <c r="I72" i="18"/>
  <c r="K74" i="18"/>
  <c r="J77" i="18"/>
  <c r="I31" i="18"/>
  <c r="I63" i="18"/>
  <c r="I71" i="18"/>
  <c r="I11" i="18"/>
  <c r="K13" i="18"/>
  <c r="J16" i="18"/>
  <c r="I19" i="18"/>
  <c r="K21" i="18"/>
  <c r="J24" i="18"/>
  <c r="I27" i="18"/>
  <c r="K29" i="18"/>
  <c r="J32" i="18"/>
  <c r="I35" i="18"/>
  <c r="K37" i="18"/>
  <c r="J40" i="18"/>
  <c r="I43" i="18"/>
  <c r="K45" i="18"/>
  <c r="J48" i="18"/>
  <c r="I51" i="18"/>
  <c r="K53" i="18"/>
  <c r="J56" i="18"/>
  <c r="I59" i="18"/>
  <c r="K61" i="18"/>
  <c r="J64" i="18"/>
  <c r="I67" i="18"/>
  <c r="K69" i="18"/>
  <c r="J72" i="18"/>
  <c r="I75" i="18"/>
  <c r="K77" i="18"/>
  <c r="J11" i="18"/>
  <c r="I14" i="18"/>
  <c r="K16" i="18"/>
  <c r="J19" i="18"/>
  <c r="I22" i="18"/>
  <c r="K24" i="18"/>
  <c r="J27" i="18"/>
  <c r="I30" i="18"/>
  <c r="K32" i="18"/>
  <c r="J35" i="18"/>
  <c r="I38" i="18"/>
  <c r="K40" i="18"/>
  <c r="J43" i="18"/>
  <c r="I46" i="18"/>
  <c r="K48" i="18"/>
  <c r="J51" i="18"/>
  <c r="I54" i="18"/>
  <c r="K56" i="18"/>
  <c r="J59" i="18"/>
  <c r="I62" i="18"/>
  <c r="K64" i="18"/>
  <c r="J67" i="18"/>
  <c r="I70" i="18"/>
  <c r="K72" i="18"/>
  <c r="J75" i="18"/>
  <c r="I78" i="18"/>
  <c r="I17" i="18"/>
  <c r="I25" i="18"/>
  <c r="J30" i="18"/>
  <c r="I33" i="18"/>
  <c r="K35" i="18"/>
  <c r="J38" i="18"/>
  <c r="I41" i="18"/>
  <c r="K43" i="18"/>
  <c r="J46" i="18"/>
  <c r="I49" i="18"/>
  <c r="K51" i="18"/>
  <c r="J54" i="18"/>
  <c r="I57" i="18"/>
  <c r="K59" i="18"/>
  <c r="J62" i="18"/>
  <c r="I65" i="18"/>
  <c r="K67" i="18"/>
  <c r="J70" i="18"/>
  <c r="I73" i="18"/>
  <c r="K75" i="18"/>
  <c r="J78" i="18"/>
  <c r="I36" i="18"/>
  <c r="I44" i="18"/>
  <c r="J49" i="18"/>
  <c r="I52" i="18"/>
  <c r="K54" i="18"/>
  <c r="J57" i="18"/>
  <c r="I60" i="18"/>
  <c r="K62" i="18"/>
  <c r="J65" i="18"/>
  <c r="I68" i="18"/>
  <c r="K70" i="18"/>
  <c r="W3" i="83"/>
  <c r="AV3" i="83"/>
  <c r="CU3" i="83"/>
  <c r="U4" i="83"/>
  <c r="BU4" i="83"/>
  <c r="H2" i="82"/>
  <c r="BS2" i="82"/>
  <c r="H3" i="82"/>
  <c r="BJ3" i="82"/>
  <c r="W4" i="83"/>
  <c r="X2" i="82"/>
  <c r="AQ2" i="82"/>
  <c r="I2" i="82"/>
  <c r="AC2" i="82"/>
  <c r="AS2" i="82"/>
  <c r="BT2" i="82"/>
  <c r="J3" i="82"/>
  <c r="BK3" i="82"/>
  <c r="H3" i="83"/>
  <c r="AF3" i="83"/>
  <c r="BF3" i="83"/>
  <c r="H4" i="83"/>
  <c r="AC4" i="83"/>
  <c r="J2" i="82"/>
  <c r="AT2" i="82"/>
  <c r="BU2" i="82"/>
  <c r="W3" i="82"/>
  <c r="BL3" i="82"/>
  <c r="AG3" i="83"/>
  <c r="BG3" i="83"/>
  <c r="AD4" i="83"/>
  <c r="AD2" i="82"/>
  <c r="K2" i="82"/>
  <c r="AF2" i="82"/>
  <c r="BB2" i="82"/>
  <c r="CE2" i="82"/>
  <c r="X3" i="82"/>
  <c r="CJ3" i="82"/>
  <c r="AH3" i="83"/>
  <c r="BK3" i="83"/>
  <c r="K4" i="83"/>
  <c r="AF4" i="83"/>
  <c r="BC2" i="82"/>
  <c r="CK2" i="82"/>
  <c r="Z3" i="82"/>
  <c r="CM3" i="82"/>
  <c r="AQ4" i="83"/>
  <c r="AN3" i="82"/>
  <c r="CI3" i="83"/>
  <c r="BJ2" i="82"/>
  <c r="CO2" i="82"/>
  <c r="K3" i="82"/>
  <c r="AA3" i="82"/>
  <c r="AV3" i="82"/>
  <c r="BN3" i="82"/>
  <c r="CW3" i="82"/>
  <c r="K2" i="83"/>
  <c r="BW2" i="83"/>
  <c r="Y3" i="83"/>
  <c r="AM3" i="83"/>
  <c r="AX3" i="83"/>
  <c r="BL3" i="83"/>
  <c r="BW3" i="83"/>
  <c r="CK3" i="83"/>
  <c r="N4" i="83"/>
  <c r="X4" i="83"/>
  <c r="AI4" i="83"/>
  <c r="AS4" i="83"/>
  <c r="BC4" i="83"/>
  <c r="BM4" i="83"/>
  <c r="BX4" i="83"/>
  <c r="BV2" i="82"/>
  <c r="E2" i="82"/>
  <c r="O2" i="82"/>
  <c r="Y2" i="82"/>
  <c r="AI2" i="82"/>
  <c r="AU2" i="82"/>
  <c r="BK2" i="82"/>
  <c r="CB2" i="82"/>
  <c r="CT2" i="82"/>
  <c r="N3" i="82"/>
  <c r="AF3" i="82"/>
  <c r="AX3" i="82"/>
  <c r="BV3" i="82"/>
  <c r="BX4" i="82"/>
  <c r="S2" i="83"/>
  <c r="CE2" i="83"/>
  <c r="O3" i="83"/>
  <c r="Z3" i="83"/>
  <c r="AN3" i="83"/>
  <c r="AY3" i="83"/>
  <c r="BM3" i="83"/>
  <c r="CA3" i="83"/>
  <c r="CL3" i="83"/>
  <c r="E4" i="83"/>
  <c r="O4" i="83"/>
  <c r="Y4" i="83"/>
  <c r="AJ4" i="83"/>
  <c r="AT4" i="83"/>
  <c r="BD4" i="83"/>
  <c r="BO4" i="83"/>
  <c r="F2" i="82"/>
  <c r="P2" i="82"/>
  <c r="Z2" i="82"/>
  <c r="AK2" i="82"/>
  <c r="AY2" i="82"/>
  <c r="BL2" i="82"/>
  <c r="CC2" i="82"/>
  <c r="CU2" i="82"/>
  <c r="O3" i="82"/>
  <c r="AH3" i="82"/>
  <c r="AY3" i="82"/>
  <c r="BW3" i="82"/>
  <c r="F4" i="82"/>
  <c r="AA2" i="83"/>
  <c r="CM2" i="83"/>
  <c r="P3" i="83"/>
  <c r="AA3" i="83"/>
  <c r="AO3" i="83"/>
  <c r="BC3" i="83"/>
  <c r="BN3" i="83"/>
  <c r="CB3" i="83"/>
  <c r="CM3" i="83"/>
  <c r="F4" i="83"/>
  <c r="P4" i="83"/>
  <c r="AA4" i="83"/>
  <c r="AK4" i="83"/>
  <c r="AU4" i="83"/>
  <c r="BE4" i="83"/>
  <c r="BQ4" i="83"/>
  <c r="N2" i="82"/>
  <c r="G2" i="82"/>
  <c r="Q2" i="82"/>
  <c r="AA2" i="82"/>
  <c r="AL2" i="82"/>
  <c r="BA2" i="82"/>
  <c r="BM2" i="82"/>
  <c r="CD2" i="82"/>
  <c r="CW2" i="82"/>
  <c r="S3" i="82"/>
  <c r="AI3" i="82"/>
  <c r="BB3" i="82"/>
  <c r="BZ3" i="82"/>
  <c r="Y4" i="82"/>
  <c r="AI2" i="83"/>
  <c r="CU2" i="83"/>
  <c r="Q3" i="83"/>
  <c r="AE3" i="83"/>
  <c r="AP3" i="83"/>
  <c r="BD3" i="83"/>
  <c r="BO3" i="83"/>
  <c r="CC3" i="83"/>
  <c r="CR3" i="83"/>
  <c r="G4" i="83"/>
  <c r="Q4" i="83"/>
  <c r="AB4" i="83"/>
  <c r="AL4" i="83"/>
  <c r="AV4" i="83"/>
  <c r="BH4" i="83"/>
  <c r="BR4" i="83"/>
  <c r="CX2" i="82"/>
  <c r="V3" i="82"/>
  <c r="AL3" i="82"/>
  <c r="BG3" i="82"/>
  <c r="CA3" i="82"/>
  <c r="AQ4" i="82"/>
  <c r="AQ2" i="83"/>
  <c r="BE3" i="83"/>
  <c r="BS3" i="83"/>
  <c r="CD3" i="83"/>
  <c r="CS3" i="83"/>
  <c r="AM4" i="83"/>
  <c r="AY4" i="83"/>
  <c r="BI4" i="83"/>
  <c r="BS4" i="83"/>
  <c r="CI3" i="82"/>
  <c r="AY2" i="83"/>
  <c r="BT3" i="83"/>
  <c r="CE3" i="83"/>
  <c r="CT3" i="83"/>
  <c r="AO4" i="83"/>
  <c r="AZ4" i="83"/>
  <c r="BJ4" i="83"/>
  <c r="BT4" i="83"/>
  <c r="BO2" i="83"/>
  <c r="CJ3" i="83"/>
  <c r="AG4" i="83"/>
  <c r="AR4" i="83"/>
  <c r="BB4" i="83"/>
  <c r="BL4" i="83"/>
  <c r="AB2" i="83"/>
  <c r="E2" i="83"/>
  <c r="U2" i="83"/>
  <c r="AK2" i="83"/>
  <c r="BI2" i="83"/>
  <c r="N2" i="83"/>
  <c r="AD2" i="83"/>
  <c r="AT2" i="83"/>
  <c r="BJ2" i="83"/>
  <c r="BZ2" i="83"/>
  <c r="CH2" i="83"/>
  <c r="CX2" i="83"/>
  <c r="G2" i="83"/>
  <c r="W2" i="83"/>
  <c r="AM2" i="83"/>
  <c r="BC2" i="83"/>
  <c r="BS2" i="83"/>
  <c r="CI2" i="83"/>
  <c r="CY2" i="83"/>
  <c r="L2" i="83"/>
  <c r="T2" i="83"/>
  <c r="AJ2" i="83"/>
  <c r="AR2" i="83"/>
  <c r="AZ2" i="83"/>
  <c r="BH2" i="83"/>
  <c r="BP2" i="83"/>
  <c r="BX2" i="83"/>
  <c r="CF2" i="83"/>
  <c r="CN2" i="83"/>
  <c r="CV2" i="83"/>
  <c r="F2" i="83"/>
  <c r="V2" i="83"/>
  <c r="AL2" i="83"/>
  <c r="BB2" i="83"/>
  <c r="BR2" i="83"/>
  <c r="CP2" i="83"/>
  <c r="O2" i="83"/>
  <c r="AE2" i="83"/>
  <c r="AU2" i="83"/>
  <c r="BK2" i="83"/>
  <c r="CA2" i="83"/>
  <c r="CQ2" i="83"/>
  <c r="CX3" i="83"/>
  <c r="CP3" i="83"/>
  <c r="L3" i="83"/>
  <c r="T3" i="83"/>
  <c r="AB3" i="83"/>
  <c r="AJ3" i="83"/>
  <c r="AR3" i="83"/>
  <c r="AZ3" i="83"/>
  <c r="BH3" i="83"/>
  <c r="BP3" i="83"/>
  <c r="BX3" i="83"/>
  <c r="CF3" i="83"/>
  <c r="CN3" i="83"/>
  <c r="CW3" i="83"/>
  <c r="X2" i="83"/>
  <c r="AN2" i="83"/>
  <c r="AV2" i="83"/>
  <c r="BL2" i="83"/>
  <c r="BT2" i="83"/>
  <c r="CB2" i="83"/>
  <c r="CJ2" i="83"/>
  <c r="CR2" i="83"/>
  <c r="E3" i="83"/>
  <c r="M3" i="83"/>
  <c r="AC3" i="83"/>
  <c r="AS3" i="83"/>
  <c r="BQ3" i="83"/>
  <c r="CO3" i="83"/>
  <c r="M2" i="83"/>
  <c r="AC2" i="83"/>
  <c r="AS2" i="83"/>
  <c r="BA2" i="83"/>
  <c r="BQ2" i="83"/>
  <c r="BY2" i="83"/>
  <c r="CG2" i="83"/>
  <c r="CO2" i="83"/>
  <c r="CW2" i="83"/>
  <c r="H2" i="83"/>
  <c r="P2" i="83"/>
  <c r="AF2" i="83"/>
  <c r="BD2" i="83"/>
  <c r="U3" i="83"/>
  <c r="AK3" i="83"/>
  <c r="BA3" i="83"/>
  <c r="BI3" i="83"/>
  <c r="BY3" i="83"/>
  <c r="CG3" i="83"/>
  <c r="CY3" i="83"/>
  <c r="I2" i="83"/>
  <c r="Q2" i="83"/>
  <c r="Y2" i="83"/>
  <c r="AG2" i="83"/>
  <c r="AO2" i="83"/>
  <c r="AW2" i="83"/>
  <c r="BE2" i="83"/>
  <c r="BM2" i="83"/>
  <c r="BU2" i="83"/>
  <c r="CC2" i="83"/>
  <c r="CK2" i="83"/>
  <c r="CS2" i="83"/>
  <c r="F3" i="83"/>
  <c r="N3" i="83"/>
  <c r="V3" i="83"/>
  <c r="AD3" i="83"/>
  <c r="AL3" i="83"/>
  <c r="AT3" i="83"/>
  <c r="BB3" i="83"/>
  <c r="BJ3" i="83"/>
  <c r="BR3" i="83"/>
  <c r="BZ3" i="83"/>
  <c r="CH3" i="83"/>
  <c r="CQ3" i="83"/>
  <c r="BV4" i="83"/>
  <c r="BN4" i="83"/>
  <c r="BF4" i="83"/>
  <c r="AX4" i="83"/>
  <c r="AP4" i="83"/>
  <c r="AH4" i="83"/>
  <c r="Z4" i="83"/>
  <c r="R4" i="83"/>
  <c r="J4" i="83"/>
  <c r="M4" i="83"/>
  <c r="V4" i="83"/>
  <c r="AE4" i="83"/>
  <c r="AN4" i="83"/>
  <c r="AW4" i="83"/>
  <c r="BG4" i="83"/>
  <c r="BP4" i="83"/>
  <c r="BY4" i="83"/>
  <c r="J2" i="83"/>
  <c r="R2" i="83"/>
  <c r="Z2" i="83"/>
  <c r="AH2" i="83"/>
  <c r="AP2" i="83"/>
  <c r="AX2" i="83"/>
  <c r="BF2" i="83"/>
  <c r="BN2" i="83"/>
  <c r="BV2" i="83"/>
  <c r="CD2" i="83"/>
  <c r="CL2" i="83"/>
  <c r="AV2" i="82"/>
  <c r="BE2" i="82"/>
  <c r="BN2" i="82"/>
  <c r="BW2" i="82"/>
  <c r="CG2" i="82"/>
  <c r="CP2" i="82"/>
  <c r="CY2" i="82"/>
  <c r="P3" i="82"/>
  <c r="AD3" i="82"/>
  <c r="AP3" i="82"/>
  <c r="BC3" i="82"/>
  <c r="BO3" i="82"/>
  <c r="CB3" i="82"/>
  <c r="CQ3" i="82"/>
  <c r="I4" i="82"/>
  <c r="AA4" i="82"/>
  <c r="AS4" i="82"/>
  <c r="BK4" i="82"/>
  <c r="M2" i="82"/>
  <c r="V2" i="82"/>
  <c r="AE2" i="82"/>
  <c r="AN2" i="82"/>
  <c r="AW2" i="82"/>
  <c r="BF2" i="82"/>
  <c r="BO2" i="82"/>
  <c r="BY2" i="82"/>
  <c r="CH2" i="82"/>
  <c r="CQ2" i="82"/>
  <c r="F3" i="82"/>
  <c r="R3" i="82"/>
  <c r="AE3" i="82"/>
  <c r="AQ3" i="82"/>
  <c r="BD3" i="82"/>
  <c r="BR3" i="82"/>
  <c r="CD3" i="82"/>
  <c r="CR3" i="82"/>
  <c r="J4" i="82"/>
  <c r="AB4" i="82"/>
  <c r="AT4" i="82"/>
  <c r="BM4" i="82"/>
  <c r="AO2" i="82"/>
  <c r="AX2" i="82"/>
  <c r="BG2" i="82"/>
  <c r="BQ2" i="82"/>
  <c r="BZ2" i="82"/>
  <c r="CI2" i="82"/>
  <c r="CR2" i="82"/>
  <c r="AT3" i="82"/>
  <c r="BF3" i="82"/>
  <c r="BS3" i="82"/>
  <c r="CE3" i="82"/>
  <c r="CS3" i="82"/>
  <c r="N4" i="82"/>
  <c r="AG4" i="82"/>
  <c r="AY4" i="82"/>
  <c r="BQ4" i="82"/>
  <c r="CA2" i="82"/>
  <c r="CJ2" i="82"/>
  <c r="CS2" i="82"/>
  <c r="BT3" i="82"/>
  <c r="CH3" i="82"/>
  <c r="CU3" i="82"/>
  <c r="O4" i="82"/>
  <c r="AH4" i="82"/>
  <c r="AZ4" i="82"/>
  <c r="BR4" i="82"/>
  <c r="R4" i="82"/>
  <c r="AJ4" i="82"/>
  <c r="BB4" i="82"/>
  <c r="BU4" i="82"/>
  <c r="S4" i="82"/>
  <c r="AK4" i="82"/>
  <c r="BC4" i="82"/>
  <c r="BV4" i="82"/>
  <c r="E4" i="82"/>
  <c r="W4" i="82"/>
  <c r="AP4" i="82"/>
  <c r="BH4" i="82"/>
  <c r="CV3" i="82"/>
  <c r="CN3" i="82"/>
  <c r="L3" i="82"/>
  <c r="T3" i="82"/>
  <c r="AB3" i="82"/>
  <c r="AJ3" i="82"/>
  <c r="AR3" i="82"/>
  <c r="AZ3" i="82"/>
  <c r="BH3" i="82"/>
  <c r="BP3" i="82"/>
  <c r="BX3" i="82"/>
  <c r="CF3" i="82"/>
  <c r="CO3" i="82"/>
  <c r="CX3" i="82"/>
  <c r="K4" i="82"/>
  <c r="T4" i="82"/>
  <c r="AC4" i="82"/>
  <c r="AL4" i="82"/>
  <c r="AU4" i="82"/>
  <c r="BE4" i="82"/>
  <c r="BN4" i="82"/>
  <c r="BW4" i="82"/>
  <c r="E3" i="82"/>
  <c r="M3" i="82"/>
  <c r="U3" i="82"/>
  <c r="AC3" i="82"/>
  <c r="AK3" i="82"/>
  <c r="AS3" i="82"/>
  <c r="BA3" i="82"/>
  <c r="BI3" i="82"/>
  <c r="BQ3" i="82"/>
  <c r="BY3" i="82"/>
  <c r="CG3" i="82"/>
  <c r="CP3" i="82"/>
  <c r="CY3" i="82"/>
  <c r="L4" i="82"/>
  <c r="U4" i="82"/>
  <c r="AD4" i="82"/>
  <c r="AM4" i="82"/>
  <c r="AW4" i="82"/>
  <c r="BF4" i="82"/>
  <c r="BO4" i="82"/>
  <c r="BT4" i="82"/>
  <c r="BL4" i="82"/>
  <c r="BD4" i="82"/>
  <c r="AV4" i="82"/>
  <c r="AN4" i="82"/>
  <c r="AF4" i="82"/>
  <c r="X4" i="82"/>
  <c r="P4" i="82"/>
  <c r="H4" i="82"/>
  <c r="M4" i="82"/>
  <c r="V4" i="82"/>
  <c r="AE4" i="82"/>
  <c r="AO4" i="82"/>
  <c r="AX4" i="82"/>
  <c r="BG4" i="82"/>
  <c r="BP4" i="82"/>
  <c r="BY4" i="82"/>
  <c r="L2" i="82"/>
  <c r="T2" i="82"/>
  <c r="AB2" i="82"/>
  <c r="AJ2" i="82"/>
  <c r="AR2" i="82"/>
  <c r="AZ2" i="82"/>
  <c r="BH2" i="82"/>
  <c r="BP2" i="82"/>
  <c r="BX2" i="82"/>
  <c r="CF2" i="82"/>
  <c r="CN2" i="82"/>
  <c r="I3" i="82"/>
  <c r="Q3" i="82"/>
  <c r="Y3" i="82"/>
  <c r="AG3" i="82"/>
  <c r="AO3" i="82"/>
  <c r="AW3" i="82"/>
  <c r="BE3" i="82"/>
  <c r="BM3" i="82"/>
  <c r="BU3" i="82"/>
  <c r="CC3" i="82"/>
  <c r="CK3" i="82"/>
  <c r="CT3" i="82"/>
  <c r="G4" i="82"/>
  <c r="Q4" i="82"/>
  <c r="Z4" i="82"/>
  <c r="AI4" i="82"/>
  <c r="AR4" i="82"/>
  <c r="BA4" i="82"/>
  <c r="BJ4" i="82"/>
  <c r="BS4" i="82"/>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BR2" i="4"/>
  <c r="BI2" i="4"/>
  <c r="BS4" i="4"/>
  <c r="BE3" i="4"/>
  <c r="F5" i="80"/>
  <c r="E4" i="3"/>
  <c r="BT3" i="3"/>
  <c r="BY2" i="3"/>
  <c r="E5" i="80"/>
  <c r="D5" i="80"/>
  <c r="AB58" i="3" l="1"/>
  <c r="Q4" i="3"/>
  <c r="CY2" i="4"/>
  <c r="BL4" i="4"/>
  <c r="BT4" i="4"/>
  <c r="E2" i="3"/>
  <c r="F2" i="4"/>
  <c r="H4" i="4"/>
  <c r="BZ2" i="4"/>
  <c r="O2" i="4"/>
  <c r="P4" i="4"/>
  <c r="CK2" i="4"/>
  <c r="X2" i="4"/>
  <c r="X4" i="4"/>
  <c r="CU2" i="4"/>
  <c r="AH2" i="4"/>
  <c r="AF4" i="4"/>
  <c r="AQ2" i="4"/>
  <c r="AN4" i="4"/>
  <c r="AZ2" i="4"/>
  <c r="AV4" i="4"/>
  <c r="AC2" i="4"/>
  <c r="BD2" i="4"/>
  <c r="CP2" i="4"/>
  <c r="AK2" i="4"/>
  <c r="BL2" i="4"/>
  <c r="CD2" i="4"/>
  <c r="AL2" i="4"/>
  <c r="BW2" i="4"/>
  <c r="CE2" i="4"/>
  <c r="L2" i="4"/>
  <c r="U2" i="4"/>
  <c r="AD2" i="4"/>
  <c r="AM2" i="4"/>
  <c r="AV2" i="4"/>
  <c r="BF2" i="4"/>
  <c r="BO2" i="4"/>
  <c r="BX2" i="4"/>
  <c r="BD4" i="4"/>
  <c r="CG2" i="4"/>
  <c r="CR2" i="4"/>
  <c r="J2" i="4"/>
  <c r="S2" i="4"/>
  <c r="BV2" i="4"/>
  <c r="K2" i="4"/>
  <c r="AU2" i="4"/>
  <c r="M2" i="4"/>
  <c r="V2" i="4"/>
  <c r="AE2" i="4"/>
  <c r="AN2" i="4"/>
  <c r="AX2" i="4"/>
  <c r="BG2" i="4"/>
  <c r="BP2" i="4"/>
  <c r="BY2" i="4"/>
  <c r="CH2" i="4"/>
  <c r="CS2" i="4"/>
  <c r="AB2" i="4"/>
  <c r="BC2" i="4"/>
  <c r="CO2" i="4"/>
  <c r="T2" i="4"/>
  <c r="BN2" i="4"/>
  <c r="E2" i="4"/>
  <c r="N2" i="4"/>
  <c r="W2" i="4"/>
  <c r="AF2" i="4"/>
  <c r="AP2" i="4"/>
  <c r="AY2" i="4"/>
  <c r="BH2" i="4"/>
  <c r="BQ2" i="4"/>
  <c r="CJ2" i="4"/>
  <c r="CT2" i="4"/>
  <c r="G2" i="4"/>
  <c r="P2" i="4"/>
  <c r="Z2" i="4"/>
  <c r="AI2" i="4"/>
  <c r="AR2" i="4"/>
  <c r="BA2" i="4"/>
  <c r="BJ2" i="4"/>
  <c r="BS2" i="4"/>
  <c r="CB2" i="4"/>
  <c r="CL2" i="4"/>
  <c r="CW2" i="4"/>
  <c r="H2" i="4"/>
  <c r="R2" i="4"/>
  <c r="AA2" i="4"/>
  <c r="AJ2" i="4"/>
  <c r="AS2" i="4"/>
  <c r="BB2" i="4"/>
  <c r="BK2" i="4"/>
  <c r="BT2" i="4"/>
  <c r="CC2" i="4"/>
  <c r="CM2" i="4"/>
  <c r="CX2" i="4"/>
  <c r="E4" i="4"/>
  <c r="AT2" i="4"/>
  <c r="AO3" i="4"/>
  <c r="BU3" i="4"/>
  <c r="J3" i="4"/>
  <c r="BV3" i="4"/>
  <c r="Y4" i="4"/>
  <c r="BE4" i="4"/>
  <c r="CQ3" i="4"/>
  <c r="AA3" i="4"/>
  <c r="AI3" i="4"/>
  <c r="BW3" i="4"/>
  <c r="J4" i="4"/>
  <c r="AH4" i="4"/>
  <c r="BF4" i="4"/>
  <c r="CB3" i="4"/>
  <c r="AW3" i="4"/>
  <c r="R3" i="4"/>
  <c r="BF3" i="4"/>
  <c r="Q4" i="4"/>
  <c r="BM4" i="4"/>
  <c r="S3" i="4"/>
  <c r="AQ3" i="4"/>
  <c r="BO3" i="4"/>
  <c r="R4" i="4"/>
  <c r="AP4" i="4"/>
  <c r="BN4" i="4"/>
  <c r="CR3" i="4"/>
  <c r="L3" i="4"/>
  <c r="T3" i="4"/>
  <c r="AR3" i="4"/>
  <c r="AZ3" i="4"/>
  <c r="BX3" i="4"/>
  <c r="AA4" i="4"/>
  <c r="AI4" i="4"/>
  <c r="AY4" i="4"/>
  <c r="BO4" i="4"/>
  <c r="CC3" i="4"/>
  <c r="CS3" i="4"/>
  <c r="I3" i="4"/>
  <c r="Q3" i="4"/>
  <c r="CP3" i="4"/>
  <c r="BN3" i="4"/>
  <c r="I4" i="4"/>
  <c r="AW4" i="4"/>
  <c r="CA3" i="4"/>
  <c r="K3" i="4"/>
  <c r="AY3" i="4"/>
  <c r="BG3" i="4"/>
  <c r="Z4" i="4"/>
  <c r="AX4" i="4"/>
  <c r="BV4" i="4"/>
  <c r="CJ3" i="4"/>
  <c r="AB3" i="4"/>
  <c r="AJ3" i="4"/>
  <c r="BH3" i="4"/>
  <c r="BP3" i="4"/>
  <c r="K4" i="4"/>
  <c r="S4" i="4"/>
  <c r="AQ4" i="4"/>
  <c r="BG4" i="4"/>
  <c r="BW4" i="4"/>
  <c r="CK3" i="4"/>
  <c r="E3" i="4"/>
  <c r="M3" i="4"/>
  <c r="U3" i="4"/>
  <c r="AC3" i="4"/>
  <c r="AK3" i="4"/>
  <c r="AS3" i="4"/>
  <c r="BA3" i="4"/>
  <c r="BI3" i="4"/>
  <c r="BQ3" i="4"/>
  <c r="BY3" i="4"/>
  <c r="L4" i="4"/>
  <c r="T4" i="4"/>
  <c r="AB4" i="4"/>
  <c r="AJ4" i="4"/>
  <c r="AR4" i="4"/>
  <c r="AZ4" i="4"/>
  <c r="BH4" i="4"/>
  <c r="BP4" i="4"/>
  <c r="BX4" i="4"/>
  <c r="CF2" i="4"/>
  <c r="CN2" i="4"/>
  <c r="CV2" i="4"/>
  <c r="CD3" i="4"/>
  <c r="CL3" i="4"/>
  <c r="CT3" i="4"/>
  <c r="BM3" i="4"/>
  <c r="CX3" i="4"/>
  <c r="AH3" i="4"/>
  <c r="AP3" i="4"/>
  <c r="AG4" i="4"/>
  <c r="BU4" i="4"/>
  <c r="CI3" i="4"/>
  <c r="CY3" i="4"/>
  <c r="V3" i="4"/>
  <c r="AD3" i="4"/>
  <c r="BR3" i="4"/>
  <c r="M4" i="4"/>
  <c r="AS4" i="4"/>
  <c r="BQ4" i="4"/>
  <c r="CE3" i="4"/>
  <c r="AG3" i="4"/>
  <c r="CH3" i="4"/>
  <c r="N3" i="4"/>
  <c r="AL3" i="4"/>
  <c r="BJ3" i="4"/>
  <c r="U4" i="4"/>
  <c r="AK4" i="4"/>
  <c r="BI4" i="4"/>
  <c r="CM3" i="4"/>
  <c r="W3" i="4"/>
  <c r="AE3" i="4"/>
  <c r="AU3" i="4"/>
  <c r="BS3" i="4"/>
  <c r="F4" i="4"/>
  <c r="N4" i="4"/>
  <c r="AL4" i="4"/>
  <c r="AT4" i="4"/>
  <c r="BJ4" i="4"/>
  <c r="CF3" i="4"/>
  <c r="CV3" i="4"/>
  <c r="Y3" i="4"/>
  <c r="BZ3" i="4"/>
  <c r="Z3" i="4"/>
  <c r="AX3" i="4"/>
  <c r="AO4" i="4"/>
  <c r="F3" i="4"/>
  <c r="AT3" i="4"/>
  <c r="BB3" i="4"/>
  <c r="AC4" i="4"/>
  <c r="BA4" i="4"/>
  <c r="BY4" i="4"/>
  <c r="CU3" i="4"/>
  <c r="G3" i="4"/>
  <c r="O3" i="4"/>
  <c r="AM3" i="4"/>
  <c r="BC3" i="4"/>
  <c r="BK3" i="4"/>
  <c r="V4" i="4"/>
  <c r="AD4" i="4"/>
  <c r="BB4" i="4"/>
  <c r="BR4" i="4"/>
  <c r="CN3" i="4"/>
  <c r="I2" i="4"/>
  <c r="Q2" i="4"/>
  <c r="Y2" i="4"/>
  <c r="AG2" i="4"/>
  <c r="AO2" i="4"/>
  <c r="AW2" i="4"/>
  <c r="BE2" i="4"/>
  <c r="BM2" i="4"/>
  <c r="BU2" i="4"/>
  <c r="H3" i="4"/>
  <c r="P3" i="4"/>
  <c r="X3" i="4"/>
  <c r="AF3" i="4"/>
  <c r="AN3" i="4"/>
  <c r="AV3" i="4"/>
  <c r="BD3" i="4"/>
  <c r="BL3" i="4"/>
  <c r="BT3" i="4"/>
  <c r="G4" i="4"/>
  <c r="O4" i="4"/>
  <c r="W4" i="4"/>
  <c r="AE4" i="4"/>
  <c r="AM4" i="4"/>
  <c r="AU4" i="4"/>
  <c r="BC4" i="4"/>
  <c r="BK4" i="4"/>
  <c r="CA2" i="4"/>
  <c r="CI2" i="4"/>
  <c r="CQ2" i="4"/>
  <c r="CG3" i="4"/>
  <c r="CO3" i="4"/>
  <c r="CW3" i="4"/>
  <c r="G4" i="3"/>
  <c r="G2" i="3"/>
  <c r="G3" i="3"/>
  <c r="F3" i="3"/>
  <c r="BU3" i="3"/>
  <c r="C5" i="80"/>
  <c r="BR2" i="3"/>
  <c r="BM3" i="3"/>
  <c r="N2" i="3"/>
  <c r="J4" i="3"/>
  <c r="BF4" i="3"/>
  <c r="BN4" i="3"/>
  <c r="O3" i="3"/>
  <c r="AD2" i="3"/>
  <c r="R4" i="3"/>
  <c r="AL2" i="3"/>
  <c r="AG3" i="3"/>
  <c r="Z4" i="3"/>
  <c r="Y3" i="3"/>
  <c r="AT2" i="3"/>
  <c r="AO3" i="3"/>
  <c r="AH4" i="3"/>
  <c r="V2" i="3"/>
  <c r="BB2" i="3"/>
  <c r="AW3" i="3"/>
  <c r="AP4" i="3"/>
  <c r="BJ2" i="3"/>
  <c r="BE3" i="3"/>
  <c r="AX4" i="3"/>
  <c r="BV4" i="3"/>
  <c r="F2" i="3"/>
  <c r="O2" i="3"/>
  <c r="W2" i="3"/>
  <c r="AE2" i="3"/>
  <c r="AM2" i="3"/>
  <c r="AU2" i="3"/>
  <c r="BC2" i="3"/>
  <c r="BK2" i="3"/>
  <c r="BS2" i="3"/>
  <c r="H3" i="3"/>
  <c r="R3" i="3"/>
  <c r="Z3" i="3"/>
  <c r="AH3" i="3"/>
  <c r="AP3" i="3"/>
  <c r="AX3" i="3"/>
  <c r="BF3" i="3"/>
  <c r="BN3" i="3"/>
  <c r="BV3" i="3"/>
  <c r="K4" i="3"/>
  <c r="S4" i="3"/>
  <c r="AA4" i="3"/>
  <c r="AI4" i="3"/>
  <c r="AQ4" i="3"/>
  <c r="AY4" i="3"/>
  <c r="BG4" i="3"/>
  <c r="BO4" i="3"/>
  <c r="BW4" i="3"/>
  <c r="P2" i="3"/>
  <c r="X2" i="3"/>
  <c r="AF2" i="3"/>
  <c r="AN2" i="3"/>
  <c r="AV2" i="3"/>
  <c r="BD2" i="3"/>
  <c r="BL2" i="3"/>
  <c r="BT2" i="3"/>
  <c r="I3" i="3"/>
  <c r="S3" i="3"/>
  <c r="AA3" i="3"/>
  <c r="AI3" i="3"/>
  <c r="AQ3" i="3"/>
  <c r="AY3" i="3"/>
  <c r="BG3" i="3"/>
  <c r="BO3" i="3"/>
  <c r="BW3" i="3"/>
  <c r="L4" i="3"/>
  <c r="T4" i="3"/>
  <c r="AB4" i="3"/>
  <c r="AJ4" i="3"/>
  <c r="AR4" i="3"/>
  <c r="AZ4" i="3"/>
  <c r="BH4" i="3"/>
  <c r="BP4" i="3"/>
  <c r="BX4" i="3"/>
  <c r="I2" i="3"/>
  <c r="Q2" i="3"/>
  <c r="Y2" i="3"/>
  <c r="AG2" i="3"/>
  <c r="AO2" i="3"/>
  <c r="AW2" i="3"/>
  <c r="BE2" i="3"/>
  <c r="BM2" i="3"/>
  <c r="BU2" i="3"/>
  <c r="J3" i="3"/>
  <c r="T3" i="3"/>
  <c r="AB3" i="3"/>
  <c r="AJ3" i="3"/>
  <c r="AR3" i="3"/>
  <c r="AZ3" i="3"/>
  <c r="BH3" i="3"/>
  <c r="BP3" i="3"/>
  <c r="BX3" i="3"/>
  <c r="M4" i="3"/>
  <c r="U4" i="3"/>
  <c r="AC4" i="3"/>
  <c r="AK4" i="3"/>
  <c r="AS4" i="3"/>
  <c r="BA4" i="3"/>
  <c r="BI4" i="3"/>
  <c r="BQ4" i="3"/>
  <c r="BY4" i="3"/>
  <c r="J2" i="3"/>
  <c r="R2" i="3"/>
  <c r="Z2" i="3"/>
  <c r="AH2" i="3"/>
  <c r="AP2" i="3"/>
  <c r="AX2" i="3"/>
  <c r="BF2" i="3"/>
  <c r="BN2" i="3"/>
  <c r="BV2" i="3"/>
  <c r="K3" i="3"/>
  <c r="U3" i="3"/>
  <c r="AC3" i="3"/>
  <c r="AK3" i="3"/>
  <c r="AS3" i="3"/>
  <c r="BA3" i="3"/>
  <c r="BI3" i="3"/>
  <c r="BQ3" i="3"/>
  <c r="BY3" i="3"/>
  <c r="N4" i="3"/>
  <c r="V4" i="3"/>
  <c r="AD4" i="3"/>
  <c r="AL4" i="3"/>
  <c r="AT4" i="3"/>
  <c r="BB4" i="3"/>
  <c r="BJ4" i="3"/>
  <c r="BR4" i="3"/>
  <c r="P3" i="3"/>
  <c r="K2" i="3"/>
  <c r="S2" i="3"/>
  <c r="AA2" i="3"/>
  <c r="AI2" i="3"/>
  <c r="AQ2" i="3"/>
  <c r="AY2" i="3"/>
  <c r="BG2" i="3"/>
  <c r="BO2" i="3"/>
  <c r="BW2" i="3"/>
  <c r="L3" i="3"/>
  <c r="V3" i="3"/>
  <c r="AD3" i="3"/>
  <c r="AL3" i="3"/>
  <c r="AT3" i="3"/>
  <c r="BB3" i="3"/>
  <c r="BJ3" i="3"/>
  <c r="BR3" i="3"/>
  <c r="F4" i="3"/>
  <c r="O4" i="3"/>
  <c r="W4" i="3"/>
  <c r="AE4" i="3"/>
  <c r="AM4" i="3"/>
  <c r="AU4" i="3"/>
  <c r="BC4" i="3"/>
  <c r="BK4" i="3"/>
  <c r="BS4" i="3"/>
  <c r="Q3" i="3"/>
  <c r="L2" i="3"/>
  <c r="T2" i="3"/>
  <c r="AB2" i="3"/>
  <c r="AJ2" i="3"/>
  <c r="AR2" i="3"/>
  <c r="AZ2" i="3"/>
  <c r="BH2" i="3"/>
  <c r="BP2" i="3"/>
  <c r="BX2" i="3"/>
  <c r="M3" i="3"/>
  <c r="W3" i="3"/>
  <c r="AE3" i="3"/>
  <c r="AM3" i="3"/>
  <c r="AU3" i="3"/>
  <c r="BC3" i="3"/>
  <c r="BK3" i="3"/>
  <c r="BS3" i="3"/>
  <c r="P4" i="3"/>
  <c r="X4" i="3"/>
  <c r="AF4" i="3"/>
  <c r="AN4" i="3"/>
  <c r="AV4" i="3"/>
  <c r="BD4" i="3"/>
  <c r="BL4" i="3"/>
  <c r="BT4" i="3"/>
  <c r="E3" i="3"/>
  <c r="M2" i="3"/>
  <c r="U2" i="3"/>
  <c r="AC2" i="3"/>
  <c r="AK2" i="3"/>
  <c r="AS2" i="3"/>
  <c r="BA2" i="3"/>
  <c r="BI2" i="3"/>
  <c r="BQ2" i="3"/>
  <c r="N3" i="3"/>
  <c r="X3" i="3"/>
  <c r="AF3" i="3"/>
  <c r="AN3" i="3"/>
  <c r="AV3" i="3"/>
  <c r="BD3" i="3"/>
  <c r="BL3" i="3"/>
  <c r="I4" i="3"/>
  <c r="Y4" i="3"/>
  <c r="AG4" i="3"/>
  <c r="AO4" i="3"/>
  <c r="AW4" i="3"/>
  <c r="BE4" i="3"/>
  <c r="BM4" i="3"/>
  <c r="BU4" i="3"/>
  <c r="D75" i="80"/>
  <c r="C75" i="80"/>
  <c r="F75" i="80"/>
  <c r="F74" i="80"/>
  <c r="F73" i="80"/>
  <c r="F72" i="80"/>
  <c r="F71" i="80"/>
  <c r="F70" i="80"/>
  <c r="F69" i="80"/>
  <c r="F68" i="80"/>
  <c r="F67" i="80"/>
  <c r="F66" i="80"/>
  <c r="F65" i="80"/>
  <c r="F64" i="80"/>
  <c r="F63" i="80"/>
  <c r="F62" i="80"/>
  <c r="F61" i="80"/>
  <c r="F60" i="80"/>
  <c r="F59" i="80"/>
  <c r="F58" i="80"/>
  <c r="F57" i="80"/>
  <c r="F56" i="80"/>
  <c r="F55" i="80"/>
  <c r="F54" i="80"/>
  <c r="F53" i="80"/>
  <c r="F52" i="80"/>
  <c r="F51" i="80"/>
  <c r="F50" i="80"/>
  <c r="F49" i="80"/>
  <c r="F48" i="80"/>
  <c r="F47" i="80"/>
  <c r="F46" i="80"/>
  <c r="F45" i="80"/>
  <c r="F44" i="80"/>
  <c r="F43" i="80"/>
  <c r="F42" i="80"/>
  <c r="F41" i="80"/>
  <c r="F40" i="80"/>
  <c r="F39" i="80"/>
  <c r="F38" i="80"/>
  <c r="F37" i="80"/>
  <c r="F36" i="80"/>
  <c r="F35" i="80"/>
  <c r="F34" i="80"/>
  <c r="F33" i="80"/>
  <c r="F32" i="80"/>
  <c r="F31" i="80"/>
  <c r="F30" i="80"/>
  <c r="F29" i="80"/>
  <c r="F28" i="80"/>
  <c r="F27" i="80"/>
  <c r="F26" i="80"/>
  <c r="F25" i="80"/>
  <c r="F24" i="80"/>
  <c r="F23" i="80"/>
  <c r="F22" i="80"/>
  <c r="F21" i="80"/>
  <c r="F20" i="80"/>
  <c r="F19" i="80"/>
  <c r="F18" i="80"/>
  <c r="F17" i="80"/>
  <c r="F15" i="80"/>
  <c r="F14" i="80"/>
  <c r="F13" i="80"/>
  <c r="F12" i="80"/>
  <c r="F11" i="80"/>
  <c r="F10" i="80"/>
  <c r="F9" i="80"/>
  <c r="F8" i="80"/>
  <c r="F7" i="80"/>
  <c r="F6" i="80"/>
  <c r="F4" i="80"/>
  <c r="F3" i="80"/>
  <c r="E75" i="80"/>
  <c r="G4" i="97" l="1"/>
  <c r="G7" i="97"/>
  <c r="G5" i="97"/>
  <c r="G9" i="97"/>
  <c r="G6" i="97"/>
  <c r="G10" i="97"/>
  <c r="G8" i="97"/>
  <c r="G12" i="97"/>
  <c r="G11" i="97"/>
  <c r="E61" i="3"/>
  <c r="E60" i="3"/>
  <c r="E59" i="3"/>
  <c r="E58" i="3"/>
  <c r="C8" i="80"/>
  <c r="C12" i="80"/>
  <c r="C18" i="80"/>
  <c r="C24" i="80"/>
  <c r="C28" i="80"/>
  <c r="C32" i="80"/>
  <c r="C36" i="80"/>
  <c r="C40" i="80"/>
  <c r="C44" i="80"/>
  <c r="C48" i="80"/>
  <c r="C54" i="80"/>
  <c r="C60" i="80"/>
  <c r="C66" i="80"/>
  <c r="C72" i="80"/>
  <c r="D3" i="80"/>
  <c r="D6" i="80"/>
  <c r="D8" i="80"/>
  <c r="D10" i="80"/>
  <c r="D12" i="80"/>
  <c r="D14" i="80"/>
  <c r="D16" i="80"/>
  <c r="D18" i="80"/>
  <c r="D20" i="80"/>
  <c r="D22" i="80"/>
  <c r="D24" i="80"/>
  <c r="D26" i="80"/>
  <c r="D28" i="80"/>
  <c r="D30" i="80"/>
  <c r="D32" i="80"/>
  <c r="D34" i="80"/>
  <c r="D36" i="80"/>
  <c r="D38" i="80"/>
  <c r="D40" i="80"/>
  <c r="D42" i="80"/>
  <c r="D44" i="80"/>
  <c r="D46" i="80"/>
  <c r="D48" i="80"/>
  <c r="D50" i="80"/>
  <c r="D52" i="80"/>
  <c r="D54" i="80"/>
  <c r="D56" i="80"/>
  <c r="D58" i="80"/>
  <c r="D60" i="80"/>
  <c r="D62" i="80"/>
  <c r="D64" i="80"/>
  <c r="D66" i="80"/>
  <c r="D68" i="80"/>
  <c r="D70" i="80"/>
  <c r="D72" i="80"/>
  <c r="D74" i="80"/>
  <c r="C6" i="80"/>
  <c r="C10" i="80"/>
  <c r="C14" i="80"/>
  <c r="C16" i="80"/>
  <c r="C20" i="80"/>
  <c r="C22" i="80"/>
  <c r="C26" i="80"/>
  <c r="C30" i="80"/>
  <c r="C34" i="80"/>
  <c r="C38" i="80"/>
  <c r="C42" i="80"/>
  <c r="C46" i="80"/>
  <c r="C50" i="80"/>
  <c r="C52" i="80"/>
  <c r="C56" i="80"/>
  <c r="C58" i="80"/>
  <c r="C62" i="80"/>
  <c r="C64" i="80"/>
  <c r="C68" i="80"/>
  <c r="C70" i="80"/>
  <c r="C74" i="80"/>
  <c r="E3" i="80"/>
  <c r="E6" i="80"/>
  <c r="E8" i="80"/>
  <c r="E10" i="80"/>
  <c r="E12" i="80"/>
  <c r="E14" i="80"/>
  <c r="E16" i="80"/>
  <c r="E18" i="80"/>
  <c r="E20" i="80"/>
  <c r="E22" i="80"/>
  <c r="E24" i="80"/>
  <c r="E28" i="80"/>
  <c r="E30" i="80"/>
  <c r="E32" i="80"/>
  <c r="E34" i="80"/>
  <c r="E36" i="80"/>
  <c r="E38" i="80"/>
  <c r="E40" i="80"/>
  <c r="E42" i="80"/>
  <c r="E46" i="80"/>
  <c r="E48" i="80"/>
  <c r="E50" i="80"/>
  <c r="E52" i="80"/>
  <c r="E54" i="80"/>
  <c r="E56" i="80"/>
  <c r="E58" i="80"/>
  <c r="E60" i="80"/>
  <c r="E62" i="80"/>
  <c r="E64" i="80"/>
  <c r="E66" i="80"/>
  <c r="E70" i="80"/>
  <c r="E72" i="80"/>
  <c r="E74" i="80"/>
  <c r="C4" i="80"/>
  <c r="C7" i="80"/>
  <c r="C9" i="80"/>
  <c r="C11" i="80"/>
  <c r="C13" i="80"/>
  <c r="C15" i="80"/>
  <c r="C17" i="80"/>
  <c r="C19" i="80"/>
  <c r="C21" i="80"/>
  <c r="C23" i="80"/>
  <c r="C25" i="80"/>
  <c r="C27" i="80"/>
  <c r="C29" i="80"/>
  <c r="C31" i="80"/>
  <c r="C33" i="80"/>
  <c r="C35" i="80"/>
  <c r="C37" i="80"/>
  <c r="C39" i="80"/>
  <c r="C41" i="80"/>
  <c r="C43" i="80"/>
  <c r="C45" i="80"/>
  <c r="C47" i="80"/>
  <c r="C49" i="80"/>
  <c r="C51" i="80"/>
  <c r="C53" i="80"/>
  <c r="C55" i="80"/>
  <c r="C57" i="80"/>
  <c r="C59" i="80"/>
  <c r="C61" i="80"/>
  <c r="C63" i="80"/>
  <c r="C65" i="80"/>
  <c r="C67" i="80"/>
  <c r="C69" i="80"/>
  <c r="C71" i="80"/>
  <c r="C73" i="80"/>
  <c r="D4" i="80"/>
  <c r="D7" i="80"/>
  <c r="D9" i="80"/>
  <c r="D11" i="80"/>
  <c r="D13" i="80"/>
  <c r="D15" i="80"/>
  <c r="D17" i="80"/>
  <c r="D19" i="80"/>
  <c r="D21" i="80"/>
  <c r="D23" i="80"/>
  <c r="D25" i="80"/>
  <c r="D27" i="80"/>
  <c r="D29" i="80"/>
  <c r="D31" i="80"/>
  <c r="D33" i="80"/>
  <c r="D35" i="80"/>
  <c r="D37" i="80"/>
  <c r="D39" i="80"/>
  <c r="D41" i="80"/>
  <c r="D43" i="80"/>
  <c r="D45" i="80"/>
  <c r="D47" i="80"/>
  <c r="D49" i="80"/>
  <c r="D51" i="80"/>
  <c r="D53" i="80"/>
  <c r="D55" i="80"/>
  <c r="D57" i="80"/>
  <c r="D59" i="80"/>
  <c r="D61" i="80"/>
  <c r="D63" i="80"/>
  <c r="D65" i="80"/>
  <c r="D67" i="80"/>
  <c r="D69" i="80"/>
  <c r="D71" i="80"/>
  <c r="D73" i="80"/>
  <c r="E4" i="80"/>
  <c r="E7" i="80"/>
  <c r="E9" i="80"/>
  <c r="E11" i="80"/>
  <c r="E13" i="80"/>
  <c r="E15" i="80"/>
  <c r="E17" i="80"/>
  <c r="E19" i="80"/>
  <c r="E21" i="80"/>
  <c r="E23" i="80"/>
  <c r="E25" i="80"/>
  <c r="E27" i="80"/>
  <c r="E29" i="80"/>
  <c r="E31" i="80"/>
  <c r="E33" i="80"/>
  <c r="E35" i="80"/>
  <c r="E37" i="80"/>
  <c r="E39" i="80"/>
  <c r="E41" i="80"/>
  <c r="E43" i="80"/>
  <c r="E45" i="80"/>
  <c r="E47" i="80"/>
  <c r="E49" i="80"/>
  <c r="E51" i="80"/>
  <c r="E53" i="80"/>
  <c r="E55" i="80"/>
  <c r="E57" i="80"/>
  <c r="E59" i="80"/>
  <c r="E61" i="80"/>
  <c r="E63" i="80"/>
  <c r="E65" i="80"/>
  <c r="E67" i="80"/>
  <c r="E73" i="80"/>
  <c r="E32" i="4" l="1"/>
  <c r="E42" i="4"/>
  <c r="E28" i="4"/>
  <c r="H28" i="97" s="1"/>
  <c r="E37" i="4"/>
  <c r="E33" i="4"/>
  <c r="E29" i="4"/>
  <c r="H29" i="97" s="1"/>
  <c r="E22" i="4"/>
  <c r="E14" i="4"/>
  <c r="E45" i="4"/>
  <c r="E7" i="4"/>
  <c r="E53" i="4"/>
  <c r="E24" i="4"/>
  <c r="E35" i="4"/>
  <c r="E20" i="4"/>
  <c r="E9" i="4"/>
  <c r="H24" i="97" s="1"/>
  <c r="E15" i="4"/>
  <c r="E23" i="4"/>
  <c r="E43" i="4"/>
  <c r="H22" i="97" s="1"/>
  <c r="BW59" i="3"/>
  <c r="BW58" i="3"/>
  <c r="BW60" i="3"/>
  <c r="BW61" i="3"/>
  <c r="J59" i="3"/>
  <c r="J58" i="3"/>
  <c r="J61" i="3"/>
  <c r="J60" i="3"/>
  <c r="BP59" i="3"/>
  <c r="BP27" i="4" s="1"/>
  <c r="H972" i="97" s="1"/>
  <c r="BP58" i="3"/>
  <c r="BP61" i="3"/>
  <c r="BP60" i="3"/>
  <c r="B3" i="3"/>
  <c r="G59" i="3"/>
  <c r="G58" i="3"/>
  <c r="G61" i="3"/>
  <c r="G60" i="3"/>
  <c r="K59" i="3"/>
  <c r="K58" i="3"/>
  <c r="K60" i="3"/>
  <c r="K61" i="3"/>
  <c r="N59" i="3"/>
  <c r="N58" i="3"/>
  <c r="N61" i="3"/>
  <c r="N60" i="3"/>
  <c r="AF59" i="3"/>
  <c r="AF58" i="3"/>
  <c r="AF61" i="3"/>
  <c r="AF60" i="3"/>
  <c r="AS59" i="3"/>
  <c r="AS58" i="3"/>
  <c r="AS61" i="3"/>
  <c r="AS60" i="3"/>
  <c r="BH59" i="3"/>
  <c r="BH58" i="3"/>
  <c r="BH61" i="3"/>
  <c r="BH60" i="3"/>
  <c r="AK59" i="3"/>
  <c r="AK58" i="3"/>
  <c r="AK60" i="3"/>
  <c r="AK61" i="3"/>
  <c r="E10" i="4"/>
  <c r="E18" i="4"/>
  <c r="E27" i="4"/>
  <c r="H27" i="97" s="1"/>
  <c r="E12" i="4"/>
  <c r="E17" i="4"/>
  <c r="E16" i="4"/>
  <c r="E36" i="4"/>
  <c r="E39" i="4"/>
  <c r="E46" i="4"/>
  <c r="E44" i="4"/>
  <c r="E50" i="4"/>
  <c r="E52" i="4"/>
  <c r="E30" i="4"/>
  <c r="E21" i="4"/>
  <c r="E8" i="4"/>
  <c r="H21" i="97" s="1"/>
  <c r="E41" i="4"/>
  <c r="E49" i="4"/>
  <c r="E47" i="4"/>
  <c r="E40" i="4"/>
  <c r="E26" i="4"/>
  <c r="H25" i="97" s="1"/>
  <c r="E13" i="4"/>
  <c r="E51" i="4"/>
  <c r="E25" i="4"/>
  <c r="E48" i="4"/>
  <c r="E34" i="4"/>
  <c r="H23" i="97" s="1"/>
  <c r="E6" i="4"/>
  <c r="E11" i="4"/>
  <c r="E19" i="4"/>
  <c r="E31" i="4"/>
  <c r="H26" i="97" s="1"/>
  <c r="E38" i="4"/>
  <c r="AG59" i="3"/>
  <c r="AG58" i="3"/>
  <c r="AG61" i="3"/>
  <c r="AG60" i="3"/>
  <c r="Z58" i="3"/>
  <c r="Z59" i="3"/>
  <c r="Z40" i="4" s="1"/>
  <c r="Z61" i="3"/>
  <c r="Z60" i="3"/>
  <c r="AP59" i="3"/>
  <c r="AP58" i="3"/>
  <c r="AP61" i="3"/>
  <c r="AP60" i="3"/>
  <c r="S59" i="3"/>
  <c r="S58" i="3"/>
  <c r="S61" i="3"/>
  <c r="S60" i="3"/>
  <c r="V59" i="3"/>
  <c r="V58" i="3"/>
  <c r="V61" i="3"/>
  <c r="V60" i="3"/>
  <c r="AN59" i="3"/>
  <c r="AN58" i="3"/>
  <c r="AN61" i="3"/>
  <c r="AN60" i="3"/>
  <c r="AO59" i="3"/>
  <c r="AO58" i="3"/>
  <c r="AO61" i="3"/>
  <c r="AO60" i="3"/>
  <c r="AQ59" i="3"/>
  <c r="AQ58" i="3"/>
  <c r="AQ60" i="3"/>
  <c r="AQ61" i="3"/>
  <c r="BQ59" i="3"/>
  <c r="BQ58" i="3"/>
  <c r="BQ60" i="3"/>
  <c r="BQ61" i="3"/>
  <c r="BC59" i="3"/>
  <c r="BC58" i="3"/>
  <c r="BC61" i="3"/>
  <c r="BC60" i="3"/>
  <c r="BK59" i="3"/>
  <c r="BK58" i="3"/>
  <c r="BK61" i="3"/>
  <c r="BK60" i="3"/>
  <c r="BP48" i="4"/>
  <c r="BP11" i="4"/>
  <c r="M59" i="3"/>
  <c r="M58" i="3"/>
  <c r="M61" i="3"/>
  <c r="M60" i="3"/>
  <c r="BY58" i="3"/>
  <c r="BY59" i="3"/>
  <c r="BY61" i="3"/>
  <c r="BY60" i="3"/>
  <c r="AA59" i="3"/>
  <c r="AA58" i="3"/>
  <c r="AA61" i="3"/>
  <c r="AA60" i="3"/>
  <c r="L59" i="3"/>
  <c r="L58" i="3"/>
  <c r="L61" i="3"/>
  <c r="L60" i="3"/>
  <c r="BX59" i="3"/>
  <c r="BX58" i="3"/>
  <c r="BX61" i="3"/>
  <c r="BX60" i="3"/>
  <c r="BA59" i="3"/>
  <c r="BA58" i="3"/>
  <c r="BA61" i="3"/>
  <c r="BA60" i="3"/>
  <c r="F58" i="3"/>
  <c r="F59" i="3"/>
  <c r="F61" i="3"/>
  <c r="F60" i="3"/>
  <c r="AH59" i="3"/>
  <c r="AH58" i="3"/>
  <c r="AH61" i="3"/>
  <c r="AH60" i="3"/>
  <c r="BF59" i="3"/>
  <c r="BF58" i="3"/>
  <c r="BF61" i="3"/>
  <c r="BF60" i="3"/>
  <c r="AD59" i="3"/>
  <c r="AD58" i="3"/>
  <c r="AD61" i="3"/>
  <c r="AD60" i="3"/>
  <c r="AW59" i="3"/>
  <c r="AW58" i="3"/>
  <c r="AW61" i="3"/>
  <c r="AW60" i="3"/>
  <c r="AJ59" i="3"/>
  <c r="AJ58" i="3"/>
  <c r="AJ61" i="3"/>
  <c r="AJ60" i="3"/>
  <c r="T59" i="3"/>
  <c r="T58" i="3"/>
  <c r="T61" i="3"/>
  <c r="T60" i="3"/>
  <c r="BI59" i="3"/>
  <c r="BI58" i="3"/>
  <c r="BI60" i="3"/>
  <c r="BI61" i="3"/>
  <c r="BP43" i="4"/>
  <c r="H967" i="97" s="1"/>
  <c r="BS59" i="3"/>
  <c r="BS58" i="3"/>
  <c r="BS61" i="3"/>
  <c r="BS60" i="3"/>
  <c r="AV59" i="3"/>
  <c r="AV58" i="3"/>
  <c r="AV61" i="3"/>
  <c r="AV60" i="3"/>
  <c r="BV59" i="3"/>
  <c r="BV58" i="3"/>
  <c r="BV61" i="3"/>
  <c r="BV60" i="3"/>
  <c r="BU59" i="3"/>
  <c r="BU58" i="3"/>
  <c r="BU61" i="3"/>
  <c r="BU60" i="3"/>
  <c r="BN59" i="3"/>
  <c r="BN58" i="3"/>
  <c r="BN61" i="3"/>
  <c r="BN60" i="3"/>
  <c r="BP23" i="4"/>
  <c r="BP15" i="4"/>
  <c r="AU59" i="3"/>
  <c r="AU58" i="3"/>
  <c r="AU61" i="3"/>
  <c r="AU60" i="3"/>
  <c r="H59" i="3"/>
  <c r="H58" i="3"/>
  <c r="H61" i="3"/>
  <c r="H60" i="3"/>
  <c r="BO59" i="3"/>
  <c r="BO58" i="3"/>
  <c r="BO60" i="3"/>
  <c r="BO61" i="3"/>
  <c r="Y59" i="3"/>
  <c r="Y58" i="3"/>
  <c r="Y61" i="3"/>
  <c r="Y60" i="3"/>
  <c r="AX59" i="3"/>
  <c r="AX58" i="3"/>
  <c r="AX61" i="3"/>
  <c r="AX60" i="3"/>
  <c r="AT59" i="3"/>
  <c r="AT58" i="3"/>
  <c r="AT61" i="3"/>
  <c r="AT60" i="3"/>
  <c r="BM59" i="3"/>
  <c r="BM58" i="3"/>
  <c r="BM61" i="3"/>
  <c r="BM60" i="3"/>
  <c r="BT59" i="3"/>
  <c r="BT58" i="3"/>
  <c r="BT61" i="3"/>
  <c r="BT60" i="3"/>
  <c r="Q59" i="3"/>
  <c r="Q58" i="3"/>
  <c r="Q61" i="3"/>
  <c r="Q60" i="3"/>
  <c r="AI59" i="3"/>
  <c r="AI58" i="3"/>
  <c r="AI60" i="3"/>
  <c r="AI61" i="3"/>
  <c r="AL59" i="3"/>
  <c r="AL58" i="3"/>
  <c r="AL61" i="3"/>
  <c r="AL60" i="3"/>
  <c r="O59" i="3"/>
  <c r="O58" i="3"/>
  <c r="O61" i="3"/>
  <c r="O60" i="3"/>
  <c r="BE59" i="3"/>
  <c r="BE58" i="3"/>
  <c r="BE61" i="3"/>
  <c r="BE60" i="3"/>
  <c r="W59" i="3"/>
  <c r="W58" i="3"/>
  <c r="W61" i="3"/>
  <c r="W60" i="3"/>
  <c r="BG59" i="3"/>
  <c r="BG58" i="3"/>
  <c r="BG61" i="3"/>
  <c r="BG60" i="3"/>
  <c r="AR59" i="3"/>
  <c r="AR58" i="3"/>
  <c r="AR61" i="3"/>
  <c r="AR60" i="3"/>
  <c r="U59" i="3"/>
  <c r="U58" i="3"/>
  <c r="U61" i="3"/>
  <c r="U60" i="3"/>
  <c r="BD58" i="3"/>
  <c r="BD59" i="3"/>
  <c r="BD61" i="3"/>
  <c r="BD60" i="3"/>
  <c r="BL59" i="3"/>
  <c r="BL58" i="3"/>
  <c r="BL61" i="3"/>
  <c r="BL60" i="3"/>
  <c r="BB59" i="3"/>
  <c r="BB58" i="3"/>
  <c r="BB61" i="3"/>
  <c r="BB60" i="3"/>
  <c r="AE59" i="3"/>
  <c r="AE58" i="3"/>
  <c r="AE61" i="3"/>
  <c r="AE60" i="3"/>
  <c r="R59" i="3"/>
  <c r="R58" i="3"/>
  <c r="R61" i="3"/>
  <c r="R60" i="3"/>
  <c r="BJ59" i="3"/>
  <c r="BJ58" i="3"/>
  <c r="BJ61" i="3"/>
  <c r="BJ60" i="3"/>
  <c r="AM59" i="3"/>
  <c r="AM58" i="3"/>
  <c r="AM61" i="3"/>
  <c r="AM60" i="3"/>
  <c r="P58" i="3"/>
  <c r="P59" i="3"/>
  <c r="P61" i="3"/>
  <c r="P60" i="3"/>
  <c r="I59" i="3"/>
  <c r="I58" i="3"/>
  <c r="I61" i="3"/>
  <c r="I60" i="3"/>
  <c r="BR59" i="3"/>
  <c r="BR58" i="3"/>
  <c r="BR61" i="3"/>
  <c r="BR60" i="3"/>
  <c r="X59" i="3"/>
  <c r="X58" i="3"/>
  <c r="X61" i="3"/>
  <c r="X60" i="3"/>
  <c r="AY59" i="3"/>
  <c r="AY58" i="3"/>
  <c r="AY61" i="3"/>
  <c r="AY60" i="3"/>
  <c r="AZ59" i="3"/>
  <c r="AZ58" i="3"/>
  <c r="AZ61" i="3"/>
  <c r="AZ60" i="3"/>
  <c r="AC59" i="3"/>
  <c r="AC58" i="3"/>
  <c r="AC60" i="3"/>
  <c r="AC61" i="3"/>
  <c r="AB59" i="3"/>
  <c r="AB61" i="3"/>
  <c r="AB60" i="3"/>
  <c r="BP8" i="4" l="1"/>
  <c r="H966" i="97" s="1"/>
  <c r="BP7" i="4"/>
  <c r="BP45" i="4"/>
  <c r="BP17" i="4"/>
  <c r="BP12" i="4"/>
  <c r="BP41" i="4"/>
  <c r="BP10" i="4"/>
  <c r="BP18" i="4"/>
  <c r="BP34" i="4"/>
  <c r="H968" i="97" s="1"/>
  <c r="BP19" i="4"/>
  <c r="BP36" i="4"/>
  <c r="AF42" i="4"/>
  <c r="AV48" i="4"/>
  <c r="S6" i="4"/>
  <c r="BP46" i="4"/>
  <c r="BP9" i="4"/>
  <c r="H969" i="97" s="1"/>
  <c r="BP26" i="4"/>
  <c r="H970" i="97" s="1"/>
  <c r="BP35" i="4"/>
  <c r="BP20" i="4"/>
  <c r="BQ42" i="4"/>
  <c r="BP31" i="4"/>
  <c r="H971" i="97" s="1"/>
  <c r="BP16" i="4"/>
  <c r="BP25" i="4"/>
  <c r="BP47" i="4"/>
  <c r="BP38" i="4"/>
  <c r="BP21" i="4"/>
  <c r="BP44" i="4"/>
  <c r="BP24" i="4"/>
  <c r="BP33" i="4"/>
  <c r="BP42" i="4"/>
  <c r="BP52" i="4"/>
  <c r="BP40" i="4"/>
  <c r="BP32" i="4"/>
  <c r="G17" i="4"/>
  <c r="G9" i="4"/>
  <c r="H54" i="97" s="1"/>
  <c r="G25" i="4"/>
  <c r="G32" i="4"/>
  <c r="G33" i="4"/>
  <c r="G40" i="4"/>
  <c r="G41" i="4"/>
  <c r="G34" i="4"/>
  <c r="H53" i="97" s="1"/>
  <c r="G49" i="4"/>
  <c r="G50" i="4"/>
  <c r="H6" i="4"/>
  <c r="H5" i="97"/>
  <c r="BQ23" i="4"/>
  <c r="BQ32" i="4"/>
  <c r="BQ17" i="4"/>
  <c r="BQ25" i="4"/>
  <c r="BQ15" i="4"/>
  <c r="G42" i="4"/>
  <c r="BP29" i="4"/>
  <c r="H974" i="97" s="1"/>
  <c r="G24" i="4"/>
  <c r="G11" i="4"/>
  <c r="BQ39" i="4"/>
  <c r="BQ33" i="4"/>
  <c r="BQ26" i="4"/>
  <c r="H985" i="97" s="1"/>
  <c r="G48" i="4"/>
  <c r="BQ48" i="4"/>
  <c r="BQ40" i="4"/>
  <c r="G26" i="4"/>
  <c r="H55" i="97" s="1"/>
  <c r="G43" i="4"/>
  <c r="H52" i="97" s="1"/>
  <c r="AS10" i="4"/>
  <c r="BQ49" i="4"/>
  <c r="BQ50" i="4"/>
  <c r="BQ7" i="4"/>
  <c r="BQ8" i="4"/>
  <c r="H981" i="97" s="1"/>
  <c r="BQ9" i="4"/>
  <c r="H984" i="97" s="1"/>
  <c r="BQ44" i="4"/>
  <c r="BQ16" i="4"/>
  <c r="BK39" i="4"/>
  <c r="G51" i="4"/>
  <c r="BP51" i="4"/>
  <c r="BP13" i="4"/>
  <c r="Z18" i="4"/>
  <c r="H11" i="97"/>
  <c r="AS40" i="4"/>
  <c r="AN25" i="4"/>
  <c r="AS26" i="4"/>
  <c r="H625" i="97" s="1"/>
  <c r="T37" i="4"/>
  <c r="N31" i="4"/>
  <c r="H161" i="97" s="1"/>
  <c r="J49" i="4"/>
  <c r="BW15" i="4"/>
  <c r="BQ34" i="4"/>
  <c r="H983" i="97" s="1"/>
  <c r="BF43" i="4"/>
  <c r="H817" i="97" s="1"/>
  <c r="AQ43" i="4"/>
  <c r="H592" i="97" s="1"/>
  <c r="AK12" i="4"/>
  <c r="Z24" i="4"/>
  <c r="J10" i="4"/>
  <c r="Z32" i="4"/>
  <c r="Z48" i="4"/>
  <c r="Z16" i="4"/>
  <c r="T26" i="4"/>
  <c r="H250" i="97" s="1"/>
  <c r="BK26" i="4"/>
  <c r="H895" i="97" s="1"/>
  <c r="Z8" i="4"/>
  <c r="H336" i="97" s="1"/>
  <c r="N7" i="4"/>
  <c r="AN15" i="4"/>
  <c r="N28" i="4"/>
  <c r="H163" i="97" s="1"/>
  <c r="Z9" i="4"/>
  <c r="H339" i="97" s="1"/>
  <c r="Z17" i="4"/>
  <c r="N41" i="4"/>
  <c r="N10" i="4"/>
  <c r="Z33" i="4"/>
  <c r="N42" i="4"/>
  <c r="N19" i="4"/>
  <c r="BP30" i="4"/>
  <c r="M28" i="4"/>
  <c r="H148" i="97" s="1"/>
  <c r="Z25" i="4"/>
  <c r="BQ51" i="4"/>
  <c r="L50" i="4"/>
  <c r="BQ10" i="4"/>
  <c r="Z41" i="4"/>
  <c r="BQ18" i="4"/>
  <c r="Z26" i="4"/>
  <c r="H340" i="97" s="1"/>
  <c r="BQ29" i="4"/>
  <c r="H989" i="97" s="1"/>
  <c r="Z49" i="4"/>
  <c r="BQ27" i="4"/>
  <c r="H987" i="97" s="1"/>
  <c r="Z47" i="4"/>
  <c r="BQ24" i="4"/>
  <c r="Z34" i="4"/>
  <c r="H338" i="97" s="1"/>
  <c r="BQ41" i="4"/>
  <c r="S35" i="4"/>
  <c r="J52" i="4"/>
  <c r="N12" i="4"/>
  <c r="T35" i="4"/>
  <c r="N22" i="4"/>
  <c r="J51" i="4"/>
  <c r="AQ50" i="4"/>
  <c r="V51" i="4"/>
  <c r="N50" i="4"/>
  <c r="N51" i="4"/>
  <c r="N23" i="4"/>
  <c r="N8" i="4"/>
  <c r="H156" i="97" s="1"/>
  <c r="N27" i="4"/>
  <c r="H162" i="97" s="1"/>
  <c r="N20" i="4"/>
  <c r="BW38" i="4"/>
  <c r="L49" i="4"/>
  <c r="S47" i="4"/>
  <c r="AQ40" i="4"/>
  <c r="S34" i="4"/>
  <c r="H233" i="97" s="1"/>
  <c r="N9" i="4"/>
  <c r="H159" i="97" s="1"/>
  <c r="N18" i="4"/>
  <c r="N16" i="4"/>
  <c r="N43" i="4"/>
  <c r="H157" i="97" s="1"/>
  <c r="BW14" i="4"/>
  <c r="J8" i="4"/>
  <c r="H96" i="97" s="1"/>
  <c r="N26" i="4"/>
  <c r="H160" i="97" s="1"/>
  <c r="V36" i="4"/>
  <c r="J23" i="4"/>
  <c r="N39" i="4"/>
  <c r="N24" i="4"/>
  <c r="N45" i="4"/>
  <c r="H12" i="97"/>
  <c r="T18" i="4"/>
  <c r="V41" i="4"/>
  <c r="N17" i="4"/>
  <c r="AN26" i="4"/>
  <c r="H550" i="97" s="1"/>
  <c r="N32" i="4"/>
  <c r="N52" i="4"/>
  <c r="J21" i="4"/>
  <c r="BW30" i="4"/>
  <c r="G52" i="4"/>
  <c r="AN24" i="4"/>
  <c r="AQ17" i="4"/>
  <c r="N25" i="4"/>
  <c r="N34" i="4"/>
  <c r="H158" i="97" s="1"/>
  <c r="N40" i="4"/>
  <c r="N33" i="4"/>
  <c r="N11" i="4"/>
  <c r="BW29" i="4"/>
  <c r="H1079" i="97" s="1"/>
  <c r="AH27" i="4"/>
  <c r="H462" i="97" s="1"/>
  <c r="J30" i="4"/>
  <c r="BQ28" i="4"/>
  <c r="H988" i="97" s="1"/>
  <c r="Z39" i="4"/>
  <c r="AP39" i="4"/>
  <c r="J33" i="4"/>
  <c r="BW49" i="4"/>
  <c r="J42" i="4"/>
  <c r="J48" i="4"/>
  <c r="BW48" i="4"/>
  <c r="J43" i="4"/>
  <c r="H97" i="97" s="1"/>
  <c r="J36" i="4"/>
  <c r="BH35" i="4"/>
  <c r="J41" i="4"/>
  <c r="BW9" i="4"/>
  <c r="H1074" i="97" s="1"/>
  <c r="J50" i="4"/>
  <c r="BW34" i="4"/>
  <c r="H1073" i="97" s="1"/>
  <c r="BW51" i="4"/>
  <c r="J44" i="4"/>
  <c r="BW20" i="4"/>
  <c r="J13" i="4"/>
  <c r="BW39" i="4"/>
  <c r="BW32" i="4"/>
  <c r="BW21" i="4"/>
  <c r="BW17" i="4"/>
  <c r="J18" i="4"/>
  <c r="BW42" i="4"/>
  <c r="BW11" i="4"/>
  <c r="G22" i="4"/>
  <c r="G30" i="4"/>
  <c r="BW37" i="4"/>
  <c r="J16" i="4"/>
  <c r="J9" i="4"/>
  <c r="H99" i="97" s="1"/>
  <c r="BW26" i="4"/>
  <c r="H1075" i="97" s="1"/>
  <c r="J26" i="4"/>
  <c r="H100" i="97" s="1"/>
  <c r="BW50" i="4"/>
  <c r="J39" i="4"/>
  <c r="BW19" i="4"/>
  <c r="BW36" i="4"/>
  <c r="J37" i="4"/>
  <c r="BW45" i="4"/>
  <c r="BW10" i="4"/>
  <c r="J47" i="4"/>
  <c r="BW25" i="4"/>
  <c r="J27" i="4"/>
  <c r="H102" i="97" s="1"/>
  <c r="BW28" i="4"/>
  <c r="H1078" i="97" s="1"/>
  <c r="J53" i="4"/>
  <c r="G31" i="4"/>
  <c r="H56" i="97" s="1"/>
  <c r="BW23" i="4"/>
  <c r="J17" i="4"/>
  <c r="BW24" i="4"/>
  <c r="J34" i="4"/>
  <c r="H98" i="97" s="1"/>
  <c r="BW18" i="4"/>
  <c r="J32" i="4"/>
  <c r="BW33" i="4"/>
  <c r="J28" i="4"/>
  <c r="H103" i="97" s="1"/>
  <c r="J25" i="4"/>
  <c r="BW41" i="4"/>
  <c r="BW27" i="4"/>
  <c r="H1077" i="97" s="1"/>
  <c r="J40" i="4"/>
  <c r="BW40" i="4"/>
  <c r="J35" i="4"/>
  <c r="BW43" i="4"/>
  <c r="H1072" i="97" s="1"/>
  <c r="BF12" i="4"/>
  <c r="AA28" i="4"/>
  <c r="H358" i="97" s="1"/>
  <c r="BQ53" i="4"/>
  <c r="BQ36" i="4"/>
  <c r="H36" i="4"/>
  <c r="BQ45" i="4"/>
  <c r="Z19" i="4"/>
  <c r="Z15" i="4"/>
  <c r="Z50" i="4"/>
  <c r="BQ11" i="4"/>
  <c r="Z31" i="4"/>
  <c r="H341" i="97" s="1"/>
  <c r="BQ19" i="4"/>
  <c r="Z35" i="4"/>
  <c r="BX19" i="4"/>
  <c r="Z43" i="4"/>
  <c r="H337" i="97" s="1"/>
  <c r="Z52" i="4"/>
  <c r="AW20" i="4"/>
  <c r="BF19" i="4"/>
  <c r="BF35" i="4"/>
  <c r="AS12" i="4"/>
  <c r="AP18" i="4"/>
  <c r="G7" i="4"/>
  <c r="J14" i="4"/>
  <c r="BH45" i="4"/>
  <c r="BK10" i="4"/>
  <c r="AO17" i="4"/>
  <c r="AG26" i="4"/>
  <c r="H445" i="97" s="1"/>
  <c r="BA44" i="4"/>
  <c r="H30" i="4"/>
  <c r="AT53" i="4"/>
  <c r="BK47" i="4"/>
  <c r="AP17" i="4"/>
  <c r="BK16" i="4"/>
  <c r="BK34" i="4"/>
  <c r="H893" i="97" s="1"/>
  <c r="AP26" i="4"/>
  <c r="H580" i="97" s="1"/>
  <c r="BK7" i="4"/>
  <c r="BX28" i="4"/>
  <c r="H1093" i="97" s="1"/>
  <c r="BK24" i="4"/>
  <c r="AP48" i="4"/>
  <c r="AH52" i="4"/>
  <c r="BE33" i="4"/>
  <c r="BK15" i="4"/>
  <c r="BK32" i="4"/>
  <c r="BK17" i="4"/>
  <c r="BK23" i="4"/>
  <c r="BK48" i="4"/>
  <c r="BK25" i="4"/>
  <c r="Z44" i="4"/>
  <c r="BX11" i="4"/>
  <c r="H14" i="4"/>
  <c r="AX23" i="4"/>
  <c r="BK31" i="4"/>
  <c r="H896" i="97" s="1"/>
  <c r="BK33" i="4"/>
  <c r="AA35" i="4"/>
  <c r="AP25" i="4"/>
  <c r="AP19" i="4"/>
  <c r="AA43" i="4"/>
  <c r="H352" i="97" s="1"/>
  <c r="AH35" i="4"/>
  <c r="AH12" i="4"/>
  <c r="AP8" i="4"/>
  <c r="H576" i="97" s="1"/>
  <c r="AP33" i="4"/>
  <c r="AP34" i="4"/>
  <c r="H578" i="97" s="1"/>
  <c r="AX24" i="4"/>
  <c r="AH43" i="4"/>
  <c r="H457" i="97" s="1"/>
  <c r="AP41" i="4"/>
  <c r="AP35" i="4"/>
  <c r="AP16" i="4"/>
  <c r="AP49" i="4"/>
  <c r="AG17" i="4"/>
  <c r="AP42" i="4"/>
  <c r="AP43" i="4"/>
  <c r="H577" i="97" s="1"/>
  <c r="AN12" i="4"/>
  <c r="AT46" i="4"/>
  <c r="BO38" i="4"/>
  <c r="AP24" i="4"/>
  <c r="AD35" i="4"/>
  <c r="AP50" i="4"/>
  <c r="AP23" i="4"/>
  <c r="AH11" i="4"/>
  <c r="AP7" i="4"/>
  <c r="AD36" i="4"/>
  <c r="AO32" i="4"/>
  <c r="AP32" i="4"/>
  <c r="BX53" i="4"/>
  <c r="AP9" i="4"/>
  <c r="H579" i="97" s="1"/>
  <c r="AP10" i="4"/>
  <c r="AP31" i="4"/>
  <c r="H581" i="97" s="1"/>
  <c r="AH19" i="4"/>
  <c r="AP40" i="4"/>
  <c r="AG18" i="4"/>
  <c r="E32" i="82"/>
  <c r="E48" i="82"/>
  <c r="E49" i="82"/>
  <c r="E46" i="82"/>
  <c r="E10" i="82"/>
  <c r="E15" i="82"/>
  <c r="E14" i="82"/>
  <c r="E41" i="82"/>
  <c r="E39" i="82"/>
  <c r="E22" i="82"/>
  <c r="E25" i="82"/>
  <c r="E36" i="82"/>
  <c r="E20" i="82"/>
  <c r="E38" i="82"/>
  <c r="E51" i="82"/>
  <c r="E21" i="82"/>
  <c r="E16" i="82"/>
  <c r="E9" i="82"/>
  <c r="E35" i="82"/>
  <c r="E33" i="82"/>
  <c r="E13" i="82"/>
  <c r="E30" i="82"/>
  <c r="E17" i="82"/>
  <c r="E29" i="82"/>
  <c r="H7" i="97"/>
  <c r="E24" i="82"/>
  <c r="E37" i="82"/>
  <c r="E19" i="82"/>
  <c r="E52" i="82"/>
  <c r="E12" i="82"/>
  <c r="E53" i="82"/>
  <c r="E11" i="82"/>
  <c r="E40" i="82"/>
  <c r="E50" i="82"/>
  <c r="E43" i="82"/>
  <c r="E7" i="82"/>
  <c r="E42" i="82"/>
  <c r="E6" i="82"/>
  <c r="E47" i="82"/>
  <c r="E44" i="82"/>
  <c r="E18" i="82"/>
  <c r="E28" i="82"/>
  <c r="E23" i="82"/>
  <c r="E45" i="82"/>
  <c r="AF35" i="4"/>
  <c r="AX38" i="4"/>
  <c r="BX27" i="4"/>
  <c r="H1092" i="97" s="1"/>
  <c r="AJ20" i="4"/>
  <c r="BX36" i="4"/>
  <c r="AO27" i="4"/>
  <c r="H567" i="97" s="1"/>
  <c r="AX46" i="4"/>
  <c r="AT38" i="4"/>
  <c r="AX53" i="4"/>
  <c r="BX43" i="4"/>
  <c r="H1087" i="97" s="1"/>
  <c r="BA35" i="4"/>
  <c r="L35" i="4"/>
  <c r="M36" i="4"/>
  <c r="BT46" i="4"/>
  <c r="AU52" i="4"/>
  <c r="S27" i="4"/>
  <c r="H237" i="97" s="1"/>
  <c r="BP39" i="4"/>
  <c r="BW31" i="4"/>
  <c r="H1076" i="97" s="1"/>
  <c r="F28" i="4"/>
  <c r="H43" i="97" s="1"/>
  <c r="BY44" i="4"/>
  <c r="AO7" i="4"/>
  <c r="AO40" i="4"/>
  <c r="AS49" i="4"/>
  <c r="AO25" i="4"/>
  <c r="L53" i="4"/>
  <c r="AG25" i="4"/>
  <c r="BH9" i="4"/>
  <c r="H849" i="97" s="1"/>
  <c r="AO34" i="4"/>
  <c r="H563" i="97" s="1"/>
  <c r="AS18" i="4"/>
  <c r="BH47" i="4"/>
  <c r="AO35" i="4"/>
  <c r="AS45" i="4"/>
  <c r="BH39" i="4"/>
  <c r="BM40" i="4"/>
  <c r="Y14" i="4"/>
  <c r="L42" i="4"/>
  <c r="BO22" i="4"/>
  <c r="Q31" i="4"/>
  <c r="H206" i="97" s="1"/>
  <c r="AH51" i="4"/>
  <c r="AO15" i="4"/>
  <c r="AS7" i="4"/>
  <c r="AO48" i="4"/>
  <c r="AO33" i="4"/>
  <c r="AS34" i="4"/>
  <c r="H623" i="97" s="1"/>
  <c r="AG33" i="4"/>
  <c r="AS27" i="4"/>
  <c r="H627" i="97" s="1"/>
  <c r="AG34" i="4"/>
  <c r="H443" i="97" s="1"/>
  <c r="AO43" i="4"/>
  <c r="H562" i="97" s="1"/>
  <c r="AO28" i="4"/>
  <c r="H568" i="97" s="1"/>
  <c r="AS52" i="4"/>
  <c r="BH8" i="4"/>
  <c r="H846" i="97" s="1"/>
  <c r="AP28" i="4"/>
  <c r="H583" i="97" s="1"/>
  <c r="L11" i="4"/>
  <c r="AO23" i="4"/>
  <c r="AS15" i="4"/>
  <c r="AS8" i="4"/>
  <c r="H621" i="97" s="1"/>
  <c r="AO41" i="4"/>
  <c r="AG41" i="4"/>
  <c r="BH17" i="4"/>
  <c r="AO42" i="4"/>
  <c r="AS11" i="4"/>
  <c r="AG15" i="4"/>
  <c r="BH12" i="4"/>
  <c r="AF38" i="4"/>
  <c r="BT23" i="4"/>
  <c r="AX21" i="4"/>
  <c r="H9" i="4"/>
  <c r="H69" i="97" s="1"/>
  <c r="L19" i="4"/>
  <c r="AO31" i="4"/>
  <c r="H566" i="97" s="1"/>
  <c r="AS23" i="4"/>
  <c r="AO8" i="4"/>
  <c r="H561" i="97" s="1"/>
  <c r="AO49" i="4"/>
  <c r="AS41" i="4"/>
  <c r="AG49" i="4"/>
  <c r="BH25" i="4"/>
  <c r="AO50" i="4"/>
  <c r="AS25" i="4"/>
  <c r="AG42" i="4"/>
  <c r="AO51" i="4"/>
  <c r="AS28" i="4"/>
  <c r="H628" i="97" s="1"/>
  <c r="AO36" i="4"/>
  <c r="BH16" i="4"/>
  <c r="AG12" i="4"/>
  <c r="BH20" i="4"/>
  <c r="AS46" i="4"/>
  <c r="BO47" i="4"/>
  <c r="AT23" i="4"/>
  <c r="AX30" i="4"/>
  <c r="L27" i="4"/>
  <c r="H132" i="97" s="1"/>
  <c r="AS32" i="4"/>
  <c r="AS16" i="4"/>
  <c r="BF44" i="4"/>
  <c r="AS9" i="4"/>
  <c r="H624" i="97" s="1"/>
  <c r="AS50" i="4"/>
  <c r="AF9" i="4"/>
  <c r="H429" i="97" s="1"/>
  <c r="BH33" i="4"/>
  <c r="AO10" i="4"/>
  <c r="AS42" i="4"/>
  <c r="AG50" i="4"/>
  <c r="BH18" i="4"/>
  <c r="AO44" i="4"/>
  <c r="AF15" i="4"/>
  <c r="BH24" i="4"/>
  <c r="AO39" i="4"/>
  <c r="AS39" i="4"/>
  <c r="AO16" i="4"/>
  <c r="AS24" i="4"/>
  <c r="AO9" i="4"/>
  <c r="H564" i="97" s="1"/>
  <c r="AG9" i="4"/>
  <c r="H444" i="97" s="1"/>
  <c r="BH46" i="4"/>
  <c r="AO18" i="4"/>
  <c r="AS51" i="4"/>
  <c r="AG10" i="4"/>
  <c r="AS35" i="4"/>
  <c r="AO52" i="4"/>
  <c r="BH32" i="4"/>
  <c r="BH19" i="4"/>
  <c r="BH52" i="4"/>
  <c r="M11" i="4"/>
  <c r="M19" i="4"/>
  <c r="AO47" i="4"/>
  <c r="AS48" i="4"/>
  <c r="AV35" i="4"/>
  <c r="M45" i="4"/>
  <c r="AO24" i="4"/>
  <c r="AS33" i="4"/>
  <c r="AS17" i="4"/>
  <c r="BH43" i="4"/>
  <c r="H847" i="97" s="1"/>
  <c r="AO26" i="4"/>
  <c r="H565" i="97" s="1"/>
  <c r="BH34" i="4"/>
  <c r="H848" i="97" s="1"/>
  <c r="AS44" i="4"/>
  <c r="AF36" i="4"/>
  <c r="Q39" i="4"/>
  <c r="BM31" i="4"/>
  <c r="H926" i="97" s="1"/>
  <c r="T52" i="4"/>
  <c r="T20" i="4"/>
  <c r="AN23" i="4"/>
  <c r="L12" i="4"/>
  <c r="M44" i="4"/>
  <c r="AN32" i="4"/>
  <c r="S8" i="4"/>
  <c r="H231" i="97" s="1"/>
  <c r="AN33" i="4"/>
  <c r="AK41" i="4"/>
  <c r="S25" i="4"/>
  <c r="AF50" i="4"/>
  <c r="AN35" i="4"/>
  <c r="S43" i="4"/>
  <c r="H232" i="97" s="1"/>
  <c r="AN44" i="4"/>
  <c r="AF23" i="4"/>
  <c r="AK15" i="4"/>
  <c r="AF16" i="4"/>
  <c r="AF51" i="4"/>
  <c r="AF44" i="4"/>
  <c r="AN37" i="4"/>
  <c r="AF53" i="4"/>
  <c r="Q48" i="4"/>
  <c r="Y38" i="4"/>
  <c r="T28" i="4"/>
  <c r="H253" i="97" s="1"/>
  <c r="AN31" i="4"/>
  <c r="H551" i="97" s="1"/>
  <c r="L20" i="4"/>
  <c r="AN40" i="4"/>
  <c r="AH34" i="4"/>
  <c r="H458" i="97" s="1"/>
  <c r="AN41" i="4"/>
  <c r="AA30" i="4"/>
  <c r="M38" i="4"/>
  <c r="S41" i="4"/>
  <c r="AF17" i="4"/>
  <c r="AN34" i="4"/>
  <c r="H548" i="97" s="1"/>
  <c r="S42" i="4"/>
  <c r="AF10" i="4"/>
  <c r="AN43" i="4"/>
  <c r="H547" i="97" s="1"/>
  <c r="AN52" i="4"/>
  <c r="AF31" i="4"/>
  <c r="H431" i="97" s="1"/>
  <c r="AF24" i="4"/>
  <c r="AP20" i="4"/>
  <c r="AF52" i="4"/>
  <c r="Y47" i="4"/>
  <c r="AU23" i="4"/>
  <c r="T41" i="4"/>
  <c r="S7" i="4"/>
  <c r="L28" i="4"/>
  <c r="H133" i="97" s="1"/>
  <c r="AN48" i="4"/>
  <c r="S16" i="4"/>
  <c r="AN49" i="4"/>
  <c r="S9" i="4"/>
  <c r="H234" i="97" s="1"/>
  <c r="S49" i="4"/>
  <c r="AF25" i="4"/>
  <c r="S50" i="4"/>
  <c r="AF18" i="4"/>
  <c r="AF32" i="4"/>
  <c r="BM22" i="4"/>
  <c r="T36" i="4"/>
  <c r="F51" i="4"/>
  <c r="AN39" i="4"/>
  <c r="S15" i="4"/>
  <c r="S24" i="4"/>
  <c r="AF33" i="4"/>
  <c r="AN42" i="4"/>
  <c r="AF26" i="4"/>
  <c r="H430" i="97" s="1"/>
  <c r="AK18" i="4"/>
  <c r="AN51" i="4"/>
  <c r="AF40" i="4"/>
  <c r="AF19" i="4"/>
  <c r="BM14" i="4"/>
  <c r="BM46" i="4"/>
  <c r="AU21" i="4"/>
  <c r="T13" i="4"/>
  <c r="BT38" i="4"/>
  <c r="AT39" i="4"/>
  <c r="BO49" i="4"/>
  <c r="T11" i="4"/>
  <c r="AN47" i="4"/>
  <c r="S23" i="4"/>
  <c r="L36" i="4"/>
  <c r="M29" i="4"/>
  <c r="H149" i="97" s="1"/>
  <c r="AN8" i="4"/>
  <c r="H546" i="97" s="1"/>
  <c r="S33" i="4"/>
  <c r="L29" i="4"/>
  <c r="H134" i="97" s="1"/>
  <c r="M13" i="4"/>
  <c r="AN9" i="4"/>
  <c r="H549" i="97" s="1"/>
  <c r="S17" i="4"/>
  <c r="AF41" i="4"/>
  <c r="AN50" i="4"/>
  <c r="S10" i="4"/>
  <c r="AF27" i="4"/>
  <c r="H432" i="97" s="1"/>
  <c r="AF30" i="4"/>
  <c r="AF14" i="4"/>
  <c r="AF37" i="4"/>
  <c r="BM53" i="4"/>
  <c r="S32" i="4"/>
  <c r="S40" i="4"/>
  <c r="S26" i="4"/>
  <c r="H235" i="97" s="1"/>
  <c r="AF49" i="4"/>
  <c r="AN10" i="4"/>
  <c r="S18" i="4"/>
  <c r="AF34" i="4"/>
  <c r="H428" i="97" s="1"/>
  <c r="S19" i="4"/>
  <c r="AF20" i="4"/>
  <c r="AF46" i="4"/>
  <c r="AU45" i="4"/>
  <c r="AU31" i="4"/>
  <c r="H656" i="97" s="1"/>
  <c r="T29" i="4"/>
  <c r="H254" i="97" s="1"/>
  <c r="T10" i="4"/>
  <c r="T19" i="4"/>
  <c r="Q15" i="4"/>
  <c r="T12" i="4"/>
  <c r="Q8" i="4"/>
  <c r="H201" i="97" s="1"/>
  <c r="AN7" i="4"/>
  <c r="S39" i="4"/>
  <c r="L43" i="4"/>
  <c r="H127" i="97" s="1"/>
  <c r="AN16" i="4"/>
  <c r="S48" i="4"/>
  <c r="T30" i="4"/>
  <c r="AN17" i="4"/>
  <c r="AN18" i="4"/>
  <c r="AN27" i="4"/>
  <c r="H552" i="97" s="1"/>
  <c r="BK46" i="4"/>
  <c r="AF8" i="4"/>
  <c r="H426" i="97" s="1"/>
  <c r="AC48" i="4"/>
  <c r="I21" i="4"/>
  <c r="P21" i="4"/>
  <c r="AT22" i="4"/>
  <c r="AX22" i="4"/>
  <c r="H53" i="4"/>
  <c r="Y7" i="4"/>
  <c r="BO15" i="4"/>
  <c r="BR53" i="4"/>
  <c r="Q42" i="4"/>
  <c r="BH41" i="4"/>
  <c r="BG26" i="4"/>
  <c r="H835" i="97" s="1"/>
  <c r="Y22" i="4"/>
  <c r="L10" i="4"/>
  <c r="M49" i="4"/>
  <c r="AG14" i="4"/>
  <c r="BM38" i="4"/>
  <c r="BT52" i="4"/>
  <c r="R21" i="4"/>
  <c r="AX49" i="4"/>
  <c r="AT52" i="4"/>
  <c r="AU29" i="4"/>
  <c r="H659" i="97" s="1"/>
  <c r="V43" i="4"/>
  <c r="H277" i="97" s="1"/>
  <c r="BM25" i="4"/>
  <c r="AP37" i="4"/>
  <c r="BO31" i="4"/>
  <c r="H956" i="97" s="1"/>
  <c r="AR22" i="4"/>
  <c r="AX32" i="4"/>
  <c r="F10" i="4"/>
  <c r="Q41" i="4"/>
  <c r="Q7" i="4"/>
  <c r="Y12" i="4"/>
  <c r="S21" i="4"/>
  <c r="Q23" i="4"/>
  <c r="BT14" i="4"/>
  <c r="BM47" i="4"/>
  <c r="AX41" i="4"/>
  <c r="BF36" i="4"/>
  <c r="G46" i="4"/>
  <c r="AL31" i="4"/>
  <c r="H521" i="97" s="1"/>
  <c r="BM7" i="4"/>
  <c r="AO45" i="4"/>
  <c r="G20" i="4"/>
  <c r="AJ30" i="4"/>
  <c r="AZ32" i="4"/>
  <c r="BT32" i="4"/>
  <c r="BT25" i="4"/>
  <c r="Y17" i="4"/>
  <c r="AS43" i="4"/>
  <c r="H622" i="97" s="1"/>
  <c r="BM23" i="4"/>
  <c r="BO23" i="4"/>
  <c r="H39" i="4"/>
  <c r="BO40" i="4"/>
  <c r="BA31" i="4"/>
  <c r="H746" i="97" s="1"/>
  <c r="S30" i="4"/>
  <c r="O44" i="4"/>
  <c r="BT8" i="4"/>
  <c r="H1026" i="97" s="1"/>
  <c r="AH37" i="4"/>
  <c r="BK35" i="4"/>
  <c r="BQ21" i="4"/>
  <c r="AN36" i="4"/>
  <c r="AS13" i="4"/>
  <c r="G15" i="4"/>
  <c r="AF6" i="4"/>
  <c r="N29" i="4"/>
  <c r="H164" i="97" s="1"/>
  <c r="G14" i="4"/>
  <c r="AY14" i="4"/>
  <c r="BJ22" i="4"/>
  <c r="BT15" i="4"/>
  <c r="BO24" i="4"/>
  <c r="AP52" i="4"/>
  <c r="AP15" i="4"/>
  <c r="AT14" i="4"/>
  <c r="BO46" i="4"/>
  <c r="H46" i="4"/>
  <c r="AT15" i="4"/>
  <c r="BT31" i="4"/>
  <c r="H1031" i="97" s="1"/>
  <c r="BM24" i="4"/>
  <c r="BT48" i="4"/>
  <c r="BU35" i="4"/>
  <c r="BF27" i="4"/>
  <c r="H822" i="97" s="1"/>
  <c r="AO20" i="4"/>
  <c r="BH48" i="4"/>
  <c r="G36" i="4"/>
  <c r="AP29" i="4"/>
  <c r="H584" i="97" s="1"/>
  <c r="AT30" i="4"/>
  <c r="BT30" i="4"/>
  <c r="X47" i="4"/>
  <c r="BO7" i="4"/>
  <c r="H23" i="4"/>
  <c r="BG14" i="4"/>
  <c r="BO8" i="4"/>
  <c r="H951" i="97" s="1"/>
  <c r="BO52" i="4"/>
  <c r="Y53" i="4"/>
  <c r="BT37" i="4"/>
  <c r="BS37" i="4"/>
  <c r="BF52" i="4"/>
  <c r="AH20" i="4"/>
  <c r="T50" i="4"/>
  <c r="AA21" i="4"/>
  <c r="M46" i="4"/>
  <c r="AA47" i="4"/>
  <c r="AP12" i="4"/>
  <c r="BC53" i="4"/>
  <c r="AG29" i="4"/>
  <c r="H449" i="97" s="1"/>
  <c r="G45" i="4"/>
  <c r="AH28" i="4"/>
  <c r="H463" i="97" s="1"/>
  <c r="AH29" i="4"/>
  <c r="H464" i="97" s="1"/>
  <c r="Z14" i="4"/>
  <c r="J6" i="4"/>
  <c r="AB23" i="4"/>
  <c r="Y39" i="4"/>
  <c r="Q9" i="4"/>
  <c r="H204" i="97" s="1"/>
  <c r="AL44" i="4"/>
  <c r="BM29" i="4"/>
  <c r="H929" i="97" s="1"/>
  <c r="BM39" i="4"/>
  <c r="BM44" i="4"/>
  <c r="BO20" i="4"/>
  <c r="BO41" i="4"/>
  <c r="BO48" i="4"/>
  <c r="BO14" i="4"/>
  <c r="BO33" i="4"/>
  <c r="BO39" i="4"/>
  <c r="BO53" i="4"/>
  <c r="BO6" i="4"/>
  <c r="BO17" i="4"/>
  <c r="BO16" i="4"/>
  <c r="BO32" i="4"/>
  <c r="Y8" i="4"/>
  <c r="H321" i="97" s="1"/>
  <c r="Q12" i="4"/>
  <c r="Q50" i="4"/>
  <c r="Q40" i="4"/>
  <c r="Q33" i="4"/>
  <c r="Q24" i="4"/>
  <c r="Q13" i="4"/>
  <c r="Q18" i="4"/>
  <c r="Q17" i="4"/>
  <c r="Q16" i="4"/>
  <c r="Y27" i="4"/>
  <c r="H327" i="97" s="1"/>
  <c r="Y49" i="4"/>
  <c r="Y48" i="4"/>
  <c r="Y30" i="4"/>
  <c r="Y46" i="4"/>
  <c r="Y41" i="4"/>
  <c r="Y24" i="4"/>
  <c r="Y44" i="4"/>
  <c r="Y33" i="4"/>
  <c r="Y16" i="4"/>
  <c r="Y31" i="4"/>
  <c r="H326" i="97" s="1"/>
  <c r="BY7" i="4"/>
  <c r="BY31" i="4"/>
  <c r="H1106" i="97" s="1"/>
  <c r="BY21" i="4"/>
  <c r="Q10" i="4"/>
  <c r="Q38" i="4"/>
  <c r="BX52" i="4"/>
  <c r="BX21" i="4"/>
  <c r="W47" i="4"/>
  <c r="AL52" i="4"/>
  <c r="AL28" i="4"/>
  <c r="H523" i="97" s="1"/>
  <c r="AZ30" i="4"/>
  <c r="O20" i="4"/>
  <c r="Y15" i="4"/>
  <c r="BE13" i="4"/>
  <c r="Y32" i="4"/>
  <c r="BT26" i="4"/>
  <c r="H1030" i="97" s="1"/>
  <c r="BT7" i="4"/>
  <c r="BT22" i="4"/>
  <c r="BT47" i="4"/>
  <c r="BT36" i="4"/>
  <c r="BT39" i="4"/>
  <c r="BM21" i="4"/>
  <c r="BO21" i="4"/>
  <c r="BG47" i="4"/>
  <c r="AZ51" i="4"/>
  <c r="BE20" i="4"/>
  <c r="Q32" i="4"/>
  <c r="Y23" i="4"/>
  <c r="Q34" i="4"/>
  <c r="H203" i="97" s="1"/>
  <c r="BO9" i="4"/>
  <c r="H954" i="97" s="1"/>
  <c r="BO29" i="4"/>
  <c r="H959" i="97" s="1"/>
  <c r="AT44" i="4"/>
  <c r="AT7" i="4"/>
  <c r="AT33" i="4"/>
  <c r="AT40" i="4"/>
  <c r="AT25" i="4"/>
  <c r="AT16" i="4"/>
  <c r="AX27" i="4"/>
  <c r="H702" i="97" s="1"/>
  <c r="AX31" i="4"/>
  <c r="H701" i="97" s="1"/>
  <c r="AX14" i="4"/>
  <c r="AX15" i="4"/>
  <c r="BY20" i="4"/>
  <c r="AC14" i="4"/>
  <c r="I32" i="4"/>
  <c r="R50" i="4"/>
  <c r="BB7" i="4"/>
  <c r="O36" i="4"/>
  <c r="Q49" i="4"/>
  <c r="AI46" i="4"/>
  <c r="AI30" i="4"/>
  <c r="Q46" i="4"/>
  <c r="H38" i="4"/>
  <c r="H22" i="4"/>
  <c r="H24" i="4"/>
  <c r="AU27" i="4"/>
  <c r="H657" i="97" s="1"/>
  <c r="AU7" i="4"/>
  <c r="AU30" i="4"/>
  <c r="AU46" i="4"/>
  <c r="AU13" i="4"/>
  <c r="AU38" i="4"/>
  <c r="BU52" i="4"/>
  <c r="BX49" i="4"/>
  <c r="AD17" i="4"/>
  <c r="BX47" i="4"/>
  <c r="AA31" i="4"/>
  <c r="H356" i="97" s="1"/>
  <c r="BK43" i="4"/>
  <c r="H892" i="97" s="1"/>
  <c r="Z36" i="4"/>
  <c r="AO37" i="4"/>
  <c r="G29" i="4"/>
  <c r="H59" i="97" s="1"/>
  <c r="BK36" i="4"/>
  <c r="BQ52" i="4"/>
  <c r="AS38" i="4"/>
  <c r="X37" i="4"/>
  <c r="AL42" i="4"/>
  <c r="T53" i="4"/>
  <c r="T27" i="4"/>
  <c r="H252" i="97" s="1"/>
  <c r="T51" i="4"/>
  <c r="F19" i="4"/>
  <c r="BX35" i="4"/>
  <c r="BF51" i="4"/>
  <c r="M35" i="4"/>
  <c r="BS53" i="4"/>
  <c r="BX12" i="4"/>
  <c r="AA36" i="4"/>
  <c r="M12" i="4"/>
  <c r="BK40" i="4"/>
  <c r="AJ23" i="4"/>
  <c r="F13" i="4"/>
  <c r="M30" i="4"/>
  <c r="AH45" i="4"/>
  <c r="BK41" i="4"/>
  <c r="BK42" i="4"/>
  <c r="BH38" i="4"/>
  <c r="AO11" i="4"/>
  <c r="AN11" i="4"/>
  <c r="BK11" i="4"/>
  <c r="S51" i="4"/>
  <c r="AP51" i="4"/>
  <c r="Z51" i="4"/>
  <c r="BQ12" i="4"/>
  <c r="AO12" i="4"/>
  <c r="AN20" i="4"/>
  <c r="BK44" i="4"/>
  <c r="AS20" i="4"/>
  <c r="BP28" i="4"/>
  <c r="H973" i="97" s="1"/>
  <c r="AP47" i="4"/>
  <c r="J7" i="4"/>
  <c r="AG23" i="4"/>
  <c r="AF39" i="4"/>
  <c r="N48" i="4"/>
  <c r="AG32" i="4"/>
  <c r="AF48" i="4"/>
  <c r="N49" i="4"/>
  <c r="BH42" i="4"/>
  <c r="G10" i="4"/>
  <c r="J11" i="4"/>
  <c r="AF43" i="4"/>
  <c r="H427" i="97" s="1"/>
  <c r="BH27" i="4"/>
  <c r="H852" i="97" s="1"/>
  <c r="G19" i="4"/>
  <c r="AP36" i="4"/>
  <c r="J12" i="4"/>
  <c r="BW44" i="4"/>
  <c r="AN13" i="4"/>
  <c r="AS30" i="4"/>
  <c r="BP37" i="4"/>
  <c r="S22" i="4"/>
  <c r="AP53" i="4"/>
  <c r="J29" i="4"/>
  <c r="H104" i="97" s="1"/>
  <c r="G39" i="4"/>
  <c r="BP22" i="4"/>
  <c r="G28" i="4"/>
  <c r="H58" i="97" s="1"/>
  <c r="N30" i="4"/>
  <c r="BW47" i="4"/>
  <c r="N38" i="4"/>
  <c r="BW53" i="4"/>
  <c r="AY30" i="4"/>
  <c r="AM35" i="4"/>
  <c r="T34" i="4"/>
  <c r="H248" i="97" s="1"/>
  <c r="AU36" i="4"/>
  <c r="T43" i="4"/>
  <c r="H247" i="97" s="1"/>
  <c r="F27" i="4"/>
  <c r="H42" i="97" s="1"/>
  <c r="BX48" i="4"/>
  <c r="BF11" i="4"/>
  <c r="M43" i="4"/>
  <c r="H142" i="97" s="1"/>
  <c r="F12" i="4"/>
  <c r="BX20" i="4"/>
  <c r="AA52" i="4"/>
  <c r="M20" i="4"/>
  <c r="T22" i="4"/>
  <c r="BX37" i="4"/>
  <c r="BF37" i="4"/>
  <c r="M37" i="4"/>
  <c r="BK49" i="4"/>
  <c r="BX14" i="4"/>
  <c r="BK50" i="4"/>
  <c r="Z42" i="4"/>
  <c r="BH10" i="4"/>
  <c r="BQ35" i="4"/>
  <c r="AO19" i="4"/>
  <c r="AN19" i="4"/>
  <c r="BK19" i="4"/>
  <c r="S11" i="4"/>
  <c r="AP11" i="4"/>
  <c r="Z11" i="4"/>
  <c r="BQ20" i="4"/>
  <c r="AN28" i="4"/>
  <c r="H553" i="97" s="1"/>
  <c r="AS29" i="4"/>
  <c r="H629" i="97" s="1"/>
  <c r="Z7" i="4"/>
  <c r="J15" i="4"/>
  <c r="AG31" i="4"/>
  <c r="H446" i="97" s="1"/>
  <c r="AF47" i="4"/>
  <c r="AG48" i="4"/>
  <c r="BW8" i="4"/>
  <c r="H1071" i="97" s="1"/>
  <c r="G8" i="4"/>
  <c r="H51" i="97" s="1"/>
  <c r="G18" i="4"/>
  <c r="J19" i="4"/>
  <c r="AG43" i="4"/>
  <c r="H442" i="97" s="1"/>
  <c r="N35" i="4"/>
  <c r="BW35" i="4"/>
  <c r="G27" i="4"/>
  <c r="H57" i="97" s="1"/>
  <c r="BP53" i="4"/>
  <c r="AP44" i="4"/>
  <c r="J20" i="4"/>
  <c r="AF12" i="4"/>
  <c r="N36" i="4"/>
  <c r="BH36" i="4"/>
  <c r="BW52" i="4"/>
  <c r="AO6" i="4"/>
  <c r="AS37" i="4"/>
  <c r="BP50" i="4"/>
  <c r="AP13" i="4"/>
  <c r="BW22" i="4"/>
  <c r="BP14" i="4"/>
  <c r="BK27" i="4"/>
  <c r="H897" i="97" s="1"/>
  <c r="AS31" i="4"/>
  <c r="H626" i="97" s="1"/>
  <c r="BP6" i="4"/>
  <c r="X13" i="4"/>
  <c r="BL46" i="4"/>
  <c r="BD29" i="4"/>
  <c r="H794" i="97" s="1"/>
  <c r="AL13" i="4"/>
  <c r="T21" i="4"/>
  <c r="BT21" i="4"/>
  <c r="T49" i="4"/>
  <c r="BM43" i="4"/>
  <c r="H922" i="97" s="1"/>
  <c r="BO26" i="4"/>
  <c r="H955" i="97" s="1"/>
  <c r="H50" i="4"/>
  <c r="F35" i="4"/>
  <c r="AA11" i="4"/>
  <c r="M52" i="4"/>
  <c r="BV43" i="4"/>
  <c r="H1057" i="97" s="1"/>
  <c r="AV42" i="4"/>
  <c r="BK8" i="4"/>
  <c r="H891" i="97" s="1"/>
  <c r="BK9" i="4"/>
  <c r="H894" i="97" s="1"/>
  <c r="BK18" i="4"/>
  <c r="Z10" i="4"/>
  <c r="BC18" i="4"/>
  <c r="BH26" i="4"/>
  <c r="H850" i="97" s="1"/>
  <c r="BQ43" i="4"/>
  <c r="H982" i="97" s="1"/>
  <c r="AS19" i="4"/>
  <c r="S28" i="4"/>
  <c r="H238" i="97" s="1"/>
  <c r="AP27" i="4"/>
  <c r="H582" i="97" s="1"/>
  <c r="Z27" i="4"/>
  <c r="H342" i="97" s="1"/>
  <c r="BK28" i="4"/>
  <c r="H898" i="97" s="1"/>
  <c r="AS36" i="4"/>
  <c r="BP49" i="4"/>
  <c r="Z23" i="4"/>
  <c r="J31" i="4"/>
  <c r="H101" i="97" s="1"/>
  <c r="AF7" i="4"/>
  <c r="N15" i="4"/>
  <c r="J24" i="4"/>
  <c r="BW16" i="4"/>
  <c r="G16" i="4"/>
  <c r="AF11" i="4"/>
  <c r="G35" i="4"/>
  <c r="S36" i="4"/>
  <c r="Z20" i="4"/>
  <c r="AF28" i="4"/>
  <c r="H433" i="97" s="1"/>
  <c r="N44" i="4"/>
  <c r="BW12" i="4"/>
  <c r="G12" i="4"/>
  <c r="AS53" i="4"/>
  <c r="J45" i="4"/>
  <c r="AF13" i="4"/>
  <c r="J38" i="4"/>
  <c r="J46" i="4"/>
  <c r="G44" i="4"/>
  <c r="AF29" i="4"/>
  <c r="H434" i="97" s="1"/>
  <c r="BW13" i="4"/>
  <c r="G47" i="4"/>
  <c r="BW46" i="4"/>
  <c r="BW7" i="4"/>
  <c r="AB52" i="4"/>
  <c r="AR37" i="4"/>
  <c r="BE52" i="4"/>
  <c r="P47" i="4"/>
  <c r="AR30" i="4"/>
  <c r="BM8" i="4"/>
  <c r="H921" i="97" s="1"/>
  <c r="H48" i="4"/>
  <c r="AU47" i="4"/>
  <c r="BE46" i="4"/>
  <c r="H49" i="4"/>
  <c r="AU48" i="4"/>
  <c r="BE15" i="4"/>
  <c r="H12" i="4"/>
  <c r="AU11" i="4"/>
  <c r="AR48" i="4"/>
  <c r="BM6" i="4"/>
  <c r="AU44" i="4"/>
  <c r="BU12" i="4"/>
  <c r="BV28" i="4"/>
  <c r="H1063" i="97" s="1"/>
  <c r="BS27" i="4"/>
  <c r="H1017" i="97" s="1"/>
  <c r="BU45" i="4"/>
  <c r="BS14" i="4"/>
  <c r="BX51" i="4"/>
  <c r="L52" i="4"/>
  <c r="BU8" i="4"/>
  <c r="H1041" i="97" s="1"/>
  <c r="BX44" i="4"/>
  <c r="BQ13" i="4"/>
  <c r="N37" i="4"/>
  <c r="M9" i="4"/>
  <c r="H144" i="97" s="1"/>
  <c r="AB6" i="4"/>
  <c r="AZ22" i="4"/>
  <c r="BR37" i="4"/>
  <c r="I37" i="4"/>
  <c r="P37" i="4"/>
  <c r="AM37" i="4"/>
  <c r="AR50" i="4"/>
  <c r="R12" i="4"/>
  <c r="W45" i="4"/>
  <c r="BM15" i="4"/>
  <c r="H31" i="4"/>
  <c r="H71" i="97" s="1"/>
  <c r="BJ14" i="4"/>
  <c r="O6" i="4"/>
  <c r="AR43" i="4"/>
  <c r="H607" i="97" s="1"/>
  <c r="BD14" i="4"/>
  <c r="Q51" i="4"/>
  <c r="BT9" i="4"/>
  <c r="H1029" i="97" s="1"/>
  <c r="Q29" i="4"/>
  <c r="H209" i="97" s="1"/>
  <c r="BM12" i="4"/>
  <c r="BT20" i="4"/>
  <c r="H20" i="4"/>
  <c r="AU28" i="4"/>
  <c r="H658" i="97" s="1"/>
  <c r="Q22" i="4"/>
  <c r="AT42" i="4"/>
  <c r="Y21" i="4"/>
  <c r="BO34" i="4"/>
  <c r="H953" i="97" s="1"/>
  <c r="BU6" i="4"/>
  <c r="BV37" i="4"/>
  <c r="AV20" i="4"/>
  <c r="BS44" i="4"/>
  <c r="AW25" i="4"/>
  <c r="BX50" i="4"/>
  <c r="BF50" i="4"/>
  <c r="BU7" i="4"/>
  <c r="F22" i="4"/>
  <c r="BX6" i="4"/>
  <c r="L6" i="4"/>
  <c r="BS39" i="4"/>
  <c r="BS16" i="4"/>
  <c r="BQ30" i="4"/>
  <c r="AN46" i="4"/>
  <c r="AP45" i="4"/>
  <c r="Z37" i="4"/>
  <c r="BH29" i="4"/>
  <c r="H854" i="97" s="1"/>
  <c r="AP38" i="4"/>
  <c r="N46" i="4"/>
  <c r="BH37" i="4"/>
  <c r="G6" i="4"/>
  <c r="AF22" i="4"/>
  <c r="L34" i="4"/>
  <c r="H128" i="97" s="1"/>
  <c r="H26" i="4"/>
  <c r="H70" i="97" s="1"/>
  <c r="AM26" i="4"/>
  <c r="H535" i="97" s="1"/>
  <c r="AJ47" i="4"/>
  <c r="I45" i="4"/>
  <c r="AR53" i="4"/>
  <c r="BE12" i="4"/>
  <c r="BJ53" i="4"/>
  <c r="R38" i="4"/>
  <c r="BM16" i="4"/>
  <c r="BR48" i="4"/>
  <c r="BM9" i="4"/>
  <c r="H924" i="97" s="1"/>
  <c r="BE47" i="4"/>
  <c r="BM28" i="4"/>
  <c r="H928" i="97" s="1"/>
  <c r="AZ28" i="4"/>
  <c r="H733" i="97" s="1"/>
  <c r="BD42" i="4"/>
  <c r="Q30" i="4"/>
  <c r="AZ37" i="4"/>
  <c r="BU44" i="4"/>
  <c r="BV44" i="4"/>
  <c r="BS35" i="4"/>
  <c r="BS6" i="4"/>
  <c r="BU15" i="4"/>
  <c r="F30" i="4"/>
  <c r="BU51" i="4"/>
  <c r="BQ37" i="4"/>
  <c r="AP6" i="4"/>
  <c r="Z45" i="4"/>
  <c r="AS6" i="4"/>
  <c r="Z22" i="4"/>
  <c r="Z38" i="4"/>
  <c r="N6" i="4"/>
  <c r="BH50" i="4"/>
  <c r="BF25" i="4"/>
  <c r="L48" i="4"/>
  <c r="AB16" i="4"/>
  <c r="BI46" i="4"/>
  <c r="T16" i="4"/>
  <c r="L13" i="4"/>
  <c r="BF21" i="4"/>
  <c r="BO50" i="4"/>
  <c r="AA10" i="4"/>
  <c r="M31" i="4"/>
  <c r="H146" i="97" s="1"/>
  <c r="AH38" i="4"/>
  <c r="F47" i="4"/>
  <c r="BU41" i="4"/>
  <c r="F24" i="4"/>
  <c r="BX32" i="4"/>
  <c r="BK52" i="4"/>
  <c r="BT11" i="4"/>
  <c r="T42" i="4"/>
  <c r="AO29" i="4"/>
  <c r="H569" i="97" s="1"/>
  <c r="AO22" i="4"/>
  <c r="BK21" i="4"/>
  <c r="AS21" i="4"/>
  <c r="AG13" i="4"/>
  <c r="AH25" i="4"/>
  <c r="K32" i="4"/>
  <c r="G38" i="4"/>
  <c r="BS9" i="4"/>
  <c r="H1014" i="97" s="1"/>
  <c r="BX17" i="4"/>
  <c r="BM30" i="4"/>
  <c r="AC46" i="4"/>
  <c r="AZ6" i="4"/>
  <c r="AU37" i="4"/>
  <c r="BJ51" i="4"/>
  <c r="R13" i="4"/>
  <c r="BE28" i="4"/>
  <c r="H808" i="97" s="1"/>
  <c r="AL36" i="4"/>
  <c r="H47" i="4"/>
  <c r="AU53" i="4"/>
  <c r="BE29" i="4"/>
  <c r="H809" i="97" s="1"/>
  <c r="AL29" i="4"/>
  <c r="H524" i="97" s="1"/>
  <c r="AI6" i="4"/>
  <c r="Q25" i="4"/>
  <c r="BM32" i="4"/>
  <c r="Y40" i="4"/>
  <c r="BO25" i="4"/>
  <c r="H16" i="4"/>
  <c r="AU15" i="4"/>
  <c r="Q26" i="4"/>
  <c r="H205" i="97" s="1"/>
  <c r="BM17" i="4"/>
  <c r="AB33" i="4"/>
  <c r="Y50" i="4"/>
  <c r="BT41" i="4"/>
  <c r="AU8" i="4"/>
  <c r="H651" i="97" s="1"/>
  <c r="Q6" i="4"/>
  <c r="BM36" i="4"/>
  <c r="AX52" i="4"/>
  <c r="BO12" i="4"/>
  <c r="H52" i="4"/>
  <c r="Q47" i="4"/>
  <c r="BM27" i="4"/>
  <c r="H927" i="97" s="1"/>
  <c r="Y6" i="4"/>
  <c r="BO37" i="4"/>
  <c r="H29" i="4"/>
  <c r="H74" i="97" s="1"/>
  <c r="AU50" i="4"/>
  <c r="BS51" i="4"/>
  <c r="BU53" i="4"/>
  <c r="BV52" i="4"/>
  <c r="T14" i="4"/>
  <c r="AW21" i="4"/>
  <c r="BX13" i="4"/>
  <c r="L21" i="4"/>
  <c r="M21" i="4"/>
  <c r="BM42" i="4"/>
  <c r="T7" i="4"/>
  <c r="BA7" i="4"/>
  <c r="L22" i="4"/>
  <c r="BF14" i="4"/>
  <c r="AH46" i="4"/>
  <c r="T32" i="4"/>
  <c r="BV16" i="4"/>
  <c r="T25" i="4"/>
  <c r="M23" i="4"/>
  <c r="AH16" i="4"/>
  <c r="BV11" i="4"/>
  <c r="AN21" i="4"/>
  <c r="AS47" i="4"/>
  <c r="BQ47" i="4"/>
  <c r="Z53" i="4"/>
  <c r="BV50" i="4"/>
  <c r="M41" i="4"/>
  <c r="BV42" i="4"/>
  <c r="BU14" i="4"/>
  <c r="Y42" i="4"/>
  <c r="T23" i="4"/>
  <c r="BE8" i="4"/>
  <c r="H801" i="97" s="1"/>
  <c r="T47" i="4"/>
  <c r="AW31" i="4"/>
  <c r="H686" i="97" s="1"/>
  <c r="BX15" i="4"/>
  <c r="AU25" i="4"/>
  <c r="T33" i="4"/>
  <c r="L46" i="4"/>
  <c r="L25" i="4"/>
  <c r="M51" i="4"/>
  <c r="AB22" i="4"/>
  <c r="I30" i="4"/>
  <c r="AM21" i="4"/>
  <c r="AR29" i="4"/>
  <c r="H614" i="97" s="1"/>
  <c r="AE21" i="4"/>
  <c r="BE36" i="4"/>
  <c r="H7" i="4"/>
  <c r="AU14" i="4"/>
  <c r="I22" i="4"/>
  <c r="U17" i="4"/>
  <c r="BE45" i="4"/>
  <c r="AL6" i="4"/>
  <c r="BM48" i="4"/>
  <c r="H32" i="4"/>
  <c r="AU32" i="4"/>
  <c r="BE14" i="4"/>
  <c r="BM41" i="4"/>
  <c r="AU16" i="4"/>
  <c r="I35" i="4"/>
  <c r="H37" i="4"/>
  <c r="BE27" i="4"/>
  <c r="H807" i="97" s="1"/>
  <c r="BV12" i="4"/>
  <c r="BU21" i="4"/>
  <c r="AV33" i="4"/>
  <c r="BS41" i="4"/>
  <c r="T38" i="4"/>
  <c r="BX29" i="4"/>
  <c r="H1094" i="97" s="1"/>
  <c r="BV31" i="4"/>
  <c r="H1061" i="97" s="1"/>
  <c r="F45" i="4"/>
  <c r="BX22" i="4"/>
  <c r="L14" i="4"/>
  <c r="M6" i="4"/>
  <c r="BX23" i="4"/>
  <c r="H11" i="4"/>
  <c r="AP30" i="4"/>
  <c r="Z46" i="4"/>
  <c r="AP22" i="4"/>
  <c r="AO38" i="4"/>
  <c r="BK14" i="4"/>
  <c r="BU42" i="4"/>
  <c r="BR30" i="4"/>
  <c r="BJ13" i="4"/>
  <c r="AB30" i="4"/>
  <c r="AC31" i="4"/>
  <c r="H386" i="97" s="1"/>
  <c r="X29" i="4"/>
  <c r="H314" i="97" s="1"/>
  <c r="BR13" i="4"/>
  <c r="I29" i="4"/>
  <c r="H89" i="97" s="1"/>
  <c r="AM29" i="4"/>
  <c r="H539" i="97" s="1"/>
  <c r="BJ21" i="4"/>
  <c r="BL42" i="4"/>
  <c r="BE44" i="4"/>
  <c r="H15" i="4"/>
  <c r="AU22" i="4"/>
  <c r="I46" i="4"/>
  <c r="BE6" i="4"/>
  <c r="H40" i="4"/>
  <c r="AU39" i="4"/>
  <c r="BE22" i="4"/>
  <c r="BM49" i="4"/>
  <c r="H33" i="4"/>
  <c r="AU24" i="4"/>
  <c r="BE7" i="4"/>
  <c r="Y45" i="4"/>
  <c r="BT50" i="4"/>
  <c r="BE42" i="4"/>
  <c r="BM45" i="4"/>
  <c r="AX13" i="4"/>
  <c r="Y29" i="4"/>
  <c r="H329" i="97" s="1"/>
  <c r="H45" i="4"/>
  <c r="BV20" i="4"/>
  <c r="BS19" i="4"/>
  <c r="BV21" i="4"/>
  <c r="BS20" i="4"/>
  <c r="T6" i="4"/>
  <c r="L37" i="4"/>
  <c r="AH10" i="4"/>
  <c r="T46" i="4"/>
  <c r="BX30" i="4"/>
  <c r="L30" i="4"/>
  <c r="Q43" i="4"/>
  <c r="H202" i="97" s="1"/>
  <c r="AB49" i="4"/>
  <c r="AZ43" i="4"/>
  <c r="H727" i="97" s="1"/>
  <c r="AA48" i="4"/>
  <c r="BK6" i="4"/>
  <c r="Z29" i="4"/>
  <c r="H344" i="97" s="1"/>
  <c r="AN30" i="4"/>
  <c r="N47" i="4"/>
  <c r="BH23" i="4"/>
  <c r="AN53" i="4"/>
  <c r="BH22" i="4"/>
  <c r="M10" i="4"/>
  <c r="AF45" i="4"/>
  <c r="G37" i="4"/>
  <c r="L18" i="4"/>
  <c r="J22" i="4"/>
  <c r="G53" i="4"/>
  <c r="F42" i="4"/>
  <c r="AY23" i="4"/>
  <c r="P51" i="4"/>
  <c r="P33" i="4"/>
  <c r="P12" i="4"/>
  <c r="P19" i="4"/>
  <c r="P24" i="4"/>
  <c r="P42" i="4"/>
  <c r="P25" i="4"/>
  <c r="P11" i="4"/>
  <c r="P16" i="4"/>
  <c r="P30" i="4"/>
  <c r="P17" i="4"/>
  <c r="P44" i="4"/>
  <c r="P52" i="4"/>
  <c r="P34" i="4"/>
  <c r="H188" i="97" s="1"/>
  <c r="P45" i="4"/>
  <c r="P8" i="4"/>
  <c r="H186" i="97" s="1"/>
  <c r="P39" i="4"/>
  <c r="P14" i="4"/>
  <c r="P9" i="4"/>
  <c r="H189" i="97" s="1"/>
  <c r="P36" i="4"/>
  <c r="P43" i="4"/>
  <c r="H187" i="97" s="1"/>
  <c r="P13" i="4"/>
  <c r="P18" i="4"/>
  <c r="P50" i="4"/>
  <c r="P28" i="4"/>
  <c r="H193" i="97" s="1"/>
  <c r="P10" i="4"/>
  <c r="P41" i="4"/>
  <c r="P20" i="4"/>
  <c r="P27" i="4"/>
  <c r="H192" i="97" s="1"/>
  <c r="P32" i="4"/>
  <c r="P15" i="4"/>
  <c r="U46" i="4"/>
  <c r="BD41" i="4"/>
  <c r="BD48" i="4"/>
  <c r="BD11" i="4"/>
  <c r="BD33" i="4"/>
  <c r="BD40" i="4"/>
  <c r="BD51" i="4"/>
  <c r="BD26" i="4"/>
  <c r="H790" i="97" s="1"/>
  <c r="BD47" i="4"/>
  <c r="BD21" i="4"/>
  <c r="BD44" i="4"/>
  <c r="BD25" i="4"/>
  <c r="BD32" i="4"/>
  <c r="BD18" i="4"/>
  <c r="BD39" i="4"/>
  <c r="BD17" i="4"/>
  <c r="BD24" i="4"/>
  <c r="BD43" i="4"/>
  <c r="H787" i="97" s="1"/>
  <c r="BD10" i="4"/>
  <c r="BD52" i="4"/>
  <c r="BD16" i="4"/>
  <c r="BD35" i="4"/>
  <c r="BD50" i="4"/>
  <c r="BD31" i="4"/>
  <c r="H791" i="97" s="1"/>
  <c r="BD46" i="4"/>
  <c r="BD53" i="4"/>
  <c r="BD28" i="4"/>
  <c r="H793" i="97" s="1"/>
  <c r="BD8" i="4"/>
  <c r="H786" i="97" s="1"/>
  <c r="BD27" i="4"/>
  <c r="H792" i="97" s="1"/>
  <c r="BD49" i="4"/>
  <c r="BD19" i="4"/>
  <c r="BD34" i="4"/>
  <c r="H788" i="97" s="1"/>
  <c r="BD7" i="4"/>
  <c r="BD22" i="4"/>
  <c r="AC47" i="4"/>
  <c r="BB14" i="4"/>
  <c r="AB44" i="4"/>
  <c r="AC6" i="4"/>
  <c r="AZ41" i="4"/>
  <c r="AY6" i="4"/>
  <c r="X46" i="4"/>
  <c r="BR46" i="4"/>
  <c r="P29" i="4"/>
  <c r="H194" i="97" s="1"/>
  <c r="U53" i="4"/>
  <c r="BG45" i="4"/>
  <c r="W44" i="4"/>
  <c r="BD12" i="4"/>
  <c r="AB38" i="4"/>
  <c r="AZ7" i="4"/>
  <c r="X53" i="4"/>
  <c r="BR14" i="4"/>
  <c r="P22" i="4"/>
  <c r="BG50" i="4"/>
  <c r="BB22" i="4"/>
  <c r="W13" i="4"/>
  <c r="O45" i="4"/>
  <c r="AI21" i="4"/>
  <c r="AB8" i="4"/>
  <c r="H366" i="97" s="1"/>
  <c r="AC24" i="4"/>
  <c r="X48" i="4"/>
  <c r="BR15" i="4"/>
  <c r="P23" i="4"/>
  <c r="AC41" i="4"/>
  <c r="X16" i="4"/>
  <c r="BR32" i="4"/>
  <c r="AM48" i="4"/>
  <c r="BG16" i="4"/>
  <c r="X27" i="4"/>
  <c r="H312" i="97" s="1"/>
  <c r="AT29" i="4"/>
  <c r="H644" i="97" s="1"/>
  <c r="AC37" i="4"/>
  <c r="BR28" i="4"/>
  <c r="H1003" i="97" s="1"/>
  <c r="AW22" i="4"/>
  <c r="AW6" i="4"/>
  <c r="AW43" i="4"/>
  <c r="H682" i="97" s="1"/>
  <c r="AW11" i="4"/>
  <c r="AW45" i="4"/>
  <c r="AW37" i="4"/>
  <c r="AW36" i="4"/>
  <c r="AW52" i="4"/>
  <c r="AW44" i="4"/>
  <c r="AW29" i="4"/>
  <c r="H689" i="97" s="1"/>
  <c r="AW28" i="4"/>
  <c r="H688" i="97" s="1"/>
  <c r="AW35" i="4"/>
  <c r="AW23" i="4"/>
  <c r="AW38" i="4"/>
  <c r="AW13" i="4"/>
  <c r="AW12" i="4"/>
  <c r="AW27" i="4"/>
  <c r="H687" i="97" s="1"/>
  <c r="AW19" i="4"/>
  <c r="AD21" i="4"/>
  <c r="AW47" i="4"/>
  <c r="AD14" i="4"/>
  <c r="AW8" i="4"/>
  <c r="H681" i="97" s="1"/>
  <c r="AD32" i="4"/>
  <c r="BC30" i="4"/>
  <c r="BC31" i="4"/>
  <c r="H776" i="97" s="1"/>
  <c r="BC48" i="4"/>
  <c r="BC32" i="4"/>
  <c r="BC21" i="4"/>
  <c r="BC39" i="4"/>
  <c r="BC6" i="4"/>
  <c r="BC28" i="4"/>
  <c r="H778" i="97" s="1"/>
  <c r="BC41" i="4"/>
  <c r="BC23" i="4"/>
  <c r="BC43" i="4"/>
  <c r="H772" i="97" s="1"/>
  <c r="BC9" i="4"/>
  <c r="H774" i="97" s="1"/>
  <c r="BC46" i="4"/>
  <c r="BC13" i="4"/>
  <c r="BC44" i="4"/>
  <c r="BC19" i="4"/>
  <c r="BC33" i="4"/>
  <c r="BC15" i="4"/>
  <c r="BC35" i="4"/>
  <c r="BC49" i="4"/>
  <c r="BC37" i="4"/>
  <c r="BC11" i="4"/>
  <c r="BC24" i="4"/>
  <c r="BC7" i="4"/>
  <c r="BC42" i="4"/>
  <c r="BC22" i="4"/>
  <c r="BC51" i="4"/>
  <c r="BC16" i="4"/>
  <c r="BC27" i="4"/>
  <c r="H777" i="97" s="1"/>
  <c r="BC25" i="4"/>
  <c r="BC45" i="4"/>
  <c r="BC52" i="4"/>
  <c r="BC20" i="4"/>
  <c r="BC34" i="4"/>
  <c r="H773" i="97" s="1"/>
  <c r="BC8" i="4"/>
  <c r="H771" i="97" s="1"/>
  <c r="BC47" i="4"/>
  <c r="BC10" i="4"/>
  <c r="BC26" i="4"/>
  <c r="H775" i="97" s="1"/>
  <c r="BC38" i="4"/>
  <c r="BC12" i="4"/>
  <c r="BC36" i="4"/>
  <c r="BC40" i="4"/>
  <c r="BC50" i="4"/>
  <c r="BC17" i="4"/>
  <c r="AK30" i="4"/>
  <c r="AK21" i="4"/>
  <c r="AK44" i="4"/>
  <c r="AK8" i="4"/>
  <c r="H501" i="97" s="1"/>
  <c r="AK42" i="4"/>
  <c r="AK17" i="4"/>
  <c r="AK13" i="4"/>
  <c r="AK6" i="4"/>
  <c r="AK36" i="4"/>
  <c r="AK27" i="4"/>
  <c r="H507" i="97" s="1"/>
  <c r="AK39" i="4"/>
  <c r="AK38" i="4"/>
  <c r="AK14" i="4"/>
  <c r="AK19" i="4"/>
  <c r="AK48" i="4"/>
  <c r="AK34" i="4"/>
  <c r="H503" i="97" s="1"/>
  <c r="AK9" i="4"/>
  <c r="H504" i="97" s="1"/>
  <c r="AK53" i="4"/>
  <c r="AK28" i="4"/>
  <c r="H508" i="97" s="1"/>
  <c r="AK11" i="4"/>
  <c r="AK40" i="4"/>
  <c r="AK31" i="4"/>
  <c r="H506" i="97" s="1"/>
  <c r="AK47" i="4"/>
  <c r="AK45" i="4"/>
  <c r="AK46" i="4"/>
  <c r="AK20" i="4"/>
  <c r="AK51" i="4"/>
  <c r="AK32" i="4"/>
  <c r="AK23" i="4"/>
  <c r="AK26" i="4"/>
  <c r="H505" i="97" s="1"/>
  <c r="AK49" i="4"/>
  <c r="AK43" i="4"/>
  <c r="H502" i="97" s="1"/>
  <c r="AK16" i="4"/>
  <c r="AK7" i="4"/>
  <c r="AK10" i="4"/>
  <c r="AK33" i="4"/>
  <c r="AK29" i="4"/>
  <c r="H509" i="97" s="1"/>
  <c r="AK22" i="4"/>
  <c r="AK52" i="4"/>
  <c r="AK35" i="4"/>
  <c r="AK50" i="4"/>
  <c r="AK25" i="4"/>
  <c r="AY27" i="4"/>
  <c r="H717" i="97" s="1"/>
  <c r="U26" i="4"/>
  <c r="H265" i="97" s="1"/>
  <c r="BB10" i="4"/>
  <c r="BB17" i="4"/>
  <c r="BB24" i="4"/>
  <c r="BB50" i="4"/>
  <c r="BB52" i="4"/>
  <c r="BB28" i="4"/>
  <c r="H763" i="97" s="1"/>
  <c r="BB16" i="4"/>
  <c r="BB46" i="4"/>
  <c r="BB13" i="4"/>
  <c r="BB9" i="4"/>
  <c r="H759" i="97" s="1"/>
  <c r="BB44" i="4"/>
  <c r="BB19" i="4"/>
  <c r="BB34" i="4"/>
  <c r="H758" i="97" s="1"/>
  <c r="BB49" i="4"/>
  <c r="BB37" i="4"/>
  <c r="BB11" i="4"/>
  <c r="BB8" i="4"/>
  <c r="H756" i="97" s="1"/>
  <c r="BB47" i="4"/>
  <c r="BB35" i="4"/>
  <c r="BB42" i="4"/>
  <c r="BB51" i="4"/>
  <c r="BB40" i="4"/>
  <c r="BB31" i="4"/>
  <c r="H761" i="97" s="1"/>
  <c r="BB6" i="4"/>
  <c r="BB27" i="4"/>
  <c r="H762" i="97" s="1"/>
  <c r="BB20" i="4"/>
  <c r="BB18" i="4"/>
  <c r="BB26" i="4"/>
  <c r="H760" i="97" s="1"/>
  <c r="BB12" i="4"/>
  <c r="BB36" i="4"/>
  <c r="BB33" i="4"/>
  <c r="BB15" i="4"/>
  <c r="U31" i="4"/>
  <c r="H266" i="97" s="1"/>
  <c r="BI9" i="4"/>
  <c r="H864" i="97" s="1"/>
  <c r="BI11" i="4"/>
  <c r="BI23" i="4"/>
  <c r="BI8" i="4"/>
  <c r="H861" i="97" s="1"/>
  <c r="BI6" i="4"/>
  <c r="BI26" i="4"/>
  <c r="H865" i="97" s="1"/>
  <c r="BI15" i="4"/>
  <c r="BI37" i="4"/>
  <c r="BI36" i="4"/>
  <c r="BI50" i="4"/>
  <c r="BI47" i="4"/>
  <c r="BI43" i="4"/>
  <c r="H862" i="97" s="1"/>
  <c r="BI18" i="4"/>
  <c r="BI7" i="4"/>
  <c r="BI41" i="4"/>
  <c r="BI49" i="4"/>
  <c r="BI48" i="4"/>
  <c r="BI38" i="4"/>
  <c r="BI44" i="4"/>
  <c r="BI10" i="4"/>
  <c r="BI29" i="4"/>
  <c r="H869" i="97" s="1"/>
  <c r="BI28" i="4"/>
  <c r="H868" i="97" s="1"/>
  <c r="BI33" i="4"/>
  <c r="BI40" i="4"/>
  <c r="BI39" i="4"/>
  <c r="BI30" i="4"/>
  <c r="BI35" i="4"/>
  <c r="BI51" i="4"/>
  <c r="BI21" i="4"/>
  <c r="BI20" i="4"/>
  <c r="BI17" i="4"/>
  <c r="BI24" i="4"/>
  <c r="BI14" i="4"/>
  <c r="BI27" i="4"/>
  <c r="H867" i="97" s="1"/>
  <c r="BI16" i="4"/>
  <c r="BI19" i="4"/>
  <c r="BI34" i="4"/>
  <c r="H863" i="97" s="1"/>
  <c r="BI31" i="4"/>
  <c r="H866" i="97" s="1"/>
  <c r="BI53" i="4"/>
  <c r="X6" i="4"/>
  <c r="AM50" i="4"/>
  <c r="AM41" i="4"/>
  <c r="AM20" i="4"/>
  <c r="AM19" i="4"/>
  <c r="AM32" i="4"/>
  <c r="AM42" i="4"/>
  <c r="AM33" i="4"/>
  <c r="AM12" i="4"/>
  <c r="AM11" i="4"/>
  <c r="AM24" i="4"/>
  <c r="AM7" i="4"/>
  <c r="AM46" i="4"/>
  <c r="AM13" i="4"/>
  <c r="AM25" i="4"/>
  <c r="AM51" i="4"/>
  <c r="AM16" i="4"/>
  <c r="AM34" i="4"/>
  <c r="H533" i="97" s="1"/>
  <c r="AM17" i="4"/>
  <c r="AM52" i="4"/>
  <c r="AM47" i="4"/>
  <c r="AM30" i="4"/>
  <c r="AM44" i="4"/>
  <c r="AM43" i="4"/>
  <c r="H532" i="97" s="1"/>
  <c r="AM8" i="4"/>
  <c r="H531" i="97" s="1"/>
  <c r="AM39" i="4"/>
  <c r="AM22" i="4"/>
  <c r="AM45" i="4"/>
  <c r="AM18" i="4"/>
  <c r="AM10" i="4"/>
  <c r="AM49" i="4"/>
  <c r="AM28" i="4"/>
  <c r="H538" i="97" s="1"/>
  <c r="AM27" i="4"/>
  <c r="H537" i="97" s="1"/>
  <c r="AM40" i="4"/>
  <c r="AM23" i="4"/>
  <c r="BJ46" i="4"/>
  <c r="BJ7" i="4"/>
  <c r="BJ29" i="4"/>
  <c r="H884" i="97" s="1"/>
  <c r="BJ36" i="4"/>
  <c r="BG53" i="4"/>
  <c r="R45" i="4"/>
  <c r="R31" i="4"/>
  <c r="H221" i="97" s="1"/>
  <c r="R29" i="4"/>
  <c r="H224" i="97" s="1"/>
  <c r="R46" i="4"/>
  <c r="BD20" i="4"/>
  <c r="AZ31" i="4"/>
  <c r="H731" i="97" s="1"/>
  <c r="AY7" i="4"/>
  <c r="BR22" i="4"/>
  <c r="P38" i="4"/>
  <c r="BJ30" i="4"/>
  <c r="AR40" i="4"/>
  <c r="AR9" i="4"/>
  <c r="H609" i="97" s="1"/>
  <c r="AR27" i="4"/>
  <c r="H612" i="97" s="1"/>
  <c r="AR47" i="4"/>
  <c r="AR28" i="4"/>
  <c r="H613" i="97" s="1"/>
  <c r="AR19" i="4"/>
  <c r="AR38" i="4"/>
  <c r="AR31" i="4"/>
  <c r="H611" i="97" s="1"/>
  <c r="AR39" i="4"/>
  <c r="AR20" i="4"/>
  <c r="AR11" i="4"/>
  <c r="AR45" i="4"/>
  <c r="AR23" i="4"/>
  <c r="AR34" i="4"/>
  <c r="H608" i="97" s="1"/>
  <c r="AR46" i="4"/>
  <c r="AR12" i="4"/>
  <c r="AR32" i="4"/>
  <c r="AR15" i="4"/>
  <c r="AR51" i="4"/>
  <c r="AR21" i="4"/>
  <c r="AR33" i="4"/>
  <c r="AR41" i="4"/>
  <c r="AR24" i="4"/>
  <c r="AR7" i="4"/>
  <c r="AR42" i="4"/>
  <c r="AR13" i="4"/>
  <c r="AR18" i="4"/>
  <c r="AR17" i="4"/>
  <c r="AR49" i="4"/>
  <c r="AR10" i="4"/>
  <c r="AR36" i="4"/>
  <c r="AR8" i="4"/>
  <c r="H606" i="97" s="1"/>
  <c r="AR44" i="4"/>
  <c r="AR14" i="4"/>
  <c r="R22" i="4"/>
  <c r="W29" i="4"/>
  <c r="H299" i="97" s="1"/>
  <c r="BD13" i="4"/>
  <c r="AC40" i="4"/>
  <c r="AY16" i="4"/>
  <c r="P31" i="4"/>
  <c r="H191" i="97" s="1"/>
  <c r="BJ39" i="4"/>
  <c r="BB23" i="4"/>
  <c r="AC49" i="4"/>
  <c r="BJ8" i="4"/>
  <c r="H876" i="97" s="1"/>
  <c r="BG24" i="4"/>
  <c r="BB41" i="4"/>
  <c r="AZ20" i="4"/>
  <c r="AR35" i="4"/>
  <c r="BJ45" i="4"/>
  <c r="BI32" i="4"/>
  <c r="BR41" i="4"/>
  <c r="W50" i="4"/>
  <c r="BI25" i="4"/>
  <c r="AY11" i="4"/>
  <c r="AK24" i="4"/>
  <c r="K48" i="4"/>
  <c r="K42" i="4"/>
  <c r="K51" i="4"/>
  <c r="BC14" i="4"/>
  <c r="BR26" i="4"/>
  <c r="H1000" i="97" s="1"/>
  <c r="R26" i="4"/>
  <c r="H220" i="97" s="1"/>
  <c r="AI42" i="4"/>
  <c r="U51" i="4"/>
  <c r="U28" i="4"/>
  <c r="H268" i="97" s="1"/>
  <c r="U27" i="4"/>
  <c r="H267" i="97" s="1"/>
  <c r="U49" i="4"/>
  <c r="U42" i="4"/>
  <c r="U50" i="4"/>
  <c r="U20" i="4"/>
  <c r="U19" i="4"/>
  <c r="U40" i="4"/>
  <c r="U23" i="4"/>
  <c r="U14" i="4"/>
  <c r="U29" i="4"/>
  <c r="H269" i="97" s="1"/>
  <c r="U41" i="4"/>
  <c r="U12" i="4"/>
  <c r="U11" i="4"/>
  <c r="U32" i="4"/>
  <c r="U15" i="4"/>
  <c r="U34" i="4"/>
  <c r="H263" i="97" s="1"/>
  <c r="U33" i="4"/>
  <c r="U52" i="4"/>
  <c r="U24" i="4"/>
  <c r="U7" i="4"/>
  <c r="U6" i="4"/>
  <c r="U25" i="4"/>
  <c r="U44" i="4"/>
  <c r="U16" i="4"/>
  <c r="U18" i="4"/>
  <c r="U36" i="4"/>
  <c r="U10" i="4"/>
  <c r="U9" i="4"/>
  <c r="H264" i="97" s="1"/>
  <c r="AY22" i="4"/>
  <c r="AY50" i="4"/>
  <c r="P46" i="4"/>
  <c r="U13" i="4"/>
  <c r="BB21" i="4"/>
  <c r="BL12" i="4"/>
  <c r="BL17" i="4"/>
  <c r="BL24" i="4"/>
  <c r="BL11" i="4"/>
  <c r="BL16" i="4"/>
  <c r="BL26" i="4"/>
  <c r="H910" i="97" s="1"/>
  <c r="BL31" i="4"/>
  <c r="H911" i="97" s="1"/>
  <c r="BL22" i="4"/>
  <c r="BL52" i="4"/>
  <c r="BL6" i="4"/>
  <c r="BL9" i="4"/>
  <c r="H909" i="97" s="1"/>
  <c r="BL43" i="4"/>
  <c r="H907" i="97" s="1"/>
  <c r="BL18" i="4"/>
  <c r="BL23" i="4"/>
  <c r="BL14" i="4"/>
  <c r="BL8" i="4"/>
  <c r="H906" i="97" s="1"/>
  <c r="BL44" i="4"/>
  <c r="BL10" i="4"/>
  <c r="BL15" i="4"/>
  <c r="BL37" i="4"/>
  <c r="BL36" i="4"/>
  <c r="BL50" i="4"/>
  <c r="BL35" i="4"/>
  <c r="BL51" i="4"/>
  <c r="BL7" i="4"/>
  <c r="BL33" i="4"/>
  <c r="BL40" i="4"/>
  <c r="BL27" i="4"/>
  <c r="H912" i="97" s="1"/>
  <c r="BL25" i="4"/>
  <c r="BL32" i="4"/>
  <c r="BL19" i="4"/>
  <c r="BL34" i="4"/>
  <c r="H908" i="97" s="1"/>
  <c r="BL39" i="4"/>
  <c r="BL38" i="4"/>
  <c r="BL13" i="4"/>
  <c r="BD36" i="4"/>
  <c r="BI12" i="4"/>
  <c r="AB7" i="4"/>
  <c r="AZ44" i="4"/>
  <c r="AY32" i="4"/>
  <c r="P53" i="4"/>
  <c r="U22" i="4"/>
  <c r="BG39" i="4"/>
  <c r="R53" i="4"/>
  <c r="BB53" i="4"/>
  <c r="W6" i="4"/>
  <c r="AB24" i="4"/>
  <c r="AY40" i="4"/>
  <c r="I15" i="4"/>
  <c r="P48" i="4"/>
  <c r="R7" i="4"/>
  <c r="BL30" i="4"/>
  <c r="BD30" i="4"/>
  <c r="AB47" i="4"/>
  <c r="AZ39" i="4"/>
  <c r="I40" i="4"/>
  <c r="U8" i="4"/>
  <c r="H261" i="97" s="1"/>
  <c r="R24" i="4"/>
  <c r="BD15" i="4"/>
  <c r="BJ35" i="4"/>
  <c r="BI42" i="4"/>
  <c r="AZ50" i="4"/>
  <c r="I28" i="4"/>
  <c r="H88" i="97" s="1"/>
  <c r="AI52" i="4"/>
  <c r="BN35" i="4"/>
  <c r="AV6" i="4"/>
  <c r="AV19" i="4"/>
  <c r="AV11" i="4"/>
  <c r="AV21" i="4"/>
  <c r="AV36" i="4"/>
  <c r="AV43" i="4"/>
  <c r="H667" i="97" s="1"/>
  <c r="AV28" i="4"/>
  <c r="H673" i="97" s="1"/>
  <c r="AV44" i="4"/>
  <c r="AV31" i="4"/>
  <c r="H671" i="97" s="1"/>
  <c r="AV53" i="4"/>
  <c r="AV46" i="4"/>
  <c r="AV12" i="4"/>
  <c r="AV27" i="4"/>
  <c r="H672" i="97" s="1"/>
  <c r="AJ35" i="4"/>
  <c r="AJ25" i="4"/>
  <c r="AJ38" i="4"/>
  <c r="AJ13" i="4"/>
  <c r="AJ42" i="4"/>
  <c r="AJ26" i="4"/>
  <c r="H490" i="97" s="1"/>
  <c r="AJ17" i="4"/>
  <c r="AJ45" i="4"/>
  <c r="AJ52" i="4"/>
  <c r="AJ6" i="4"/>
  <c r="AJ49" i="4"/>
  <c r="AJ18" i="4"/>
  <c r="AJ27" i="4"/>
  <c r="H492" i="97" s="1"/>
  <c r="AJ32" i="4"/>
  <c r="AJ44" i="4"/>
  <c r="AJ51" i="4"/>
  <c r="AJ53" i="4"/>
  <c r="AJ36" i="4"/>
  <c r="AJ10" i="4"/>
  <c r="AJ19" i="4"/>
  <c r="AJ9" i="4"/>
  <c r="H489" i="97" s="1"/>
  <c r="AJ24" i="4"/>
  <c r="AJ50" i="4"/>
  <c r="AJ40" i="4"/>
  <c r="AJ11" i="4"/>
  <c r="AJ16" i="4"/>
  <c r="AJ31" i="4"/>
  <c r="H491" i="97" s="1"/>
  <c r="AJ43" i="4"/>
  <c r="H487" i="97" s="1"/>
  <c r="AJ37" i="4"/>
  <c r="AJ28" i="4"/>
  <c r="H493" i="97" s="1"/>
  <c r="AJ41" i="4"/>
  <c r="AJ46" i="4"/>
  <c r="AJ8" i="4"/>
  <c r="H486" i="97" s="1"/>
  <c r="AJ15" i="4"/>
  <c r="AJ22" i="4"/>
  <c r="AJ29" i="4"/>
  <c r="H494" i="97" s="1"/>
  <c r="AJ12" i="4"/>
  <c r="AJ34" i="4"/>
  <c r="H488" i="97" s="1"/>
  <c r="AJ48" i="4"/>
  <c r="AJ33" i="4"/>
  <c r="AJ7" i="4"/>
  <c r="AJ14" i="4"/>
  <c r="AJ21" i="4"/>
  <c r="AV52" i="4"/>
  <c r="BY42" i="4"/>
  <c r="I49" i="4"/>
  <c r="AR25" i="4"/>
  <c r="BD9" i="4"/>
  <c r="H789" i="97" s="1"/>
  <c r="BC29" i="4"/>
  <c r="H779" i="97" s="1"/>
  <c r="AQ38" i="4"/>
  <c r="AQ6" i="4"/>
  <c r="AQ20" i="4"/>
  <c r="AQ28" i="4"/>
  <c r="H598" i="97" s="1"/>
  <c r="AQ34" i="4"/>
  <c r="H593" i="97" s="1"/>
  <c r="AQ49" i="4"/>
  <c r="AQ16" i="4"/>
  <c r="AQ39" i="4"/>
  <c r="AQ22" i="4"/>
  <c r="AQ12" i="4"/>
  <c r="AQ19" i="4"/>
  <c r="AQ41" i="4"/>
  <c r="AQ32" i="4"/>
  <c r="AQ31" i="4"/>
  <c r="H596" i="97" s="1"/>
  <c r="AQ45" i="4"/>
  <c r="AQ11" i="4"/>
  <c r="AQ27" i="4"/>
  <c r="H597" i="97" s="1"/>
  <c r="AQ25" i="4"/>
  <c r="AQ8" i="4"/>
  <c r="H591" i="97" s="1"/>
  <c r="AQ23" i="4"/>
  <c r="AQ14" i="4"/>
  <c r="AQ37" i="4"/>
  <c r="AQ52" i="4"/>
  <c r="AQ51" i="4"/>
  <c r="AQ18" i="4"/>
  <c r="AQ15" i="4"/>
  <c r="AQ53" i="4"/>
  <c r="AQ30" i="4"/>
  <c r="AQ44" i="4"/>
  <c r="AQ10" i="4"/>
  <c r="AQ26" i="4"/>
  <c r="H595" i="97" s="1"/>
  <c r="AQ48" i="4"/>
  <c r="AQ7" i="4"/>
  <c r="AQ13" i="4"/>
  <c r="AQ35" i="4"/>
  <c r="AQ42" i="4"/>
  <c r="AQ33" i="4"/>
  <c r="AQ46" i="4"/>
  <c r="AQ29" i="4"/>
  <c r="H599" i="97" s="1"/>
  <c r="AQ9" i="4"/>
  <c r="H594" i="97" s="1"/>
  <c r="AQ24" i="4"/>
  <c r="AQ47" i="4"/>
  <c r="V30" i="4"/>
  <c r="V20" i="4"/>
  <c r="V27" i="4"/>
  <c r="H282" i="97" s="1"/>
  <c r="V34" i="4"/>
  <c r="H278" i="97" s="1"/>
  <c r="V17" i="4"/>
  <c r="V49" i="4"/>
  <c r="V15" i="4"/>
  <c r="V6" i="4"/>
  <c r="V12" i="4"/>
  <c r="V19" i="4"/>
  <c r="V40" i="4"/>
  <c r="V7" i="4"/>
  <c r="V47" i="4"/>
  <c r="V46" i="4"/>
  <c r="V11" i="4"/>
  <c r="V26" i="4"/>
  <c r="H280" i="97" s="1"/>
  <c r="V9" i="4"/>
  <c r="H279" i="97" s="1"/>
  <c r="V32" i="4"/>
  <c r="V14" i="4"/>
  <c r="V37" i="4"/>
  <c r="V44" i="4"/>
  <c r="V52" i="4"/>
  <c r="V18" i="4"/>
  <c r="V24" i="4"/>
  <c r="V48" i="4"/>
  <c r="V38" i="4"/>
  <c r="V45" i="4"/>
  <c r="V10" i="4"/>
  <c r="V50" i="4"/>
  <c r="V16" i="4"/>
  <c r="V39" i="4"/>
  <c r="V22" i="4"/>
  <c r="V21" i="4"/>
  <c r="V35" i="4"/>
  <c r="V42" i="4"/>
  <c r="V33" i="4"/>
  <c r="V8" i="4"/>
  <c r="H276" i="97" s="1"/>
  <c r="V31" i="4"/>
  <c r="H281" i="97" s="1"/>
  <c r="V13" i="4"/>
  <c r="V28" i="4"/>
  <c r="H283" i="97" s="1"/>
  <c r="V25" i="4"/>
  <c r="V23" i="4"/>
  <c r="K47" i="4"/>
  <c r="AW50" i="4"/>
  <c r="BA26" i="4"/>
  <c r="H745" i="97" s="1"/>
  <c r="X26" i="4"/>
  <c r="H310" i="97" s="1"/>
  <c r="AR26" i="4"/>
  <c r="H610" i="97" s="1"/>
  <c r="AE26" i="4"/>
  <c r="H415" i="97" s="1"/>
  <c r="AE52" i="4"/>
  <c r="AE16" i="4"/>
  <c r="AE50" i="4"/>
  <c r="AE17" i="4"/>
  <c r="AE44" i="4"/>
  <c r="AE28" i="4"/>
  <c r="H418" i="97" s="1"/>
  <c r="AE47" i="4"/>
  <c r="AE38" i="4"/>
  <c r="AE30" i="4"/>
  <c r="AE42" i="4"/>
  <c r="AE36" i="4"/>
  <c r="AE19" i="4"/>
  <c r="AE8" i="4"/>
  <c r="H411" i="97" s="1"/>
  <c r="AE39" i="4"/>
  <c r="AE25" i="4"/>
  <c r="AE49" i="4"/>
  <c r="AE9" i="4"/>
  <c r="H414" i="97" s="1"/>
  <c r="AE11" i="4"/>
  <c r="AE32" i="4"/>
  <c r="AE31" i="4"/>
  <c r="H416" i="97" s="1"/>
  <c r="AE13" i="4"/>
  <c r="AE41" i="4"/>
  <c r="AE29" i="4"/>
  <c r="H419" i="97" s="1"/>
  <c r="AE51" i="4"/>
  <c r="AE48" i="4"/>
  <c r="AE23" i="4"/>
  <c r="AE22" i="4"/>
  <c r="AE18" i="4"/>
  <c r="AE34" i="4"/>
  <c r="H413" i="97" s="1"/>
  <c r="AE12" i="4"/>
  <c r="AE10" i="4"/>
  <c r="AE35" i="4"/>
  <c r="AE24" i="4"/>
  <c r="AE53" i="4"/>
  <c r="BB32" i="4"/>
  <c r="AE20" i="4"/>
  <c r="BN38" i="4"/>
  <c r="BN6" i="4"/>
  <c r="BN36" i="4"/>
  <c r="BN22" i="4"/>
  <c r="BN37" i="4"/>
  <c r="BN28" i="4"/>
  <c r="H943" i="97" s="1"/>
  <c r="BN20" i="4"/>
  <c r="BN29" i="4"/>
  <c r="H944" i="97" s="1"/>
  <c r="BN12" i="4"/>
  <c r="BN48" i="4"/>
  <c r="BN53" i="4"/>
  <c r="BN13" i="4"/>
  <c r="BN52" i="4"/>
  <c r="BN44" i="4"/>
  <c r="BN51" i="4"/>
  <c r="K12" i="4"/>
  <c r="K35" i="4"/>
  <c r="K24" i="4"/>
  <c r="K26" i="4"/>
  <c r="H115" i="97" s="1"/>
  <c r="K45" i="4"/>
  <c r="K38" i="4"/>
  <c r="K16" i="4"/>
  <c r="K17" i="4"/>
  <c r="K37" i="4"/>
  <c r="K52" i="4"/>
  <c r="K28" i="4"/>
  <c r="H118" i="97" s="1"/>
  <c r="K25" i="4"/>
  <c r="K30" i="4"/>
  <c r="K44" i="4"/>
  <c r="K19" i="4"/>
  <c r="K8" i="4"/>
  <c r="H111" i="97" s="1"/>
  <c r="K49" i="4"/>
  <c r="K9" i="4"/>
  <c r="H114" i="97" s="1"/>
  <c r="K21" i="4"/>
  <c r="K31" i="4"/>
  <c r="H116" i="97" s="1"/>
  <c r="K23" i="4"/>
  <c r="K36" i="4"/>
  <c r="K11" i="4"/>
  <c r="K50" i="4"/>
  <c r="K27" i="4"/>
  <c r="H117" i="97" s="1"/>
  <c r="K41" i="4"/>
  <c r="K53" i="4"/>
  <c r="K29" i="4"/>
  <c r="H119" i="97" s="1"/>
  <c r="K40" i="4"/>
  <c r="K10" i="4"/>
  <c r="K34" i="4"/>
  <c r="H113" i="97" s="1"/>
  <c r="K46" i="4"/>
  <c r="K6" i="4"/>
  <c r="K20" i="4"/>
  <c r="K43" i="4"/>
  <c r="H112" i="97" s="1"/>
  <c r="K33" i="4"/>
  <c r="AC13" i="4"/>
  <c r="BR51" i="4"/>
  <c r="BR17" i="4"/>
  <c r="BR11" i="4"/>
  <c r="BR42" i="4"/>
  <c r="BR43" i="4"/>
  <c r="H997" i="97" s="1"/>
  <c r="BR8" i="4"/>
  <c r="H996" i="97" s="1"/>
  <c r="BR39" i="4"/>
  <c r="BR21" i="4"/>
  <c r="BR9" i="4"/>
  <c r="H999" i="97" s="1"/>
  <c r="BR45" i="4"/>
  <c r="BR52" i="4"/>
  <c r="BR34" i="4"/>
  <c r="H998" i="97" s="1"/>
  <c r="BR36" i="4"/>
  <c r="BR44" i="4"/>
  <c r="BR49" i="4"/>
  <c r="BR31" i="4"/>
  <c r="H1001" i="97" s="1"/>
  <c r="BR47" i="4"/>
  <c r="BR50" i="4"/>
  <c r="BR35" i="4"/>
  <c r="BR40" i="4"/>
  <c r="BR23" i="4"/>
  <c r="BR38" i="4"/>
  <c r="BR6" i="4"/>
  <c r="BR18" i="4"/>
  <c r="BR33" i="4"/>
  <c r="BR20" i="4"/>
  <c r="BR10" i="4"/>
  <c r="BR25" i="4"/>
  <c r="BR12" i="4"/>
  <c r="BR19" i="4"/>
  <c r="BR16" i="4"/>
  <c r="P6" i="4"/>
  <c r="BL20" i="4"/>
  <c r="AB15" i="4"/>
  <c r="AY39" i="4"/>
  <c r="AM14" i="4"/>
  <c r="U30" i="4"/>
  <c r="BG6" i="4"/>
  <c r="AE14" i="4"/>
  <c r="BL21" i="4"/>
  <c r="BD37" i="4"/>
  <c r="O7" i="4"/>
  <c r="O29" i="4"/>
  <c r="H179" i="97" s="1"/>
  <c r="O28" i="4"/>
  <c r="H178" i="97" s="1"/>
  <c r="O47" i="4"/>
  <c r="O14" i="4"/>
  <c r="O13" i="4"/>
  <c r="O12" i="4"/>
  <c r="O27" i="4"/>
  <c r="H177" i="97" s="1"/>
  <c r="O38" i="4"/>
  <c r="O37" i="4"/>
  <c r="AB39" i="4"/>
  <c r="AZ16" i="4"/>
  <c r="X15" i="4"/>
  <c r="I23" i="4"/>
  <c r="AM15" i="4"/>
  <c r="U39" i="4"/>
  <c r="BL47" i="4"/>
  <c r="BD38" i="4"/>
  <c r="AC9" i="4"/>
  <c r="H384" i="97" s="1"/>
  <c r="R32" i="4"/>
  <c r="BL48" i="4"/>
  <c r="BD23" i="4"/>
  <c r="BG34" i="4"/>
  <c r="H833" i="97" s="1"/>
  <c r="W42" i="4"/>
  <c r="U45" i="4"/>
  <c r="BB29" i="4"/>
  <c r="H764" i="97" s="1"/>
  <c r="AD53" i="4"/>
  <c r="AD6" i="4"/>
  <c r="AD20" i="4"/>
  <c r="AD19" i="4"/>
  <c r="AD12" i="4"/>
  <c r="AD11" i="4"/>
  <c r="AD38" i="4"/>
  <c r="AD37" i="4"/>
  <c r="AD51" i="4"/>
  <c r="AD52" i="4"/>
  <c r="AD29" i="4"/>
  <c r="H404" i="97" s="1"/>
  <c r="AD44" i="4"/>
  <c r="AD43" i="4"/>
  <c r="H397" i="97" s="1"/>
  <c r="AD24" i="4"/>
  <c r="AD47" i="4"/>
  <c r="AD13" i="4"/>
  <c r="AD28" i="4"/>
  <c r="H403" i="97" s="1"/>
  <c r="AD27" i="4"/>
  <c r="H402" i="97" s="1"/>
  <c r="AB48" i="4"/>
  <c r="AC50" i="4"/>
  <c r="BY53" i="4"/>
  <c r="BY28" i="4"/>
  <c r="H1108" i="97" s="1"/>
  <c r="BY11" i="4"/>
  <c r="BY22" i="4"/>
  <c r="BY13" i="4"/>
  <c r="BY12" i="4"/>
  <c r="BY35" i="4"/>
  <c r="X33" i="4"/>
  <c r="K18" i="4"/>
  <c r="AQ36" i="4"/>
  <c r="AV51" i="4"/>
  <c r="I26" i="4"/>
  <c r="H85" i="97" s="1"/>
  <c r="AE27" i="4"/>
  <c r="H417" i="97" s="1"/>
  <c r="BN42" i="4"/>
  <c r="BB39" i="4"/>
  <c r="AC22" i="4"/>
  <c r="U21" i="4"/>
  <c r="AE37" i="4"/>
  <c r="BB30" i="4"/>
  <c r="W28" i="4"/>
  <c r="H298" i="97" s="1"/>
  <c r="BD6" i="4"/>
  <c r="AC15" i="4"/>
  <c r="AZ42" i="4"/>
  <c r="AB14" i="4"/>
  <c r="AZ14" i="4"/>
  <c r="AY38" i="4"/>
  <c r="X21" i="4"/>
  <c r="X51" i="4"/>
  <c r="BR29" i="4"/>
  <c r="H1004" i="97" s="1"/>
  <c r="I13" i="4"/>
  <c r="AM6" i="4"/>
  <c r="BJ37" i="4"/>
  <c r="R37" i="4"/>
  <c r="AE45" i="4"/>
  <c r="BB38" i="4"/>
  <c r="BL28" i="4"/>
  <c r="H913" i="97" s="1"/>
  <c r="O52" i="4"/>
  <c r="BI45" i="4"/>
  <c r="AC32" i="4"/>
  <c r="AY47" i="4"/>
  <c r="AM38" i="4"/>
  <c r="U38" i="4"/>
  <c r="AR6" i="4"/>
  <c r="BL29" i="4"/>
  <c r="H914" i="97" s="1"/>
  <c r="BD45" i="4"/>
  <c r="O49" i="4"/>
  <c r="AL8" i="4"/>
  <c r="H516" i="97" s="1"/>
  <c r="AL46" i="4"/>
  <c r="AL11" i="4"/>
  <c r="AL15" i="4"/>
  <c r="AL49" i="4"/>
  <c r="AL51" i="4"/>
  <c r="AL26" i="4"/>
  <c r="H520" i="97" s="1"/>
  <c r="AL7" i="4"/>
  <c r="AL38" i="4"/>
  <c r="AL41" i="4"/>
  <c r="AL48" i="4"/>
  <c r="AL18" i="4"/>
  <c r="AL30" i="4"/>
  <c r="AL33" i="4"/>
  <c r="AL40" i="4"/>
  <c r="AL43" i="4"/>
  <c r="H517" i="97" s="1"/>
  <c r="AL10" i="4"/>
  <c r="AL47" i="4"/>
  <c r="AL22" i="4"/>
  <c r="AL45" i="4"/>
  <c r="AL20" i="4"/>
  <c r="AL25" i="4"/>
  <c r="AL32" i="4"/>
  <c r="AL35" i="4"/>
  <c r="AL50" i="4"/>
  <c r="AL39" i="4"/>
  <c r="AL14" i="4"/>
  <c r="AL37" i="4"/>
  <c r="AL12" i="4"/>
  <c r="AL16" i="4"/>
  <c r="AL27" i="4"/>
  <c r="H522" i="97" s="1"/>
  <c r="AL9" i="4"/>
  <c r="H519" i="97" s="1"/>
  <c r="AL53" i="4"/>
  <c r="AL19" i="4"/>
  <c r="AL34" i="4"/>
  <c r="H518" i="97" s="1"/>
  <c r="AL23" i="4"/>
  <c r="AL21" i="4"/>
  <c r="X31" i="4"/>
  <c r="H311" i="97" s="1"/>
  <c r="AM31" i="4"/>
  <c r="H536" i="97" s="1"/>
  <c r="U48" i="4"/>
  <c r="R39" i="4"/>
  <c r="BL53" i="4"/>
  <c r="O30" i="4"/>
  <c r="AY17" i="4"/>
  <c r="P40" i="4"/>
  <c r="W7" i="4"/>
  <c r="AY20" i="4"/>
  <c r="P35" i="4"/>
  <c r="U35" i="4"/>
  <c r="BB43" i="4"/>
  <c r="H757" i="97" s="1"/>
  <c r="O42" i="4"/>
  <c r="AT27" i="4"/>
  <c r="H642" i="97" s="1"/>
  <c r="AT13" i="4"/>
  <c r="AT19" i="4"/>
  <c r="AT26" i="4"/>
  <c r="H640" i="97" s="1"/>
  <c r="AT28" i="4"/>
  <c r="H643" i="97" s="1"/>
  <c r="AT9" i="4"/>
  <c r="H639" i="97" s="1"/>
  <c r="AT48" i="4"/>
  <c r="AT47" i="4"/>
  <c r="AT11" i="4"/>
  <c r="AT18" i="4"/>
  <c r="AT6" i="4"/>
  <c r="AT20" i="4"/>
  <c r="AT51" i="4"/>
  <c r="AT10" i="4"/>
  <c r="AT45" i="4"/>
  <c r="AT12" i="4"/>
  <c r="AT49" i="4"/>
  <c r="AT32" i="4"/>
  <c r="AT50" i="4"/>
  <c r="AT37" i="4"/>
  <c r="AT41" i="4"/>
  <c r="AT24" i="4"/>
  <c r="AT31" i="4"/>
  <c r="H641" i="97" s="1"/>
  <c r="AT35" i="4"/>
  <c r="AT34" i="4"/>
  <c r="H638" i="97" s="1"/>
  <c r="AT21" i="4"/>
  <c r="AT36" i="4"/>
  <c r="AT17" i="4"/>
  <c r="AT8" i="4"/>
  <c r="H636" i="97" s="1"/>
  <c r="AX6" i="4"/>
  <c r="AX36" i="4"/>
  <c r="AX25" i="4"/>
  <c r="AX45" i="4"/>
  <c r="AX17" i="4"/>
  <c r="AX8" i="4"/>
  <c r="H696" i="97" s="1"/>
  <c r="AX7" i="4"/>
  <c r="AX37" i="4"/>
  <c r="AX28" i="4"/>
  <c r="H703" i="97" s="1"/>
  <c r="AX20" i="4"/>
  <c r="AX9" i="4"/>
  <c r="H699" i="97" s="1"/>
  <c r="AX48" i="4"/>
  <c r="AX47" i="4"/>
  <c r="AX29" i="4"/>
  <c r="H704" i="97" s="1"/>
  <c r="AX12" i="4"/>
  <c r="AX40" i="4"/>
  <c r="AX39" i="4"/>
  <c r="AX44" i="4"/>
  <c r="AX33" i="4"/>
  <c r="AX16" i="4"/>
  <c r="AD49" i="4"/>
  <c r="O16" i="4"/>
  <c r="AM9" i="4"/>
  <c r="H534" i="97" s="1"/>
  <c r="BG33" i="4"/>
  <c r="BB25" i="4"/>
  <c r="AK37" i="4"/>
  <c r="BJ26" i="4"/>
  <c r="H880" i="97" s="1"/>
  <c r="AY31" i="4"/>
  <c r="H716" i="97" s="1"/>
  <c r="AY21" i="4"/>
  <c r="BB48" i="4"/>
  <c r="AE43" i="4"/>
  <c r="H412" i="97" s="1"/>
  <c r="BN33" i="4"/>
  <c r="AB27" i="4"/>
  <c r="H372" i="97" s="1"/>
  <c r="AB51" i="4"/>
  <c r="AB36" i="4"/>
  <c r="AB17" i="4"/>
  <c r="AB19" i="4"/>
  <c r="AB26" i="4"/>
  <c r="H370" i="97" s="1"/>
  <c r="AB37" i="4"/>
  <c r="AB11" i="4"/>
  <c r="AB18" i="4"/>
  <c r="AB28" i="4"/>
  <c r="H373" i="97" s="1"/>
  <c r="AB9" i="4"/>
  <c r="H369" i="97" s="1"/>
  <c r="AB10" i="4"/>
  <c r="AB29" i="4"/>
  <c r="H374" i="97" s="1"/>
  <c r="AB20" i="4"/>
  <c r="AB46" i="4"/>
  <c r="AB45" i="4"/>
  <c r="AB42" i="4"/>
  <c r="AB41" i="4"/>
  <c r="AB21" i="4"/>
  <c r="AB12" i="4"/>
  <c r="AB40" i="4"/>
  <c r="AB32" i="4"/>
  <c r="AB35" i="4"/>
  <c r="AB34" i="4"/>
  <c r="H368" i="97" s="1"/>
  <c r="AB53" i="4"/>
  <c r="AB50" i="4"/>
  <c r="AB25" i="4"/>
  <c r="AC38" i="4"/>
  <c r="AZ34" i="4"/>
  <c r="H728" i="97" s="1"/>
  <c r="AZ29" i="4"/>
  <c r="H734" i="97" s="1"/>
  <c r="AZ33" i="4"/>
  <c r="AZ27" i="4"/>
  <c r="H732" i="97" s="1"/>
  <c r="AZ21" i="4"/>
  <c r="AZ53" i="4"/>
  <c r="AZ25" i="4"/>
  <c r="AZ24" i="4"/>
  <c r="AZ19" i="4"/>
  <c r="AZ26" i="4"/>
  <c r="H730" i="97" s="1"/>
  <c r="AZ13" i="4"/>
  <c r="AZ49" i="4"/>
  <c r="AZ17" i="4"/>
  <c r="AZ11" i="4"/>
  <c r="AZ18" i="4"/>
  <c r="AZ36" i="4"/>
  <c r="AZ23" i="4"/>
  <c r="AZ10" i="4"/>
  <c r="AZ52" i="4"/>
  <c r="AZ9" i="4"/>
  <c r="H729" i="97" s="1"/>
  <c r="AZ8" i="4"/>
  <c r="H726" i="97" s="1"/>
  <c r="AZ15" i="4"/>
  <c r="AZ48" i="4"/>
  <c r="AZ47" i="4"/>
  <c r="AZ35" i="4"/>
  <c r="AZ12" i="4"/>
  <c r="AZ46" i="4"/>
  <c r="AZ45" i="4"/>
  <c r="AY46" i="4"/>
  <c r="I50" i="4"/>
  <c r="I25" i="4"/>
  <c r="I19" i="4"/>
  <c r="I16" i="4"/>
  <c r="I42" i="4"/>
  <c r="I17" i="4"/>
  <c r="I52" i="4"/>
  <c r="I11" i="4"/>
  <c r="I47" i="4"/>
  <c r="I14" i="4"/>
  <c r="I6" i="4"/>
  <c r="I44" i="4"/>
  <c r="I51" i="4"/>
  <c r="I8" i="4"/>
  <c r="H81" i="97" s="1"/>
  <c r="I34" i="4"/>
  <c r="H83" i="97" s="1"/>
  <c r="I9" i="4"/>
  <c r="I36" i="4"/>
  <c r="I43" i="4"/>
  <c r="H82" i="97" s="1"/>
  <c r="I48" i="4"/>
  <c r="I31" i="4"/>
  <c r="H86" i="97" s="1"/>
  <c r="I53" i="4"/>
  <c r="I18" i="4"/>
  <c r="I41" i="4"/>
  <c r="I20" i="4"/>
  <c r="I10" i="4"/>
  <c r="I33" i="4"/>
  <c r="I12" i="4"/>
  <c r="I27" i="4"/>
  <c r="H87" i="97" s="1"/>
  <c r="I24" i="4"/>
  <c r="I7" i="4"/>
  <c r="BJ6" i="4"/>
  <c r="U37" i="4"/>
  <c r="BG13" i="4"/>
  <c r="R6" i="4"/>
  <c r="AE6" i="4"/>
  <c r="BB45" i="4"/>
  <c r="W36" i="4"/>
  <c r="BI52" i="4"/>
  <c r="AB31" i="4"/>
  <c r="H371" i="97" s="1"/>
  <c r="AC39" i="4"/>
  <c r="X30" i="4"/>
  <c r="I38" i="4"/>
  <c r="AM53" i="4"/>
  <c r="U47" i="4"/>
  <c r="AE46" i="4"/>
  <c r="O21" i="4"/>
  <c r="BI13" i="4"/>
  <c r="AI27" i="4"/>
  <c r="H477" i="97" s="1"/>
  <c r="AI35" i="4"/>
  <c r="AI17" i="4"/>
  <c r="AI24" i="4"/>
  <c r="AI32" i="4"/>
  <c r="AI31" i="4"/>
  <c r="H476" i="97" s="1"/>
  <c r="AI16" i="4"/>
  <c r="AI23" i="4"/>
  <c r="AI22" i="4"/>
  <c r="AI29" i="4"/>
  <c r="H479" i="97" s="1"/>
  <c r="AI28" i="4"/>
  <c r="H478" i="97" s="1"/>
  <c r="AI49" i="4"/>
  <c r="AI9" i="4"/>
  <c r="H474" i="97" s="1"/>
  <c r="AI15" i="4"/>
  <c r="AI14" i="4"/>
  <c r="AI20" i="4"/>
  <c r="AI18" i="4"/>
  <c r="AI19" i="4"/>
  <c r="AI41" i="4"/>
  <c r="AI8" i="4"/>
  <c r="H471" i="97" s="1"/>
  <c r="AI7" i="4"/>
  <c r="AI12" i="4"/>
  <c r="AI10" i="4"/>
  <c r="AI45" i="4"/>
  <c r="AI50" i="4"/>
  <c r="AI11" i="4"/>
  <c r="AI53" i="4"/>
  <c r="AI37" i="4"/>
  <c r="AI25" i="4"/>
  <c r="AI40" i="4"/>
  <c r="AI47" i="4"/>
  <c r="AI38" i="4"/>
  <c r="AI44" i="4"/>
  <c r="AI43" i="4"/>
  <c r="H472" i="97" s="1"/>
  <c r="AI26" i="4"/>
  <c r="H475" i="97" s="1"/>
  <c r="AI33" i="4"/>
  <c r="AI39" i="4"/>
  <c r="AI36" i="4"/>
  <c r="AI13" i="4"/>
  <c r="AZ38" i="4"/>
  <c r="I39" i="4"/>
  <c r="AE7" i="4"/>
  <c r="O46" i="4"/>
  <c r="P49" i="4"/>
  <c r="AR16" i="4"/>
  <c r="AE33" i="4"/>
  <c r="O23" i="4"/>
  <c r="AB43" i="4"/>
  <c r="H367" i="97" s="1"/>
  <c r="AC12" i="4"/>
  <c r="AY29" i="4"/>
  <c r="H719" i="97" s="1"/>
  <c r="U43" i="4"/>
  <c r="H262" i="97" s="1"/>
  <c r="AB13" i="4"/>
  <c r="AR52" i="4"/>
  <c r="BN21" i="4"/>
  <c r="BI22" i="4"/>
  <c r="BA49" i="4"/>
  <c r="BA9" i="4"/>
  <c r="H744" i="97" s="1"/>
  <c r="BA25" i="4"/>
  <c r="BA16" i="4"/>
  <c r="BA47" i="4"/>
  <c r="BA6" i="4"/>
  <c r="BA37" i="4"/>
  <c r="BA29" i="4"/>
  <c r="H749" i="97" s="1"/>
  <c r="BA19" i="4"/>
  <c r="BA50" i="4"/>
  <c r="BA41" i="4"/>
  <c r="BA42" i="4"/>
  <c r="BA39" i="4"/>
  <c r="BA30" i="4"/>
  <c r="BA20" i="4"/>
  <c r="BA11" i="4"/>
  <c r="BA10" i="4"/>
  <c r="BA48" i="4"/>
  <c r="BA8" i="4"/>
  <c r="H741" i="97" s="1"/>
  <c r="BA32" i="4"/>
  <c r="BA46" i="4"/>
  <c r="BA21" i="4"/>
  <c r="BA12" i="4"/>
  <c r="BA51" i="4"/>
  <c r="BA34" i="4"/>
  <c r="H743" i="97" s="1"/>
  <c r="BA27" i="4"/>
  <c r="H747" i="97" s="1"/>
  <c r="BA40" i="4"/>
  <c r="BA23" i="4"/>
  <c r="BA38" i="4"/>
  <c r="BA13" i="4"/>
  <c r="BA15" i="4"/>
  <c r="BA53" i="4"/>
  <c r="BA43" i="4"/>
  <c r="H742" i="97" s="1"/>
  <c r="BA17" i="4"/>
  <c r="BA33" i="4"/>
  <c r="BA22" i="4"/>
  <c r="BA52" i="4"/>
  <c r="BA36" i="4"/>
  <c r="BA18" i="4"/>
  <c r="BA24" i="4"/>
  <c r="BA14" i="4"/>
  <c r="BA45" i="4"/>
  <c r="BA28" i="4"/>
  <c r="H748" i="97" s="1"/>
  <c r="AI48" i="4"/>
  <c r="AJ39" i="4"/>
  <c r="V29" i="4"/>
  <c r="H284" i="97" s="1"/>
  <c r="E58" i="4"/>
  <c r="H4" i="97"/>
  <c r="E8" i="82"/>
  <c r="V53" i="4"/>
  <c r="K22" i="4"/>
  <c r="AY33" i="4"/>
  <c r="BL45" i="4"/>
  <c r="BG8" i="4"/>
  <c r="H831" i="97" s="1"/>
  <c r="BG46" i="4"/>
  <c r="BG38" i="4"/>
  <c r="BG48" i="4"/>
  <c r="BG23" i="4"/>
  <c r="BG30" i="4"/>
  <c r="BG29" i="4"/>
  <c r="H839" i="97" s="1"/>
  <c r="BG22" i="4"/>
  <c r="BG21" i="4"/>
  <c r="BG52" i="4"/>
  <c r="BG40" i="4"/>
  <c r="W25" i="4"/>
  <c r="W32" i="4"/>
  <c r="W11" i="4"/>
  <c r="W39" i="4"/>
  <c r="W17" i="4"/>
  <c r="W24" i="4"/>
  <c r="W52" i="4"/>
  <c r="W26" i="4"/>
  <c r="H295" i="97" s="1"/>
  <c r="W38" i="4"/>
  <c r="W16" i="4"/>
  <c r="W18" i="4"/>
  <c r="W31" i="4"/>
  <c r="H296" i="97" s="1"/>
  <c r="W30" i="4"/>
  <c r="W9" i="4"/>
  <c r="H294" i="97" s="1"/>
  <c r="W43" i="4"/>
  <c r="H292" i="97" s="1"/>
  <c r="W10" i="4"/>
  <c r="W23" i="4"/>
  <c r="W22" i="4"/>
  <c r="W46" i="4"/>
  <c r="W20" i="4"/>
  <c r="W8" i="4"/>
  <c r="H291" i="97" s="1"/>
  <c r="W35" i="4"/>
  <c r="W51" i="4"/>
  <c r="W15" i="4"/>
  <c r="W14" i="4"/>
  <c r="W37" i="4"/>
  <c r="W12" i="4"/>
  <c r="W41" i="4"/>
  <c r="W49" i="4"/>
  <c r="W27" i="4"/>
  <c r="H297" i="97" s="1"/>
  <c r="W33" i="4"/>
  <c r="W40" i="4"/>
  <c r="W19" i="4"/>
  <c r="W34" i="4"/>
  <c r="H293" i="97" s="1"/>
  <c r="W48" i="4"/>
  <c r="W53" i="4"/>
  <c r="W21" i="4"/>
  <c r="AY8" i="4"/>
  <c r="H711" i="97" s="1"/>
  <c r="X39" i="4"/>
  <c r="BR7" i="4"/>
  <c r="P7" i="4"/>
  <c r="BJ23" i="4"/>
  <c r="AE15" i="4"/>
  <c r="O53" i="4"/>
  <c r="BR24" i="4"/>
  <c r="AE40" i="4"/>
  <c r="O31" i="4"/>
  <c r="H176" i="97" s="1"/>
  <c r="AC20" i="4"/>
  <c r="BR27" i="4"/>
  <c r="H1002" i="97" s="1"/>
  <c r="R43" i="4"/>
  <c r="H217" i="97" s="1"/>
  <c r="AC30" i="4"/>
  <c r="X36" i="4"/>
  <c r="AM36" i="4"/>
  <c r="AX42" i="4"/>
  <c r="AZ40" i="4"/>
  <c r="BN7" i="4"/>
  <c r="AT43" i="4"/>
  <c r="H637" i="97" s="1"/>
  <c r="BL49" i="4"/>
  <c r="AL24" i="4"/>
  <c r="R41" i="4"/>
  <c r="BL41" i="4"/>
  <c r="AL17" i="4"/>
  <c r="AI34" i="4"/>
  <c r="H473" i="97" s="1"/>
  <c r="BY8" i="4"/>
  <c r="H1101" i="97" s="1"/>
  <c r="AI51" i="4"/>
  <c r="AQ21" i="4"/>
  <c r="K13" i="4"/>
  <c r="P26" i="4"/>
  <c r="H190" i="97" s="1"/>
  <c r="AC33" i="4"/>
  <c r="AY24" i="4"/>
  <c r="BJ31" i="4"/>
  <c r="H881" i="97" s="1"/>
  <c r="R47" i="4"/>
  <c r="BT49" i="4"/>
  <c r="AY9" i="4"/>
  <c r="H714" i="97" s="1"/>
  <c r="X8" i="4"/>
  <c r="H306" i="97" s="1"/>
  <c r="BJ49" i="4"/>
  <c r="R16" i="4"/>
  <c r="O15" i="4"/>
  <c r="BT28" i="4"/>
  <c r="H1033" i="97" s="1"/>
  <c r="AY12" i="4"/>
  <c r="X19" i="4"/>
  <c r="AU19" i="4"/>
  <c r="BJ27" i="4"/>
  <c r="H882" i="97" s="1"/>
  <c r="BG36" i="4"/>
  <c r="R35" i="4"/>
  <c r="BE34" i="4"/>
  <c r="H803" i="97" s="1"/>
  <c r="O34" i="4"/>
  <c r="H173" i="97" s="1"/>
  <c r="BM37" i="4"/>
  <c r="Y37" i="4"/>
  <c r="AC21" i="4"/>
  <c r="BO45" i="4"/>
  <c r="BT29" i="4"/>
  <c r="H1034" i="97" s="1"/>
  <c r="AY13" i="4"/>
  <c r="X28" i="4"/>
  <c r="H313" i="97" s="1"/>
  <c r="BG44" i="4"/>
  <c r="R52" i="4"/>
  <c r="BE19" i="4"/>
  <c r="O19" i="4"/>
  <c r="BU37" i="4"/>
  <c r="BV29" i="4"/>
  <c r="H1064" i="97" s="1"/>
  <c r="BS36" i="4"/>
  <c r="F20" i="4"/>
  <c r="AA44" i="4"/>
  <c r="BN46" i="4"/>
  <c r="BV53" i="4"/>
  <c r="AV37" i="4"/>
  <c r="BS45" i="4"/>
  <c r="F53" i="4"/>
  <c r="AA13" i="4"/>
  <c r="BF29" i="4"/>
  <c r="H824" i="97" s="1"/>
  <c r="BM34" i="4"/>
  <c r="H923" i="97" s="1"/>
  <c r="AX34" i="4"/>
  <c r="H698" i="97" s="1"/>
  <c r="Y34" i="4"/>
  <c r="H323" i="97" s="1"/>
  <c r="AC25" i="4"/>
  <c r="T31" i="4"/>
  <c r="H251" i="97" s="1"/>
  <c r="BN47" i="4"/>
  <c r="BV15" i="4"/>
  <c r="AW30" i="4"/>
  <c r="AV47" i="4"/>
  <c r="F14" i="4"/>
  <c r="L38" i="4"/>
  <c r="AA22" i="4"/>
  <c r="BY14" i="4"/>
  <c r="M47" i="4"/>
  <c r="AH30" i="4"/>
  <c r="AX35" i="4"/>
  <c r="Y35" i="4"/>
  <c r="AC35" i="4"/>
  <c r="BO35" i="4"/>
  <c r="BE48" i="4"/>
  <c r="O8" i="4"/>
  <c r="H171" i="97" s="1"/>
  <c r="T24" i="4"/>
  <c r="BN40" i="4"/>
  <c r="BU48" i="4"/>
  <c r="BV8" i="4"/>
  <c r="H1056" i="97" s="1"/>
  <c r="AW15" i="4"/>
  <c r="AV23" i="4"/>
  <c r="BS31" i="4"/>
  <c r="H1016" i="97" s="1"/>
  <c r="AD39" i="4"/>
  <c r="BX7" i="4"/>
  <c r="Q20" i="4"/>
  <c r="X17" i="4"/>
  <c r="AU26" i="4"/>
  <c r="H655" i="97" s="1"/>
  <c r="BG17" i="4"/>
  <c r="R25" i="4"/>
  <c r="BE41" i="4"/>
  <c r="T17" i="4"/>
  <c r="BN17" i="4"/>
  <c r="BU25" i="4"/>
  <c r="BV41" i="4"/>
  <c r="AW49" i="4"/>
  <c r="BS8" i="4"/>
  <c r="H1011" i="97" s="1"/>
  <c r="AD16" i="4"/>
  <c r="L23" i="4"/>
  <c r="AA32" i="4"/>
  <c r="BF39" i="4"/>
  <c r="M7" i="4"/>
  <c r="AH23" i="4"/>
  <c r="BX16" i="4"/>
  <c r="L24" i="4"/>
  <c r="AA33" i="4"/>
  <c r="BF40" i="4"/>
  <c r="BY49" i="4"/>
  <c r="AH8" i="4"/>
  <c r="H456" i="97" s="1"/>
  <c r="BN43" i="4"/>
  <c r="H937" i="97" s="1"/>
  <c r="BU43" i="4"/>
  <c r="H1042" i="97" s="1"/>
  <c r="AG40" i="4"/>
  <c r="AG35" i="4"/>
  <c r="S29" i="4"/>
  <c r="H239" i="97" s="1"/>
  <c r="AG52" i="4"/>
  <c r="AN29" i="4"/>
  <c r="H554" i="97" s="1"/>
  <c r="S13" i="4"/>
  <c r="AG21" i="4"/>
  <c r="H6" i="97"/>
  <c r="E34" i="82"/>
  <c r="BK38" i="4"/>
  <c r="BF18" i="4"/>
  <c r="S46" i="4"/>
  <c r="AW18" i="4"/>
  <c r="AH18" i="4"/>
  <c r="AN14" i="4"/>
  <c r="AP46" i="4"/>
  <c r="AV26" i="4"/>
  <c r="H670" i="97" s="1"/>
  <c r="AA25" i="4"/>
  <c r="BY26" i="4"/>
  <c r="H1105" i="97" s="1"/>
  <c r="M50" i="4"/>
  <c r="AS14" i="4"/>
  <c r="AP14" i="4"/>
  <c r="AG30" i="4"/>
  <c r="BX34" i="4"/>
  <c r="H1088" i="97" s="1"/>
  <c r="BH15" i="4"/>
  <c r="AW33" i="4"/>
  <c r="AV41" i="4"/>
  <c r="BS49" i="4"/>
  <c r="AD9" i="4"/>
  <c r="H399" i="97" s="1"/>
  <c r="BX9" i="4"/>
  <c r="H1089" i="97" s="1"/>
  <c r="AA17" i="4"/>
  <c r="BY17" i="4"/>
  <c r="AO30" i="4"/>
  <c r="Z30" i="4"/>
  <c r="BH30" i="4"/>
  <c r="K14" i="4"/>
  <c r="AD50" i="4"/>
  <c r="M27" i="4"/>
  <c r="H147" i="97" s="1"/>
  <c r="BT10" i="4"/>
  <c r="H10" i="4"/>
  <c r="AY10" i="4"/>
  <c r="X10" i="4"/>
  <c r="AU10" i="4"/>
  <c r="BJ10" i="4"/>
  <c r="BG10" i="4"/>
  <c r="R10" i="4"/>
  <c r="BN34" i="4"/>
  <c r="H938" i="97" s="1"/>
  <c r="BU34" i="4"/>
  <c r="H1043" i="97" s="1"/>
  <c r="BV34" i="4"/>
  <c r="H1058" i="97" s="1"/>
  <c r="F26" i="4"/>
  <c r="H40" i="97" s="1"/>
  <c r="L26" i="4"/>
  <c r="H130" i="97" s="1"/>
  <c r="BY18" i="4"/>
  <c r="AC42" i="4"/>
  <c r="BO42" i="4"/>
  <c r="BV23" i="4"/>
  <c r="Q35" i="4"/>
  <c r="BM35" i="4"/>
  <c r="AX43" i="4"/>
  <c r="H697" i="97" s="1"/>
  <c r="Y43" i="4"/>
  <c r="H322" i="97" s="1"/>
  <c r="AC43" i="4"/>
  <c r="H382" i="97" s="1"/>
  <c r="BO43" i="4"/>
  <c r="H952" i="97" s="1"/>
  <c r="F39" i="4"/>
  <c r="Q28" i="4"/>
  <c r="H208" i="97" s="1"/>
  <c r="X25" i="4"/>
  <c r="BJ9" i="4"/>
  <c r="H879" i="97" s="1"/>
  <c r="BG25" i="4"/>
  <c r="R33" i="4"/>
  <c r="BE49" i="4"/>
  <c r="O9" i="4"/>
  <c r="H174" i="97" s="1"/>
  <c r="BN25" i="4"/>
  <c r="BU33" i="4"/>
  <c r="BV49" i="4"/>
  <c r="AV8" i="4"/>
  <c r="H666" i="97" s="1"/>
  <c r="F16" i="4"/>
  <c r="L31" i="4"/>
  <c r="H131" i="97" s="1"/>
  <c r="AA39" i="4"/>
  <c r="BF47" i="4"/>
  <c r="M15" i="4"/>
  <c r="AH31" i="4"/>
  <c r="H461" i="97" s="1"/>
  <c r="BX24" i="4"/>
  <c r="L32" i="4"/>
  <c r="AA40" i="4"/>
  <c r="BF48" i="4"/>
  <c r="M8" i="4"/>
  <c r="H141" i="97" s="1"/>
  <c r="BT51" i="4"/>
  <c r="H51" i="4"/>
  <c r="AY51" i="4"/>
  <c r="BV51" i="4"/>
  <c r="BK13" i="4"/>
  <c r="BY41" i="4"/>
  <c r="AG38" i="4"/>
  <c r="AV10" i="4"/>
  <c r="BY34" i="4"/>
  <c r="H1103" i="97" s="1"/>
  <c r="AV34" i="4"/>
  <c r="H668" i="97" s="1"/>
  <c r="BX26" i="4"/>
  <c r="H1090" i="97" s="1"/>
  <c r="AH17" i="4"/>
  <c r="BF42" i="4"/>
  <c r="AH49" i="4"/>
  <c r="AW41" i="4"/>
  <c r="AV50" i="4"/>
  <c r="F9" i="4"/>
  <c r="H39" i="97" s="1"/>
  <c r="L17" i="4"/>
  <c r="AA26" i="4"/>
  <c r="H355" i="97" s="1"/>
  <c r="BF17" i="4"/>
  <c r="M17" i="4"/>
  <c r="AN22" i="4"/>
  <c r="BX10" i="4"/>
  <c r="BT18" i="4"/>
  <c r="H18" i="4"/>
  <c r="AY18" i="4"/>
  <c r="X18" i="4"/>
  <c r="AU18" i="4"/>
  <c r="BJ18" i="4"/>
  <c r="BG18" i="4"/>
  <c r="R18" i="4"/>
  <c r="M42" i="4"/>
  <c r="X14" i="4"/>
  <c r="BJ38" i="4"/>
  <c r="BE21" i="4"/>
  <c r="BT16" i="4"/>
  <c r="AY48" i="4"/>
  <c r="BJ48" i="4"/>
  <c r="BG7" i="4"/>
  <c r="R15" i="4"/>
  <c r="BE30" i="4"/>
  <c r="BM33" i="4"/>
  <c r="Y9" i="4"/>
  <c r="H324" i="97" s="1"/>
  <c r="H17" i="4"/>
  <c r="AY26" i="4"/>
  <c r="H715" i="97" s="1"/>
  <c r="X24" i="4"/>
  <c r="AU33" i="4"/>
  <c r="BG32" i="4"/>
  <c r="R40" i="4"/>
  <c r="BE23" i="4"/>
  <c r="Q21" i="4"/>
  <c r="BM52" i="4"/>
  <c r="Y20" i="4"/>
  <c r="AC29" i="4"/>
  <c r="H389" i="97" s="1"/>
  <c r="BO36" i="4"/>
  <c r="BT44" i="4"/>
  <c r="H28" i="4"/>
  <c r="H73" i="97" s="1"/>
  <c r="X35" i="4"/>
  <c r="AU35" i="4"/>
  <c r="BJ44" i="4"/>
  <c r="BG51" i="4"/>
  <c r="R51" i="4"/>
  <c r="BE50" i="4"/>
  <c r="O50" i="4"/>
  <c r="Q53" i="4"/>
  <c r="AC45" i="4"/>
  <c r="BT45" i="4"/>
  <c r="AY37" i="4"/>
  <c r="X45" i="4"/>
  <c r="AU6" i="4"/>
  <c r="BJ43" i="4"/>
  <c r="H877" i="97" s="1"/>
  <c r="BG12" i="4"/>
  <c r="R20" i="4"/>
  <c r="BE35" i="4"/>
  <c r="O35" i="4"/>
  <c r="BU20" i="4"/>
  <c r="BS43" i="4"/>
  <c r="H1012" i="97" s="1"/>
  <c r="F43" i="4"/>
  <c r="H37" i="97" s="1"/>
  <c r="BY43" i="4"/>
  <c r="H1102" i="97" s="1"/>
  <c r="BV45" i="4"/>
  <c r="F36" i="4"/>
  <c r="AA12" i="4"/>
  <c r="BF20" i="4"/>
  <c r="BY29" i="4"/>
  <c r="H1109" i="97" s="1"/>
  <c r="AH36" i="4"/>
  <c r="BU22" i="4"/>
  <c r="BV14" i="4"/>
  <c r="BS13" i="4"/>
  <c r="F21" i="4"/>
  <c r="AA37" i="4"/>
  <c r="BF45" i="4"/>
  <c r="BY30" i="4"/>
  <c r="AH6" i="4"/>
  <c r="BM50" i="4"/>
  <c r="AX50" i="4"/>
  <c r="Y51" i="4"/>
  <c r="BO10" i="4"/>
  <c r="T44" i="4"/>
  <c r="BN15" i="4"/>
  <c r="BU23" i="4"/>
  <c r="AW53" i="4"/>
  <c r="BS22" i="4"/>
  <c r="F38" i="4"/>
  <c r="AD22" i="4"/>
  <c r="AA38" i="4"/>
  <c r="BF22" i="4"/>
  <c r="M14" i="4"/>
  <c r="AH53" i="4"/>
  <c r="AX51" i="4"/>
  <c r="Y52" i="4"/>
  <c r="AC51" i="4"/>
  <c r="BO51" i="4"/>
  <c r="O24" i="4"/>
  <c r="T39" i="4"/>
  <c r="BN8" i="4"/>
  <c r="H936" i="97" s="1"/>
  <c r="BV24" i="4"/>
  <c r="AV39" i="4"/>
  <c r="BS47" i="4"/>
  <c r="AD7" i="4"/>
  <c r="BX31" i="4"/>
  <c r="H1091" i="97" s="1"/>
  <c r="Q36" i="4"/>
  <c r="X41" i="4"/>
  <c r="AU41" i="4"/>
  <c r="BJ17" i="4"/>
  <c r="BG42" i="4"/>
  <c r="R49" i="4"/>
  <c r="BE9" i="4"/>
  <c r="H804" i="97" s="1"/>
  <c r="O17" i="4"/>
  <c r="T48" i="4"/>
  <c r="BN41" i="4"/>
  <c r="BU49" i="4"/>
  <c r="BV9" i="4"/>
  <c r="H1059" i="97" s="1"/>
  <c r="AV16" i="4"/>
  <c r="BS24" i="4"/>
  <c r="F32" i="4"/>
  <c r="AD40" i="4"/>
  <c r="L45" i="4"/>
  <c r="BF7" i="4"/>
  <c r="BY15" i="4"/>
  <c r="M32" i="4"/>
  <c r="AH39" i="4"/>
  <c r="BX45" i="4"/>
  <c r="L40" i="4"/>
  <c r="BF8" i="4"/>
  <c r="H816" i="97" s="1"/>
  <c r="M16" i="4"/>
  <c r="AH24" i="4"/>
  <c r="BK12" i="4"/>
  <c r="BT19" i="4"/>
  <c r="H19" i="4"/>
  <c r="AY19" i="4"/>
  <c r="BN11" i="4"/>
  <c r="BU11" i="4"/>
  <c r="BV19" i="4"/>
  <c r="AG39" i="4"/>
  <c r="AG8" i="4"/>
  <c r="H441" i="97" s="1"/>
  <c r="AG51" i="4"/>
  <c r="S44" i="4"/>
  <c r="AG20" i="4"/>
  <c r="BH28" i="4"/>
  <c r="H853" i="97" s="1"/>
  <c r="BQ46" i="4"/>
  <c r="AO13" i="4"/>
  <c r="AN45" i="4"/>
  <c r="BK29" i="4"/>
  <c r="H899" i="97" s="1"/>
  <c r="S37" i="4"/>
  <c r="AP21" i="4"/>
  <c r="Z6" i="4"/>
  <c r="AG37" i="4"/>
  <c r="BQ14" i="4"/>
  <c r="BH14" i="4"/>
  <c r="F18" i="4"/>
  <c r="BY51" i="4"/>
  <c r="BY50" i="4"/>
  <c r="BK22" i="4"/>
  <c r="BS26" i="4"/>
  <c r="H1015" i="97" s="1"/>
  <c r="BX42" i="4"/>
  <c r="AG22" i="4"/>
  <c r="BS50" i="4"/>
  <c r="M25" i="4"/>
  <c r="AF21" i="4"/>
  <c r="N13" i="4"/>
  <c r="BH53" i="4"/>
  <c r="N14" i="4"/>
  <c r="BS10" i="4"/>
  <c r="L44" i="4"/>
  <c r="G23" i="4"/>
  <c r="AV9" i="4"/>
  <c r="H669" i="97" s="1"/>
  <c r="F17" i="4"/>
  <c r="AD25" i="4"/>
  <c r="BX25" i="4"/>
  <c r="L33" i="4"/>
  <c r="AA34" i="4"/>
  <c r="H353" i="97" s="1"/>
  <c r="BF33" i="4"/>
  <c r="AH41" i="4"/>
  <c r="BK53" i="4"/>
  <c r="AG53" i="4"/>
  <c r="AW26" i="4"/>
  <c r="H685" i="97" s="1"/>
  <c r="BN50" i="4"/>
  <c r="BU50" i="4"/>
  <c r="AW42" i="4"/>
  <c r="AD26" i="4"/>
  <c r="H400" i="97" s="1"/>
  <c r="AA27" i="4"/>
  <c r="H357" i="97" s="1"/>
  <c r="AC7" i="4"/>
  <c r="X22" i="4"/>
  <c r="BJ47" i="4"/>
  <c r="R14" i="4"/>
  <c r="AC8" i="4"/>
  <c r="H381" i="97" s="1"/>
  <c r="BT24" i="4"/>
  <c r="X7" i="4"/>
  <c r="BG15" i="4"/>
  <c r="R23" i="4"/>
  <c r="BE38" i="4"/>
  <c r="AC17" i="4"/>
  <c r="BT17" i="4"/>
  <c r="H25" i="4"/>
  <c r="X32" i="4"/>
  <c r="AU40" i="4"/>
  <c r="BJ16" i="4"/>
  <c r="BG41" i="4"/>
  <c r="R48" i="4"/>
  <c r="BE31" i="4"/>
  <c r="H806" i="97" s="1"/>
  <c r="O39" i="4"/>
  <c r="Y28" i="4"/>
  <c r="H328" i="97" s="1"/>
  <c r="BO44" i="4"/>
  <c r="BT6" i="4"/>
  <c r="AY36" i="4"/>
  <c r="X43" i="4"/>
  <c r="H307" i="97" s="1"/>
  <c r="AU43" i="4"/>
  <c r="H652" i="97" s="1"/>
  <c r="BJ52" i="4"/>
  <c r="BG11" i="4"/>
  <c r="R11" i="4"/>
  <c r="BE10" i="4"/>
  <c r="O10" i="4"/>
  <c r="BM13" i="4"/>
  <c r="Y13" i="4"/>
  <c r="AC53" i="4"/>
  <c r="BO13" i="4"/>
  <c r="BT53" i="4"/>
  <c r="AY45" i="4"/>
  <c r="X44" i="4"/>
  <c r="BG20" i="4"/>
  <c r="R28" i="4"/>
  <c r="H223" i="97" s="1"/>
  <c r="BE43" i="4"/>
  <c r="H802" i="97" s="1"/>
  <c r="O43" i="4"/>
  <c r="H172" i="97" s="1"/>
  <c r="BU28" i="4"/>
  <c r="H1048" i="97" s="1"/>
  <c r="BV36" i="4"/>
  <c r="AA51" i="4"/>
  <c r="BU13" i="4"/>
  <c r="BV6" i="4"/>
  <c r="BS12" i="4"/>
  <c r="F44" i="4"/>
  <c r="AA20" i="4"/>
  <c r="BF28" i="4"/>
  <c r="H823" i="97" s="1"/>
  <c r="AH44" i="4"/>
  <c r="BN14" i="4"/>
  <c r="BU30" i="4"/>
  <c r="BV22" i="4"/>
  <c r="AV13" i="4"/>
  <c r="BS21" i="4"/>
  <c r="F29" i="4"/>
  <c r="H44" i="97" s="1"/>
  <c r="AA45" i="4"/>
  <c r="BF6" i="4"/>
  <c r="BY37" i="4"/>
  <c r="M53" i="4"/>
  <c r="BM10" i="4"/>
  <c r="AX10" i="4"/>
  <c r="Y10" i="4"/>
  <c r="AC10" i="4"/>
  <c r="BO18" i="4"/>
  <c r="BN23" i="4"/>
  <c r="BU31" i="4"/>
  <c r="H1046" i="97" s="1"/>
  <c r="BV39" i="4"/>
  <c r="AV14" i="4"/>
  <c r="BS30" i="4"/>
  <c r="F46" i="4"/>
  <c r="AD30" i="4"/>
  <c r="AA46" i="4"/>
  <c r="BF30" i="4"/>
  <c r="BY38" i="4"/>
  <c r="M22" i="4"/>
  <c r="Q52" i="4"/>
  <c r="BM51" i="4"/>
  <c r="AX11" i="4"/>
  <c r="Y11" i="4"/>
  <c r="AC11" i="4"/>
  <c r="BO11" i="4"/>
  <c r="BE16" i="4"/>
  <c r="O32" i="4"/>
  <c r="BU16" i="4"/>
  <c r="BV32" i="4"/>
  <c r="AW39" i="4"/>
  <c r="F7" i="4"/>
  <c r="AD15" i="4"/>
  <c r="Q45" i="4"/>
  <c r="X50" i="4"/>
  <c r="AU49" i="4"/>
  <c r="BJ25" i="4"/>
  <c r="BG49" i="4"/>
  <c r="O25" i="4"/>
  <c r="T40" i="4"/>
  <c r="BN49" i="4"/>
  <c r="AW16" i="4"/>
  <c r="AV24" i="4"/>
  <c r="BS32" i="4"/>
  <c r="F40" i="4"/>
  <c r="AD48" i="4"/>
  <c r="L39" i="4"/>
  <c r="BF15" i="4"/>
  <c r="BY23" i="4"/>
  <c r="M39" i="4"/>
  <c r="AH47" i="4"/>
  <c r="BK51" i="4"/>
  <c r="BX40" i="4"/>
  <c r="AA8" i="4"/>
  <c r="H351" i="97" s="1"/>
  <c r="BY16" i="4"/>
  <c r="M24" i="4"/>
  <c r="AH32" i="4"/>
  <c r="BK20" i="4"/>
  <c r="BT27" i="4"/>
  <c r="H1032" i="97" s="1"/>
  <c r="H27" i="4"/>
  <c r="H72" i="97" s="1"/>
  <c r="AY28" i="4"/>
  <c r="H718" i="97" s="1"/>
  <c r="BN19" i="4"/>
  <c r="BU19" i="4"/>
  <c r="BV27" i="4"/>
  <c r="H1062" i="97" s="1"/>
  <c r="AG47" i="4"/>
  <c r="AG11" i="4"/>
  <c r="BH11" i="4"/>
  <c r="S52" i="4"/>
  <c r="Z12" i="4"/>
  <c r="AG28" i="4"/>
  <c r="H448" i="97" s="1"/>
  <c r="AO21" i="4"/>
  <c r="AN6" i="4"/>
  <c r="S45" i="4"/>
  <c r="AG45" i="4"/>
  <c r="H9" i="97"/>
  <c r="E31" i="82"/>
  <c r="BH6" i="4"/>
  <c r="AD10" i="4"/>
  <c r="AH42" i="4"/>
  <c r="AH33" i="4"/>
  <c r="BH51" i="4"/>
  <c r="BF10" i="4"/>
  <c r="AS22" i="4"/>
  <c r="AH26" i="4"/>
  <c r="H460" i="97" s="1"/>
  <c r="N21" i="4"/>
  <c r="G13" i="4"/>
  <c r="M26" i="4"/>
  <c r="H145" i="97" s="1"/>
  <c r="AO46" i="4"/>
  <c r="N53" i="4"/>
  <c r="F34" i="4"/>
  <c r="H38" i="97" s="1"/>
  <c r="AA50" i="4"/>
  <c r="AW9" i="4"/>
  <c r="H684" i="97" s="1"/>
  <c r="BS17" i="4"/>
  <c r="F25" i="4"/>
  <c r="AD33" i="4"/>
  <c r="BX33" i="4"/>
  <c r="L47" i="4"/>
  <c r="BF41" i="4"/>
  <c r="BQ22" i="4"/>
  <c r="BW6" i="4"/>
  <c r="AA18" i="4"/>
  <c r="BT34" i="4"/>
  <c r="H1028" i="97" s="1"/>
  <c r="H34" i="4"/>
  <c r="H68" i="97" s="1"/>
  <c r="AY34" i="4"/>
  <c r="H713" i="97" s="1"/>
  <c r="X34" i="4"/>
  <c r="H308" i="97" s="1"/>
  <c r="AU34" i="4"/>
  <c r="H653" i="97" s="1"/>
  <c r="BJ34" i="4"/>
  <c r="H878" i="97" s="1"/>
  <c r="BG35" i="4"/>
  <c r="R34" i="4"/>
  <c r="H218" i="97" s="1"/>
  <c r="BN10" i="4"/>
  <c r="BU10" i="4"/>
  <c r="BV10" i="4"/>
  <c r="AV18" i="4"/>
  <c r="BH7" i="4"/>
  <c r="AC26" i="4"/>
  <c r="H385" i="97" s="1"/>
  <c r="AY25" i="4"/>
  <c r="X40" i="4"/>
  <c r="BJ24" i="4"/>
  <c r="AC36" i="4"/>
  <c r="AY44" i="4"/>
  <c r="BG19" i="4"/>
  <c r="R19" i="4"/>
  <c r="BE18" i="4"/>
  <c r="O18" i="4"/>
  <c r="H13" i="4"/>
  <c r="AY53" i="4"/>
  <c r="AU12" i="4"/>
  <c r="BJ12" i="4"/>
  <c r="BG28" i="4"/>
  <c r="H838" i="97" s="1"/>
  <c r="F52" i="4"/>
  <c r="AA29" i="4"/>
  <c r="H359" i="97" s="1"/>
  <c r="BY36" i="4"/>
  <c r="BU38" i="4"/>
  <c r="BV30" i="4"/>
  <c r="BS29" i="4"/>
  <c r="H1019" i="97" s="1"/>
  <c r="AA53" i="4"/>
  <c r="BY46" i="4"/>
  <c r="AH13" i="4"/>
  <c r="BM18" i="4"/>
  <c r="AX18" i="4"/>
  <c r="Y18" i="4"/>
  <c r="AC18" i="4"/>
  <c r="BO27" i="4"/>
  <c r="H957" i="97" s="1"/>
  <c r="BN31" i="4"/>
  <c r="H941" i="97" s="1"/>
  <c r="BV47" i="4"/>
  <c r="AV22" i="4"/>
  <c r="BS38" i="4"/>
  <c r="F6" i="4"/>
  <c r="AA6" i="4"/>
  <c r="BF38" i="4"/>
  <c r="BY47" i="4"/>
  <c r="Q11" i="4"/>
  <c r="BM11" i="4"/>
  <c r="AX19" i="4"/>
  <c r="Y19" i="4"/>
  <c r="AC19" i="4"/>
  <c r="BO19" i="4"/>
  <c r="BE24" i="4"/>
  <c r="O40" i="4"/>
  <c r="T8" i="4"/>
  <c r="H246" i="97" s="1"/>
  <c r="BN16" i="4"/>
  <c r="BU24" i="4"/>
  <c r="BV40" i="4"/>
  <c r="AW48" i="4"/>
  <c r="BS7" i="4"/>
  <c r="F15" i="4"/>
  <c r="AD23" i="4"/>
  <c r="Q44" i="4"/>
  <c r="AU9" i="4"/>
  <c r="H654" i="97" s="1"/>
  <c r="BJ33" i="4"/>
  <c r="R9" i="4"/>
  <c r="H219" i="97" s="1"/>
  <c r="BE17" i="4"/>
  <c r="O33" i="4"/>
  <c r="BU9" i="4"/>
  <c r="H1044" i="97" s="1"/>
  <c r="BV17" i="4"/>
  <c r="AW24" i="4"/>
  <c r="AV32" i="4"/>
  <c r="BS40" i="4"/>
  <c r="F48" i="4"/>
  <c r="AA7" i="4"/>
  <c r="BF23" i="4"/>
  <c r="BY32" i="4"/>
  <c r="M48" i="4"/>
  <c r="L8" i="4"/>
  <c r="H126" i="97" s="1"/>
  <c r="BF16" i="4"/>
  <c r="BY25" i="4"/>
  <c r="M33" i="4"/>
  <c r="AH40" i="4"/>
  <c r="BN27" i="4"/>
  <c r="H942" i="97" s="1"/>
  <c r="BU27" i="4"/>
  <c r="H1047" i="97" s="1"/>
  <c r="AG16" i="4"/>
  <c r="AG19" i="4"/>
  <c r="BQ6" i="4"/>
  <c r="BK37" i="4"/>
  <c r="Z13" i="4"/>
  <c r="AG6" i="4"/>
  <c r="H8" i="97"/>
  <c r="E26" i="82"/>
  <c r="AO14" i="4"/>
  <c r="BH31" i="4"/>
  <c r="H851" i="97" s="1"/>
  <c r="BQ31" i="4"/>
  <c r="H986" i="97" s="1"/>
  <c r="AG46" i="4"/>
  <c r="BS42" i="4"/>
  <c r="BY27" i="4"/>
  <c r="H1107" i="97" s="1"/>
  <c r="BQ38" i="4"/>
  <c r="BH13" i="4"/>
  <c r="G21" i="4"/>
  <c r="AN38" i="4"/>
  <c r="BY10" i="4"/>
  <c r="AV17" i="4"/>
  <c r="BS25" i="4"/>
  <c r="F33" i="4"/>
  <c r="AD41" i="4"/>
  <c r="BX46" i="4"/>
  <c r="L41" i="4"/>
  <c r="AA41" i="4"/>
  <c r="BF49" i="4"/>
  <c r="AW51" i="4"/>
  <c r="BF26" i="4"/>
  <c r="H820" i="97" s="1"/>
  <c r="K7" i="4"/>
  <c r="BG43" i="4"/>
  <c r="H832" i="97" s="1"/>
  <c r="BN18" i="4"/>
  <c r="BU18" i="4"/>
  <c r="BV18" i="4"/>
  <c r="BS34" i="4"/>
  <c r="H1013" i="97" s="1"/>
  <c r="AD42" i="4"/>
  <c r="AA42" i="4"/>
  <c r="AC23" i="4"/>
  <c r="AY15" i="4"/>
  <c r="X38" i="4"/>
  <c r="R30" i="4"/>
  <c r="BE37" i="4"/>
  <c r="AC16" i="4"/>
  <c r="BT40" i="4"/>
  <c r="X23" i="4"/>
  <c r="BJ15" i="4"/>
  <c r="BG31" i="4"/>
  <c r="H836" i="97" s="1"/>
  <c r="BE53" i="4"/>
  <c r="O22" i="4"/>
  <c r="Y25" i="4"/>
  <c r="BT33" i="4"/>
  <c r="H41" i="4"/>
  <c r="AY41" i="4"/>
  <c r="X49" i="4"/>
  <c r="BJ32" i="4"/>
  <c r="R8" i="4"/>
  <c r="H216" i="97" s="1"/>
  <c r="BE39" i="4"/>
  <c r="Q37" i="4"/>
  <c r="BM20" i="4"/>
  <c r="Y36" i="4"/>
  <c r="AC44" i="4"/>
  <c r="BT12" i="4"/>
  <c r="H44" i="4"/>
  <c r="AY52" i="4"/>
  <c r="X52" i="4"/>
  <c r="AU51" i="4"/>
  <c r="BJ11" i="4"/>
  <c r="BG27" i="4"/>
  <c r="H837" i="97" s="1"/>
  <c r="R27" i="4"/>
  <c r="H222" i="97" s="1"/>
  <c r="BE26" i="4"/>
  <c r="H805" i="97" s="1"/>
  <c r="O26" i="4"/>
  <c r="H175" i="97" s="1"/>
  <c r="Q14" i="4"/>
  <c r="BO30" i="4"/>
  <c r="BT13" i="4"/>
  <c r="H21" i="4"/>
  <c r="H8" i="4"/>
  <c r="H66" i="97" s="1"/>
  <c r="X12" i="4"/>
  <c r="AU20" i="4"/>
  <c r="BJ20" i="4"/>
  <c r="R36" i="4"/>
  <c r="BE51" i="4"/>
  <c r="O51" i="4"/>
  <c r="BU36" i="4"/>
  <c r="BS11" i="4"/>
  <c r="F11" i="4"/>
  <c r="AA19" i="4"/>
  <c r="BY19" i="4"/>
  <c r="BN45" i="4"/>
  <c r="BU29" i="4"/>
  <c r="H1049" i="97" s="1"/>
  <c r="BV13" i="4"/>
  <c r="AV45" i="4"/>
  <c r="BS28" i="4"/>
  <c r="H1018" i="97" s="1"/>
  <c r="BY45" i="4"/>
  <c r="T45" i="4"/>
  <c r="BN30" i="4"/>
  <c r="BU46" i="4"/>
  <c r="BV38" i="4"/>
  <c r="AW46" i="4"/>
  <c r="AV29" i="4"/>
  <c r="H674" i="97" s="1"/>
  <c r="F37" i="4"/>
  <c r="AD45" i="4"/>
  <c r="L51" i="4"/>
  <c r="BF13" i="4"/>
  <c r="BY52" i="4"/>
  <c r="AH21" i="4"/>
  <c r="BM26" i="4"/>
  <c r="H925" i="97" s="1"/>
  <c r="AX26" i="4"/>
  <c r="H700" i="97" s="1"/>
  <c r="Y26" i="4"/>
  <c r="H325" i="97" s="1"/>
  <c r="AC27" i="4"/>
  <c r="H387" i="97" s="1"/>
  <c r="T15" i="4"/>
  <c r="BU39" i="4"/>
  <c r="AW14" i="4"/>
  <c r="AV30" i="4"/>
  <c r="BS46" i="4"/>
  <c r="AD46" i="4"/>
  <c r="BX38" i="4"/>
  <c r="BF46" i="4"/>
  <c r="BY6" i="4"/>
  <c r="AH14" i="4"/>
  <c r="Q19" i="4"/>
  <c r="BM19" i="4"/>
  <c r="AC28" i="4"/>
  <c r="H388" i="97" s="1"/>
  <c r="BO28" i="4"/>
  <c r="H958" i="97" s="1"/>
  <c r="BE32" i="4"/>
  <c r="O48" i="4"/>
  <c r="BN24" i="4"/>
  <c r="BU32" i="4"/>
  <c r="BV48" i="4"/>
  <c r="AV7" i="4"/>
  <c r="BS15" i="4"/>
  <c r="F23" i="4"/>
  <c r="AD31" i="4"/>
  <c r="H401" i="97" s="1"/>
  <c r="BX39" i="4"/>
  <c r="X9" i="4"/>
  <c r="H309" i="97" s="1"/>
  <c r="BJ41" i="4"/>
  <c r="BG9" i="4"/>
  <c r="H834" i="97" s="1"/>
  <c r="BE25" i="4"/>
  <c r="O41" i="4"/>
  <c r="T9" i="4"/>
  <c r="H249" i="97" s="1"/>
  <c r="BN9" i="4"/>
  <c r="H939" i="97" s="1"/>
  <c r="BV25" i="4"/>
  <c r="AW32" i="4"/>
  <c r="AV40" i="4"/>
  <c r="BS48" i="4"/>
  <c r="AD8" i="4"/>
  <c r="H396" i="97" s="1"/>
  <c r="L7" i="4"/>
  <c r="AA15" i="4"/>
  <c r="BF31" i="4"/>
  <c r="H821" i="97" s="1"/>
  <c r="BY39" i="4"/>
  <c r="AH7" i="4"/>
  <c r="BX8" i="4"/>
  <c r="H1086" i="97" s="1"/>
  <c r="AA16" i="4"/>
  <c r="BF24" i="4"/>
  <c r="BY33" i="4"/>
  <c r="M40" i="4"/>
  <c r="AH48" i="4"/>
  <c r="BT35" i="4"/>
  <c r="H35" i="4"/>
  <c r="AY35" i="4"/>
  <c r="BV35" i="4"/>
  <c r="AG7" i="4"/>
  <c r="AG24" i="4"/>
  <c r="AG27" i="4"/>
  <c r="H447" i="97" s="1"/>
  <c r="S12" i="4"/>
  <c r="Z28" i="4"/>
  <c r="H343" i="97" s="1"/>
  <c r="AG36" i="4"/>
  <c r="BH49" i="4"/>
  <c r="BK45" i="4"/>
  <c r="Z21" i="4"/>
  <c r="H10" i="97"/>
  <c r="E27" i="82"/>
  <c r="AO53" i="4"/>
  <c r="BX18" i="4"/>
  <c r="S31" i="4"/>
  <c r="H236" i="97" s="1"/>
  <c r="AD34" i="4"/>
  <c r="H398" i="97" s="1"/>
  <c r="BY24" i="4"/>
  <c r="S14" i="4"/>
  <c r="AH50" i="4"/>
  <c r="BH21" i="4"/>
  <c r="M34" i="4"/>
  <c r="H143" i="97" s="1"/>
  <c r="BK30" i="4"/>
  <c r="BH40" i="4"/>
  <c r="AD18" i="4"/>
  <c r="M18" i="4"/>
  <c r="AW17" i="4"/>
  <c r="AV25" i="4"/>
  <c r="BS33" i="4"/>
  <c r="F41" i="4"/>
  <c r="BX41" i="4"/>
  <c r="AA9" i="4"/>
  <c r="H354" i="97" s="1"/>
  <c r="AA49" i="4"/>
  <c r="BY9" i="4"/>
  <c r="H1104" i="97" s="1"/>
  <c r="S38" i="4"/>
  <c r="BS18" i="4"/>
  <c r="K39" i="4"/>
  <c r="BT42" i="4"/>
  <c r="H42" i="4"/>
  <c r="AY42" i="4"/>
  <c r="X42" i="4"/>
  <c r="AU42" i="4"/>
  <c r="BJ42" i="4"/>
  <c r="R42" i="4"/>
  <c r="BN26" i="4"/>
  <c r="H940" i="97" s="1"/>
  <c r="BU26" i="4"/>
  <c r="H1045" i="97" s="1"/>
  <c r="BV26" i="4"/>
  <c r="H1060" i="97" s="1"/>
  <c r="BF34" i="4"/>
  <c r="H818" i="97" s="1"/>
  <c r="K15" i="4"/>
  <c r="AC34" i="4"/>
  <c r="H383" i="97" s="1"/>
  <c r="AY49" i="4"/>
  <c r="BJ40" i="4"/>
  <c r="AC52" i="4"/>
  <c r="X11" i="4"/>
  <c r="BJ19" i="4"/>
  <c r="X20" i="4"/>
  <c r="BJ28" i="4"/>
  <c r="H883" i="97" s="1"/>
  <c r="BG37" i="4"/>
  <c r="R44" i="4"/>
  <c r="BE11" i="4"/>
  <c r="O11" i="4"/>
  <c r="BV46" i="4"/>
  <c r="BN39" i="4"/>
  <c r="BU47" i="4"/>
  <c r="BV7" i="4"/>
  <c r="AV38" i="4"/>
  <c r="BS52" i="4"/>
  <c r="AA14" i="4"/>
  <c r="BF53" i="4"/>
  <c r="AH22" i="4"/>
  <c r="Q27" i="4"/>
  <c r="H207" i="97" s="1"/>
  <c r="BE40" i="4"/>
  <c r="BN32" i="4"/>
  <c r="BU40" i="4"/>
  <c r="AW7" i="4"/>
  <c r="AV15" i="4"/>
  <c r="BS23" i="4"/>
  <c r="F31" i="4"/>
  <c r="H41" i="97" s="1"/>
  <c r="AU17" i="4"/>
  <c r="BJ50" i="4"/>
  <c r="R17" i="4"/>
  <c r="BU17" i="4"/>
  <c r="BV33" i="4"/>
  <c r="AW40" i="4"/>
  <c r="AV49" i="4"/>
  <c r="F8" i="4"/>
  <c r="H36" i="97" s="1"/>
  <c r="L15" i="4"/>
  <c r="AA23" i="4"/>
  <c r="BY48" i="4"/>
  <c r="AH15" i="4"/>
  <c r="L16" i="4"/>
  <c r="AA24" i="4"/>
  <c r="BF32" i="4"/>
  <c r="BY40" i="4"/>
  <c r="BT43" i="4"/>
  <c r="H1027" i="97" s="1"/>
  <c r="H43" i="4"/>
  <c r="H67" i="97" s="1"/>
  <c r="AY43" i="4"/>
  <c r="H712" i="97" s="1"/>
  <c r="S20" i="4"/>
  <c r="AG44" i="4"/>
  <c r="AW34" i="4"/>
  <c r="H683" i="97" s="1"/>
  <c r="AH9" i="4"/>
  <c r="H459" i="97" s="1"/>
  <c r="S53" i="4"/>
  <c r="AW10" i="4"/>
  <c r="BH44" i="4"/>
  <c r="F49" i="4"/>
  <c r="L9" i="4"/>
  <c r="H129" i="97" s="1"/>
  <c r="BF9" i="4"/>
  <c r="H819" i="97" s="1"/>
  <c r="F50" i="4"/>
  <c r="BP43" i="82" l="1"/>
  <c r="BP34" i="82"/>
  <c r="BP9" i="82"/>
  <c r="BP31" i="82"/>
  <c r="BP8" i="82"/>
  <c r="BP28" i="82"/>
  <c r="BP26" i="82"/>
  <c r="BP29" i="82"/>
  <c r="BP27" i="82"/>
  <c r="BZ9" i="4"/>
  <c r="H84" i="97"/>
  <c r="CI51" i="4"/>
  <c r="AF9" i="82"/>
  <c r="N27" i="82"/>
  <c r="AN27" i="82"/>
  <c r="AO27" i="82"/>
  <c r="BQ34" i="82"/>
  <c r="G32" i="82"/>
  <c r="AS34" i="82"/>
  <c r="Z29" i="82"/>
  <c r="BW26" i="82"/>
  <c r="J43" i="82"/>
  <c r="AP34" i="82"/>
  <c r="G17" i="82"/>
  <c r="AP27" i="82"/>
  <c r="J28" i="82"/>
  <c r="AP29" i="82"/>
  <c r="AQ21" i="82"/>
  <c r="BZ11" i="4"/>
  <c r="AP8" i="82"/>
  <c r="AS29" i="82"/>
  <c r="BQ28" i="82"/>
  <c r="AF27" i="82"/>
  <c r="J34" i="82"/>
  <c r="AP28" i="82"/>
  <c r="AS28" i="82"/>
  <c r="J8" i="82"/>
  <c r="J9" i="82"/>
  <c r="AN38" i="82"/>
  <c r="BW9" i="82"/>
  <c r="AP31" i="82"/>
  <c r="AP26" i="82"/>
  <c r="AJ39" i="82"/>
  <c r="G30" i="82"/>
  <c r="G35" i="82"/>
  <c r="J27" i="82"/>
  <c r="G28" i="82"/>
  <c r="J26" i="82"/>
  <c r="AK37" i="82"/>
  <c r="J29" i="82"/>
  <c r="AO34" i="82"/>
  <c r="AS43" i="82"/>
  <c r="AF26" i="82"/>
  <c r="AO28" i="82"/>
  <c r="AS31" i="82"/>
  <c r="N9" i="82"/>
  <c r="N34" i="82"/>
  <c r="BJ42" i="82"/>
  <c r="AO53" i="82"/>
  <c r="G29" i="82"/>
  <c r="AR43" i="82"/>
  <c r="G26" i="82"/>
  <c r="BQ8" i="82"/>
  <c r="G16" i="82"/>
  <c r="AM36" i="82"/>
  <c r="H29" i="82"/>
  <c r="G24" i="82"/>
  <c r="G46" i="82"/>
  <c r="G12" i="82"/>
  <c r="N28" i="82"/>
  <c r="N29" i="82"/>
  <c r="AZ40" i="82"/>
  <c r="BH44" i="82"/>
  <c r="BJ19" i="82"/>
  <c r="BJ20" i="82"/>
  <c r="BJ48" i="82"/>
  <c r="BJ6" i="82"/>
  <c r="BJ37" i="82"/>
  <c r="BJ36" i="82"/>
  <c r="BJ21" i="82"/>
  <c r="BX18" i="82"/>
  <c r="BJ32" i="82"/>
  <c r="BW28" i="82"/>
  <c r="AS27" i="82"/>
  <c r="AS26" i="82"/>
  <c r="BJ16" i="82"/>
  <c r="BJ44" i="82"/>
  <c r="BJ53" i="82"/>
  <c r="BJ15" i="82"/>
  <c r="BJ25" i="82"/>
  <c r="BJ49" i="82"/>
  <c r="BJ45" i="82"/>
  <c r="BJ7" i="82"/>
  <c r="G14" i="82"/>
  <c r="BJ12" i="82"/>
  <c r="BJ18" i="82"/>
  <c r="V43" i="82"/>
  <c r="AR52" i="82"/>
  <c r="BD45" i="82"/>
  <c r="BJ39" i="82"/>
  <c r="BJ46" i="82"/>
  <c r="BJ22" i="82"/>
  <c r="BJ50" i="82"/>
  <c r="BJ40" i="82"/>
  <c r="K39" i="82"/>
  <c r="O41" i="82"/>
  <c r="BM28" i="82"/>
  <c r="BJ33" i="82"/>
  <c r="BJ17" i="82"/>
  <c r="BJ23" i="82"/>
  <c r="BJ30" i="82"/>
  <c r="BJ11" i="82"/>
  <c r="BW8" i="82"/>
  <c r="BW34" i="82"/>
  <c r="BJ24" i="82"/>
  <c r="BJ52" i="82"/>
  <c r="BJ38" i="82"/>
  <c r="BJ10" i="82"/>
  <c r="BJ14" i="82"/>
  <c r="BJ41" i="82"/>
  <c r="G27" i="82"/>
  <c r="BJ47" i="82"/>
  <c r="BJ35" i="82"/>
  <c r="BJ13" i="82"/>
  <c r="BJ51" i="82"/>
  <c r="BL41" i="82"/>
  <c r="F49" i="82"/>
  <c r="BS48" i="82"/>
  <c r="BS9" i="82"/>
  <c r="M18" i="82"/>
  <c r="BK27" i="82"/>
  <c r="N21" i="82"/>
  <c r="AL24" i="82"/>
  <c r="AB13" i="82"/>
  <c r="AY42" i="82"/>
  <c r="S26" i="82"/>
  <c r="T28" i="82"/>
  <c r="AU17" i="82"/>
  <c r="BF27" i="82"/>
  <c r="AA28" i="82"/>
  <c r="BH27" i="82"/>
  <c r="AN28" i="82"/>
  <c r="BQ43" i="82"/>
  <c r="Q29" i="82"/>
  <c r="G22" i="82"/>
  <c r="BS50" i="82"/>
  <c r="BS24" i="82"/>
  <c r="BS47" i="82"/>
  <c r="BS22" i="82"/>
  <c r="BS13" i="82"/>
  <c r="BS27" i="82"/>
  <c r="BI22" i="82"/>
  <c r="BS51" i="82"/>
  <c r="BS37" i="82"/>
  <c r="BN39" i="82"/>
  <c r="AN9" i="82"/>
  <c r="M28" i="82"/>
  <c r="H42" i="82"/>
  <c r="BK30" i="82"/>
  <c r="AG34" i="82"/>
  <c r="T45" i="82"/>
  <c r="BH9" i="82"/>
  <c r="BK26" i="82"/>
  <c r="BS17" i="82"/>
  <c r="AE15" i="82"/>
  <c r="W33" i="82"/>
  <c r="I29" i="82"/>
  <c r="BS20" i="82"/>
  <c r="BS41" i="82"/>
  <c r="BS53" i="82"/>
  <c r="BS42" i="82"/>
  <c r="AG44" i="82"/>
  <c r="BK34" i="82"/>
  <c r="BG37" i="82"/>
  <c r="AN34" i="82"/>
  <c r="BS23" i="82"/>
  <c r="AU29" i="82"/>
  <c r="M31" i="82"/>
  <c r="Z27" i="82"/>
  <c r="BS11" i="82"/>
  <c r="AF34" i="82"/>
  <c r="AF29" i="82"/>
  <c r="BS12" i="82"/>
  <c r="BS10" i="82"/>
  <c r="AG26" i="82"/>
  <c r="BS36" i="82"/>
  <c r="BS14" i="82"/>
  <c r="BS33" i="82"/>
  <c r="BO26" i="82"/>
  <c r="BS25" i="82"/>
  <c r="BS7" i="82"/>
  <c r="BE28" i="82"/>
  <c r="BS49" i="82"/>
  <c r="BS45" i="82"/>
  <c r="V53" i="82"/>
  <c r="BA22" i="82"/>
  <c r="I38" i="82"/>
  <c r="BB45" i="82"/>
  <c r="BS19" i="82"/>
  <c r="BY40" i="82"/>
  <c r="BV33" i="82"/>
  <c r="BS52" i="82"/>
  <c r="BS18" i="82"/>
  <c r="BS15" i="82"/>
  <c r="BS46" i="82"/>
  <c r="BM31" i="82"/>
  <c r="BS6" i="82"/>
  <c r="BS16" i="82"/>
  <c r="AW31" i="82"/>
  <c r="AH15" i="82"/>
  <c r="BV46" i="82"/>
  <c r="BY48" i="82"/>
  <c r="S34" i="82"/>
  <c r="AV38" i="82"/>
  <c r="Z21" i="82"/>
  <c r="AI51" i="82"/>
  <c r="P7" i="82"/>
  <c r="BA45" i="82"/>
  <c r="BS35" i="82"/>
  <c r="BS39" i="82"/>
  <c r="BS44" i="82"/>
  <c r="BS40" i="82"/>
  <c r="BS38" i="82"/>
  <c r="BS30" i="82"/>
  <c r="BS21" i="82"/>
  <c r="J46" i="82"/>
  <c r="BP53" i="82"/>
  <c r="BE40" i="82"/>
  <c r="BU47" i="82"/>
  <c r="R44" i="82"/>
  <c r="X11" i="82"/>
  <c r="BX28" i="82"/>
  <c r="BQ27" i="82"/>
  <c r="BS32" i="82"/>
  <c r="J21" i="82"/>
  <c r="BT9" i="82"/>
  <c r="BT31" i="82"/>
  <c r="BT26" i="82"/>
  <c r="BT8" i="82"/>
  <c r="L15" i="82"/>
  <c r="AW10" i="82"/>
  <c r="AH28" i="82"/>
  <c r="AH27" i="82"/>
  <c r="AU8" i="82"/>
  <c r="AG7" i="82"/>
  <c r="AV40" i="82"/>
  <c r="BU32" i="82"/>
  <c r="AH14" i="82"/>
  <c r="BU39" i="82"/>
  <c r="AH21" i="82"/>
  <c r="BV38" i="82"/>
  <c r="BY45" i="82"/>
  <c r="H21" i="82"/>
  <c r="AC44" i="82"/>
  <c r="AY41" i="82"/>
  <c r="X23" i="82"/>
  <c r="AA42" i="82"/>
  <c r="AO14" i="82"/>
  <c r="AO43" i="82"/>
  <c r="AO9" i="82"/>
  <c r="AO29" i="82"/>
  <c r="AG16" i="82"/>
  <c r="M33" i="82"/>
  <c r="F48" i="82"/>
  <c r="BV40" i="82"/>
  <c r="Y19" i="82"/>
  <c r="AA6" i="82"/>
  <c r="Y18" i="82"/>
  <c r="BU38" i="82"/>
  <c r="BE18" i="82"/>
  <c r="AA18" i="82"/>
  <c r="AH33" i="82"/>
  <c r="G19" i="82"/>
  <c r="BU19" i="82"/>
  <c r="BY16" i="82"/>
  <c r="L39" i="82"/>
  <c r="O25" i="82"/>
  <c r="AV48" i="82"/>
  <c r="Y11" i="82"/>
  <c r="AD30" i="82"/>
  <c r="AC10" i="82"/>
  <c r="BX29" i="82"/>
  <c r="BV36" i="82"/>
  <c r="BT53" i="82"/>
  <c r="BG11" i="82"/>
  <c r="X32" i="82"/>
  <c r="BT24" i="82"/>
  <c r="BN50" i="82"/>
  <c r="BX25" i="82"/>
  <c r="BH53" i="82"/>
  <c r="BK22" i="82"/>
  <c r="Z6" i="82"/>
  <c r="Z43" i="82"/>
  <c r="Z9" i="82"/>
  <c r="BQ46" i="82"/>
  <c r="G8" i="82"/>
  <c r="BN11" i="82"/>
  <c r="L40" i="82"/>
  <c r="BF7" i="82"/>
  <c r="AV16" i="82"/>
  <c r="BG42" i="82"/>
  <c r="AV39" i="82"/>
  <c r="AX51" i="82"/>
  <c r="AW53" i="82"/>
  <c r="BQ26" i="82"/>
  <c r="F21" i="82"/>
  <c r="BF20" i="82"/>
  <c r="X45" i="82"/>
  <c r="R51" i="82"/>
  <c r="X24" i="82"/>
  <c r="R15" i="82"/>
  <c r="X29" i="82"/>
  <c r="S20" i="82"/>
  <c r="AV49" i="82"/>
  <c r="BF53" i="82"/>
  <c r="O11" i="82"/>
  <c r="S12" i="82"/>
  <c r="AA15" i="82"/>
  <c r="F50" i="82"/>
  <c r="AW40" i="82"/>
  <c r="AV15" i="82"/>
  <c r="AA14" i="82"/>
  <c r="AH29" i="82"/>
  <c r="BE11" i="82"/>
  <c r="R42" i="82"/>
  <c r="AV25" i="82"/>
  <c r="BV35" i="82"/>
  <c r="AH48" i="82"/>
  <c r="L7" i="82"/>
  <c r="AW32" i="82"/>
  <c r="BN24" i="82"/>
  <c r="BY6" i="82"/>
  <c r="T15" i="82"/>
  <c r="BY52" i="82"/>
  <c r="BU46" i="82"/>
  <c r="O51" i="82"/>
  <c r="BT13" i="82"/>
  <c r="Y36" i="82"/>
  <c r="H41" i="82"/>
  <c r="BT40" i="82"/>
  <c r="AD42" i="82"/>
  <c r="AW51" i="82"/>
  <c r="AV17" i="82"/>
  <c r="BQ38" i="82"/>
  <c r="N31" i="82"/>
  <c r="BY25" i="82"/>
  <c r="BU24" i="82"/>
  <c r="AX19" i="82"/>
  <c r="F6" i="82"/>
  <c r="AX18" i="82"/>
  <c r="Z8" i="82"/>
  <c r="F52" i="82"/>
  <c r="R19" i="82"/>
  <c r="BG35" i="82"/>
  <c r="BW6" i="82"/>
  <c r="BW29" i="82"/>
  <c r="BW43" i="82"/>
  <c r="AH42" i="82"/>
  <c r="BH11" i="82"/>
  <c r="BH29" i="82"/>
  <c r="BH26" i="82"/>
  <c r="BH43" i="82"/>
  <c r="BN19" i="82"/>
  <c r="AA43" i="82"/>
  <c r="AA31" i="82"/>
  <c r="S27" i="82"/>
  <c r="AD48" i="82"/>
  <c r="BG49" i="82"/>
  <c r="AW39" i="82"/>
  <c r="AX11" i="82"/>
  <c r="F46" i="82"/>
  <c r="Y10" i="82"/>
  <c r="BV6" i="82"/>
  <c r="BO13" i="82"/>
  <c r="H25" i="82"/>
  <c r="AC31" i="82"/>
  <c r="AD25" i="82"/>
  <c r="N13" i="82"/>
  <c r="BY50" i="82"/>
  <c r="AP21" i="82"/>
  <c r="AP9" i="82"/>
  <c r="AY19" i="82"/>
  <c r="BX45" i="82"/>
  <c r="L45" i="82"/>
  <c r="G49" i="82"/>
  <c r="AW7" i="82"/>
  <c r="AY49" i="82"/>
  <c r="S38" i="82"/>
  <c r="AW17" i="82"/>
  <c r="BH21" i="82"/>
  <c r="AY35" i="82"/>
  <c r="M40" i="82"/>
  <c r="BV25" i="82"/>
  <c r="BX39" i="82"/>
  <c r="O48" i="82"/>
  <c r="BF46" i="82"/>
  <c r="BF13" i="82"/>
  <c r="BN30" i="82"/>
  <c r="BY19" i="82"/>
  <c r="BE51" i="82"/>
  <c r="BO30" i="82"/>
  <c r="BM20" i="82"/>
  <c r="BT33" i="82"/>
  <c r="AC16" i="82"/>
  <c r="BF49" i="82"/>
  <c r="BY10" i="82"/>
  <c r="G20" i="82"/>
  <c r="BQ6" i="82"/>
  <c r="BH34" i="82"/>
  <c r="G9" i="82"/>
  <c r="AV32" i="82"/>
  <c r="BN16" i="82"/>
  <c r="BM11" i="82"/>
  <c r="BM18" i="82"/>
  <c r="BG19" i="82"/>
  <c r="BQ22" i="82"/>
  <c r="AA50" i="82"/>
  <c r="AD10" i="82"/>
  <c r="S45" i="82"/>
  <c r="AG11" i="82"/>
  <c r="BX40" i="82"/>
  <c r="F40" i="82"/>
  <c r="BV32" i="82"/>
  <c r="BM51" i="82"/>
  <c r="AX10" i="82"/>
  <c r="AO8" i="82"/>
  <c r="BU13" i="82"/>
  <c r="AC53" i="82"/>
  <c r="AU28" i="82"/>
  <c r="AU27" i="82"/>
  <c r="AU31" i="82"/>
  <c r="O39" i="82"/>
  <c r="BT17" i="82"/>
  <c r="BE29" i="82"/>
  <c r="AG53" i="82"/>
  <c r="F17" i="82"/>
  <c r="AF21" i="82"/>
  <c r="AF8" i="82"/>
  <c r="AF31" i="82"/>
  <c r="AF43" i="82"/>
  <c r="BY51" i="82"/>
  <c r="S37" i="82"/>
  <c r="AF28" i="82"/>
  <c r="AG9" i="82"/>
  <c r="AG29" i="82"/>
  <c r="AG43" i="82"/>
  <c r="AG31" i="82"/>
  <c r="H19" i="82"/>
  <c r="BW27" i="82"/>
  <c r="AH17" i="82"/>
  <c r="BU40" i="82"/>
  <c r="AH50" i="82"/>
  <c r="BK45" i="82"/>
  <c r="H35" i="82"/>
  <c r="BY33" i="82"/>
  <c r="S28" i="82"/>
  <c r="BE32" i="82"/>
  <c r="BX38" i="82"/>
  <c r="L51" i="82"/>
  <c r="AA19" i="82"/>
  <c r="R36" i="82"/>
  <c r="Q14" i="82"/>
  <c r="AU51" i="82"/>
  <c r="Q37" i="82"/>
  <c r="Y25" i="82"/>
  <c r="BE37" i="82"/>
  <c r="BV18" i="82"/>
  <c r="AA41" i="82"/>
  <c r="AG19" i="82"/>
  <c r="L50" i="82"/>
  <c r="L49" i="82"/>
  <c r="L34" i="82"/>
  <c r="L43" i="82"/>
  <c r="L27" i="82"/>
  <c r="AW24" i="82"/>
  <c r="Q44" i="82"/>
  <c r="T18" i="82"/>
  <c r="T35" i="82"/>
  <c r="T43" i="82"/>
  <c r="T37" i="82"/>
  <c r="T34" i="82"/>
  <c r="T27" i="82"/>
  <c r="Q11" i="82"/>
  <c r="Q8" i="82"/>
  <c r="Q43" i="82"/>
  <c r="Q31" i="82"/>
  <c r="Q9" i="82"/>
  <c r="Q26" i="82"/>
  <c r="AV22" i="82"/>
  <c r="AH13" i="82"/>
  <c r="AY44" i="82"/>
  <c r="BH7" i="82"/>
  <c r="BF41" i="82"/>
  <c r="BH6" i="82"/>
  <c r="AN6" i="82"/>
  <c r="G10" i="82"/>
  <c r="BK51" i="82"/>
  <c r="AU49" i="82"/>
  <c r="BU16" i="82"/>
  <c r="Q52" i="82"/>
  <c r="AV14" i="82"/>
  <c r="BM10" i="82"/>
  <c r="AO31" i="82"/>
  <c r="BE8" i="82"/>
  <c r="BE27" i="82"/>
  <c r="Y13" i="82"/>
  <c r="AC17" i="82"/>
  <c r="BK53" i="82"/>
  <c r="M25" i="82"/>
  <c r="F18" i="82"/>
  <c r="AG39" i="82"/>
  <c r="BT19" i="82"/>
  <c r="BN41" i="82"/>
  <c r="X41" i="82"/>
  <c r="T39" i="82"/>
  <c r="BF22" i="82"/>
  <c r="T44" i="82"/>
  <c r="BY30" i="82"/>
  <c r="BU22" i="82"/>
  <c r="BV45" i="82"/>
  <c r="BE35" i="82"/>
  <c r="BT45" i="82"/>
  <c r="AU35" i="82"/>
  <c r="M42" i="82"/>
  <c r="BT18" i="82"/>
  <c r="L17" i="82"/>
  <c r="BM27" i="82"/>
  <c r="BF32" i="82"/>
  <c r="BU17" i="82"/>
  <c r="AU42" i="82"/>
  <c r="AA24" i="82"/>
  <c r="AA23" i="82"/>
  <c r="R17" i="82"/>
  <c r="BN32" i="82"/>
  <c r="BV7" i="82"/>
  <c r="S8" i="82"/>
  <c r="AC52" i="82"/>
  <c r="K15" i="82"/>
  <c r="X42" i="82"/>
  <c r="AA49" i="82"/>
  <c r="AD18" i="82"/>
  <c r="BT35" i="82"/>
  <c r="BF24" i="82"/>
  <c r="F23" i="82"/>
  <c r="AD46" i="82"/>
  <c r="AD45" i="82"/>
  <c r="AV45" i="82"/>
  <c r="F11" i="82"/>
  <c r="T26" i="82"/>
  <c r="X52" i="82"/>
  <c r="BE39" i="82"/>
  <c r="O22" i="82"/>
  <c r="R30" i="82"/>
  <c r="BU18" i="82"/>
  <c r="L41" i="82"/>
  <c r="AG6" i="82"/>
  <c r="G18" i="82"/>
  <c r="M48" i="82"/>
  <c r="Z34" i="82"/>
  <c r="AN26" i="82"/>
  <c r="BV17" i="82"/>
  <c r="AD23" i="82"/>
  <c r="O40" i="82"/>
  <c r="BV47" i="82"/>
  <c r="BY46" i="82"/>
  <c r="AU12" i="82"/>
  <c r="AC36" i="82"/>
  <c r="AV18" i="82"/>
  <c r="L47" i="82"/>
  <c r="N53" i="82"/>
  <c r="AS22" i="82"/>
  <c r="AS8" i="82"/>
  <c r="AO21" i="82"/>
  <c r="AG47" i="82"/>
  <c r="AH47" i="82"/>
  <c r="AV24" i="82"/>
  <c r="X50" i="82"/>
  <c r="O32" i="82"/>
  <c r="M22" i="82"/>
  <c r="BV39" i="82"/>
  <c r="M53" i="82"/>
  <c r="AV13" i="82"/>
  <c r="AH44" i="82"/>
  <c r="BM13" i="82"/>
  <c r="AY36" i="82"/>
  <c r="R48" i="82"/>
  <c r="BE38" i="82"/>
  <c r="R14" i="82"/>
  <c r="AH41" i="82"/>
  <c r="AG20" i="82"/>
  <c r="Z31" i="82"/>
  <c r="BK12" i="82"/>
  <c r="T48" i="82"/>
  <c r="Q36" i="82"/>
  <c r="O24" i="82"/>
  <c r="AA38" i="82"/>
  <c r="BO10" i="82"/>
  <c r="BF45" i="82"/>
  <c r="AN8" i="82"/>
  <c r="AN31" i="82"/>
  <c r="R20" i="82"/>
  <c r="AC45" i="82"/>
  <c r="X35" i="82"/>
  <c r="BE23" i="82"/>
  <c r="BM33" i="82"/>
  <c r="BT16" i="82"/>
  <c r="R18" i="82"/>
  <c r="BX10" i="82"/>
  <c r="BY31" i="82"/>
  <c r="BH49" i="82"/>
  <c r="BH8" i="82"/>
  <c r="AA16" i="82"/>
  <c r="AH7" i="82"/>
  <c r="F37" i="82"/>
  <c r="BV13" i="82"/>
  <c r="AU20" i="82"/>
  <c r="AY52" i="82"/>
  <c r="BE53" i="82"/>
  <c r="X38" i="82"/>
  <c r="BN18" i="82"/>
  <c r="BX46" i="82"/>
  <c r="BH13" i="82"/>
  <c r="AG46" i="82"/>
  <c r="Z13" i="82"/>
  <c r="BK28" i="82"/>
  <c r="BY32" i="82"/>
  <c r="F15" i="82"/>
  <c r="BE24" i="82"/>
  <c r="AA53" i="82"/>
  <c r="BY36" i="82"/>
  <c r="AY53" i="82"/>
  <c r="BV10" i="82"/>
  <c r="BX33" i="82"/>
  <c r="AO46" i="82"/>
  <c r="G15" i="82"/>
  <c r="BK20" i="82"/>
  <c r="M39" i="82"/>
  <c r="AW16" i="82"/>
  <c r="Q45" i="82"/>
  <c r="BE16" i="82"/>
  <c r="BY38" i="82"/>
  <c r="BY37" i="82"/>
  <c r="BV22" i="82"/>
  <c r="AA51" i="82"/>
  <c r="BG20" i="82"/>
  <c r="O10" i="82"/>
  <c r="BT6" i="82"/>
  <c r="BG41" i="82"/>
  <c r="R23" i="82"/>
  <c r="BF33" i="82"/>
  <c r="L44" i="82"/>
  <c r="AG22" i="82"/>
  <c r="BH14" i="82"/>
  <c r="BK43" i="82"/>
  <c r="BK31" i="82"/>
  <c r="BK8" i="82"/>
  <c r="S44" i="82"/>
  <c r="AH39" i="82"/>
  <c r="N26" i="82"/>
  <c r="Z26" i="82"/>
  <c r="AD40" i="82"/>
  <c r="O17" i="82"/>
  <c r="BO51" i="82"/>
  <c r="AD22" i="82"/>
  <c r="Y51" i="82"/>
  <c r="AA37" i="82"/>
  <c r="BG12" i="82"/>
  <c r="Q53" i="82"/>
  <c r="R40" i="82"/>
  <c r="Q34" i="82"/>
  <c r="T29" i="82"/>
  <c r="BG18" i="82"/>
  <c r="BW31" i="82"/>
  <c r="AV50" i="82"/>
  <c r="AX27" i="82"/>
  <c r="L16" i="82"/>
  <c r="S14" i="82"/>
  <c r="S9" i="82"/>
  <c r="S43" i="82"/>
  <c r="BX41" i="82"/>
  <c r="BY24" i="82"/>
  <c r="AG36" i="82"/>
  <c r="BX19" i="82"/>
  <c r="BX27" i="82"/>
  <c r="BY39" i="82"/>
  <c r="BE25" i="82"/>
  <c r="AV7" i="82"/>
  <c r="BM19" i="82"/>
  <c r="AV30" i="82"/>
  <c r="BK9" i="82"/>
  <c r="BU36" i="82"/>
  <c r="X12" i="82"/>
  <c r="H44" i="82"/>
  <c r="AY15" i="82"/>
  <c r="AD41" i="82"/>
  <c r="S6" i="82"/>
  <c r="BF23" i="82"/>
  <c r="AO26" i="82"/>
  <c r="O33" i="82"/>
  <c r="BO19" i="82"/>
  <c r="BY47" i="82"/>
  <c r="H13" i="82"/>
  <c r="X40" i="82"/>
  <c r="BU10" i="82"/>
  <c r="AD33" i="82"/>
  <c r="BF10" i="82"/>
  <c r="Z12" i="82"/>
  <c r="AH32" i="82"/>
  <c r="BY23" i="82"/>
  <c r="BN49" i="82"/>
  <c r="AD15" i="82"/>
  <c r="BO11" i="82"/>
  <c r="BF30" i="82"/>
  <c r="BN23" i="82"/>
  <c r="BF6" i="82"/>
  <c r="BU30" i="82"/>
  <c r="AA20" i="82"/>
  <c r="BX43" i="82"/>
  <c r="X44" i="82"/>
  <c r="BE10" i="82"/>
  <c r="BO44" i="82"/>
  <c r="BG15" i="82"/>
  <c r="BQ29" i="82"/>
  <c r="AG51" i="82"/>
  <c r="BV19" i="82"/>
  <c r="M16" i="82"/>
  <c r="M32" i="82"/>
  <c r="F32" i="82"/>
  <c r="AD7" i="82"/>
  <c r="AC51" i="82"/>
  <c r="F38" i="82"/>
  <c r="AX50" i="82"/>
  <c r="L29" i="82"/>
  <c r="AH36" i="82"/>
  <c r="O50" i="82"/>
  <c r="BT44" i="82"/>
  <c r="BG32" i="82"/>
  <c r="AV10" i="82"/>
  <c r="BH40" i="82"/>
  <c r="S53" i="82"/>
  <c r="F28" i="82"/>
  <c r="F27" i="82"/>
  <c r="AH22" i="82"/>
  <c r="X20" i="82"/>
  <c r="BT42" i="82"/>
  <c r="F41" i="82"/>
  <c r="AG24" i="82"/>
  <c r="BV48" i="82"/>
  <c r="Q19" i="82"/>
  <c r="AW14" i="82"/>
  <c r="AW46" i="82"/>
  <c r="BN45" i="82"/>
  <c r="H30" i="82"/>
  <c r="H36" i="82"/>
  <c r="H9" i="82"/>
  <c r="H26" i="82"/>
  <c r="H31" i="82"/>
  <c r="H11" i="82"/>
  <c r="BT12" i="82"/>
  <c r="X49" i="82"/>
  <c r="AC23" i="82"/>
  <c r="K7" i="82"/>
  <c r="F33" i="82"/>
  <c r="BK37" i="82"/>
  <c r="AH40" i="82"/>
  <c r="AA7" i="82"/>
  <c r="BE17" i="82"/>
  <c r="AW48" i="82"/>
  <c r="AC19" i="82"/>
  <c r="BF38" i="82"/>
  <c r="AC18" i="82"/>
  <c r="BV30" i="82"/>
  <c r="L28" i="82"/>
  <c r="O18" i="82"/>
  <c r="AY25" i="82"/>
  <c r="BN10" i="82"/>
  <c r="F25" i="82"/>
  <c r="G42" i="82"/>
  <c r="G52" i="82"/>
  <c r="G47" i="82"/>
  <c r="G41" i="82"/>
  <c r="G51" i="82"/>
  <c r="G39" i="82"/>
  <c r="G53" i="82"/>
  <c r="G34" i="82"/>
  <c r="G37" i="82"/>
  <c r="G48" i="82"/>
  <c r="G7" i="82"/>
  <c r="G45" i="82"/>
  <c r="G11" i="82"/>
  <c r="G38" i="82"/>
  <c r="G25" i="82"/>
  <c r="G36" i="82"/>
  <c r="G44" i="82"/>
  <c r="G43" i="82"/>
  <c r="G40" i="82"/>
  <c r="G33" i="82"/>
  <c r="G31" i="82"/>
  <c r="BH51" i="82"/>
  <c r="AG45" i="82"/>
  <c r="S52" i="82"/>
  <c r="M24" i="82"/>
  <c r="BF15" i="82"/>
  <c r="T40" i="82"/>
  <c r="F7" i="82"/>
  <c r="AC11" i="82"/>
  <c r="AA46" i="82"/>
  <c r="BO18" i="82"/>
  <c r="AA45" i="82"/>
  <c r="BN14" i="82"/>
  <c r="F44" i="82"/>
  <c r="AY45" i="82"/>
  <c r="R11" i="82"/>
  <c r="AU40" i="82"/>
  <c r="X7" i="82"/>
  <c r="AC7" i="82"/>
  <c r="BU50" i="82"/>
  <c r="L33" i="82"/>
  <c r="N14" i="82"/>
  <c r="N42" i="82"/>
  <c r="N40" i="82"/>
  <c r="N33" i="82"/>
  <c r="N32" i="82"/>
  <c r="N11" i="82"/>
  <c r="N41" i="82"/>
  <c r="N16" i="82"/>
  <c r="N25" i="82"/>
  <c r="N22" i="82"/>
  <c r="N24" i="82"/>
  <c r="N45" i="82"/>
  <c r="N17" i="82"/>
  <c r="N19" i="82"/>
  <c r="N20" i="82"/>
  <c r="N10" i="82"/>
  <c r="N39" i="82"/>
  <c r="N51" i="82"/>
  <c r="N18" i="82"/>
  <c r="N52" i="82"/>
  <c r="N12" i="82"/>
  <c r="N50" i="82"/>
  <c r="N23" i="82"/>
  <c r="N7" i="82"/>
  <c r="N43" i="82"/>
  <c r="N8" i="82"/>
  <c r="AG37" i="82"/>
  <c r="AO13" i="82"/>
  <c r="G50" i="82"/>
  <c r="BU11" i="82"/>
  <c r="BF19" i="82"/>
  <c r="BF35" i="82"/>
  <c r="BF12" i="82"/>
  <c r="BF43" i="82"/>
  <c r="BY15" i="82"/>
  <c r="R49" i="82"/>
  <c r="Y52" i="82"/>
  <c r="AU18" i="82"/>
  <c r="Q21" i="82"/>
  <c r="AY48" i="82"/>
  <c r="X14" i="82"/>
  <c r="H18" i="82"/>
  <c r="M43" i="82"/>
  <c r="BO34" i="82"/>
  <c r="BO31" i="82"/>
  <c r="BV23" i="82"/>
  <c r="AY10" i="82"/>
  <c r="AO30" i="82"/>
  <c r="BH15" i="82"/>
  <c r="AA25" i="82"/>
  <c r="BF18" i="82"/>
  <c r="AG52" i="82"/>
  <c r="M7" i="82"/>
  <c r="BG17" i="82"/>
  <c r="AW15" i="82"/>
  <c r="AC35" i="82"/>
  <c r="F14" i="82"/>
  <c r="F53" i="82"/>
  <c r="F20" i="82"/>
  <c r="AY12" i="82"/>
  <c r="R47" i="82"/>
  <c r="AL17" i="82"/>
  <c r="BN7" i="82"/>
  <c r="O53" i="82"/>
  <c r="W37" i="82"/>
  <c r="W22" i="82"/>
  <c r="W16" i="82"/>
  <c r="W32" i="82"/>
  <c r="BG23" i="82"/>
  <c r="BA18" i="82"/>
  <c r="BA15" i="82"/>
  <c r="BA12" i="82"/>
  <c r="BA20" i="82"/>
  <c r="BA37" i="82"/>
  <c r="AE7" i="82"/>
  <c r="AI36" i="82"/>
  <c r="AI40" i="82"/>
  <c r="AI12" i="82"/>
  <c r="AI15" i="82"/>
  <c r="AE46" i="82"/>
  <c r="BG13" i="82"/>
  <c r="I10" i="82"/>
  <c r="I36" i="82"/>
  <c r="I47" i="82"/>
  <c r="I50" i="82"/>
  <c r="AZ15" i="82"/>
  <c r="AZ11" i="82"/>
  <c r="AZ53" i="82"/>
  <c r="AB50" i="82"/>
  <c r="AB41" i="82"/>
  <c r="AB51" i="82"/>
  <c r="BB48" i="82"/>
  <c r="AX16" i="82"/>
  <c r="AX48" i="82"/>
  <c r="AX45" i="82"/>
  <c r="AT49" i="82"/>
  <c r="AT11" i="82"/>
  <c r="AY17" i="82"/>
  <c r="AL23" i="82"/>
  <c r="AL37" i="82"/>
  <c r="AL45" i="82"/>
  <c r="AL18" i="82"/>
  <c r="AL15" i="82"/>
  <c r="AW50" i="82"/>
  <c r="V16" i="82"/>
  <c r="V52" i="82"/>
  <c r="V46" i="82"/>
  <c r="V49" i="82"/>
  <c r="AQ48" i="82"/>
  <c r="AQ51" i="82"/>
  <c r="BF48" i="82"/>
  <c r="BE49" i="82"/>
  <c r="BO42" i="82"/>
  <c r="H10" i="82"/>
  <c r="BY17" i="82"/>
  <c r="BK38" i="82"/>
  <c r="AH43" i="82"/>
  <c r="BF39" i="82"/>
  <c r="AW49" i="82"/>
  <c r="BV43" i="82"/>
  <c r="Y35" i="82"/>
  <c r="AV47" i="82"/>
  <c r="BM9" i="82"/>
  <c r="AY13" i="82"/>
  <c r="BO8" i="82"/>
  <c r="W19" i="82"/>
  <c r="W14" i="82"/>
  <c r="W23" i="82"/>
  <c r="W38" i="82"/>
  <c r="W25" i="82"/>
  <c r="BG48" i="82"/>
  <c r="K22" i="82"/>
  <c r="BA36" i="82"/>
  <c r="BA13" i="82"/>
  <c r="BA21" i="82"/>
  <c r="BA30" i="82"/>
  <c r="BA6" i="82"/>
  <c r="AC12" i="82"/>
  <c r="I39" i="82"/>
  <c r="AI39" i="82"/>
  <c r="AI25" i="82"/>
  <c r="AI7" i="82"/>
  <c r="AI32" i="82"/>
  <c r="U47" i="82"/>
  <c r="BI52" i="82"/>
  <c r="U37" i="82"/>
  <c r="I20" i="82"/>
  <c r="I11" i="82"/>
  <c r="AY46" i="82"/>
  <c r="AZ28" i="82"/>
  <c r="AZ43" i="82"/>
  <c r="AZ17" i="82"/>
  <c r="AZ21" i="82"/>
  <c r="AB53" i="82"/>
  <c r="AB42" i="82"/>
  <c r="AB18" i="82"/>
  <c r="O16" i="82"/>
  <c r="AX33" i="82"/>
  <c r="AX25" i="82"/>
  <c r="AT35" i="82"/>
  <c r="AT12" i="82"/>
  <c r="AT47" i="82"/>
  <c r="O42" i="82"/>
  <c r="O30" i="82"/>
  <c r="AL14" i="82"/>
  <c r="AL22" i="82"/>
  <c r="BB32" i="82"/>
  <c r="AE22" i="82"/>
  <c r="AE32" i="82"/>
  <c r="AE36" i="82"/>
  <c r="AE50" i="82"/>
  <c r="BF42" i="82"/>
  <c r="AG38" i="82"/>
  <c r="BV51" i="82"/>
  <c r="AA40" i="82"/>
  <c r="R33" i="82"/>
  <c r="Y8" i="82"/>
  <c r="Y31" i="82"/>
  <c r="Y29" i="82"/>
  <c r="AC42" i="82"/>
  <c r="BT10" i="82"/>
  <c r="AA17" i="82"/>
  <c r="AG30" i="82"/>
  <c r="AP46" i="82"/>
  <c r="BY49" i="82"/>
  <c r="AA32" i="82"/>
  <c r="BV41" i="82"/>
  <c r="X17" i="82"/>
  <c r="BU48" i="82"/>
  <c r="AX35" i="82"/>
  <c r="AW30" i="82"/>
  <c r="AV37" i="82"/>
  <c r="O15" i="82"/>
  <c r="AY24" i="82"/>
  <c r="R41" i="82"/>
  <c r="AX42" i="82"/>
  <c r="W40" i="82"/>
  <c r="W15" i="82"/>
  <c r="W10" i="82"/>
  <c r="BG40" i="82"/>
  <c r="BG38" i="82"/>
  <c r="AY33" i="82"/>
  <c r="BA52" i="82"/>
  <c r="BA38" i="82"/>
  <c r="BA46" i="82"/>
  <c r="BA39" i="82"/>
  <c r="BA47" i="82"/>
  <c r="M29" i="82"/>
  <c r="AI33" i="82"/>
  <c r="AI37" i="82"/>
  <c r="AI49" i="82"/>
  <c r="AI24" i="82"/>
  <c r="AM53" i="82"/>
  <c r="AL28" i="82"/>
  <c r="I41" i="82"/>
  <c r="I52" i="82"/>
  <c r="AZ45" i="82"/>
  <c r="AZ49" i="82"/>
  <c r="AB45" i="82"/>
  <c r="AB11" i="82"/>
  <c r="AD49" i="82"/>
  <c r="AX44" i="82"/>
  <c r="AX20" i="82"/>
  <c r="AX36" i="82"/>
  <c r="AT45" i="82"/>
  <c r="K40" i="82"/>
  <c r="K23" i="82"/>
  <c r="K30" i="82"/>
  <c r="K45" i="82"/>
  <c r="BN52" i="82"/>
  <c r="BN37" i="82"/>
  <c r="BY41" i="82"/>
  <c r="AY51" i="82"/>
  <c r="L32" i="82"/>
  <c r="F16" i="82"/>
  <c r="BG25" i="82"/>
  <c r="R10" i="82"/>
  <c r="AP14" i="82"/>
  <c r="AN14" i="82"/>
  <c r="AN43" i="82"/>
  <c r="BF40" i="82"/>
  <c r="L23" i="82"/>
  <c r="BU25" i="82"/>
  <c r="Q20" i="82"/>
  <c r="BN40" i="82"/>
  <c r="AH30" i="82"/>
  <c r="BV15" i="82"/>
  <c r="BV53" i="82"/>
  <c r="BU37" i="82"/>
  <c r="BO45" i="82"/>
  <c r="R35" i="82"/>
  <c r="R16" i="82"/>
  <c r="AC33" i="82"/>
  <c r="W51" i="82"/>
  <c r="W52" i="82"/>
  <c r="BG52" i="82"/>
  <c r="BG46" i="82"/>
  <c r="AM29" i="82"/>
  <c r="AI48" i="82"/>
  <c r="BA23" i="82"/>
  <c r="BA32" i="82"/>
  <c r="BA42" i="82"/>
  <c r="BA16" i="82"/>
  <c r="BM29" i="82"/>
  <c r="O23" i="82"/>
  <c r="AI53" i="82"/>
  <c r="AI41" i="82"/>
  <c r="AI17" i="82"/>
  <c r="I7" i="82"/>
  <c r="I18" i="82"/>
  <c r="I17" i="82"/>
  <c r="AZ46" i="82"/>
  <c r="AZ52" i="82"/>
  <c r="AZ13" i="82"/>
  <c r="AZ33" i="82"/>
  <c r="AB35" i="82"/>
  <c r="AB46" i="82"/>
  <c r="AB37" i="82"/>
  <c r="AQ43" i="82"/>
  <c r="AX39" i="82"/>
  <c r="AX6" i="82"/>
  <c r="AT24" i="82"/>
  <c r="AT10" i="82"/>
  <c r="U35" i="82"/>
  <c r="R39" i="82"/>
  <c r="AL53" i="82"/>
  <c r="AL50" i="82"/>
  <c r="AL10" i="82"/>
  <c r="AL38" i="82"/>
  <c r="AL31" i="82"/>
  <c r="AB14" i="82"/>
  <c r="BO9" i="82"/>
  <c r="X15" i="82"/>
  <c r="O14" i="82"/>
  <c r="BG6" i="82"/>
  <c r="BR19" i="82"/>
  <c r="BR38" i="82"/>
  <c r="BR44" i="82"/>
  <c r="BM50" i="82"/>
  <c r="AU6" i="82"/>
  <c r="BE50" i="82"/>
  <c r="BO36" i="82"/>
  <c r="AU33" i="82"/>
  <c r="BE30" i="82"/>
  <c r="BE21" i="82"/>
  <c r="AW41" i="82"/>
  <c r="H51" i="82"/>
  <c r="BX24" i="82"/>
  <c r="M15" i="82"/>
  <c r="BM35" i="82"/>
  <c r="BG10" i="82"/>
  <c r="AD50" i="82"/>
  <c r="AS14" i="82"/>
  <c r="AS9" i="82"/>
  <c r="AG40" i="82"/>
  <c r="AA33" i="82"/>
  <c r="BN17" i="82"/>
  <c r="BX7" i="82"/>
  <c r="T24" i="82"/>
  <c r="M47" i="82"/>
  <c r="BN47" i="82"/>
  <c r="BQ9" i="82"/>
  <c r="BN46" i="82"/>
  <c r="O19" i="82"/>
  <c r="AC21" i="82"/>
  <c r="BG36" i="82"/>
  <c r="BL49" i="82"/>
  <c r="AC20" i="82"/>
  <c r="W35" i="82"/>
  <c r="W24" i="82"/>
  <c r="BG21" i="82"/>
  <c r="BA33" i="82"/>
  <c r="BA40" i="82"/>
  <c r="BA44" i="82"/>
  <c r="BA31" i="82"/>
  <c r="BA41" i="82"/>
  <c r="BA25" i="82"/>
  <c r="BN21" i="82"/>
  <c r="AE33" i="82"/>
  <c r="AZ38" i="82"/>
  <c r="AI11" i="82"/>
  <c r="AI19" i="82"/>
  <c r="AI35" i="82"/>
  <c r="X30" i="82"/>
  <c r="W36" i="82"/>
  <c r="I24" i="82"/>
  <c r="I53" i="82"/>
  <c r="I51" i="82"/>
  <c r="I42" i="82"/>
  <c r="AZ12" i="82"/>
  <c r="AZ10" i="82"/>
  <c r="AB32" i="82"/>
  <c r="AB20" i="82"/>
  <c r="AX40" i="82"/>
  <c r="AX37" i="82"/>
  <c r="AT53" i="82"/>
  <c r="AT41" i="82"/>
  <c r="AT51" i="82"/>
  <c r="P35" i="82"/>
  <c r="U48" i="82"/>
  <c r="AL35" i="82"/>
  <c r="AN22" i="82"/>
  <c r="BT51" i="82"/>
  <c r="BF47" i="82"/>
  <c r="BV49" i="82"/>
  <c r="X25" i="82"/>
  <c r="Q35" i="82"/>
  <c r="BY18" i="82"/>
  <c r="K14" i="82"/>
  <c r="M50" i="82"/>
  <c r="AH18" i="82"/>
  <c r="AG21" i="82"/>
  <c r="L24" i="82"/>
  <c r="T17" i="82"/>
  <c r="AD39" i="82"/>
  <c r="BY14" i="82"/>
  <c r="BE19" i="82"/>
  <c r="Y37" i="82"/>
  <c r="M9" i="82"/>
  <c r="W21" i="82"/>
  <c r="W49" i="82"/>
  <c r="W30" i="82"/>
  <c r="W17" i="82"/>
  <c r="BG22" i="82"/>
  <c r="BL45" i="82"/>
  <c r="AH34" i="82"/>
  <c r="BA17" i="82"/>
  <c r="BA48" i="82"/>
  <c r="BA50" i="82"/>
  <c r="AR16" i="82"/>
  <c r="BM8" i="82"/>
  <c r="AI44" i="82"/>
  <c r="AI50" i="82"/>
  <c r="AI18" i="82"/>
  <c r="AI22" i="82"/>
  <c r="I44" i="82"/>
  <c r="I16" i="82"/>
  <c r="AZ35" i="82"/>
  <c r="AZ23" i="82"/>
  <c r="AZ19" i="82"/>
  <c r="AB40" i="82"/>
  <c r="AB19" i="82"/>
  <c r="BB25" i="82"/>
  <c r="BV28" i="82"/>
  <c r="AX12" i="82"/>
  <c r="AX7" i="82"/>
  <c r="AT17" i="82"/>
  <c r="AT37" i="82"/>
  <c r="AT20" i="82"/>
  <c r="AY20" i="82"/>
  <c r="AL32" i="82"/>
  <c r="AL40" i="82"/>
  <c r="BI45" i="82"/>
  <c r="I13" i="82"/>
  <c r="BM43" i="82"/>
  <c r="BY53" i="82"/>
  <c r="AD12" i="82"/>
  <c r="BV24" i="82"/>
  <c r="AH53" i="82"/>
  <c r="BU23" i="82"/>
  <c r="AA12" i="82"/>
  <c r="BU20" i="82"/>
  <c r="AY37" i="82"/>
  <c r="BG51" i="82"/>
  <c r="Y20" i="82"/>
  <c r="BG7" i="82"/>
  <c r="X18" i="82"/>
  <c r="M17" i="82"/>
  <c r="AH49" i="82"/>
  <c r="BK13" i="82"/>
  <c r="AA39" i="82"/>
  <c r="BU33" i="82"/>
  <c r="AU10" i="82"/>
  <c r="BH30" i="82"/>
  <c r="AV41" i="82"/>
  <c r="AW18" i="82"/>
  <c r="S13" i="82"/>
  <c r="AG35" i="82"/>
  <c r="BX16" i="82"/>
  <c r="BE41" i="82"/>
  <c r="BE48" i="82"/>
  <c r="AA22" i="82"/>
  <c r="AC25" i="82"/>
  <c r="R52" i="82"/>
  <c r="BM37" i="82"/>
  <c r="AU19" i="82"/>
  <c r="X36" i="82"/>
  <c r="AE40" i="82"/>
  <c r="BR7" i="82"/>
  <c r="W53" i="82"/>
  <c r="W41" i="82"/>
  <c r="W20" i="82"/>
  <c r="W39" i="82"/>
  <c r="BA14" i="82"/>
  <c r="BA10" i="82"/>
  <c r="BA19" i="82"/>
  <c r="BA49" i="82"/>
  <c r="Y27" i="82"/>
  <c r="P49" i="82"/>
  <c r="AI38" i="82"/>
  <c r="AI45" i="82"/>
  <c r="AI20" i="82"/>
  <c r="AI23" i="82"/>
  <c r="BI13" i="82"/>
  <c r="AE6" i="82"/>
  <c r="I12" i="82"/>
  <c r="I48" i="82"/>
  <c r="I6" i="82"/>
  <c r="I19" i="82"/>
  <c r="AZ47" i="82"/>
  <c r="AZ36" i="82"/>
  <c r="AZ24" i="82"/>
  <c r="AC38" i="82"/>
  <c r="AB12" i="82"/>
  <c r="AB10" i="82"/>
  <c r="AB17" i="82"/>
  <c r="BN33" i="82"/>
  <c r="BG33" i="82"/>
  <c r="AX31" i="82"/>
  <c r="X22" i="82"/>
  <c r="AW42" i="82"/>
  <c r="BX42" i="82"/>
  <c r="BQ14" i="82"/>
  <c r="AN45" i="82"/>
  <c r="AH24" i="82"/>
  <c r="BU49" i="82"/>
  <c r="AU41" i="82"/>
  <c r="M14" i="82"/>
  <c r="BN15" i="82"/>
  <c r="AH6" i="82"/>
  <c r="BV14" i="82"/>
  <c r="F36" i="82"/>
  <c r="O35" i="82"/>
  <c r="H6" i="82"/>
  <c r="BM52" i="82"/>
  <c r="H17" i="82"/>
  <c r="AY18" i="82"/>
  <c r="BF17" i="82"/>
  <c r="AP43" i="82"/>
  <c r="BN25" i="82"/>
  <c r="F39" i="82"/>
  <c r="X10" i="82"/>
  <c r="Z30" i="82"/>
  <c r="AW33" i="82"/>
  <c r="S46" i="82"/>
  <c r="BU8" i="82"/>
  <c r="AH23" i="82"/>
  <c r="AD16" i="82"/>
  <c r="R25" i="82"/>
  <c r="AV23" i="82"/>
  <c r="BO35" i="82"/>
  <c r="L38" i="82"/>
  <c r="AA13" i="82"/>
  <c r="AA44" i="82"/>
  <c r="BG44" i="82"/>
  <c r="X19" i="82"/>
  <c r="BT49" i="82"/>
  <c r="K13" i="82"/>
  <c r="AC30" i="82"/>
  <c r="BR24" i="82"/>
  <c r="X39" i="82"/>
  <c r="W48" i="82"/>
  <c r="W12" i="82"/>
  <c r="W46" i="82"/>
  <c r="W18" i="82"/>
  <c r="W11" i="82"/>
  <c r="BG30" i="82"/>
  <c r="BA24" i="82"/>
  <c r="BA53" i="82"/>
  <c r="BA51" i="82"/>
  <c r="BA11" i="82"/>
  <c r="BV31" i="82"/>
  <c r="BO29" i="82"/>
  <c r="O46" i="82"/>
  <c r="AI13" i="82"/>
  <c r="AI47" i="82"/>
  <c r="AI10" i="82"/>
  <c r="AI14" i="82"/>
  <c r="AI16" i="82"/>
  <c r="O21" i="82"/>
  <c r="AC39" i="82"/>
  <c r="R6" i="82"/>
  <c r="I33" i="82"/>
  <c r="I14" i="82"/>
  <c r="I25" i="82"/>
  <c r="AZ48" i="82"/>
  <c r="AZ18" i="82"/>
  <c r="AZ25" i="82"/>
  <c r="AB25" i="82"/>
  <c r="AB21" i="82"/>
  <c r="AB36" i="82"/>
  <c r="AM26" i="82"/>
  <c r="AL48" i="82"/>
  <c r="AL11" i="82"/>
  <c r="AM38" i="82"/>
  <c r="AE45" i="82"/>
  <c r="AY38" i="82"/>
  <c r="AV51" i="82"/>
  <c r="BY13" i="82"/>
  <c r="AD51" i="82"/>
  <c r="AD53" i="82"/>
  <c r="BL48" i="82"/>
  <c r="BL47" i="82"/>
  <c r="O38" i="82"/>
  <c r="O7" i="82"/>
  <c r="AB15" i="82"/>
  <c r="BR20" i="82"/>
  <c r="BR50" i="82"/>
  <c r="BR45" i="82"/>
  <c r="BR17" i="82"/>
  <c r="K6" i="82"/>
  <c r="K49" i="82"/>
  <c r="K37" i="82"/>
  <c r="K12" i="82"/>
  <c r="BN38" i="82"/>
  <c r="AE10" i="82"/>
  <c r="AE25" i="82"/>
  <c r="AE47" i="82"/>
  <c r="V23" i="82"/>
  <c r="V35" i="82"/>
  <c r="V38" i="82"/>
  <c r="V32" i="82"/>
  <c r="V19" i="82"/>
  <c r="V20" i="82"/>
  <c r="AQ42" i="82"/>
  <c r="AQ30" i="82"/>
  <c r="AQ23" i="82"/>
  <c r="AQ41" i="82"/>
  <c r="BY42" i="82"/>
  <c r="AJ12" i="82"/>
  <c r="AJ37" i="82"/>
  <c r="AJ42" i="82"/>
  <c r="AV53" i="82"/>
  <c r="AV19" i="82"/>
  <c r="I15" i="82"/>
  <c r="P53" i="82"/>
  <c r="BL13" i="82"/>
  <c r="BL40" i="82"/>
  <c r="BL15" i="82"/>
  <c r="BL24" i="82"/>
  <c r="U7" i="82"/>
  <c r="U12" i="82"/>
  <c r="U50" i="82"/>
  <c r="K48" i="82"/>
  <c r="BR41" i="82"/>
  <c r="BG24" i="82"/>
  <c r="BD13" i="82"/>
  <c r="AR49" i="82"/>
  <c r="AR33" i="82"/>
  <c r="AR23" i="82"/>
  <c r="AY7" i="82"/>
  <c r="AM51" i="82"/>
  <c r="AM33" i="82"/>
  <c r="BI16" i="82"/>
  <c r="BI35" i="82"/>
  <c r="BI44" i="82"/>
  <c r="BI47" i="82"/>
  <c r="BI23" i="82"/>
  <c r="BB36" i="82"/>
  <c r="BB40" i="82"/>
  <c r="BB49" i="82"/>
  <c r="AK25" i="82"/>
  <c r="AK7" i="82"/>
  <c r="AK20" i="82"/>
  <c r="AK53" i="82"/>
  <c r="AK21" i="82"/>
  <c r="BH45" i="82"/>
  <c r="AT48" i="82"/>
  <c r="BL53" i="82"/>
  <c r="AL19" i="82"/>
  <c r="AL39" i="82"/>
  <c r="AL47" i="82"/>
  <c r="AL41" i="82"/>
  <c r="AL46" i="82"/>
  <c r="AY47" i="82"/>
  <c r="R37" i="82"/>
  <c r="AZ14" i="82"/>
  <c r="BB30" i="82"/>
  <c r="BY22" i="82"/>
  <c r="AD13" i="82"/>
  <c r="AD37" i="82"/>
  <c r="R32" i="82"/>
  <c r="U39" i="82"/>
  <c r="BD37" i="82"/>
  <c r="BL20" i="82"/>
  <c r="BR33" i="82"/>
  <c r="BR47" i="82"/>
  <c r="BR51" i="82"/>
  <c r="K46" i="82"/>
  <c r="K50" i="82"/>
  <c r="K17" i="82"/>
  <c r="AE20" i="82"/>
  <c r="AE12" i="82"/>
  <c r="AE41" i="82"/>
  <c r="AE39" i="82"/>
  <c r="V25" i="82"/>
  <c r="V21" i="82"/>
  <c r="V48" i="82"/>
  <c r="V12" i="82"/>
  <c r="V30" i="82"/>
  <c r="AQ35" i="82"/>
  <c r="AQ53" i="82"/>
  <c r="AQ50" i="82"/>
  <c r="AQ40" i="82"/>
  <c r="AQ17" i="82"/>
  <c r="AQ19" i="82"/>
  <c r="AQ20" i="82"/>
  <c r="AV52" i="82"/>
  <c r="AJ19" i="82"/>
  <c r="AJ18" i="82"/>
  <c r="AJ13" i="82"/>
  <c r="AV6" i="82"/>
  <c r="AI52" i="82"/>
  <c r="I40" i="82"/>
  <c r="AY40" i="82"/>
  <c r="AY32" i="82"/>
  <c r="BL38" i="82"/>
  <c r="BL33" i="82"/>
  <c r="BL10" i="82"/>
  <c r="BL6" i="82"/>
  <c r="BL17" i="82"/>
  <c r="U10" i="82"/>
  <c r="U24" i="82"/>
  <c r="U41" i="82"/>
  <c r="U42" i="82"/>
  <c r="BC14" i="82"/>
  <c r="AK24" i="82"/>
  <c r="BI32" i="82"/>
  <c r="AR17" i="82"/>
  <c r="AR21" i="82"/>
  <c r="AR45" i="82"/>
  <c r="AR47" i="82"/>
  <c r="AM49" i="82"/>
  <c r="AM44" i="82"/>
  <c r="AM25" i="82"/>
  <c r="AM42" i="82"/>
  <c r="BI30" i="82"/>
  <c r="BI38" i="82"/>
  <c r="BI50" i="82"/>
  <c r="BI11" i="82"/>
  <c r="BB12" i="82"/>
  <c r="BB51" i="82"/>
  <c r="BB52" i="82"/>
  <c r="AE37" i="82"/>
  <c r="BB39" i="82"/>
  <c r="K18" i="82"/>
  <c r="BY11" i="82"/>
  <c r="AD47" i="82"/>
  <c r="AD38" i="82"/>
  <c r="U45" i="82"/>
  <c r="AM15" i="82"/>
  <c r="O12" i="82"/>
  <c r="BL21" i="82"/>
  <c r="P6" i="82"/>
  <c r="BR18" i="82"/>
  <c r="BR21" i="82"/>
  <c r="AC13" i="82"/>
  <c r="K11" i="82"/>
  <c r="K19" i="82"/>
  <c r="K16" i="82"/>
  <c r="BN51" i="82"/>
  <c r="BN20" i="82"/>
  <c r="AE13" i="82"/>
  <c r="AE44" i="82"/>
  <c r="V22" i="82"/>
  <c r="V24" i="82"/>
  <c r="V6" i="82"/>
  <c r="AQ47" i="82"/>
  <c r="AQ13" i="82"/>
  <c r="AQ15" i="82"/>
  <c r="AQ25" i="82"/>
  <c r="AQ12" i="82"/>
  <c r="AQ6" i="82"/>
  <c r="AJ21" i="82"/>
  <c r="AJ22" i="82"/>
  <c r="AJ10" i="82"/>
  <c r="AJ49" i="82"/>
  <c r="AJ38" i="82"/>
  <c r="AV44" i="82"/>
  <c r="AZ39" i="82"/>
  <c r="AB24" i="82"/>
  <c r="AZ44" i="82"/>
  <c r="BL39" i="82"/>
  <c r="BL7" i="82"/>
  <c r="BL44" i="82"/>
  <c r="BL52" i="82"/>
  <c r="BL12" i="82"/>
  <c r="U36" i="82"/>
  <c r="U52" i="82"/>
  <c r="U49" i="82"/>
  <c r="AC49" i="82"/>
  <c r="R22" i="82"/>
  <c r="AR18" i="82"/>
  <c r="AR51" i="82"/>
  <c r="AR11" i="82"/>
  <c r="BD20" i="82"/>
  <c r="AM10" i="82"/>
  <c r="AM30" i="82"/>
  <c r="AM13" i="82"/>
  <c r="AM32" i="82"/>
  <c r="BI14" i="82"/>
  <c r="BI39" i="82"/>
  <c r="BI48" i="82"/>
  <c r="BI36" i="82"/>
  <c r="BB42" i="82"/>
  <c r="BB19" i="82"/>
  <c r="BB50" i="82"/>
  <c r="AK35" i="82"/>
  <c r="AK45" i="82"/>
  <c r="AK6" i="82"/>
  <c r="BC17" i="82"/>
  <c r="BC47" i="82"/>
  <c r="BC16" i="82"/>
  <c r="BC49" i="82"/>
  <c r="BC32" i="82"/>
  <c r="AW47" i="82"/>
  <c r="AW35" i="82"/>
  <c r="AW11" i="82"/>
  <c r="AL7" i="82"/>
  <c r="O49" i="82"/>
  <c r="AC32" i="82"/>
  <c r="AM6" i="82"/>
  <c r="U21" i="82"/>
  <c r="BN42" i="82"/>
  <c r="AQ36" i="82"/>
  <c r="X33" i="82"/>
  <c r="AD24" i="82"/>
  <c r="AD11" i="82"/>
  <c r="W42" i="82"/>
  <c r="I23" i="82"/>
  <c r="O13" i="82"/>
  <c r="AE14" i="82"/>
  <c r="BR16" i="82"/>
  <c r="BR6" i="82"/>
  <c r="BR49" i="82"/>
  <c r="BR39" i="82"/>
  <c r="K10" i="82"/>
  <c r="K36" i="82"/>
  <c r="K44" i="82"/>
  <c r="K38" i="82"/>
  <c r="BN44" i="82"/>
  <c r="AE18" i="82"/>
  <c r="AE19" i="82"/>
  <c r="AE17" i="82"/>
  <c r="V13" i="82"/>
  <c r="V39" i="82"/>
  <c r="V18" i="82"/>
  <c r="V11" i="82"/>
  <c r="V15" i="82"/>
  <c r="AQ24" i="82"/>
  <c r="AQ7" i="82"/>
  <c r="AQ18" i="82"/>
  <c r="AQ22" i="82"/>
  <c r="AQ38" i="82"/>
  <c r="AJ14" i="82"/>
  <c r="AJ15" i="82"/>
  <c r="AJ16" i="82"/>
  <c r="AJ36" i="82"/>
  <c r="AJ6" i="82"/>
  <c r="AJ25" i="82"/>
  <c r="AZ50" i="82"/>
  <c r="AB47" i="82"/>
  <c r="W6" i="82"/>
  <c r="BL51" i="82"/>
  <c r="BL22" i="82"/>
  <c r="BB21" i="82"/>
  <c r="U18" i="82"/>
  <c r="U33" i="82"/>
  <c r="U14" i="82"/>
  <c r="AR35" i="82"/>
  <c r="BB23" i="82"/>
  <c r="AR14" i="82"/>
  <c r="AR13" i="82"/>
  <c r="AR15" i="82"/>
  <c r="AR20" i="82"/>
  <c r="R46" i="82"/>
  <c r="AM18" i="82"/>
  <c r="AM47" i="82"/>
  <c r="AM46" i="82"/>
  <c r="AM19" i="82"/>
  <c r="BI24" i="82"/>
  <c r="BI40" i="82"/>
  <c r="BI49" i="82"/>
  <c r="BI37" i="82"/>
  <c r="BB18" i="82"/>
  <c r="BB35" i="82"/>
  <c r="BB44" i="82"/>
  <c r="BB24" i="82"/>
  <c r="AK52" i="82"/>
  <c r="AK49" i="82"/>
  <c r="AK47" i="82"/>
  <c r="AK48" i="82"/>
  <c r="AK13" i="82"/>
  <c r="BC50" i="82"/>
  <c r="BC51" i="82"/>
  <c r="BC35" i="82"/>
  <c r="AQ11" i="82"/>
  <c r="AQ39" i="82"/>
  <c r="AJ7" i="82"/>
  <c r="AJ11" i="82"/>
  <c r="AJ53" i="82"/>
  <c r="AJ52" i="82"/>
  <c r="AJ35" i="82"/>
  <c r="BN35" i="82"/>
  <c r="BI42" i="82"/>
  <c r="BD30" i="82"/>
  <c r="BB53" i="82"/>
  <c r="BL19" i="82"/>
  <c r="BL35" i="82"/>
  <c r="BL14" i="82"/>
  <c r="U13" i="82"/>
  <c r="U16" i="82"/>
  <c r="U23" i="82"/>
  <c r="AY11" i="82"/>
  <c r="AZ20" i="82"/>
  <c r="AR44" i="82"/>
  <c r="AR42" i="82"/>
  <c r="AR32" i="82"/>
  <c r="AR39" i="82"/>
  <c r="AR40" i="82"/>
  <c r="AM45" i="82"/>
  <c r="AM52" i="82"/>
  <c r="AM7" i="82"/>
  <c r="AM20" i="82"/>
  <c r="BI53" i="82"/>
  <c r="BI17" i="82"/>
  <c r="BI33" i="82"/>
  <c r="BI41" i="82"/>
  <c r="BI15" i="82"/>
  <c r="BB20" i="82"/>
  <c r="BB47" i="82"/>
  <c r="BB17" i="82"/>
  <c r="AK22" i="82"/>
  <c r="AK19" i="82"/>
  <c r="AK17" i="82"/>
  <c r="BC40" i="82"/>
  <c r="BC22" i="82"/>
  <c r="BC15" i="82"/>
  <c r="BC23" i="82"/>
  <c r="X46" i="82"/>
  <c r="BD7" i="82"/>
  <c r="BD46" i="82"/>
  <c r="BD24" i="82"/>
  <c r="BD47" i="82"/>
  <c r="U46" i="82"/>
  <c r="P50" i="82"/>
  <c r="P11" i="82"/>
  <c r="AF45" i="82"/>
  <c r="BK6" i="82"/>
  <c r="AH10" i="82"/>
  <c r="H33" i="82"/>
  <c r="H15" i="82"/>
  <c r="Z46" i="82"/>
  <c r="H37" i="82"/>
  <c r="AL6" i="82"/>
  <c r="AR29" i="82"/>
  <c r="AU25" i="82"/>
  <c r="BV42" i="82"/>
  <c r="AH16" i="82"/>
  <c r="BA7" i="82"/>
  <c r="BV52" i="82"/>
  <c r="Q47" i="82"/>
  <c r="Y50" i="82"/>
  <c r="BM32" i="82"/>
  <c r="BW38" i="82"/>
  <c r="AT36" i="82"/>
  <c r="AT50" i="82"/>
  <c r="AT6" i="82"/>
  <c r="AT19" i="82"/>
  <c r="W7" i="82"/>
  <c r="AL16" i="82"/>
  <c r="AL25" i="82"/>
  <c r="AL33" i="82"/>
  <c r="AL51" i="82"/>
  <c r="O52" i="82"/>
  <c r="AZ42" i="82"/>
  <c r="AC50" i="82"/>
  <c r="AD44" i="82"/>
  <c r="AD19" i="82"/>
  <c r="AZ16" i="82"/>
  <c r="O47" i="82"/>
  <c r="U30" i="82"/>
  <c r="BR12" i="82"/>
  <c r="BR23" i="82"/>
  <c r="BR36" i="82"/>
  <c r="K33" i="82"/>
  <c r="K25" i="82"/>
  <c r="BN13" i="82"/>
  <c r="BN22" i="82"/>
  <c r="AE53" i="82"/>
  <c r="AE23" i="82"/>
  <c r="AE11" i="82"/>
  <c r="AE42" i="82"/>
  <c r="AE16" i="82"/>
  <c r="K47" i="82"/>
  <c r="V41" i="82"/>
  <c r="V36" i="82"/>
  <c r="V51" i="82"/>
  <c r="V50" i="82"/>
  <c r="V44" i="82"/>
  <c r="V47" i="82"/>
  <c r="V17" i="82"/>
  <c r="AQ52" i="82"/>
  <c r="AQ45" i="82"/>
  <c r="AQ16" i="82"/>
  <c r="AJ33" i="82"/>
  <c r="AJ46" i="82"/>
  <c r="AJ40" i="82"/>
  <c r="AJ51" i="82"/>
  <c r="AJ45" i="82"/>
  <c r="AV36" i="82"/>
  <c r="BL30" i="82"/>
  <c r="R53" i="82"/>
  <c r="AB7" i="82"/>
  <c r="BL32" i="82"/>
  <c r="BL50" i="82"/>
  <c r="BL23" i="82"/>
  <c r="P46" i="82"/>
  <c r="U44" i="82"/>
  <c r="U15" i="82"/>
  <c r="U40" i="82"/>
  <c r="U51" i="82"/>
  <c r="AR7" i="82"/>
  <c r="AR12" i="82"/>
  <c r="AM23" i="82"/>
  <c r="AM22" i="82"/>
  <c r="AM17" i="82"/>
  <c r="AM24" i="82"/>
  <c r="AM41" i="82"/>
  <c r="BI20" i="82"/>
  <c r="BI7" i="82"/>
  <c r="BB13" i="82"/>
  <c r="BB10" i="82"/>
  <c r="AK23" i="82"/>
  <c r="AW44" i="82"/>
  <c r="BG50" i="82"/>
  <c r="Z40" i="82"/>
  <c r="AY21" i="82"/>
  <c r="AX47" i="82"/>
  <c r="AX17" i="82"/>
  <c r="AT21" i="82"/>
  <c r="AT32" i="82"/>
  <c r="AT18" i="82"/>
  <c r="AT13" i="82"/>
  <c r="P40" i="82"/>
  <c r="AL21" i="82"/>
  <c r="AL12" i="82"/>
  <c r="AL20" i="82"/>
  <c r="AL30" i="82"/>
  <c r="AL49" i="82"/>
  <c r="AR6" i="82"/>
  <c r="X51" i="82"/>
  <c r="AC15" i="82"/>
  <c r="AC22" i="82"/>
  <c r="BY35" i="82"/>
  <c r="AB48" i="82"/>
  <c r="AD20" i="82"/>
  <c r="AB39" i="82"/>
  <c r="AM14" i="82"/>
  <c r="BR25" i="82"/>
  <c r="BR40" i="82"/>
  <c r="BR42" i="82"/>
  <c r="K53" i="82"/>
  <c r="K21" i="82"/>
  <c r="K24" i="82"/>
  <c r="BN53" i="82"/>
  <c r="BN36" i="82"/>
  <c r="AE24" i="82"/>
  <c r="AE48" i="82"/>
  <c r="AE30" i="82"/>
  <c r="AE52" i="82"/>
  <c r="V33" i="82"/>
  <c r="V10" i="82"/>
  <c r="V37" i="82"/>
  <c r="V7" i="82"/>
  <c r="AQ46" i="82"/>
  <c r="AQ10" i="82"/>
  <c r="AQ37" i="82"/>
  <c r="AQ49" i="82"/>
  <c r="AR25" i="82"/>
  <c r="AJ48" i="82"/>
  <c r="AJ41" i="82"/>
  <c r="AJ50" i="82"/>
  <c r="AJ44" i="82"/>
  <c r="AJ17" i="82"/>
  <c r="AV12" i="82"/>
  <c r="AV21" i="82"/>
  <c r="BD15" i="82"/>
  <c r="R7" i="82"/>
  <c r="BG39" i="82"/>
  <c r="BI12" i="82"/>
  <c r="BL25" i="82"/>
  <c r="BL36" i="82"/>
  <c r="BL18" i="82"/>
  <c r="BL16" i="82"/>
  <c r="AY50" i="82"/>
  <c r="U25" i="82"/>
  <c r="U32" i="82"/>
  <c r="U19" i="82"/>
  <c r="AI42" i="82"/>
  <c r="K51" i="82"/>
  <c r="BI25" i="82"/>
  <c r="AY16" i="82"/>
  <c r="AR36" i="82"/>
  <c r="AR24" i="82"/>
  <c r="AR46" i="82"/>
  <c r="AR38" i="82"/>
  <c r="P38" i="82"/>
  <c r="R45" i="82"/>
  <c r="AM40" i="82"/>
  <c r="AM39" i="82"/>
  <c r="AM11" i="82"/>
  <c r="AM50" i="82"/>
  <c r="BI21" i="82"/>
  <c r="BI18" i="82"/>
  <c r="BI6" i="82"/>
  <c r="BB15" i="82"/>
  <c r="AD32" i="82"/>
  <c r="AC24" i="82"/>
  <c r="U38" i="82"/>
  <c r="BB38" i="82"/>
  <c r="X21" i="82"/>
  <c r="BD6" i="82"/>
  <c r="BY12" i="82"/>
  <c r="AD52" i="82"/>
  <c r="AD6" i="82"/>
  <c r="BD23" i="82"/>
  <c r="BD38" i="82"/>
  <c r="O37" i="82"/>
  <c r="AY39" i="82"/>
  <c r="BR10" i="82"/>
  <c r="BR35" i="82"/>
  <c r="BR52" i="82"/>
  <c r="BR11" i="82"/>
  <c r="K20" i="82"/>
  <c r="K41" i="82"/>
  <c r="K52" i="82"/>
  <c r="K35" i="82"/>
  <c r="BN48" i="82"/>
  <c r="BN6" i="82"/>
  <c r="AE35" i="82"/>
  <c r="AE51" i="82"/>
  <c r="AE49" i="82"/>
  <c r="AE38" i="82"/>
  <c r="V42" i="82"/>
  <c r="V45" i="82"/>
  <c r="V14" i="82"/>
  <c r="V40" i="82"/>
  <c r="AQ33" i="82"/>
  <c r="AQ44" i="82"/>
  <c r="AQ14" i="82"/>
  <c r="AQ32" i="82"/>
  <c r="I49" i="82"/>
  <c r="AJ24" i="82"/>
  <c r="AJ32" i="82"/>
  <c r="AV46" i="82"/>
  <c r="AV11" i="82"/>
  <c r="R24" i="82"/>
  <c r="P48" i="82"/>
  <c r="U22" i="82"/>
  <c r="BD36" i="82"/>
  <c r="BL37" i="82"/>
  <c r="BL11" i="82"/>
  <c r="AY22" i="82"/>
  <c r="U6" i="82"/>
  <c r="U11" i="82"/>
  <c r="U20" i="82"/>
  <c r="K42" i="82"/>
  <c r="W50" i="82"/>
  <c r="BB41" i="82"/>
  <c r="AC40" i="82"/>
  <c r="AR10" i="82"/>
  <c r="AR41" i="82"/>
  <c r="AR19" i="82"/>
  <c r="BR22" i="82"/>
  <c r="BG53" i="82"/>
  <c r="AM16" i="82"/>
  <c r="AM12" i="82"/>
  <c r="X6" i="82"/>
  <c r="BI19" i="82"/>
  <c r="BI51" i="82"/>
  <c r="BI10" i="82"/>
  <c r="BB33" i="82"/>
  <c r="BB37" i="82"/>
  <c r="BB16" i="82"/>
  <c r="AK10" i="82"/>
  <c r="AK51" i="82"/>
  <c r="AK39" i="82"/>
  <c r="AK44" i="82"/>
  <c r="BC38" i="82"/>
  <c r="BC45" i="82"/>
  <c r="BC24" i="82"/>
  <c r="BC44" i="82"/>
  <c r="BC6" i="82"/>
  <c r="AW22" i="82"/>
  <c r="X53" i="82"/>
  <c r="W44" i="82"/>
  <c r="AC6" i="82"/>
  <c r="BD49" i="82"/>
  <c r="BD35" i="82"/>
  <c r="BD18" i="82"/>
  <c r="BD40" i="82"/>
  <c r="P52" i="82"/>
  <c r="P24" i="82"/>
  <c r="F42" i="82"/>
  <c r="AN53" i="82"/>
  <c r="AB49" i="82"/>
  <c r="BE42" i="82"/>
  <c r="AU39" i="82"/>
  <c r="BR30" i="82"/>
  <c r="BX23" i="82"/>
  <c r="BM41" i="82"/>
  <c r="I22" i="82"/>
  <c r="AB22" i="82"/>
  <c r="T47" i="82"/>
  <c r="Z53" i="82"/>
  <c r="BV16" i="82"/>
  <c r="M21" i="82"/>
  <c r="AU50" i="82"/>
  <c r="AX52" i="82"/>
  <c r="AU37" i="82"/>
  <c r="AH25" i="82"/>
  <c r="BK52" i="82"/>
  <c r="BO50" i="82"/>
  <c r="BH50" i="82"/>
  <c r="BU51" i="82"/>
  <c r="Q30" i="82"/>
  <c r="R38" i="82"/>
  <c r="AP45" i="82"/>
  <c r="BU7" i="82"/>
  <c r="BM15" i="82"/>
  <c r="AZ22" i="82"/>
  <c r="BX51" i="82"/>
  <c r="AR48" i="82"/>
  <c r="H48" i="82"/>
  <c r="BW46" i="82"/>
  <c r="J45" i="82"/>
  <c r="Z23" i="82"/>
  <c r="BQ15" i="82"/>
  <c r="BQ42" i="82"/>
  <c r="BQ40" i="82"/>
  <c r="BQ41" i="82"/>
  <c r="BQ23" i="82"/>
  <c r="BQ45" i="82"/>
  <c r="BQ32" i="82"/>
  <c r="BQ39" i="82"/>
  <c r="BQ48" i="82"/>
  <c r="BQ18" i="82"/>
  <c r="BQ16" i="82"/>
  <c r="BQ24" i="82"/>
  <c r="BQ49" i="82"/>
  <c r="BQ10" i="82"/>
  <c r="BQ51" i="82"/>
  <c r="BQ53" i="82"/>
  <c r="BQ33" i="82"/>
  <c r="BQ11" i="82"/>
  <c r="BQ50" i="82"/>
  <c r="BQ17" i="82"/>
  <c r="BT21" i="82"/>
  <c r="BH36" i="82"/>
  <c r="N35" i="82"/>
  <c r="S11" i="82"/>
  <c r="BX14" i="82"/>
  <c r="BX20" i="82"/>
  <c r="BP22" i="82"/>
  <c r="BW44" i="82"/>
  <c r="BH42" i="82"/>
  <c r="AP47" i="82"/>
  <c r="AP51" i="82"/>
  <c r="AH45" i="82"/>
  <c r="AL42" i="82"/>
  <c r="AU46" i="82"/>
  <c r="AI30" i="82"/>
  <c r="BY20" i="82"/>
  <c r="AT33" i="82"/>
  <c r="BE20" i="82"/>
  <c r="BT22" i="82"/>
  <c r="Y46" i="82"/>
  <c r="Q13" i="82"/>
  <c r="BC25" i="82"/>
  <c r="BC11" i="82"/>
  <c r="BC13" i="82"/>
  <c r="BC39" i="82"/>
  <c r="AW20" i="82"/>
  <c r="AW12" i="82"/>
  <c r="AW52" i="82"/>
  <c r="BG16" i="82"/>
  <c r="AI21" i="82"/>
  <c r="AZ7" i="82"/>
  <c r="BG45" i="82"/>
  <c r="AB44" i="82"/>
  <c r="BD16" i="82"/>
  <c r="BD32" i="82"/>
  <c r="BD33" i="82"/>
  <c r="P20" i="82"/>
  <c r="P36" i="82"/>
  <c r="P44" i="82"/>
  <c r="P19" i="82"/>
  <c r="BH23" i="82"/>
  <c r="BV21" i="82"/>
  <c r="BT50" i="82"/>
  <c r="H40" i="82"/>
  <c r="BU42" i="82"/>
  <c r="M6" i="82"/>
  <c r="AV33" i="82"/>
  <c r="BE14" i="82"/>
  <c r="AU14" i="82"/>
  <c r="M51" i="82"/>
  <c r="BQ47" i="82"/>
  <c r="T32" i="82"/>
  <c r="L21" i="82"/>
  <c r="BM36" i="82"/>
  <c r="AU15" i="82"/>
  <c r="AZ6" i="82"/>
  <c r="AG13" i="82"/>
  <c r="BX32" i="82"/>
  <c r="BF21" i="82"/>
  <c r="N6" i="82"/>
  <c r="F30" i="82"/>
  <c r="BD42" i="82"/>
  <c r="AF22" i="82"/>
  <c r="AN46" i="82"/>
  <c r="BF50" i="82"/>
  <c r="Y21" i="82"/>
  <c r="W45" i="82"/>
  <c r="AB6" i="82"/>
  <c r="AU11" i="82"/>
  <c r="AS53" i="82"/>
  <c r="AF11" i="82"/>
  <c r="BP49" i="82"/>
  <c r="M52" i="82"/>
  <c r="T21" i="82"/>
  <c r="BP14" i="82"/>
  <c r="BP33" i="82"/>
  <c r="BP38" i="82"/>
  <c r="BP19" i="82"/>
  <c r="BP36" i="82"/>
  <c r="BP18" i="82"/>
  <c r="BP44" i="82"/>
  <c r="BP30" i="82"/>
  <c r="BP7" i="82"/>
  <c r="BP41" i="82"/>
  <c r="BP21" i="82"/>
  <c r="BP15" i="82"/>
  <c r="BP11" i="82"/>
  <c r="BP10" i="82"/>
  <c r="BP13" i="82"/>
  <c r="BP23" i="82"/>
  <c r="BP47" i="82"/>
  <c r="BP40" i="82"/>
  <c r="BP24" i="82"/>
  <c r="BP12" i="82"/>
  <c r="BP20" i="82"/>
  <c r="BP42" i="82"/>
  <c r="BP45" i="82"/>
  <c r="BP46" i="82"/>
  <c r="BP16" i="82"/>
  <c r="BP52" i="82"/>
  <c r="BP51" i="82"/>
  <c r="N36" i="82"/>
  <c r="J15" i="82"/>
  <c r="BK19" i="82"/>
  <c r="BK49" i="82"/>
  <c r="F12" i="82"/>
  <c r="AM35" i="82"/>
  <c r="J12" i="82"/>
  <c r="N49" i="82"/>
  <c r="S51" i="82"/>
  <c r="M30" i="82"/>
  <c r="M35" i="82"/>
  <c r="X37" i="82"/>
  <c r="AU30" i="82"/>
  <c r="AI46" i="82"/>
  <c r="AX15" i="82"/>
  <c r="AT7" i="82"/>
  <c r="AZ51" i="82"/>
  <c r="BT7" i="82"/>
  <c r="AL52" i="82"/>
  <c r="AN15" i="82"/>
  <c r="AS10" i="82"/>
  <c r="BP32" i="82"/>
  <c r="BQ7" i="82"/>
  <c r="AK50" i="82"/>
  <c r="AK16" i="82"/>
  <c r="AK46" i="82"/>
  <c r="AK36" i="82"/>
  <c r="AK30" i="82"/>
  <c r="BC10" i="82"/>
  <c r="BC37" i="82"/>
  <c r="BC46" i="82"/>
  <c r="BC21" i="82"/>
  <c r="AW13" i="82"/>
  <c r="AW36" i="82"/>
  <c r="AM48" i="82"/>
  <c r="P23" i="82"/>
  <c r="O45" i="82"/>
  <c r="U53" i="82"/>
  <c r="BB14" i="82"/>
  <c r="BD52" i="82"/>
  <c r="BD25" i="82"/>
  <c r="BD11" i="82"/>
  <c r="P41" i="82"/>
  <c r="P17" i="82"/>
  <c r="P12" i="82"/>
  <c r="J22" i="82"/>
  <c r="N47" i="82"/>
  <c r="L30" i="82"/>
  <c r="Y45" i="82"/>
  <c r="BE6" i="82"/>
  <c r="BK14" i="82"/>
  <c r="L14" i="82"/>
  <c r="BU21" i="82"/>
  <c r="AU32" i="82"/>
  <c r="H7" i="82"/>
  <c r="L25" i="82"/>
  <c r="T23" i="82"/>
  <c r="AS47" i="82"/>
  <c r="AH46" i="82"/>
  <c r="BX13" i="82"/>
  <c r="BO37" i="82"/>
  <c r="Q6" i="82"/>
  <c r="H16" i="82"/>
  <c r="AU53" i="82"/>
  <c r="AC46" i="82"/>
  <c r="AS21" i="82"/>
  <c r="F24" i="82"/>
  <c r="L13" i="82"/>
  <c r="Z38" i="82"/>
  <c r="BU15" i="82"/>
  <c r="BE12" i="82"/>
  <c r="G6" i="82"/>
  <c r="BQ30" i="82"/>
  <c r="BX50" i="82"/>
  <c r="AT42" i="82"/>
  <c r="Q51" i="82"/>
  <c r="R12" i="82"/>
  <c r="BU45" i="82"/>
  <c r="H12" i="82"/>
  <c r="AR30" i="82"/>
  <c r="BW13" i="82"/>
  <c r="AS36" i="82"/>
  <c r="BC18" i="82"/>
  <c r="AA11" i="82"/>
  <c r="AL13" i="82"/>
  <c r="BW22" i="82"/>
  <c r="AF12" i="82"/>
  <c r="J19" i="82"/>
  <c r="Z7" i="82"/>
  <c r="AN19" i="82"/>
  <c r="M37" i="82"/>
  <c r="AY30" i="82"/>
  <c r="AP36" i="82"/>
  <c r="AF48" i="82"/>
  <c r="AS20" i="82"/>
  <c r="BK11" i="82"/>
  <c r="F13" i="82"/>
  <c r="BF51" i="82"/>
  <c r="AS38" i="82"/>
  <c r="BX47" i="82"/>
  <c r="AU7" i="82"/>
  <c r="Q49" i="82"/>
  <c r="AX14" i="82"/>
  <c r="AT44" i="82"/>
  <c r="BG47" i="82"/>
  <c r="AO17" i="82"/>
  <c r="BQ25" i="82"/>
  <c r="AW38" i="82"/>
  <c r="AW37" i="82"/>
  <c r="BR32" i="82"/>
  <c r="BR15" i="82"/>
  <c r="W13" i="82"/>
  <c r="AC47" i="82"/>
  <c r="BD10" i="82"/>
  <c r="BD44" i="82"/>
  <c r="BD48" i="82"/>
  <c r="P10" i="82"/>
  <c r="P14" i="82"/>
  <c r="P30" i="82"/>
  <c r="P33" i="82"/>
  <c r="L18" i="82"/>
  <c r="AN30" i="82"/>
  <c r="BX30" i="82"/>
  <c r="BV20" i="82"/>
  <c r="BE7" i="82"/>
  <c r="I46" i="82"/>
  <c r="BR13" i="82"/>
  <c r="AO38" i="82"/>
  <c r="BX22" i="82"/>
  <c r="BV12" i="82"/>
  <c r="H32" i="82"/>
  <c r="BE36" i="82"/>
  <c r="L46" i="82"/>
  <c r="Y42" i="82"/>
  <c r="AN21" i="82"/>
  <c r="BF14" i="82"/>
  <c r="AW21" i="82"/>
  <c r="Y6" i="82"/>
  <c r="BO25" i="82"/>
  <c r="H47" i="82"/>
  <c r="BM30" i="82"/>
  <c r="BK21" i="82"/>
  <c r="BU41" i="82"/>
  <c r="T16" i="82"/>
  <c r="Z22" i="82"/>
  <c r="AR53" i="82"/>
  <c r="BH37" i="82"/>
  <c r="AW25" i="82"/>
  <c r="Q22" i="82"/>
  <c r="BD14" i="82"/>
  <c r="AR50" i="82"/>
  <c r="N37" i="82"/>
  <c r="BE15" i="82"/>
  <c r="P47" i="82"/>
  <c r="BW12" i="82"/>
  <c r="BW16" i="82"/>
  <c r="Z10" i="82"/>
  <c r="F35" i="82"/>
  <c r="BD29" i="82"/>
  <c r="AP13" i="82"/>
  <c r="J20" i="82"/>
  <c r="AO19" i="82"/>
  <c r="BF37" i="82"/>
  <c r="BW53" i="82"/>
  <c r="AP53" i="82"/>
  <c r="AG32" i="82"/>
  <c r="BK44" i="82"/>
  <c r="AN11" i="82"/>
  <c r="AJ23" i="82"/>
  <c r="BX35" i="82"/>
  <c r="BQ52" i="82"/>
  <c r="AD17" i="82"/>
  <c r="O36" i="82"/>
  <c r="BO21" i="82"/>
  <c r="Y32" i="82"/>
  <c r="BX21" i="82"/>
  <c r="Y16" i="82"/>
  <c r="Y49" i="82"/>
  <c r="Q40" i="82"/>
  <c r="AP18" i="82"/>
  <c r="BQ36" i="82"/>
  <c r="Z52" i="82"/>
  <c r="BP35" i="82"/>
  <c r="BC48" i="82"/>
  <c r="AD14" i="82"/>
  <c r="AW23" i="82"/>
  <c r="AW45" i="82"/>
  <c r="X16" i="82"/>
  <c r="X48" i="82"/>
  <c r="BB22" i="82"/>
  <c r="AB38" i="82"/>
  <c r="BR46" i="82"/>
  <c r="BD22" i="82"/>
  <c r="BD53" i="82"/>
  <c r="BD21" i="82"/>
  <c r="BD41" i="82"/>
  <c r="P39" i="82"/>
  <c r="P16" i="82"/>
  <c r="P51" i="82"/>
  <c r="T46" i="82"/>
  <c r="H45" i="82"/>
  <c r="AU24" i="82"/>
  <c r="AU22" i="82"/>
  <c r="AP22" i="82"/>
  <c r="F45" i="82"/>
  <c r="BM48" i="82"/>
  <c r="AE21" i="82"/>
  <c r="T33" i="82"/>
  <c r="BU14" i="82"/>
  <c r="BV11" i="82"/>
  <c r="L22" i="82"/>
  <c r="T14" i="82"/>
  <c r="BT41" i="82"/>
  <c r="Y40" i="82"/>
  <c r="AL36" i="82"/>
  <c r="BX17" i="82"/>
  <c r="AO22" i="82"/>
  <c r="F47" i="82"/>
  <c r="BI46" i="82"/>
  <c r="AS6" i="82"/>
  <c r="BE47" i="82"/>
  <c r="I45" i="82"/>
  <c r="N46" i="82"/>
  <c r="AM37" i="82"/>
  <c r="BQ13" i="82"/>
  <c r="AU48" i="82"/>
  <c r="BE52" i="82"/>
  <c r="N44" i="82"/>
  <c r="J24" i="82"/>
  <c r="BK18" i="82"/>
  <c r="H50" i="82"/>
  <c r="BL46" i="82"/>
  <c r="BP50" i="82"/>
  <c r="AP44" i="82"/>
  <c r="BQ35" i="82"/>
  <c r="BX37" i="82"/>
  <c r="BX48" i="82"/>
  <c r="N38" i="82"/>
  <c r="S22" i="82"/>
  <c r="N48" i="82"/>
  <c r="AN20" i="82"/>
  <c r="AO11" i="82"/>
  <c r="BK40" i="82"/>
  <c r="F19" i="82"/>
  <c r="BK36" i="82"/>
  <c r="BX49" i="82"/>
  <c r="H24" i="82"/>
  <c r="BB7" i="82"/>
  <c r="BM21" i="82"/>
  <c r="BE13" i="82"/>
  <c r="BX52" i="82"/>
  <c r="Y33" i="82"/>
  <c r="S47" i="82"/>
  <c r="BP17" i="82"/>
  <c r="BX11" i="82"/>
  <c r="BP25" i="82"/>
  <c r="BQ19" i="82"/>
  <c r="BP48" i="82"/>
  <c r="AH38" i="82"/>
  <c r="AB16" i="82"/>
  <c r="Z45" i="82"/>
  <c r="BV44" i="82"/>
  <c r="AJ47" i="82"/>
  <c r="AP38" i="82"/>
  <c r="L6" i="82"/>
  <c r="AV20" i="82"/>
  <c r="H20" i="82"/>
  <c r="O6" i="82"/>
  <c r="P37" i="82"/>
  <c r="BX44" i="82"/>
  <c r="BU12" i="82"/>
  <c r="H49" i="82"/>
  <c r="AR37" i="82"/>
  <c r="N15" i="82"/>
  <c r="X13" i="82"/>
  <c r="AS37" i="82"/>
  <c r="BW21" i="82"/>
  <c r="BW39" i="82"/>
  <c r="BW30" i="82"/>
  <c r="BW15" i="82"/>
  <c r="BW41" i="82"/>
  <c r="BW48" i="82"/>
  <c r="BW50" i="82"/>
  <c r="BW25" i="82"/>
  <c r="BW33" i="82"/>
  <c r="BW20" i="82"/>
  <c r="BW19" i="82"/>
  <c r="BW36" i="82"/>
  <c r="BW11" i="82"/>
  <c r="BW24" i="82"/>
  <c r="BW40" i="82"/>
  <c r="BW42" i="82"/>
  <c r="BW45" i="82"/>
  <c r="BW51" i="82"/>
  <c r="BW14" i="82"/>
  <c r="BW37" i="82"/>
  <c r="BW17" i="82"/>
  <c r="BW32" i="82"/>
  <c r="BW10" i="82"/>
  <c r="BW18" i="82"/>
  <c r="BQ20" i="82"/>
  <c r="BH10" i="82"/>
  <c r="T22" i="82"/>
  <c r="BW47" i="82"/>
  <c r="BP37" i="82"/>
  <c r="AF39" i="82"/>
  <c r="AO12" i="82"/>
  <c r="BH38" i="82"/>
  <c r="M12" i="82"/>
  <c r="T51" i="82"/>
  <c r="BU52" i="82"/>
  <c r="H22" i="82"/>
  <c r="R50" i="82"/>
  <c r="AT16" i="82"/>
  <c r="BT39" i="82"/>
  <c r="Y15" i="82"/>
  <c r="Q38" i="82"/>
  <c r="Y44" i="82"/>
  <c r="Q16" i="82"/>
  <c r="Q12" i="82"/>
  <c r="BO33" i="82"/>
  <c r="AL44" i="82"/>
  <c r="AH20" i="82"/>
  <c r="H23" i="82"/>
  <c r="AO20" i="82"/>
  <c r="BO46" i="82"/>
  <c r="AH37" i="82"/>
  <c r="BM23" i="82"/>
  <c r="AO45" i="82"/>
  <c r="Q23" i="82"/>
  <c r="BT52" i="82"/>
  <c r="Q42" i="82"/>
  <c r="I21" i="82"/>
  <c r="S48" i="82"/>
  <c r="T19" i="82"/>
  <c r="AF37" i="82"/>
  <c r="AN47" i="82"/>
  <c r="BM14" i="82"/>
  <c r="S24" i="82"/>
  <c r="S50" i="82"/>
  <c r="S7" i="82"/>
  <c r="AN52" i="82"/>
  <c r="AA30" i="82"/>
  <c r="Q48" i="82"/>
  <c r="AN44" i="82"/>
  <c r="AN32" i="82"/>
  <c r="AF36" i="82"/>
  <c r="M45" i="82"/>
  <c r="BH32" i="82"/>
  <c r="BH18" i="82"/>
  <c r="BF44" i="82"/>
  <c r="BH20" i="82"/>
  <c r="AO50" i="82"/>
  <c r="L19" i="82"/>
  <c r="AO42" i="82"/>
  <c r="L42" i="82"/>
  <c r="BY44" i="82"/>
  <c r="L35" i="82"/>
  <c r="AJ20" i="82"/>
  <c r="AG18" i="82"/>
  <c r="AO32" i="82"/>
  <c r="BO38" i="82"/>
  <c r="AP35" i="82"/>
  <c r="AH35" i="82"/>
  <c r="BW23" i="82"/>
  <c r="AK40" i="82"/>
  <c r="AK14" i="82"/>
  <c r="AK42" i="82"/>
  <c r="BC36" i="82"/>
  <c r="BC20" i="82"/>
  <c r="BC42" i="82"/>
  <c r="BC33" i="82"/>
  <c r="BC41" i="82"/>
  <c r="BC30" i="82"/>
  <c r="AD21" i="82"/>
  <c r="AC37" i="82"/>
  <c r="P22" i="82"/>
  <c r="AY6" i="82"/>
  <c r="BD17" i="82"/>
  <c r="P15" i="82"/>
  <c r="P18" i="82"/>
  <c r="P45" i="82"/>
  <c r="P25" i="82"/>
  <c r="M10" i="82"/>
  <c r="AA48" i="82"/>
  <c r="L37" i="82"/>
  <c r="AX13" i="82"/>
  <c r="BM49" i="82"/>
  <c r="BE44" i="82"/>
  <c r="AB30" i="82"/>
  <c r="AP30" i="82"/>
  <c r="I35" i="82"/>
  <c r="BE45" i="82"/>
  <c r="AM21" i="82"/>
  <c r="BX15" i="82"/>
  <c r="M41" i="82"/>
  <c r="M23" i="82"/>
  <c r="T7" i="82"/>
  <c r="BU53" i="82"/>
  <c r="H52" i="82"/>
  <c r="AB33" i="82"/>
  <c r="Q25" i="82"/>
  <c r="R13" i="82"/>
  <c r="T42" i="82"/>
  <c r="L48" i="82"/>
  <c r="AP6" i="82"/>
  <c r="BU44" i="82"/>
  <c r="BR48" i="82"/>
  <c r="BX6" i="82"/>
  <c r="BV37" i="82"/>
  <c r="BT20" i="82"/>
  <c r="I37" i="82"/>
  <c r="AU44" i="82"/>
  <c r="BE46" i="82"/>
  <c r="AB52" i="82"/>
  <c r="J38" i="82"/>
  <c r="Z20" i="82"/>
  <c r="AF7" i="82"/>
  <c r="BK10" i="82"/>
  <c r="BK39" i="82"/>
  <c r="BP6" i="82"/>
  <c r="AO6" i="82"/>
  <c r="AG48" i="82"/>
  <c r="Z11" i="82"/>
  <c r="Z19" i="82"/>
  <c r="Z17" i="82"/>
  <c r="Z41" i="82"/>
  <c r="Z15" i="82"/>
  <c r="Z35" i="82"/>
  <c r="Z18" i="82"/>
  <c r="Z33" i="82"/>
  <c r="Z32" i="82"/>
  <c r="Z48" i="82"/>
  <c r="Z50" i="82"/>
  <c r="Z49" i="82"/>
  <c r="Z24" i="82"/>
  <c r="Z25" i="82"/>
  <c r="Z39" i="82"/>
  <c r="Z47" i="82"/>
  <c r="Z16" i="82"/>
  <c r="Z42" i="82"/>
  <c r="M20" i="82"/>
  <c r="N30" i="82"/>
  <c r="AS30" i="82"/>
  <c r="J11" i="82"/>
  <c r="J52" i="82"/>
  <c r="J53" i="82"/>
  <c r="J48" i="82"/>
  <c r="J16" i="82"/>
  <c r="J32" i="82"/>
  <c r="J25" i="82"/>
  <c r="J23" i="82"/>
  <c r="J49" i="82"/>
  <c r="J14" i="82"/>
  <c r="J47" i="82"/>
  <c r="J40" i="82"/>
  <c r="J41" i="82"/>
  <c r="J51" i="82"/>
  <c r="J44" i="82"/>
  <c r="J39" i="82"/>
  <c r="J17" i="82"/>
  <c r="J18" i="82"/>
  <c r="J50" i="82"/>
  <c r="J42" i="82"/>
  <c r="J37" i="82"/>
  <c r="J10" i="82"/>
  <c r="J35" i="82"/>
  <c r="J36" i="82"/>
  <c r="J13" i="82"/>
  <c r="J30" i="82"/>
  <c r="J33" i="82"/>
  <c r="AG23" i="82"/>
  <c r="BQ12" i="82"/>
  <c r="BK42" i="82"/>
  <c r="AA36" i="82"/>
  <c r="AO37" i="82"/>
  <c r="AU38" i="82"/>
  <c r="H38" i="82"/>
  <c r="I32" i="82"/>
  <c r="AT25" i="82"/>
  <c r="Y23" i="82"/>
  <c r="BT36" i="82"/>
  <c r="O20" i="82"/>
  <c r="Q10" i="82"/>
  <c r="Y24" i="82"/>
  <c r="Q17" i="82"/>
  <c r="BO14" i="82"/>
  <c r="BH35" i="82"/>
  <c r="BQ44" i="82"/>
  <c r="BK17" i="82"/>
  <c r="AP48" i="82"/>
  <c r="BB6" i="82"/>
  <c r="BB11" i="82"/>
  <c r="BB46" i="82"/>
  <c r="AK33" i="82"/>
  <c r="AK32" i="82"/>
  <c r="AK11" i="82"/>
  <c r="AK38" i="82"/>
  <c r="AK12" i="82"/>
  <c r="BC12" i="82"/>
  <c r="BC52" i="82"/>
  <c r="BC7" i="82"/>
  <c r="BC19" i="82"/>
  <c r="AW19" i="82"/>
  <c r="AW6" i="82"/>
  <c r="AC41" i="82"/>
  <c r="BR14" i="82"/>
  <c r="BD12" i="82"/>
  <c r="AZ41" i="82"/>
  <c r="BD19" i="82"/>
  <c r="BD50" i="82"/>
  <c r="BD39" i="82"/>
  <c r="BD51" i="82"/>
  <c r="P32" i="82"/>
  <c r="P13" i="82"/>
  <c r="P42" i="82"/>
  <c r="AY23" i="82"/>
  <c r="BH22" i="82"/>
  <c r="T6" i="82"/>
  <c r="BM45" i="82"/>
  <c r="BE22" i="82"/>
  <c r="BL42" i="82"/>
  <c r="T38" i="82"/>
  <c r="AU16" i="82"/>
  <c r="U17" i="82"/>
  <c r="I30" i="82"/>
  <c r="BV50" i="82"/>
  <c r="T25" i="82"/>
  <c r="BM42" i="82"/>
  <c r="BO12" i="82"/>
  <c r="BM17" i="82"/>
  <c r="AI6" i="82"/>
  <c r="K32" i="82"/>
  <c r="BT11" i="82"/>
  <c r="AA10" i="82"/>
  <c r="BF25" i="82"/>
  <c r="BQ37" i="82"/>
  <c r="AZ37" i="82"/>
  <c r="BM16" i="82"/>
  <c r="Z37" i="82"/>
  <c r="F22" i="82"/>
  <c r="BU6" i="82"/>
  <c r="BM12" i="82"/>
  <c r="BR37" i="82"/>
  <c r="L52" i="82"/>
  <c r="BM6" i="82"/>
  <c r="AU47" i="82"/>
  <c r="BW7" i="82"/>
  <c r="AF13" i="82"/>
  <c r="S36" i="82"/>
  <c r="J31" i="82"/>
  <c r="AS19" i="82"/>
  <c r="AV42" i="82"/>
  <c r="T49" i="82"/>
  <c r="BW52" i="82"/>
  <c r="BW35" i="82"/>
  <c r="AF47" i="82"/>
  <c r="AP11" i="82"/>
  <c r="BK50" i="82"/>
  <c r="AA52" i="82"/>
  <c r="AU36" i="82"/>
  <c r="AN13" i="82"/>
  <c r="AF42" i="82"/>
  <c r="BW49" i="82"/>
  <c r="AP39" i="82"/>
  <c r="BF52" i="82"/>
  <c r="BO7" i="82"/>
  <c r="AT14" i="82"/>
  <c r="BM7" i="82"/>
  <c r="S21" i="82"/>
  <c r="AP37" i="82"/>
  <c r="BM38" i="82"/>
  <c r="BR53" i="82"/>
  <c r="AC48" i="82"/>
  <c r="AN16" i="82"/>
  <c r="T10" i="82"/>
  <c r="S18" i="82"/>
  <c r="AF14" i="82"/>
  <c r="M13" i="82"/>
  <c r="T11" i="82"/>
  <c r="AF19" i="82"/>
  <c r="S15" i="82"/>
  <c r="AF25" i="82"/>
  <c r="T41" i="82"/>
  <c r="AN41" i="82"/>
  <c r="AF53" i="82"/>
  <c r="M44" i="82"/>
  <c r="AS44" i="82"/>
  <c r="AV35" i="82"/>
  <c r="AO52" i="82"/>
  <c r="AS24" i="82"/>
  <c r="AG50" i="82"/>
  <c r="AS16" i="82"/>
  <c r="AG12" i="82"/>
  <c r="BH25" i="82"/>
  <c r="BH17" i="82"/>
  <c r="AO33" i="82"/>
  <c r="Y14" i="82"/>
  <c r="BA35" i="82"/>
  <c r="AP40" i="82"/>
  <c r="AD36" i="82"/>
  <c r="AT46" i="82"/>
  <c r="AP41" i="82"/>
  <c r="AS12" i="82"/>
  <c r="BK48" i="82"/>
  <c r="AN24" i="82"/>
  <c r="J7" i="82"/>
  <c r="Z51" i="82"/>
  <c r="BK41" i="82"/>
  <c r="BX12" i="82"/>
  <c r="T53" i="82"/>
  <c r="Z36" i="82"/>
  <c r="AU13" i="82"/>
  <c r="Q46" i="82"/>
  <c r="AC14" i="82"/>
  <c r="AT40" i="82"/>
  <c r="Q32" i="82"/>
  <c r="BT47" i="82"/>
  <c r="AZ30" i="82"/>
  <c r="BY21" i="82"/>
  <c r="Y41" i="82"/>
  <c r="Q18" i="82"/>
  <c r="BO32" i="82"/>
  <c r="BO48" i="82"/>
  <c r="Y39" i="82"/>
  <c r="BC53" i="82"/>
  <c r="X47" i="82"/>
  <c r="BU35" i="82"/>
  <c r="AP15" i="82"/>
  <c r="AF6" i="82"/>
  <c r="O44" i="82"/>
  <c r="Y17" i="82"/>
  <c r="Y12" i="82"/>
  <c r="BM25" i="82"/>
  <c r="AG14" i="82"/>
  <c r="BO15" i="82"/>
  <c r="AN10" i="82"/>
  <c r="AF30" i="82"/>
  <c r="BO49" i="82"/>
  <c r="AF40" i="82"/>
  <c r="AN39" i="82"/>
  <c r="S49" i="82"/>
  <c r="AU23" i="82"/>
  <c r="AF10" i="82"/>
  <c r="AN37" i="82"/>
  <c r="AN35" i="82"/>
  <c r="L12" i="82"/>
  <c r="AS48" i="82"/>
  <c r="AS35" i="82"/>
  <c r="AO16" i="82"/>
  <c r="AS42" i="82"/>
  <c r="AS32" i="82"/>
  <c r="BH16" i="82"/>
  <c r="AG49" i="82"/>
  <c r="AX21" i="82"/>
  <c r="AG41" i="82"/>
  <c r="AS52" i="82"/>
  <c r="AO48" i="82"/>
  <c r="BM40" i="82"/>
  <c r="AG25" i="82"/>
  <c r="AX38" i="82"/>
  <c r="AH19" i="82"/>
  <c r="AP7" i="82"/>
  <c r="AN12" i="82"/>
  <c r="AP19" i="82"/>
  <c r="BK24" i="82"/>
  <c r="AN25" i="82"/>
  <c r="AS40" i="82"/>
  <c r="BO16" i="82"/>
  <c r="BO41" i="82"/>
  <c r="AB23" i="82"/>
  <c r="AP12" i="82"/>
  <c r="BT37" i="82"/>
  <c r="BT30" i="82"/>
  <c r="BT48" i="82"/>
  <c r="AP52" i="82"/>
  <c r="S30" i="82"/>
  <c r="BT25" i="82"/>
  <c r="Q7" i="82"/>
  <c r="M49" i="82"/>
  <c r="Y7" i="82"/>
  <c r="BK46" i="82"/>
  <c r="S39" i="82"/>
  <c r="AF49" i="82"/>
  <c r="S33" i="82"/>
  <c r="AT39" i="82"/>
  <c r="AN51" i="82"/>
  <c r="F51" i="82"/>
  <c r="Y47" i="82"/>
  <c r="S42" i="82"/>
  <c r="AN40" i="82"/>
  <c r="AF44" i="82"/>
  <c r="AF50" i="82"/>
  <c r="AN23" i="82"/>
  <c r="AO47" i="82"/>
  <c r="AG10" i="82"/>
  <c r="AS39" i="82"/>
  <c r="AO10" i="82"/>
  <c r="AO36" i="82"/>
  <c r="AS41" i="82"/>
  <c r="BT23" i="82"/>
  <c r="AO41" i="82"/>
  <c r="AS7" i="82"/>
  <c r="BH39" i="82"/>
  <c r="L53" i="82"/>
  <c r="BP39" i="82"/>
  <c r="AX53" i="82"/>
  <c r="AF35" i="82"/>
  <c r="AH11" i="82"/>
  <c r="AX24" i="82"/>
  <c r="AP25" i="82"/>
  <c r="S35" i="82"/>
  <c r="BK32" i="82"/>
  <c r="BK47" i="82"/>
  <c r="BY7" i="82"/>
  <c r="Y30" i="82"/>
  <c r="Q24" i="82"/>
  <c r="BO17" i="82"/>
  <c r="BO20" i="82"/>
  <c r="J6" i="82"/>
  <c r="AA47" i="82"/>
  <c r="Y53" i="82"/>
  <c r="AT30" i="82"/>
  <c r="BM24" i="82"/>
  <c r="BO24" i="82"/>
  <c r="AS13" i="82"/>
  <c r="BT32" i="82"/>
  <c r="BF36" i="82"/>
  <c r="Q41" i="82"/>
  <c r="L10" i="82"/>
  <c r="H53" i="82"/>
  <c r="AN7" i="82"/>
  <c r="AU45" i="82"/>
  <c r="S10" i="82"/>
  <c r="BT38" i="82"/>
  <c r="AK18" i="82"/>
  <c r="T36" i="82"/>
  <c r="AN49" i="82"/>
  <c r="AF52" i="82"/>
  <c r="L20" i="82"/>
  <c r="AF51" i="82"/>
  <c r="S25" i="82"/>
  <c r="T20" i="82"/>
  <c r="M19" i="82"/>
  <c r="AS51" i="82"/>
  <c r="AO39" i="82"/>
  <c r="BH33" i="82"/>
  <c r="AX30" i="82"/>
  <c r="AO49" i="82"/>
  <c r="AF38" i="82"/>
  <c r="AO15" i="82"/>
  <c r="AS45" i="82"/>
  <c r="AO25" i="82"/>
  <c r="AT38" i="82"/>
  <c r="AP10" i="82"/>
  <c r="AP23" i="82"/>
  <c r="AP42" i="82"/>
  <c r="AA35" i="82"/>
  <c r="Z44" i="82"/>
  <c r="BK23" i="82"/>
  <c r="W47" i="82"/>
  <c r="Y48" i="82"/>
  <c r="Q33" i="82"/>
  <c r="BO6" i="82"/>
  <c r="BM44" i="82"/>
  <c r="Z14" i="82"/>
  <c r="M46" i="82"/>
  <c r="BO52" i="82"/>
  <c r="BT15" i="82"/>
  <c r="AN36" i="82"/>
  <c r="BO40" i="82"/>
  <c r="AZ32" i="82"/>
  <c r="AX41" i="82"/>
  <c r="F10" i="82"/>
  <c r="AT52" i="82"/>
  <c r="Y22" i="82"/>
  <c r="AX22" i="82"/>
  <c r="AN18" i="82"/>
  <c r="AF46" i="82"/>
  <c r="S40" i="82"/>
  <c r="AN50" i="82"/>
  <c r="T13" i="82"/>
  <c r="BM22" i="82"/>
  <c r="S16" i="82"/>
  <c r="AP20" i="82"/>
  <c r="AF17" i="82"/>
  <c r="AF16" i="82"/>
  <c r="AK41" i="82"/>
  <c r="T52" i="82"/>
  <c r="AS17" i="82"/>
  <c r="M11" i="82"/>
  <c r="AO18" i="82"/>
  <c r="BH24" i="82"/>
  <c r="AT23" i="82"/>
  <c r="AO51" i="82"/>
  <c r="BH12" i="82"/>
  <c r="AS15" i="82"/>
  <c r="AH51" i="82"/>
  <c r="AO35" i="82"/>
  <c r="AS49" i="82"/>
  <c r="AU52" i="82"/>
  <c r="AX46" i="82"/>
  <c r="AP50" i="82"/>
  <c r="AG17" i="82"/>
  <c r="AP33" i="82"/>
  <c r="BK25" i="82"/>
  <c r="BK15" i="82"/>
  <c r="BK16" i="82"/>
  <c r="BO53" i="82"/>
  <c r="BM39" i="82"/>
  <c r="AA21" i="82"/>
  <c r="AT15" i="82"/>
  <c r="BQ21" i="82"/>
  <c r="H39" i="82"/>
  <c r="AJ30" i="82"/>
  <c r="BM47" i="82"/>
  <c r="AX32" i="82"/>
  <c r="AX49" i="82"/>
  <c r="AT22" i="82"/>
  <c r="AN17" i="82"/>
  <c r="T12" i="82"/>
  <c r="AF20" i="82"/>
  <c r="S32" i="82"/>
  <c r="AF41" i="82"/>
  <c r="L36" i="82"/>
  <c r="AU21" i="82"/>
  <c r="AN42" i="82"/>
  <c r="AF32" i="82"/>
  <c r="AN48" i="82"/>
  <c r="AF24" i="82"/>
  <c r="S41" i="82"/>
  <c r="AK15" i="82"/>
  <c r="AN33" i="82"/>
  <c r="AS33" i="82"/>
  <c r="BH52" i="82"/>
  <c r="BH46" i="82"/>
  <c r="AF15" i="82"/>
  <c r="AS50" i="82"/>
  <c r="BO47" i="82"/>
  <c r="AG42" i="82"/>
  <c r="AS23" i="82"/>
  <c r="AG15" i="82"/>
  <c r="AO23" i="82"/>
  <c r="BH47" i="82"/>
  <c r="AO40" i="82"/>
  <c r="BT46" i="82"/>
  <c r="BX53" i="82"/>
  <c r="AD35" i="82"/>
  <c r="AP49" i="82"/>
  <c r="AX23" i="82"/>
  <c r="BK7" i="82"/>
  <c r="AP17" i="82"/>
  <c r="Q50" i="82"/>
  <c r="BO39" i="82"/>
  <c r="T50" i="82"/>
  <c r="BG14" i="82"/>
  <c r="BH48" i="82"/>
  <c r="H46" i="82"/>
  <c r="AY14" i="82"/>
  <c r="BK35" i="82"/>
  <c r="BO23" i="82"/>
  <c r="BT14" i="82"/>
  <c r="AR22" i="82"/>
  <c r="R21" i="82"/>
  <c r="BH41" i="82"/>
  <c r="P21" i="82"/>
  <c r="T30" i="82"/>
  <c r="Q15" i="82"/>
  <c r="S19" i="82"/>
  <c r="BM53" i="82"/>
  <c r="S17" i="82"/>
  <c r="S23" i="82"/>
  <c r="BM46" i="82"/>
  <c r="AF33" i="82"/>
  <c r="AF18" i="82"/>
  <c r="M38" i="82"/>
  <c r="Y38" i="82"/>
  <c r="AF23" i="82"/>
  <c r="Q39" i="82"/>
  <c r="AO24" i="82"/>
  <c r="BH19" i="82"/>
  <c r="AO44" i="82"/>
  <c r="AS46" i="82"/>
  <c r="AS25" i="82"/>
  <c r="AS11" i="82"/>
  <c r="L11" i="82"/>
  <c r="AG33" i="82"/>
  <c r="BO22" i="82"/>
  <c r="AS18" i="82"/>
  <c r="AO7" i="82"/>
  <c r="M36" i="82"/>
  <c r="BX36" i="82"/>
  <c r="AP32" i="82"/>
  <c r="AP24" i="82"/>
  <c r="AP16" i="82"/>
  <c r="AH12" i="82"/>
  <c r="BK33" i="82"/>
  <c r="H14" i="82"/>
  <c r="BE33" i="82"/>
  <c r="AH52" i="82"/>
  <c r="BG26" i="82"/>
  <c r="AL29" i="82"/>
  <c r="G59" i="4"/>
  <c r="AH9" i="82"/>
  <c r="BS8" i="82"/>
  <c r="AY8" i="82"/>
  <c r="AX29" i="82"/>
  <c r="BB29" i="82"/>
  <c r="V27" i="82"/>
  <c r="F8" i="82"/>
  <c r="AY43" i="82"/>
  <c r="T9" i="82"/>
  <c r="BO28" i="82"/>
  <c r="AX26" i="82"/>
  <c r="G21" i="82"/>
  <c r="BO27" i="82"/>
  <c r="BS29" i="82"/>
  <c r="AA29" i="82"/>
  <c r="H34" i="82"/>
  <c r="M26" i="82"/>
  <c r="AG28" i="82"/>
  <c r="H27" i="82"/>
  <c r="BE43" i="82"/>
  <c r="X43" i="82"/>
  <c r="BE31" i="82"/>
  <c r="AV9" i="82"/>
  <c r="AG8" i="82"/>
  <c r="BE9" i="82"/>
  <c r="BY43" i="82"/>
  <c r="BJ43" i="82"/>
  <c r="AV8" i="82"/>
  <c r="BJ9" i="82"/>
  <c r="AD9" i="82"/>
  <c r="BU43" i="82"/>
  <c r="BS31" i="82"/>
  <c r="BF29" i="82"/>
  <c r="AY9" i="82"/>
  <c r="W31" i="82"/>
  <c r="BG29" i="82"/>
  <c r="BA43" i="82"/>
  <c r="BA34" i="82"/>
  <c r="AY29" i="82"/>
  <c r="AT8" i="82"/>
  <c r="AT28" i="82"/>
  <c r="AL9" i="82"/>
  <c r="AL43" i="82"/>
  <c r="AD27" i="82"/>
  <c r="O29" i="82"/>
  <c r="K9" i="82"/>
  <c r="AE9" i="82"/>
  <c r="V8" i="82"/>
  <c r="AQ29" i="82"/>
  <c r="AQ26" i="82"/>
  <c r="BD9" i="82"/>
  <c r="AV27" i="82"/>
  <c r="BL26" i="82"/>
  <c r="AR27" i="82"/>
  <c r="BI27" i="82"/>
  <c r="BB31" i="82"/>
  <c r="AY27" i="82"/>
  <c r="AK29" i="82"/>
  <c r="BR28" i="82"/>
  <c r="BD8" i="82"/>
  <c r="P9" i="82"/>
  <c r="BJ28" i="82"/>
  <c r="R34" i="82"/>
  <c r="BF28" i="82"/>
  <c r="AH8" i="82"/>
  <c r="BL43" i="82"/>
  <c r="H43" i="82"/>
  <c r="AC34" i="82"/>
  <c r="BY9" i="82"/>
  <c r="Z28" i="82"/>
  <c r="AG27" i="82"/>
  <c r="AC28" i="82"/>
  <c r="BM26" i="82"/>
  <c r="R8" i="82"/>
  <c r="BY27" i="82"/>
  <c r="BT34" i="82"/>
  <c r="G13" i="82"/>
  <c r="BT27" i="82"/>
  <c r="R28" i="82"/>
  <c r="AA27" i="82"/>
  <c r="G23" i="82"/>
  <c r="BY29" i="82"/>
  <c r="F43" i="82"/>
  <c r="BN43" i="82"/>
  <c r="Y34" i="82"/>
  <c r="AI34" i="82"/>
  <c r="V29" i="82"/>
  <c r="BA29" i="82"/>
  <c r="I43" i="82"/>
  <c r="AB9" i="82"/>
  <c r="AE43" i="82"/>
  <c r="AM9" i="82"/>
  <c r="AT26" i="82"/>
  <c r="AM31" i="82"/>
  <c r="AL27" i="82"/>
  <c r="AL26" i="82"/>
  <c r="AD28" i="82"/>
  <c r="K27" i="82"/>
  <c r="AE26" i="82"/>
  <c r="V34" i="82"/>
  <c r="AQ31" i="82"/>
  <c r="AR9" i="82"/>
  <c r="BJ29" i="82"/>
  <c r="BI9" i="82"/>
  <c r="BB28" i="82"/>
  <c r="AK8" i="82"/>
  <c r="BC28" i="82"/>
  <c r="AW28" i="82"/>
  <c r="AW43" i="82"/>
  <c r="BD28" i="82"/>
  <c r="O26" i="82"/>
  <c r="BG43" i="82"/>
  <c r="Q28" i="82"/>
  <c r="AB28" i="82"/>
  <c r="BN28" i="82"/>
  <c r="BN12" i="82"/>
  <c r="AJ26" i="82"/>
  <c r="R26" i="82"/>
  <c r="R29" i="82"/>
  <c r="AA9" i="82"/>
  <c r="S31" i="82"/>
  <c r="BF31" i="82"/>
  <c r="BG9" i="82"/>
  <c r="H8" i="82"/>
  <c r="BE26" i="82"/>
  <c r="BF11" i="82"/>
  <c r="BF16" i="82"/>
  <c r="AW9" i="82"/>
  <c r="AA34" i="82"/>
  <c r="BK29" i="82"/>
  <c r="G60" i="4"/>
  <c r="BV9" i="82"/>
  <c r="AY26" i="82"/>
  <c r="M8" i="82"/>
  <c r="F26" i="82"/>
  <c r="AU26" i="82"/>
  <c r="BV8" i="82"/>
  <c r="BM34" i="82"/>
  <c r="O34" i="82"/>
  <c r="BT28" i="82"/>
  <c r="BJ31" i="82"/>
  <c r="AI9" i="82"/>
  <c r="I9" i="82"/>
  <c r="AZ8" i="82"/>
  <c r="AB27" i="82"/>
  <c r="BR29" i="82"/>
  <c r="AE27" i="82"/>
  <c r="BR31" i="82"/>
  <c r="K34" i="82"/>
  <c r="BN29" i="82"/>
  <c r="AE28" i="82"/>
  <c r="X26" i="82"/>
  <c r="AQ28" i="82"/>
  <c r="AJ9" i="82"/>
  <c r="AJ27" i="82"/>
  <c r="U8" i="82"/>
  <c r="BL9" i="82"/>
  <c r="U9" i="82"/>
  <c r="BR26" i="82"/>
  <c r="P31" i="82"/>
  <c r="AR8" i="82"/>
  <c r="AR31" i="82"/>
  <c r="R31" i="82"/>
  <c r="BB26" i="82"/>
  <c r="AK27" i="82"/>
  <c r="BC26" i="82"/>
  <c r="AW27" i="82"/>
  <c r="X27" i="82"/>
  <c r="P8" i="82"/>
  <c r="BU29" i="82"/>
  <c r="BU31" i="82"/>
  <c r="AC29" i="82"/>
  <c r="W34" i="82"/>
  <c r="AB31" i="82"/>
  <c r="BR9" i="82"/>
  <c r="K8" i="82"/>
  <c r="AE29" i="82"/>
  <c r="AT29" i="82"/>
  <c r="BD43" i="82"/>
  <c r="P28" i="82"/>
  <c r="BF9" i="82"/>
  <c r="BV26" i="82"/>
  <c r="R27" i="82"/>
  <c r="BF26" i="82"/>
  <c r="BQ31" i="82"/>
  <c r="BU27" i="82"/>
  <c r="L8" i="82"/>
  <c r="AU9" i="82"/>
  <c r="BG28" i="82"/>
  <c r="AC26" i="82"/>
  <c r="BJ34" i="82"/>
  <c r="BV27" i="82"/>
  <c r="Y28" i="82"/>
  <c r="BS26" i="82"/>
  <c r="G61" i="4"/>
  <c r="BN8" i="82"/>
  <c r="O9" i="82"/>
  <c r="BO43" i="82"/>
  <c r="BV34" i="82"/>
  <c r="BV29" i="82"/>
  <c r="BT29" i="82"/>
  <c r="BE34" i="82"/>
  <c r="BY8" i="82"/>
  <c r="R43" i="82"/>
  <c r="W26" i="82"/>
  <c r="AB43" i="82"/>
  <c r="AI8" i="82"/>
  <c r="I34" i="82"/>
  <c r="AZ9" i="82"/>
  <c r="AZ27" i="82"/>
  <c r="AB34" i="82"/>
  <c r="AY31" i="82"/>
  <c r="AT34" i="82"/>
  <c r="AT27" i="82"/>
  <c r="BL28" i="82"/>
  <c r="I26" i="82"/>
  <c r="BY28" i="82"/>
  <c r="AE34" i="82"/>
  <c r="AE8" i="82"/>
  <c r="V9" i="82"/>
  <c r="AQ8" i="82"/>
  <c r="AJ29" i="82"/>
  <c r="AJ43" i="82"/>
  <c r="AV31" i="82"/>
  <c r="BI31" i="82"/>
  <c r="BI28" i="82"/>
  <c r="BI26" i="82"/>
  <c r="U31" i="82"/>
  <c r="AK9" i="82"/>
  <c r="BC27" i="82"/>
  <c r="AW8" i="82"/>
  <c r="AB8" i="82"/>
  <c r="BD34" i="82"/>
  <c r="BD31" i="82"/>
  <c r="BD26" i="82"/>
  <c r="BT43" i="82"/>
  <c r="R9" i="82"/>
  <c r="AD26" i="82"/>
  <c r="L31" i="82"/>
  <c r="L26" i="82"/>
  <c r="AX8" i="82"/>
  <c r="X31" i="82"/>
  <c r="O27" i="82"/>
  <c r="AQ34" i="82"/>
  <c r="AJ28" i="82"/>
  <c r="BB34" i="82"/>
  <c r="AW29" i="82"/>
  <c r="BF34" i="82"/>
  <c r="L9" i="82"/>
  <c r="BU26" i="82"/>
  <c r="M34" i="82"/>
  <c r="BG27" i="82"/>
  <c r="BH31" i="82"/>
  <c r="BN27" i="82"/>
  <c r="T8" i="82"/>
  <c r="AU34" i="82"/>
  <c r="F34" i="82"/>
  <c r="AH26" i="82"/>
  <c r="G58" i="4"/>
  <c r="BF8" i="82"/>
  <c r="Y9" i="82"/>
  <c r="AA26" i="82"/>
  <c r="AC43" i="82"/>
  <c r="BU34" i="82"/>
  <c r="BX34" i="82"/>
  <c r="AN29" i="82"/>
  <c r="BR27" i="82"/>
  <c r="W43" i="82"/>
  <c r="E58" i="82"/>
  <c r="E61" i="82"/>
  <c r="E60" i="82"/>
  <c r="E59" i="82"/>
  <c r="AI26" i="82"/>
  <c r="AI28" i="82"/>
  <c r="I8" i="82"/>
  <c r="BJ26" i="82"/>
  <c r="AX9" i="82"/>
  <c r="AL34" i="82"/>
  <c r="AD43" i="82"/>
  <c r="BG34" i="82"/>
  <c r="BR8" i="82"/>
  <c r="AE31" i="82"/>
  <c r="V28" i="82"/>
  <c r="V26" i="82"/>
  <c r="AJ31" i="82"/>
  <c r="I28" i="82"/>
  <c r="U29" i="82"/>
  <c r="AR34" i="82"/>
  <c r="AM34" i="82"/>
  <c r="BI34" i="82"/>
  <c r="BI29" i="82"/>
  <c r="BB9" i="82"/>
  <c r="AK43" i="82"/>
  <c r="AK34" i="82"/>
  <c r="BC9" i="82"/>
  <c r="P34" i="82"/>
  <c r="BX8" i="82"/>
  <c r="AI31" i="82"/>
  <c r="BL27" i="82"/>
  <c r="AK28" i="82"/>
  <c r="AW34" i="82"/>
  <c r="F31" i="82"/>
  <c r="X9" i="82"/>
  <c r="AC27" i="82"/>
  <c r="BS34" i="82"/>
  <c r="X34" i="82"/>
  <c r="AA8" i="82"/>
  <c r="BU28" i="82"/>
  <c r="AC8" i="82"/>
  <c r="AW26" i="82"/>
  <c r="BX26" i="82"/>
  <c r="AH31" i="82"/>
  <c r="Y43" i="82"/>
  <c r="BN34" i="82"/>
  <c r="AV26" i="82"/>
  <c r="P26" i="82"/>
  <c r="W27" i="82"/>
  <c r="W9" i="82"/>
  <c r="BG8" i="82"/>
  <c r="BA28" i="82"/>
  <c r="BA8" i="82"/>
  <c r="AI43" i="82"/>
  <c r="AI29" i="82"/>
  <c r="AZ26" i="82"/>
  <c r="AZ29" i="82"/>
  <c r="AB26" i="82"/>
  <c r="AT31" i="82"/>
  <c r="BB43" i="82"/>
  <c r="W28" i="82"/>
  <c r="BR43" i="82"/>
  <c r="K29" i="82"/>
  <c r="K31" i="82"/>
  <c r="K26" i="82"/>
  <c r="BA26" i="82"/>
  <c r="AQ27" i="82"/>
  <c r="AV28" i="82"/>
  <c r="BL34" i="82"/>
  <c r="BL8" i="82"/>
  <c r="U27" i="82"/>
  <c r="AR28" i="82"/>
  <c r="AM27" i="82"/>
  <c r="AM8" i="82"/>
  <c r="BI43" i="82"/>
  <c r="BI8" i="82"/>
  <c r="BB27" i="82"/>
  <c r="BB8" i="82"/>
  <c r="BC8" i="82"/>
  <c r="BC43" i="82"/>
  <c r="P27" i="82"/>
  <c r="P43" i="82"/>
  <c r="AD34" i="82"/>
  <c r="AD8" i="82"/>
  <c r="AV29" i="82"/>
  <c r="BG31" i="82"/>
  <c r="BS43" i="82"/>
  <c r="BY34" i="82"/>
  <c r="BY26" i="82"/>
  <c r="AX34" i="82"/>
  <c r="X28" i="82"/>
  <c r="BL29" i="82"/>
  <c r="AR26" i="82"/>
  <c r="AJ34" i="82"/>
  <c r="Q27" i="82"/>
  <c r="BN26" i="82"/>
  <c r="BN9" i="82"/>
  <c r="AD31" i="82"/>
  <c r="Y26" i="82"/>
  <c r="BS28" i="82"/>
  <c r="BU9" i="82"/>
  <c r="BN31" i="82"/>
  <c r="AY34" i="82"/>
  <c r="AY28" i="82"/>
  <c r="F29" i="82"/>
  <c r="O43" i="82"/>
  <c r="AU43" i="82"/>
  <c r="BH28" i="82"/>
  <c r="BX31" i="82"/>
  <c r="H28" i="82"/>
  <c r="F9" i="82"/>
  <c r="AV34" i="82"/>
  <c r="AX43" i="82"/>
  <c r="M27" i="82"/>
  <c r="BX9" i="82"/>
  <c r="S29" i="82"/>
  <c r="O8" i="82"/>
  <c r="T31" i="82"/>
  <c r="BJ27" i="82"/>
  <c r="X8" i="82"/>
  <c r="AT43" i="82"/>
  <c r="O31" i="82"/>
  <c r="W8" i="82"/>
  <c r="BA27" i="82"/>
  <c r="BA9" i="82"/>
  <c r="U43" i="82"/>
  <c r="AI27" i="82"/>
  <c r="I27" i="82"/>
  <c r="I31" i="82"/>
  <c r="AZ34" i="82"/>
  <c r="AB29" i="82"/>
  <c r="AX28" i="82"/>
  <c r="AT9" i="82"/>
  <c r="AL8" i="82"/>
  <c r="AD29" i="82"/>
  <c r="AC9" i="82"/>
  <c r="O28" i="82"/>
  <c r="BR34" i="82"/>
  <c r="K43" i="82"/>
  <c r="K28" i="82"/>
  <c r="V31" i="82"/>
  <c r="AQ9" i="82"/>
  <c r="BC29" i="82"/>
  <c r="AJ8" i="82"/>
  <c r="AV43" i="82"/>
  <c r="BL31" i="82"/>
  <c r="U34" i="82"/>
  <c r="U28" i="82"/>
  <c r="BJ8" i="82"/>
  <c r="W29" i="82"/>
  <c r="AZ31" i="82"/>
  <c r="AM28" i="82"/>
  <c r="AM43" i="82"/>
  <c r="U26" i="82"/>
  <c r="AK26" i="82"/>
  <c r="AK31" i="82"/>
  <c r="BC34" i="82"/>
  <c r="BC31" i="82"/>
  <c r="P29" i="82"/>
  <c r="BD27" i="82"/>
  <c r="CK31" i="4"/>
  <c r="CO17" i="4"/>
  <c r="CF51" i="4"/>
  <c r="CD37" i="4"/>
  <c r="BZ48" i="4"/>
  <c r="CH18" i="4"/>
  <c r="CS10" i="4"/>
  <c r="CG35" i="4"/>
  <c r="BZ19" i="4"/>
  <c r="BZ24" i="4"/>
  <c r="CB11" i="4"/>
  <c r="CE48" i="4"/>
  <c r="CP15" i="4"/>
  <c r="BZ23" i="4"/>
  <c r="CD25" i="4"/>
  <c r="BZ6" i="4"/>
  <c r="CT33" i="4"/>
  <c r="CP6" i="4"/>
  <c r="CC33" i="4"/>
  <c r="CM14" i="4"/>
  <c r="CD36" i="4"/>
  <c r="CK50" i="4"/>
  <c r="CT8" i="4"/>
  <c r="CQ39" i="4"/>
  <c r="CR27" i="4"/>
  <c r="CL43" i="4"/>
  <c r="CG24" i="4"/>
  <c r="CL29" i="4"/>
  <c r="CP28" i="4"/>
  <c r="CJ17" i="4"/>
  <c r="CV7" i="4"/>
  <c r="CJ37" i="4"/>
  <c r="CQ24" i="4"/>
  <c r="CX26" i="4"/>
  <c r="CB53" i="4"/>
  <c r="CN26" i="4"/>
  <c r="CI27" i="4"/>
  <c r="CJ47" i="4"/>
  <c r="CR23" i="4"/>
  <c r="CH17" i="4"/>
  <c r="CM48" i="4"/>
  <c r="CH27" i="4"/>
  <c r="CK38" i="4"/>
  <c r="CY46" i="4"/>
  <c r="CS53" i="4"/>
  <c r="CM35" i="4"/>
  <c r="CT34" i="4"/>
  <c r="CS28" i="4"/>
  <c r="CV36" i="4"/>
  <c r="CB45" i="4"/>
  <c r="CB24" i="4"/>
  <c r="CU27" i="4"/>
  <c r="CI35" i="4"/>
  <c r="CF26" i="4"/>
  <c r="CW43" i="4"/>
  <c r="CY23" i="4"/>
  <c r="CG23" i="4"/>
  <c r="CR12" i="4"/>
  <c r="CN39" i="4"/>
  <c r="CJ27" i="4"/>
  <c r="CF35" i="4"/>
  <c r="CW27" i="4"/>
  <c r="CT43" i="4"/>
  <c r="CL26" i="4"/>
  <c r="CV17" i="4"/>
  <c r="CU14" i="4"/>
  <c r="CK49" i="4"/>
  <c r="CI39" i="4"/>
  <c r="CR25" i="4"/>
  <c r="CS8" i="4"/>
  <c r="CW47" i="4"/>
  <c r="CK23" i="4"/>
  <c r="CU22" i="4"/>
  <c r="CT42" i="4"/>
  <c r="CC32" i="4"/>
  <c r="CC10" i="4"/>
  <c r="CO21" i="4"/>
  <c r="CJ52" i="4"/>
  <c r="CV21" i="4"/>
  <c r="CQ29" i="4"/>
  <c r="CX37" i="4"/>
  <c r="CQ21" i="4"/>
  <c r="BZ18" i="4"/>
  <c r="CF44" i="4"/>
  <c r="CY43" i="4"/>
  <c r="CH19" i="4"/>
  <c r="CB7" i="4"/>
  <c r="CV24" i="4"/>
  <c r="CC18" i="4"/>
  <c r="CD51" i="4"/>
  <c r="CE17" i="4"/>
  <c r="CD44" i="4"/>
  <c r="BZ8" i="4"/>
  <c r="CR9" i="4"/>
  <c r="CI40" i="4"/>
  <c r="CY9" i="4"/>
  <c r="CG18" i="4"/>
  <c r="BZ27" i="4"/>
  <c r="CH15" i="4"/>
  <c r="BZ15" i="4"/>
  <c r="CQ40" i="4"/>
  <c r="BZ12" i="4"/>
  <c r="CC12" i="4"/>
  <c r="BZ22" i="4"/>
  <c r="CW18" i="4"/>
  <c r="CX51" i="4"/>
  <c r="CU31" i="4"/>
  <c r="CR49" i="4"/>
  <c r="CJ24" i="4"/>
  <c r="CH8" i="4"/>
  <c r="CA34" i="4"/>
  <c r="CK34" i="4"/>
  <c r="CH12" i="4"/>
  <c r="CI13" i="4"/>
  <c r="CU30" i="4"/>
  <c r="CN15" i="4"/>
  <c r="CC8" i="4"/>
  <c r="CK39" i="4"/>
  <c r="CL27" i="4"/>
  <c r="CG43" i="4"/>
  <c r="CX39" i="4"/>
  <c r="CI34" i="4"/>
  <c r="CH28" i="4"/>
  <c r="CP36" i="4"/>
  <c r="CP19" i="4"/>
  <c r="CK24" i="4"/>
  <c r="CD26" i="4"/>
  <c r="CN35" i="4"/>
  <c r="CI26" i="4"/>
  <c r="CF27" i="4"/>
  <c r="CH45" i="4"/>
  <c r="CL23" i="4"/>
  <c r="CI42" i="4"/>
  <c r="CW32" i="4"/>
  <c r="CL34" i="4"/>
  <c r="CL37" i="4"/>
  <c r="CX43" i="4"/>
  <c r="CO24" i="4"/>
  <c r="CD39" i="4"/>
  <c r="CR26" i="4"/>
  <c r="CY29" i="4"/>
  <c r="CA36" i="4"/>
  <c r="CG34" i="4"/>
  <c r="CI7" i="4"/>
  <c r="CO43" i="4"/>
  <c r="CD24" i="4"/>
  <c r="CU8" i="4"/>
  <c r="CF21" i="4"/>
  <c r="CB10" i="4"/>
  <c r="CE39" i="4"/>
  <c r="CM10" i="4"/>
  <c r="CX21" i="4"/>
  <c r="CK7" i="4"/>
  <c r="CI25" i="4"/>
  <c r="CH41" i="4"/>
  <c r="CR29" i="4"/>
  <c r="CV29" i="4"/>
  <c r="CG12" i="4"/>
  <c r="CV30" i="4"/>
  <c r="CX40" i="4"/>
  <c r="CG11" i="4"/>
  <c r="CV53" i="4"/>
  <c r="CT47" i="4"/>
  <c r="CN36" i="4"/>
  <c r="CY52" i="4"/>
  <c r="CA53" i="4"/>
  <c r="CB36" i="4"/>
  <c r="CA17" i="4"/>
  <c r="CO35" i="4"/>
  <c r="CD50" i="4"/>
  <c r="CC13" i="4"/>
  <c r="CD9" i="4"/>
  <c r="BZ47" i="4"/>
  <c r="CS32" i="4"/>
  <c r="BZ29" i="4"/>
  <c r="CE32" i="4"/>
  <c r="CA16" i="4"/>
  <c r="CF16" i="4"/>
  <c r="CN40" i="4"/>
  <c r="CU19" i="4"/>
  <c r="CR18" i="4"/>
  <c r="CH32" i="4"/>
  <c r="CK21" i="4"/>
  <c r="CB31" i="4"/>
  <c r="CR47" i="4"/>
  <c r="CT44" i="4"/>
  <c r="CM15" i="4"/>
  <c r="CF37" i="4"/>
  <c r="CO51" i="4"/>
  <c r="CJ31" i="4"/>
  <c r="CL49" i="4"/>
  <c r="CP39" i="4"/>
  <c r="CA8" i="4"/>
  <c r="CY21" i="4"/>
  <c r="CB34" i="4"/>
  <c r="CY16" i="4"/>
  <c r="CF13" i="4"/>
  <c r="CI15" i="4"/>
  <c r="CR34" i="4"/>
  <c r="CR37" i="4"/>
  <c r="CG27" i="4"/>
  <c r="CX24" i="4"/>
  <c r="CO39" i="4"/>
  <c r="CI53" i="4"/>
  <c r="CA28" i="4"/>
  <c r="CL36" i="4"/>
  <c r="CJ25" i="4"/>
  <c r="CH47" i="4"/>
  <c r="CM32" i="4"/>
  <c r="CA39" i="4"/>
  <c r="CS34" i="4"/>
  <c r="CM21" i="4"/>
  <c r="CI21" i="4"/>
  <c r="CM16" i="4"/>
  <c r="CG37" i="4"/>
  <c r="CR11" i="4"/>
  <c r="CQ7" i="4"/>
  <c r="CY8" i="4"/>
  <c r="CM34" i="4"/>
  <c r="CE21" i="4"/>
  <c r="CY20" i="4"/>
  <c r="CO7" i="4"/>
  <c r="CW38" i="4"/>
  <c r="CR7" i="4"/>
  <c r="CL11" i="4"/>
  <c r="CP40" i="4"/>
  <c r="CH33" i="4"/>
  <c r="CP53" i="4"/>
  <c r="CG21" i="4"/>
  <c r="CO22" i="4"/>
  <c r="CE44" i="4"/>
  <c r="CG41" i="4"/>
  <c r="CB49" i="4"/>
  <c r="CK15" i="4"/>
  <c r="BZ43" i="4"/>
  <c r="CK26" i="4"/>
  <c r="CP37" i="4"/>
  <c r="CI41" i="4"/>
  <c r="CW37" i="4"/>
  <c r="CB16" i="4"/>
  <c r="CU7" i="4"/>
  <c r="CV40" i="4"/>
  <c r="CS11" i="4"/>
  <c r="CH31" i="4"/>
  <c r="CT40" i="4"/>
  <c r="CL50" i="4"/>
  <c r="CC28" i="4"/>
  <c r="CV16" i="4"/>
  <c r="CD32" i="4"/>
  <c r="CE30" i="4"/>
  <c r="CY11" i="4"/>
  <c r="CP31" i="4"/>
  <c r="CW40" i="4"/>
  <c r="CL10" i="4"/>
  <c r="CW51" i="4"/>
  <c r="CA11" i="4"/>
  <c r="CK18" i="4"/>
  <c r="BZ49" i="4"/>
  <c r="CX15" i="4"/>
  <c r="CV45" i="4"/>
  <c r="CO41" i="4"/>
  <c r="CK46" i="4"/>
  <c r="CU9" i="4"/>
  <c r="CW42" i="4"/>
  <c r="CO10" i="4"/>
  <c r="CP11" i="4"/>
  <c r="CQ18" i="4"/>
  <c r="CO49" i="4"/>
  <c r="CG50" i="4"/>
  <c r="CE47" i="4"/>
  <c r="CX41" i="4"/>
  <c r="CQ46" i="4"/>
  <c r="CD18" i="4"/>
  <c r="CI44" i="4"/>
  <c r="CE16" i="4"/>
  <c r="CF43" i="4"/>
  <c r="CT23" i="4"/>
  <c r="CQ16" i="4"/>
  <c r="CF42" i="4"/>
  <c r="CT19" i="4"/>
  <c r="CV43" i="4"/>
  <c r="CY22" i="4"/>
  <c r="CQ13" i="4"/>
  <c r="CE25" i="4"/>
  <c r="CN14" i="4"/>
  <c r="CA43" i="4"/>
  <c r="CI10" i="4"/>
  <c r="CX28" i="4"/>
  <c r="CQ14" i="4"/>
  <c r="CP24" i="4"/>
  <c r="CN41" i="4"/>
  <c r="CX16" i="4"/>
  <c r="CJ11" i="4"/>
  <c r="CM25" i="4"/>
  <c r="CK6" i="4"/>
  <c r="CP43" i="4"/>
  <c r="CL44" i="4"/>
  <c r="CG20" i="4"/>
  <c r="CV14" i="4"/>
  <c r="CJ43" i="4"/>
  <c r="CB33" i="4"/>
  <c r="CA21" i="4"/>
  <c r="CV39" i="4"/>
  <c r="CX42" i="4"/>
  <c r="CP10" i="4"/>
  <c r="CJ15" i="4"/>
  <c r="CA50" i="4"/>
  <c r="CC23" i="4"/>
  <c r="CP45" i="4"/>
  <c r="CS37" i="4"/>
  <c r="CW7" i="4"/>
  <c r="CT17" i="4"/>
  <c r="CG8" i="4"/>
  <c r="CT29" i="4"/>
  <c r="CJ50" i="4"/>
  <c r="CW23" i="4"/>
  <c r="BZ31" i="4"/>
  <c r="CY37" i="4"/>
  <c r="CF32" i="4"/>
  <c r="CI16" i="4"/>
  <c r="CL8" i="4"/>
  <c r="CW29" i="4"/>
  <c r="CU50" i="4"/>
  <c r="CW28" i="4"/>
  <c r="CE12" i="4"/>
  <c r="CX32" i="4"/>
  <c r="CM30" i="4"/>
  <c r="CH13" i="4"/>
  <c r="CJ21" i="4"/>
  <c r="CF30" i="4"/>
  <c r="CR10" i="4"/>
  <c r="CF7" i="4"/>
  <c r="CH16" i="4"/>
  <c r="CF20" i="4"/>
  <c r="CM12" i="4"/>
  <c r="CG15" i="4"/>
  <c r="CA9" i="4"/>
  <c r="CJ42" i="4"/>
  <c r="CU21" i="4"/>
  <c r="CI30" i="4"/>
  <c r="CI37" i="4"/>
  <c r="CN7" i="4"/>
  <c r="CJ16" i="4"/>
  <c r="CM29" i="4"/>
  <c r="CO46" i="4"/>
  <c r="CU34" i="4"/>
  <c r="CP41" i="4"/>
  <c r="CP17" i="4"/>
  <c r="CY13" i="4"/>
  <c r="CJ35" i="4"/>
  <c r="CX47" i="4"/>
  <c r="CL16" i="4"/>
  <c r="CF10" i="4"/>
  <c r="CD33" i="4"/>
  <c r="CV38" i="4"/>
  <c r="CQ25" i="4"/>
  <c r="CI23" i="4"/>
  <c r="CP49" i="4"/>
  <c r="CT35" i="4"/>
  <c r="CY40" i="4"/>
  <c r="CU16" i="4"/>
  <c r="CL42" i="4"/>
  <c r="CB19" i="4"/>
  <c r="CX33" i="4"/>
  <c r="CE52" i="4"/>
  <c r="CS51" i="4"/>
  <c r="CN23" i="4"/>
  <c r="CJ48" i="4"/>
  <c r="CW35" i="4"/>
  <c r="CA30" i="4"/>
  <c r="CE26" i="4"/>
  <c r="CQ47" i="4"/>
  <c r="CJ28" i="4"/>
  <c r="CK44" i="4"/>
  <c r="CK11" i="4"/>
  <c r="CE42" i="4"/>
  <c r="CP12" i="4"/>
  <c r="CQ34" i="4"/>
  <c r="CH34" i="4"/>
  <c r="CP8" i="4"/>
  <c r="CP21" i="4"/>
  <c r="CE24" i="4"/>
  <c r="CG44" i="4"/>
  <c r="BZ37" i="4"/>
  <c r="CU15" i="4"/>
  <c r="CN24" i="4"/>
  <c r="CV20" i="4"/>
  <c r="CT37" i="4"/>
  <c r="CO8" i="4"/>
  <c r="CY17" i="4"/>
  <c r="CT36" i="4"/>
  <c r="CO37" i="4"/>
  <c r="CO50" i="4"/>
  <c r="CB43" i="4"/>
  <c r="CE22" i="4"/>
  <c r="CI11" i="4"/>
  <c r="CF45" i="4"/>
  <c r="CO31" i="4"/>
  <c r="CH11" i="4"/>
  <c r="CB15" i="4"/>
  <c r="CK12" i="4"/>
  <c r="CR8" i="4"/>
  <c r="CF28" i="4"/>
  <c r="CX10" i="4"/>
  <c r="CS15" i="4"/>
  <c r="CV9" i="4"/>
  <c r="CB47" i="4"/>
  <c r="CC34" i="4"/>
  <c r="CJ13" i="4"/>
  <c r="CV15" i="4"/>
  <c r="CO30" i="4"/>
  <c r="CC39" i="4"/>
  <c r="CI28" i="4"/>
  <c r="CG19" i="4"/>
  <c r="CY15" i="4"/>
  <c r="CE18" i="4"/>
  <c r="CD22" i="4"/>
  <c r="CA48" i="4"/>
  <c r="CS26" i="4"/>
  <c r="CV37" i="4"/>
  <c r="CI43" i="4"/>
  <c r="CT16" i="4"/>
  <c r="CR46" i="4"/>
  <c r="CK8" i="4"/>
  <c r="CM42" i="4"/>
  <c r="CC36" i="4"/>
  <c r="CY25" i="4"/>
  <c r="CW41" i="4"/>
  <c r="CT10" i="4"/>
  <c r="CS47" i="4"/>
  <c r="CL33" i="4"/>
  <c r="CE38" i="4"/>
  <c r="CX18" i="4"/>
  <c r="CK36" i="4"/>
  <c r="CP44" i="4"/>
  <c r="CW36" i="4"/>
  <c r="CH51" i="4"/>
  <c r="CF33" i="4"/>
  <c r="CI19" i="4"/>
  <c r="CY47" i="4"/>
  <c r="CR33" i="4"/>
  <c r="CM38" i="4"/>
  <c r="CG25" i="4"/>
  <c r="CF14" i="4"/>
  <c r="CG39" i="4"/>
  <c r="CV25" i="4"/>
  <c r="CQ17" i="4"/>
  <c r="CJ44" i="4"/>
  <c r="CU17" i="4"/>
  <c r="CJ20" i="4"/>
  <c r="CI20" i="4"/>
  <c r="CL24" i="4"/>
  <c r="CR43" i="4"/>
  <c r="CC26" i="4"/>
  <c r="CS24" i="4"/>
  <c r="CW8" i="4"/>
  <c r="CV42" i="4"/>
  <c r="CL22" i="4"/>
  <c r="CV34" i="4"/>
  <c r="CP34" i="4"/>
  <c r="CM26" i="4"/>
  <c r="CS31" i="4"/>
  <c r="CU28" i="4"/>
  <c r="CQ44" i="4"/>
  <c r="CQ11" i="4"/>
  <c r="CY27" i="4"/>
  <c r="CJ45" i="4"/>
  <c r="CJ36" i="4"/>
  <c r="CA35" i="4"/>
  <c r="CY31" i="4"/>
  <c r="CD20" i="4"/>
  <c r="CV44" i="4"/>
  <c r="CV11" i="4"/>
  <c r="CA26" i="4"/>
  <c r="CU45" i="4"/>
  <c r="CU36" i="4"/>
  <c r="CC24" i="4"/>
  <c r="CH29" i="4"/>
  <c r="CN17" i="4"/>
  <c r="CT13" i="4"/>
  <c r="CX50" i="4"/>
  <c r="CK43" i="4"/>
  <c r="CM22" i="4"/>
  <c r="CN11" i="4"/>
  <c r="CO19" i="4"/>
  <c r="CJ51" i="4"/>
  <c r="CW24" i="4"/>
  <c r="CG22" i="4"/>
  <c r="CK16" i="4"/>
  <c r="CW13" i="4"/>
  <c r="CG10" i="4"/>
  <c r="CQ43" i="4"/>
  <c r="CS22" i="4"/>
  <c r="CK13" i="4"/>
  <c r="CX19" i="4"/>
  <c r="CU51" i="4"/>
  <c r="CK29" i="4"/>
  <c r="CV18" i="4"/>
  <c r="CT52" i="4"/>
  <c r="CM24" i="4"/>
  <c r="CR15" i="4"/>
  <c r="CO28" i="4"/>
  <c r="CK14" i="4"/>
  <c r="CH24" i="4"/>
  <c r="CA29" i="4"/>
  <c r="CE23" i="4"/>
  <c r="CN10" i="4"/>
  <c r="BZ25" i="4"/>
  <c r="CX44" i="4"/>
  <c r="CD34" i="4"/>
  <c r="CB9" i="4"/>
  <c r="CR17" i="4"/>
  <c r="CK32" i="4"/>
  <c r="CJ12" i="4"/>
  <c r="CP29" i="4"/>
  <c r="CM23" i="4"/>
  <c r="CK19" i="4"/>
  <c r="CO25" i="4"/>
  <c r="CG36" i="4"/>
  <c r="CO34" i="4"/>
  <c r="CW44" i="4"/>
  <c r="CI12" i="4"/>
  <c r="CQ32" i="4"/>
  <c r="CO33" i="4"/>
  <c r="CJ53" i="4"/>
  <c r="CO44" i="4"/>
  <c r="CI14" i="4"/>
  <c r="CW12" i="4"/>
  <c r="CL13" i="4"/>
  <c r="CB29" i="4"/>
  <c r="CD31" i="4"/>
  <c r="CB26" i="4"/>
  <c r="CK35" i="4"/>
  <c r="CQ53" i="4"/>
  <c r="CL35" i="4"/>
  <c r="CE43" i="4"/>
  <c r="CO16" i="4"/>
  <c r="CU20" i="4"/>
  <c r="CK22" i="4"/>
  <c r="CR24" i="4"/>
  <c r="CC27" i="4"/>
  <c r="CT26" i="4"/>
  <c r="CY24" i="4"/>
  <c r="CF39" i="4"/>
  <c r="CV50" i="4"/>
  <c r="CC25" i="4"/>
  <c r="CT21" i="4"/>
  <c r="BZ7" i="4"/>
  <c r="CI29" i="4"/>
  <c r="CR28" i="4"/>
  <c r="CR52" i="4"/>
  <c r="CC6" i="4"/>
  <c r="CC49" i="4"/>
  <c r="CI33" i="4"/>
  <c r="CW46" i="4"/>
  <c r="CF19" i="4"/>
  <c r="CT51" i="4"/>
  <c r="CX11" i="4"/>
  <c r="CO45" i="4"/>
  <c r="CW45" i="4"/>
  <c r="CB6" i="4"/>
  <c r="CT24" i="4"/>
  <c r="CM51" i="4"/>
  <c r="CR22" i="4"/>
  <c r="CU44" i="4"/>
  <c r="CO53" i="4"/>
  <c r="CW21" i="4"/>
  <c r="CA52" i="4"/>
  <c r="CV6" i="4"/>
  <c r="CN43" i="4"/>
  <c r="CP7" i="4"/>
  <c r="CI45" i="4"/>
  <c r="CO36" i="4"/>
  <c r="CX53" i="4"/>
  <c r="CF34" i="4"/>
  <c r="CH52" i="4"/>
  <c r="CP35" i="4"/>
  <c r="CH21" i="4"/>
  <c r="CX20" i="4"/>
  <c r="CE36" i="4"/>
  <c r="CM13" i="4"/>
  <c r="CH26" i="4"/>
  <c r="CD47" i="4"/>
  <c r="CX17" i="4"/>
  <c r="CN13" i="4"/>
  <c r="CR32" i="4"/>
  <c r="BZ46" i="4"/>
  <c r="CJ34" i="4"/>
  <c r="CV49" i="4"/>
  <c r="CM36" i="4"/>
  <c r="CS13" i="4"/>
  <c r="CP26" i="4"/>
  <c r="CO47" i="4"/>
  <c r="CG16" i="4"/>
  <c r="CB42" i="4"/>
  <c r="CC15" i="4"/>
  <c r="CH20" i="4"/>
  <c r="CW50" i="4"/>
  <c r="CU41" i="4"/>
  <c r="CB38" i="4"/>
  <c r="CK25" i="4"/>
  <c r="CF23" i="4"/>
  <c r="CH49" i="4"/>
  <c r="CC35" i="4"/>
  <c r="CE31" i="4"/>
  <c r="CF8" i="4"/>
  <c r="CD42" i="4"/>
  <c r="CM50" i="4"/>
  <c r="CM7" i="4"/>
  <c r="CW39" i="4"/>
  <c r="CB20" i="4"/>
  <c r="CN19" i="4"/>
  <c r="CH50" i="4"/>
  <c r="CS18" i="4"/>
  <c r="CM31" i="4"/>
  <c r="CB39" i="4"/>
  <c r="CR42" i="4"/>
  <c r="CA10" i="4"/>
  <c r="CP32" i="4"/>
  <c r="CF24" i="4"/>
  <c r="CK20" i="4"/>
  <c r="CR19" i="4"/>
  <c r="CP50" i="4"/>
  <c r="CA51" i="4"/>
  <c r="CQ6" i="4"/>
  <c r="BZ26" i="4"/>
  <c r="CR44" i="4"/>
  <c r="CI24" i="4"/>
  <c r="CC30" i="4"/>
  <c r="CU53" i="4"/>
  <c r="CC17" i="4"/>
  <c r="CL40" i="4"/>
  <c r="CJ29" i="4"/>
  <c r="CF52" i="4"/>
  <c r="CM39" i="4"/>
  <c r="CG49" i="4"/>
  <c r="CW30" i="4"/>
  <c r="CD46" i="4"/>
  <c r="CW17" i="4"/>
  <c r="CR40" i="4"/>
  <c r="CU29" i="4"/>
  <c r="CI52" i="4"/>
  <c r="CS39" i="4"/>
  <c r="CC48" i="4"/>
  <c r="CE49" i="4"/>
  <c r="CK27" i="4"/>
  <c r="CO15" i="4"/>
  <c r="CL39" i="4"/>
  <c r="CX36" i="4"/>
  <c r="CG46" i="4"/>
  <c r="CN34" i="4"/>
  <c r="CP52" i="4"/>
  <c r="CS44" i="4"/>
  <c r="CK10" i="4"/>
  <c r="CM49" i="4"/>
  <c r="CQ27" i="4"/>
  <c r="CW10" i="4"/>
  <c r="CR39" i="4"/>
  <c r="CG17" i="4"/>
  <c r="CL46" i="4"/>
  <c r="CB8" i="4"/>
  <c r="CJ14" i="4"/>
  <c r="CY44" i="4"/>
  <c r="CQ10" i="4"/>
  <c r="CV13" i="4"/>
  <c r="CO42" i="4"/>
  <c r="CS25" i="4"/>
  <c r="CC41" i="4"/>
  <c r="CR50" i="4"/>
  <c r="CM47" i="4"/>
  <c r="CG33" i="4"/>
  <c r="CV46" i="4"/>
  <c r="CB27" i="4"/>
  <c r="CN45" i="4"/>
  <c r="CS12" i="4"/>
  <c r="CN42" i="4"/>
  <c r="CW19" i="4"/>
  <c r="CE27" i="4"/>
  <c r="CA23" i="4"/>
  <c r="CS42" i="4"/>
  <c r="CC11" i="4"/>
  <c r="CD7" i="4"/>
  <c r="CV27" i="4"/>
  <c r="CK47" i="4"/>
  <c r="CY12" i="4"/>
  <c r="CB44" i="4"/>
  <c r="CN37" i="4"/>
  <c r="CM27" i="4"/>
  <c r="CH23" i="4"/>
  <c r="CY42" i="4"/>
  <c r="CT11" i="4"/>
  <c r="CV19" i="4"/>
  <c r="CG40" i="4"/>
  <c r="CM52" i="4"/>
  <c r="CH7" i="4"/>
  <c r="CQ20" i="4"/>
  <c r="CH25" i="4"/>
  <c r="CR45" i="4"/>
  <c r="CG28" i="4"/>
  <c r="CG52" i="4"/>
  <c r="CL14" i="4"/>
  <c r="CL6" i="4"/>
  <c r="CR48" i="4"/>
  <c r="CS27" i="4"/>
  <c r="CU12" i="4"/>
  <c r="CJ22" i="4"/>
  <c r="CG29" i="4"/>
  <c r="CH53" i="4"/>
  <c r="CP51" i="4"/>
  <c r="CS49" i="4"/>
  <c r="CO26" i="4"/>
  <c r="CI17" i="4"/>
  <c r="CR20" i="4"/>
  <c r="CM6" i="4"/>
  <c r="CD27" i="4"/>
  <c r="CQ33" i="4"/>
  <c r="BZ32" i="4"/>
  <c r="CY49" i="4"/>
  <c r="CC53" i="4"/>
  <c r="CG30" i="4"/>
  <c r="CC22" i="4"/>
  <c r="CS6" i="4"/>
  <c r="CO27" i="4"/>
  <c r="CV33" i="4"/>
  <c r="CF9" i="4"/>
  <c r="CX46" i="4"/>
  <c r="CN16" i="4"/>
  <c r="CI9" i="4"/>
  <c r="BZ28" i="4"/>
  <c r="CN52" i="4"/>
  <c r="CY39" i="4"/>
  <c r="CT48" i="4"/>
  <c r="BZ16" i="4"/>
  <c r="CA37" i="4"/>
  <c r="CB18" i="4"/>
  <c r="CG38" i="4"/>
  <c r="CV12" i="4"/>
  <c r="CL15" i="4"/>
  <c r="CD28" i="4"/>
  <c r="CB14" i="4"/>
  <c r="CA24" i="4"/>
  <c r="CW48" i="4"/>
  <c r="CD16" i="4"/>
  <c r="CH37" i="4"/>
  <c r="CB22" i="4"/>
  <c r="CV22" i="4"/>
  <c r="CT50" i="4"/>
  <c r="CP9" i="4"/>
  <c r="CU42" i="4"/>
  <c r="BZ34" i="4"/>
  <c r="CN30" i="4"/>
  <c r="CL17" i="4"/>
  <c r="CC52" i="4"/>
  <c r="CD8" i="4"/>
  <c r="CO40" i="4"/>
  <c r="CO12" i="4"/>
  <c r="CH42" i="4"/>
  <c r="CU35" i="4"/>
  <c r="CG31" i="4"/>
  <c r="CR16" i="4"/>
  <c r="CK42" i="4"/>
  <c r="CW15" i="4"/>
  <c r="CW52" i="4"/>
  <c r="CX8" i="4"/>
  <c r="CW9" i="4"/>
  <c r="BZ21" i="4"/>
  <c r="CP42" i="4"/>
  <c r="BZ53" i="4"/>
  <c r="CC21" i="4"/>
  <c r="CT12" i="4"/>
  <c r="CQ42" i="4"/>
  <c r="CF17" i="4"/>
  <c r="CJ7" i="4"/>
  <c r="CB40" i="4"/>
  <c r="CQ37" i="4"/>
  <c r="CK37" i="4"/>
  <c r="CF50" i="4"/>
  <c r="CE20" i="4"/>
  <c r="CN22" i="4"/>
  <c r="CN6" i="4"/>
  <c r="CS41" i="4"/>
  <c r="CB41" i="4"/>
  <c r="CJ18" i="4"/>
  <c r="CP23" i="4"/>
  <c r="CP25" i="4"/>
  <c r="CF29" i="4"/>
  <c r="CL28" i="4"/>
  <c r="CL52" i="4"/>
  <c r="CR14" i="4"/>
  <c r="CR6" i="4"/>
  <c r="CT41" i="4"/>
  <c r="CT46" i="4"/>
  <c r="CE37" i="4"/>
  <c r="CT30" i="4"/>
  <c r="CA14" i="4"/>
  <c r="CJ32" i="4"/>
  <c r="CK45" i="4"/>
  <c r="BZ41" i="4"/>
  <c r="CN53" i="4"/>
  <c r="CP30" i="4"/>
  <c r="CM37" i="4"/>
  <c r="CN9" i="4"/>
  <c r="CP14" i="4"/>
  <c r="CU32" i="4"/>
  <c r="CQ45" i="4"/>
  <c r="CD41" i="4"/>
  <c r="CB46" i="4"/>
  <c r="CJ9" i="4"/>
  <c r="CO32" i="4"/>
  <c r="CH48" i="4"/>
  <c r="CW53" i="4"/>
  <c r="CT9" i="4"/>
  <c r="CT22" i="4"/>
  <c r="CY6" i="4"/>
  <c r="CX27" i="4"/>
  <c r="CE40" i="4"/>
  <c r="CS36" i="4"/>
  <c r="CO13" i="4"/>
  <c r="CC50" i="4"/>
  <c r="CJ41" i="4"/>
  <c r="CF46" i="4"/>
  <c r="CN18" i="4"/>
  <c r="CW22" i="4"/>
  <c r="CA49" i="4"/>
  <c r="CG26" i="4"/>
  <c r="CM40" i="4"/>
  <c r="CY36" i="4"/>
  <c r="CX13" i="4"/>
  <c r="CV47" i="4"/>
  <c r="CW34" i="4"/>
  <c r="CU13" i="4"/>
  <c r="CE50" i="4"/>
  <c r="CV51" i="4"/>
  <c r="CT39" i="4"/>
  <c r="CN28" i="4"/>
  <c r="CL19" i="4"/>
  <c r="CP48" i="4"/>
  <c r="CY26" i="4"/>
  <c r="CM11" i="4"/>
  <c r="CL38" i="4"/>
  <c r="CW16" i="4"/>
  <c r="CC38" i="4"/>
  <c r="CQ8" i="4"/>
  <c r="CD6" i="4"/>
  <c r="CH36" i="4"/>
  <c r="CY10" i="4"/>
  <c r="BZ33" i="4"/>
  <c r="CH35" i="4"/>
  <c r="CP13" i="4"/>
  <c r="CR38" i="4"/>
  <c r="CN12" i="4"/>
  <c r="CT38" i="4"/>
  <c r="CV8" i="4"/>
  <c r="CO6" i="4"/>
  <c r="CO20" i="4"/>
  <c r="CA45" i="4"/>
  <c r="CQ19" i="4"/>
  <c r="CC7" i="4"/>
  <c r="CR36" i="4"/>
  <c r="CH30" i="4"/>
  <c r="CY19" i="4"/>
  <c r="CU23" i="4"/>
  <c r="CY45" i="4"/>
  <c r="CC47" i="4"/>
  <c r="CL9" i="4"/>
  <c r="CA40" i="4"/>
  <c r="CN32" i="4"/>
  <c r="CH44" i="4"/>
  <c r="CI50" i="4"/>
  <c r="CM20" i="4"/>
  <c r="CB23" i="4"/>
  <c r="CS48" i="4"/>
  <c r="CY41" i="4"/>
  <c r="CK41" i="4"/>
  <c r="CU18" i="4"/>
  <c r="CV52" i="4"/>
  <c r="CB12" i="4"/>
  <c r="CA13" i="4"/>
  <c r="CF15" i="4"/>
  <c r="BZ20" i="4"/>
  <c r="BZ50" i="4"/>
  <c r="BZ10" i="4"/>
  <c r="CB25" i="4"/>
  <c r="CY33" i="4"/>
  <c r="CI18" i="4"/>
  <c r="CJ23" i="4"/>
  <c r="CS19" i="4"/>
  <c r="CS40" i="4"/>
  <c r="CF25" i="4"/>
  <c r="CL41" i="4"/>
  <c r="CJ19" i="4"/>
  <c r="CL18" i="4"/>
  <c r="CY7" i="4"/>
  <c r="CB21" i="4"/>
  <c r="CN47" i="4"/>
  <c r="CL47" i="4"/>
  <c r="CG42" i="4"/>
  <c r="CE15" i="4"/>
  <c r="CU25" i="4"/>
  <c r="CP47" i="4"/>
  <c r="CY32" i="4"/>
  <c r="CH39" i="4"/>
  <c r="CY34" i="4"/>
  <c r="CS21" i="4"/>
  <c r="CN21" i="4"/>
  <c r="CS16" i="4"/>
  <c r="CW11" i="4"/>
  <c r="CO48" i="4"/>
  <c r="CY50" i="4"/>
  <c r="CO9" i="4"/>
  <c r="CK51" i="4"/>
  <c r="CI31" i="4"/>
  <c r="CF47" i="4"/>
  <c r="CX45" i="4"/>
  <c r="BZ13" i="4"/>
  <c r="CB32" i="4"/>
  <c r="CS50" i="4"/>
  <c r="CJ30" i="4"/>
  <c r="CN25" i="4"/>
  <c r="CF31" i="4"/>
  <c r="CQ23" i="4"/>
  <c r="CN29" i="4"/>
  <c r="CK9" i="4"/>
  <c r="BZ36" i="4"/>
  <c r="CM9" i="4"/>
  <c r="CQ15" i="4"/>
  <c r="CQ41" i="4"/>
  <c r="CJ38" i="4"/>
  <c r="CQ26" i="4"/>
  <c r="CQ22" i="4"/>
  <c r="CE29" i="4"/>
  <c r="CU10" i="4"/>
  <c r="CD17" i="4"/>
  <c r="CL7" i="4"/>
  <c r="CH14" i="4"/>
  <c r="CM8" i="4"/>
  <c r="CQ31" i="4"/>
  <c r="CR13" i="4"/>
  <c r="CW25" i="4"/>
  <c r="CL31" i="4"/>
  <c r="CB50" i="4"/>
  <c r="CT32" i="4"/>
  <c r="CD10" i="4"/>
  <c r="BZ40" i="4"/>
  <c r="BZ17" i="4"/>
  <c r="CE10" i="4"/>
  <c r="CH6" i="4"/>
  <c r="CG9" i="4"/>
  <c r="CS45" i="4"/>
  <c r="CD48" i="4"/>
  <c r="CF38" i="4"/>
  <c r="CB30" i="4"/>
  <c r="CG7" i="4"/>
  <c r="CT25" i="4"/>
  <c r="CA12" i="4"/>
  <c r="CB37" i="4"/>
  <c r="CB17" i="4"/>
  <c r="CQ48" i="4"/>
  <c r="BZ38" i="4"/>
  <c r="CQ51" i="4"/>
  <c r="BZ39" i="4"/>
  <c r="CB51" i="4"/>
  <c r="CS9" i="4"/>
  <c r="CQ50" i="4"/>
  <c r="CK52" i="4"/>
  <c r="CH9" i="4"/>
  <c r="CN48" i="4"/>
  <c r="CM41" i="4"/>
  <c r="CI6" i="4"/>
  <c r="CI22" i="4"/>
  <c r="CV28" i="4"/>
  <c r="CT15" i="4"/>
  <c r="CQ12" i="4"/>
  <c r="CV48" i="4"/>
  <c r="CA6" i="4"/>
  <c r="CT7" i="4"/>
  <c r="CS33" i="4"/>
  <c r="CX30" i="4"/>
  <c r="CR30" i="4"/>
  <c r="CM45" i="4"/>
  <c r="CP22" i="4"/>
  <c r="CM19" i="4"/>
  <c r="CK33" i="4"/>
  <c r="CX48" i="4"/>
  <c r="CH10" i="4"/>
  <c r="CX9" i="4"/>
  <c r="CS7" i="4"/>
  <c r="CN31" i="4"/>
  <c r="CI47" i="4"/>
  <c r="CG47" i="4"/>
  <c r="CD13" i="4"/>
  <c r="CV32" i="4"/>
  <c r="CS14" i="4"/>
  <c r="CL51" i="4"/>
  <c r="CE33" i="4"/>
  <c r="CJ40" i="4"/>
  <c r="CU33" i="4"/>
  <c r="CV23" i="4"/>
  <c r="CA22" i="4"/>
  <c r="CV10" i="4"/>
  <c r="CX6" i="4"/>
  <c r="CG51" i="4"/>
  <c r="CV41" i="4"/>
  <c r="CP33" i="4"/>
  <c r="CJ33" i="4"/>
  <c r="CC20" i="4"/>
  <c r="CD23" i="4"/>
  <c r="CN44" i="4"/>
  <c r="CA32" i="4"/>
  <c r="CU49" i="4"/>
  <c r="CX25" i="4"/>
  <c r="CU52" i="4"/>
  <c r="CV35" i="4"/>
  <c r="CC43" i="4"/>
  <c r="CR31" i="4"/>
  <c r="CK17" i="4"/>
  <c r="CC51" i="4"/>
  <c r="CA15" i="4"/>
  <c r="CQ30" i="4"/>
  <c r="CR35" i="4"/>
  <c r="CT18" i="4"/>
  <c r="CA47" i="4"/>
  <c r="CJ10" i="4"/>
  <c r="CP38" i="4"/>
  <c r="CC31" i="4"/>
  <c r="CF18" i="4"/>
  <c r="CE9" i="4"/>
  <c r="CD40" i="4"/>
  <c r="CE41" i="4"/>
  <c r="CF12" i="4"/>
  <c r="CC16" i="4"/>
  <c r="CI32" i="4"/>
  <c r="CB13" i="4"/>
  <c r="BZ52" i="4"/>
  <c r="CD12" i="4"/>
  <c r="CC46" i="4"/>
  <c r="CC19" i="4"/>
  <c r="BZ51" i="4"/>
  <c r="CQ49" i="4"/>
  <c r="CD11" i="4"/>
  <c r="CD15" i="4"/>
  <c r="CF36" i="4"/>
  <c r="CB48" i="4"/>
  <c r="CC44" i="4"/>
  <c r="CI49" i="4"/>
  <c r="CR41" i="4"/>
  <c r="CQ52" i="4"/>
  <c r="CR53" i="4"/>
  <c r="CL48" i="4"/>
  <c r="CG6" i="4"/>
  <c r="CG14" i="4"/>
  <c r="CX38" i="4"/>
  <c r="CX29" i="4"/>
  <c r="CL45" i="4"/>
  <c r="CA25" i="4"/>
  <c r="CC29" i="4"/>
  <c r="BZ44" i="4"/>
  <c r="CB52" i="4"/>
  <c r="CY30" i="4"/>
  <c r="CI48" i="4"/>
  <c r="CK48" i="4"/>
  <c r="CF6" i="4"/>
  <c r="CF22" i="4"/>
  <c r="CQ28" i="4"/>
  <c r="CL32" i="4"/>
  <c r="CS38" i="4"/>
  <c r="CY14" i="4"/>
  <c r="CR51" i="4"/>
  <c r="CM33" i="4"/>
  <c r="CU40" i="4"/>
  <c r="CL30" i="4"/>
  <c r="CE45" i="4"/>
  <c r="CH22" i="4"/>
  <c r="CE19" i="4"/>
  <c r="CF41" i="4"/>
  <c r="CI38" i="4"/>
  <c r="CK40" i="4"/>
  <c r="CW49" i="4"/>
  <c r="CW6" i="4"/>
  <c r="CT14" i="4"/>
  <c r="CT20" i="4"/>
  <c r="CB28" i="4"/>
  <c r="CX7" i="4"/>
  <c r="CU43" i="4"/>
  <c r="CN33" i="4"/>
  <c r="CT49" i="4"/>
  <c r="CT6" i="4"/>
  <c r="CC14" i="4"/>
  <c r="CT28" i="4"/>
  <c r="CE28" i="4"/>
  <c r="CL12" i="4"/>
  <c r="CD30" i="4"/>
  <c r="CE14" i="4"/>
  <c r="CJ6" i="4"/>
  <c r="CE46" i="4"/>
  <c r="CT27" i="4"/>
  <c r="CJ8" i="4"/>
  <c r="CW31" i="4"/>
  <c r="CU11" i="4"/>
  <c r="CY38" i="4"/>
  <c r="CA42" i="4"/>
  <c r="CJ49" i="4"/>
  <c r="CL25" i="4"/>
  <c r="CP46" i="4"/>
  <c r="CX31" i="4"/>
  <c r="CO18" i="4"/>
  <c r="CU24" i="4"/>
  <c r="CP20" i="4"/>
  <c r="BZ42" i="4"/>
  <c r="CC37" i="4"/>
  <c r="CA33" i="4"/>
  <c r="CF40" i="4"/>
  <c r="CK30" i="4"/>
  <c r="CP18" i="4"/>
  <c r="CO11" i="4"/>
  <c r="CA7" i="4"/>
  <c r="CA19" i="4"/>
  <c r="CE51" i="4"/>
  <c r="CA44" i="4"/>
  <c r="CA41" i="4"/>
  <c r="CJ26" i="4"/>
  <c r="CS52" i="4"/>
  <c r="CH38" i="4"/>
  <c r="CA46" i="4"/>
  <c r="CY35" i="4"/>
  <c r="CN8" i="4"/>
  <c r="CA20" i="4"/>
  <c r="CS17" i="4"/>
  <c r="CX34" i="4"/>
  <c r="CY51" i="4"/>
  <c r="CL53" i="4"/>
  <c r="CG48" i="4"/>
  <c r="CX14" i="4"/>
  <c r="CX52" i="4"/>
  <c r="CO38" i="4"/>
  <c r="CO29" i="4"/>
  <c r="CG45" i="4"/>
  <c r="CY18" i="4"/>
  <c r="CC40" i="4"/>
  <c r="CN38" i="4"/>
  <c r="CS30" i="4"/>
  <c r="CF48" i="4"/>
  <c r="CN49" i="4"/>
  <c r="CW14" i="4"/>
  <c r="CW20" i="4"/>
  <c r="CK28" i="4"/>
  <c r="CG32" i="4"/>
  <c r="CF53" i="4"/>
  <c r="CX35" i="4"/>
  <c r="CD49" i="4"/>
  <c r="CD14" i="4"/>
  <c r="CD52" i="4"/>
  <c r="CU46" i="4"/>
  <c r="CN20" i="4"/>
  <c r="CO23" i="4"/>
  <c r="CQ9" i="4"/>
  <c r="CE6" i="4"/>
  <c r="CU6" i="4"/>
  <c r="BZ14" i="4"/>
  <c r="CU38" i="4"/>
  <c r="CJ46" i="4"/>
  <c r="CL21" i="4"/>
  <c r="CX22" i="4"/>
  <c r="CM44" i="4"/>
  <c r="CF49" i="4"/>
  <c r="CD35" i="4"/>
  <c r="CT53" i="4"/>
  <c r="CW26" i="4"/>
  <c r="CU39" i="4"/>
  <c r="CV31" i="4"/>
  <c r="CD45" i="4"/>
  <c r="CN50" i="4"/>
  <c r="CD53" i="4"/>
  <c r="CE7" i="4"/>
  <c r="BZ35" i="4"/>
  <c r="CN51" i="4"/>
  <c r="CQ35" i="4"/>
  <c r="CT31" i="4"/>
  <c r="CU26" i="4"/>
  <c r="CE8" i="4"/>
  <c r="CI36" i="4"/>
  <c r="CE13" i="4"/>
  <c r="CE11" i="4"/>
  <c r="CW33" i="4"/>
  <c r="CA18" i="4"/>
  <c r="CU37" i="4"/>
  <c r="CK53" i="4"/>
  <c r="CB35" i="4"/>
  <c r="CN27" i="4"/>
  <c r="CU47" i="4"/>
  <c r="CC45" i="4"/>
  <c r="CG13" i="4"/>
  <c r="CF11" i="4"/>
  <c r="CY48" i="4"/>
  <c r="CP27" i="4"/>
  <c r="CQ38" i="4"/>
  <c r="CA38" i="4"/>
  <c r="CY53" i="4"/>
  <c r="CS35" i="4"/>
  <c r="CI8" i="4"/>
  <c r="CY28" i="4"/>
  <c r="CM17" i="4"/>
  <c r="CA31" i="4"/>
  <c r="CG53" i="4"/>
  <c r="CX49" i="4"/>
  <c r="CO14" i="4"/>
  <c r="CO52" i="4"/>
  <c r="CD38" i="4"/>
  <c r="CD29" i="4"/>
  <c r="CX23" i="4"/>
  <c r="CM18" i="4"/>
  <c r="CU48" i="4"/>
  <c r="CA27" i="4"/>
  <c r="CN46" i="4"/>
  <c r="CS46" i="4"/>
  <c r="CM53" i="4"/>
  <c r="CE35" i="4"/>
  <c r="CR21" i="4"/>
  <c r="CM28" i="4"/>
  <c r="CQ36" i="4"/>
  <c r="CL20" i="4"/>
  <c r="CI46" i="4"/>
  <c r="CM46" i="4"/>
  <c r="CE53" i="4"/>
  <c r="CV26" i="4"/>
  <c r="CS23" i="4"/>
  <c r="CS29" i="4"/>
  <c r="CD19" i="4"/>
  <c r="CC9" i="4"/>
  <c r="CS43" i="4"/>
  <c r="CH43" i="4"/>
  <c r="CD43" i="4"/>
  <c r="CE34" i="4"/>
  <c r="CT45" i="4"/>
  <c r="CS20" i="4"/>
  <c r="CX12" i="4"/>
  <c r="CC42" i="4"/>
  <c r="BZ30" i="4"/>
  <c r="CM43" i="4"/>
  <c r="CH40" i="4"/>
  <c r="CJ39" i="4"/>
  <c r="BZ45" i="4"/>
  <c r="CD21" i="4"/>
  <c r="CH46" i="4"/>
  <c r="CP16" i="4"/>
  <c r="P10" i="18"/>
  <c r="P9" i="18"/>
  <c r="N61" i="82" l="1"/>
  <c r="BP60" i="82"/>
  <c r="BQ60" i="82"/>
  <c r="AF61" i="82"/>
  <c r="AO58" i="82"/>
  <c r="AS58" i="82"/>
  <c r="Z58" i="82"/>
  <c r="AN61" i="82"/>
  <c r="J61" i="82"/>
  <c r="BP61" i="82"/>
  <c r="AF59" i="82"/>
  <c r="AS61" i="82"/>
  <c r="N59" i="82"/>
  <c r="G60" i="82"/>
  <c r="BW58" i="82"/>
  <c r="AO59" i="82"/>
  <c r="Z60" i="82"/>
  <c r="AO60" i="82"/>
  <c r="BW59" i="82"/>
  <c r="AN58" i="82"/>
  <c r="J58" i="82"/>
  <c r="AF60" i="82"/>
  <c r="AS59" i="82"/>
  <c r="S59" i="82"/>
  <c r="AO61" i="82"/>
  <c r="AF58" i="82"/>
  <c r="AS60" i="82"/>
  <c r="BP58" i="82"/>
  <c r="N60" i="82"/>
  <c r="AP58" i="82"/>
  <c r="BP59" i="82"/>
  <c r="N58" i="82"/>
  <c r="BW61" i="82"/>
  <c r="AN59" i="82"/>
  <c r="J59" i="82"/>
  <c r="BW60" i="82"/>
  <c r="AN60" i="82"/>
  <c r="J60" i="82"/>
  <c r="BK59" i="82"/>
  <c r="Z59" i="82"/>
  <c r="AP59" i="82"/>
  <c r="G58" i="82"/>
  <c r="AP61" i="82"/>
  <c r="AP60" i="82"/>
  <c r="G59" i="82"/>
  <c r="BT59" i="82"/>
  <c r="G61" i="82"/>
  <c r="Q58" i="82"/>
  <c r="AU59" i="82"/>
  <c r="Z61" i="82"/>
  <c r="BM59" i="82"/>
  <c r="BU59" i="82"/>
  <c r="BK61" i="82"/>
  <c r="BE58" i="82"/>
  <c r="BO60" i="82"/>
  <c r="BK58" i="82"/>
  <c r="BK60" i="82"/>
  <c r="G25" i="83"/>
  <c r="BQ59" i="82"/>
  <c r="BU60" i="82"/>
  <c r="BH60" i="82"/>
  <c r="BT61" i="82"/>
  <c r="G53" i="83"/>
  <c r="BM58" i="82"/>
  <c r="S60" i="82"/>
  <c r="Y59" i="82"/>
  <c r="Y58" i="82"/>
  <c r="G52" i="83"/>
  <c r="BM60" i="82"/>
  <c r="AU58" i="82"/>
  <c r="T58" i="82"/>
  <c r="T60" i="82"/>
  <c r="T59" i="82"/>
  <c r="T61" i="82"/>
  <c r="Y60" i="82"/>
  <c r="AX61" i="82"/>
  <c r="AX60" i="82"/>
  <c r="AX59" i="82"/>
  <c r="AX58" i="82"/>
  <c r="AW58" i="82"/>
  <c r="AW61" i="82"/>
  <c r="AW60" i="82"/>
  <c r="AW59" i="82"/>
  <c r="AE60" i="82"/>
  <c r="AE58" i="82"/>
  <c r="AE61" i="82"/>
  <c r="AE59" i="82"/>
  <c r="AI59" i="82"/>
  <c r="AI61" i="82"/>
  <c r="AI60" i="82"/>
  <c r="AI58" i="82"/>
  <c r="BQ61" i="82"/>
  <c r="Q59" i="82"/>
  <c r="AK60" i="82"/>
  <c r="AK58" i="82"/>
  <c r="AK61" i="82"/>
  <c r="AK59" i="82"/>
  <c r="R60" i="82"/>
  <c r="R59" i="82"/>
  <c r="R61" i="82"/>
  <c r="R58" i="82"/>
  <c r="BH61" i="82"/>
  <c r="BD61" i="82"/>
  <c r="BD60" i="82"/>
  <c r="BD59" i="82"/>
  <c r="BD58" i="82"/>
  <c r="BE59" i="82"/>
  <c r="BM61" i="82"/>
  <c r="W58" i="82"/>
  <c r="W61" i="82"/>
  <c r="W60" i="82"/>
  <c r="W59" i="82"/>
  <c r="O60" i="82"/>
  <c r="O59" i="82"/>
  <c r="O58" i="82"/>
  <c r="O61" i="82"/>
  <c r="BA58" i="82"/>
  <c r="BA59" i="82"/>
  <c r="BA61" i="82"/>
  <c r="BA60" i="82"/>
  <c r="AC61" i="82"/>
  <c r="AC59" i="82"/>
  <c r="AC58" i="82"/>
  <c r="AC60" i="82"/>
  <c r="BU58" i="82"/>
  <c r="BR59" i="82"/>
  <c r="BR60" i="82"/>
  <c r="BR58" i="82"/>
  <c r="BR61" i="82"/>
  <c r="Y61" i="82"/>
  <c r="M60" i="82"/>
  <c r="M59" i="82"/>
  <c r="M58" i="82"/>
  <c r="M61" i="82"/>
  <c r="BQ58" i="82"/>
  <c r="Q61" i="82"/>
  <c r="BH58" i="82"/>
  <c r="BE60" i="82"/>
  <c r="AY61" i="82"/>
  <c r="AY60" i="82"/>
  <c r="AY58" i="82"/>
  <c r="AY59" i="82"/>
  <c r="AJ61" i="82"/>
  <c r="AJ60" i="82"/>
  <c r="AJ59" i="82"/>
  <c r="AJ58" i="82"/>
  <c r="AD60" i="82"/>
  <c r="AD61" i="82"/>
  <c r="AD59" i="82"/>
  <c r="AD58" i="82"/>
  <c r="BI58" i="82"/>
  <c r="BI61" i="82"/>
  <c r="BI60" i="82"/>
  <c r="BI59" i="82"/>
  <c r="BU61" i="82"/>
  <c r="BF59" i="82"/>
  <c r="BF60" i="82"/>
  <c r="BF61" i="82"/>
  <c r="BF58" i="82"/>
  <c r="S61" i="82"/>
  <c r="BT60" i="82"/>
  <c r="L59" i="82"/>
  <c r="L61" i="82"/>
  <c r="L60" i="82"/>
  <c r="L58" i="82"/>
  <c r="P60" i="82"/>
  <c r="P59" i="82"/>
  <c r="P58" i="82"/>
  <c r="P61" i="82"/>
  <c r="AR60" i="82"/>
  <c r="AR58" i="82"/>
  <c r="AR59" i="82"/>
  <c r="AR61" i="82"/>
  <c r="BO61" i="82"/>
  <c r="F60" i="82"/>
  <c r="F59" i="82"/>
  <c r="F58" i="82"/>
  <c r="F61" i="82"/>
  <c r="S58" i="82"/>
  <c r="AQ58" i="82"/>
  <c r="AQ59" i="82"/>
  <c r="AQ61" i="82"/>
  <c r="AQ60" i="82"/>
  <c r="BT58" i="82"/>
  <c r="BY58" i="82"/>
  <c r="BY61" i="82"/>
  <c r="BY60" i="82"/>
  <c r="BY59" i="82"/>
  <c r="BO58" i="82"/>
  <c r="V61" i="82"/>
  <c r="V60" i="82"/>
  <c r="V59" i="82"/>
  <c r="V58" i="82"/>
  <c r="AT61" i="82"/>
  <c r="AT60" i="82"/>
  <c r="AT59" i="82"/>
  <c r="AT58" i="82"/>
  <c r="AV60" i="82"/>
  <c r="AV59" i="82"/>
  <c r="AV58" i="82"/>
  <c r="AV61" i="82"/>
  <c r="AG61" i="82"/>
  <c r="AG60" i="82"/>
  <c r="AG59" i="82"/>
  <c r="AG58" i="82"/>
  <c r="BS59" i="82"/>
  <c r="BS58" i="82"/>
  <c r="BS61" i="82"/>
  <c r="BS60" i="82"/>
  <c r="BJ60" i="82"/>
  <c r="BJ61" i="82"/>
  <c r="BJ59" i="82"/>
  <c r="BJ58" i="82"/>
  <c r="BC58" i="82"/>
  <c r="BC60" i="82"/>
  <c r="BC59" i="82"/>
  <c r="BC61" i="82"/>
  <c r="BG58" i="82"/>
  <c r="BG59" i="82"/>
  <c r="BG61" i="82"/>
  <c r="BG60" i="82"/>
  <c r="AA58" i="82"/>
  <c r="AA61" i="82"/>
  <c r="AA60" i="82"/>
  <c r="AA59" i="82"/>
  <c r="AU61" i="82"/>
  <c r="BX59" i="82"/>
  <c r="BX58" i="82"/>
  <c r="BX61" i="82"/>
  <c r="BX60" i="82"/>
  <c r="I58" i="82"/>
  <c r="I59" i="82"/>
  <c r="I61" i="82"/>
  <c r="I60" i="82"/>
  <c r="K60" i="82"/>
  <c r="K58" i="82"/>
  <c r="K61" i="82"/>
  <c r="K59" i="82"/>
  <c r="U59" i="82"/>
  <c r="U61" i="82"/>
  <c r="U60" i="82"/>
  <c r="U58" i="82"/>
  <c r="AZ58" i="82"/>
  <c r="AZ60" i="82"/>
  <c r="AZ59" i="82"/>
  <c r="AZ61" i="82"/>
  <c r="BO59" i="82"/>
  <c r="AU60" i="82"/>
  <c r="AB60" i="82"/>
  <c r="AB58" i="82"/>
  <c r="AB61" i="82"/>
  <c r="AB59" i="82"/>
  <c r="H61" i="82"/>
  <c r="H60" i="82"/>
  <c r="H59" i="82"/>
  <c r="H58" i="82"/>
  <c r="Q60" i="82"/>
  <c r="BH59" i="82"/>
  <c r="AH61" i="82"/>
  <c r="AH60" i="82"/>
  <c r="AH59" i="82"/>
  <c r="AH58" i="82"/>
  <c r="BE61" i="82"/>
  <c r="BN58" i="82"/>
  <c r="BN61" i="82"/>
  <c r="BN59" i="82"/>
  <c r="BN60" i="82"/>
  <c r="AL59" i="82"/>
  <c r="AL61" i="82"/>
  <c r="AL60" i="82"/>
  <c r="AL58" i="82"/>
  <c r="X58" i="82"/>
  <c r="X61" i="82"/>
  <c r="X59" i="82"/>
  <c r="X60" i="82"/>
  <c r="BB61" i="82"/>
  <c r="BB60" i="82"/>
  <c r="BB59" i="82"/>
  <c r="BB58" i="82"/>
  <c r="AM59" i="82"/>
  <c r="AM61" i="82"/>
  <c r="AM60" i="82"/>
  <c r="AM58" i="82"/>
  <c r="BL61" i="82"/>
  <c r="BL60" i="82"/>
  <c r="BL59" i="82"/>
  <c r="BL58" i="82"/>
  <c r="BV60" i="82"/>
  <c r="BV59" i="82"/>
  <c r="BV61" i="82"/>
  <c r="BV58" i="82"/>
  <c r="G45" i="83"/>
  <c r="G12" i="83"/>
  <c r="G33" i="83"/>
  <c r="G29" i="83"/>
  <c r="G38" i="83"/>
  <c r="G35" i="83"/>
  <c r="G43" i="83"/>
  <c r="G22" i="83"/>
  <c r="G47" i="83"/>
  <c r="G8" i="83"/>
  <c r="G20" i="83"/>
  <c r="G31" i="83"/>
  <c r="G28" i="83"/>
  <c r="G48" i="83"/>
  <c r="G50" i="83"/>
  <c r="G46" i="83"/>
  <c r="G44" i="83"/>
  <c r="G24" i="83"/>
  <c r="G23" i="83"/>
  <c r="G16" i="83"/>
  <c r="G14" i="83"/>
  <c r="G34" i="83"/>
  <c r="G11" i="83"/>
  <c r="G15" i="83"/>
  <c r="G10" i="83"/>
  <c r="G17" i="83"/>
  <c r="G40" i="83"/>
  <c r="G32" i="83"/>
  <c r="G42" i="83"/>
  <c r="G21" i="83"/>
  <c r="G9" i="83"/>
  <c r="G18" i="83"/>
  <c r="G51" i="83"/>
  <c r="G26" i="83"/>
  <c r="G41" i="83"/>
  <c r="G19" i="83"/>
  <c r="G36" i="83"/>
  <c r="G30" i="83"/>
  <c r="G37" i="83"/>
  <c r="G49" i="83"/>
  <c r="G13" i="83"/>
  <c r="G6" i="83"/>
  <c r="G39" i="83"/>
  <c r="G7" i="83"/>
  <c r="G27" i="83"/>
  <c r="CH40" i="82"/>
  <c r="CM53" i="82"/>
  <c r="CO14" i="82"/>
  <c r="CT27" i="82"/>
  <c r="CK17" i="82"/>
  <c r="CI46" i="82"/>
  <c r="CC14" i="82"/>
  <c r="CS43" i="82"/>
  <c r="CB35" i="82"/>
  <c r="CR21" i="82"/>
  <c r="BZ30" i="82"/>
  <c r="CJ39" i="82"/>
  <c r="CE34" i="82"/>
  <c r="CV26" i="82"/>
  <c r="CE35" i="82"/>
  <c r="CD29" i="82"/>
  <c r="CY28" i="82"/>
  <c r="CA18" i="82"/>
  <c r="CQ35" i="82"/>
  <c r="CU39" i="82"/>
  <c r="CW20" i="82"/>
  <c r="CG45" i="82"/>
  <c r="CX34" i="82"/>
  <c r="CP18" i="82"/>
  <c r="CL12" i="82"/>
  <c r="CJ26" i="82"/>
  <c r="CD35" i="82"/>
  <c r="CN8" i="82"/>
  <c r="CP46" i="82"/>
  <c r="CQ28" i="82"/>
  <c r="CR53" i="82"/>
  <c r="CI32" i="82"/>
  <c r="CV10" i="82"/>
  <c r="CX48" i="82"/>
  <c r="CM41" i="82"/>
  <c r="CB30" i="82"/>
  <c r="CP16" i="82"/>
  <c r="CC42" i="82"/>
  <c r="CC9" i="82"/>
  <c r="CL20" i="82"/>
  <c r="CA27" i="82"/>
  <c r="CX49" i="82"/>
  <c r="CA38" i="82"/>
  <c r="CN27" i="82"/>
  <c r="DB36" i="4"/>
  <c r="H35" i="33" s="1"/>
  <c r="CI36" i="82"/>
  <c r="CD53" i="82"/>
  <c r="DA49" i="4"/>
  <c r="G11" i="33" s="1"/>
  <c r="CF49" i="82"/>
  <c r="CE6" i="82"/>
  <c r="CX35" i="82"/>
  <c r="CS30" i="82"/>
  <c r="CX14" i="82"/>
  <c r="CY35" i="82"/>
  <c r="CA19" i="82"/>
  <c r="BZ9" i="82"/>
  <c r="CL25" i="82"/>
  <c r="CE46" i="82"/>
  <c r="CT6" i="82"/>
  <c r="CW6" i="82"/>
  <c r="CL30" i="82"/>
  <c r="CF22" i="82"/>
  <c r="CA25" i="82"/>
  <c r="CQ52" i="82"/>
  <c r="CQ49" i="82"/>
  <c r="CC16" i="82"/>
  <c r="CJ10" i="82"/>
  <c r="CR31" i="82"/>
  <c r="CD23" i="82"/>
  <c r="CA22" i="82"/>
  <c r="CD13" i="82"/>
  <c r="CK33" i="82"/>
  <c r="CA6" i="82"/>
  <c r="CN48" i="82"/>
  <c r="BZ38" i="82"/>
  <c r="CF38" i="82"/>
  <c r="CD10" i="82"/>
  <c r="CH14" i="82"/>
  <c r="CQ41" i="82"/>
  <c r="CN25" i="82"/>
  <c r="CK51" i="82"/>
  <c r="CY34" i="82"/>
  <c r="CN47" i="82"/>
  <c r="CS19" i="82"/>
  <c r="CF15" i="82"/>
  <c r="CB23" i="82"/>
  <c r="CY45" i="82"/>
  <c r="CO20" i="82"/>
  <c r="BZ33" i="82"/>
  <c r="CM11" i="82"/>
  <c r="CU13" i="82"/>
  <c r="CW22" i="82"/>
  <c r="CX27" i="82"/>
  <c r="CB46" i="82"/>
  <c r="CN53" i="82"/>
  <c r="CT41" i="82"/>
  <c r="CJ18" i="82"/>
  <c r="CQ37" i="82"/>
  <c r="CP42" i="82"/>
  <c r="CG31" i="82"/>
  <c r="CN30" i="82"/>
  <c r="CD16" i="82"/>
  <c r="CB18" i="82"/>
  <c r="CN16" i="82"/>
  <c r="CC53" i="82"/>
  <c r="CO26" i="82"/>
  <c r="CR48" i="82"/>
  <c r="CH7" i="82"/>
  <c r="CN37" i="82"/>
  <c r="CA23" i="82"/>
  <c r="CG33" i="82"/>
  <c r="CY44" i="82"/>
  <c r="CM49" i="82"/>
  <c r="CO15" i="82"/>
  <c r="CW17" i="82"/>
  <c r="CC17" i="82"/>
  <c r="CP50" i="82"/>
  <c r="CM31" i="82"/>
  <c r="CD42" i="82"/>
  <c r="CU41" i="82"/>
  <c r="CS13" i="82"/>
  <c r="CD47" i="82"/>
  <c r="CF34" i="82"/>
  <c r="CW21" i="82"/>
  <c r="CO45" i="82"/>
  <c r="CR52" i="82"/>
  <c r="CY24" i="82"/>
  <c r="CL35" i="82"/>
  <c r="CI14" i="82"/>
  <c r="CG36" i="82"/>
  <c r="CB9" i="82"/>
  <c r="CK14" i="82"/>
  <c r="CX19" i="82"/>
  <c r="CW24" i="82"/>
  <c r="CN17" i="82"/>
  <c r="CD20" i="82"/>
  <c r="CU28" i="82"/>
  <c r="CS24" i="82"/>
  <c r="CQ17" i="82"/>
  <c r="CI19" i="82"/>
  <c r="CL33" i="82"/>
  <c r="CR46" i="82"/>
  <c r="CY15" i="82"/>
  <c r="CB47" i="82"/>
  <c r="CH11" i="82"/>
  <c r="CT36" i="82"/>
  <c r="CG44" i="82"/>
  <c r="CK11" i="82"/>
  <c r="CN23" i="82"/>
  <c r="CT35" i="82"/>
  <c r="CX47" i="82"/>
  <c r="CJ16" i="82"/>
  <c r="CM12" i="82"/>
  <c r="CM30" i="82"/>
  <c r="CF32" i="82"/>
  <c r="CW7" i="82"/>
  <c r="CV39" i="82"/>
  <c r="CK6" i="82"/>
  <c r="CI10" i="82"/>
  <c r="CF42" i="82"/>
  <c r="CX41" i="82"/>
  <c r="CU9" i="82"/>
  <c r="CW51" i="82"/>
  <c r="CC28" i="82"/>
  <c r="CW37" i="82"/>
  <c r="CE44" i="82"/>
  <c r="CW38" i="82"/>
  <c r="CG37" i="82"/>
  <c r="CJ25" i="82"/>
  <c r="CR34" i="82"/>
  <c r="CL49" i="82"/>
  <c r="CK21" i="82"/>
  <c r="BZ29" i="82"/>
  <c r="CB36" i="82"/>
  <c r="CV30" i="82"/>
  <c r="CM10" i="82"/>
  <c r="CG34" i="82"/>
  <c r="CL34" i="82"/>
  <c r="CD26" i="82"/>
  <c r="CL27" i="82"/>
  <c r="CA34" i="82"/>
  <c r="CC12" i="82"/>
  <c r="CI40" i="82"/>
  <c r="CB7" i="82"/>
  <c r="CV21" i="82"/>
  <c r="CW47" i="82"/>
  <c r="CT43" i="82"/>
  <c r="CW43" i="82"/>
  <c r="CT34" i="82"/>
  <c r="CR23" i="82"/>
  <c r="CV7" i="82"/>
  <c r="CT8" i="82"/>
  <c r="CD25" i="82"/>
  <c r="CS10" i="82"/>
  <c r="CU46" i="82"/>
  <c r="CU47" i="82"/>
  <c r="CD49" i="82"/>
  <c r="CA33" i="82"/>
  <c r="CH46" i="82"/>
  <c r="CX12" i="82"/>
  <c r="CD19" i="82"/>
  <c r="CQ36" i="82"/>
  <c r="CU48" i="82"/>
  <c r="CG53" i="82"/>
  <c r="CQ38" i="82"/>
  <c r="CE8" i="82"/>
  <c r="CN50" i="82"/>
  <c r="CM44" i="82"/>
  <c r="CQ9" i="82"/>
  <c r="CF53" i="82"/>
  <c r="CN38" i="82"/>
  <c r="CG48" i="82"/>
  <c r="CA46" i="82"/>
  <c r="CA7" i="82"/>
  <c r="CC37" i="82"/>
  <c r="CJ49" i="82"/>
  <c r="CJ6" i="82"/>
  <c r="CT49" i="82"/>
  <c r="CW49" i="82"/>
  <c r="CU40" i="82"/>
  <c r="CF6" i="82"/>
  <c r="CL45" i="82"/>
  <c r="CR41" i="82"/>
  <c r="BZ51" i="82"/>
  <c r="DA12" i="4"/>
  <c r="G29" i="33" s="1"/>
  <c r="CF12" i="82"/>
  <c r="CA47" i="82"/>
  <c r="CC43" i="82"/>
  <c r="CC20" i="82"/>
  <c r="CV23" i="82"/>
  <c r="CG47" i="82"/>
  <c r="CM19" i="82"/>
  <c r="CV48" i="82"/>
  <c r="CH9" i="82"/>
  <c r="CQ48" i="82"/>
  <c r="CD48" i="82"/>
  <c r="CT32" i="82"/>
  <c r="CL7" i="82"/>
  <c r="CQ15" i="82"/>
  <c r="CJ30" i="82"/>
  <c r="CO9" i="82"/>
  <c r="CH39" i="82"/>
  <c r="CB21" i="82"/>
  <c r="CJ23" i="82"/>
  <c r="CA13" i="82"/>
  <c r="CM20" i="82"/>
  <c r="CU23" i="82"/>
  <c r="CO6" i="82"/>
  <c r="CY10" i="82"/>
  <c r="CY26" i="82"/>
  <c r="CW34" i="82"/>
  <c r="CN18" i="82"/>
  <c r="CY6" i="82"/>
  <c r="CD41" i="82"/>
  <c r="BZ41" i="82"/>
  <c r="CR6" i="82"/>
  <c r="CB41" i="82"/>
  <c r="CB40" i="82"/>
  <c r="BZ21" i="82"/>
  <c r="CU35" i="82"/>
  <c r="BZ34" i="82"/>
  <c r="CW48" i="82"/>
  <c r="CA37" i="82"/>
  <c r="CX46" i="82"/>
  <c r="CY49" i="82"/>
  <c r="CS49" i="82"/>
  <c r="CL6" i="82"/>
  <c r="CM52" i="82"/>
  <c r="CB44" i="82"/>
  <c r="CE27" i="82"/>
  <c r="CM47" i="82"/>
  <c r="CJ14" i="82"/>
  <c r="CK10" i="82"/>
  <c r="CK27" i="82"/>
  <c r="CD46" i="82"/>
  <c r="CU53" i="82"/>
  <c r="CR19" i="82"/>
  <c r="CS18" i="82"/>
  <c r="CF8" i="82"/>
  <c r="CW50" i="82"/>
  <c r="CM36" i="82"/>
  <c r="CH26" i="82"/>
  <c r="CX53" i="82"/>
  <c r="CO53" i="82"/>
  <c r="CX11" i="82"/>
  <c r="CR28" i="82"/>
  <c r="CT26" i="82"/>
  <c r="CQ53" i="82"/>
  <c r="CO44" i="82"/>
  <c r="CO25" i="82"/>
  <c r="CD34" i="82"/>
  <c r="CO28" i="82"/>
  <c r="CK13" i="82"/>
  <c r="CJ51" i="82"/>
  <c r="CH29" i="82"/>
  <c r="CY31" i="82"/>
  <c r="CS31" i="82"/>
  <c r="CC26" i="82"/>
  <c r="CV25" i="82"/>
  <c r="CF33" i="82"/>
  <c r="CS47" i="82"/>
  <c r="CT16" i="82"/>
  <c r="CG19" i="82"/>
  <c r="CV9" i="82"/>
  <c r="CO31" i="82"/>
  <c r="CY17" i="82"/>
  <c r="CE24" i="82"/>
  <c r="CK44" i="82"/>
  <c r="CS51" i="82"/>
  <c r="CP49" i="82"/>
  <c r="CJ35" i="82"/>
  <c r="CN7" i="82"/>
  <c r="CF20" i="82"/>
  <c r="CX32" i="82"/>
  <c r="CY37" i="82"/>
  <c r="CS37" i="82"/>
  <c r="CA21" i="82"/>
  <c r="CM25" i="82"/>
  <c r="CA43" i="82"/>
  <c r="CQ16" i="82"/>
  <c r="CE47" i="82"/>
  <c r="CK46" i="82"/>
  <c r="CL10" i="82"/>
  <c r="CL50" i="82"/>
  <c r="CI41" i="82"/>
  <c r="CO22" i="82"/>
  <c r="CO7" i="82"/>
  <c r="CM16" i="82"/>
  <c r="CL36" i="82"/>
  <c r="CI15" i="82"/>
  <c r="CJ31" i="82"/>
  <c r="CH32" i="82"/>
  <c r="CS32" i="82"/>
  <c r="CA53" i="82"/>
  <c r="CG12" i="82"/>
  <c r="CE39" i="82"/>
  <c r="CA36" i="82"/>
  <c r="CW32" i="82"/>
  <c r="CK24" i="82"/>
  <c r="CK39" i="82"/>
  <c r="CH8" i="82"/>
  <c r="BZ12" i="82"/>
  <c r="CR9" i="82"/>
  <c r="CH19" i="82"/>
  <c r="CJ52" i="82"/>
  <c r="CS8" i="82"/>
  <c r="CW27" i="82"/>
  <c r="CF26" i="82"/>
  <c r="CM35" i="82"/>
  <c r="CJ47" i="82"/>
  <c r="CJ17" i="82"/>
  <c r="CK50" i="82"/>
  <c r="BZ23" i="82"/>
  <c r="CH18" i="82"/>
  <c r="CY53" i="82"/>
  <c r="CU6" i="82"/>
  <c r="CE51" i="82"/>
  <c r="CD21" i="82"/>
  <c r="CS20" i="82"/>
  <c r="DD29" i="4"/>
  <c r="J18" i="33" s="1"/>
  <c r="CS29" i="82"/>
  <c r="CM28" i="82"/>
  <c r="CM18" i="82"/>
  <c r="CA31" i="82"/>
  <c r="CP27" i="82"/>
  <c r="CK53" i="82"/>
  <c r="CU26" i="82"/>
  <c r="CD45" i="82"/>
  <c r="CX22" i="82"/>
  <c r="CO23" i="82"/>
  <c r="CG32" i="82"/>
  <c r="CC40" i="82"/>
  <c r="CL53" i="82"/>
  <c r="CH38" i="82"/>
  <c r="BZ11" i="82"/>
  <c r="BZ42" i="82"/>
  <c r="CA42" i="82"/>
  <c r="CE14" i="82"/>
  <c r="CN33" i="82"/>
  <c r="CK40" i="82"/>
  <c r="CM33" i="82"/>
  <c r="CK48" i="82"/>
  <c r="CX29" i="82"/>
  <c r="CI49" i="82"/>
  <c r="CC19" i="82"/>
  <c r="CE41" i="82"/>
  <c r="CT18" i="82"/>
  <c r="CV35" i="82"/>
  <c r="CJ33" i="82"/>
  <c r="CU33" i="82"/>
  <c r="CI47" i="82"/>
  <c r="CP22" i="82"/>
  <c r="CQ12" i="82"/>
  <c r="CK52" i="82"/>
  <c r="CB17" i="82"/>
  <c r="CS45" i="82"/>
  <c r="CB50" i="82"/>
  <c r="CD17" i="82"/>
  <c r="CM9" i="82"/>
  <c r="CS50" i="82"/>
  <c r="CY50" i="82"/>
  <c r="CY32" i="82"/>
  <c r="CY7" i="82"/>
  <c r="CI18" i="82"/>
  <c r="CB12" i="82"/>
  <c r="CI50" i="82"/>
  <c r="CY19" i="82"/>
  <c r="CV8" i="82"/>
  <c r="CH36" i="82"/>
  <c r="CP48" i="82"/>
  <c r="CV47" i="82"/>
  <c r="CF46" i="82"/>
  <c r="CT22" i="82"/>
  <c r="CQ45" i="82"/>
  <c r="CK45" i="82"/>
  <c r="CR14" i="82"/>
  <c r="CS41" i="82"/>
  <c r="CJ7" i="82"/>
  <c r="CW9" i="82"/>
  <c r="CH42" i="82"/>
  <c r="CU42" i="82"/>
  <c r="CA24" i="82"/>
  <c r="BZ16" i="82"/>
  <c r="CF9" i="82"/>
  <c r="BZ32" i="82"/>
  <c r="CP51" i="82"/>
  <c r="CL14" i="82"/>
  <c r="CG40" i="82"/>
  <c r="CY12" i="82"/>
  <c r="CW19" i="82"/>
  <c r="CR50" i="82"/>
  <c r="CB8" i="82"/>
  <c r="DD44" i="4"/>
  <c r="J32" i="33" s="1"/>
  <c r="CS44" i="82"/>
  <c r="CE49" i="82"/>
  <c r="CW30" i="82"/>
  <c r="CC30" i="82"/>
  <c r="CK20" i="82"/>
  <c r="CH50" i="82"/>
  <c r="CE31" i="82"/>
  <c r="CH20" i="82"/>
  <c r="CV49" i="82"/>
  <c r="CM13" i="82"/>
  <c r="CO36" i="82"/>
  <c r="CU44" i="82"/>
  <c r="CT51" i="82"/>
  <c r="CI29" i="82"/>
  <c r="CC27" i="82"/>
  <c r="CK35" i="82"/>
  <c r="CJ53" i="82"/>
  <c r="CK19" i="82"/>
  <c r="CX44" i="82"/>
  <c r="CR15" i="82"/>
  <c r="CS22" i="82"/>
  <c r="CO19" i="82"/>
  <c r="CC24" i="82"/>
  <c r="CA35" i="82"/>
  <c r="CM26" i="82"/>
  <c r="CR43" i="82"/>
  <c r="CG39" i="82"/>
  <c r="CH51" i="82"/>
  <c r="CT10" i="82"/>
  <c r="CI43" i="82"/>
  <c r="CI28" i="82"/>
  <c r="CS15" i="82"/>
  <c r="CF45" i="82"/>
  <c r="CO8" i="82"/>
  <c r="CP21" i="82"/>
  <c r="CJ28" i="82"/>
  <c r="CE52" i="82"/>
  <c r="CI23" i="82"/>
  <c r="CY13" i="82"/>
  <c r="CI37" i="82"/>
  <c r="CH16" i="82"/>
  <c r="CE12" i="82"/>
  <c r="BZ31" i="82"/>
  <c r="CP45" i="82"/>
  <c r="CB33" i="82"/>
  <c r="CJ11" i="82"/>
  <c r="CN14" i="82"/>
  <c r="CT23" i="82"/>
  <c r="CG50" i="82"/>
  <c r="CO41" i="82"/>
  <c r="CW40" i="82"/>
  <c r="CT40" i="82"/>
  <c r="CP37" i="82"/>
  <c r="CG21" i="82"/>
  <c r="CY20" i="82"/>
  <c r="CI21" i="82"/>
  <c r="CA28" i="82"/>
  <c r="CF13" i="82"/>
  <c r="CO51" i="82"/>
  <c r="CR18" i="82"/>
  <c r="BZ47" i="82"/>
  <c r="CY52" i="82"/>
  <c r="CV29" i="82"/>
  <c r="CB10" i="82"/>
  <c r="CY29" i="82"/>
  <c r="CI42" i="82"/>
  <c r="CP19" i="82"/>
  <c r="CC8" i="82"/>
  <c r="CJ24" i="82"/>
  <c r="CQ40" i="82"/>
  <c r="BZ8" i="82"/>
  <c r="CY43" i="82"/>
  <c r="CO21" i="82"/>
  <c r="CR25" i="82"/>
  <c r="CF35" i="82"/>
  <c r="CI35" i="82"/>
  <c r="CS53" i="82"/>
  <c r="CI27" i="82"/>
  <c r="CP28" i="82"/>
  <c r="CD36" i="82"/>
  <c r="CP15" i="82"/>
  <c r="BZ48" i="82"/>
  <c r="DA11" i="4"/>
  <c r="G9" i="33" s="1"/>
  <c r="CF11" i="82"/>
  <c r="DC46" i="4"/>
  <c r="I49" i="33" s="1"/>
  <c r="CN46" i="82"/>
  <c r="CE7" i="82"/>
  <c r="CF48" i="82"/>
  <c r="BZ45" i="82"/>
  <c r="CT45" i="82"/>
  <c r="CS23" i="82"/>
  <c r="CX23" i="82"/>
  <c r="CM17" i="82"/>
  <c r="CY48" i="82"/>
  <c r="CU37" i="82"/>
  <c r="CT31" i="82"/>
  <c r="CV31" i="82"/>
  <c r="CL21" i="82"/>
  <c r="CN20" i="82"/>
  <c r="CK28" i="82"/>
  <c r="CY18" i="82"/>
  <c r="CY51" i="82"/>
  <c r="DD52" i="4"/>
  <c r="J43" i="33" s="1"/>
  <c r="CS52" i="82"/>
  <c r="CO11" i="82"/>
  <c r="CP20" i="82"/>
  <c r="CY38" i="82"/>
  <c r="CD30" i="82"/>
  <c r="CU43" i="82"/>
  <c r="CI38" i="82"/>
  <c r="CR51" i="82"/>
  <c r="CI48" i="82"/>
  <c r="CX38" i="82"/>
  <c r="CC44" i="82"/>
  <c r="CC46" i="82"/>
  <c r="CD40" i="82"/>
  <c r="CR35" i="82"/>
  <c r="CU52" i="82"/>
  <c r="CP33" i="82"/>
  <c r="CJ40" i="82"/>
  <c r="CN31" i="82"/>
  <c r="CM45" i="82"/>
  <c r="CT15" i="82"/>
  <c r="CQ50" i="82"/>
  <c r="CB37" i="82"/>
  <c r="CG9" i="82"/>
  <c r="CL31" i="82"/>
  <c r="CU10" i="82"/>
  <c r="CZ36" i="4"/>
  <c r="F35" i="33" s="1"/>
  <c r="BZ36" i="82"/>
  <c r="CB32" i="82"/>
  <c r="CO48" i="82"/>
  <c r="CP47" i="82"/>
  <c r="CL18" i="82"/>
  <c r="CY33" i="82"/>
  <c r="CV52" i="82"/>
  <c r="CH44" i="82"/>
  <c r="CH30" i="82"/>
  <c r="CT38" i="82"/>
  <c r="CD6" i="82"/>
  <c r="CL19" i="82"/>
  <c r="CX13" i="82"/>
  <c r="CJ41" i="82"/>
  <c r="CT9" i="82"/>
  <c r="CU32" i="82"/>
  <c r="CJ32" i="82"/>
  <c r="CL52" i="82"/>
  <c r="CN6" i="82"/>
  <c r="CF17" i="82"/>
  <c r="CX8" i="82"/>
  <c r="CO12" i="82"/>
  <c r="CP9" i="82"/>
  <c r="CB14" i="82"/>
  <c r="CT48" i="82"/>
  <c r="CV33" i="82"/>
  <c r="CQ33" i="82"/>
  <c r="CH53" i="82"/>
  <c r="CG52" i="82"/>
  <c r="CV19" i="82"/>
  <c r="CK47" i="82"/>
  <c r="CN42" i="82"/>
  <c r="CC41" i="82"/>
  <c r="CL46" i="82"/>
  <c r="CP52" i="82"/>
  <c r="CC48" i="82"/>
  <c r="CG49" i="82"/>
  <c r="DB24" i="4"/>
  <c r="H41" i="33" s="1"/>
  <c r="CI24" i="82"/>
  <c r="CF24" i="82"/>
  <c r="CN19" i="82"/>
  <c r="CC35" i="82"/>
  <c r="CC15" i="82"/>
  <c r="CJ34" i="82"/>
  <c r="CE36" i="82"/>
  <c r="CI45" i="82"/>
  <c r="CR22" i="82"/>
  <c r="CF19" i="82"/>
  <c r="BZ7" i="82"/>
  <c r="CR24" i="82"/>
  <c r="CB26" i="82"/>
  <c r="CO33" i="82"/>
  <c r="CM23" i="82"/>
  <c r="BZ25" i="82"/>
  <c r="CM24" i="82"/>
  <c r="CQ43" i="82"/>
  <c r="CN11" i="82"/>
  <c r="CU36" i="82"/>
  <c r="CJ36" i="82"/>
  <c r="CP34" i="82"/>
  <c r="CL24" i="82"/>
  <c r="CF14" i="82"/>
  <c r="CW36" i="82"/>
  <c r="CW41" i="82"/>
  <c r="CV37" i="82"/>
  <c r="CC39" i="82"/>
  <c r="CX10" i="82"/>
  <c r="CI11" i="82"/>
  <c r="CT37" i="82"/>
  <c r="CP8" i="82"/>
  <c r="CQ47" i="82"/>
  <c r="CX33" i="82"/>
  <c r="CQ25" i="82"/>
  <c r="CP17" i="82"/>
  <c r="CI30" i="82"/>
  <c r="CF7" i="82"/>
  <c r="CW28" i="82"/>
  <c r="CW23" i="82"/>
  <c r="CC23" i="82"/>
  <c r="CJ43" i="82"/>
  <c r="CX16" i="82"/>
  <c r="CE25" i="82"/>
  <c r="CF43" i="82"/>
  <c r="CO49" i="82"/>
  <c r="CV45" i="82"/>
  <c r="CP31" i="82"/>
  <c r="CH31" i="82"/>
  <c r="CK26" i="82"/>
  <c r="CP53" i="82"/>
  <c r="CE21" i="82"/>
  <c r="CM21" i="82"/>
  <c r="CI53" i="82"/>
  <c r="CY16" i="82"/>
  <c r="CF37" i="82"/>
  <c r="CU19" i="82"/>
  <c r="CD9" i="82"/>
  <c r="CN36" i="82"/>
  <c r="CR29" i="82"/>
  <c r="CF21" i="82"/>
  <c r="CR26" i="82"/>
  <c r="CL23" i="82"/>
  <c r="CP36" i="82"/>
  <c r="CN15" i="82"/>
  <c r="CR49" i="82"/>
  <c r="BZ15" i="82"/>
  <c r="CD44" i="82"/>
  <c r="CF44" i="82"/>
  <c r="CC10" i="82"/>
  <c r="CI39" i="82"/>
  <c r="CJ27" i="82"/>
  <c r="CU27" i="82"/>
  <c r="CY46" i="82"/>
  <c r="CN26" i="82"/>
  <c r="CL29" i="82"/>
  <c r="CM14" i="82"/>
  <c r="CE48" i="82"/>
  <c r="CD37" i="82"/>
  <c r="CF41" i="82"/>
  <c r="CY14" i="82"/>
  <c r="CY30" i="82"/>
  <c r="CG14" i="82"/>
  <c r="CB48" i="82"/>
  <c r="CD12" i="82"/>
  <c r="CE9" i="82"/>
  <c r="CQ30" i="82"/>
  <c r="CX25" i="82"/>
  <c r="CV41" i="82"/>
  <c r="CE33" i="82"/>
  <c r="CS7" i="82"/>
  <c r="CR30" i="82"/>
  <c r="CV28" i="82"/>
  <c r="CS9" i="82"/>
  <c r="CA12" i="82"/>
  <c r="CH6" i="82"/>
  <c r="CW25" i="82"/>
  <c r="CE29" i="82"/>
  <c r="CK9" i="82"/>
  <c r="BZ13" i="82"/>
  <c r="CW11" i="82"/>
  <c r="CU25" i="82"/>
  <c r="CJ19" i="82"/>
  <c r="CB25" i="82"/>
  <c r="CU18" i="82"/>
  <c r="CN32" i="82"/>
  <c r="CR36" i="82"/>
  <c r="CN12" i="82"/>
  <c r="CQ8" i="82"/>
  <c r="CN28" i="82"/>
  <c r="CY36" i="82"/>
  <c r="CC50" i="82"/>
  <c r="CW53" i="82"/>
  <c r="CP14" i="82"/>
  <c r="CA14" i="82"/>
  <c r="CL28" i="82"/>
  <c r="CN22" i="82"/>
  <c r="CQ42" i="82"/>
  <c r="CW52" i="82"/>
  <c r="CO40" i="82"/>
  <c r="CT50" i="82"/>
  <c r="CD28" i="82"/>
  <c r="CY39" i="82"/>
  <c r="CO27" i="82"/>
  <c r="CD27" i="82"/>
  <c r="CG29" i="82"/>
  <c r="CG28" i="82"/>
  <c r="CT11" i="82"/>
  <c r="CV27" i="82"/>
  <c r="CS12" i="82"/>
  <c r="CS25" i="82"/>
  <c r="CG17" i="82"/>
  <c r="CN34" i="82"/>
  <c r="CS39" i="82"/>
  <c r="CM39" i="82"/>
  <c r="CR44" i="82"/>
  <c r="CP32" i="82"/>
  <c r="CB20" i="82"/>
  <c r="CH49" i="82"/>
  <c r="CB42" i="82"/>
  <c r="BZ46" i="82"/>
  <c r="CX20" i="82"/>
  <c r="CP7" i="82"/>
  <c r="CM51" i="82"/>
  <c r="CW46" i="82"/>
  <c r="CT21" i="82"/>
  <c r="CK22" i="82"/>
  <c r="CD31" i="82"/>
  <c r="CQ32" i="82"/>
  <c r="CP29" i="82"/>
  <c r="CN10" i="82"/>
  <c r="CT52" i="82"/>
  <c r="CG10" i="82"/>
  <c r="CM22" i="82"/>
  <c r="CU45" i="82"/>
  <c r="CJ45" i="82"/>
  <c r="CV34" i="82"/>
  <c r="CI20" i="82"/>
  <c r="CG25" i="82"/>
  <c r="CP44" i="82"/>
  <c r="CY25" i="82"/>
  <c r="CS26" i="82"/>
  <c r="CO30" i="82"/>
  <c r="CF28" i="82"/>
  <c r="CE22" i="82"/>
  <c r="CV20" i="82"/>
  <c r="CH34" i="82"/>
  <c r="CE26" i="82"/>
  <c r="CB19" i="82"/>
  <c r="CV38" i="82"/>
  <c r="CP41" i="82"/>
  <c r="CU21" i="82"/>
  <c r="CR10" i="82"/>
  <c r="CU50" i="82"/>
  <c r="CJ50" i="82"/>
  <c r="CA50" i="82"/>
  <c r="CV14" i="82"/>
  <c r="CN41" i="82"/>
  <c r="CQ13" i="82"/>
  <c r="CE16" i="82"/>
  <c r="CQ18" i="82"/>
  <c r="CX15" i="82"/>
  <c r="CY11" i="82"/>
  <c r="CS11" i="82"/>
  <c r="BZ43" i="82"/>
  <c r="CH33" i="82"/>
  <c r="CM34" i="82"/>
  <c r="CS34" i="82"/>
  <c r="CO39" i="82"/>
  <c r="CB34" i="82"/>
  <c r="CM15" i="82"/>
  <c r="CN40" i="82"/>
  <c r="CC13" i="82"/>
  <c r="CT47" i="82"/>
  <c r="CH41" i="82"/>
  <c r="CU8" i="82"/>
  <c r="CD39" i="82"/>
  <c r="CH45" i="82"/>
  <c r="CH28" i="82"/>
  <c r="CU30" i="82"/>
  <c r="CU31" i="82"/>
  <c r="CH15" i="82"/>
  <c r="CE17" i="82"/>
  <c r="BZ18" i="82"/>
  <c r="CC32" i="82"/>
  <c r="CK49" i="82"/>
  <c r="CN39" i="82"/>
  <c r="CB24" i="82"/>
  <c r="CK38" i="82"/>
  <c r="CB53" i="82"/>
  <c r="CG24" i="82"/>
  <c r="CC33" i="82"/>
  <c r="CB11" i="82"/>
  <c r="CF51" i="82"/>
  <c r="CU11" i="82"/>
  <c r="CI8" i="82"/>
  <c r="CG13" i="82"/>
  <c r="CW33" i="82"/>
  <c r="CN51" i="82"/>
  <c r="CW26" i="82"/>
  <c r="CU38" i="82"/>
  <c r="CD52" i="82"/>
  <c r="CW14" i="82"/>
  <c r="CO29" i="82"/>
  <c r="CS17" i="82"/>
  <c r="CA41" i="82"/>
  <c r="CK30" i="82"/>
  <c r="CO18" i="82"/>
  <c r="CW31" i="82"/>
  <c r="CE28" i="82"/>
  <c r="CB28" i="82"/>
  <c r="CE19" i="82"/>
  <c r="CS38" i="82"/>
  <c r="CB52" i="82"/>
  <c r="CG6" i="82"/>
  <c r="CF36" i="82"/>
  <c r="BZ52" i="82"/>
  <c r="DA18" i="4"/>
  <c r="G16" i="33" s="1"/>
  <c r="CF18" i="82"/>
  <c r="CA15" i="82"/>
  <c r="CU49" i="82"/>
  <c r="CG51" i="82"/>
  <c r="CL51" i="82"/>
  <c r="CX9" i="82"/>
  <c r="CX30" i="82"/>
  <c r="DB22" i="4"/>
  <c r="H37" i="33" s="1"/>
  <c r="CI22" i="82"/>
  <c r="CB51" i="82"/>
  <c r="CT25" i="82"/>
  <c r="CE10" i="82"/>
  <c r="CR13" i="82"/>
  <c r="CQ22" i="82"/>
  <c r="CN29" i="82"/>
  <c r="CX45" i="82"/>
  <c r="DD16" i="4"/>
  <c r="J22" i="33" s="1"/>
  <c r="CS16" i="82"/>
  <c r="CE15" i="82"/>
  <c r="CL41" i="82"/>
  <c r="BZ10" i="82"/>
  <c r="CK41" i="82"/>
  <c r="CA40" i="82"/>
  <c r="CC7" i="82"/>
  <c r="CR38" i="82"/>
  <c r="CC38" i="82"/>
  <c r="CT39" i="82"/>
  <c r="CM40" i="82"/>
  <c r="CO13" i="82"/>
  <c r="CH48" i="82"/>
  <c r="CN9" i="82"/>
  <c r="CT30" i="82"/>
  <c r="CF29" i="82"/>
  <c r="CE20" i="82"/>
  <c r="CT12" i="82"/>
  <c r="CW15" i="82"/>
  <c r="CD8" i="82"/>
  <c r="CV22" i="82"/>
  <c r="CL15" i="82"/>
  <c r="CN52" i="82"/>
  <c r="CS6" i="82"/>
  <c r="CM6" i="82"/>
  <c r="CJ22" i="82"/>
  <c r="CR45" i="82"/>
  <c r="CY42" i="82"/>
  <c r="CD7" i="82"/>
  <c r="CN45" i="82"/>
  <c r="CO42" i="82"/>
  <c r="CR39" i="82"/>
  <c r="CG46" i="82"/>
  <c r="CI52" i="82"/>
  <c r="CF52" i="82"/>
  <c r="BZ26" i="82"/>
  <c r="CA10" i="82"/>
  <c r="CW39" i="82"/>
  <c r="CF23" i="82"/>
  <c r="CG16" i="82"/>
  <c r="CR32" i="82"/>
  <c r="CH21" i="82"/>
  <c r="CN43" i="82"/>
  <c r="CT24" i="82"/>
  <c r="CI33" i="82"/>
  <c r="CC25" i="82"/>
  <c r="CU20" i="82"/>
  <c r="CB29" i="82"/>
  <c r="CI12" i="82"/>
  <c r="CJ12" i="82"/>
  <c r="CE23" i="82"/>
  <c r="CV18" i="82"/>
  <c r="CW13" i="82"/>
  <c r="CK43" i="82"/>
  <c r="CA26" i="82"/>
  <c r="CY27" i="82"/>
  <c r="CL22" i="82"/>
  <c r="CJ20" i="82"/>
  <c r="CM38" i="82"/>
  <c r="CK36" i="82"/>
  <c r="CC36" i="82"/>
  <c r="CA48" i="82"/>
  <c r="CV15" i="82"/>
  <c r="CR8" i="82"/>
  <c r="CB43" i="82"/>
  <c r="CN24" i="82"/>
  <c r="CQ34" i="82"/>
  <c r="CA30" i="82"/>
  <c r="CL42" i="82"/>
  <c r="CD33" i="82"/>
  <c r="CU34" i="82"/>
  <c r="CJ42" i="82"/>
  <c r="CF30" i="82"/>
  <c r="CW29" i="82"/>
  <c r="CT29" i="82"/>
  <c r="CJ15" i="82"/>
  <c r="CG20" i="82"/>
  <c r="CP24" i="82"/>
  <c r="CY22" i="82"/>
  <c r="CI44" i="82"/>
  <c r="CP11" i="82"/>
  <c r="BZ49" i="82"/>
  <c r="CE30" i="82"/>
  <c r="CV40" i="82"/>
  <c r="CK15" i="82"/>
  <c r="CP40" i="82"/>
  <c r="CY8" i="82"/>
  <c r="CA39" i="82"/>
  <c r="CX24" i="82"/>
  <c r="CY21" i="82"/>
  <c r="CT44" i="82"/>
  <c r="CF16" i="82"/>
  <c r="CD50" i="82"/>
  <c r="CV53" i="82"/>
  <c r="CI25" i="82"/>
  <c r="CD24" i="82"/>
  <c r="CO24" i="82"/>
  <c r="CF27" i="82"/>
  <c r="CI34" i="82"/>
  <c r="CI13" i="82"/>
  <c r="CX51" i="82"/>
  <c r="BZ27" i="82"/>
  <c r="CD51" i="82"/>
  <c r="CQ21" i="82"/>
  <c r="CT42" i="82"/>
  <c r="CU14" i="82"/>
  <c r="CR12" i="82"/>
  <c r="CB45" i="82"/>
  <c r="CH27" i="82"/>
  <c r="CX26" i="82"/>
  <c r="CL43" i="82"/>
  <c r="CP6" i="82"/>
  <c r="BZ24" i="82"/>
  <c r="CO17" i="82"/>
  <c r="CJ46" i="82"/>
  <c r="CU24" i="82"/>
  <c r="CX7" i="82"/>
  <c r="CD43" i="82"/>
  <c r="CE53" i="82"/>
  <c r="CD38" i="82"/>
  <c r="CM43" i="82"/>
  <c r="CH43" i="82"/>
  <c r="CM46" i="82"/>
  <c r="CS46" i="82"/>
  <c r="CO52" i="82"/>
  <c r="CS35" i="82"/>
  <c r="CC45" i="82"/>
  <c r="CE11" i="82"/>
  <c r="BZ35" i="82"/>
  <c r="CT53" i="82"/>
  <c r="BZ14" i="82"/>
  <c r="CD14" i="82"/>
  <c r="CN49" i="82"/>
  <c r="CO38" i="82"/>
  <c r="CA20" i="82"/>
  <c r="CA44" i="82"/>
  <c r="CF40" i="82"/>
  <c r="CX31" i="82"/>
  <c r="CJ8" i="82"/>
  <c r="CT28" i="82"/>
  <c r="CT20" i="82"/>
  <c r="CH22" i="82"/>
  <c r="CL32" i="82"/>
  <c r="BZ44" i="82"/>
  <c r="CL48" i="82"/>
  <c r="CD15" i="82"/>
  <c r="CB13" i="82"/>
  <c r="CC31" i="82"/>
  <c r="CC51" i="82"/>
  <c r="CA32" i="82"/>
  <c r="CX6" i="82"/>
  <c r="CS14" i="82"/>
  <c r="CH10" i="82"/>
  <c r="CS33" i="82"/>
  <c r="CI6" i="82"/>
  <c r="BZ39" i="82"/>
  <c r="CG7" i="82"/>
  <c r="BZ17" i="82"/>
  <c r="CQ31" i="82"/>
  <c r="CQ26" i="82"/>
  <c r="CQ23" i="82"/>
  <c r="CF47" i="82"/>
  <c r="CN21" i="82"/>
  <c r="CG42" i="82"/>
  <c r="DA25" i="4"/>
  <c r="G44" i="33" s="1"/>
  <c r="CF25" i="82"/>
  <c r="BZ50" i="82"/>
  <c r="CY41" i="82"/>
  <c r="CL9" i="82"/>
  <c r="CQ19" i="82"/>
  <c r="CP13" i="82"/>
  <c r="CW16" i="82"/>
  <c r="CV51" i="82"/>
  <c r="CG26" i="82"/>
  <c r="CS36" i="82"/>
  <c r="CO32" i="82"/>
  <c r="CM37" i="82"/>
  <c r="CE37" i="82"/>
  <c r="CP25" i="82"/>
  <c r="CF50" i="82"/>
  <c r="CC21" i="82"/>
  <c r="CK42" i="82"/>
  <c r="CC52" i="82"/>
  <c r="CB22" i="82"/>
  <c r="CV12" i="82"/>
  <c r="BZ28" i="82"/>
  <c r="CC22" i="82"/>
  <c r="CR20" i="82"/>
  <c r="CU12" i="82"/>
  <c r="CH25" i="82"/>
  <c r="CH23" i="82"/>
  <c r="CC11" i="82"/>
  <c r="CB27" i="82"/>
  <c r="CV13" i="82"/>
  <c r="CW10" i="82"/>
  <c r="CX36" i="82"/>
  <c r="CU29" i="82"/>
  <c r="CJ29" i="82"/>
  <c r="CQ6" i="82"/>
  <c r="CR42" i="82"/>
  <c r="CM7" i="82"/>
  <c r="CK25" i="82"/>
  <c r="CO47" i="82"/>
  <c r="CN13" i="82"/>
  <c r="CP35" i="82"/>
  <c r="CV6" i="82"/>
  <c r="CB6" i="82"/>
  <c r="CC49" i="82"/>
  <c r="CV50" i="82"/>
  <c r="CO16" i="82"/>
  <c r="CL13" i="82"/>
  <c r="CW44" i="82"/>
  <c r="CK32" i="82"/>
  <c r="CA29" i="82"/>
  <c r="CK29" i="82"/>
  <c r="CK16" i="82"/>
  <c r="CX50" i="82"/>
  <c r="CV11" i="82"/>
  <c r="CQ11" i="82"/>
  <c r="CV42" i="82"/>
  <c r="CU17" i="82"/>
  <c r="CR33" i="82"/>
  <c r="CX18" i="82"/>
  <c r="CM42" i="82"/>
  <c r="CD22" i="82"/>
  <c r="CJ13" i="82"/>
  <c r="CK12" i="82"/>
  <c r="CO50" i="82"/>
  <c r="CU15" i="82"/>
  <c r="CP12" i="82"/>
  <c r="CW35" i="82"/>
  <c r="CU16" i="82"/>
  <c r="CF10" i="82"/>
  <c r="CO46" i="82"/>
  <c r="CA9" i="82"/>
  <c r="CJ21" i="82"/>
  <c r="CL8" i="82"/>
  <c r="CG8" i="82"/>
  <c r="CP10" i="82"/>
  <c r="CL44" i="82"/>
  <c r="CQ14" i="82"/>
  <c r="CV43" i="82"/>
  <c r="CD18" i="82"/>
  <c r="CO10" i="82"/>
  <c r="CK18" i="82"/>
  <c r="CD32" i="82"/>
  <c r="CU7" i="82"/>
  <c r="CB49" i="82"/>
  <c r="CL11" i="82"/>
  <c r="CQ7" i="82"/>
  <c r="CM32" i="82"/>
  <c r="CG27" i="82"/>
  <c r="CA8" i="82"/>
  <c r="CR47" i="82"/>
  <c r="CA16" i="82"/>
  <c r="CO35" i="82"/>
  <c r="CG11" i="82"/>
  <c r="CK7" i="82"/>
  <c r="CO43" i="82"/>
  <c r="CX43" i="82"/>
  <c r="CI26" i="82"/>
  <c r="CX39" i="82"/>
  <c r="CH12" i="82"/>
  <c r="CW18" i="82"/>
  <c r="CG18" i="82"/>
  <c r="CC18" i="82"/>
  <c r="CX37" i="82"/>
  <c r="CU22" i="82"/>
  <c r="CV17" i="82"/>
  <c r="CG23" i="82"/>
  <c r="CV36" i="82"/>
  <c r="CM48" i="82"/>
  <c r="CQ24" i="82"/>
  <c r="CR27" i="82"/>
  <c r="CT33" i="82"/>
  <c r="BZ19" i="82"/>
  <c r="CK31" i="82"/>
  <c r="CE13" i="82"/>
  <c r="CX52" i="82"/>
  <c r="CT14" i="82"/>
  <c r="CE45" i="82"/>
  <c r="CC29" i="82"/>
  <c r="CD11" i="82"/>
  <c r="CP38" i="82"/>
  <c r="CN44" i="82"/>
  <c r="CV32" i="82"/>
  <c r="CT7" i="82"/>
  <c r="CQ51" i="82"/>
  <c r="BZ40" i="82"/>
  <c r="CM8" i="82"/>
  <c r="CJ38" i="82"/>
  <c r="CF31" i="82"/>
  <c r="CI31" i="82"/>
  <c r="CS21" i="82"/>
  <c r="CL47" i="82"/>
  <c r="CS40" i="82"/>
  <c r="BZ20" i="82"/>
  <c r="CS48" i="82"/>
  <c r="CC47" i="82"/>
  <c r="CA45" i="82"/>
  <c r="CH35" i="82"/>
  <c r="CL38" i="82"/>
  <c r="CE50" i="82"/>
  <c r="CA49" i="82"/>
  <c r="CE40" i="82"/>
  <c r="CJ9" i="82"/>
  <c r="CP30" i="82"/>
  <c r="CT46" i="82"/>
  <c r="CP23" i="82"/>
  <c r="CK37" i="82"/>
  <c r="BZ53" i="82"/>
  <c r="CR16" i="82"/>
  <c r="CL17" i="82"/>
  <c r="CH37" i="82"/>
  <c r="CG38" i="82"/>
  <c r="CI9" i="82"/>
  <c r="CG30" i="82"/>
  <c r="CI17" i="82"/>
  <c r="CS27" i="82"/>
  <c r="CQ20" i="82"/>
  <c r="CM27" i="82"/>
  <c r="CS42" i="82"/>
  <c r="CV46" i="82"/>
  <c r="CQ10" i="82"/>
  <c r="CQ27" i="82"/>
  <c r="CL39" i="82"/>
  <c r="CR40" i="82"/>
  <c r="CL40" i="82"/>
  <c r="CA51" i="82"/>
  <c r="CB39" i="82"/>
  <c r="CM50" i="82"/>
  <c r="CB38" i="82"/>
  <c r="CP26" i="82"/>
  <c r="CX17" i="82"/>
  <c r="CH52" i="82"/>
  <c r="CA52" i="82"/>
  <c r="CW45" i="82"/>
  <c r="CC6" i="82"/>
  <c r="CF39" i="82"/>
  <c r="CE43" i="82"/>
  <c r="CW12" i="82"/>
  <c r="CO34" i="82"/>
  <c r="CR17" i="82"/>
  <c r="CH24" i="82"/>
  <c r="CU51" i="82"/>
  <c r="CG22" i="82"/>
  <c r="CT13" i="82"/>
  <c r="CV44" i="82"/>
  <c r="CQ44" i="82"/>
  <c r="CW8" i="82"/>
  <c r="CJ44" i="82"/>
  <c r="CY47" i="82"/>
  <c r="CE38" i="82"/>
  <c r="CK8" i="82"/>
  <c r="CE18" i="82"/>
  <c r="CC34" i="82"/>
  <c r="CB15" i="82"/>
  <c r="CO37" i="82"/>
  <c r="BZ37" i="82"/>
  <c r="CE42" i="82"/>
  <c r="CJ48" i="82"/>
  <c r="CY40" i="82"/>
  <c r="CL16" i="82"/>
  <c r="CM29" i="82"/>
  <c r="CG15" i="82"/>
  <c r="CH13" i="82"/>
  <c r="CI16" i="82"/>
  <c r="CT17" i="82"/>
  <c r="CX42" i="82"/>
  <c r="CP43" i="82"/>
  <c r="CX28" i="82"/>
  <c r="CT19" i="82"/>
  <c r="CQ46" i="82"/>
  <c r="CW42" i="82"/>
  <c r="CA11" i="82"/>
  <c r="CV16" i="82"/>
  <c r="CB16" i="82"/>
  <c r="CG41" i="82"/>
  <c r="CR7" i="82"/>
  <c r="CR11" i="82"/>
  <c r="CH47" i="82"/>
  <c r="CR37" i="82"/>
  <c r="CP39" i="82"/>
  <c r="CB31" i="82"/>
  <c r="CE32" i="82"/>
  <c r="CA17" i="82"/>
  <c r="CX40" i="82"/>
  <c r="CX21" i="82"/>
  <c r="CI7" i="82"/>
  <c r="CL37" i="82"/>
  <c r="CN35" i="82"/>
  <c r="CG43" i="82"/>
  <c r="CK34" i="82"/>
  <c r="BZ22" i="82"/>
  <c r="CY9" i="82"/>
  <c r="CV24" i="82"/>
  <c r="CQ29" i="82"/>
  <c r="CK23" i="82"/>
  <c r="CL26" i="82"/>
  <c r="CY23" i="82"/>
  <c r="CS28" i="82"/>
  <c r="CH17" i="82"/>
  <c r="CJ37" i="82"/>
  <c r="CQ39" i="82"/>
  <c r="BZ6" i="82"/>
  <c r="CG35" i="82"/>
  <c r="CI51" i="82"/>
  <c r="DA41" i="4"/>
  <c r="G26" i="33" s="1"/>
  <c r="DC44" i="4"/>
  <c r="I32" i="33" s="1"/>
  <c r="DD21" i="4"/>
  <c r="J50" i="33" s="1"/>
  <c r="DA34" i="4"/>
  <c r="G6" i="33" s="1"/>
  <c r="DC8" i="4"/>
  <c r="I4" i="33" s="1"/>
  <c r="DD17" i="4"/>
  <c r="J14" i="33" s="1"/>
  <c r="DE43" i="4"/>
  <c r="K5" i="33" s="1"/>
  <c r="DA8" i="4"/>
  <c r="G4" i="33" s="1"/>
  <c r="DA31" i="4"/>
  <c r="G10" i="33" s="1"/>
  <c r="DD19" i="4"/>
  <c r="J19" i="33" s="1"/>
  <c r="DA15" i="4"/>
  <c r="G36" i="33" s="1"/>
  <c r="DC20" i="4"/>
  <c r="I33" i="33" s="1"/>
  <c r="DA17" i="4"/>
  <c r="G14" i="33" s="1"/>
  <c r="DD23" i="4"/>
  <c r="J51" i="33" s="1"/>
  <c r="DD35" i="4"/>
  <c r="J15" i="33" s="1"/>
  <c r="DD36" i="4"/>
  <c r="J35" i="33" s="1"/>
  <c r="DA19" i="4"/>
  <c r="G19" i="33" s="1"/>
  <c r="DD50" i="4"/>
  <c r="J31" i="33" s="1"/>
  <c r="DB50" i="4"/>
  <c r="H31" i="33" s="1"/>
  <c r="DE47" i="4"/>
  <c r="K48" i="33" s="1"/>
  <c r="CZ39" i="4"/>
  <c r="F46" i="33" s="1"/>
  <c r="DD46" i="4"/>
  <c r="J49" i="33" s="1"/>
  <c r="DA24" i="4"/>
  <c r="G41" i="33" s="1"/>
  <c r="DC49" i="4"/>
  <c r="I11" i="33" s="1"/>
  <c r="DA50" i="4"/>
  <c r="G31" i="33" s="1"/>
  <c r="DD20" i="4"/>
  <c r="J33" i="33" s="1"/>
  <c r="DC33" i="4"/>
  <c r="I40" i="33" s="1"/>
  <c r="DE8" i="4"/>
  <c r="K4" i="33" s="1"/>
  <c r="DD41" i="4"/>
  <c r="J26" i="33" s="1"/>
  <c r="DE10" i="4"/>
  <c r="K27" i="33" s="1"/>
  <c r="DC25" i="4"/>
  <c r="I44" i="33" s="1"/>
  <c r="DD43" i="4"/>
  <c r="J5" i="33" s="1"/>
  <c r="DE32" i="4"/>
  <c r="K45" i="33" s="1"/>
  <c r="DB46" i="4"/>
  <c r="H49" i="33" s="1"/>
  <c r="DB32" i="4"/>
  <c r="H45" i="33" s="1"/>
  <c r="CZ30" i="4"/>
  <c r="F38" i="33" s="1"/>
  <c r="DC50" i="4"/>
  <c r="I31" i="33" s="1"/>
  <c r="DB8" i="4"/>
  <c r="H4" i="33" s="1"/>
  <c r="DA36" i="4"/>
  <c r="G35" i="33" s="1"/>
  <c r="DA29" i="4"/>
  <c r="G18" i="33" s="1"/>
  <c r="CZ26" i="4"/>
  <c r="F8" i="33" s="1"/>
  <c r="DC43" i="4"/>
  <c r="I5" i="33" s="1"/>
  <c r="DA48" i="4"/>
  <c r="G47" i="33" s="1"/>
  <c r="DB31" i="4"/>
  <c r="H10" i="33" s="1"/>
  <c r="DD40" i="4"/>
  <c r="J28" i="33" s="1"/>
  <c r="DD42" i="4"/>
  <c r="J39" i="33" s="1"/>
  <c r="DE46" i="4"/>
  <c r="K49" i="33" s="1"/>
  <c r="DD30" i="4"/>
  <c r="J38" i="33" s="1"/>
  <c r="DC48" i="4"/>
  <c r="I47" i="33" s="1"/>
  <c r="DC47" i="4"/>
  <c r="I48" i="33" s="1"/>
  <c r="DB51" i="4"/>
  <c r="H34" i="33" s="1"/>
  <c r="DA6" i="4"/>
  <c r="G17" i="33" s="1"/>
  <c r="DB49" i="4"/>
  <c r="H11" i="33" s="1"/>
  <c r="DE37" i="4"/>
  <c r="K30" i="33" s="1"/>
  <c r="DE31" i="4"/>
  <c r="K10" i="33" s="1"/>
  <c r="DE26" i="4"/>
  <c r="K8" i="33" s="1"/>
  <c r="DE41" i="4"/>
  <c r="K26" i="33" s="1"/>
  <c r="DD9" i="4"/>
  <c r="J7" i="33" s="1"/>
  <c r="DC32" i="4"/>
  <c r="I45" i="33" s="1"/>
  <c r="DC34" i="4"/>
  <c r="I6" i="33" s="1"/>
  <c r="CZ40" i="4"/>
  <c r="F28" i="33" s="1"/>
  <c r="CZ20" i="4"/>
  <c r="F33" i="33" s="1"/>
  <c r="DD48" i="4"/>
  <c r="J47" i="33" s="1"/>
  <c r="CZ53" i="4"/>
  <c r="F12" i="33" s="1"/>
  <c r="DB9" i="4"/>
  <c r="H7" i="33" s="1"/>
  <c r="DB17" i="4"/>
  <c r="H14" i="33" s="1"/>
  <c r="DD27" i="4"/>
  <c r="J21" i="33" s="1"/>
  <c r="DA39" i="4"/>
  <c r="G46" i="33" s="1"/>
  <c r="DE44" i="4"/>
  <c r="K32" i="33" s="1"/>
  <c r="CZ37" i="4"/>
  <c r="F30" i="33" s="1"/>
  <c r="DB16" i="4"/>
  <c r="H22" i="33" s="1"/>
  <c r="DE16" i="4"/>
  <c r="K22" i="33" s="1"/>
  <c r="DB7" i="4"/>
  <c r="H25" i="33" s="1"/>
  <c r="DC35" i="4"/>
  <c r="I15" i="33" s="1"/>
  <c r="CZ22" i="4"/>
  <c r="F37" i="33" s="1"/>
  <c r="DE24" i="4"/>
  <c r="K41" i="33" s="1"/>
  <c r="DD28" i="4"/>
  <c r="J20" i="33" s="1"/>
  <c r="CZ6" i="4"/>
  <c r="F17" i="33" s="1"/>
  <c r="DC27" i="4"/>
  <c r="I21" i="33" s="1"/>
  <c r="CZ9" i="4"/>
  <c r="F7" i="33" s="1"/>
  <c r="DA22" i="4"/>
  <c r="G37" i="33" s="1"/>
  <c r="CZ38" i="4"/>
  <c r="F24" i="33" s="1"/>
  <c r="DA38" i="4"/>
  <c r="G24" i="33" s="1"/>
  <c r="CZ33" i="4"/>
  <c r="F40" i="33" s="1"/>
  <c r="DC53" i="4"/>
  <c r="I12" i="33" s="1"/>
  <c r="DC30" i="4"/>
  <c r="I38" i="33" s="1"/>
  <c r="DC16" i="4"/>
  <c r="I22" i="33" s="1"/>
  <c r="DC37" i="4"/>
  <c r="I30" i="33" s="1"/>
  <c r="DD13" i="4"/>
  <c r="J23" i="33" s="1"/>
  <c r="DB14" i="4"/>
  <c r="H13" i="33" s="1"/>
  <c r="DC17" i="4"/>
  <c r="I14" i="33" s="1"/>
  <c r="DD24" i="4"/>
  <c r="J41" i="33" s="1"/>
  <c r="DB19" i="4"/>
  <c r="H19" i="33" s="1"/>
  <c r="DC23" i="4"/>
  <c r="I51" i="33" s="1"/>
  <c r="DA32" i="4"/>
  <c r="G45" i="33" s="1"/>
  <c r="DE39" i="4"/>
  <c r="K46" i="33" s="1"/>
  <c r="DB10" i="4"/>
  <c r="H27" i="33" s="1"/>
  <c r="DA42" i="4"/>
  <c r="G39" i="33" s="1"/>
  <c r="CZ29" i="4"/>
  <c r="F18" i="33" s="1"/>
  <c r="DE30" i="4"/>
  <c r="K38" i="33" s="1"/>
  <c r="DB40" i="4"/>
  <c r="H28" i="33" s="1"/>
  <c r="DE21" i="4"/>
  <c r="K50" i="33" s="1"/>
  <c r="DE7" i="4"/>
  <c r="K25" i="33" s="1"/>
  <c r="DD10" i="4"/>
  <c r="J27" i="33" s="1"/>
  <c r="DA53" i="4"/>
  <c r="G12" i="33" s="1"/>
  <c r="DC38" i="4"/>
  <c r="I24" i="33" s="1"/>
  <c r="CZ51" i="4"/>
  <c r="F34" i="33" s="1"/>
  <c r="DE23" i="4"/>
  <c r="K51" i="33" s="1"/>
  <c r="DE48" i="4"/>
  <c r="K47" i="33" s="1"/>
  <c r="DC18" i="4"/>
  <c r="I16" i="33" s="1"/>
  <c r="CZ41" i="4"/>
  <c r="F26" i="33" s="1"/>
  <c r="CZ21" i="4"/>
  <c r="F50" i="33" s="1"/>
  <c r="CZ34" i="4"/>
  <c r="F6" i="33" s="1"/>
  <c r="DD49" i="4"/>
  <c r="J11" i="33" s="1"/>
  <c r="DD18" i="4"/>
  <c r="J16" i="33" s="1"/>
  <c r="DD31" i="4"/>
  <c r="J10" i="33" s="1"/>
  <c r="DE25" i="4"/>
  <c r="K44" i="33" s="1"/>
  <c r="DA33" i="4"/>
  <c r="G40" i="33" s="1"/>
  <c r="DD47" i="4"/>
  <c r="J48" i="33" s="1"/>
  <c r="DE9" i="4"/>
  <c r="K7" i="33" s="1"/>
  <c r="DD51" i="4"/>
  <c r="J34" i="33" s="1"/>
  <c r="DC7" i="4"/>
  <c r="I25" i="33" s="1"/>
  <c r="DA20" i="4"/>
  <c r="G33" i="33" s="1"/>
  <c r="DD37" i="4"/>
  <c r="J30" i="33" s="1"/>
  <c r="DB41" i="4"/>
  <c r="H26" i="33" s="1"/>
  <c r="DB15" i="4"/>
  <c r="H36" i="33" s="1"/>
  <c r="DD32" i="4"/>
  <c r="J45" i="33" s="1"/>
  <c r="CZ12" i="4"/>
  <c r="F29" i="33" s="1"/>
  <c r="DD8" i="4"/>
  <c r="J4" i="33" s="1"/>
  <c r="DA26" i="4"/>
  <c r="G8" i="33" s="1"/>
  <c r="CZ23" i="4"/>
  <c r="CZ42" i="4"/>
  <c r="F39" i="33" s="1"/>
  <c r="DE35" i="4"/>
  <c r="K15" i="33" s="1"/>
  <c r="DB47" i="4"/>
  <c r="H48" i="33" s="1"/>
  <c r="DD45" i="4"/>
  <c r="J42" i="33" s="1"/>
  <c r="DB18" i="4"/>
  <c r="H16" i="33" s="1"/>
  <c r="DA46" i="4"/>
  <c r="G49" i="33" s="1"/>
  <c r="CZ16" i="4"/>
  <c r="F22" i="33" s="1"/>
  <c r="DA9" i="4"/>
  <c r="G7" i="33" s="1"/>
  <c r="CZ32" i="4"/>
  <c r="F45" i="33" s="1"/>
  <c r="DE49" i="4"/>
  <c r="K11" i="33" s="1"/>
  <c r="DB29" i="4"/>
  <c r="H18" i="33" s="1"/>
  <c r="DD22" i="4"/>
  <c r="J37" i="33" s="1"/>
  <c r="DB43" i="4"/>
  <c r="H5" i="33" s="1"/>
  <c r="DB28" i="4"/>
  <c r="H20" i="33" s="1"/>
  <c r="DD15" i="4"/>
  <c r="J36" i="33" s="1"/>
  <c r="DA45" i="4"/>
  <c r="G42" i="33" s="1"/>
  <c r="DB23" i="4"/>
  <c r="H51" i="33" s="1"/>
  <c r="DB37" i="4"/>
  <c r="H30" i="33" s="1"/>
  <c r="CZ31" i="4"/>
  <c r="F10" i="33" s="1"/>
  <c r="DC14" i="4"/>
  <c r="I13" i="33" s="1"/>
  <c r="DB21" i="4"/>
  <c r="H50" i="33" s="1"/>
  <c r="DA13" i="4"/>
  <c r="G23" i="33" s="1"/>
  <c r="CZ47" i="4"/>
  <c r="F48" i="33" s="1"/>
  <c r="DE29" i="4"/>
  <c r="K18" i="33" s="1"/>
  <c r="DB42" i="4"/>
  <c r="H39" i="33" s="1"/>
  <c r="CZ8" i="4"/>
  <c r="F4" i="33" s="1"/>
  <c r="DA35" i="4"/>
  <c r="G15" i="33" s="1"/>
  <c r="DB35" i="4"/>
  <c r="H15" i="33" s="1"/>
  <c r="DD53" i="4"/>
  <c r="J12" i="33" s="1"/>
  <c r="DB27" i="4"/>
  <c r="H21" i="33" s="1"/>
  <c r="CZ48" i="4"/>
  <c r="F47" i="33" s="1"/>
  <c r="CZ11" i="4"/>
  <c r="F9" i="33" s="1"/>
  <c r="CZ45" i="4"/>
  <c r="F42" i="33" s="1"/>
  <c r="DB38" i="4"/>
  <c r="H24" i="33" s="1"/>
  <c r="DB48" i="4"/>
  <c r="H47" i="33" s="1"/>
  <c r="DC31" i="4"/>
  <c r="I10" i="33" s="1"/>
  <c r="DE52" i="4"/>
  <c r="K43" i="33" s="1"/>
  <c r="DC6" i="4"/>
  <c r="I17" i="33" s="1"/>
  <c r="DE33" i="4"/>
  <c r="K40" i="33" s="1"/>
  <c r="DE19" i="4"/>
  <c r="K19" i="33" s="1"/>
  <c r="DC42" i="4"/>
  <c r="I39" i="33" s="1"/>
  <c r="DC19" i="4"/>
  <c r="I19" i="33" s="1"/>
  <c r="DB45" i="4"/>
  <c r="H42" i="33" s="1"/>
  <c r="CZ7" i="4"/>
  <c r="F25" i="33" s="1"/>
  <c r="CZ25" i="4"/>
  <c r="F44" i="33" s="1"/>
  <c r="DC11" i="4"/>
  <c r="I9" i="33" s="1"/>
  <c r="DA14" i="4"/>
  <c r="G13" i="33" s="1"/>
  <c r="DB11" i="4"/>
  <c r="H9" i="33" s="1"/>
  <c r="DB30" i="4"/>
  <c r="H38" i="33" s="1"/>
  <c r="DA7" i="4"/>
  <c r="G25" i="33" s="1"/>
  <c r="DA43" i="4"/>
  <c r="G5" i="33" s="1"/>
  <c r="DE45" i="4"/>
  <c r="K42" i="33" s="1"/>
  <c r="DB53" i="4"/>
  <c r="H12" i="33" s="1"/>
  <c r="DA37" i="4"/>
  <c r="G30" i="33" s="1"/>
  <c r="DC36" i="4"/>
  <c r="I35" i="33" s="1"/>
  <c r="DA21" i="4"/>
  <c r="G50" i="33" s="1"/>
  <c r="DC15" i="4"/>
  <c r="I36" i="33" s="1"/>
  <c r="CZ15" i="4"/>
  <c r="F36" i="33" s="1"/>
  <c r="DA44" i="4"/>
  <c r="G32" i="33" s="1"/>
  <c r="DB39" i="4"/>
  <c r="H46" i="33" s="1"/>
  <c r="DC26" i="4"/>
  <c r="I8" i="33" s="1"/>
  <c r="DD7" i="4"/>
  <c r="J25" i="33" s="1"/>
  <c r="DE28" i="4"/>
  <c r="K20" i="33" s="1"/>
  <c r="CZ13" i="4"/>
  <c r="F23" i="33" s="1"/>
  <c r="DC12" i="4"/>
  <c r="I29" i="33" s="1"/>
  <c r="DC28" i="4"/>
  <c r="I20" i="33" s="1"/>
  <c r="DC22" i="4"/>
  <c r="I37" i="33" s="1"/>
  <c r="DE27" i="4"/>
  <c r="K21" i="33" s="1"/>
  <c r="DD12" i="4"/>
  <c r="J29" i="33" s="1"/>
  <c r="DD25" i="4"/>
  <c r="J44" i="33" s="1"/>
  <c r="DD39" i="4"/>
  <c r="J46" i="33" s="1"/>
  <c r="CZ46" i="4"/>
  <c r="F49" i="33" s="1"/>
  <c r="DC10" i="4"/>
  <c r="I27" i="33" s="1"/>
  <c r="DE34" i="4"/>
  <c r="K6" i="33" s="1"/>
  <c r="DB20" i="4"/>
  <c r="H33" i="33" s="1"/>
  <c r="DD26" i="4"/>
  <c r="J8" i="33" s="1"/>
  <c r="DA28" i="4"/>
  <c r="G20" i="33" s="1"/>
  <c r="DE20" i="4"/>
  <c r="K33" i="33" s="1"/>
  <c r="DE38" i="4"/>
  <c r="K24" i="33" s="1"/>
  <c r="DE14" i="4"/>
  <c r="K13" i="33" s="1"/>
  <c r="DC41" i="4"/>
  <c r="I26" i="33" s="1"/>
  <c r="DD11" i="4"/>
  <c r="J9" i="33" s="1"/>
  <c r="CZ43" i="4"/>
  <c r="F5" i="33" s="1"/>
  <c r="DD34" i="4"/>
  <c r="J6" i="33" s="1"/>
  <c r="DC40" i="4"/>
  <c r="I28" i="33" s="1"/>
  <c r="CZ18" i="4"/>
  <c r="F16" i="33" s="1"/>
  <c r="DC39" i="4"/>
  <c r="I46" i="33" s="1"/>
  <c r="DA51" i="4"/>
  <c r="G34" i="33" s="1"/>
  <c r="DC51" i="4"/>
  <c r="I34" i="33" s="1"/>
  <c r="DD38" i="4"/>
  <c r="J24" i="33" s="1"/>
  <c r="CZ52" i="4"/>
  <c r="F43" i="33" s="1"/>
  <c r="DC29" i="4"/>
  <c r="I18" i="33" s="1"/>
  <c r="CZ10" i="4"/>
  <c r="F27" i="33" s="1"/>
  <c r="DC9" i="4"/>
  <c r="I7" i="33" s="1"/>
  <c r="DE22" i="4"/>
  <c r="K37" i="33" s="1"/>
  <c r="DC52" i="4"/>
  <c r="I43" i="33" s="1"/>
  <c r="DD6" i="4"/>
  <c r="J17" i="33" s="1"/>
  <c r="DC45" i="4"/>
  <c r="I42" i="33" s="1"/>
  <c r="DB52" i="4"/>
  <c r="H43" i="33" s="1"/>
  <c r="DA52" i="4"/>
  <c r="G43" i="33" s="1"/>
  <c r="DA23" i="4"/>
  <c r="G51" i="33" s="1"/>
  <c r="DB33" i="4"/>
  <c r="H40" i="33" s="1"/>
  <c r="DB12" i="4"/>
  <c r="H29" i="33" s="1"/>
  <c r="DE18" i="4"/>
  <c r="K16" i="33" s="1"/>
  <c r="DE15" i="4"/>
  <c r="K36" i="33" s="1"/>
  <c r="DC24" i="4"/>
  <c r="I41" i="33" s="1"/>
  <c r="DA30" i="4"/>
  <c r="G38" i="33" s="1"/>
  <c r="DB44" i="4"/>
  <c r="H32" i="33" s="1"/>
  <c r="CZ49" i="4"/>
  <c r="F11" i="33" s="1"/>
  <c r="DE40" i="4"/>
  <c r="K28" i="33" s="1"/>
  <c r="DA16" i="4"/>
  <c r="G22" i="33" s="1"/>
  <c r="DE53" i="4"/>
  <c r="K12" i="33" s="1"/>
  <c r="DB25" i="4"/>
  <c r="H44" i="33" s="1"/>
  <c r="DA27" i="4"/>
  <c r="G21" i="33" s="1"/>
  <c r="DB34" i="4"/>
  <c r="H6" i="33" s="1"/>
  <c r="DB13" i="4"/>
  <c r="H23" i="33" s="1"/>
  <c r="CZ27" i="4"/>
  <c r="F21" i="33" s="1"/>
  <c r="CZ24" i="4"/>
  <c r="F41" i="33" s="1"/>
  <c r="CZ35" i="4"/>
  <c r="F15" i="33" s="1"/>
  <c r="CZ14" i="4"/>
  <c r="F13" i="33" s="1"/>
  <c r="DA40" i="4"/>
  <c r="G28" i="33" s="1"/>
  <c r="CZ44" i="4"/>
  <c r="DD14" i="4"/>
  <c r="J13" i="33" s="1"/>
  <c r="DD33" i="4"/>
  <c r="J40" i="33" s="1"/>
  <c r="DB6" i="4"/>
  <c r="H17" i="33" s="1"/>
  <c r="CZ17" i="4"/>
  <c r="F14" i="33" s="1"/>
  <c r="DA47" i="4"/>
  <c r="G48" i="33" s="1"/>
  <c r="DC21" i="4"/>
  <c r="I50" i="33" s="1"/>
  <c r="CZ50" i="4"/>
  <c r="F31" i="33" s="1"/>
  <c r="DE51" i="4"/>
  <c r="K34" i="33" s="1"/>
  <c r="DE12" i="4"/>
  <c r="K29" i="33" s="1"/>
  <c r="CZ28" i="4"/>
  <c r="F20" i="33" s="1"/>
  <c r="DE13" i="4"/>
  <c r="K23" i="33" s="1"/>
  <c r="DC13" i="4"/>
  <c r="I23" i="33" s="1"/>
  <c r="DE6" i="4"/>
  <c r="K17" i="33" s="1"/>
  <c r="DE50" i="4"/>
  <c r="K31" i="33" s="1"/>
  <c r="DE11" i="4"/>
  <c r="K9" i="33" s="1"/>
  <c r="DE42" i="4"/>
  <c r="K39" i="33" s="1"/>
  <c r="DA10" i="4"/>
  <c r="G27" i="33" s="1"/>
  <c r="DB26" i="4"/>
  <c r="H8" i="33" s="1"/>
  <c r="DE17" i="4"/>
  <c r="K14" i="33" s="1"/>
  <c r="DE36" i="4"/>
  <c r="K35" i="33" s="1"/>
  <c r="CZ19" i="4"/>
  <c r="F19" i="33" s="1"/>
  <c r="S78" i="18"/>
  <c r="R78" i="18"/>
  <c r="Q78" i="18"/>
  <c r="P78" i="18"/>
  <c r="S77" i="18"/>
  <c r="R77" i="18"/>
  <c r="Q77" i="18"/>
  <c r="P77" i="18"/>
  <c r="S76" i="18"/>
  <c r="R76" i="18"/>
  <c r="Q76" i="18"/>
  <c r="P76" i="18"/>
  <c r="S75" i="18"/>
  <c r="R75" i="18"/>
  <c r="Q75" i="18"/>
  <c r="P75" i="18"/>
  <c r="S74" i="18"/>
  <c r="R74" i="18"/>
  <c r="Q74" i="18"/>
  <c r="P74" i="18"/>
  <c r="S73" i="18"/>
  <c r="R73" i="18"/>
  <c r="Q73" i="18"/>
  <c r="P73" i="18"/>
  <c r="S72" i="18"/>
  <c r="R72" i="18"/>
  <c r="Q72" i="18"/>
  <c r="P72" i="18"/>
  <c r="S71" i="18"/>
  <c r="R71" i="18"/>
  <c r="Q71" i="18"/>
  <c r="P71" i="18"/>
  <c r="S70" i="18"/>
  <c r="R70" i="18"/>
  <c r="Q70" i="18"/>
  <c r="P70" i="18"/>
  <c r="S69" i="18"/>
  <c r="R69" i="18"/>
  <c r="Q69" i="18"/>
  <c r="P69" i="18"/>
  <c r="S68" i="18"/>
  <c r="R68" i="18"/>
  <c r="Q68" i="18"/>
  <c r="P68" i="18"/>
  <c r="S67" i="18"/>
  <c r="R67" i="18"/>
  <c r="Q67" i="18"/>
  <c r="P67" i="18"/>
  <c r="S66" i="18"/>
  <c r="R66" i="18"/>
  <c r="Q66" i="18"/>
  <c r="P66" i="18"/>
  <c r="S65" i="18"/>
  <c r="R65" i="18"/>
  <c r="Q65" i="18"/>
  <c r="P65" i="18"/>
  <c r="S64" i="18"/>
  <c r="R64" i="18"/>
  <c r="Q64" i="18"/>
  <c r="P64" i="18"/>
  <c r="S63" i="18"/>
  <c r="R63" i="18"/>
  <c r="Q63" i="18"/>
  <c r="P63" i="18"/>
  <c r="S62" i="18"/>
  <c r="R62" i="18"/>
  <c r="Q62" i="18"/>
  <c r="P62" i="18"/>
  <c r="S61" i="18"/>
  <c r="R61" i="18"/>
  <c r="Q61" i="18"/>
  <c r="P61" i="18"/>
  <c r="S60" i="18"/>
  <c r="R60" i="18"/>
  <c r="Q60" i="18"/>
  <c r="P60" i="18"/>
  <c r="S59" i="18"/>
  <c r="R59" i="18"/>
  <c r="Q59" i="18"/>
  <c r="P59" i="18"/>
  <c r="S58" i="18"/>
  <c r="R58" i="18"/>
  <c r="Q58" i="18"/>
  <c r="P58" i="18"/>
  <c r="S57" i="18"/>
  <c r="R57" i="18"/>
  <c r="Q57" i="18"/>
  <c r="P57" i="18"/>
  <c r="S56" i="18"/>
  <c r="R56" i="18"/>
  <c r="Q56" i="18"/>
  <c r="P56" i="18"/>
  <c r="S55" i="18"/>
  <c r="R55" i="18"/>
  <c r="Q55" i="18"/>
  <c r="P55" i="18"/>
  <c r="S54" i="18"/>
  <c r="R54" i="18"/>
  <c r="Q54" i="18"/>
  <c r="P54" i="18"/>
  <c r="S53" i="18"/>
  <c r="R53" i="18"/>
  <c r="Q53" i="18"/>
  <c r="P53" i="18"/>
  <c r="S52" i="18"/>
  <c r="R52" i="18"/>
  <c r="Q52" i="18"/>
  <c r="P52" i="18"/>
  <c r="S51" i="18"/>
  <c r="R51" i="18"/>
  <c r="Q51" i="18"/>
  <c r="P51" i="18"/>
  <c r="S50" i="18"/>
  <c r="R50" i="18"/>
  <c r="Q50" i="18"/>
  <c r="P50" i="18"/>
  <c r="S49" i="18"/>
  <c r="R49" i="18"/>
  <c r="Q49" i="18"/>
  <c r="P49" i="18"/>
  <c r="S48" i="18"/>
  <c r="R48" i="18"/>
  <c r="Q48" i="18"/>
  <c r="P48" i="18"/>
  <c r="S47" i="18"/>
  <c r="R47" i="18"/>
  <c r="Q47" i="18"/>
  <c r="P47" i="18"/>
  <c r="S46" i="18"/>
  <c r="R46" i="18"/>
  <c r="Q46" i="18"/>
  <c r="P46" i="18"/>
  <c r="S45" i="18"/>
  <c r="R45" i="18"/>
  <c r="Q45" i="18"/>
  <c r="P45" i="18"/>
  <c r="S44" i="18"/>
  <c r="R44" i="18"/>
  <c r="Q44" i="18"/>
  <c r="P44" i="18"/>
  <c r="S43" i="18"/>
  <c r="R43" i="18"/>
  <c r="Q43" i="18"/>
  <c r="P43" i="18"/>
  <c r="S42" i="18"/>
  <c r="R42" i="18"/>
  <c r="Q42" i="18"/>
  <c r="P42" i="18"/>
  <c r="S41" i="18"/>
  <c r="R41" i="18"/>
  <c r="Q41" i="18"/>
  <c r="P41" i="18"/>
  <c r="S40" i="18"/>
  <c r="R40" i="18"/>
  <c r="Q40" i="18"/>
  <c r="P40" i="18"/>
  <c r="S39" i="18"/>
  <c r="R39" i="18"/>
  <c r="Q39" i="18"/>
  <c r="P39" i="18"/>
  <c r="S38" i="18"/>
  <c r="R38" i="18"/>
  <c r="Q38" i="18"/>
  <c r="P38" i="18"/>
  <c r="S37" i="18"/>
  <c r="R37" i="18"/>
  <c r="Q37" i="18"/>
  <c r="P37" i="18"/>
  <c r="S36" i="18"/>
  <c r="R36" i="18"/>
  <c r="Q36" i="18"/>
  <c r="P36" i="18"/>
  <c r="S35" i="18"/>
  <c r="R35" i="18"/>
  <c r="Q35" i="18"/>
  <c r="P35" i="18"/>
  <c r="S34" i="18"/>
  <c r="R34" i="18"/>
  <c r="Q34" i="18"/>
  <c r="P34" i="18"/>
  <c r="S33" i="18"/>
  <c r="R33" i="18"/>
  <c r="Q33" i="18"/>
  <c r="P33" i="18"/>
  <c r="S32" i="18"/>
  <c r="R32" i="18"/>
  <c r="Q32" i="18"/>
  <c r="P32" i="18"/>
  <c r="S31" i="18"/>
  <c r="R31" i="18"/>
  <c r="Q31" i="18"/>
  <c r="P31" i="18"/>
  <c r="S30" i="18"/>
  <c r="R30" i="18"/>
  <c r="Q30" i="18"/>
  <c r="P30" i="18"/>
  <c r="S29" i="18"/>
  <c r="R29" i="18"/>
  <c r="Q29" i="18"/>
  <c r="P29" i="18"/>
  <c r="S28" i="18"/>
  <c r="R28" i="18"/>
  <c r="Q28" i="18"/>
  <c r="P28" i="18"/>
  <c r="S27" i="18"/>
  <c r="R27" i="18"/>
  <c r="Q27" i="18"/>
  <c r="P27" i="18"/>
  <c r="S26" i="18"/>
  <c r="R26" i="18"/>
  <c r="Q26" i="18"/>
  <c r="P26" i="18"/>
  <c r="S25" i="18"/>
  <c r="R25" i="18"/>
  <c r="Q25" i="18"/>
  <c r="P25" i="18"/>
  <c r="S24" i="18"/>
  <c r="R24" i="18"/>
  <c r="Q24" i="18"/>
  <c r="P24" i="18"/>
  <c r="S23" i="18"/>
  <c r="R23" i="18"/>
  <c r="Q23" i="18"/>
  <c r="P23" i="18"/>
  <c r="S22" i="18"/>
  <c r="R22" i="18"/>
  <c r="Q22" i="18"/>
  <c r="P22" i="18"/>
  <c r="S21" i="18"/>
  <c r="R21" i="18"/>
  <c r="Q21" i="18"/>
  <c r="P21" i="18"/>
  <c r="S20" i="18"/>
  <c r="R20" i="18"/>
  <c r="Q20" i="18"/>
  <c r="P20" i="18"/>
  <c r="S19" i="18"/>
  <c r="R19" i="18"/>
  <c r="Q19" i="18"/>
  <c r="P19" i="18"/>
  <c r="S18" i="18"/>
  <c r="R18" i="18"/>
  <c r="Q18" i="18"/>
  <c r="P18" i="18"/>
  <c r="S17" i="18"/>
  <c r="R17" i="18"/>
  <c r="Q17" i="18"/>
  <c r="P17" i="18"/>
  <c r="S16" i="18"/>
  <c r="R16" i="18"/>
  <c r="Q16" i="18"/>
  <c r="P16" i="18"/>
  <c r="S15" i="18"/>
  <c r="R15" i="18"/>
  <c r="Q15" i="18"/>
  <c r="P15" i="18"/>
  <c r="S14" i="18"/>
  <c r="R14" i="18"/>
  <c r="Q14" i="18"/>
  <c r="P14" i="18"/>
  <c r="S13" i="18"/>
  <c r="R13" i="18"/>
  <c r="Q13" i="18"/>
  <c r="P13" i="18"/>
  <c r="S12" i="18"/>
  <c r="R12" i="18"/>
  <c r="Q12" i="18"/>
  <c r="P12" i="18"/>
  <c r="S11" i="18"/>
  <c r="R11" i="18"/>
  <c r="Q11" i="18"/>
  <c r="P11" i="18"/>
  <c r="S10" i="18"/>
  <c r="R10" i="18"/>
  <c r="Q10" i="18"/>
  <c r="S9" i="18"/>
  <c r="R9" i="18"/>
  <c r="O4" i="18"/>
  <c r="S4" i="18" s="1"/>
  <c r="N4" i="18"/>
  <c r="R4" i="18" s="1"/>
  <c r="M4" i="18"/>
  <c r="Q4" i="18" s="1"/>
  <c r="L4" i="18"/>
  <c r="L5" i="18" s="1"/>
  <c r="O3" i="18"/>
  <c r="N3" i="18"/>
  <c r="M3" i="18"/>
  <c r="G60" i="83" l="1"/>
  <c r="G58" i="83"/>
  <c r="G59" i="83"/>
  <c r="G61" i="83"/>
  <c r="F32" i="33"/>
  <c r="DF44" i="4"/>
  <c r="F51" i="33"/>
  <c r="DF23" i="4"/>
  <c r="M5" i="18"/>
  <c r="O5" i="18"/>
  <c r="N5" i="18"/>
  <c r="Q3" i="18"/>
  <c r="Q5" i="18" s="1"/>
  <c r="R3" i="18"/>
  <c r="R5" i="18" s="1"/>
  <c r="S3" i="18"/>
  <c r="S5" i="18" s="1"/>
  <c r="P4" i="18"/>
  <c r="P5" i="18" s="1"/>
  <c r="DE11" i="82"/>
  <c r="CZ50" i="82"/>
  <c r="DA40" i="82"/>
  <c r="DB25" i="82"/>
  <c r="DE15" i="82"/>
  <c r="DD6" i="82"/>
  <c r="DC51" i="82"/>
  <c r="CZ14" i="82"/>
  <c r="CZ22" i="82"/>
  <c r="DC33" i="82"/>
  <c r="DD44" i="82"/>
  <c r="DA12" i="82"/>
  <c r="CJ59" i="82"/>
  <c r="CJ60" i="82"/>
  <c r="CJ58" i="82"/>
  <c r="CJ61" i="82"/>
  <c r="CA59" i="82"/>
  <c r="CA58" i="82"/>
  <c r="CA61" i="82"/>
  <c r="CA60" i="82"/>
  <c r="DC10" i="82"/>
  <c r="DE53" i="82"/>
  <c r="DA21" i="82"/>
  <c r="DA9" i="82"/>
  <c r="AV20" i="98" s="1"/>
  <c r="CZ29" i="82"/>
  <c r="AG24" i="98" s="1"/>
  <c r="DC32" i="82"/>
  <c r="DA15" i="82"/>
  <c r="CC60" i="82"/>
  <c r="CC59" i="82"/>
  <c r="CC61" i="82"/>
  <c r="CC58" i="82"/>
  <c r="DE6" i="82"/>
  <c r="DA47" i="82"/>
  <c r="CZ35" i="82"/>
  <c r="DA16" i="82"/>
  <c r="DB12" i="82"/>
  <c r="DE22" i="82"/>
  <c r="DC39" i="82"/>
  <c r="DE38" i="82"/>
  <c r="DD39" i="82"/>
  <c r="DE28" i="82"/>
  <c r="DD23" i="98" s="1"/>
  <c r="DC36" i="82"/>
  <c r="DA14" i="82"/>
  <c r="DE33" i="82"/>
  <c r="CZ48" i="82"/>
  <c r="CZ47" i="82"/>
  <c r="DD15" i="82"/>
  <c r="CZ16" i="82"/>
  <c r="DA26" i="82"/>
  <c r="AV21" i="98" s="1"/>
  <c r="DC7" i="82"/>
  <c r="DD49" i="82"/>
  <c r="DC38" i="82"/>
  <c r="DA42" i="82"/>
  <c r="DB14" i="82"/>
  <c r="CZ38" i="82"/>
  <c r="DC35" i="82"/>
  <c r="DB17" i="82"/>
  <c r="DD9" i="82"/>
  <c r="CO20" i="98" s="1"/>
  <c r="DC47" i="82"/>
  <c r="DC43" i="82"/>
  <c r="BZ18" i="98" s="1"/>
  <c r="DB46" i="82"/>
  <c r="DD20" i="82"/>
  <c r="DD50" i="82"/>
  <c r="DD19" i="82"/>
  <c r="DC44" i="82"/>
  <c r="CM58" i="82"/>
  <c r="CM59" i="82"/>
  <c r="CM61" i="82"/>
  <c r="CM60" i="82"/>
  <c r="CH61" i="82"/>
  <c r="CH60" i="82"/>
  <c r="CH59" i="82"/>
  <c r="CH58" i="82"/>
  <c r="DB24" i="82"/>
  <c r="DD52" i="82"/>
  <c r="DD29" i="82"/>
  <c r="CO24" i="98" s="1"/>
  <c r="CR60" i="82"/>
  <c r="CR58" i="82"/>
  <c r="CR59" i="82"/>
  <c r="CR61" i="82"/>
  <c r="CO61" i="82"/>
  <c r="CO58" i="82"/>
  <c r="CO60" i="82"/>
  <c r="CO59" i="82"/>
  <c r="DA49" i="82"/>
  <c r="DC21" i="82"/>
  <c r="CZ46" i="82"/>
  <c r="CZ11" i="82"/>
  <c r="DD18" i="82"/>
  <c r="DD27" i="82"/>
  <c r="CO22" i="98" s="1"/>
  <c r="DB50" i="82"/>
  <c r="CZ19" i="82"/>
  <c r="CZ17" i="82"/>
  <c r="CZ24" i="82"/>
  <c r="DE40" i="82"/>
  <c r="DB33" i="82"/>
  <c r="DC9" i="82"/>
  <c r="BZ20" i="98" s="1"/>
  <c r="CZ18" i="82"/>
  <c r="DE20" i="82"/>
  <c r="DD25" i="82"/>
  <c r="DD7" i="82"/>
  <c r="DA37" i="82"/>
  <c r="DC11" i="82"/>
  <c r="DC6" i="82"/>
  <c r="DB27" i="82"/>
  <c r="BK22" i="98" s="1"/>
  <c r="DA13" i="82"/>
  <c r="DB28" i="82"/>
  <c r="BK23" i="98" s="1"/>
  <c r="DA46" i="82"/>
  <c r="DD8" i="82"/>
  <c r="DD51" i="82"/>
  <c r="CZ34" i="82"/>
  <c r="AG19" i="98" s="1"/>
  <c r="DA53" i="82"/>
  <c r="DB10" i="82"/>
  <c r="DD13" i="82"/>
  <c r="DA22" i="82"/>
  <c r="DB7" i="82"/>
  <c r="DB9" i="82"/>
  <c r="BK20" i="98" s="1"/>
  <c r="DE41" i="82"/>
  <c r="DC48" i="82"/>
  <c r="CZ26" i="82"/>
  <c r="AG21" i="98" s="1"/>
  <c r="DE32" i="82"/>
  <c r="DA50" i="82"/>
  <c r="DA19" i="82"/>
  <c r="DA31" i="82"/>
  <c r="DA41" i="82"/>
  <c r="CP61" i="82"/>
  <c r="CP59" i="82"/>
  <c r="CP60" i="82"/>
  <c r="CP58" i="82"/>
  <c r="CS61" i="82"/>
  <c r="CS60" i="82"/>
  <c r="CS59" i="82"/>
  <c r="CS58" i="82"/>
  <c r="DD16" i="82"/>
  <c r="DC41" i="82"/>
  <c r="DE18" i="82"/>
  <c r="CZ13" i="82"/>
  <c r="DA45" i="82"/>
  <c r="CZ51" i="82"/>
  <c r="DB51" i="82"/>
  <c r="DD21" i="82"/>
  <c r="DE36" i="82"/>
  <c r="DE17" i="82"/>
  <c r="DB6" i="82"/>
  <c r="CZ27" i="82"/>
  <c r="AG22" i="98" s="1"/>
  <c r="CZ49" i="82"/>
  <c r="DA23" i="82"/>
  <c r="CZ10" i="82"/>
  <c r="DC40" i="82"/>
  <c r="DA28" i="82"/>
  <c r="AV23" i="98" s="1"/>
  <c r="DD12" i="82"/>
  <c r="DC26" i="82"/>
  <c r="BZ21" i="98" s="1"/>
  <c r="DB53" i="82"/>
  <c r="CZ25" i="82"/>
  <c r="DE52" i="82"/>
  <c r="DD53" i="82"/>
  <c r="DB21" i="82"/>
  <c r="DB43" i="82"/>
  <c r="BK18" i="98" s="1"/>
  <c r="DB18" i="82"/>
  <c r="CZ12" i="82"/>
  <c r="DE9" i="82"/>
  <c r="DD20" i="98" s="1"/>
  <c r="CZ21" i="82"/>
  <c r="DD10" i="82"/>
  <c r="DE39" i="82"/>
  <c r="DC37" i="82"/>
  <c r="CZ9" i="82"/>
  <c r="AG20" i="98" s="1"/>
  <c r="DE16" i="82"/>
  <c r="CZ53" i="82"/>
  <c r="DE26" i="82"/>
  <c r="DD21" i="98" s="1"/>
  <c r="DD30" i="82"/>
  <c r="DA29" i="82"/>
  <c r="AV24" i="98" s="1"/>
  <c r="DD43" i="82"/>
  <c r="CO18" i="98" s="1"/>
  <c r="DC49" i="82"/>
  <c r="DD36" i="82"/>
  <c r="DA8" i="82"/>
  <c r="AV17" i="98" s="1"/>
  <c r="CB60" i="82"/>
  <c r="CB58" i="82"/>
  <c r="CB61" i="82"/>
  <c r="CB59" i="82"/>
  <c r="CQ61" i="82"/>
  <c r="CQ59" i="82"/>
  <c r="CQ60" i="82"/>
  <c r="CQ58" i="82"/>
  <c r="CX60" i="82"/>
  <c r="CX59" i="82"/>
  <c r="CX61" i="82"/>
  <c r="CX58" i="82"/>
  <c r="DB22" i="82"/>
  <c r="DA18" i="82"/>
  <c r="DC46" i="82"/>
  <c r="CK61" i="82"/>
  <c r="CK60" i="82"/>
  <c r="CK59" i="82"/>
  <c r="CK58" i="82"/>
  <c r="DC52" i="82"/>
  <c r="DE19" i="82"/>
  <c r="CZ23" i="82"/>
  <c r="DC17" i="82"/>
  <c r="DA48" i="82"/>
  <c r="DC13" i="82"/>
  <c r="DE13" i="82"/>
  <c r="DB26" i="82"/>
  <c r="BK21" i="98" s="1"/>
  <c r="CZ28" i="82"/>
  <c r="AG23" i="98" s="1"/>
  <c r="DD33" i="82"/>
  <c r="DB13" i="82"/>
  <c r="DB44" i="82"/>
  <c r="DA52" i="82"/>
  <c r="DC29" i="82"/>
  <c r="BZ24" i="98" s="1"/>
  <c r="DD34" i="82"/>
  <c r="CO19" i="98" s="1"/>
  <c r="DD26" i="82"/>
  <c r="CO21" i="98" s="1"/>
  <c r="DE27" i="82"/>
  <c r="DD22" i="98" s="1"/>
  <c r="DB39" i="82"/>
  <c r="DE45" i="82"/>
  <c r="CZ7" i="82"/>
  <c r="DC31" i="82"/>
  <c r="DB35" i="82"/>
  <c r="DC14" i="82"/>
  <c r="DD22" i="82"/>
  <c r="DD45" i="82"/>
  <c r="DD32" i="82"/>
  <c r="DD47" i="82"/>
  <c r="CZ41" i="82"/>
  <c r="DE7" i="82"/>
  <c r="DA32" i="82"/>
  <c r="DC16" i="82"/>
  <c r="DC27" i="82"/>
  <c r="BZ22" i="98" s="1"/>
  <c r="DB16" i="82"/>
  <c r="DD48" i="82"/>
  <c r="DE31" i="82"/>
  <c r="DE46" i="82"/>
  <c r="DA36" i="82"/>
  <c r="DC25" i="82"/>
  <c r="DA24" i="82"/>
  <c r="DD35" i="82"/>
  <c r="DE43" i="82"/>
  <c r="DD18" i="98" s="1"/>
  <c r="CV61" i="82"/>
  <c r="CV58" i="82"/>
  <c r="CV60" i="82"/>
  <c r="CV59" i="82"/>
  <c r="CN58" i="82"/>
  <c r="CN61" i="82"/>
  <c r="CN60" i="82"/>
  <c r="CN59" i="82"/>
  <c r="CD61" i="82"/>
  <c r="CD60" i="82"/>
  <c r="CD59" i="82"/>
  <c r="CD58" i="82"/>
  <c r="CY60" i="82"/>
  <c r="CY58" i="82"/>
  <c r="CY61" i="82"/>
  <c r="CY59" i="82"/>
  <c r="CF58" i="82"/>
  <c r="CF61" i="82"/>
  <c r="CF60" i="82"/>
  <c r="CF59" i="82"/>
  <c r="DB36" i="82"/>
  <c r="DC15" i="82"/>
  <c r="DA51" i="82"/>
  <c r="DB11" i="82"/>
  <c r="DA20" i="82"/>
  <c r="DA38" i="82"/>
  <c r="DB32" i="82"/>
  <c r="DA10" i="82"/>
  <c r="DE12" i="82"/>
  <c r="DD14" i="82"/>
  <c r="DB34" i="82"/>
  <c r="BK19" i="98" s="1"/>
  <c r="DA30" i="82"/>
  <c r="DB52" i="82"/>
  <c r="CZ52" i="82"/>
  <c r="CZ43" i="82"/>
  <c r="AG18" i="98" s="1"/>
  <c r="DB20" i="82"/>
  <c r="DC22" i="82"/>
  <c r="DA44" i="82"/>
  <c r="DA43" i="82"/>
  <c r="AV18" i="98" s="1"/>
  <c r="DB45" i="82"/>
  <c r="DB48" i="82"/>
  <c r="DA35" i="82"/>
  <c r="CZ31" i="82"/>
  <c r="DB29" i="82"/>
  <c r="BK24" i="98" s="1"/>
  <c r="DB47" i="82"/>
  <c r="DB15" i="82"/>
  <c r="DA33" i="82"/>
  <c r="DC18" i="82"/>
  <c r="DE21" i="82"/>
  <c r="DC23" i="82"/>
  <c r="DC30" i="82"/>
  <c r="CZ6" i="82"/>
  <c r="CZ37" i="82"/>
  <c r="CZ20" i="82"/>
  <c r="DE37" i="82"/>
  <c r="DD42" i="82"/>
  <c r="DB8" i="82"/>
  <c r="DE10" i="82"/>
  <c r="DD46" i="82"/>
  <c r="DD23" i="82"/>
  <c r="DD17" i="82"/>
  <c r="BZ61" i="82"/>
  <c r="BZ58" i="82"/>
  <c r="BZ60" i="82"/>
  <c r="BZ59" i="82"/>
  <c r="DA25" i="82"/>
  <c r="DA11" i="82"/>
  <c r="CU60" i="82"/>
  <c r="CU59" i="82"/>
  <c r="CU58" i="82"/>
  <c r="CU61" i="82"/>
  <c r="CW59" i="82"/>
  <c r="CW58" i="82"/>
  <c r="CW61" i="82"/>
  <c r="CW60" i="82"/>
  <c r="DE50" i="82"/>
  <c r="DE14" i="82"/>
  <c r="DE29" i="82"/>
  <c r="DD24" i="98" s="1"/>
  <c r="DE42" i="82"/>
  <c r="DE51" i="82"/>
  <c r="CZ44" i="82"/>
  <c r="DA27" i="82"/>
  <c r="AV22" i="98" s="1"/>
  <c r="DC24" i="82"/>
  <c r="DC45" i="82"/>
  <c r="DD38" i="82"/>
  <c r="DD11" i="82"/>
  <c r="DE34" i="82"/>
  <c r="DD19" i="98" s="1"/>
  <c r="DC28" i="82"/>
  <c r="BZ23" i="98" s="1"/>
  <c r="CZ15" i="82"/>
  <c r="DA7" i="82"/>
  <c r="DC19" i="82"/>
  <c r="DB38" i="82"/>
  <c r="CZ8" i="82"/>
  <c r="DB37" i="82"/>
  <c r="DE49" i="82"/>
  <c r="DE35" i="82"/>
  <c r="DB41" i="82"/>
  <c r="DE25" i="82"/>
  <c r="DE48" i="82"/>
  <c r="DB40" i="82"/>
  <c r="DB19" i="82"/>
  <c r="DC53" i="82"/>
  <c r="DD28" i="82"/>
  <c r="CO23" i="98" s="1"/>
  <c r="DE44" i="82"/>
  <c r="CZ40" i="82"/>
  <c r="DB49" i="82"/>
  <c r="DD40" i="82"/>
  <c r="DC50" i="82"/>
  <c r="DD41" i="82"/>
  <c r="CZ39" i="82"/>
  <c r="DA17" i="82"/>
  <c r="DC8" i="82"/>
  <c r="CG58" i="82"/>
  <c r="CG60" i="82"/>
  <c r="CG61" i="82"/>
  <c r="CG59" i="82"/>
  <c r="CL59" i="82"/>
  <c r="CL58" i="82"/>
  <c r="CL61" i="82"/>
  <c r="CL60" i="82"/>
  <c r="CT59" i="82"/>
  <c r="CT58" i="82"/>
  <c r="CT61" i="82"/>
  <c r="CT60" i="82"/>
  <c r="DC12" i="82"/>
  <c r="DB30" i="82"/>
  <c r="DC42" i="82"/>
  <c r="CZ45" i="82"/>
  <c r="DB42" i="82"/>
  <c r="DB23" i="82"/>
  <c r="CZ32" i="82"/>
  <c r="CZ42" i="82"/>
  <c r="DD37" i="82"/>
  <c r="DD31" i="82"/>
  <c r="DE23" i="82"/>
  <c r="DE30" i="82"/>
  <c r="DD24" i="82"/>
  <c r="CZ33" i="82"/>
  <c r="DE24" i="82"/>
  <c r="DA39" i="82"/>
  <c r="DC34" i="82"/>
  <c r="BZ19" i="98" s="1"/>
  <c r="DA6" i="82"/>
  <c r="DB31" i="82"/>
  <c r="CZ30" i="82"/>
  <c r="DE8" i="82"/>
  <c r="DE47" i="82"/>
  <c r="DC20" i="82"/>
  <c r="DA34" i="82"/>
  <c r="AV19" i="98" s="1"/>
  <c r="CI61" i="82"/>
  <c r="CI60" i="82"/>
  <c r="CI58" i="82"/>
  <c r="CI59" i="82"/>
  <c r="CZ36" i="82"/>
  <c r="CE61" i="82"/>
  <c r="CE60" i="82"/>
  <c r="CE59" i="82"/>
  <c r="CE58" i="82"/>
  <c r="T9" i="99" l="1"/>
  <c r="AC49" i="59"/>
  <c r="AC41" i="59"/>
  <c r="AC33" i="59"/>
  <c r="AC25" i="59"/>
  <c r="AC17" i="59"/>
  <c r="AC9" i="59"/>
  <c r="AC48" i="59"/>
  <c r="AC40" i="59"/>
  <c r="AC32" i="59"/>
  <c r="AC24" i="59"/>
  <c r="AC16" i="59"/>
  <c r="AC8" i="59"/>
  <c r="AC46" i="59"/>
  <c r="AC36" i="59"/>
  <c r="AC26" i="59"/>
  <c r="AC14" i="59"/>
  <c r="AC22" i="59"/>
  <c r="AC29" i="59"/>
  <c r="AC45" i="59"/>
  <c r="AC35" i="59"/>
  <c r="AC23" i="59"/>
  <c r="AC13" i="59"/>
  <c r="AC44" i="59"/>
  <c r="AC12" i="59"/>
  <c r="AC51" i="59"/>
  <c r="AC34" i="59"/>
  <c r="AC39" i="59"/>
  <c r="AC15" i="59"/>
  <c r="AC53" i="59"/>
  <c r="AC43" i="59"/>
  <c r="AC31" i="59"/>
  <c r="AC21" i="59"/>
  <c r="AC11" i="59"/>
  <c r="AC42" i="59"/>
  <c r="AC20" i="59"/>
  <c r="AC7" i="59"/>
  <c r="AC52" i="59"/>
  <c r="AC30" i="59"/>
  <c r="AC10" i="59"/>
  <c r="AC47" i="59"/>
  <c r="AC19" i="59"/>
  <c r="AC50" i="59"/>
  <c r="AC38" i="59"/>
  <c r="AC28" i="59"/>
  <c r="AC18" i="59"/>
  <c r="AC6" i="59"/>
  <c r="AC27" i="59"/>
  <c r="AC37" i="59"/>
  <c r="BK17" i="98"/>
  <c r="BD50" i="59"/>
  <c r="BD42" i="59"/>
  <c r="BD34" i="59"/>
  <c r="BD26" i="59"/>
  <c r="BD18" i="59"/>
  <c r="BD10" i="59"/>
  <c r="BD49" i="59"/>
  <c r="BD33" i="59"/>
  <c r="BD25" i="59"/>
  <c r="BD9" i="59"/>
  <c r="BD32" i="59"/>
  <c r="BD8" i="59"/>
  <c r="BD30" i="59"/>
  <c r="BD13" i="59"/>
  <c r="BD27" i="59"/>
  <c r="BD41" i="59"/>
  <c r="BD17" i="59"/>
  <c r="BD40" i="59"/>
  <c r="BD16" i="59"/>
  <c r="BD6" i="59"/>
  <c r="BD37" i="59"/>
  <c r="BD48" i="59"/>
  <c r="BD24" i="59"/>
  <c r="BD53" i="59"/>
  <c r="BD47" i="59"/>
  <c r="BD39" i="59"/>
  <c r="BD31" i="59"/>
  <c r="BD23" i="59"/>
  <c r="BD15" i="59"/>
  <c r="BD7" i="59"/>
  <c r="BD46" i="59"/>
  <c r="BD14" i="59"/>
  <c r="BD45" i="59"/>
  <c r="BD51" i="59"/>
  <c r="BD38" i="59"/>
  <c r="BD22" i="59"/>
  <c r="BD21" i="59"/>
  <c r="BD19" i="59"/>
  <c r="BD29" i="59"/>
  <c r="BD11" i="59"/>
  <c r="BD52" i="59"/>
  <c r="BD44" i="59"/>
  <c r="BD36" i="59"/>
  <c r="BD28" i="59"/>
  <c r="BD20" i="59"/>
  <c r="BD12" i="59"/>
  <c r="BD43" i="59"/>
  <c r="BD35" i="59"/>
  <c r="DD17" i="98"/>
  <c r="K49" i="59"/>
  <c r="K41" i="59"/>
  <c r="K33" i="59"/>
  <c r="K25" i="59"/>
  <c r="K17" i="59"/>
  <c r="K9" i="59"/>
  <c r="O9" i="59" s="1"/>
  <c r="K48" i="59"/>
  <c r="K40" i="59"/>
  <c r="K32" i="59"/>
  <c r="K24" i="59"/>
  <c r="K16" i="59"/>
  <c r="K8" i="59"/>
  <c r="K46" i="59"/>
  <c r="K36" i="59"/>
  <c r="K26" i="59"/>
  <c r="K14" i="59"/>
  <c r="K12" i="59"/>
  <c r="K7" i="59"/>
  <c r="K45" i="59"/>
  <c r="K35" i="59"/>
  <c r="K23" i="59"/>
  <c r="K13" i="59"/>
  <c r="K44" i="59"/>
  <c r="K34" i="59"/>
  <c r="K39" i="59"/>
  <c r="D5" i="99"/>
  <c r="K22" i="59"/>
  <c r="K19" i="59"/>
  <c r="K53" i="59"/>
  <c r="K43" i="59"/>
  <c r="K31" i="59"/>
  <c r="K21" i="59"/>
  <c r="K11" i="59"/>
  <c r="K52" i="59"/>
  <c r="K30" i="59"/>
  <c r="K10" i="59"/>
  <c r="K29" i="59"/>
  <c r="K42" i="59"/>
  <c r="K20" i="59"/>
  <c r="K51" i="59"/>
  <c r="K50" i="59"/>
  <c r="K38" i="59"/>
  <c r="K28" i="59"/>
  <c r="K18" i="59"/>
  <c r="K6" i="59"/>
  <c r="K37" i="59"/>
  <c r="K15" i="59"/>
  <c r="K47" i="59"/>
  <c r="K27" i="59"/>
  <c r="AG17" i="98"/>
  <c r="AL49" i="59"/>
  <c r="AL41" i="59"/>
  <c r="AL33" i="59"/>
  <c r="AL25" i="59"/>
  <c r="AL17" i="59"/>
  <c r="AL9" i="59"/>
  <c r="AL48" i="59"/>
  <c r="AL40" i="59"/>
  <c r="AL32" i="59"/>
  <c r="AL24" i="59"/>
  <c r="AL16" i="59"/>
  <c r="AL8" i="59"/>
  <c r="AL52" i="59"/>
  <c r="AL42" i="59"/>
  <c r="AL30" i="59"/>
  <c r="AL20" i="59"/>
  <c r="AL10" i="59"/>
  <c r="AL38" i="59"/>
  <c r="AL6" i="59"/>
  <c r="AL23" i="59"/>
  <c r="AL51" i="59"/>
  <c r="AL39" i="59"/>
  <c r="AL29" i="59"/>
  <c r="AL19" i="59"/>
  <c r="AL7" i="59"/>
  <c r="AL28" i="59"/>
  <c r="AL35" i="59"/>
  <c r="AL53" i="59"/>
  <c r="AL50" i="59"/>
  <c r="AL18" i="59"/>
  <c r="AL13" i="59"/>
  <c r="AL47" i="59"/>
  <c r="AL37" i="59"/>
  <c r="AL27" i="59"/>
  <c r="AL15" i="59"/>
  <c r="AL46" i="59"/>
  <c r="AL26" i="59"/>
  <c r="AL31" i="59"/>
  <c r="AL36" i="59"/>
  <c r="AL14" i="59"/>
  <c r="AL45" i="59"/>
  <c r="AL43" i="59"/>
  <c r="AL44" i="59"/>
  <c r="AL34" i="59"/>
  <c r="AL22" i="59"/>
  <c r="AL12" i="59"/>
  <c r="AL11" i="59"/>
  <c r="AL21" i="59"/>
  <c r="BZ17" i="98"/>
  <c r="T49" i="59"/>
  <c r="T41" i="59"/>
  <c r="T33" i="59"/>
  <c r="T25" i="59"/>
  <c r="T17" i="59"/>
  <c r="T9" i="59"/>
  <c r="T48" i="59"/>
  <c r="T40" i="59"/>
  <c r="T32" i="59"/>
  <c r="T24" i="59"/>
  <c r="T16" i="59"/>
  <c r="T8" i="59"/>
  <c r="T52" i="59"/>
  <c r="T42" i="59"/>
  <c r="T30" i="59"/>
  <c r="T20" i="59"/>
  <c r="T10" i="59"/>
  <c r="T38" i="59"/>
  <c r="T6" i="59"/>
  <c r="T11" i="59"/>
  <c r="T51" i="59"/>
  <c r="T39" i="59"/>
  <c r="T29" i="59"/>
  <c r="T19" i="59"/>
  <c r="T7" i="59"/>
  <c r="T50" i="59"/>
  <c r="T18" i="59"/>
  <c r="T45" i="59"/>
  <c r="T28" i="59"/>
  <c r="T47" i="59"/>
  <c r="T37" i="59"/>
  <c r="T27" i="59"/>
  <c r="T15" i="59"/>
  <c r="T36" i="59"/>
  <c r="T14" i="59"/>
  <c r="T23" i="59"/>
  <c r="T46" i="59"/>
  <c r="T26" i="59"/>
  <c r="T35" i="59"/>
  <c r="T13" i="59"/>
  <c r="T44" i="59"/>
  <c r="T34" i="59"/>
  <c r="T22" i="59"/>
  <c r="T12" i="59"/>
  <c r="T43" i="59"/>
  <c r="T21" i="59"/>
  <c r="T53" i="59"/>
  <c r="T31" i="59"/>
  <c r="AU49" i="59"/>
  <c r="AU41" i="59"/>
  <c r="AU33" i="59"/>
  <c r="AU48" i="59"/>
  <c r="AU40" i="59"/>
  <c r="AU32" i="59"/>
  <c r="AU46" i="59"/>
  <c r="AU36" i="59"/>
  <c r="AU26" i="59"/>
  <c r="AU18" i="59"/>
  <c r="AU10" i="59"/>
  <c r="AU34" i="59"/>
  <c r="AU8" i="59"/>
  <c r="AU13" i="59"/>
  <c r="AU37" i="59"/>
  <c r="AU45" i="59"/>
  <c r="AU35" i="59"/>
  <c r="AU25" i="59"/>
  <c r="AU17" i="59"/>
  <c r="AU9" i="59"/>
  <c r="AU44" i="59"/>
  <c r="AU16" i="59"/>
  <c r="AU29" i="59"/>
  <c r="AU11" i="59"/>
  <c r="AU24" i="59"/>
  <c r="AU19" i="59"/>
  <c r="AU53" i="59"/>
  <c r="AU43" i="59"/>
  <c r="AU31" i="59"/>
  <c r="AU23" i="59"/>
  <c r="AU15" i="59"/>
  <c r="AU7" i="59"/>
  <c r="AU52" i="59"/>
  <c r="AU30" i="59"/>
  <c r="AU14" i="59"/>
  <c r="AU51" i="59"/>
  <c r="AU42" i="59"/>
  <c r="AU22" i="59"/>
  <c r="AU6" i="59"/>
  <c r="AU21" i="59"/>
  <c r="AU47" i="59"/>
  <c r="AU39" i="59"/>
  <c r="AU27" i="59"/>
  <c r="AU50" i="59"/>
  <c r="AU38" i="59"/>
  <c r="AU28" i="59"/>
  <c r="AU20" i="59"/>
  <c r="AU12" i="59"/>
  <c r="CO17" i="98"/>
  <c r="Y11" i="99"/>
  <c r="Y7" i="99"/>
  <c r="Y14" i="99"/>
  <c r="Y6" i="99"/>
  <c r="X11" i="99"/>
  <c r="X7" i="99"/>
  <c r="Y10" i="99"/>
  <c r="X14" i="99"/>
  <c r="X6" i="99"/>
  <c r="X10" i="99"/>
  <c r="Y13" i="99"/>
  <c r="Y9" i="99"/>
  <c r="Y5" i="99"/>
  <c r="X8" i="99"/>
  <c r="X13" i="99"/>
  <c r="X9" i="99"/>
  <c r="X5" i="99"/>
  <c r="Y12" i="99"/>
  <c r="Y8" i="99"/>
  <c r="X12" i="99"/>
  <c r="M13" i="99"/>
  <c r="M9" i="99"/>
  <c r="M5" i="99"/>
  <c r="M8" i="99"/>
  <c r="L13" i="99"/>
  <c r="L9" i="99"/>
  <c r="L5" i="99"/>
  <c r="M12" i="99"/>
  <c r="L8" i="99"/>
  <c r="L12" i="99"/>
  <c r="M11" i="99"/>
  <c r="M7" i="99"/>
  <c r="M6" i="99"/>
  <c r="L11" i="99"/>
  <c r="L7" i="99"/>
  <c r="M14" i="99"/>
  <c r="L14" i="99"/>
  <c r="M10" i="99"/>
  <c r="L10" i="99"/>
  <c r="L6" i="99"/>
  <c r="O16" i="99"/>
  <c r="O15" i="99"/>
  <c r="D14" i="99"/>
  <c r="D10" i="99"/>
  <c r="D6" i="99"/>
  <c r="E13" i="99"/>
  <c r="E9" i="99"/>
  <c r="E5" i="99"/>
  <c r="D13" i="99"/>
  <c r="E8" i="99"/>
  <c r="D9" i="99"/>
  <c r="E12" i="99"/>
  <c r="D12" i="99"/>
  <c r="D8" i="99"/>
  <c r="E6" i="99"/>
  <c r="E11" i="99"/>
  <c r="E7" i="99"/>
  <c r="D7" i="99"/>
  <c r="E10" i="99"/>
  <c r="D11" i="99"/>
  <c r="E14" i="99"/>
  <c r="W16" i="99"/>
  <c r="W15" i="99"/>
  <c r="K16" i="99"/>
  <c r="K15" i="99"/>
  <c r="Q11" i="99"/>
  <c r="Q7" i="99"/>
  <c r="Q14" i="99"/>
  <c r="P6" i="99"/>
  <c r="P11" i="99"/>
  <c r="P7" i="99"/>
  <c r="Q10" i="99"/>
  <c r="P10" i="99"/>
  <c r="Q6" i="99"/>
  <c r="P14" i="99"/>
  <c r="Q13" i="99"/>
  <c r="Q9" i="99"/>
  <c r="Q5" i="99"/>
  <c r="Q8" i="99"/>
  <c r="P8" i="99"/>
  <c r="P13" i="99"/>
  <c r="P9" i="99"/>
  <c r="P5" i="99"/>
  <c r="Q12" i="99"/>
  <c r="P12" i="99"/>
  <c r="S16" i="99"/>
  <c r="S15" i="99"/>
  <c r="I11" i="99"/>
  <c r="I7" i="99"/>
  <c r="I6" i="99"/>
  <c r="H10" i="99"/>
  <c r="H11" i="99"/>
  <c r="H7" i="99"/>
  <c r="I10" i="99"/>
  <c r="H14" i="99"/>
  <c r="H6" i="99"/>
  <c r="I14" i="99"/>
  <c r="I13" i="99"/>
  <c r="I9" i="99"/>
  <c r="I5" i="99"/>
  <c r="H8" i="99"/>
  <c r="H13" i="99"/>
  <c r="H9" i="99"/>
  <c r="H5" i="99"/>
  <c r="I12" i="99"/>
  <c r="I8" i="99"/>
  <c r="H12" i="99"/>
  <c r="C16" i="99"/>
  <c r="C15" i="99"/>
  <c r="G15" i="99"/>
  <c r="G16" i="99"/>
  <c r="U13" i="99"/>
  <c r="U9" i="99"/>
  <c r="U5" i="99"/>
  <c r="T12" i="99"/>
  <c r="T13" i="99"/>
  <c r="T5" i="99"/>
  <c r="U8" i="99"/>
  <c r="T8" i="99"/>
  <c r="U12" i="99"/>
  <c r="U11" i="99"/>
  <c r="U7" i="99"/>
  <c r="U14" i="99"/>
  <c r="T10" i="99"/>
  <c r="T11" i="99"/>
  <c r="T7" i="99"/>
  <c r="U6" i="99"/>
  <c r="T14" i="99"/>
  <c r="U10" i="99"/>
  <c r="T6" i="99"/>
  <c r="DD60" i="82"/>
  <c r="DD61" i="82"/>
  <c r="DD58" i="82"/>
  <c r="DD59" i="82"/>
  <c r="DA58" i="82"/>
  <c r="DA60" i="82"/>
  <c r="DA59" i="82"/>
  <c r="DA61" i="82"/>
  <c r="DB60" i="82"/>
  <c r="DB59" i="82"/>
  <c r="DB58" i="82"/>
  <c r="DB61" i="82"/>
  <c r="DC58" i="82"/>
  <c r="DC61" i="82"/>
  <c r="DC59" i="82"/>
  <c r="DC60" i="82"/>
  <c r="CZ60" i="82"/>
  <c r="CZ58" i="82"/>
  <c r="CZ59" i="82"/>
  <c r="CZ61" i="82"/>
  <c r="DE61" i="82"/>
  <c r="DE60" i="82"/>
  <c r="DE58" i="82"/>
  <c r="DE59" i="82"/>
  <c r="BT58" i="4"/>
  <c r="AN59" i="4"/>
  <c r="BE61" i="4"/>
  <c r="AO61" i="4"/>
  <c r="AG58" i="4"/>
  <c r="BW59" i="4"/>
  <c r="AQ61" i="4"/>
  <c r="BU58" i="4"/>
  <c r="BM60" i="4"/>
  <c r="BM58" i="4"/>
  <c r="K61" i="4"/>
  <c r="AJ59" i="4"/>
  <c r="BP58" i="4"/>
  <c r="L59" i="4"/>
  <c r="BF61" i="4"/>
  <c r="AI60" i="4"/>
  <c r="H59" i="4"/>
  <c r="AS58" i="4"/>
  <c r="AK58" i="4"/>
  <c r="AC60" i="4"/>
  <c r="U59" i="4"/>
  <c r="AP58" i="4"/>
  <c r="BX59" i="4"/>
  <c r="BP60" i="4"/>
  <c r="BH59" i="4"/>
  <c r="AZ61" i="4"/>
  <c r="AR59" i="4"/>
  <c r="AJ58" i="4"/>
  <c r="BF60" i="4"/>
  <c r="Z60" i="4"/>
  <c r="BO60" i="4"/>
  <c r="BG58" i="4"/>
  <c r="AQ60" i="4"/>
  <c r="AA58" i="4"/>
  <c r="S60" i="4"/>
  <c r="K60" i="4"/>
  <c r="BN59" i="4"/>
  <c r="AH60" i="4"/>
  <c r="J59" i="4"/>
  <c r="BU61" i="4"/>
  <c r="BM59" i="4"/>
  <c r="BE59" i="4"/>
  <c r="AW60" i="4"/>
  <c r="AO59" i="4"/>
  <c r="AG61" i="4"/>
  <c r="Y60" i="4"/>
  <c r="Q58" i="4"/>
  <c r="I58" i="4"/>
  <c r="BL61" i="4"/>
  <c r="BD61" i="4"/>
  <c r="AN58" i="4"/>
  <c r="AF59" i="4"/>
  <c r="X61" i="4"/>
  <c r="P61" i="4"/>
  <c r="H58" i="4"/>
  <c r="AW61" i="4"/>
  <c r="K58" i="4"/>
  <c r="AQ58" i="4"/>
  <c r="BW60" i="4"/>
  <c r="AJ60" i="4"/>
  <c r="Z61" i="4"/>
  <c r="BF58" i="4"/>
  <c r="AC59" i="4"/>
  <c r="H60" i="4"/>
  <c r="AN60" i="4"/>
  <c r="BT59" i="4"/>
  <c r="AC61" i="4"/>
  <c r="BU60" i="4"/>
  <c r="Q61" i="4"/>
  <c r="AY59" i="4"/>
  <c r="AB59" i="4"/>
  <c r="AV60" i="4"/>
  <c r="M61" i="4"/>
  <c r="AA59" i="4"/>
  <c r="BW61" i="4"/>
  <c r="AJ61" i="4"/>
  <c r="J60" i="4"/>
  <c r="Z58" i="4"/>
  <c r="BF59" i="4"/>
  <c r="H61" i="4"/>
  <c r="AN61" i="4"/>
  <c r="BT60" i="4"/>
  <c r="BO59" i="4"/>
  <c r="Q59" i="4"/>
  <c r="X58" i="4"/>
  <c r="BD58" i="4"/>
  <c r="BT61" i="4"/>
  <c r="AO58" i="4"/>
  <c r="AK61" i="4"/>
  <c r="AO60" i="4"/>
  <c r="AA60" i="4"/>
  <c r="BG59" i="4"/>
  <c r="T58" i="4"/>
  <c r="Z59" i="4"/>
  <c r="BV61" i="4"/>
  <c r="Y58" i="4"/>
  <c r="BE60" i="4"/>
  <c r="AA61" i="4"/>
  <c r="BG60" i="4"/>
  <c r="T59" i="4"/>
  <c r="AZ58" i="4"/>
  <c r="J61" i="4"/>
  <c r="BV58" i="4"/>
  <c r="X59" i="4"/>
  <c r="BD59" i="4"/>
  <c r="BE58" i="4"/>
  <c r="S59" i="4"/>
  <c r="AX59" i="4"/>
  <c r="Y61" i="4"/>
  <c r="P58" i="4"/>
  <c r="BG61" i="4"/>
  <c r="T60" i="4"/>
  <c r="AZ59" i="4"/>
  <c r="J58" i="4"/>
  <c r="AP61" i="4"/>
  <c r="X60" i="4"/>
  <c r="BD60" i="4"/>
  <c r="I60" i="4"/>
  <c r="Q60" i="4"/>
  <c r="I61" i="4"/>
  <c r="P59" i="4"/>
  <c r="Y59" i="4"/>
  <c r="BW58" i="4"/>
  <c r="AW58" i="4"/>
  <c r="K59" i="4"/>
  <c r="AQ59" i="4"/>
  <c r="T61" i="4"/>
  <c r="AZ60" i="4"/>
  <c r="AS59" i="4"/>
  <c r="AK59" i="4"/>
  <c r="AC58" i="4"/>
  <c r="U60" i="4"/>
  <c r="AP60" i="4"/>
  <c r="R59" i="4"/>
  <c r="BP59" i="4"/>
  <c r="BH58" i="4"/>
  <c r="AR61" i="4"/>
  <c r="L61" i="4"/>
  <c r="AX58" i="4"/>
  <c r="BO58" i="4"/>
  <c r="AY58" i="4"/>
  <c r="S58" i="4"/>
  <c r="BN58" i="4"/>
  <c r="AH59" i="4"/>
  <c r="BU59" i="4"/>
  <c r="AW59" i="4"/>
  <c r="AG59" i="4"/>
  <c r="I59" i="4"/>
  <c r="BL60" i="4"/>
  <c r="AV58" i="4"/>
  <c r="AV59" i="4"/>
  <c r="AF61" i="4"/>
  <c r="P60" i="4"/>
  <c r="AU59" i="4"/>
  <c r="AU58" i="4"/>
  <c r="AU61" i="4"/>
  <c r="AU60" i="4"/>
  <c r="BB60" i="4"/>
  <c r="BB59" i="4"/>
  <c r="BB58" i="4"/>
  <c r="BB61" i="4"/>
  <c r="N59" i="4"/>
  <c r="N61" i="4"/>
  <c r="N60" i="4"/>
  <c r="N58" i="4"/>
  <c r="BY59" i="4"/>
  <c r="BY58" i="4"/>
  <c r="BY60" i="4"/>
  <c r="BK58" i="4"/>
  <c r="BK59" i="4"/>
  <c r="BK61" i="4"/>
  <c r="BQ58" i="4"/>
  <c r="BQ59" i="4"/>
  <c r="BQ61" i="4"/>
  <c r="BQ60" i="4"/>
  <c r="BA59" i="4"/>
  <c r="AL59" i="4"/>
  <c r="AL58" i="4"/>
  <c r="AL61" i="4"/>
  <c r="AL60" i="4"/>
  <c r="E59" i="4"/>
  <c r="E61" i="4"/>
  <c r="E60" i="4"/>
  <c r="BI59" i="4"/>
  <c r="BI58" i="4"/>
  <c r="BI60" i="4"/>
  <c r="BJ60" i="4"/>
  <c r="BJ59" i="4"/>
  <c r="BJ58" i="4"/>
  <c r="BJ61" i="4"/>
  <c r="AE58" i="4"/>
  <c r="AE61" i="4"/>
  <c r="AE59" i="4"/>
  <c r="AE60" i="4"/>
  <c r="BR59" i="4"/>
  <c r="BR58" i="4"/>
  <c r="BR61" i="4"/>
  <c r="BR60" i="4"/>
  <c r="AT59" i="4"/>
  <c r="AT61" i="4"/>
  <c r="AT60" i="4"/>
  <c r="AT58" i="4"/>
  <c r="AD61" i="4"/>
  <c r="AD60" i="4"/>
  <c r="AD59" i="4"/>
  <c r="AD58" i="4"/>
  <c r="W58" i="4"/>
  <c r="O59" i="4"/>
  <c r="O58" i="4"/>
  <c r="O61" i="4"/>
  <c r="O60" i="4"/>
  <c r="V61" i="4"/>
  <c r="V60" i="4"/>
  <c r="V59" i="4"/>
  <c r="V58" i="4"/>
  <c r="AS60" i="4"/>
  <c r="BP61" i="4"/>
  <c r="S61" i="4"/>
  <c r="AY60" i="4"/>
  <c r="AB60" i="4"/>
  <c r="BH60" i="4"/>
  <c r="AH61" i="4"/>
  <c r="BN60" i="4"/>
  <c r="AF58" i="4"/>
  <c r="AV61" i="4"/>
  <c r="AG60" i="4"/>
  <c r="U58" i="4"/>
  <c r="AY61" i="4"/>
  <c r="L58" i="4"/>
  <c r="AB61" i="4"/>
  <c r="BH61" i="4"/>
  <c r="AH58" i="4"/>
  <c r="BN61" i="4"/>
  <c r="BL58" i="4"/>
  <c r="BM61" i="4"/>
  <c r="BA60" i="4"/>
  <c r="BA58" i="4"/>
  <c r="BA61" i="4"/>
  <c r="BV60" i="4"/>
  <c r="U61" i="4"/>
  <c r="M59" i="4"/>
  <c r="AI59" i="4"/>
  <c r="AR58" i="4"/>
  <c r="BX58" i="4"/>
  <c r="AF60" i="4"/>
  <c r="BL59" i="4"/>
  <c r="R60" i="4"/>
  <c r="L60" i="4"/>
  <c r="AR60" i="4"/>
  <c r="BX60" i="4"/>
  <c r="R61" i="4"/>
  <c r="AX60" i="4"/>
  <c r="AP59" i="4"/>
  <c r="BV59" i="4"/>
  <c r="AI61" i="4"/>
  <c r="BO61" i="4"/>
  <c r="M58" i="4"/>
  <c r="BX61" i="4"/>
  <c r="R58" i="4"/>
  <c r="AX61" i="4"/>
  <c r="BC61" i="4"/>
  <c r="F59" i="4"/>
  <c r="M60" i="4"/>
  <c r="AI58" i="4"/>
  <c r="AB58" i="4"/>
  <c r="BS58" i="4"/>
  <c r="BS61" i="4"/>
  <c r="BS60" i="4"/>
  <c r="BS59" i="4"/>
  <c r="F60" i="4"/>
  <c r="AM59" i="4"/>
  <c r="BC58" i="4"/>
  <c r="F61" i="4"/>
  <c r="AM60" i="4"/>
  <c r="F58" i="4"/>
  <c r="AM61" i="4"/>
  <c r="W59" i="4"/>
  <c r="AM58" i="4"/>
  <c r="BI61" i="4"/>
  <c r="BC59" i="4"/>
  <c r="W60" i="4"/>
  <c r="AS61" i="4"/>
  <c r="BK60" i="4"/>
  <c r="W61" i="4"/>
  <c r="BC60" i="4"/>
  <c r="AK60" i="4"/>
  <c r="BY61" i="4"/>
  <c r="CJ58" i="4"/>
  <c r="CH58" i="4"/>
  <c r="CH61" i="4"/>
  <c r="CT58" i="4"/>
  <c r="CP59" i="4"/>
  <c r="CP61" i="4"/>
  <c r="CP60" i="4"/>
  <c r="CA61" i="4"/>
  <c r="CA60" i="4"/>
  <c r="CA59" i="4"/>
  <c r="CX59" i="4"/>
  <c r="CX60" i="4"/>
  <c r="CK61" i="4"/>
  <c r="CG58" i="4"/>
  <c r="CG61" i="4"/>
  <c r="CC58" i="4"/>
  <c r="CE58" i="4"/>
  <c r="CE61" i="4"/>
  <c r="CE59" i="4"/>
  <c r="CB61" i="4"/>
  <c r="CB60" i="4"/>
  <c r="CR61" i="4"/>
  <c r="CR60" i="4"/>
  <c r="CR59" i="4"/>
  <c r="CR58" i="4"/>
  <c r="CD61" i="4"/>
  <c r="CD60" i="4"/>
  <c r="CS58" i="4"/>
  <c r="CW58" i="4"/>
  <c r="CV59" i="4"/>
  <c r="CV58" i="4"/>
  <c r="CM58" i="4"/>
  <c r="CM61" i="4"/>
  <c r="CM59" i="4"/>
  <c r="CU59" i="4"/>
  <c r="CO60" i="4"/>
  <c r="CO59" i="4"/>
  <c r="BI29" i="59" l="1"/>
  <c r="BH29" i="59"/>
  <c r="BJ29" i="59" s="1"/>
  <c r="BG29" i="59"/>
  <c r="BE29" i="59"/>
  <c r="BI27" i="59"/>
  <c r="BH27" i="59"/>
  <c r="BJ27" i="59" s="1"/>
  <c r="BG27" i="59"/>
  <c r="BE27" i="59"/>
  <c r="BH12" i="59"/>
  <c r="BG12" i="59"/>
  <c r="BE12" i="59"/>
  <c r="BI12" i="59"/>
  <c r="BH19" i="59"/>
  <c r="BJ19" i="59" s="1"/>
  <c r="BG19" i="59"/>
  <c r="BE19" i="59"/>
  <c r="BI19" i="59"/>
  <c r="BG7" i="59"/>
  <c r="BI7" i="59"/>
  <c r="BH7" i="59"/>
  <c r="BE7" i="59"/>
  <c r="BI48" i="59"/>
  <c r="BE48" i="59"/>
  <c r="BH48" i="59"/>
  <c r="BJ48" i="59" s="1"/>
  <c r="BG48" i="59"/>
  <c r="BI13" i="59"/>
  <c r="BH13" i="59"/>
  <c r="BE13" i="59"/>
  <c r="BG13" i="59"/>
  <c r="BG10" i="59"/>
  <c r="BE10" i="59"/>
  <c r="BI10" i="59"/>
  <c r="BH10" i="59"/>
  <c r="BI46" i="59"/>
  <c r="BE46" i="59"/>
  <c r="BH46" i="59"/>
  <c r="BJ46" i="59" s="1"/>
  <c r="BG46" i="59"/>
  <c r="BI20" i="59"/>
  <c r="BH20" i="59"/>
  <c r="BJ20" i="59" s="1"/>
  <c r="BG20" i="59"/>
  <c r="BE20" i="59"/>
  <c r="BH21" i="59"/>
  <c r="BJ21" i="59" s="1"/>
  <c r="BG21" i="59"/>
  <c r="BE21" i="59"/>
  <c r="BI21" i="59"/>
  <c r="BI15" i="59"/>
  <c r="BH15" i="59"/>
  <c r="BE15" i="59"/>
  <c r="BG15" i="59"/>
  <c r="BI37" i="59"/>
  <c r="BH37" i="59"/>
  <c r="BJ37" i="59" s="1"/>
  <c r="BG37" i="59"/>
  <c r="BE37" i="59"/>
  <c r="BI30" i="59"/>
  <c r="BH30" i="59"/>
  <c r="BJ30" i="59" s="1"/>
  <c r="BG30" i="59"/>
  <c r="BE30" i="59"/>
  <c r="BI18" i="59"/>
  <c r="BE18" i="59"/>
  <c r="BH18" i="59"/>
  <c r="BJ18" i="59" s="1"/>
  <c r="BG18" i="59"/>
  <c r="BI24" i="59"/>
  <c r="BH24" i="59"/>
  <c r="BJ24" i="59" s="1"/>
  <c r="BG24" i="59"/>
  <c r="BE24" i="59"/>
  <c r="BI28" i="59"/>
  <c r="BH28" i="59"/>
  <c r="BJ28" i="59" s="1"/>
  <c r="BG28" i="59"/>
  <c r="BE28" i="59"/>
  <c r="BI22" i="59"/>
  <c r="BH22" i="59"/>
  <c r="BJ22" i="59" s="1"/>
  <c r="BE22" i="59"/>
  <c r="BG22" i="59"/>
  <c r="BG23" i="59"/>
  <c r="BI23" i="59"/>
  <c r="BE23" i="59"/>
  <c r="BH23" i="59"/>
  <c r="BJ23" i="59" s="1"/>
  <c r="BG6" i="59"/>
  <c r="BH6" i="59"/>
  <c r="BI6" i="59"/>
  <c r="BE6" i="59"/>
  <c r="BG8" i="59"/>
  <c r="BE8" i="59"/>
  <c r="BI8" i="59"/>
  <c r="BH8" i="59"/>
  <c r="BE26" i="59"/>
  <c r="BI26" i="59"/>
  <c r="BH26" i="59"/>
  <c r="BJ26" i="59" s="1"/>
  <c r="BG26" i="59"/>
  <c r="BI43" i="59"/>
  <c r="BH43" i="59"/>
  <c r="BJ43" i="59" s="1"/>
  <c r="BE43" i="59"/>
  <c r="BG43" i="59"/>
  <c r="BI49" i="59"/>
  <c r="BH49" i="59"/>
  <c r="BJ49" i="59" s="1"/>
  <c r="BG49" i="59"/>
  <c r="BE49" i="59"/>
  <c r="BI36" i="59"/>
  <c r="BH36" i="59"/>
  <c r="BJ36" i="59" s="1"/>
  <c r="BG36" i="59"/>
  <c r="BE36" i="59"/>
  <c r="BI38" i="59"/>
  <c r="BE38" i="59"/>
  <c r="BH38" i="59"/>
  <c r="BJ38" i="59" s="1"/>
  <c r="BG38" i="59"/>
  <c r="BH31" i="59"/>
  <c r="BJ31" i="59" s="1"/>
  <c r="BG31" i="59"/>
  <c r="BE31" i="59"/>
  <c r="BI31" i="59"/>
  <c r="BI16" i="59"/>
  <c r="BH16" i="59"/>
  <c r="BJ16" i="59" s="1"/>
  <c r="BG16" i="59"/>
  <c r="BE16" i="59"/>
  <c r="BI32" i="59"/>
  <c r="BH32" i="59"/>
  <c r="BJ32" i="59" s="1"/>
  <c r="BE32" i="59"/>
  <c r="BG32" i="59"/>
  <c r="BE34" i="59"/>
  <c r="BI34" i="59"/>
  <c r="BH34" i="59"/>
  <c r="BJ34" i="59" s="1"/>
  <c r="BG34" i="59"/>
  <c r="BE44" i="59"/>
  <c r="BI44" i="59"/>
  <c r="BH44" i="59"/>
  <c r="BJ44" i="59" s="1"/>
  <c r="BG44" i="59"/>
  <c r="BI51" i="59"/>
  <c r="BE51" i="59"/>
  <c r="BH51" i="59"/>
  <c r="BJ51" i="59" s="1"/>
  <c r="BG51" i="59"/>
  <c r="BI39" i="59"/>
  <c r="BH39" i="59"/>
  <c r="BJ39" i="59" s="1"/>
  <c r="BG39" i="59"/>
  <c r="BE39" i="59"/>
  <c r="BI40" i="59"/>
  <c r="BE40" i="59"/>
  <c r="BH40" i="59"/>
  <c r="BJ40" i="59" s="1"/>
  <c r="BG40" i="59"/>
  <c r="BI9" i="59"/>
  <c r="BH9" i="59"/>
  <c r="BG9" i="59"/>
  <c r="BE9" i="59"/>
  <c r="BE42" i="59"/>
  <c r="BI42" i="59"/>
  <c r="BH42" i="59"/>
  <c r="BJ42" i="59" s="1"/>
  <c r="BG42" i="59"/>
  <c r="BE52" i="59"/>
  <c r="BI52" i="59"/>
  <c r="BH52" i="59"/>
  <c r="BJ52" i="59" s="1"/>
  <c r="BG52" i="59"/>
  <c r="BI45" i="59"/>
  <c r="BH45" i="59"/>
  <c r="BJ45" i="59" s="1"/>
  <c r="BG45" i="59"/>
  <c r="BE45" i="59"/>
  <c r="BI47" i="59"/>
  <c r="BH47" i="59"/>
  <c r="BJ47" i="59" s="1"/>
  <c r="BG47" i="59"/>
  <c r="BE47" i="59"/>
  <c r="BE17" i="59"/>
  <c r="BI17" i="59"/>
  <c r="BH17" i="59"/>
  <c r="BJ17" i="59" s="1"/>
  <c r="BG17" i="59"/>
  <c r="BG25" i="59"/>
  <c r="BE25" i="59"/>
  <c r="BI25" i="59"/>
  <c r="BH25" i="59"/>
  <c r="BJ25" i="59" s="1"/>
  <c r="BE50" i="59"/>
  <c r="BI50" i="59"/>
  <c r="BH50" i="59"/>
  <c r="BJ50" i="59" s="1"/>
  <c r="BG50" i="59"/>
  <c r="BE35" i="59"/>
  <c r="BI35" i="59"/>
  <c r="BH35" i="59"/>
  <c r="BJ35" i="59" s="1"/>
  <c r="BG35" i="59"/>
  <c r="BI11" i="59"/>
  <c r="BH11" i="59"/>
  <c r="BG11" i="59"/>
  <c r="BE11" i="59"/>
  <c r="BI14" i="59"/>
  <c r="BH14" i="59"/>
  <c r="BG14" i="59"/>
  <c r="BE14" i="59"/>
  <c r="BG53" i="59"/>
  <c r="BE53" i="59"/>
  <c r="BI53" i="59"/>
  <c r="BH53" i="59"/>
  <c r="BJ53" i="59" s="1"/>
  <c r="BI41" i="59"/>
  <c r="BH41" i="59"/>
  <c r="BJ41" i="59" s="1"/>
  <c r="BG41" i="59"/>
  <c r="BE41" i="59"/>
  <c r="BH33" i="59"/>
  <c r="BJ33" i="59" s="1"/>
  <c r="BG33" i="59"/>
  <c r="BE33" i="59"/>
  <c r="BI33" i="59"/>
  <c r="AY25" i="59"/>
  <c r="BA25" i="59" s="1"/>
  <c r="AV25" i="59"/>
  <c r="AZ25" i="59"/>
  <c r="AX25" i="59"/>
  <c r="Y6" i="59"/>
  <c r="W6" i="59"/>
  <c r="X6" i="59"/>
  <c r="U6" i="59"/>
  <c r="AQ23" i="59"/>
  <c r="AO23" i="59"/>
  <c r="AM23" i="59"/>
  <c r="AP23" i="59"/>
  <c r="AR23" i="59" s="1"/>
  <c r="P43" i="59"/>
  <c r="N43" i="59"/>
  <c r="O43" i="59"/>
  <c r="Q43" i="59" s="1"/>
  <c r="L43" i="59"/>
  <c r="AH37" i="59"/>
  <c r="AF37" i="59"/>
  <c r="AG37" i="59"/>
  <c r="AI37" i="59" s="1"/>
  <c r="AD37" i="59"/>
  <c r="AH47" i="59"/>
  <c r="AF47" i="59"/>
  <c r="AG47" i="59"/>
  <c r="AI47" i="59" s="1"/>
  <c r="AD47" i="59"/>
  <c r="AH21" i="59"/>
  <c r="AF21" i="59"/>
  <c r="AG21" i="59"/>
  <c r="AI21" i="59" s="1"/>
  <c r="AD21" i="59"/>
  <c r="AH40" i="59"/>
  <c r="AD40" i="59"/>
  <c r="AF40" i="59"/>
  <c r="AG40" i="59"/>
  <c r="AI40" i="59" s="1"/>
  <c r="AY47" i="59"/>
  <c r="BA47" i="59" s="1"/>
  <c r="AX47" i="59"/>
  <c r="AZ47" i="59"/>
  <c r="AV47" i="59"/>
  <c r="AZ52" i="59"/>
  <c r="AV52" i="59"/>
  <c r="AX52" i="59"/>
  <c r="AY52" i="59"/>
  <c r="BA52" i="59" s="1"/>
  <c r="AZ24" i="59"/>
  <c r="AX24" i="59"/>
  <c r="AY24" i="59"/>
  <c r="BA24" i="59" s="1"/>
  <c r="AV24" i="59"/>
  <c r="AY35" i="59"/>
  <c r="BA35" i="59" s="1"/>
  <c r="AX35" i="59"/>
  <c r="AZ35" i="59"/>
  <c r="AV35" i="59"/>
  <c r="AZ26" i="59"/>
  <c r="AV26" i="59"/>
  <c r="AY26" i="59"/>
  <c r="BA26" i="59" s="1"/>
  <c r="AX26" i="59"/>
  <c r="AY49" i="59"/>
  <c r="BA49" i="59" s="1"/>
  <c r="AV49" i="59"/>
  <c r="AX49" i="59"/>
  <c r="AZ49" i="59"/>
  <c r="U34" i="59"/>
  <c r="Y34" i="59"/>
  <c r="X34" i="59"/>
  <c r="Z34" i="59" s="1"/>
  <c r="W34" i="59"/>
  <c r="U36" i="59"/>
  <c r="W36" i="59"/>
  <c r="Y36" i="59"/>
  <c r="X36" i="59"/>
  <c r="Z36" i="59" s="1"/>
  <c r="U50" i="59"/>
  <c r="Y50" i="59"/>
  <c r="X50" i="59"/>
  <c r="Z50" i="59" s="1"/>
  <c r="W50" i="59"/>
  <c r="Y38" i="59"/>
  <c r="W38" i="59"/>
  <c r="U38" i="59"/>
  <c r="X38" i="59"/>
  <c r="Z38" i="59" s="1"/>
  <c r="U24" i="59"/>
  <c r="X24" i="59"/>
  <c r="Z24" i="59" s="1"/>
  <c r="W24" i="59"/>
  <c r="Y24" i="59"/>
  <c r="Y41" i="59"/>
  <c r="W41" i="59"/>
  <c r="X41" i="59"/>
  <c r="Z41" i="59" s="1"/>
  <c r="U41" i="59"/>
  <c r="AQ44" i="59"/>
  <c r="AP44" i="59"/>
  <c r="AR44" i="59" s="1"/>
  <c r="AO44" i="59"/>
  <c r="AM44" i="59"/>
  <c r="AQ15" i="59"/>
  <c r="AO15" i="59"/>
  <c r="AP15" i="59"/>
  <c r="AM15" i="59"/>
  <c r="AQ35" i="59"/>
  <c r="AP35" i="59"/>
  <c r="AR35" i="59" s="1"/>
  <c r="AM35" i="59"/>
  <c r="AO35" i="59"/>
  <c r="AQ6" i="59"/>
  <c r="AO6" i="59"/>
  <c r="AM6" i="59"/>
  <c r="AP6" i="59"/>
  <c r="AM16" i="59"/>
  <c r="AP16" i="59"/>
  <c r="AR16" i="59" s="1"/>
  <c r="AQ16" i="59"/>
  <c r="AO16" i="59"/>
  <c r="AQ33" i="59"/>
  <c r="AP33" i="59"/>
  <c r="AR33" i="59" s="1"/>
  <c r="AM33" i="59"/>
  <c r="AO33" i="59"/>
  <c r="P6" i="59"/>
  <c r="O6" i="59"/>
  <c r="N6" i="59"/>
  <c r="L6" i="59"/>
  <c r="P29" i="59"/>
  <c r="N29" i="59"/>
  <c r="L29" i="59"/>
  <c r="O29" i="59"/>
  <c r="Q29" i="59" s="1"/>
  <c r="P53" i="59"/>
  <c r="N53" i="59"/>
  <c r="O53" i="59"/>
  <c r="Q53" i="59" s="1"/>
  <c r="L53" i="59"/>
  <c r="P23" i="59"/>
  <c r="L23" i="59"/>
  <c r="N23" i="59"/>
  <c r="O23" i="59"/>
  <c r="Q23" i="59" s="1"/>
  <c r="P46" i="59"/>
  <c r="N46" i="59"/>
  <c r="O46" i="59"/>
  <c r="Q46" i="59" s="1"/>
  <c r="L46" i="59"/>
  <c r="P17" i="59"/>
  <c r="O17" i="59"/>
  <c r="Q17" i="59" s="1"/>
  <c r="N17" i="59"/>
  <c r="L17" i="59"/>
  <c r="AH27" i="59"/>
  <c r="AF27" i="59"/>
  <c r="AD27" i="59"/>
  <c r="AG27" i="59"/>
  <c r="AI27" i="59" s="1"/>
  <c r="AD10" i="59"/>
  <c r="AF10" i="59"/>
  <c r="AH10" i="59"/>
  <c r="AG10" i="59"/>
  <c r="AH31" i="59"/>
  <c r="AF31" i="59"/>
  <c r="AG31" i="59"/>
  <c r="AI31" i="59" s="1"/>
  <c r="AD31" i="59"/>
  <c r="AD44" i="59"/>
  <c r="AG44" i="59"/>
  <c r="AI44" i="59" s="1"/>
  <c r="AH44" i="59"/>
  <c r="AF44" i="59"/>
  <c r="AD26" i="59"/>
  <c r="AH26" i="59"/>
  <c r="AF26" i="59"/>
  <c r="AG26" i="59"/>
  <c r="AI26" i="59" s="1"/>
  <c r="AH48" i="59"/>
  <c r="AD48" i="59"/>
  <c r="AF48" i="59"/>
  <c r="AG48" i="59"/>
  <c r="AI48" i="59" s="1"/>
  <c r="AZ18" i="59"/>
  <c r="AV18" i="59"/>
  <c r="AX18" i="59"/>
  <c r="AY18" i="59"/>
  <c r="BA18" i="59" s="1"/>
  <c r="Y33" i="59"/>
  <c r="X33" i="59"/>
  <c r="Z33" i="59" s="1"/>
  <c r="U33" i="59"/>
  <c r="W33" i="59"/>
  <c r="AQ25" i="59"/>
  <c r="AM25" i="59"/>
  <c r="AO25" i="59"/>
  <c r="AP25" i="59"/>
  <c r="AR25" i="59" s="1"/>
  <c r="P36" i="59"/>
  <c r="N36" i="59"/>
  <c r="L36" i="59"/>
  <c r="O36" i="59"/>
  <c r="Q36" i="59" s="1"/>
  <c r="AH14" i="59"/>
  <c r="AD14" i="59"/>
  <c r="AG14" i="59"/>
  <c r="AF14" i="59"/>
  <c r="AZ12" i="59"/>
  <c r="AY12" i="59"/>
  <c r="AV12" i="59"/>
  <c r="AX12" i="59"/>
  <c r="AY21" i="59"/>
  <c r="BA21" i="59" s="1"/>
  <c r="AZ21" i="59"/>
  <c r="AX21" i="59"/>
  <c r="AV21" i="59"/>
  <c r="AY7" i="59"/>
  <c r="AX7" i="59"/>
  <c r="AZ7" i="59"/>
  <c r="AV7" i="59"/>
  <c r="AY11" i="59"/>
  <c r="AZ11" i="59"/>
  <c r="AV11" i="59"/>
  <c r="AX11" i="59"/>
  <c r="AY45" i="59"/>
  <c r="BA45" i="59" s="1"/>
  <c r="AZ45" i="59"/>
  <c r="AV45" i="59"/>
  <c r="AX45" i="59"/>
  <c r="AZ36" i="59"/>
  <c r="AV36" i="59"/>
  <c r="AX36" i="59"/>
  <c r="AY36" i="59"/>
  <c r="BA36" i="59" s="1"/>
  <c r="Y44" i="59"/>
  <c r="W44" i="59"/>
  <c r="U44" i="59"/>
  <c r="X44" i="59"/>
  <c r="Z44" i="59" s="1"/>
  <c r="Y15" i="59"/>
  <c r="X15" i="59"/>
  <c r="W15" i="59"/>
  <c r="U15" i="59"/>
  <c r="Y7" i="59"/>
  <c r="W7" i="59"/>
  <c r="X7" i="59"/>
  <c r="U7" i="59"/>
  <c r="Y10" i="59"/>
  <c r="U10" i="59"/>
  <c r="X10" i="59"/>
  <c r="W10" i="59"/>
  <c r="Y32" i="59"/>
  <c r="W32" i="59"/>
  <c r="X32" i="59"/>
  <c r="Z32" i="59" s="1"/>
  <c r="U32" i="59"/>
  <c r="Y49" i="59"/>
  <c r="U49" i="59"/>
  <c r="W49" i="59"/>
  <c r="X49" i="59"/>
  <c r="Z49" i="59" s="1"/>
  <c r="AQ43" i="59"/>
  <c r="AO43" i="59"/>
  <c r="AP43" i="59"/>
  <c r="AR43" i="59" s="1"/>
  <c r="AM43" i="59"/>
  <c r="AQ27" i="59"/>
  <c r="AO27" i="59"/>
  <c r="AM27" i="59"/>
  <c r="AP27" i="59"/>
  <c r="AR27" i="59" s="1"/>
  <c r="AQ28" i="59"/>
  <c r="AP28" i="59"/>
  <c r="AR28" i="59" s="1"/>
  <c r="AM28" i="59"/>
  <c r="AO28" i="59"/>
  <c r="AQ38" i="59"/>
  <c r="AM38" i="59"/>
  <c r="AP38" i="59"/>
  <c r="AR38" i="59" s="1"/>
  <c r="AO38" i="59"/>
  <c r="AQ24" i="59"/>
  <c r="AM24" i="59"/>
  <c r="AO24" i="59"/>
  <c r="AP24" i="59"/>
  <c r="AR24" i="59" s="1"/>
  <c r="AQ41" i="59"/>
  <c r="AO41" i="59"/>
  <c r="AM41" i="59"/>
  <c r="AP41" i="59"/>
  <c r="AR41" i="59" s="1"/>
  <c r="P18" i="59"/>
  <c r="O18" i="59"/>
  <c r="Q18" i="59" s="1"/>
  <c r="N18" i="59"/>
  <c r="L18" i="59"/>
  <c r="P10" i="59"/>
  <c r="N10" i="59"/>
  <c r="O10" i="59"/>
  <c r="L10" i="59"/>
  <c r="P19" i="59"/>
  <c r="N19" i="59"/>
  <c r="O19" i="59"/>
  <c r="Q19" i="59" s="1"/>
  <c r="L19" i="59"/>
  <c r="P35" i="59"/>
  <c r="O35" i="59"/>
  <c r="Q35" i="59" s="1"/>
  <c r="N35" i="59"/>
  <c r="L35" i="59"/>
  <c r="L8" i="59"/>
  <c r="P8" i="59"/>
  <c r="N8" i="59"/>
  <c r="O8" i="59"/>
  <c r="P25" i="59"/>
  <c r="L25" i="59"/>
  <c r="N25" i="59"/>
  <c r="O25" i="59"/>
  <c r="Q25" i="59" s="1"/>
  <c r="AH6" i="59"/>
  <c r="AG6" i="59"/>
  <c r="AF6" i="59"/>
  <c r="AD6" i="59"/>
  <c r="AH30" i="59"/>
  <c r="AF30" i="59"/>
  <c r="AG30" i="59"/>
  <c r="AI30" i="59" s="1"/>
  <c r="AD30" i="59"/>
  <c r="AH43" i="59"/>
  <c r="AG43" i="59"/>
  <c r="AI43" i="59" s="1"/>
  <c r="AD43" i="59"/>
  <c r="AF43" i="59"/>
  <c r="AH13" i="59"/>
  <c r="AG13" i="59"/>
  <c r="AD13" i="59"/>
  <c r="AF13" i="59"/>
  <c r="AH36" i="59"/>
  <c r="AF36" i="59"/>
  <c r="AD36" i="59"/>
  <c r="AG36" i="59"/>
  <c r="AI36" i="59" s="1"/>
  <c r="AH9" i="59"/>
  <c r="AG9" i="59"/>
  <c r="AF9" i="59"/>
  <c r="AD9" i="59"/>
  <c r="AY41" i="59"/>
  <c r="BA41" i="59" s="1"/>
  <c r="AV41" i="59"/>
  <c r="AX41" i="59"/>
  <c r="AZ41" i="59"/>
  <c r="AM34" i="59"/>
  <c r="AO34" i="59"/>
  <c r="AP34" i="59"/>
  <c r="AR34" i="59" s="1"/>
  <c r="AQ34" i="59"/>
  <c r="P37" i="59"/>
  <c r="N37" i="59"/>
  <c r="L37" i="59"/>
  <c r="O37" i="59"/>
  <c r="Q37" i="59" s="1"/>
  <c r="P13" i="59"/>
  <c r="N13" i="59"/>
  <c r="O13" i="59"/>
  <c r="L13" i="59"/>
  <c r="P9" i="59"/>
  <c r="L9" i="59"/>
  <c r="N9" i="59"/>
  <c r="AD12" i="59"/>
  <c r="AG12" i="59"/>
  <c r="AF12" i="59"/>
  <c r="AH12" i="59"/>
  <c r="AZ20" i="59"/>
  <c r="AV20" i="59"/>
  <c r="AX20" i="59"/>
  <c r="AY20" i="59"/>
  <c r="BA20" i="59" s="1"/>
  <c r="AZ6" i="59"/>
  <c r="AY6" i="59"/>
  <c r="AX6" i="59"/>
  <c r="AV6" i="59"/>
  <c r="AY15" i="59"/>
  <c r="AX15" i="59"/>
  <c r="AZ15" i="59"/>
  <c r="AV15" i="59"/>
  <c r="AY29" i="59"/>
  <c r="BA29" i="59" s="1"/>
  <c r="AZ29" i="59"/>
  <c r="AX29" i="59"/>
  <c r="AV29" i="59"/>
  <c r="AY37" i="59"/>
  <c r="BA37" i="59" s="1"/>
  <c r="AX37" i="59"/>
  <c r="AZ37" i="59"/>
  <c r="AV37" i="59"/>
  <c r="AZ46" i="59"/>
  <c r="AX46" i="59"/>
  <c r="AV46" i="59"/>
  <c r="AY46" i="59"/>
  <c r="BA46" i="59" s="1"/>
  <c r="Y31" i="59"/>
  <c r="U31" i="59"/>
  <c r="W31" i="59"/>
  <c r="X31" i="59"/>
  <c r="Z31" i="59" s="1"/>
  <c r="Y13" i="59"/>
  <c r="X13" i="59"/>
  <c r="W13" i="59"/>
  <c r="U13" i="59"/>
  <c r="Y27" i="59"/>
  <c r="W27" i="59"/>
  <c r="X27" i="59"/>
  <c r="Z27" i="59" s="1"/>
  <c r="U27" i="59"/>
  <c r="Y19" i="59"/>
  <c r="W19" i="59"/>
  <c r="X19" i="59"/>
  <c r="Z19" i="59" s="1"/>
  <c r="U19" i="59"/>
  <c r="U20" i="59"/>
  <c r="Y20" i="59"/>
  <c r="W20" i="59"/>
  <c r="X20" i="59"/>
  <c r="Z20" i="59" s="1"/>
  <c r="U40" i="59"/>
  <c r="W40" i="59"/>
  <c r="Y40" i="59"/>
  <c r="X40" i="59"/>
  <c r="Z40" i="59" s="1"/>
  <c r="AQ45" i="59"/>
  <c r="AO45" i="59"/>
  <c r="AP45" i="59"/>
  <c r="AR45" i="59" s="1"/>
  <c r="AM45" i="59"/>
  <c r="AQ37" i="59"/>
  <c r="AO37" i="59"/>
  <c r="AP37" i="59"/>
  <c r="AR37" i="59" s="1"/>
  <c r="AM37" i="59"/>
  <c r="AQ7" i="59"/>
  <c r="AO7" i="59"/>
  <c r="AP7" i="59"/>
  <c r="AM7" i="59"/>
  <c r="AQ10" i="59"/>
  <c r="AM10" i="59"/>
  <c r="AP10" i="59"/>
  <c r="AO10" i="59"/>
  <c r="AM32" i="59"/>
  <c r="AP32" i="59"/>
  <c r="AR32" i="59" s="1"/>
  <c r="AO32" i="59"/>
  <c r="AQ32" i="59"/>
  <c r="AQ49" i="59"/>
  <c r="AM49" i="59"/>
  <c r="AP49" i="59"/>
  <c r="AR49" i="59" s="1"/>
  <c r="AO49" i="59"/>
  <c r="L28" i="59"/>
  <c r="O28" i="59"/>
  <c r="Q28" i="59" s="1"/>
  <c r="N28" i="59"/>
  <c r="P28" i="59"/>
  <c r="P30" i="59"/>
  <c r="N30" i="59"/>
  <c r="O30" i="59"/>
  <c r="Q30" i="59" s="1"/>
  <c r="L30" i="59"/>
  <c r="P22" i="59"/>
  <c r="N22" i="59"/>
  <c r="O22" i="59"/>
  <c r="Q22" i="59" s="1"/>
  <c r="L22" i="59"/>
  <c r="P45" i="59"/>
  <c r="N45" i="59"/>
  <c r="O45" i="59"/>
  <c r="Q45" i="59" s="1"/>
  <c r="L45" i="59"/>
  <c r="P16" i="59"/>
  <c r="L16" i="59"/>
  <c r="N16" i="59"/>
  <c r="O16" i="59"/>
  <c r="Q16" i="59" s="1"/>
  <c r="P33" i="59"/>
  <c r="N33" i="59"/>
  <c r="L33" i="59"/>
  <c r="O33" i="59"/>
  <c r="Q33" i="59" s="1"/>
  <c r="AH18" i="59"/>
  <c r="AG18" i="59"/>
  <c r="AI18" i="59" s="1"/>
  <c r="AF18" i="59"/>
  <c r="AD18" i="59"/>
  <c r="AH52" i="59"/>
  <c r="AF52" i="59"/>
  <c r="AD52" i="59"/>
  <c r="AG52" i="59"/>
  <c r="AI52" i="59" s="1"/>
  <c r="AH53" i="59"/>
  <c r="AF53" i="59"/>
  <c r="AG53" i="59"/>
  <c r="AI53" i="59" s="1"/>
  <c r="AD53" i="59"/>
  <c r="AH23" i="59"/>
  <c r="AG23" i="59"/>
  <c r="AI23" i="59" s="1"/>
  <c r="AD23" i="59"/>
  <c r="AF23" i="59"/>
  <c r="AH46" i="59"/>
  <c r="AF46" i="59"/>
  <c r="AG46" i="59"/>
  <c r="AI46" i="59" s="1"/>
  <c r="AD46" i="59"/>
  <c r="AH17" i="59"/>
  <c r="AG17" i="59"/>
  <c r="AI17" i="59" s="1"/>
  <c r="AD17" i="59"/>
  <c r="AF17" i="59"/>
  <c r="Y22" i="59"/>
  <c r="W22" i="59"/>
  <c r="X22" i="59"/>
  <c r="Z22" i="59" s="1"/>
  <c r="U22" i="59"/>
  <c r="Y16" i="59"/>
  <c r="W16" i="59"/>
  <c r="U16" i="59"/>
  <c r="X16" i="59"/>
  <c r="Z16" i="59" s="1"/>
  <c r="AM8" i="59"/>
  <c r="AQ8" i="59"/>
  <c r="AO8" i="59"/>
  <c r="AP8" i="59"/>
  <c r="AZ28" i="59"/>
  <c r="AV28" i="59"/>
  <c r="AX28" i="59"/>
  <c r="AY28" i="59"/>
  <c r="BA28" i="59" s="1"/>
  <c r="AZ22" i="59"/>
  <c r="AY22" i="59"/>
  <c r="BA22" i="59" s="1"/>
  <c r="AV22" i="59"/>
  <c r="AX22" i="59"/>
  <c r="AY23" i="59"/>
  <c r="BA23" i="59" s="1"/>
  <c r="AX23" i="59"/>
  <c r="AZ23" i="59"/>
  <c r="AV23" i="59"/>
  <c r="AZ16" i="59"/>
  <c r="AV16" i="59"/>
  <c r="AX16" i="59"/>
  <c r="AY16" i="59"/>
  <c r="BA16" i="59" s="1"/>
  <c r="AY13" i="59"/>
  <c r="AV13" i="59"/>
  <c r="AZ13" i="59"/>
  <c r="AX13" i="59"/>
  <c r="AZ32" i="59"/>
  <c r="AV32" i="59"/>
  <c r="AX32" i="59"/>
  <c r="AY32" i="59"/>
  <c r="BA32" i="59" s="1"/>
  <c r="Y53" i="59"/>
  <c r="W53" i="59"/>
  <c r="U53" i="59"/>
  <c r="X53" i="59"/>
  <c r="Z53" i="59" s="1"/>
  <c r="Y35" i="59"/>
  <c r="W35" i="59"/>
  <c r="X35" i="59"/>
  <c r="Z35" i="59" s="1"/>
  <c r="U35" i="59"/>
  <c r="Y37" i="59"/>
  <c r="X37" i="59"/>
  <c r="Z37" i="59" s="1"/>
  <c r="U37" i="59"/>
  <c r="W37" i="59"/>
  <c r="Y29" i="59"/>
  <c r="W29" i="59"/>
  <c r="X29" i="59"/>
  <c r="Z29" i="59" s="1"/>
  <c r="U29" i="59"/>
  <c r="Y30" i="59"/>
  <c r="X30" i="59"/>
  <c r="Z30" i="59" s="1"/>
  <c r="W30" i="59"/>
  <c r="U30" i="59"/>
  <c r="Y48" i="59"/>
  <c r="W48" i="59"/>
  <c r="X48" i="59"/>
  <c r="Z48" i="59" s="1"/>
  <c r="U48" i="59"/>
  <c r="AQ21" i="59"/>
  <c r="AO21" i="59"/>
  <c r="AP21" i="59"/>
  <c r="AR21" i="59" s="1"/>
  <c r="AM21" i="59"/>
  <c r="AQ14" i="59"/>
  <c r="AP14" i="59"/>
  <c r="AO14" i="59"/>
  <c r="AM14" i="59"/>
  <c r="AQ47" i="59"/>
  <c r="AO47" i="59"/>
  <c r="AP47" i="59"/>
  <c r="AR47" i="59" s="1"/>
  <c r="AM47" i="59"/>
  <c r="AQ19" i="59"/>
  <c r="AO19" i="59"/>
  <c r="AP19" i="59"/>
  <c r="AR19" i="59" s="1"/>
  <c r="AM19" i="59"/>
  <c r="AM20" i="59"/>
  <c r="AQ20" i="59"/>
  <c r="AP20" i="59"/>
  <c r="AR20" i="59" s="1"/>
  <c r="AO20" i="59"/>
  <c r="AQ40" i="59"/>
  <c r="AM40" i="59"/>
  <c r="AO40" i="59"/>
  <c r="AP40" i="59"/>
  <c r="AR40" i="59" s="1"/>
  <c r="P38" i="59"/>
  <c r="N38" i="59"/>
  <c r="L38" i="59"/>
  <c r="O38" i="59"/>
  <c r="Q38" i="59" s="1"/>
  <c r="P52" i="59"/>
  <c r="L52" i="59"/>
  <c r="N52" i="59"/>
  <c r="O52" i="59"/>
  <c r="Q52" i="59" s="1"/>
  <c r="P7" i="59"/>
  <c r="O7" i="59"/>
  <c r="L7" i="59"/>
  <c r="N7" i="59"/>
  <c r="P24" i="59"/>
  <c r="L24" i="59"/>
  <c r="N24" i="59"/>
  <c r="O24" i="59"/>
  <c r="Q24" i="59" s="1"/>
  <c r="P41" i="59"/>
  <c r="L41" i="59"/>
  <c r="N41" i="59"/>
  <c r="O41" i="59"/>
  <c r="Q41" i="59" s="1"/>
  <c r="AD28" i="59"/>
  <c r="AF28" i="59"/>
  <c r="AG28" i="59"/>
  <c r="AI28" i="59" s="1"/>
  <c r="AH28" i="59"/>
  <c r="AH7" i="59"/>
  <c r="AF7" i="59"/>
  <c r="AG7" i="59"/>
  <c r="AD7" i="59"/>
  <c r="AH15" i="59"/>
  <c r="AF15" i="59"/>
  <c r="AG15" i="59"/>
  <c r="AD15" i="59"/>
  <c r="AH35" i="59"/>
  <c r="AG35" i="59"/>
  <c r="AI35" i="59" s="1"/>
  <c r="AF35" i="59"/>
  <c r="AD35" i="59"/>
  <c r="AH8" i="59"/>
  <c r="AD8" i="59"/>
  <c r="AG8" i="59"/>
  <c r="AF8" i="59"/>
  <c r="AH25" i="59"/>
  <c r="AG25" i="59"/>
  <c r="AI25" i="59" s="1"/>
  <c r="AF25" i="59"/>
  <c r="AD25" i="59"/>
  <c r="AY39" i="59"/>
  <c r="BA39" i="59" s="1"/>
  <c r="AX39" i="59"/>
  <c r="AZ39" i="59"/>
  <c r="AV39" i="59"/>
  <c r="Y14" i="59"/>
  <c r="W14" i="59"/>
  <c r="X14" i="59"/>
  <c r="U14" i="59"/>
  <c r="AQ53" i="59"/>
  <c r="AO53" i="59"/>
  <c r="AP53" i="59"/>
  <c r="AR53" i="59" s="1"/>
  <c r="AM53" i="59"/>
  <c r="AZ38" i="59"/>
  <c r="AY38" i="59"/>
  <c r="BA38" i="59" s="1"/>
  <c r="AV38" i="59"/>
  <c r="AX38" i="59"/>
  <c r="AZ42" i="59"/>
  <c r="AY42" i="59"/>
  <c r="BA42" i="59" s="1"/>
  <c r="AV42" i="59"/>
  <c r="AX42" i="59"/>
  <c r="AY31" i="59"/>
  <c r="BA31" i="59" s="1"/>
  <c r="AX31" i="59"/>
  <c r="AZ31" i="59"/>
  <c r="AV31" i="59"/>
  <c r="AZ44" i="59"/>
  <c r="AX44" i="59"/>
  <c r="AY44" i="59"/>
  <c r="BA44" i="59" s="1"/>
  <c r="AV44" i="59"/>
  <c r="AZ8" i="59"/>
  <c r="AV8" i="59"/>
  <c r="AY8" i="59"/>
  <c r="AX8" i="59"/>
  <c r="AZ40" i="59"/>
  <c r="AV40" i="59"/>
  <c r="AY40" i="59"/>
  <c r="BA40" i="59" s="1"/>
  <c r="AX40" i="59"/>
  <c r="Y21" i="59"/>
  <c r="W21" i="59"/>
  <c r="X21" i="59"/>
  <c r="Z21" i="59" s="1"/>
  <c r="U21" i="59"/>
  <c r="Y26" i="59"/>
  <c r="X26" i="59"/>
  <c r="Z26" i="59" s="1"/>
  <c r="U26" i="59"/>
  <c r="W26" i="59"/>
  <c r="Y47" i="59"/>
  <c r="W47" i="59"/>
  <c r="X47" i="59"/>
  <c r="Z47" i="59" s="1"/>
  <c r="U47" i="59"/>
  <c r="Y39" i="59"/>
  <c r="W39" i="59"/>
  <c r="U39" i="59"/>
  <c r="X39" i="59"/>
  <c r="Z39" i="59" s="1"/>
  <c r="Y42" i="59"/>
  <c r="X42" i="59"/>
  <c r="Z42" i="59" s="1"/>
  <c r="U42" i="59"/>
  <c r="W42" i="59"/>
  <c r="Y9" i="59"/>
  <c r="W9" i="59"/>
  <c r="X9" i="59"/>
  <c r="U9" i="59"/>
  <c r="AQ11" i="59"/>
  <c r="AM11" i="59"/>
  <c r="AO11" i="59"/>
  <c r="AP11" i="59"/>
  <c r="AM36" i="59"/>
  <c r="AP36" i="59"/>
  <c r="AR36" i="59" s="1"/>
  <c r="AO36" i="59"/>
  <c r="AQ36" i="59"/>
  <c r="AQ13" i="59"/>
  <c r="AP13" i="59"/>
  <c r="AO13" i="59"/>
  <c r="AM13" i="59"/>
  <c r="AQ29" i="59"/>
  <c r="AO29" i="59"/>
  <c r="AM29" i="59"/>
  <c r="AP29" i="59"/>
  <c r="AR29" i="59" s="1"/>
  <c r="AQ30" i="59"/>
  <c r="AO30" i="59"/>
  <c r="AM30" i="59"/>
  <c r="AP30" i="59"/>
  <c r="AR30" i="59" s="1"/>
  <c r="AQ48" i="59"/>
  <c r="AM48" i="59"/>
  <c r="AO48" i="59"/>
  <c r="AP48" i="59"/>
  <c r="AR48" i="59" s="1"/>
  <c r="P27" i="59"/>
  <c r="O27" i="59"/>
  <c r="Q27" i="59" s="1"/>
  <c r="N27" i="59"/>
  <c r="L27" i="59"/>
  <c r="P50" i="59"/>
  <c r="O50" i="59"/>
  <c r="Q50" i="59" s="1"/>
  <c r="N50" i="59"/>
  <c r="L50" i="59"/>
  <c r="P11" i="59"/>
  <c r="L11" i="59"/>
  <c r="O11" i="59"/>
  <c r="N11" i="59"/>
  <c r="P39" i="59"/>
  <c r="N39" i="59"/>
  <c r="O39" i="59"/>
  <c r="Q39" i="59" s="1"/>
  <c r="L39" i="59"/>
  <c r="L12" i="59"/>
  <c r="O12" i="59"/>
  <c r="P12" i="59"/>
  <c r="N12" i="59"/>
  <c r="P32" i="59"/>
  <c r="L32" i="59"/>
  <c r="O32" i="59"/>
  <c r="Q32" i="59" s="1"/>
  <c r="N32" i="59"/>
  <c r="P49" i="59"/>
  <c r="N49" i="59"/>
  <c r="L49" i="59"/>
  <c r="O49" i="59"/>
  <c r="Q49" i="59" s="1"/>
  <c r="AH38" i="59"/>
  <c r="AG38" i="59"/>
  <c r="AI38" i="59" s="1"/>
  <c r="AF38" i="59"/>
  <c r="AD38" i="59"/>
  <c r="AH20" i="59"/>
  <c r="AD20" i="59"/>
  <c r="AF20" i="59"/>
  <c r="AG20" i="59"/>
  <c r="AI20" i="59" s="1"/>
  <c r="AH39" i="59"/>
  <c r="AD39" i="59"/>
  <c r="AG39" i="59"/>
  <c r="AI39" i="59" s="1"/>
  <c r="AF39" i="59"/>
  <c r="AH45" i="59"/>
  <c r="AF45" i="59"/>
  <c r="AG45" i="59"/>
  <c r="AI45" i="59" s="1"/>
  <c r="AD45" i="59"/>
  <c r="AH16" i="59"/>
  <c r="AD16" i="59"/>
  <c r="AG16" i="59"/>
  <c r="AI16" i="59" s="1"/>
  <c r="AF16" i="59"/>
  <c r="AH33" i="59"/>
  <c r="AF33" i="59"/>
  <c r="AD33" i="59"/>
  <c r="AG33" i="59"/>
  <c r="AI33" i="59" s="1"/>
  <c r="AY19" i="59"/>
  <c r="BA19" i="59" s="1"/>
  <c r="AX19" i="59"/>
  <c r="AV19" i="59"/>
  <c r="AZ19" i="59"/>
  <c r="U18" i="59"/>
  <c r="W18" i="59"/>
  <c r="X18" i="59"/>
  <c r="Z18" i="59" s="1"/>
  <c r="Y18" i="59"/>
  <c r="AQ46" i="59"/>
  <c r="AO46" i="59"/>
  <c r="AM46" i="59"/>
  <c r="AP46" i="59"/>
  <c r="AR46" i="59" s="1"/>
  <c r="P42" i="59"/>
  <c r="N42" i="59"/>
  <c r="O42" i="59"/>
  <c r="Q42" i="59" s="1"/>
  <c r="L42" i="59"/>
  <c r="AV50" i="59"/>
  <c r="AZ50" i="59"/>
  <c r="AX50" i="59"/>
  <c r="AY50" i="59"/>
  <c r="BA50" i="59" s="1"/>
  <c r="AY51" i="59"/>
  <c r="BA51" i="59" s="1"/>
  <c r="AX51" i="59"/>
  <c r="AZ51" i="59"/>
  <c r="AV51" i="59"/>
  <c r="AY43" i="59"/>
  <c r="BA43" i="59" s="1"/>
  <c r="AZ43" i="59"/>
  <c r="AV43" i="59"/>
  <c r="AX43" i="59"/>
  <c r="AY9" i="59"/>
  <c r="AX9" i="59"/>
  <c r="AZ9" i="59"/>
  <c r="AV9" i="59"/>
  <c r="AZ34" i="59"/>
  <c r="AX34" i="59"/>
  <c r="AY34" i="59"/>
  <c r="BA34" i="59" s="1"/>
  <c r="AV34" i="59"/>
  <c r="AZ48" i="59"/>
  <c r="AX48" i="59"/>
  <c r="AV48" i="59"/>
  <c r="AY48" i="59"/>
  <c r="BA48" i="59" s="1"/>
  <c r="Y43" i="59"/>
  <c r="W43" i="59"/>
  <c r="X43" i="59"/>
  <c r="Z43" i="59" s="1"/>
  <c r="U43" i="59"/>
  <c r="Y46" i="59"/>
  <c r="X46" i="59"/>
  <c r="Z46" i="59" s="1"/>
  <c r="W46" i="59"/>
  <c r="U46" i="59"/>
  <c r="Y28" i="59"/>
  <c r="X28" i="59"/>
  <c r="Z28" i="59" s="1"/>
  <c r="U28" i="59"/>
  <c r="W28" i="59"/>
  <c r="Y51" i="59"/>
  <c r="W51" i="59"/>
  <c r="X51" i="59"/>
  <c r="Z51" i="59" s="1"/>
  <c r="U51" i="59"/>
  <c r="U52" i="59"/>
  <c r="X52" i="59"/>
  <c r="Z52" i="59" s="1"/>
  <c r="Y52" i="59"/>
  <c r="W52" i="59"/>
  <c r="Y17" i="59"/>
  <c r="W17" i="59"/>
  <c r="X17" i="59"/>
  <c r="Z17" i="59" s="1"/>
  <c r="U17" i="59"/>
  <c r="AQ12" i="59"/>
  <c r="AP12" i="59"/>
  <c r="AM12" i="59"/>
  <c r="AO12" i="59"/>
  <c r="AQ31" i="59"/>
  <c r="AO31" i="59"/>
  <c r="AP31" i="59"/>
  <c r="AR31" i="59" s="1"/>
  <c r="AM31" i="59"/>
  <c r="AM18" i="59"/>
  <c r="AO18" i="59"/>
  <c r="AP18" i="59"/>
  <c r="AR18" i="59" s="1"/>
  <c r="AQ18" i="59"/>
  <c r="AQ39" i="59"/>
  <c r="AM39" i="59"/>
  <c r="AP39" i="59"/>
  <c r="AR39" i="59" s="1"/>
  <c r="AO39" i="59"/>
  <c r="AQ42" i="59"/>
  <c r="AP42" i="59"/>
  <c r="AR42" i="59" s="1"/>
  <c r="AM42" i="59"/>
  <c r="AO42" i="59"/>
  <c r="AQ9" i="59"/>
  <c r="AM9" i="59"/>
  <c r="AO9" i="59"/>
  <c r="AP9" i="59"/>
  <c r="P47" i="59"/>
  <c r="N47" i="59"/>
  <c r="L47" i="59"/>
  <c r="O47" i="59"/>
  <c r="Q47" i="59" s="1"/>
  <c r="P51" i="59"/>
  <c r="O51" i="59"/>
  <c r="Q51" i="59" s="1"/>
  <c r="N51" i="59"/>
  <c r="L51" i="59"/>
  <c r="P21" i="59"/>
  <c r="N21" i="59"/>
  <c r="O21" i="59"/>
  <c r="Q21" i="59" s="1"/>
  <c r="L21" i="59"/>
  <c r="P34" i="59"/>
  <c r="N34" i="59"/>
  <c r="O34" i="59"/>
  <c r="Q34" i="59" s="1"/>
  <c r="L34" i="59"/>
  <c r="P14" i="59"/>
  <c r="N14" i="59"/>
  <c r="L14" i="59"/>
  <c r="O14" i="59"/>
  <c r="P40" i="59"/>
  <c r="L40" i="59"/>
  <c r="O40" i="59"/>
  <c r="Q40" i="59" s="1"/>
  <c r="N40" i="59"/>
  <c r="AH50" i="59"/>
  <c r="AG50" i="59"/>
  <c r="AI50" i="59" s="1"/>
  <c r="AF50" i="59"/>
  <c r="AD50" i="59"/>
  <c r="AD42" i="59"/>
  <c r="AH42" i="59"/>
  <c r="AG42" i="59"/>
  <c r="AI42" i="59" s="1"/>
  <c r="AF42" i="59"/>
  <c r="AH34" i="59"/>
  <c r="AD34" i="59"/>
  <c r="AG34" i="59"/>
  <c r="AI34" i="59" s="1"/>
  <c r="AF34" i="59"/>
  <c r="AH29" i="59"/>
  <c r="AF29" i="59"/>
  <c r="AG29" i="59"/>
  <c r="AI29" i="59" s="1"/>
  <c r="AD29" i="59"/>
  <c r="AH24" i="59"/>
  <c r="AD24" i="59"/>
  <c r="AF24" i="59"/>
  <c r="AG24" i="59"/>
  <c r="AI24" i="59" s="1"/>
  <c r="AH41" i="59"/>
  <c r="AG41" i="59"/>
  <c r="AI41" i="59" s="1"/>
  <c r="AD41" i="59"/>
  <c r="AF41" i="59"/>
  <c r="AZ30" i="59"/>
  <c r="AV30" i="59"/>
  <c r="AX30" i="59"/>
  <c r="AY30" i="59"/>
  <c r="BA30" i="59" s="1"/>
  <c r="AY27" i="59"/>
  <c r="BA27" i="59" s="1"/>
  <c r="AZ27" i="59"/>
  <c r="AV27" i="59"/>
  <c r="AX27" i="59"/>
  <c r="AZ14" i="59"/>
  <c r="AX14" i="59"/>
  <c r="AY14" i="59"/>
  <c r="AV14" i="59"/>
  <c r="AY53" i="59"/>
  <c r="BA53" i="59" s="1"/>
  <c r="AZ53" i="59"/>
  <c r="AX53" i="59"/>
  <c r="AV53" i="59"/>
  <c r="AY17" i="59"/>
  <c r="BA17" i="59" s="1"/>
  <c r="AX17" i="59"/>
  <c r="AZ17" i="59"/>
  <c r="AV17" i="59"/>
  <c r="AZ10" i="59"/>
  <c r="AX10" i="59"/>
  <c r="AY10" i="59"/>
  <c r="AV10" i="59"/>
  <c r="AY33" i="59"/>
  <c r="BA33" i="59" s="1"/>
  <c r="AX33" i="59"/>
  <c r="AZ33" i="59"/>
  <c r="AV33" i="59"/>
  <c r="Y12" i="59"/>
  <c r="U12" i="59"/>
  <c r="X12" i="59"/>
  <c r="W12" i="59"/>
  <c r="Y23" i="59"/>
  <c r="W23" i="59"/>
  <c r="X23" i="59"/>
  <c r="Z23" i="59" s="1"/>
  <c r="U23" i="59"/>
  <c r="Y45" i="59"/>
  <c r="W45" i="59"/>
  <c r="X45" i="59"/>
  <c r="Z45" i="59" s="1"/>
  <c r="U45" i="59"/>
  <c r="Y11" i="59"/>
  <c r="W11" i="59"/>
  <c r="U11" i="59"/>
  <c r="X11" i="59"/>
  <c r="U8" i="59"/>
  <c r="X8" i="59"/>
  <c r="W8" i="59"/>
  <c r="Y8" i="59"/>
  <c r="Y25" i="59"/>
  <c r="W25" i="59"/>
  <c r="X25" i="59"/>
  <c r="Z25" i="59" s="1"/>
  <c r="U25" i="59"/>
  <c r="AQ22" i="59"/>
  <c r="AO22" i="59"/>
  <c r="AP22" i="59"/>
  <c r="AR22" i="59" s="1"/>
  <c r="AM22" i="59"/>
  <c r="AQ26" i="59"/>
  <c r="AM26" i="59"/>
  <c r="AO26" i="59"/>
  <c r="AP26" i="59"/>
  <c r="AR26" i="59" s="1"/>
  <c r="AM50" i="59"/>
  <c r="AO50" i="59"/>
  <c r="AP50" i="59"/>
  <c r="AR50" i="59" s="1"/>
  <c r="AQ50" i="59"/>
  <c r="AQ51" i="59"/>
  <c r="AP51" i="59"/>
  <c r="AR51" i="59" s="1"/>
  <c r="AO51" i="59"/>
  <c r="AM51" i="59"/>
  <c r="AM52" i="59"/>
  <c r="AQ52" i="59"/>
  <c r="AO52" i="59"/>
  <c r="AP52" i="59"/>
  <c r="AR52" i="59" s="1"/>
  <c r="AQ17" i="59"/>
  <c r="AM17" i="59"/>
  <c r="AP17" i="59"/>
  <c r="AR17" i="59" s="1"/>
  <c r="AO17" i="59"/>
  <c r="P15" i="59"/>
  <c r="N15" i="59"/>
  <c r="L15" i="59"/>
  <c r="O15" i="59"/>
  <c r="P20" i="59"/>
  <c r="L20" i="59"/>
  <c r="O20" i="59"/>
  <c r="Q20" i="59" s="1"/>
  <c r="N20" i="59"/>
  <c r="P31" i="59"/>
  <c r="N31" i="59"/>
  <c r="L31" i="59"/>
  <c r="O31" i="59"/>
  <c r="Q31" i="59" s="1"/>
  <c r="L44" i="59"/>
  <c r="P44" i="59"/>
  <c r="O44" i="59"/>
  <c r="Q44" i="59" s="1"/>
  <c r="N44" i="59"/>
  <c r="P26" i="59"/>
  <c r="O26" i="59"/>
  <c r="Q26" i="59" s="1"/>
  <c r="N26" i="59"/>
  <c r="L26" i="59"/>
  <c r="P48" i="59"/>
  <c r="L48" i="59"/>
  <c r="N48" i="59"/>
  <c r="O48" i="59"/>
  <c r="Q48" i="59" s="1"/>
  <c r="AH19" i="59"/>
  <c r="AG19" i="59"/>
  <c r="AI19" i="59" s="1"/>
  <c r="AF19" i="59"/>
  <c r="AD19" i="59"/>
  <c r="AH11" i="59"/>
  <c r="AF11" i="59"/>
  <c r="AD11" i="59"/>
  <c r="AG11" i="59"/>
  <c r="AH51" i="59"/>
  <c r="AF51" i="59"/>
  <c r="AG51" i="59"/>
  <c r="AI51" i="59" s="1"/>
  <c r="AD51" i="59"/>
  <c r="AH22" i="59"/>
  <c r="AG22" i="59"/>
  <c r="AI22" i="59" s="1"/>
  <c r="AF22" i="59"/>
  <c r="AD22" i="59"/>
  <c r="AH32" i="59"/>
  <c r="AD32" i="59"/>
  <c r="AF32" i="59"/>
  <c r="AG32" i="59"/>
  <c r="AI32" i="59" s="1"/>
  <c r="AH49" i="59"/>
  <c r="AF49" i="59"/>
  <c r="AD49" i="59"/>
  <c r="AG49" i="59"/>
  <c r="AI49" i="59" s="1"/>
  <c r="I15" i="99"/>
  <c r="H15" i="99"/>
  <c r="U16" i="99"/>
  <c r="T16" i="99"/>
  <c r="Y16" i="99"/>
  <c r="X16" i="99"/>
  <c r="E15" i="99"/>
  <c r="D15" i="99"/>
  <c r="E16" i="99"/>
  <c r="D16" i="99"/>
  <c r="M15" i="99"/>
  <c r="L15" i="99"/>
  <c r="M16" i="99"/>
  <c r="L16" i="99"/>
  <c r="Q15" i="99"/>
  <c r="P15" i="99"/>
  <c r="I16" i="99"/>
  <c r="H16" i="99"/>
  <c r="U15" i="99"/>
  <c r="T15" i="99"/>
  <c r="Y15" i="99"/>
  <c r="X15" i="99"/>
  <c r="Q16" i="99"/>
  <c r="P16" i="99"/>
  <c r="J6" i="83"/>
  <c r="H6" i="83"/>
  <c r="AZ48" i="83"/>
  <c r="AZ39" i="83"/>
  <c r="AZ53" i="83"/>
  <c r="AZ10" i="83"/>
  <c r="AZ13" i="83"/>
  <c r="AZ43" i="83"/>
  <c r="AZ44" i="83"/>
  <c r="AZ12" i="83"/>
  <c r="AZ52" i="83"/>
  <c r="AZ20" i="83"/>
  <c r="AZ22" i="83"/>
  <c r="AZ19" i="83"/>
  <c r="AZ23" i="83"/>
  <c r="AZ50" i="83"/>
  <c r="AZ8" i="83"/>
  <c r="AZ18" i="83"/>
  <c r="AZ6" i="83"/>
  <c r="AZ35" i="83"/>
  <c r="AZ28" i="83"/>
  <c r="AZ11" i="83"/>
  <c r="AZ51" i="83"/>
  <c r="AZ42" i="83"/>
  <c r="AZ45" i="83"/>
  <c r="AZ40" i="83"/>
  <c r="AZ7" i="83"/>
  <c r="AZ17" i="83"/>
  <c r="AZ49" i="83"/>
  <c r="AZ15" i="83"/>
  <c r="AZ26" i="83"/>
  <c r="AZ32" i="83"/>
  <c r="AZ25" i="83"/>
  <c r="AZ46" i="83"/>
  <c r="AZ14" i="83"/>
  <c r="AZ29" i="83"/>
  <c r="AZ47" i="83"/>
  <c r="AZ41" i="83"/>
  <c r="AZ38" i="83"/>
  <c r="AZ24" i="83"/>
  <c r="AZ16" i="83"/>
  <c r="AZ34" i="83"/>
  <c r="AZ21" i="83"/>
  <c r="AZ30" i="83"/>
  <c r="AZ36" i="83"/>
  <c r="AZ31" i="83"/>
  <c r="AZ27" i="83"/>
  <c r="AZ33" i="83"/>
  <c r="AZ9" i="83"/>
  <c r="AZ37" i="83"/>
  <c r="T43" i="83"/>
  <c r="T12" i="83"/>
  <c r="T52" i="83"/>
  <c r="T22" i="83"/>
  <c r="T19" i="83"/>
  <c r="T23" i="83"/>
  <c r="T50" i="83"/>
  <c r="T8" i="83"/>
  <c r="T18" i="83"/>
  <c r="T6" i="83"/>
  <c r="T20" i="83"/>
  <c r="T17" i="83"/>
  <c r="T48" i="83"/>
  <c r="T39" i="83"/>
  <c r="T44" i="83"/>
  <c r="T53" i="83"/>
  <c r="T10" i="83"/>
  <c r="T35" i="83"/>
  <c r="T13" i="83"/>
  <c r="T40" i="83"/>
  <c r="T7" i="83"/>
  <c r="T49" i="83"/>
  <c r="T26" i="83"/>
  <c r="T32" i="83"/>
  <c r="T14" i="83"/>
  <c r="T30" i="83"/>
  <c r="T28" i="83"/>
  <c r="T11" i="83"/>
  <c r="T46" i="83"/>
  <c r="T51" i="83"/>
  <c r="T31" i="83"/>
  <c r="T16" i="83"/>
  <c r="T42" i="83"/>
  <c r="T45" i="83"/>
  <c r="T27" i="83"/>
  <c r="T15" i="83"/>
  <c r="T36" i="83"/>
  <c r="T25" i="83"/>
  <c r="T37" i="83"/>
  <c r="T33" i="83"/>
  <c r="T9" i="83"/>
  <c r="T29" i="83"/>
  <c r="T47" i="83"/>
  <c r="T41" i="83"/>
  <c r="T38" i="83"/>
  <c r="T24" i="83"/>
  <c r="T34" i="83"/>
  <c r="T21" i="83"/>
  <c r="AV39" i="83"/>
  <c r="AV53" i="83"/>
  <c r="AV22" i="83"/>
  <c r="AV51" i="83"/>
  <c r="AV6" i="83"/>
  <c r="AV35" i="83"/>
  <c r="AV44" i="83"/>
  <c r="AV42" i="83"/>
  <c r="AV43" i="83"/>
  <c r="AV20" i="83"/>
  <c r="AV48" i="83"/>
  <c r="AV8" i="83"/>
  <c r="AV26" i="83"/>
  <c r="AV52" i="83"/>
  <c r="AV50" i="83"/>
  <c r="AV30" i="83"/>
  <c r="AV45" i="83"/>
  <c r="AV14" i="83"/>
  <c r="AV12" i="83"/>
  <c r="AV40" i="83"/>
  <c r="AV10" i="83"/>
  <c r="AV7" i="83"/>
  <c r="AV13" i="83"/>
  <c r="AV34" i="83"/>
  <c r="AV15" i="83"/>
  <c r="AV23" i="83"/>
  <c r="AV38" i="83"/>
  <c r="AV19" i="83"/>
  <c r="AV17" i="83"/>
  <c r="AV29" i="83"/>
  <c r="AV9" i="83"/>
  <c r="AV33" i="83"/>
  <c r="AV36" i="83"/>
  <c r="AV11" i="83"/>
  <c r="AV27" i="83"/>
  <c r="AV49" i="83"/>
  <c r="AV25" i="83"/>
  <c r="AV28" i="83"/>
  <c r="AV21" i="83"/>
  <c r="AV46" i="83"/>
  <c r="AV32" i="83"/>
  <c r="AV47" i="83"/>
  <c r="AV18" i="83"/>
  <c r="AV41" i="83"/>
  <c r="AV37" i="83"/>
  <c r="AV31" i="83"/>
  <c r="AV24" i="83"/>
  <c r="AV16" i="83"/>
  <c r="H48" i="83"/>
  <c r="H26" i="83"/>
  <c r="H52" i="83"/>
  <c r="H22" i="83"/>
  <c r="H20" i="83"/>
  <c r="H30" i="83"/>
  <c r="H8" i="83"/>
  <c r="H39" i="83"/>
  <c r="H53" i="83"/>
  <c r="H51" i="83"/>
  <c r="H38" i="83"/>
  <c r="H35" i="83"/>
  <c r="H44" i="83"/>
  <c r="H50" i="83"/>
  <c r="H43" i="83"/>
  <c r="H12" i="83"/>
  <c r="H42" i="83"/>
  <c r="H23" i="83"/>
  <c r="H19" i="83"/>
  <c r="H18" i="83"/>
  <c r="H49" i="83"/>
  <c r="H45" i="83"/>
  <c r="H14" i="83"/>
  <c r="H40" i="83"/>
  <c r="H10" i="83"/>
  <c r="H28" i="83"/>
  <c r="H29" i="83"/>
  <c r="H7" i="83"/>
  <c r="H13" i="83"/>
  <c r="H34" i="83"/>
  <c r="H15" i="83"/>
  <c r="H33" i="83"/>
  <c r="H21" i="83"/>
  <c r="H46" i="83"/>
  <c r="H17" i="83"/>
  <c r="H32" i="83"/>
  <c r="H47" i="83"/>
  <c r="H41" i="83"/>
  <c r="H36" i="83"/>
  <c r="H9" i="83"/>
  <c r="H11" i="83"/>
  <c r="H27" i="83"/>
  <c r="H25" i="83"/>
  <c r="H16" i="83"/>
  <c r="H37" i="83"/>
  <c r="H24" i="83"/>
  <c r="H31" i="83"/>
  <c r="BP23" i="83"/>
  <c r="BP50" i="83"/>
  <c r="BP8" i="83"/>
  <c r="BP18" i="83"/>
  <c r="BP6" i="83"/>
  <c r="BP35" i="83"/>
  <c r="BP48" i="83"/>
  <c r="BP39" i="83"/>
  <c r="BP53" i="83"/>
  <c r="BP10" i="83"/>
  <c r="BP13" i="83"/>
  <c r="BP44" i="83"/>
  <c r="BP20" i="83"/>
  <c r="BP43" i="83"/>
  <c r="BP12" i="83"/>
  <c r="BP52" i="83"/>
  <c r="BP22" i="83"/>
  <c r="BP19" i="83"/>
  <c r="BP46" i="83"/>
  <c r="BP26" i="83"/>
  <c r="BP32" i="83"/>
  <c r="BP14" i="83"/>
  <c r="BP28" i="83"/>
  <c r="BP11" i="83"/>
  <c r="BP51" i="83"/>
  <c r="BP24" i="83"/>
  <c r="BP42" i="83"/>
  <c r="BP45" i="83"/>
  <c r="BP16" i="83"/>
  <c r="BP40" i="83"/>
  <c r="BP7" i="83"/>
  <c r="BP17" i="83"/>
  <c r="BP49" i="83"/>
  <c r="BP25" i="83"/>
  <c r="BP33" i="83"/>
  <c r="BP9" i="83"/>
  <c r="BP29" i="83"/>
  <c r="BP47" i="83"/>
  <c r="BP15" i="83"/>
  <c r="BP41" i="83"/>
  <c r="BP38" i="83"/>
  <c r="BP30" i="83"/>
  <c r="BP36" i="83"/>
  <c r="BP34" i="83"/>
  <c r="BP37" i="83"/>
  <c r="BP21" i="83"/>
  <c r="BP27" i="83"/>
  <c r="BP31" i="83"/>
  <c r="AI20" i="83"/>
  <c r="AI44" i="83"/>
  <c r="AI17" i="83"/>
  <c r="AI49" i="83"/>
  <c r="AI39" i="83"/>
  <c r="AI50" i="83"/>
  <c r="AI22" i="83"/>
  <c r="AI7" i="83"/>
  <c r="AI36" i="83"/>
  <c r="AI52" i="83"/>
  <c r="AI8" i="83"/>
  <c r="AI35" i="83"/>
  <c r="AI10" i="83"/>
  <c r="AI12" i="83"/>
  <c r="AI46" i="83"/>
  <c r="AI6" i="83"/>
  <c r="AI48" i="83"/>
  <c r="AI53" i="83"/>
  <c r="AI26" i="83"/>
  <c r="AI30" i="83"/>
  <c r="AI15" i="83"/>
  <c r="AI14" i="83"/>
  <c r="AI9" i="83"/>
  <c r="AI23" i="83"/>
  <c r="AI28" i="83"/>
  <c r="AI43" i="83"/>
  <c r="AI19" i="83"/>
  <c r="AI47" i="83"/>
  <c r="AI13" i="83"/>
  <c r="AI45" i="83"/>
  <c r="AI11" i="83"/>
  <c r="AI51" i="83"/>
  <c r="AI40" i="83"/>
  <c r="AI27" i="83"/>
  <c r="AI42" i="83"/>
  <c r="AI38" i="83"/>
  <c r="AI34" i="83"/>
  <c r="AI33" i="83"/>
  <c r="AI25" i="83"/>
  <c r="AI32" i="83"/>
  <c r="AI24" i="83"/>
  <c r="AI41" i="83"/>
  <c r="AI16" i="83"/>
  <c r="AI29" i="83"/>
  <c r="AI18" i="83"/>
  <c r="AI31" i="83"/>
  <c r="AI21" i="83"/>
  <c r="AI37" i="83"/>
  <c r="CA27" i="83"/>
  <c r="CA32" i="83"/>
  <c r="CA7" i="83"/>
  <c r="CA12" i="83"/>
  <c r="CA18" i="83"/>
  <c r="CA28" i="83"/>
  <c r="CA34" i="83"/>
  <c r="CA13" i="83"/>
  <c r="CA45" i="83"/>
  <c r="CA23" i="83"/>
  <c r="CA15" i="83"/>
  <c r="CA38" i="83"/>
  <c r="CA36" i="83"/>
  <c r="CA37" i="83"/>
  <c r="CA43" i="83"/>
  <c r="CA40" i="83"/>
  <c r="CA9" i="83"/>
  <c r="CA16" i="83"/>
  <c r="CA8" i="83"/>
  <c r="CA39" i="83"/>
  <c r="CA29" i="83"/>
  <c r="CA53" i="83"/>
  <c r="CA50" i="83"/>
  <c r="CA17" i="83"/>
  <c r="CA30" i="83"/>
  <c r="CA49" i="83"/>
  <c r="CA6" i="83"/>
  <c r="CA42" i="83"/>
  <c r="CA44" i="83"/>
  <c r="CA41" i="83"/>
  <c r="CA22" i="83"/>
  <c r="CA21" i="83"/>
  <c r="CA31" i="83"/>
  <c r="CA10" i="83"/>
  <c r="CA20" i="83"/>
  <c r="CA19" i="83"/>
  <c r="CA25" i="83"/>
  <c r="CA52" i="83"/>
  <c r="CA33" i="83"/>
  <c r="CA48" i="83"/>
  <c r="CA47" i="83"/>
  <c r="CA24" i="83"/>
  <c r="CA51" i="83"/>
  <c r="CA14" i="83"/>
  <c r="CA46" i="83"/>
  <c r="CA26" i="83"/>
  <c r="CA35" i="83"/>
  <c r="CA11" i="83"/>
  <c r="BY7" i="83"/>
  <c r="BY44" i="83"/>
  <c r="BY52" i="83"/>
  <c r="BY9" i="83"/>
  <c r="BY53" i="83"/>
  <c r="BY6" i="83"/>
  <c r="BY35" i="83"/>
  <c r="BY39" i="83"/>
  <c r="BY23" i="83"/>
  <c r="BY19" i="83"/>
  <c r="BY22" i="83"/>
  <c r="BY48" i="83"/>
  <c r="BY50" i="83"/>
  <c r="BY12" i="83"/>
  <c r="BY20" i="83"/>
  <c r="BY8" i="83"/>
  <c r="BY15" i="83"/>
  <c r="BY51" i="83"/>
  <c r="BY21" i="83"/>
  <c r="BY10" i="83"/>
  <c r="BY17" i="83"/>
  <c r="BY49" i="83"/>
  <c r="BY32" i="83"/>
  <c r="BY18" i="83"/>
  <c r="BY14" i="83"/>
  <c r="BY24" i="83"/>
  <c r="BY28" i="83"/>
  <c r="BY26" i="83"/>
  <c r="BY30" i="83"/>
  <c r="BY43" i="83"/>
  <c r="BY16" i="83"/>
  <c r="BY13" i="83"/>
  <c r="BY36" i="83"/>
  <c r="BY11" i="83"/>
  <c r="BY38" i="83"/>
  <c r="BY40" i="83"/>
  <c r="BY45" i="83"/>
  <c r="BY46" i="83"/>
  <c r="BY34" i="83"/>
  <c r="BY33" i="83"/>
  <c r="BY42" i="83"/>
  <c r="BY27" i="83"/>
  <c r="BY25" i="83"/>
  <c r="BY47" i="83"/>
  <c r="BY41" i="83"/>
  <c r="BY29" i="83"/>
  <c r="BY37" i="83"/>
  <c r="BY31" i="83"/>
  <c r="M7" i="83"/>
  <c r="M44" i="83"/>
  <c r="M52" i="83"/>
  <c r="M8" i="83"/>
  <c r="M9" i="83"/>
  <c r="M6" i="83"/>
  <c r="M35" i="83"/>
  <c r="M22" i="83"/>
  <c r="M53" i="83"/>
  <c r="M39" i="83"/>
  <c r="M23" i="83"/>
  <c r="M19" i="83"/>
  <c r="M48" i="83"/>
  <c r="M50" i="83"/>
  <c r="M12" i="83"/>
  <c r="M20" i="83"/>
  <c r="M15" i="83"/>
  <c r="M51" i="83"/>
  <c r="M40" i="83"/>
  <c r="M21" i="83"/>
  <c r="M17" i="83"/>
  <c r="M49" i="83"/>
  <c r="M32" i="83"/>
  <c r="M10" i="83"/>
  <c r="M14" i="83"/>
  <c r="M28" i="83"/>
  <c r="M26" i="83"/>
  <c r="M30" i="83"/>
  <c r="M43" i="83"/>
  <c r="M18" i="83"/>
  <c r="M13" i="83"/>
  <c r="M45" i="83"/>
  <c r="M42" i="83"/>
  <c r="M38" i="83"/>
  <c r="M31" i="83"/>
  <c r="M36" i="83"/>
  <c r="M11" i="83"/>
  <c r="M34" i="83"/>
  <c r="M33" i="83"/>
  <c r="M24" i="83"/>
  <c r="M27" i="83"/>
  <c r="M25" i="83"/>
  <c r="M47" i="83"/>
  <c r="M41" i="83"/>
  <c r="M29" i="83"/>
  <c r="M46" i="83"/>
  <c r="M16" i="83"/>
  <c r="M37" i="83"/>
  <c r="R53" i="83"/>
  <c r="R50" i="83"/>
  <c r="R14" i="83"/>
  <c r="R28" i="83"/>
  <c r="R35" i="83"/>
  <c r="R22" i="83"/>
  <c r="R23" i="83"/>
  <c r="R17" i="83"/>
  <c r="R27" i="83"/>
  <c r="R8" i="83"/>
  <c r="R39" i="83"/>
  <c r="R49" i="83"/>
  <c r="R12" i="83"/>
  <c r="R52" i="83"/>
  <c r="R43" i="83"/>
  <c r="R6" i="83"/>
  <c r="R44" i="83"/>
  <c r="R20" i="83"/>
  <c r="R45" i="83"/>
  <c r="R40" i="83"/>
  <c r="R51" i="83"/>
  <c r="R18" i="83"/>
  <c r="R10" i="83"/>
  <c r="R42" i="83"/>
  <c r="R7" i="83"/>
  <c r="R13" i="83"/>
  <c r="R48" i="83"/>
  <c r="R15" i="83"/>
  <c r="R25" i="83"/>
  <c r="R26" i="83"/>
  <c r="R9" i="83"/>
  <c r="R47" i="83"/>
  <c r="R30" i="83"/>
  <c r="R41" i="83"/>
  <c r="R38" i="83"/>
  <c r="R29" i="83"/>
  <c r="R36" i="83"/>
  <c r="R11" i="83"/>
  <c r="R34" i="83"/>
  <c r="R21" i="83"/>
  <c r="R46" i="83"/>
  <c r="R37" i="83"/>
  <c r="R32" i="83"/>
  <c r="R16" i="83"/>
  <c r="R19" i="83"/>
  <c r="R33" i="83"/>
  <c r="R24" i="83"/>
  <c r="R31" i="83"/>
  <c r="BV50" i="83"/>
  <c r="BV12" i="83"/>
  <c r="BV20" i="83"/>
  <c r="BV22" i="83"/>
  <c r="BV35" i="83"/>
  <c r="BV23" i="83"/>
  <c r="BV17" i="83"/>
  <c r="BV8" i="83"/>
  <c r="BV39" i="83"/>
  <c r="BV49" i="83"/>
  <c r="BV52" i="83"/>
  <c r="BV53" i="83"/>
  <c r="BV43" i="83"/>
  <c r="BV6" i="83"/>
  <c r="BV44" i="83"/>
  <c r="BV14" i="83"/>
  <c r="BV40" i="83"/>
  <c r="BV19" i="83"/>
  <c r="BV28" i="83"/>
  <c r="BV51" i="83"/>
  <c r="BV42" i="83"/>
  <c r="BV7" i="83"/>
  <c r="BV13" i="83"/>
  <c r="BV48" i="83"/>
  <c r="BV15" i="83"/>
  <c r="BV25" i="83"/>
  <c r="BV26" i="83"/>
  <c r="BV47" i="83"/>
  <c r="BV27" i="83"/>
  <c r="BV30" i="83"/>
  <c r="BV41" i="83"/>
  <c r="BV37" i="83"/>
  <c r="BV11" i="83"/>
  <c r="BV34" i="83"/>
  <c r="BV16" i="83"/>
  <c r="BV18" i="83"/>
  <c r="BV45" i="83"/>
  <c r="BV21" i="83"/>
  <c r="BV46" i="83"/>
  <c r="BV38" i="83"/>
  <c r="BV32" i="83"/>
  <c r="BV33" i="83"/>
  <c r="BV9" i="83"/>
  <c r="BV10" i="83"/>
  <c r="BV29" i="83"/>
  <c r="BV36" i="83"/>
  <c r="BV31" i="83"/>
  <c r="BV24" i="83"/>
  <c r="BN22" i="83"/>
  <c r="BN35" i="83"/>
  <c r="BN23" i="83"/>
  <c r="BN17" i="83"/>
  <c r="BN8" i="83"/>
  <c r="BN39" i="83"/>
  <c r="BN49" i="83"/>
  <c r="BN52" i="83"/>
  <c r="BN12" i="83"/>
  <c r="BN43" i="83"/>
  <c r="BN20" i="83"/>
  <c r="BN6" i="83"/>
  <c r="BN44" i="83"/>
  <c r="BN53" i="83"/>
  <c r="BN14" i="83"/>
  <c r="BN50" i="83"/>
  <c r="BN28" i="83"/>
  <c r="BN51" i="83"/>
  <c r="BN18" i="83"/>
  <c r="BN10" i="83"/>
  <c r="BN42" i="83"/>
  <c r="BN7" i="83"/>
  <c r="BN48" i="83"/>
  <c r="BN15" i="83"/>
  <c r="BN25" i="83"/>
  <c r="BN26" i="83"/>
  <c r="BN27" i="83"/>
  <c r="BN30" i="83"/>
  <c r="BN41" i="83"/>
  <c r="BN45" i="83"/>
  <c r="BN19" i="83"/>
  <c r="BN34" i="83"/>
  <c r="BN13" i="83"/>
  <c r="BN24" i="83"/>
  <c r="BN16" i="83"/>
  <c r="BN21" i="83"/>
  <c r="BN46" i="83"/>
  <c r="BN47" i="83"/>
  <c r="BN38" i="83"/>
  <c r="BN32" i="83"/>
  <c r="BN40" i="83"/>
  <c r="BN33" i="83"/>
  <c r="BN9" i="83"/>
  <c r="BN29" i="83"/>
  <c r="BN36" i="83"/>
  <c r="BN37" i="83"/>
  <c r="BN11" i="83"/>
  <c r="BN31" i="83"/>
  <c r="E53" i="83"/>
  <c r="E22" i="83"/>
  <c r="E35" i="83"/>
  <c r="E39" i="83"/>
  <c r="E23" i="83"/>
  <c r="E48" i="83"/>
  <c r="E18" i="83"/>
  <c r="E50" i="83"/>
  <c r="E12" i="83"/>
  <c r="E20" i="83"/>
  <c r="E15" i="83"/>
  <c r="E7" i="83"/>
  <c r="E44" i="83"/>
  <c r="E52" i="83"/>
  <c r="E8" i="83"/>
  <c r="E9" i="83"/>
  <c r="E17" i="83"/>
  <c r="E42" i="83"/>
  <c r="E46" i="83"/>
  <c r="E49" i="83"/>
  <c r="E10" i="83"/>
  <c r="E14" i="83"/>
  <c r="E28" i="83"/>
  <c r="E26" i="83"/>
  <c r="E30" i="83"/>
  <c r="E43" i="83"/>
  <c r="E19" i="83"/>
  <c r="E13" i="83"/>
  <c r="E45" i="83"/>
  <c r="E36" i="83"/>
  <c r="E21" i="83"/>
  <c r="E38" i="83"/>
  <c r="E11" i="83"/>
  <c r="E34" i="83"/>
  <c r="E33" i="83"/>
  <c r="E40" i="83"/>
  <c r="E32" i="83"/>
  <c r="E27" i="83"/>
  <c r="E25" i="83"/>
  <c r="E47" i="83"/>
  <c r="E41" i="83"/>
  <c r="E29" i="83"/>
  <c r="E51" i="83"/>
  <c r="E16" i="83"/>
  <c r="E6" i="83"/>
  <c r="E24" i="83"/>
  <c r="E31" i="83"/>
  <c r="E37" i="83"/>
  <c r="BQ6" i="83"/>
  <c r="BQ35" i="83"/>
  <c r="BQ39" i="83"/>
  <c r="BQ23" i="83"/>
  <c r="BQ53" i="83"/>
  <c r="BQ48" i="83"/>
  <c r="BQ18" i="83"/>
  <c r="BQ50" i="83"/>
  <c r="BQ12" i="83"/>
  <c r="BQ22" i="83"/>
  <c r="BQ20" i="83"/>
  <c r="BQ8" i="83"/>
  <c r="BQ15" i="83"/>
  <c r="BQ7" i="83"/>
  <c r="BQ44" i="83"/>
  <c r="BQ52" i="83"/>
  <c r="BQ9" i="83"/>
  <c r="BQ19" i="83"/>
  <c r="BQ10" i="83"/>
  <c r="BQ17" i="83"/>
  <c r="BQ42" i="83"/>
  <c r="BQ46" i="83"/>
  <c r="BQ49" i="83"/>
  <c r="BQ14" i="83"/>
  <c r="BQ28" i="83"/>
  <c r="BQ26" i="83"/>
  <c r="BQ30" i="83"/>
  <c r="BQ43" i="83"/>
  <c r="BQ13" i="83"/>
  <c r="BQ45" i="83"/>
  <c r="BQ36" i="83"/>
  <c r="BQ11" i="83"/>
  <c r="BQ38" i="83"/>
  <c r="BQ40" i="83"/>
  <c r="BQ34" i="83"/>
  <c r="BQ37" i="83"/>
  <c r="BQ33" i="83"/>
  <c r="BQ21" i="83"/>
  <c r="BQ27" i="83"/>
  <c r="BQ25" i="83"/>
  <c r="BQ47" i="83"/>
  <c r="BQ24" i="83"/>
  <c r="BQ41" i="83"/>
  <c r="BQ29" i="83"/>
  <c r="BQ31" i="83"/>
  <c r="BQ32" i="83"/>
  <c r="BQ16" i="83"/>
  <c r="BQ51" i="83"/>
  <c r="Q52" i="83"/>
  <c r="Q51" i="83"/>
  <c r="Q12" i="83"/>
  <c r="Q42" i="83"/>
  <c r="Q6" i="83"/>
  <c r="Q35" i="83"/>
  <c r="Q39" i="83"/>
  <c r="Q44" i="83"/>
  <c r="Q10" i="83"/>
  <c r="Q14" i="83"/>
  <c r="Q47" i="83"/>
  <c r="Q22" i="83"/>
  <c r="Q53" i="83"/>
  <c r="Q8" i="83"/>
  <c r="Q20" i="83"/>
  <c r="Q7" i="83"/>
  <c r="Q48" i="83"/>
  <c r="Q50" i="83"/>
  <c r="Q15" i="83"/>
  <c r="Q9" i="83"/>
  <c r="Q13" i="83"/>
  <c r="Q26" i="83"/>
  <c r="Q17" i="83"/>
  <c r="Q30" i="83"/>
  <c r="Q23" i="83"/>
  <c r="Q49" i="83"/>
  <c r="Q33" i="83"/>
  <c r="Q43" i="83"/>
  <c r="Q19" i="83"/>
  <c r="Q41" i="83"/>
  <c r="Q45" i="83"/>
  <c r="Q38" i="83"/>
  <c r="Q28" i="83"/>
  <c r="Q40" i="83"/>
  <c r="Q29" i="83"/>
  <c r="Q18" i="83"/>
  <c r="Q34" i="83"/>
  <c r="Q21" i="83"/>
  <c r="Q27" i="83"/>
  <c r="Q25" i="83"/>
  <c r="Q16" i="83"/>
  <c r="Q31" i="83"/>
  <c r="Q24" i="83"/>
  <c r="Q46" i="83"/>
  <c r="Q37" i="83"/>
  <c r="Q32" i="83"/>
  <c r="Q36" i="83"/>
  <c r="Q11" i="83"/>
  <c r="BO52" i="83"/>
  <c r="BO20" i="83"/>
  <c r="BO8" i="83"/>
  <c r="BO35" i="83"/>
  <c r="BO39" i="83"/>
  <c r="BO13" i="83"/>
  <c r="BO10" i="83"/>
  <c r="BO12" i="83"/>
  <c r="BO46" i="83"/>
  <c r="BO48" i="83"/>
  <c r="BO50" i="83"/>
  <c r="BO53" i="83"/>
  <c r="BO44" i="83"/>
  <c r="BO17" i="83"/>
  <c r="BO22" i="83"/>
  <c r="BO7" i="83"/>
  <c r="BO28" i="83"/>
  <c r="BO43" i="83"/>
  <c r="BO19" i="83"/>
  <c r="BO6" i="83"/>
  <c r="BO45" i="83"/>
  <c r="BO51" i="83"/>
  <c r="BO40" i="83"/>
  <c r="BO27" i="83"/>
  <c r="BO42" i="83"/>
  <c r="BO24" i="83"/>
  <c r="BO16" i="83"/>
  <c r="BO49" i="83"/>
  <c r="BO26" i="83"/>
  <c r="BO36" i="83"/>
  <c r="BO30" i="83"/>
  <c r="BO15" i="83"/>
  <c r="BO14" i="83"/>
  <c r="BO9" i="83"/>
  <c r="BO41" i="83"/>
  <c r="BO29" i="83"/>
  <c r="BO18" i="83"/>
  <c r="BO21" i="83"/>
  <c r="BO23" i="83"/>
  <c r="BO25" i="83"/>
  <c r="BO38" i="83"/>
  <c r="BO47" i="83"/>
  <c r="BO34" i="83"/>
  <c r="BO37" i="83"/>
  <c r="BO33" i="83"/>
  <c r="BO31" i="83"/>
  <c r="BO32" i="83"/>
  <c r="BO11" i="83"/>
  <c r="CR8" i="83"/>
  <c r="CR9" i="83"/>
  <c r="CR38" i="83"/>
  <c r="CR18" i="83"/>
  <c r="CR24" i="83"/>
  <c r="CR49" i="83"/>
  <c r="CR28" i="83"/>
  <c r="CR19" i="83"/>
  <c r="CR10" i="83"/>
  <c r="CR37" i="83"/>
  <c r="CR44" i="83"/>
  <c r="CR31" i="83"/>
  <c r="CR23" i="83"/>
  <c r="CR52" i="83"/>
  <c r="CR40" i="83"/>
  <c r="CR33" i="83"/>
  <c r="CR17" i="83"/>
  <c r="CR29" i="83"/>
  <c r="CR25" i="83"/>
  <c r="CR35" i="83"/>
  <c r="CR27" i="83"/>
  <c r="CR12" i="83"/>
  <c r="CR45" i="83"/>
  <c r="CR51" i="83"/>
  <c r="CR53" i="83"/>
  <c r="CR15" i="83"/>
  <c r="CR39" i="83"/>
  <c r="CR14" i="83"/>
  <c r="CR11" i="83"/>
  <c r="CR36" i="83"/>
  <c r="CR13" i="83"/>
  <c r="CR42" i="83"/>
  <c r="CR50" i="83"/>
  <c r="CR21" i="83"/>
  <c r="CR7" i="83"/>
  <c r="CR46" i="83"/>
  <c r="CR34" i="83"/>
  <c r="CR26" i="83"/>
  <c r="CR48" i="83"/>
  <c r="CR6" i="83"/>
  <c r="CR32" i="83"/>
  <c r="CR22" i="83"/>
  <c r="CR43" i="83"/>
  <c r="CR20" i="83"/>
  <c r="CR47" i="83"/>
  <c r="CR41" i="83"/>
  <c r="CR30" i="83"/>
  <c r="CR16" i="83"/>
  <c r="CP44" i="83"/>
  <c r="CP35" i="83"/>
  <c r="CP15" i="83"/>
  <c r="CP41" i="83"/>
  <c r="CP23" i="83"/>
  <c r="CP32" i="83"/>
  <c r="CP45" i="83"/>
  <c r="CP8" i="83"/>
  <c r="CP18" i="83"/>
  <c r="CP28" i="83"/>
  <c r="CP50" i="83"/>
  <c r="CP25" i="83"/>
  <c r="CP46" i="83"/>
  <c r="CP7" i="83"/>
  <c r="CP33" i="83"/>
  <c r="CP22" i="83"/>
  <c r="CP6" i="83"/>
  <c r="CP12" i="83"/>
  <c r="CP37" i="83"/>
  <c r="CP24" i="83"/>
  <c r="CP40" i="83"/>
  <c r="CP39" i="83"/>
  <c r="CP20" i="83"/>
  <c r="CP43" i="83"/>
  <c r="CP30" i="83"/>
  <c r="CP17" i="83"/>
  <c r="CP38" i="83"/>
  <c r="CP42" i="83"/>
  <c r="CP9" i="83"/>
  <c r="CP27" i="83"/>
  <c r="CP31" i="83"/>
  <c r="CP51" i="83"/>
  <c r="CP53" i="83"/>
  <c r="CP10" i="83"/>
  <c r="CP49" i="83"/>
  <c r="CP36" i="83"/>
  <c r="CP14" i="83"/>
  <c r="CP34" i="83"/>
  <c r="CP19" i="83"/>
  <c r="CP29" i="83"/>
  <c r="CP13" i="83"/>
  <c r="CP52" i="83"/>
  <c r="CP21" i="83"/>
  <c r="CP16" i="83"/>
  <c r="CP47" i="83"/>
  <c r="CP11" i="83"/>
  <c r="CP26" i="83"/>
  <c r="CP48" i="83"/>
  <c r="AK39" i="83"/>
  <c r="AK23" i="83"/>
  <c r="AK19" i="83"/>
  <c r="AK48" i="83"/>
  <c r="AK22" i="83"/>
  <c r="AK50" i="83"/>
  <c r="AK12" i="83"/>
  <c r="AK20" i="83"/>
  <c r="AK8" i="83"/>
  <c r="AK15" i="83"/>
  <c r="AK7" i="83"/>
  <c r="AK44" i="83"/>
  <c r="AK53" i="83"/>
  <c r="AK52" i="83"/>
  <c r="AK9" i="83"/>
  <c r="AK6" i="83"/>
  <c r="AK35" i="83"/>
  <c r="AK28" i="83"/>
  <c r="AK26" i="83"/>
  <c r="AK24" i="83"/>
  <c r="AK18" i="83"/>
  <c r="AK13" i="83"/>
  <c r="AK45" i="83"/>
  <c r="AK37" i="83"/>
  <c r="AK51" i="83"/>
  <c r="AK40" i="83"/>
  <c r="AK21" i="83"/>
  <c r="AK17" i="83"/>
  <c r="AK42" i="83"/>
  <c r="AK46" i="83"/>
  <c r="AK10" i="83"/>
  <c r="AK49" i="83"/>
  <c r="AK32" i="83"/>
  <c r="AK14" i="83"/>
  <c r="AK41" i="83"/>
  <c r="AK29" i="83"/>
  <c r="AK30" i="83"/>
  <c r="AK38" i="83"/>
  <c r="AK36" i="83"/>
  <c r="AK11" i="83"/>
  <c r="AK34" i="83"/>
  <c r="AK33" i="83"/>
  <c r="AK27" i="83"/>
  <c r="AK43" i="83"/>
  <c r="AK25" i="83"/>
  <c r="AK47" i="83"/>
  <c r="AK31" i="83"/>
  <c r="AK16" i="83"/>
  <c r="F22" i="83"/>
  <c r="F8" i="83"/>
  <c r="F6" i="83"/>
  <c r="F35" i="83"/>
  <c r="F7" i="83"/>
  <c r="F52" i="83"/>
  <c r="F15" i="83"/>
  <c r="F20" i="83"/>
  <c r="F44" i="83"/>
  <c r="F50" i="83"/>
  <c r="F45" i="83"/>
  <c r="F43" i="83"/>
  <c r="F39" i="83"/>
  <c r="F53" i="83"/>
  <c r="F12" i="83"/>
  <c r="F40" i="83"/>
  <c r="F13" i="83"/>
  <c r="F21" i="83"/>
  <c r="F17" i="83"/>
  <c r="F9" i="83"/>
  <c r="F23" i="83"/>
  <c r="F49" i="83"/>
  <c r="F51" i="83"/>
  <c r="F42" i="83"/>
  <c r="F48" i="83"/>
  <c r="F19" i="83"/>
  <c r="F26" i="83"/>
  <c r="F18" i="83"/>
  <c r="F14" i="83"/>
  <c r="F30" i="83"/>
  <c r="F29" i="83"/>
  <c r="F32" i="83"/>
  <c r="F10" i="83"/>
  <c r="F41" i="83"/>
  <c r="F38" i="83"/>
  <c r="F36" i="83"/>
  <c r="F34" i="83"/>
  <c r="F11" i="83"/>
  <c r="F27" i="83"/>
  <c r="F16" i="83"/>
  <c r="F37" i="83"/>
  <c r="F46" i="83"/>
  <c r="F25" i="83"/>
  <c r="F33" i="83"/>
  <c r="F28" i="83"/>
  <c r="F24" i="83"/>
  <c r="F47" i="83"/>
  <c r="F31" i="83"/>
  <c r="BR20" i="83"/>
  <c r="BR22" i="83"/>
  <c r="BR8" i="83"/>
  <c r="BR52" i="83"/>
  <c r="BR35" i="83"/>
  <c r="BR7" i="83"/>
  <c r="BR39" i="83"/>
  <c r="BR15" i="83"/>
  <c r="BR6" i="83"/>
  <c r="BR44" i="83"/>
  <c r="BR50" i="83"/>
  <c r="BR45" i="83"/>
  <c r="BR43" i="83"/>
  <c r="BR53" i="83"/>
  <c r="BR12" i="83"/>
  <c r="BR40" i="83"/>
  <c r="BR13" i="83"/>
  <c r="BR21" i="83"/>
  <c r="BR23" i="83"/>
  <c r="BR17" i="83"/>
  <c r="BR49" i="83"/>
  <c r="BR51" i="83"/>
  <c r="BR42" i="83"/>
  <c r="BR48" i="83"/>
  <c r="BR19" i="83"/>
  <c r="BR26" i="83"/>
  <c r="BR9" i="83"/>
  <c r="BR14" i="83"/>
  <c r="BR30" i="83"/>
  <c r="BR29" i="83"/>
  <c r="BR32" i="83"/>
  <c r="BR10" i="83"/>
  <c r="BR28" i="83"/>
  <c r="BR41" i="83"/>
  <c r="BR38" i="83"/>
  <c r="BR46" i="83"/>
  <c r="BR36" i="83"/>
  <c r="BR34" i="83"/>
  <c r="BR37" i="83"/>
  <c r="BR11" i="83"/>
  <c r="BR27" i="83"/>
  <c r="BR25" i="83"/>
  <c r="BR33" i="83"/>
  <c r="BR24" i="83"/>
  <c r="BR16" i="83"/>
  <c r="BR18" i="83"/>
  <c r="BR31" i="83"/>
  <c r="BR47" i="83"/>
  <c r="BB35" i="83"/>
  <c r="BB7" i="83"/>
  <c r="BB15" i="83"/>
  <c r="BB9" i="83"/>
  <c r="BB44" i="83"/>
  <c r="BB50" i="83"/>
  <c r="BB45" i="83"/>
  <c r="BB43" i="83"/>
  <c r="BB53" i="83"/>
  <c r="BB12" i="83"/>
  <c r="BB20" i="83"/>
  <c r="BB52" i="83"/>
  <c r="BB6" i="83"/>
  <c r="BB23" i="83"/>
  <c r="BB22" i="83"/>
  <c r="BB39" i="83"/>
  <c r="BB8" i="83"/>
  <c r="BB17" i="83"/>
  <c r="BB49" i="83"/>
  <c r="BB42" i="83"/>
  <c r="BB48" i="83"/>
  <c r="BB40" i="83"/>
  <c r="BB19" i="83"/>
  <c r="BB26" i="83"/>
  <c r="BB37" i="83"/>
  <c r="BB14" i="83"/>
  <c r="BB30" i="83"/>
  <c r="BB29" i="83"/>
  <c r="BB10" i="83"/>
  <c r="BB28" i="83"/>
  <c r="BB18" i="83"/>
  <c r="BB13" i="83"/>
  <c r="BB21" i="83"/>
  <c r="BB46" i="83"/>
  <c r="BB11" i="83"/>
  <c r="BB27" i="83"/>
  <c r="BB25" i="83"/>
  <c r="BB33" i="83"/>
  <c r="BB31" i="83"/>
  <c r="BB47" i="83"/>
  <c r="BB41" i="83"/>
  <c r="BB38" i="83"/>
  <c r="BB24" i="83"/>
  <c r="BB51" i="83"/>
  <c r="BB32" i="83"/>
  <c r="BB36" i="83"/>
  <c r="BB16" i="83"/>
  <c r="BB34" i="83"/>
  <c r="I20" i="83"/>
  <c r="I51" i="83"/>
  <c r="I12" i="83"/>
  <c r="I42" i="83"/>
  <c r="I35" i="83"/>
  <c r="I39" i="83"/>
  <c r="I10" i="83"/>
  <c r="I14" i="83"/>
  <c r="I47" i="83"/>
  <c r="I52" i="83"/>
  <c r="I53" i="83"/>
  <c r="I28" i="83"/>
  <c r="I8" i="83"/>
  <c r="I22" i="83"/>
  <c r="I6" i="83"/>
  <c r="I7" i="83"/>
  <c r="I48" i="83"/>
  <c r="I44" i="83"/>
  <c r="I50" i="83"/>
  <c r="I15" i="83"/>
  <c r="I9" i="83"/>
  <c r="I26" i="83"/>
  <c r="I17" i="83"/>
  <c r="I30" i="83"/>
  <c r="I23" i="83"/>
  <c r="I49" i="83"/>
  <c r="I43" i="83"/>
  <c r="I19" i="83"/>
  <c r="I41" i="83"/>
  <c r="I45" i="83"/>
  <c r="I38" i="83"/>
  <c r="I40" i="83"/>
  <c r="I37" i="83"/>
  <c r="I34" i="83"/>
  <c r="I21" i="83"/>
  <c r="I27" i="83"/>
  <c r="I13" i="83"/>
  <c r="I25" i="83"/>
  <c r="I46" i="83"/>
  <c r="I16" i="83"/>
  <c r="I31" i="83"/>
  <c r="I32" i="83"/>
  <c r="I36" i="83"/>
  <c r="I33" i="83"/>
  <c r="I11" i="83"/>
  <c r="I29" i="83"/>
  <c r="I18" i="83"/>
  <c r="I24" i="83"/>
  <c r="Y20" i="83"/>
  <c r="Y48" i="83"/>
  <c r="Y50" i="83"/>
  <c r="Y44" i="83"/>
  <c r="Y51" i="83"/>
  <c r="Y12" i="83"/>
  <c r="Y42" i="83"/>
  <c r="Y35" i="83"/>
  <c r="Y39" i="83"/>
  <c r="Y52" i="83"/>
  <c r="Y10" i="83"/>
  <c r="Y53" i="83"/>
  <c r="Y28" i="83"/>
  <c r="Y8" i="83"/>
  <c r="Y22" i="83"/>
  <c r="Y6" i="83"/>
  <c r="Y7" i="83"/>
  <c r="Y40" i="83"/>
  <c r="Y15" i="83"/>
  <c r="Y9" i="83"/>
  <c r="Y13" i="83"/>
  <c r="Y26" i="83"/>
  <c r="Y17" i="83"/>
  <c r="Y30" i="83"/>
  <c r="Y23" i="83"/>
  <c r="Y49" i="83"/>
  <c r="Y14" i="83"/>
  <c r="Y47" i="83"/>
  <c r="Y43" i="83"/>
  <c r="Y19" i="83"/>
  <c r="Y41" i="83"/>
  <c r="Y45" i="83"/>
  <c r="Y16" i="83"/>
  <c r="Y11" i="83"/>
  <c r="Y29" i="83"/>
  <c r="Y18" i="83"/>
  <c r="Y34" i="83"/>
  <c r="Y21" i="83"/>
  <c r="Y27" i="83"/>
  <c r="Y25" i="83"/>
  <c r="Y37" i="83"/>
  <c r="Y38" i="83"/>
  <c r="Y24" i="83"/>
  <c r="Y31" i="83"/>
  <c r="Y46" i="83"/>
  <c r="Y33" i="83"/>
  <c r="Y32" i="83"/>
  <c r="Y36" i="83"/>
  <c r="AH6" i="83"/>
  <c r="AH53" i="83"/>
  <c r="AH44" i="83"/>
  <c r="AH20" i="83"/>
  <c r="AH50" i="83"/>
  <c r="AH14" i="83"/>
  <c r="AH28" i="83"/>
  <c r="AH22" i="83"/>
  <c r="AH35" i="83"/>
  <c r="AH23" i="83"/>
  <c r="AH12" i="83"/>
  <c r="AH8" i="83"/>
  <c r="AH39" i="83"/>
  <c r="AH49" i="83"/>
  <c r="AH52" i="83"/>
  <c r="AH43" i="83"/>
  <c r="AH30" i="83"/>
  <c r="AH27" i="83"/>
  <c r="AH45" i="83"/>
  <c r="AH40" i="83"/>
  <c r="AH19" i="83"/>
  <c r="AH51" i="83"/>
  <c r="AH18" i="83"/>
  <c r="AH10" i="83"/>
  <c r="AH17" i="83"/>
  <c r="AH42" i="83"/>
  <c r="AH7" i="83"/>
  <c r="AH13" i="83"/>
  <c r="AH48" i="83"/>
  <c r="AH15" i="83"/>
  <c r="AH25" i="83"/>
  <c r="AH34" i="83"/>
  <c r="AH26" i="83"/>
  <c r="AH9" i="83"/>
  <c r="AH32" i="83"/>
  <c r="AH38" i="83"/>
  <c r="AH33" i="83"/>
  <c r="AH16" i="83"/>
  <c r="AH47" i="83"/>
  <c r="AH29" i="83"/>
  <c r="AH36" i="83"/>
  <c r="AH11" i="83"/>
  <c r="AH37" i="83"/>
  <c r="AH41" i="83"/>
  <c r="AH21" i="83"/>
  <c r="AH46" i="83"/>
  <c r="AH31" i="83"/>
  <c r="AH24" i="83"/>
  <c r="Z50" i="83"/>
  <c r="Z14" i="83"/>
  <c r="Z12" i="83"/>
  <c r="Z20" i="83"/>
  <c r="Z28" i="83"/>
  <c r="Z22" i="83"/>
  <c r="Z35" i="83"/>
  <c r="Z23" i="83"/>
  <c r="Z17" i="83"/>
  <c r="Z27" i="83"/>
  <c r="Z8" i="83"/>
  <c r="Z39" i="83"/>
  <c r="Z52" i="83"/>
  <c r="Z53" i="83"/>
  <c r="Z43" i="83"/>
  <c r="Z6" i="83"/>
  <c r="Z44" i="83"/>
  <c r="Z45" i="83"/>
  <c r="Z40" i="83"/>
  <c r="Z19" i="83"/>
  <c r="Z51" i="83"/>
  <c r="Z18" i="83"/>
  <c r="Z10" i="83"/>
  <c r="Z42" i="83"/>
  <c r="Z7" i="83"/>
  <c r="Z13" i="83"/>
  <c r="Z38" i="83"/>
  <c r="Z48" i="83"/>
  <c r="Z15" i="83"/>
  <c r="Z25" i="83"/>
  <c r="Z49" i="83"/>
  <c r="Z26" i="83"/>
  <c r="Z9" i="83"/>
  <c r="Z47" i="83"/>
  <c r="Z30" i="83"/>
  <c r="Z33" i="83"/>
  <c r="Z29" i="83"/>
  <c r="Z36" i="83"/>
  <c r="Z11" i="83"/>
  <c r="Z34" i="83"/>
  <c r="Z16" i="83"/>
  <c r="Z41" i="83"/>
  <c r="Z21" i="83"/>
  <c r="Z46" i="83"/>
  <c r="Z37" i="83"/>
  <c r="Z32" i="83"/>
  <c r="Z24" i="83"/>
  <c r="Z31" i="83"/>
  <c r="W20" i="83"/>
  <c r="W7" i="83"/>
  <c r="W12" i="83"/>
  <c r="W52" i="83"/>
  <c r="W22" i="83"/>
  <c r="W35" i="83"/>
  <c r="W43" i="83"/>
  <c r="W8" i="83"/>
  <c r="W40" i="83"/>
  <c r="W53" i="83"/>
  <c r="W44" i="83"/>
  <c r="W26" i="83"/>
  <c r="W48" i="83"/>
  <c r="W39" i="83"/>
  <c r="W50" i="83"/>
  <c r="W30" i="83"/>
  <c r="W23" i="83"/>
  <c r="W49" i="83"/>
  <c r="W19" i="83"/>
  <c r="W45" i="83"/>
  <c r="W10" i="83"/>
  <c r="W6" i="83"/>
  <c r="W13" i="83"/>
  <c r="W14" i="83"/>
  <c r="W28" i="83"/>
  <c r="W15" i="83"/>
  <c r="W51" i="83"/>
  <c r="W18" i="83"/>
  <c r="W9" i="83"/>
  <c r="W16" i="83"/>
  <c r="W27" i="83"/>
  <c r="W25" i="83"/>
  <c r="W47" i="83"/>
  <c r="W46" i="83"/>
  <c r="W41" i="83"/>
  <c r="W32" i="83"/>
  <c r="W36" i="83"/>
  <c r="W24" i="83"/>
  <c r="W17" i="83"/>
  <c r="W33" i="83"/>
  <c r="W29" i="83"/>
  <c r="W21" i="83"/>
  <c r="W11" i="83"/>
  <c r="W37" i="83"/>
  <c r="W38" i="83"/>
  <c r="W34" i="83"/>
  <c r="W42" i="83"/>
  <c r="W31" i="83"/>
  <c r="BC22" i="83"/>
  <c r="BC43" i="83"/>
  <c r="BC45" i="83"/>
  <c r="BC8" i="83"/>
  <c r="BC12" i="83"/>
  <c r="BC40" i="83"/>
  <c r="BC53" i="83"/>
  <c r="BC44" i="83"/>
  <c r="BC26" i="83"/>
  <c r="BC48" i="83"/>
  <c r="BC39" i="83"/>
  <c r="BC50" i="83"/>
  <c r="BC30" i="83"/>
  <c r="BC35" i="83"/>
  <c r="BC20" i="83"/>
  <c r="BC7" i="83"/>
  <c r="BC52" i="83"/>
  <c r="BC13" i="83"/>
  <c r="BC14" i="83"/>
  <c r="BC15" i="83"/>
  <c r="BC51" i="83"/>
  <c r="BC9" i="83"/>
  <c r="BC17" i="83"/>
  <c r="BC42" i="83"/>
  <c r="BC33" i="83"/>
  <c r="BC23" i="83"/>
  <c r="BC49" i="83"/>
  <c r="BC37" i="83"/>
  <c r="BC19" i="83"/>
  <c r="BC29" i="83"/>
  <c r="BC10" i="83"/>
  <c r="BC21" i="83"/>
  <c r="BC11" i="83"/>
  <c r="BC38" i="83"/>
  <c r="BC24" i="83"/>
  <c r="BC18" i="83"/>
  <c r="BC34" i="83"/>
  <c r="BC6" i="83"/>
  <c r="BC27" i="83"/>
  <c r="BC25" i="83"/>
  <c r="BC47" i="83"/>
  <c r="BC46" i="83"/>
  <c r="BC41" i="83"/>
  <c r="BC31" i="83"/>
  <c r="BC28" i="83"/>
  <c r="BC32" i="83"/>
  <c r="BC36" i="83"/>
  <c r="BC16" i="83"/>
  <c r="AF43" i="83"/>
  <c r="AF12" i="83"/>
  <c r="AF48" i="83"/>
  <c r="AF52" i="83"/>
  <c r="AF50" i="83"/>
  <c r="AF30" i="83"/>
  <c r="AF39" i="83"/>
  <c r="AF53" i="83"/>
  <c r="AF8" i="83"/>
  <c r="AF51" i="83"/>
  <c r="AF6" i="83"/>
  <c r="AF35" i="83"/>
  <c r="AF20" i="83"/>
  <c r="AF22" i="83"/>
  <c r="AF44" i="83"/>
  <c r="AF42" i="83"/>
  <c r="AF7" i="83"/>
  <c r="AF13" i="83"/>
  <c r="AF34" i="83"/>
  <c r="AF26" i="83"/>
  <c r="AF15" i="83"/>
  <c r="AF23" i="83"/>
  <c r="AF38" i="83"/>
  <c r="AF19" i="83"/>
  <c r="AF17" i="83"/>
  <c r="AF18" i="83"/>
  <c r="AF49" i="83"/>
  <c r="AF45" i="83"/>
  <c r="AF14" i="83"/>
  <c r="AF9" i="83"/>
  <c r="AF40" i="83"/>
  <c r="AF36" i="83"/>
  <c r="AF33" i="83"/>
  <c r="AF11" i="83"/>
  <c r="AF27" i="83"/>
  <c r="AF25" i="83"/>
  <c r="AF10" i="83"/>
  <c r="AF21" i="83"/>
  <c r="AF46" i="83"/>
  <c r="AF28" i="83"/>
  <c r="AF32" i="83"/>
  <c r="AF47" i="83"/>
  <c r="AF41" i="83"/>
  <c r="AF29" i="83"/>
  <c r="AF37" i="83"/>
  <c r="AF31" i="83"/>
  <c r="AF24" i="83"/>
  <c r="AF16" i="83"/>
  <c r="BH6" i="83"/>
  <c r="BH48" i="83"/>
  <c r="BH39" i="83"/>
  <c r="BH35" i="83"/>
  <c r="BH53" i="83"/>
  <c r="BH10" i="83"/>
  <c r="BH20" i="83"/>
  <c r="BH43" i="83"/>
  <c r="BH46" i="83"/>
  <c r="BH12" i="83"/>
  <c r="BH52" i="83"/>
  <c r="BH22" i="83"/>
  <c r="BH19" i="83"/>
  <c r="BH23" i="83"/>
  <c r="BH50" i="83"/>
  <c r="BH44" i="83"/>
  <c r="BH8" i="83"/>
  <c r="BH18" i="83"/>
  <c r="BH14" i="83"/>
  <c r="BH30" i="83"/>
  <c r="BH36" i="83"/>
  <c r="BH28" i="83"/>
  <c r="BH13" i="83"/>
  <c r="BH51" i="83"/>
  <c r="BH42" i="83"/>
  <c r="BH45" i="83"/>
  <c r="BH40" i="83"/>
  <c r="BH7" i="83"/>
  <c r="BH17" i="83"/>
  <c r="BH49" i="83"/>
  <c r="BH15" i="83"/>
  <c r="BH27" i="83"/>
  <c r="BH31" i="83"/>
  <c r="BH26" i="83"/>
  <c r="BH11" i="83"/>
  <c r="BH33" i="83"/>
  <c r="BH37" i="83"/>
  <c r="BH9" i="83"/>
  <c r="BH29" i="83"/>
  <c r="BH47" i="83"/>
  <c r="BH24" i="83"/>
  <c r="BH41" i="83"/>
  <c r="BH38" i="83"/>
  <c r="BH32" i="83"/>
  <c r="BH34" i="83"/>
  <c r="BH21" i="83"/>
  <c r="BH16" i="83"/>
  <c r="BH25" i="83"/>
  <c r="V43" i="83"/>
  <c r="V53" i="83"/>
  <c r="V12" i="83"/>
  <c r="V40" i="83"/>
  <c r="V39" i="83"/>
  <c r="V6" i="83"/>
  <c r="V22" i="83"/>
  <c r="V20" i="83"/>
  <c r="V8" i="83"/>
  <c r="V35" i="83"/>
  <c r="V7" i="83"/>
  <c r="V15" i="83"/>
  <c r="V44" i="83"/>
  <c r="V50" i="83"/>
  <c r="V52" i="83"/>
  <c r="V45" i="83"/>
  <c r="V18" i="83"/>
  <c r="V14" i="83"/>
  <c r="V30" i="83"/>
  <c r="V29" i="83"/>
  <c r="V10" i="83"/>
  <c r="V13" i="83"/>
  <c r="V21" i="83"/>
  <c r="V9" i="83"/>
  <c r="V17" i="83"/>
  <c r="V23" i="83"/>
  <c r="V49" i="83"/>
  <c r="V51" i="83"/>
  <c r="V42" i="83"/>
  <c r="V48" i="83"/>
  <c r="V19" i="83"/>
  <c r="V37" i="83"/>
  <c r="V47" i="83"/>
  <c r="V16" i="83"/>
  <c r="V41" i="83"/>
  <c r="V38" i="83"/>
  <c r="V32" i="83"/>
  <c r="V36" i="83"/>
  <c r="V24" i="83"/>
  <c r="V34" i="83"/>
  <c r="V46" i="83"/>
  <c r="V11" i="83"/>
  <c r="V27" i="83"/>
  <c r="V25" i="83"/>
  <c r="V33" i="83"/>
  <c r="V26" i="83"/>
  <c r="V28" i="83"/>
  <c r="V31" i="83"/>
  <c r="AU8" i="83"/>
  <c r="AU35" i="83"/>
  <c r="AU53" i="83"/>
  <c r="AU44" i="83"/>
  <c r="AU26" i="83"/>
  <c r="AU48" i="83"/>
  <c r="AU39" i="83"/>
  <c r="AU50" i="83"/>
  <c r="AU30" i="83"/>
  <c r="AU12" i="83"/>
  <c r="AU20" i="83"/>
  <c r="AU7" i="83"/>
  <c r="AU52" i="83"/>
  <c r="AU22" i="83"/>
  <c r="AU43" i="83"/>
  <c r="AU6" i="83"/>
  <c r="AU45" i="83"/>
  <c r="AU28" i="83"/>
  <c r="AU15" i="83"/>
  <c r="AU40" i="83"/>
  <c r="AU9" i="83"/>
  <c r="AU17" i="83"/>
  <c r="AU42" i="83"/>
  <c r="AU33" i="83"/>
  <c r="AU16" i="83"/>
  <c r="AU23" i="83"/>
  <c r="AU49" i="83"/>
  <c r="AU19" i="83"/>
  <c r="AU29" i="83"/>
  <c r="AU10" i="83"/>
  <c r="AU18" i="83"/>
  <c r="AU31" i="83"/>
  <c r="AU34" i="83"/>
  <c r="AU24" i="83"/>
  <c r="AU27" i="83"/>
  <c r="AU14" i="83"/>
  <c r="AU25" i="83"/>
  <c r="AU47" i="83"/>
  <c r="AU51" i="83"/>
  <c r="AU37" i="83"/>
  <c r="AU46" i="83"/>
  <c r="AU41" i="83"/>
  <c r="AU32" i="83"/>
  <c r="AU36" i="83"/>
  <c r="AU13" i="83"/>
  <c r="AU21" i="83"/>
  <c r="AU11" i="83"/>
  <c r="AU38" i="83"/>
  <c r="BL20" i="83"/>
  <c r="BL48" i="83"/>
  <c r="BL26" i="83"/>
  <c r="BL52" i="83"/>
  <c r="BL30" i="83"/>
  <c r="BL22" i="83"/>
  <c r="BL8" i="83"/>
  <c r="BL39" i="83"/>
  <c r="BL53" i="83"/>
  <c r="BL51" i="83"/>
  <c r="BL6" i="83"/>
  <c r="BL35" i="83"/>
  <c r="BL44" i="83"/>
  <c r="BL42" i="83"/>
  <c r="BL43" i="83"/>
  <c r="BL50" i="83"/>
  <c r="BL12" i="83"/>
  <c r="BL38" i="83"/>
  <c r="BL19" i="83"/>
  <c r="BL17" i="83"/>
  <c r="BL45" i="83"/>
  <c r="BL14" i="83"/>
  <c r="BL40" i="83"/>
  <c r="BL10" i="83"/>
  <c r="BL28" i="83"/>
  <c r="BL7" i="83"/>
  <c r="BL13" i="83"/>
  <c r="BL34" i="83"/>
  <c r="BL15" i="83"/>
  <c r="BL33" i="83"/>
  <c r="BL23" i="83"/>
  <c r="BL32" i="83"/>
  <c r="BL47" i="83"/>
  <c r="BL41" i="83"/>
  <c r="BL29" i="83"/>
  <c r="BL9" i="83"/>
  <c r="BL36" i="83"/>
  <c r="BL49" i="83"/>
  <c r="BL11" i="83"/>
  <c r="BL27" i="83"/>
  <c r="BL25" i="83"/>
  <c r="BL18" i="83"/>
  <c r="BL21" i="83"/>
  <c r="BL46" i="83"/>
  <c r="BL31" i="83"/>
  <c r="BL24" i="83"/>
  <c r="BL16" i="83"/>
  <c r="BL37" i="83"/>
  <c r="AP43" i="83"/>
  <c r="AP53" i="83"/>
  <c r="AP6" i="83"/>
  <c r="AP44" i="83"/>
  <c r="AP50" i="83"/>
  <c r="AP14" i="83"/>
  <c r="AP20" i="83"/>
  <c r="AP22" i="83"/>
  <c r="AP35" i="83"/>
  <c r="AP23" i="83"/>
  <c r="AP17" i="83"/>
  <c r="AP27" i="83"/>
  <c r="AP12" i="83"/>
  <c r="AP8" i="83"/>
  <c r="AP39" i="83"/>
  <c r="AP49" i="83"/>
  <c r="AP52" i="83"/>
  <c r="AP26" i="83"/>
  <c r="AP9" i="83"/>
  <c r="AP47" i="83"/>
  <c r="AP30" i="83"/>
  <c r="AP45" i="83"/>
  <c r="AP40" i="83"/>
  <c r="AP19" i="83"/>
  <c r="AP51" i="83"/>
  <c r="AP18" i="83"/>
  <c r="AP10" i="83"/>
  <c r="AP42" i="83"/>
  <c r="AP7" i="83"/>
  <c r="AP13" i="83"/>
  <c r="AP38" i="83"/>
  <c r="AP28" i="83"/>
  <c r="AP48" i="83"/>
  <c r="AP25" i="83"/>
  <c r="AP21" i="83"/>
  <c r="AP46" i="83"/>
  <c r="AP32" i="83"/>
  <c r="AP15" i="83"/>
  <c r="AP33" i="83"/>
  <c r="AP16" i="83"/>
  <c r="AP29" i="83"/>
  <c r="AP36" i="83"/>
  <c r="AP11" i="83"/>
  <c r="AP34" i="83"/>
  <c r="AP37" i="83"/>
  <c r="AP41" i="83"/>
  <c r="AP31" i="83"/>
  <c r="AP24" i="83"/>
  <c r="BD52" i="83"/>
  <c r="BD39" i="83"/>
  <c r="BD53" i="83"/>
  <c r="BD51" i="83"/>
  <c r="BD6" i="83"/>
  <c r="BD35" i="83"/>
  <c r="BD44" i="83"/>
  <c r="BD42" i="83"/>
  <c r="BD8" i="83"/>
  <c r="BD43" i="83"/>
  <c r="BD50" i="83"/>
  <c r="BD12" i="83"/>
  <c r="BD22" i="83"/>
  <c r="BD20" i="83"/>
  <c r="BD48" i="83"/>
  <c r="BD26" i="83"/>
  <c r="BD18" i="83"/>
  <c r="BD49" i="83"/>
  <c r="BD45" i="83"/>
  <c r="BD40" i="83"/>
  <c r="BD10" i="83"/>
  <c r="BD28" i="83"/>
  <c r="BD7" i="83"/>
  <c r="BD13" i="83"/>
  <c r="BD34" i="83"/>
  <c r="BD15" i="83"/>
  <c r="BD33" i="83"/>
  <c r="BD23" i="83"/>
  <c r="BD30" i="83"/>
  <c r="BD38" i="83"/>
  <c r="BD41" i="83"/>
  <c r="BD29" i="83"/>
  <c r="BD17" i="83"/>
  <c r="BD9" i="83"/>
  <c r="BD14" i="83"/>
  <c r="BD36" i="83"/>
  <c r="BD11" i="83"/>
  <c r="BD27" i="83"/>
  <c r="BD25" i="83"/>
  <c r="BD19" i="83"/>
  <c r="BD21" i="83"/>
  <c r="BD46" i="83"/>
  <c r="BD32" i="83"/>
  <c r="BD47" i="83"/>
  <c r="BD24" i="83"/>
  <c r="BD31" i="83"/>
  <c r="BD16" i="83"/>
  <c r="BD37" i="83"/>
  <c r="J50" i="83"/>
  <c r="J14" i="83"/>
  <c r="J12" i="83"/>
  <c r="J20" i="83"/>
  <c r="J22" i="83"/>
  <c r="J35" i="83"/>
  <c r="J23" i="83"/>
  <c r="J17" i="83"/>
  <c r="J8" i="83"/>
  <c r="J39" i="83"/>
  <c r="J49" i="83"/>
  <c r="J52" i="83"/>
  <c r="J36" i="83"/>
  <c r="J43" i="83"/>
  <c r="J44" i="83"/>
  <c r="J53" i="83"/>
  <c r="J27" i="83"/>
  <c r="J40" i="83"/>
  <c r="J19" i="83"/>
  <c r="J51" i="83"/>
  <c r="J42" i="83"/>
  <c r="J7" i="83"/>
  <c r="J13" i="83"/>
  <c r="J48" i="83"/>
  <c r="J15" i="83"/>
  <c r="J25" i="83"/>
  <c r="J26" i="83"/>
  <c r="J9" i="83"/>
  <c r="J47" i="83"/>
  <c r="J30" i="83"/>
  <c r="J41" i="83"/>
  <c r="J28" i="83"/>
  <c r="J16" i="83"/>
  <c r="J11" i="83"/>
  <c r="J18" i="83"/>
  <c r="J34" i="83"/>
  <c r="J45" i="83"/>
  <c r="J21" i="83"/>
  <c r="J46" i="83"/>
  <c r="J10" i="83"/>
  <c r="J37" i="83"/>
  <c r="J32" i="83"/>
  <c r="J33" i="83"/>
  <c r="J38" i="83"/>
  <c r="J29" i="83"/>
  <c r="J31" i="83"/>
  <c r="J24" i="83"/>
  <c r="BF8" i="83"/>
  <c r="BF39" i="83"/>
  <c r="BF49" i="83"/>
  <c r="BF52" i="83"/>
  <c r="BF43" i="83"/>
  <c r="BF53" i="83"/>
  <c r="BF6" i="83"/>
  <c r="BF44" i="83"/>
  <c r="BF12" i="83"/>
  <c r="BF14" i="83"/>
  <c r="BF50" i="83"/>
  <c r="BF20" i="83"/>
  <c r="BF22" i="83"/>
  <c r="BF35" i="83"/>
  <c r="BF23" i="83"/>
  <c r="BF17" i="83"/>
  <c r="BF28" i="83"/>
  <c r="BF42" i="83"/>
  <c r="BF7" i="83"/>
  <c r="BF13" i="83"/>
  <c r="BF48" i="83"/>
  <c r="BF15" i="83"/>
  <c r="BF26" i="83"/>
  <c r="BF47" i="83"/>
  <c r="BF27" i="83"/>
  <c r="BF30" i="83"/>
  <c r="BF16" i="83"/>
  <c r="BF45" i="83"/>
  <c r="BF40" i="83"/>
  <c r="BF19" i="83"/>
  <c r="BF51" i="83"/>
  <c r="BF41" i="83"/>
  <c r="BF25" i="83"/>
  <c r="BF18" i="83"/>
  <c r="BF21" i="83"/>
  <c r="BF46" i="83"/>
  <c r="BF38" i="83"/>
  <c r="BF32" i="83"/>
  <c r="BF33" i="83"/>
  <c r="BF37" i="83"/>
  <c r="BF9" i="83"/>
  <c r="BF29" i="83"/>
  <c r="BF36" i="83"/>
  <c r="BF10" i="83"/>
  <c r="BF11" i="83"/>
  <c r="BF34" i="83"/>
  <c r="BF31" i="83"/>
  <c r="BF24" i="83"/>
  <c r="BS52" i="83"/>
  <c r="BS22" i="83"/>
  <c r="BS43" i="83"/>
  <c r="BS35" i="83"/>
  <c r="BS45" i="83"/>
  <c r="BS8" i="83"/>
  <c r="BS40" i="83"/>
  <c r="BS53" i="83"/>
  <c r="BS44" i="83"/>
  <c r="BS48" i="83"/>
  <c r="BS39" i="83"/>
  <c r="BS50" i="83"/>
  <c r="BS12" i="83"/>
  <c r="BS30" i="83"/>
  <c r="BS20" i="83"/>
  <c r="BS26" i="83"/>
  <c r="BS10" i="83"/>
  <c r="BS7" i="83"/>
  <c r="BS13" i="83"/>
  <c r="BS14" i="83"/>
  <c r="BS28" i="83"/>
  <c r="BS6" i="83"/>
  <c r="BS15" i="83"/>
  <c r="BS51" i="83"/>
  <c r="BS18" i="83"/>
  <c r="BS9" i="83"/>
  <c r="BS17" i="83"/>
  <c r="BS42" i="83"/>
  <c r="BS33" i="83"/>
  <c r="BS23" i="83"/>
  <c r="BS49" i="83"/>
  <c r="BS19" i="83"/>
  <c r="BS46" i="83"/>
  <c r="BS41" i="83"/>
  <c r="BS21" i="83"/>
  <c r="BS32" i="83"/>
  <c r="BS36" i="83"/>
  <c r="BS11" i="83"/>
  <c r="BS38" i="83"/>
  <c r="BS34" i="83"/>
  <c r="BS37" i="83"/>
  <c r="BS24" i="83"/>
  <c r="BS31" i="83"/>
  <c r="BS16" i="83"/>
  <c r="BS29" i="83"/>
  <c r="BS27" i="83"/>
  <c r="BS25" i="83"/>
  <c r="BS47" i="83"/>
  <c r="AX52" i="83"/>
  <c r="AX43" i="83"/>
  <c r="AX53" i="83"/>
  <c r="AX6" i="83"/>
  <c r="AX44" i="83"/>
  <c r="AX20" i="83"/>
  <c r="AX12" i="83"/>
  <c r="AX50" i="83"/>
  <c r="AX28" i="83"/>
  <c r="AX22" i="83"/>
  <c r="AX35" i="83"/>
  <c r="AX23" i="83"/>
  <c r="AX17" i="83"/>
  <c r="AX8" i="83"/>
  <c r="AX39" i="83"/>
  <c r="AX49" i="83"/>
  <c r="AX48" i="83"/>
  <c r="AX15" i="83"/>
  <c r="AX25" i="83"/>
  <c r="AX26" i="83"/>
  <c r="AX27" i="83"/>
  <c r="AX30" i="83"/>
  <c r="AX41" i="83"/>
  <c r="AX45" i="83"/>
  <c r="AX40" i="83"/>
  <c r="AX19" i="83"/>
  <c r="AX51" i="83"/>
  <c r="AX18" i="83"/>
  <c r="AX10" i="83"/>
  <c r="AX14" i="83"/>
  <c r="AX42" i="83"/>
  <c r="AX13" i="83"/>
  <c r="AX7" i="83"/>
  <c r="AX21" i="83"/>
  <c r="AX46" i="83"/>
  <c r="AX38" i="83"/>
  <c r="AX24" i="83"/>
  <c r="AX32" i="83"/>
  <c r="AX47" i="83"/>
  <c r="AX33" i="83"/>
  <c r="AX9" i="83"/>
  <c r="AX37" i="83"/>
  <c r="AX29" i="83"/>
  <c r="AX36" i="83"/>
  <c r="AX11" i="83"/>
  <c r="AX34" i="83"/>
  <c r="AX31" i="83"/>
  <c r="AX16" i="83"/>
  <c r="BA53" i="83"/>
  <c r="BA39" i="83"/>
  <c r="BA23" i="83"/>
  <c r="BA19" i="83"/>
  <c r="BA22" i="83"/>
  <c r="BA48" i="83"/>
  <c r="BA18" i="83"/>
  <c r="BA50" i="83"/>
  <c r="BA12" i="83"/>
  <c r="BA20" i="83"/>
  <c r="BA8" i="83"/>
  <c r="BA7" i="83"/>
  <c r="BA44" i="83"/>
  <c r="BA52" i="83"/>
  <c r="BA9" i="83"/>
  <c r="BA6" i="83"/>
  <c r="BA35" i="83"/>
  <c r="BA14" i="83"/>
  <c r="BA28" i="83"/>
  <c r="BA26" i="83"/>
  <c r="BA15" i="83"/>
  <c r="BA30" i="83"/>
  <c r="BA43" i="83"/>
  <c r="BA13" i="83"/>
  <c r="BA45" i="83"/>
  <c r="BA36" i="83"/>
  <c r="BA51" i="83"/>
  <c r="BA40" i="83"/>
  <c r="BA21" i="83"/>
  <c r="BA10" i="83"/>
  <c r="BA17" i="83"/>
  <c r="BA42" i="83"/>
  <c r="BA46" i="83"/>
  <c r="BA49" i="83"/>
  <c r="BA27" i="83"/>
  <c r="BA25" i="83"/>
  <c r="BA47" i="83"/>
  <c r="BA37" i="83"/>
  <c r="BA41" i="83"/>
  <c r="BA29" i="83"/>
  <c r="BA16" i="83"/>
  <c r="BA32" i="83"/>
  <c r="BA31" i="83"/>
  <c r="BA38" i="83"/>
  <c r="BA24" i="83"/>
  <c r="BA11" i="83"/>
  <c r="BA34" i="83"/>
  <c r="BA33" i="83"/>
  <c r="AB53" i="83"/>
  <c r="AB10" i="83"/>
  <c r="AB13" i="83"/>
  <c r="AB43" i="83"/>
  <c r="AB12" i="83"/>
  <c r="AB52" i="83"/>
  <c r="AB22" i="83"/>
  <c r="AB19" i="83"/>
  <c r="AB23" i="83"/>
  <c r="AB50" i="83"/>
  <c r="AB20" i="83"/>
  <c r="AB8" i="83"/>
  <c r="AB18" i="83"/>
  <c r="AB44" i="83"/>
  <c r="AB6" i="83"/>
  <c r="AB48" i="83"/>
  <c r="AB39" i="83"/>
  <c r="AB35" i="83"/>
  <c r="AB42" i="83"/>
  <c r="AB45" i="83"/>
  <c r="AB49" i="83"/>
  <c r="AB15" i="83"/>
  <c r="AB17" i="83"/>
  <c r="AB26" i="83"/>
  <c r="AB32" i="83"/>
  <c r="AB14" i="83"/>
  <c r="AB30" i="83"/>
  <c r="AB36" i="83"/>
  <c r="AB28" i="83"/>
  <c r="AB11" i="83"/>
  <c r="AB46" i="83"/>
  <c r="AB34" i="83"/>
  <c r="AB21" i="83"/>
  <c r="AB51" i="83"/>
  <c r="AB7" i="83"/>
  <c r="AB31" i="83"/>
  <c r="AB27" i="83"/>
  <c r="AB25" i="83"/>
  <c r="AB33" i="83"/>
  <c r="AB9" i="83"/>
  <c r="AB40" i="83"/>
  <c r="AB29" i="83"/>
  <c r="AB24" i="83"/>
  <c r="AB47" i="83"/>
  <c r="AB16" i="83"/>
  <c r="AB37" i="83"/>
  <c r="AB41" i="83"/>
  <c r="AB38" i="83"/>
  <c r="AD39" i="83"/>
  <c r="AD44" i="83"/>
  <c r="AD50" i="83"/>
  <c r="AD45" i="83"/>
  <c r="AD43" i="83"/>
  <c r="AD53" i="83"/>
  <c r="AD12" i="83"/>
  <c r="AD40" i="83"/>
  <c r="AD6" i="83"/>
  <c r="AD22" i="83"/>
  <c r="AD52" i="83"/>
  <c r="AD20" i="83"/>
  <c r="AD35" i="83"/>
  <c r="AD7" i="83"/>
  <c r="AD9" i="83"/>
  <c r="AD19" i="83"/>
  <c r="AD26" i="83"/>
  <c r="AD14" i="83"/>
  <c r="AD10" i="83"/>
  <c r="AD28" i="83"/>
  <c r="AD18" i="83"/>
  <c r="AD8" i="83"/>
  <c r="AD13" i="83"/>
  <c r="AD15" i="83"/>
  <c r="AD17" i="83"/>
  <c r="AD23" i="83"/>
  <c r="AD49" i="83"/>
  <c r="AD51" i="83"/>
  <c r="AD42" i="83"/>
  <c r="AD21" i="83"/>
  <c r="AD24" i="83"/>
  <c r="AD30" i="83"/>
  <c r="AD37" i="83"/>
  <c r="AD47" i="83"/>
  <c r="AD16" i="83"/>
  <c r="AD41" i="83"/>
  <c r="AD38" i="83"/>
  <c r="AD48" i="83"/>
  <c r="AD32" i="83"/>
  <c r="AD36" i="83"/>
  <c r="AD34" i="83"/>
  <c r="AD46" i="83"/>
  <c r="AD11" i="83"/>
  <c r="AD27" i="83"/>
  <c r="AD25" i="83"/>
  <c r="AD33" i="83"/>
  <c r="AD29" i="83"/>
  <c r="AD31" i="83"/>
  <c r="AL52" i="83"/>
  <c r="AL44" i="83"/>
  <c r="AL50" i="83"/>
  <c r="AL45" i="83"/>
  <c r="AL43" i="83"/>
  <c r="AL53" i="83"/>
  <c r="AL20" i="83"/>
  <c r="AL39" i="83"/>
  <c r="AL12" i="83"/>
  <c r="AL40" i="83"/>
  <c r="AL6" i="83"/>
  <c r="AL23" i="83"/>
  <c r="AL22" i="83"/>
  <c r="AL8" i="83"/>
  <c r="AL35" i="83"/>
  <c r="AL7" i="83"/>
  <c r="AL15" i="83"/>
  <c r="AL42" i="83"/>
  <c r="AL48" i="83"/>
  <c r="AL19" i="83"/>
  <c r="AL14" i="83"/>
  <c r="AL30" i="83"/>
  <c r="AL29" i="83"/>
  <c r="AL10" i="83"/>
  <c r="AL28" i="83"/>
  <c r="AL18" i="83"/>
  <c r="AL13" i="83"/>
  <c r="AL21" i="83"/>
  <c r="AL9" i="83"/>
  <c r="AL17" i="83"/>
  <c r="AL49" i="83"/>
  <c r="AL16" i="83"/>
  <c r="AL31" i="83"/>
  <c r="AL47" i="83"/>
  <c r="AL37" i="83"/>
  <c r="AL41" i="83"/>
  <c r="AL38" i="83"/>
  <c r="AL32" i="83"/>
  <c r="AL36" i="83"/>
  <c r="AL34" i="83"/>
  <c r="AL51" i="83"/>
  <c r="AL46" i="83"/>
  <c r="AL11" i="83"/>
  <c r="AL27" i="83"/>
  <c r="AL26" i="83"/>
  <c r="AL24" i="83"/>
  <c r="AL25" i="83"/>
  <c r="AL33" i="83"/>
  <c r="N6" i="83"/>
  <c r="N22" i="83"/>
  <c r="N8" i="83"/>
  <c r="N35" i="83"/>
  <c r="N7" i="83"/>
  <c r="N39" i="83"/>
  <c r="N20" i="83"/>
  <c r="N9" i="83"/>
  <c r="N44" i="83"/>
  <c r="N50" i="83"/>
  <c r="N52" i="83"/>
  <c r="N45" i="83"/>
  <c r="N43" i="83"/>
  <c r="N53" i="83"/>
  <c r="N12" i="83"/>
  <c r="N40" i="83"/>
  <c r="N10" i="83"/>
  <c r="N28" i="83"/>
  <c r="N13" i="83"/>
  <c r="N17" i="83"/>
  <c r="N15" i="83"/>
  <c r="N23" i="83"/>
  <c r="N49" i="83"/>
  <c r="N51" i="83"/>
  <c r="N42" i="83"/>
  <c r="N48" i="83"/>
  <c r="N19" i="83"/>
  <c r="N26" i="83"/>
  <c r="N46" i="83"/>
  <c r="N18" i="83"/>
  <c r="N30" i="83"/>
  <c r="N47" i="83"/>
  <c r="N41" i="83"/>
  <c r="N38" i="83"/>
  <c r="N32" i="83"/>
  <c r="N36" i="83"/>
  <c r="N34" i="83"/>
  <c r="N11" i="83"/>
  <c r="N27" i="83"/>
  <c r="N37" i="83"/>
  <c r="N25" i="83"/>
  <c r="N33" i="83"/>
  <c r="N24" i="83"/>
  <c r="N14" i="83"/>
  <c r="N29" i="83"/>
  <c r="N21" i="83"/>
  <c r="N16" i="83"/>
  <c r="N31" i="83"/>
  <c r="U50" i="83"/>
  <c r="U12" i="83"/>
  <c r="U20" i="83"/>
  <c r="U15" i="83"/>
  <c r="U7" i="83"/>
  <c r="U44" i="83"/>
  <c r="U52" i="83"/>
  <c r="U9" i="83"/>
  <c r="U53" i="83"/>
  <c r="U6" i="83"/>
  <c r="U8" i="83"/>
  <c r="U35" i="83"/>
  <c r="U22" i="83"/>
  <c r="U39" i="83"/>
  <c r="U23" i="83"/>
  <c r="U48" i="83"/>
  <c r="U18" i="83"/>
  <c r="U13" i="83"/>
  <c r="U45" i="83"/>
  <c r="U51" i="83"/>
  <c r="U17" i="83"/>
  <c r="U42" i="83"/>
  <c r="U46" i="83"/>
  <c r="U49" i="83"/>
  <c r="U10" i="83"/>
  <c r="U14" i="83"/>
  <c r="U28" i="83"/>
  <c r="U26" i="83"/>
  <c r="U19" i="83"/>
  <c r="U37" i="83"/>
  <c r="U21" i="83"/>
  <c r="U30" i="83"/>
  <c r="U16" i="83"/>
  <c r="U38" i="83"/>
  <c r="U40" i="83"/>
  <c r="U32" i="83"/>
  <c r="U36" i="83"/>
  <c r="U11" i="83"/>
  <c r="U34" i="83"/>
  <c r="U33" i="83"/>
  <c r="U27" i="83"/>
  <c r="U25" i="83"/>
  <c r="U47" i="83"/>
  <c r="U43" i="83"/>
  <c r="U31" i="83"/>
  <c r="U41" i="83"/>
  <c r="U29" i="83"/>
  <c r="U24" i="83"/>
  <c r="X43" i="83"/>
  <c r="X12" i="83"/>
  <c r="X48" i="83"/>
  <c r="X20" i="83"/>
  <c r="X26" i="83"/>
  <c r="X52" i="83"/>
  <c r="X50" i="83"/>
  <c r="X22" i="83"/>
  <c r="X39" i="83"/>
  <c r="X8" i="83"/>
  <c r="X53" i="83"/>
  <c r="X51" i="83"/>
  <c r="X38" i="83"/>
  <c r="X6" i="83"/>
  <c r="X35" i="83"/>
  <c r="X44" i="83"/>
  <c r="X42" i="83"/>
  <c r="X15" i="83"/>
  <c r="X33" i="83"/>
  <c r="X23" i="83"/>
  <c r="X19" i="83"/>
  <c r="X17" i="83"/>
  <c r="X18" i="83"/>
  <c r="X49" i="83"/>
  <c r="X30" i="83"/>
  <c r="X45" i="83"/>
  <c r="X14" i="83"/>
  <c r="X40" i="83"/>
  <c r="X10" i="83"/>
  <c r="X28" i="83"/>
  <c r="X29" i="83"/>
  <c r="X7" i="83"/>
  <c r="X11" i="83"/>
  <c r="X27" i="83"/>
  <c r="X25" i="83"/>
  <c r="X21" i="83"/>
  <c r="X46" i="83"/>
  <c r="X32" i="83"/>
  <c r="X47" i="83"/>
  <c r="X13" i="83"/>
  <c r="X34" i="83"/>
  <c r="X41" i="83"/>
  <c r="X9" i="83"/>
  <c r="X36" i="83"/>
  <c r="X37" i="83"/>
  <c r="X16" i="83"/>
  <c r="X31" i="83"/>
  <c r="X24" i="83"/>
  <c r="BU6" i="83"/>
  <c r="BU51" i="83"/>
  <c r="BU12" i="83"/>
  <c r="BU20" i="83"/>
  <c r="BU42" i="83"/>
  <c r="BU35" i="83"/>
  <c r="BU39" i="83"/>
  <c r="BU10" i="83"/>
  <c r="BU14" i="83"/>
  <c r="BU47" i="83"/>
  <c r="BU22" i="83"/>
  <c r="BU53" i="83"/>
  <c r="BU44" i="83"/>
  <c r="BU28" i="83"/>
  <c r="BU8" i="83"/>
  <c r="BU52" i="83"/>
  <c r="BU48" i="83"/>
  <c r="BU50" i="83"/>
  <c r="BU15" i="83"/>
  <c r="BU9" i="83"/>
  <c r="BU26" i="83"/>
  <c r="BU17" i="83"/>
  <c r="BU30" i="83"/>
  <c r="BU23" i="83"/>
  <c r="BU49" i="83"/>
  <c r="BU43" i="83"/>
  <c r="BU19" i="83"/>
  <c r="BU41" i="83"/>
  <c r="BU45" i="83"/>
  <c r="BU37" i="83"/>
  <c r="BU38" i="83"/>
  <c r="BU40" i="83"/>
  <c r="BU34" i="83"/>
  <c r="BU7" i="83"/>
  <c r="BU21" i="83"/>
  <c r="BU24" i="83"/>
  <c r="BU27" i="83"/>
  <c r="BU31" i="83"/>
  <c r="BU16" i="83"/>
  <c r="BU25" i="83"/>
  <c r="BU13" i="83"/>
  <c r="BU33" i="83"/>
  <c r="BU46" i="83"/>
  <c r="BU32" i="83"/>
  <c r="BU36" i="83"/>
  <c r="BU11" i="83"/>
  <c r="BU29" i="83"/>
  <c r="BU18" i="83"/>
  <c r="AJ53" i="83"/>
  <c r="AJ10" i="83"/>
  <c r="AJ44" i="83"/>
  <c r="AJ13" i="83"/>
  <c r="AJ43" i="83"/>
  <c r="AJ46" i="83"/>
  <c r="AJ12" i="83"/>
  <c r="AJ52" i="83"/>
  <c r="AJ22" i="83"/>
  <c r="AJ19" i="83"/>
  <c r="AJ23" i="83"/>
  <c r="AJ35" i="83"/>
  <c r="AJ50" i="83"/>
  <c r="AJ20" i="83"/>
  <c r="AJ8" i="83"/>
  <c r="AJ6" i="83"/>
  <c r="AJ17" i="83"/>
  <c r="AJ48" i="83"/>
  <c r="AJ39" i="83"/>
  <c r="AJ51" i="83"/>
  <c r="AJ42" i="83"/>
  <c r="AJ40" i="83"/>
  <c r="AJ7" i="83"/>
  <c r="AJ49" i="83"/>
  <c r="AJ15" i="83"/>
  <c r="AJ26" i="83"/>
  <c r="AJ32" i="83"/>
  <c r="AJ18" i="83"/>
  <c r="AJ14" i="83"/>
  <c r="AJ30" i="83"/>
  <c r="AJ36" i="83"/>
  <c r="AJ28" i="83"/>
  <c r="AJ11" i="83"/>
  <c r="AJ41" i="83"/>
  <c r="AJ38" i="83"/>
  <c r="AJ34" i="83"/>
  <c r="AJ21" i="83"/>
  <c r="AJ45" i="83"/>
  <c r="AJ27" i="83"/>
  <c r="AJ25" i="83"/>
  <c r="AJ33" i="83"/>
  <c r="AJ9" i="83"/>
  <c r="AJ16" i="83"/>
  <c r="AJ29" i="83"/>
  <c r="AJ24" i="83"/>
  <c r="AJ37" i="83"/>
  <c r="AJ47" i="83"/>
  <c r="AJ31" i="83"/>
  <c r="K22" i="83"/>
  <c r="K39" i="83"/>
  <c r="K7" i="83"/>
  <c r="K52" i="83"/>
  <c r="K8" i="83"/>
  <c r="K35" i="83"/>
  <c r="K13" i="83"/>
  <c r="K10" i="83"/>
  <c r="K12" i="83"/>
  <c r="K46" i="83"/>
  <c r="K6" i="83"/>
  <c r="K48" i="83"/>
  <c r="K14" i="83"/>
  <c r="K53" i="83"/>
  <c r="K20" i="83"/>
  <c r="K44" i="83"/>
  <c r="K17" i="83"/>
  <c r="K50" i="83"/>
  <c r="K49" i="83"/>
  <c r="K9" i="83"/>
  <c r="K23" i="83"/>
  <c r="K28" i="83"/>
  <c r="K43" i="83"/>
  <c r="K36" i="83"/>
  <c r="K45" i="83"/>
  <c r="K11" i="83"/>
  <c r="K51" i="83"/>
  <c r="K40" i="83"/>
  <c r="K42" i="83"/>
  <c r="K25" i="83"/>
  <c r="K26" i="83"/>
  <c r="K47" i="83"/>
  <c r="K16" i="83"/>
  <c r="K41" i="83"/>
  <c r="K37" i="83"/>
  <c r="K30" i="83"/>
  <c r="K29" i="83"/>
  <c r="K18" i="83"/>
  <c r="K15" i="83"/>
  <c r="K21" i="83"/>
  <c r="K19" i="83"/>
  <c r="K38" i="83"/>
  <c r="K31" i="83"/>
  <c r="K27" i="83"/>
  <c r="K34" i="83"/>
  <c r="K33" i="83"/>
  <c r="K24" i="83"/>
  <c r="K32" i="83"/>
  <c r="AC48" i="83"/>
  <c r="AC50" i="83"/>
  <c r="AC12" i="83"/>
  <c r="AC20" i="83"/>
  <c r="AC8" i="83"/>
  <c r="AC15" i="83"/>
  <c r="AC7" i="83"/>
  <c r="AC44" i="83"/>
  <c r="AC52" i="83"/>
  <c r="AC9" i="83"/>
  <c r="AC10" i="83"/>
  <c r="AC22" i="83"/>
  <c r="AC6" i="83"/>
  <c r="AC35" i="83"/>
  <c r="AC39" i="83"/>
  <c r="AC23" i="83"/>
  <c r="AC53" i="83"/>
  <c r="AC19" i="83"/>
  <c r="AC18" i="83"/>
  <c r="AC30" i="83"/>
  <c r="AC43" i="83"/>
  <c r="AC16" i="83"/>
  <c r="AC13" i="83"/>
  <c r="AC51" i="83"/>
  <c r="AC40" i="83"/>
  <c r="AC21" i="83"/>
  <c r="AC17" i="83"/>
  <c r="AC42" i="83"/>
  <c r="AC49" i="83"/>
  <c r="AC32" i="83"/>
  <c r="AC14" i="83"/>
  <c r="AC37" i="83"/>
  <c r="AC26" i="83"/>
  <c r="AC46" i="83"/>
  <c r="AC28" i="83"/>
  <c r="AC45" i="83"/>
  <c r="AC24" i="83"/>
  <c r="AC38" i="83"/>
  <c r="AC36" i="83"/>
  <c r="AC11" i="83"/>
  <c r="AC34" i="83"/>
  <c r="AC33" i="83"/>
  <c r="AC31" i="83"/>
  <c r="AC27" i="83"/>
  <c r="AC25" i="83"/>
  <c r="AC47" i="83"/>
  <c r="AC41" i="83"/>
  <c r="AC29" i="83"/>
  <c r="L12" i="83"/>
  <c r="L52" i="83"/>
  <c r="L22" i="83"/>
  <c r="L19" i="83"/>
  <c r="L23" i="83"/>
  <c r="L50" i="83"/>
  <c r="L8" i="83"/>
  <c r="L18" i="83"/>
  <c r="L20" i="83"/>
  <c r="L6" i="83"/>
  <c r="L48" i="83"/>
  <c r="L39" i="83"/>
  <c r="L35" i="83"/>
  <c r="L44" i="83"/>
  <c r="L53" i="83"/>
  <c r="L10" i="83"/>
  <c r="L43" i="83"/>
  <c r="L49" i="83"/>
  <c r="L15" i="83"/>
  <c r="L13" i="83"/>
  <c r="L26" i="83"/>
  <c r="L17" i="83"/>
  <c r="L14" i="83"/>
  <c r="L30" i="83"/>
  <c r="L36" i="83"/>
  <c r="L28" i="83"/>
  <c r="L46" i="83"/>
  <c r="L51" i="83"/>
  <c r="L42" i="83"/>
  <c r="L45" i="83"/>
  <c r="L7" i="83"/>
  <c r="L27" i="83"/>
  <c r="L16" i="83"/>
  <c r="L25" i="83"/>
  <c r="L33" i="83"/>
  <c r="L24" i="83"/>
  <c r="L9" i="83"/>
  <c r="L32" i="83"/>
  <c r="L29" i="83"/>
  <c r="L40" i="83"/>
  <c r="L47" i="83"/>
  <c r="L41" i="83"/>
  <c r="L38" i="83"/>
  <c r="L31" i="83"/>
  <c r="L11" i="83"/>
  <c r="L34" i="83"/>
  <c r="L21" i="83"/>
  <c r="L37" i="83"/>
  <c r="AS22" i="83"/>
  <c r="AS39" i="83"/>
  <c r="AS23" i="83"/>
  <c r="AS19" i="83"/>
  <c r="AS48" i="83"/>
  <c r="AS18" i="83"/>
  <c r="AS53" i="83"/>
  <c r="AS50" i="83"/>
  <c r="AS12" i="83"/>
  <c r="AS20" i="83"/>
  <c r="AS8" i="83"/>
  <c r="AS15" i="83"/>
  <c r="AS7" i="83"/>
  <c r="AS44" i="83"/>
  <c r="AS52" i="83"/>
  <c r="AS10" i="83"/>
  <c r="AS6" i="83"/>
  <c r="AS35" i="83"/>
  <c r="AS14" i="83"/>
  <c r="AS28" i="83"/>
  <c r="AS30" i="83"/>
  <c r="AS43" i="83"/>
  <c r="AS37" i="83"/>
  <c r="AS13" i="83"/>
  <c r="AS45" i="83"/>
  <c r="AS9" i="83"/>
  <c r="AS51" i="83"/>
  <c r="AS40" i="83"/>
  <c r="AS21" i="83"/>
  <c r="AS17" i="83"/>
  <c r="AS42" i="83"/>
  <c r="AS46" i="83"/>
  <c r="AS49" i="83"/>
  <c r="AS32" i="83"/>
  <c r="AS25" i="83"/>
  <c r="AS47" i="83"/>
  <c r="AS26" i="83"/>
  <c r="AS41" i="83"/>
  <c r="AS29" i="83"/>
  <c r="AS31" i="83"/>
  <c r="AS38" i="83"/>
  <c r="AS24" i="83"/>
  <c r="AS36" i="83"/>
  <c r="AS11" i="83"/>
  <c r="AS34" i="83"/>
  <c r="AS33" i="83"/>
  <c r="AS16" i="83"/>
  <c r="AS27" i="83"/>
  <c r="CB47" i="83"/>
  <c r="CB10" i="83"/>
  <c r="CB35" i="83"/>
  <c r="CB14" i="83"/>
  <c r="CB36" i="83"/>
  <c r="CB23" i="83"/>
  <c r="CB40" i="83"/>
  <c r="CB12" i="83"/>
  <c r="CB9" i="83"/>
  <c r="CB33" i="83"/>
  <c r="CB31" i="83"/>
  <c r="CB42" i="83"/>
  <c r="CB22" i="83"/>
  <c r="CB24" i="83"/>
  <c r="CB28" i="83"/>
  <c r="CB49" i="83"/>
  <c r="CB41" i="83"/>
  <c r="CB44" i="83"/>
  <c r="CB48" i="83"/>
  <c r="CB30" i="83"/>
  <c r="CB32" i="83"/>
  <c r="CB11" i="83"/>
  <c r="CB25" i="83"/>
  <c r="CB53" i="83"/>
  <c r="CB51" i="83"/>
  <c r="CB37" i="83"/>
  <c r="CB52" i="83"/>
  <c r="CB6" i="83"/>
  <c r="CB29" i="83"/>
  <c r="CB8" i="83"/>
  <c r="CB45" i="83"/>
  <c r="CB26" i="83"/>
  <c r="CB18" i="83"/>
  <c r="CB38" i="83"/>
  <c r="CB50" i="83"/>
  <c r="CB27" i="83"/>
  <c r="CB34" i="83"/>
  <c r="CB15" i="83"/>
  <c r="CB46" i="83"/>
  <c r="CB43" i="83"/>
  <c r="CB20" i="83"/>
  <c r="CB19" i="83"/>
  <c r="CB17" i="83"/>
  <c r="CB16" i="83"/>
  <c r="CB21" i="83"/>
  <c r="CB7" i="83"/>
  <c r="CB39" i="83"/>
  <c r="CB13" i="83"/>
  <c r="BK22" i="83"/>
  <c r="BK43" i="83"/>
  <c r="BK45" i="83"/>
  <c r="BK8" i="83"/>
  <c r="BK12" i="83"/>
  <c r="BK40" i="83"/>
  <c r="BK53" i="83"/>
  <c r="BK44" i="83"/>
  <c r="BK26" i="83"/>
  <c r="BK48" i="83"/>
  <c r="BK39" i="83"/>
  <c r="BK35" i="83"/>
  <c r="BK50" i="83"/>
  <c r="BK20" i="83"/>
  <c r="BK7" i="83"/>
  <c r="BK52" i="83"/>
  <c r="BK10" i="83"/>
  <c r="BK13" i="83"/>
  <c r="BK30" i="83"/>
  <c r="BK28" i="83"/>
  <c r="BK6" i="83"/>
  <c r="BK15" i="83"/>
  <c r="BK51" i="83"/>
  <c r="BK9" i="83"/>
  <c r="BK17" i="83"/>
  <c r="BK42" i="83"/>
  <c r="BK33" i="83"/>
  <c r="BK37" i="83"/>
  <c r="BK21" i="83"/>
  <c r="BK23" i="83"/>
  <c r="BK49" i="83"/>
  <c r="BK19" i="83"/>
  <c r="BK29" i="83"/>
  <c r="BK32" i="83"/>
  <c r="BK36" i="83"/>
  <c r="BK16" i="83"/>
  <c r="BK11" i="83"/>
  <c r="BK31" i="83"/>
  <c r="BK38" i="83"/>
  <c r="BK18" i="83"/>
  <c r="BK34" i="83"/>
  <c r="BK14" i="83"/>
  <c r="BK27" i="83"/>
  <c r="BK25" i="83"/>
  <c r="BK47" i="83"/>
  <c r="BK46" i="83"/>
  <c r="BK24" i="83"/>
  <c r="BK41" i="83"/>
  <c r="AY6" i="83"/>
  <c r="AY48" i="83"/>
  <c r="AY50" i="83"/>
  <c r="AY53" i="83"/>
  <c r="AY44" i="83"/>
  <c r="AY17" i="83"/>
  <c r="AY22" i="83"/>
  <c r="AY7" i="83"/>
  <c r="AY36" i="83"/>
  <c r="AY52" i="83"/>
  <c r="AY8" i="83"/>
  <c r="AY35" i="83"/>
  <c r="AY13" i="83"/>
  <c r="AY10" i="83"/>
  <c r="AY12" i="83"/>
  <c r="AY39" i="83"/>
  <c r="AY20" i="83"/>
  <c r="AY46" i="83"/>
  <c r="AY51" i="83"/>
  <c r="AY40" i="83"/>
  <c r="AY27" i="83"/>
  <c r="AY42" i="83"/>
  <c r="AY26" i="83"/>
  <c r="AY49" i="83"/>
  <c r="AY30" i="83"/>
  <c r="AY15" i="83"/>
  <c r="AY14" i="83"/>
  <c r="AY9" i="83"/>
  <c r="AY23" i="83"/>
  <c r="AY28" i="83"/>
  <c r="AY43" i="83"/>
  <c r="AY19" i="83"/>
  <c r="AY47" i="83"/>
  <c r="AY31" i="83"/>
  <c r="AY29" i="83"/>
  <c r="AY18" i="83"/>
  <c r="AY45" i="83"/>
  <c r="AY21" i="83"/>
  <c r="AY38" i="83"/>
  <c r="AY24" i="83"/>
  <c r="AY25" i="83"/>
  <c r="AY34" i="83"/>
  <c r="AY33" i="83"/>
  <c r="AY16" i="83"/>
  <c r="AY32" i="83"/>
  <c r="AY11" i="83"/>
  <c r="AY41" i="83"/>
  <c r="AY37" i="83"/>
  <c r="O20" i="83"/>
  <c r="O7" i="83"/>
  <c r="O12" i="83"/>
  <c r="O52" i="83"/>
  <c r="O22" i="83"/>
  <c r="O43" i="83"/>
  <c r="O35" i="83"/>
  <c r="O6" i="83"/>
  <c r="O45" i="83"/>
  <c r="O8" i="83"/>
  <c r="O53" i="83"/>
  <c r="O44" i="83"/>
  <c r="O26" i="83"/>
  <c r="O33" i="83"/>
  <c r="O48" i="83"/>
  <c r="O39" i="83"/>
  <c r="O50" i="83"/>
  <c r="O30" i="83"/>
  <c r="O40" i="83"/>
  <c r="O19" i="83"/>
  <c r="O29" i="83"/>
  <c r="O10" i="83"/>
  <c r="O13" i="83"/>
  <c r="O14" i="83"/>
  <c r="O28" i="83"/>
  <c r="O15" i="83"/>
  <c r="O51" i="83"/>
  <c r="O9" i="83"/>
  <c r="O17" i="83"/>
  <c r="O42" i="83"/>
  <c r="O24" i="83"/>
  <c r="O21" i="83"/>
  <c r="O23" i="83"/>
  <c r="O25" i="83"/>
  <c r="O47" i="83"/>
  <c r="O46" i="83"/>
  <c r="O41" i="83"/>
  <c r="O31" i="83"/>
  <c r="O32" i="83"/>
  <c r="O36" i="83"/>
  <c r="O11" i="83"/>
  <c r="O16" i="83"/>
  <c r="O37" i="83"/>
  <c r="O38" i="83"/>
  <c r="O34" i="83"/>
  <c r="O49" i="83"/>
  <c r="O18" i="83"/>
  <c r="O27" i="83"/>
  <c r="BJ20" i="83"/>
  <c r="BJ8" i="83"/>
  <c r="BJ39" i="83"/>
  <c r="BJ35" i="83"/>
  <c r="BJ7" i="83"/>
  <c r="BJ15" i="83"/>
  <c r="BJ9" i="83"/>
  <c r="BJ44" i="83"/>
  <c r="BJ50" i="83"/>
  <c r="BJ43" i="83"/>
  <c r="BJ53" i="83"/>
  <c r="BJ12" i="83"/>
  <c r="BJ40" i="83"/>
  <c r="BJ52" i="83"/>
  <c r="BJ6" i="83"/>
  <c r="BJ22" i="83"/>
  <c r="BJ23" i="83"/>
  <c r="BJ17" i="83"/>
  <c r="BJ45" i="83"/>
  <c r="BJ49" i="83"/>
  <c r="BJ51" i="83"/>
  <c r="BJ42" i="83"/>
  <c r="BJ48" i="83"/>
  <c r="BJ19" i="83"/>
  <c r="BJ26" i="83"/>
  <c r="BJ46" i="83"/>
  <c r="BJ14" i="83"/>
  <c r="BJ30" i="83"/>
  <c r="BJ29" i="83"/>
  <c r="BJ10" i="83"/>
  <c r="BJ28" i="83"/>
  <c r="BJ18" i="83"/>
  <c r="BJ13" i="83"/>
  <c r="BJ32" i="83"/>
  <c r="BJ36" i="83"/>
  <c r="BJ34" i="83"/>
  <c r="BJ21" i="83"/>
  <c r="BJ11" i="83"/>
  <c r="BJ27" i="83"/>
  <c r="BJ25" i="83"/>
  <c r="BJ33" i="83"/>
  <c r="BJ37" i="83"/>
  <c r="BJ24" i="83"/>
  <c r="BJ16" i="83"/>
  <c r="BJ31" i="83"/>
  <c r="BJ47" i="83"/>
  <c r="BJ41" i="83"/>
  <c r="BJ38" i="83"/>
  <c r="BG10" i="83"/>
  <c r="BG12" i="83"/>
  <c r="BG46" i="83"/>
  <c r="BG6" i="83"/>
  <c r="BG48" i="83"/>
  <c r="BG20" i="83"/>
  <c r="BG53" i="83"/>
  <c r="BG44" i="83"/>
  <c r="BG39" i="83"/>
  <c r="BG17" i="83"/>
  <c r="BG49" i="83"/>
  <c r="BG22" i="83"/>
  <c r="BG7" i="83"/>
  <c r="BG50" i="83"/>
  <c r="BG52" i="83"/>
  <c r="BG8" i="83"/>
  <c r="BG35" i="83"/>
  <c r="BG13" i="83"/>
  <c r="BG45" i="83"/>
  <c r="BG11" i="83"/>
  <c r="BG51" i="83"/>
  <c r="BG42" i="83"/>
  <c r="BG25" i="83"/>
  <c r="BG26" i="83"/>
  <c r="BG16" i="83"/>
  <c r="BG36" i="83"/>
  <c r="BG30" i="83"/>
  <c r="BG15" i="83"/>
  <c r="BG14" i="83"/>
  <c r="BG9" i="83"/>
  <c r="BG23" i="83"/>
  <c r="BG28" i="83"/>
  <c r="BG43" i="83"/>
  <c r="BG27" i="83"/>
  <c r="BG24" i="83"/>
  <c r="BG29" i="83"/>
  <c r="BG18" i="83"/>
  <c r="BG21" i="83"/>
  <c r="BG38" i="83"/>
  <c r="BG31" i="83"/>
  <c r="BG47" i="83"/>
  <c r="BG34" i="83"/>
  <c r="BG33" i="83"/>
  <c r="BG37" i="83"/>
  <c r="BG32" i="83"/>
  <c r="BG19" i="83"/>
  <c r="BG40" i="83"/>
  <c r="BG41" i="83"/>
  <c r="AA50" i="83"/>
  <c r="AA44" i="83"/>
  <c r="AA17" i="83"/>
  <c r="AA49" i="83"/>
  <c r="AA22" i="83"/>
  <c r="AA7" i="83"/>
  <c r="AA36" i="83"/>
  <c r="AA52" i="83"/>
  <c r="AA8" i="83"/>
  <c r="AA35" i="83"/>
  <c r="AA13" i="83"/>
  <c r="AA10" i="83"/>
  <c r="AA12" i="83"/>
  <c r="AA6" i="83"/>
  <c r="AA48" i="83"/>
  <c r="AA20" i="83"/>
  <c r="AA39" i="83"/>
  <c r="AA53" i="83"/>
  <c r="AA26" i="83"/>
  <c r="AA37" i="83"/>
  <c r="AA30" i="83"/>
  <c r="AA14" i="83"/>
  <c r="AA9" i="83"/>
  <c r="AA23" i="83"/>
  <c r="AA28" i="83"/>
  <c r="AA43" i="83"/>
  <c r="AA19" i="83"/>
  <c r="AA45" i="83"/>
  <c r="AA11" i="83"/>
  <c r="AA51" i="83"/>
  <c r="AA40" i="83"/>
  <c r="AA27" i="83"/>
  <c r="AA46" i="83"/>
  <c r="AA42" i="83"/>
  <c r="AA25" i="83"/>
  <c r="AA34" i="83"/>
  <c r="AA33" i="83"/>
  <c r="AA32" i="83"/>
  <c r="AA24" i="83"/>
  <c r="AA47" i="83"/>
  <c r="AA31" i="83"/>
  <c r="AA41" i="83"/>
  <c r="AA16" i="83"/>
  <c r="AA15" i="83"/>
  <c r="AA29" i="83"/>
  <c r="AA18" i="83"/>
  <c r="AA21" i="83"/>
  <c r="AA38" i="83"/>
  <c r="BW39" i="83"/>
  <c r="BW50" i="83"/>
  <c r="BW22" i="83"/>
  <c r="BW7" i="83"/>
  <c r="BW10" i="83"/>
  <c r="BW52" i="83"/>
  <c r="BW8" i="83"/>
  <c r="BW35" i="83"/>
  <c r="BW13" i="83"/>
  <c r="BW12" i="83"/>
  <c r="BW20" i="83"/>
  <c r="BW46" i="83"/>
  <c r="BW48" i="83"/>
  <c r="BW53" i="83"/>
  <c r="BW44" i="83"/>
  <c r="BW17" i="83"/>
  <c r="BW49" i="83"/>
  <c r="BW14" i="83"/>
  <c r="BW9" i="83"/>
  <c r="BW23" i="83"/>
  <c r="BW28" i="83"/>
  <c r="BW43" i="83"/>
  <c r="BW6" i="83"/>
  <c r="BW45" i="83"/>
  <c r="BW11" i="83"/>
  <c r="BW51" i="83"/>
  <c r="BW40" i="83"/>
  <c r="BW42" i="83"/>
  <c r="BW25" i="83"/>
  <c r="BW26" i="83"/>
  <c r="BW36" i="83"/>
  <c r="BW37" i="83"/>
  <c r="BW24" i="83"/>
  <c r="BW27" i="83"/>
  <c r="BW41" i="83"/>
  <c r="BW31" i="83"/>
  <c r="BW29" i="83"/>
  <c r="BW18" i="83"/>
  <c r="BW16" i="83"/>
  <c r="BW30" i="83"/>
  <c r="BW21" i="83"/>
  <c r="BW38" i="83"/>
  <c r="BW15" i="83"/>
  <c r="BW47" i="83"/>
  <c r="BW34" i="83"/>
  <c r="BW33" i="83"/>
  <c r="BW19" i="83"/>
  <c r="BW32" i="83"/>
  <c r="AW52" i="83"/>
  <c r="AW53" i="83"/>
  <c r="AW28" i="83"/>
  <c r="AW8" i="83"/>
  <c r="AW6" i="83"/>
  <c r="AW44" i="83"/>
  <c r="AW7" i="83"/>
  <c r="AW48" i="83"/>
  <c r="AW50" i="83"/>
  <c r="AW20" i="83"/>
  <c r="AW22" i="83"/>
  <c r="AW51" i="83"/>
  <c r="AW12" i="83"/>
  <c r="AW35" i="83"/>
  <c r="AW39" i="83"/>
  <c r="AW10" i="83"/>
  <c r="AW14" i="83"/>
  <c r="AW47" i="83"/>
  <c r="AW30" i="83"/>
  <c r="AW23" i="83"/>
  <c r="AW49" i="83"/>
  <c r="AW43" i="83"/>
  <c r="AW19" i="83"/>
  <c r="AW45" i="83"/>
  <c r="AW38" i="83"/>
  <c r="AW42" i="83"/>
  <c r="AW40" i="83"/>
  <c r="AW15" i="83"/>
  <c r="AW9" i="83"/>
  <c r="AW13" i="83"/>
  <c r="AW26" i="83"/>
  <c r="AW17" i="83"/>
  <c r="AW24" i="83"/>
  <c r="AW31" i="83"/>
  <c r="AW33" i="83"/>
  <c r="AW46" i="83"/>
  <c r="AW32" i="83"/>
  <c r="AW36" i="83"/>
  <c r="AW41" i="83"/>
  <c r="AW37" i="83"/>
  <c r="AW11" i="83"/>
  <c r="AW34" i="83"/>
  <c r="AW16" i="83"/>
  <c r="AW29" i="83"/>
  <c r="AW18" i="83"/>
  <c r="AW21" i="83"/>
  <c r="AW27" i="83"/>
  <c r="AW25" i="83"/>
  <c r="S44" i="83"/>
  <c r="S17" i="83"/>
  <c r="S49" i="83"/>
  <c r="S22" i="83"/>
  <c r="S39" i="83"/>
  <c r="S7" i="83"/>
  <c r="S52" i="83"/>
  <c r="S8" i="83"/>
  <c r="S35" i="83"/>
  <c r="S13" i="83"/>
  <c r="S10" i="83"/>
  <c r="S12" i="83"/>
  <c r="S46" i="83"/>
  <c r="S6" i="83"/>
  <c r="S48" i="83"/>
  <c r="S53" i="83"/>
  <c r="S50" i="83"/>
  <c r="S20" i="83"/>
  <c r="S30" i="83"/>
  <c r="S15" i="83"/>
  <c r="S14" i="83"/>
  <c r="S28" i="83"/>
  <c r="S43" i="83"/>
  <c r="S19" i="83"/>
  <c r="S36" i="83"/>
  <c r="S45" i="83"/>
  <c r="S11" i="83"/>
  <c r="S51" i="83"/>
  <c r="S40" i="83"/>
  <c r="S27" i="83"/>
  <c r="S42" i="83"/>
  <c r="S31" i="83"/>
  <c r="S25" i="83"/>
  <c r="S24" i="83"/>
  <c r="S32" i="83"/>
  <c r="S47" i="83"/>
  <c r="S26" i="83"/>
  <c r="S23" i="83"/>
  <c r="S41" i="83"/>
  <c r="S29" i="83"/>
  <c r="S18" i="83"/>
  <c r="S21" i="83"/>
  <c r="S16" i="83"/>
  <c r="S37" i="83"/>
  <c r="S38" i="83"/>
  <c r="S9" i="83"/>
  <c r="S34" i="83"/>
  <c r="S33" i="83"/>
  <c r="CD50" i="83"/>
  <c r="CD25" i="83"/>
  <c r="CD22" i="83"/>
  <c r="CD39" i="83"/>
  <c r="CD10" i="83"/>
  <c r="CD19" i="83"/>
  <c r="CD21" i="83"/>
  <c r="CD16" i="83"/>
  <c r="CD40" i="83"/>
  <c r="CD30" i="83"/>
  <c r="CD32" i="83"/>
  <c r="CD12" i="83"/>
  <c r="CD6" i="83"/>
  <c r="CD38" i="83"/>
  <c r="CD18" i="83"/>
  <c r="CD31" i="83"/>
  <c r="CD23" i="83"/>
  <c r="CD48" i="83"/>
  <c r="CD45" i="83"/>
  <c r="CD27" i="83"/>
  <c r="CD33" i="83"/>
  <c r="CD7" i="83"/>
  <c r="CD24" i="83"/>
  <c r="CD51" i="83"/>
  <c r="CD8" i="83"/>
  <c r="CD44" i="83"/>
  <c r="CD37" i="83"/>
  <c r="CD42" i="83"/>
  <c r="CD26" i="83"/>
  <c r="CD15" i="83"/>
  <c r="CD41" i="83"/>
  <c r="CD53" i="83"/>
  <c r="CD49" i="83"/>
  <c r="CD9" i="83"/>
  <c r="CD20" i="83"/>
  <c r="CD36" i="83"/>
  <c r="CD47" i="83"/>
  <c r="CD17" i="83"/>
  <c r="CD11" i="83"/>
  <c r="CD35" i="83"/>
  <c r="CD52" i="83"/>
  <c r="CD43" i="83"/>
  <c r="CD14" i="83"/>
  <c r="CD46" i="83"/>
  <c r="CD29" i="83"/>
  <c r="CD28" i="83"/>
  <c r="CD34" i="83"/>
  <c r="CD13" i="83"/>
  <c r="AM53" i="83"/>
  <c r="AM44" i="83"/>
  <c r="AM26" i="83"/>
  <c r="AM48" i="83"/>
  <c r="AM39" i="83"/>
  <c r="AM50" i="83"/>
  <c r="AM30" i="83"/>
  <c r="AM12" i="83"/>
  <c r="AM20" i="83"/>
  <c r="AM7" i="83"/>
  <c r="AM22" i="83"/>
  <c r="AM43" i="83"/>
  <c r="AM6" i="83"/>
  <c r="AM8" i="83"/>
  <c r="AM35" i="83"/>
  <c r="AM40" i="83"/>
  <c r="AM15" i="83"/>
  <c r="AM51" i="83"/>
  <c r="AM9" i="83"/>
  <c r="AM17" i="83"/>
  <c r="AM52" i="83"/>
  <c r="AM23" i="83"/>
  <c r="AM49" i="83"/>
  <c r="AM16" i="83"/>
  <c r="AM45" i="83"/>
  <c r="AM19" i="83"/>
  <c r="AM10" i="83"/>
  <c r="AM13" i="83"/>
  <c r="AM14" i="83"/>
  <c r="AM24" i="83"/>
  <c r="AM37" i="83"/>
  <c r="AM27" i="83"/>
  <c r="AM25" i="83"/>
  <c r="AM31" i="83"/>
  <c r="AM47" i="83"/>
  <c r="AM46" i="83"/>
  <c r="AM41" i="83"/>
  <c r="AM33" i="83"/>
  <c r="AM29" i="83"/>
  <c r="AM32" i="83"/>
  <c r="AM36" i="83"/>
  <c r="AM28" i="83"/>
  <c r="AM21" i="83"/>
  <c r="AM11" i="83"/>
  <c r="AM38" i="83"/>
  <c r="AM42" i="83"/>
  <c r="AM18" i="83"/>
  <c r="AM34" i="83"/>
  <c r="BX12" i="83"/>
  <c r="BX52" i="83"/>
  <c r="BX22" i="83"/>
  <c r="BX19" i="83"/>
  <c r="BX23" i="83"/>
  <c r="BX50" i="83"/>
  <c r="BX8" i="83"/>
  <c r="BX18" i="83"/>
  <c r="BX44" i="83"/>
  <c r="BX6" i="83"/>
  <c r="BX48" i="83"/>
  <c r="BX39" i="83"/>
  <c r="BX35" i="83"/>
  <c r="BX53" i="83"/>
  <c r="BX10" i="83"/>
  <c r="BX20" i="83"/>
  <c r="BX43" i="83"/>
  <c r="BX17" i="83"/>
  <c r="BX49" i="83"/>
  <c r="BX15" i="83"/>
  <c r="BX46" i="83"/>
  <c r="BX26" i="83"/>
  <c r="BX14" i="83"/>
  <c r="BX30" i="83"/>
  <c r="BX36" i="83"/>
  <c r="BX13" i="83"/>
  <c r="BX28" i="83"/>
  <c r="BX51" i="83"/>
  <c r="BX16" i="83"/>
  <c r="BX42" i="83"/>
  <c r="BX45" i="83"/>
  <c r="BX11" i="83"/>
  <c r="BX25" i="83"/>
  <c r="BX7" i="83"/>
  <c r="BX31" i="83"/>
  <c r="BX33" i="83"/>
  <c r="BX9" i="83"/>
  <c r="BX24" i="83"/>
  <c r="BX29" i="83"/>
  <c r="BX47" i="83"/>
  <c r="BX32" i="83"/>
  <c r="BX41" i="83"/>
  <c r="BX38" i="83"/>
  <c r="BX40" i="83"/>
  <c r="BX37" i="83"/>
  <c r="BX34" i="83"/>
  <c r="BX21" i="83"/>
  <c r="BX27" i="83"/>
  <c r="AG7" i="83"/>
  <c r="AG6" i="83"/>
  <c r="AG22" i="83"/>
  <c r="AG48" i="83"/>
  <c r="AG44" i="83"/>
  <c r="AG50" i="83"/>
  <c r="AG20" i="83"/>
  <c r="AG51" i="83"/>
  <c r="AG12" i="83"/>
  <c r="AG35" i="83"/>
  <c r="AG39" i="83"/>
  <c r="AG10" i="83"/>
  <c r="AG14" i="83"/>
  <c r="AG47" i="83"/>
  <c r="AG53" i="83"/>
  <c r="AG28" i="83"/>
  <c r="AG8" i="83"/>
  <c r="AG52" i="83"/>
  <c r="AG45" i="83"/>
  <c r="AG38" i="83"/>
  <c r="AG40" i="83"/>
  <c r="AG42" i="83"/>
  <c r="AG15" i="83"/>
  <c r="AG9" i="83"/>
  <c r="AG13" i="83"/>
  <c r="AG26" i="83"/>
  <c r="AG17" i="83"/>
  <c r="AG30" i="83"/>
  <c r="AG23" i="83"/>
  <c r="AG49" i="83"/>
  <c r="AG33" i="83"/>
  <c r="AG43" i="83"/>
  <c r="AG32" i="83"/>
  <c r="AG36" i="83"/>
  <c r="AG16" i="83"/>
  <c r="AG11" i="83"/>
  <c r="AG41" i="83"/>
  <c r="AG31" i="83"/>
  <c r="AG29" i="83"/>
  <c r="AG18" i="83"/>
  <c r="AG19" i="83"/>
  <c r="AG34" i="83"/>
  <c r="AG21" i="83"/>
  <c r="AG27" i="83"/>
  <c r="AG24" i="83"/>
  <c r="AG25" i="83"/>
  <c r="AG37" i="83"/>
  <c r="AG46" i="83"/>
  <c r="AE48" i="83"/>
  <c r="AE39" i="83"/>
  <c r="AE50" i="83"/>
  <c r="AE12" i="83"/>
  <c r="AE30" i="83"/>
  <c r="AE20" i="83"/>
  <c r="AE7" i="83"/>
  <c r="AE52" i="83"/>
  <c r="AE22" i="83"/>
  <c r="AE43" i="83"/>
  <c r="AE6" i="83"/>
  <c r="AE45" i="83"/>
  <c r="AE8" i="83"/>
  <c r="AE53" i="83"/>
  <c r="AE35" i="83"/>
  <c r="AE44" i="83"/>
  <c r="AE26" i="83"/>
  <c r="AE9" i="83"/>
  <c r="AE17" i="83"/>
  <c r="AE42" i="83"/>
  <c r="AE33" i="83"/>
  <c r="AE40" i="83"/>
  <c r="AE23" i="83"/>
  <c r="AE49" i="83"/>
  <c r="AE19" i="83"/>
  <c r="AE29" i="83"/>
  <c r="AE10" i="83"/>
  <c r="AE13" i="83"/>
  <c r="AE14" i="83"/>
  <c r="AE28" i="83"/>
  <c r="AE31" i="83"/>
  <c r="AE16" i="83"/>
  <c r="AE15" i="83"/>
  <c r="AE24" i="83"/>
  <c r="AE37" i="83"/>
  <c r="AE27" i="83"/>
  <c r="AE25" i="83"/>
  <c r="AE47" i="83"/>
  <c r="AE46" i="83"/>
  <c r="AE41" i="83"/>
  <c r="AE51" i="83"/>
  <c r="AE32" i="83"/>
  <c r="AE36" i="83"/>
  <c r="AE21" i="83"/>
  <c r="AE11" i="83"/>
  <c r="AE38" i="83"/>
  <c r="AE18" i="83"/>
  <c r="AE34" i="83"/>
  <c r="BI6" i="83"/>
  <c r="BI35" i="83"/>
  <c r="BI39" i="83"/>
  <c r="BI23" i="83"/>
  <c r="BI19" i="83"/>
  <c r="BI53" i="83"/>
  <c r="BI48" i="83"/>
  <c r="BI50" i="83"/>
  <c r="BI12" i="83"/>
  <c r="BI20" i="83"/>
  <c r="BI8" i="83"/>
  <c r="BI15" i="83"/>
  <c r="BI7" i="83"/>
  <c r="BI22" i="83"/>
  <c r="BI44" i="83"/>
  <c r="BI52" i="83"/>
  <c r="BI9" i="83"/>
  <c r="BI49" i="83"/>
  <c r="BI32" i="83"/>
  <c r="BI18" i="83"/>
  <c r="BI14" i="83"/>
  <c r="BI28" i="83"/>
  <c r="BI26" i="83"/>
  <c r="BI30" i="83"/>
  <c r="BI43" i="83"/>
  <c r="BI13" i="83"/>
  <c r="BI45" i="83"/>
  <c r="BI51" i="83"/>
  <c r="BI40" i="83"/>
  <c r="BI21" i="83"/>
  <c r="BI11" i="83"/>
  <c r="BI10" i="83"/>
  <c r="BI17" i="83"/>
  <c r="BI34" i="83"/>
  <c r="BI33" i="83"/>
  <c r="BI37" i="83"/>
  <c r="BI46" i="83"/>
  <c r="BI27" i="83"/>
  <c r="BI31" i="83"/>
  <c r="BI42" i="83"/>
  <c r="BI25" i="83"/>
  <c r="BI47" i="83"/>
  <c r="BI24" i="83"/>
  <c r="BI41" i="83"/>
  <c r="BI29" i="83"/>
  <c r="BI16" i="83"/>
  <c r="BI36" i="83"/>
  <c r="BI38" i="83"/>
  <c r="AO8" i="83"/>
  <c r="AO22" i="83"/>
  <c r="AO6" i="83"/>
  <c r="AO7" i="83"/>
  <c r="AO48" i="83"/>
  <c r="AO50" i="83"/>
  <c r="AO12" i="83"/>
  <c r="AO52" i="83"/>
  <c r="AO42" i="83"/>
  <c r="AO35" i="83"/>
  <c r="AO39" i="83"/>
  <c r="AO20" i="83"/>
  <c r="AO10" i="83"/>
  <c r="AO14" i="83"/>
  <c r="AO44" i="83"/>
  <c r="AO53" i="83"/>
  <c r="AO28" i="83"/>
  <c r="AO51" i="83"/>
  <c r="AO43" i="83"/>
  <c r="AO19" i="83"/>
  <c r="AO41" i="83"/>
  <c r="AO45" i="83"/>
  <c r="AO40" i="83"/>
  <c r="AO34" i="83"/>
  <c r="AO15" i="83"/>
  <c r="AO9" i="83"/>
  <c r="AO13" i="83"/>
  <c r="AO26" i="83"/>
  <c r="AO17" i="83"/>
  <c r="AO47" i="83"/>
  <c r="AO30" i="83"/>
  <c r="AO33" i="83"/>
  <c r="AO46" i="83"/>
  <c r="AO24" i="83"/>
  <c r="AO32" i="83"/>
  <c r="AO36" i="83"/>
  <c r="AO23" i="83"/>
  <c r="AO49" i="83"/>
  <c r="AO37" i="83"/>
  <c r="AO11" i="83"/>
  <c r="AO16" i="83"/>
  <c r="AO29" i="83"/>
  <c r="AO18" i="83"/>
  <c r="AO31" i="83"/>
  <c r="AO21" i="83"/>
  <c r="AO27" i="83"/>
  <c r="AO25" i="83"/>
  <c r="AO38" i="83"/>
  <c r="BT50" i="83"/>
  <c r="BT20" i="83"/>
  <c r="BT48" i="83"/>
  <c r="BT26" i="83"/>
  <c r="BT52" i="83"/>
  <c r="BT30" i="83"/>
  <c r="BT39" i="83"/>
  <c r="BT53" i="83"/>
  <c r="BT51" i="83"/>
  <c r="BT38" i="83"/>
  <c r="BT6" i="83"/>
  <c r="BT35" i="83"/>
  <c r="BT44" i="83"/>
  <c r="BT22" i="83"/>
  <c r="BT8" i="83"/>
  <c r="BT43" i="83"/>
  <c r="BT12" i="83"/>
  <c r="BT23" i="83"/>
  <c r="BT42" i="83"/>
  <c r="BT19" i="83"/>
  <c r="BT49" i="83"/>
  <c r="BT45" i="83"/>
  <c r="BT14" i="83"/>
  <c r="BT40" i="83"/>
  <c r="BT10" i="83"/>
  <c r="BT28" i="83"/>
  <c r="BT29" i="83"/>
  <c r="BT7" i="83"/>
  <c r="BT13" i="83"/>
  <c r="BT34" i="83"/>
  <c r="BT15" i="83"/>
  <c r="BT33" i="83"/>
  <c r="BT18" i="83"/>
  <c r="BT21" i="83"/>
  <c r="BT46" i="83"/>
  <c r="BT32" i="83"/>
  <c r="BT47" i="83"/>
  <c r="BT41" i="83"/>
  <c r="BT17" i="83"/>
  <c r="BT9" i="83"/>
  <c r="BT36" i="83"/>
  <c r="BT11" i="83"/>
  <c r="BT27" i="83"/>
  <c r="BT25" i="83"/>
  <c r="BT16" i="83"/>
  <c r="BT37" i="83"/>
  <c r="BT24" i="83"/>
  <c r="BT31" i="83"/>
  <c r="AR53" i="83"/>
  <c r="AR10" i="83"/>
  <c r="AR44" i="83"/>
  <c r="AR13" i="83"/>
  <c r="AR43" i="83"/>
  <c r="AR46" i="83"/>
  <c r="AR12" i="83"/>
  <c r="AR52" i="83"/>
  <c r="AR20" i="83"/>
  <c r="AR22" i="83"/>
  <c r="AR23" i="83"/>
  <c r="AR50" i="83"/>
  <c r="AR8" i="83"/>
  <c r="AR18" i="83"/>
  <c r="AR35" i="83"/>
  <c r="AR6" i="83"/>
  <c r="AR48" i="83"/>
  <c r="AR39" i="83"/>
  <c r="AR51" i="83"/>
  <c r="AR42" i="83"/>
  <c r="AR45" i="83"/>
  <c r="AR40" i="83"/>
  <c r="AR7" i="83"/>
  <c r="AR19" i="83"/>
  <c r="AR17" i="83"/>
  <c r="AR49" i="83"/>
  <c r="AR15" i="83"/>
  <c r="AR27" i="83"/>
  <c r="AR26" i="83"/>
  <c r="AR32" i="83"/>
  <c r="AR14" i="83"/>
  <c r="AR30" i="83"/>
  <c r="AR36" i="83"/>
  <c r="AR28" i="83"/>
  <c r="AR47" i="83"/>
  <c r="AR37" i="83"/>
  <c r="AR41" i="83"/>
  <c r="AR38" i="83"/>
  <c r="AR34" i="83"/>
  <c r="AR21" i="83"/>
  <c r="AR31" i="83"/>
  <c r="AR24" i="83"/>
  <c r="AR25" i="83"/>
  <c r="AR33" i="83"/>
  <c r="AR16" i="83"/>
  <c r="AR9" i="83"/>
  <c r="AR11" i="83"/>
  <c r="AR29" i="83"/>
  <c r="AT35" i="83"/>
  <c r="AT7" i="83"/>
  <c r="AT15" i="83"/>
  <c r="AT52" i="83"/>
  <c r="AT9" i="83"/>
  <c r="AT20" i="83"/>
  <c r="AT44" i="83"/>
  <c r="AT50" i="83"/>
  <c r="AT45" i="83"/>
  <c r="AT43" i="83"/>
  <c r="AT53" i="83"/>
  <c r="AT12" i="83"/>
  <c r="AT40" i="83"/>
  <c r="AT6" i="83"/>
  <c r="AT22" i="83"/>
  <c r="AT39" i="83"/>
  <c r="AT8" i="83"/>
  <c r="AT49" i="83"/>
  <c r="AT51" i="83"/>
  <c r="AT19" i="83"/>
  <c r="AT26" i="83"/>
  <c r="AT14" i="83"/>
  <c r="AT30" i="83"/>
  <c r="AT29" i="83"/>
  <c r="AT10" i="83"/>
  <c r="AT28" i="83"/>
  <c r="AT18" i="83"/>
  <c r="AT13" i="83"/>
  <c r="AT21" i="83"/>
  <c r="AT23" i="83"/>
  <c r="AT17" i="83"/>
  <c r="AT37" i="83"/>
  <c r="AT25" i="83"/>
  <c r="AT33" i="83"/>
  <c r="AT16" i="83"/>
  <c r="AT42" i="83"/>
  <c r="AT31" i="83"/>
  <c r="AT47" i="83"/>
  <c r="AT48" i="83"/>
  <c r="AT41" i="83"/>
  <c r="AT38" i="83"/>
  <c r="AT32" i="83"/>
  <c r="AT36" i="83"/>
  <c r="AT34" i="83"/>
  <c r="AT46" i="83"/>
  <c r="AT11" i="83"/>
  <c r="AT27" i="83"/>
  <c r="AT24" i="83"/>
  <c r="P43" i="83"/>
  <c r="P12" i="83"/>
  <c r="P8" i="83"/>
  <c r="P48" i="83"/>
  <c r="P26" i="83"/>
  <c r="P52" i="83"/>
  <c r="P50" i="83"/>
  <c r="P30" i="83"/>
  <c r="P39" i="83"/>
  <c r="P53" i="83"/>
  <c r="P20" i="83"/>
  <c r="P6" i="83"/>
  <c r="P35" i="83"/>
  <c r="P22" i="83"/>
  <c r="P44" i="83"/>
  <c r="P42" i="83"/>
  <c r="P23" i="83"/>
  <c r="P19" i="83"/>
  <c r="P17" i="83"/>
  <c r="P38" i="83"/>
  <c r="P18" i="83"/>
  <c r="P49" i="83"/>
  <c r="P45" i="83"/>
  <c r="P14" i="83"/>
  <c r="P9" i="83"/>
  <c r="P40" i="83"/>
  <c r="P10" i="83"/>
  <c r="P28" i="83"/>
  <c r="P7" i="83"/>
  <c r="P13" i="83"/>
  <c r="P34" i="83"/>
  <c r="P51" i="83"/>
  <c r="P15" i="83"/>
  <c r="P33" i="83"/>
  <c r="P25" i="83"/>
  <c r="P21" i="83"/>
  <c r="P46" i="83"/>
  <c r="P32" i="83"/>
  <c r="P47" i="83"/>
  <c r="P41" i="83"/>
  <c r="P29" i="83"/>
  <c r="P36" i="83"/>
  <c r="P11" i="83"/>
  <c r="P27" i="83"/>
  <c r="P24" i="83"/>
  <c r="P37" i="83"/>
  <c r="P16" i="83"/>
  <c r="P31" i="83"/>
  <c r="BE35" i="83"/>
  <c r="BE39" i="83"/>
  <c r="BE10" i="83"/>
  <c r="BE14" i="83"/>
  <c r="BE53" i="83"/>
  <c r="BE28" i="83"/>
  <c r="BE8" i="83"/>
  <c r="BE44" i="83"/>
  <c r="BE7" i="83"/>
  <c r="BE48" i="83"/>
  <c r="BE6" i="83"/>
  <c r="BE20" i="83"/>
  <c r="BE52" i="83"/>
  <c r="BE22" i="83"/>
  <c r="BE51" i="83"/>
  <c r="BE12" i="83"/>
  <c r="BE42" i="83"/>
  <c r="BE50" i="83"/>
  <c r="BE26" i="83"/>
  <c r="BE17" i="83"/>
  <c r="BE31" i="83"/>
  <c r="BE47" i="83"/>
  <c r="BE30" i="83"/>
  <c r="BE23" i="83"/>
  <c r="BE43" i="83"/>
  <c r="BE19" i="83"/>
  <c r="BE41" i="83"/>
  <c r="BE24" i="83"/>
  <c r="BE45" i="83"/>
  <c r="BE40" i="83"/>
  <c r="BE34" i="83"/>
  <c r="BE15" i="83"/>
  <c r="BE16" i="83"/>
  <c r="BE13" i="83"/>
  <c r="BE33" i="83"/>
  <c r="BE46" i="83"/>
  <c r="BE49" i="83"/>
  <c r="BE32" i="83"/>
  <c r="BE36" i="83"/>
  <c r="BE11" i="83"/>
  <c r="BE29" i="83"/>
  <c r="BE18" i="83"/>
  <c r="BE9" i="83"/>
  <c r="BE37" i="83"/>
  <c r="BE21" i="83"/>
  <c r="BE27" i="83"/>
  <c r="BE38" i="83"/>
  <c r="BE25" i="83"/>
  <c r="AN6" i="83"/>
  <c r="AN35" i="83"/>
  <c r="AN44" i="83"/>
  <c r="AN42" i="83"/>
  <c r="AN22" i="83"/>
  <c r="AN43" i="83"/>
  <c r="AN12" i="83"/>
  <c r="AN20" i="83"/>
  <c r="AN48" i="83"/>
  <c r="AN26" i="83"/>
  <c r="AN52" i="83"/>
  <c r="AN50" i="83"/>
  <c r="AN39" i="83"/>
  <c r="AN53" i="83"/>
  <c r="AN8" i="83"/>
  <c r="AN51" i="83"/>
  <c r="AN40" i="83"/>
  <c r="AN10" i="83"/>
  <c r="AN28" i="83"/>
  <c r="AN7" i="83"/>
  <c r="AN13" i="83"/>
  <c r="AN15" i="83"/>
  <c r="AN33" i="83"/>
  <c r="AN23" i="83"/>
  <c r="AN38" i="83"/>
  <c r="AN19" i="83"/>
  <c r="AN17" i="83"/>
  <c r="AN30" i="83"/>
  <c r="AN18" i="83"/>
  <c r="AN49" i="83"/>
  <c r="AN45" i="83"/>
  <c r="AN9" i="83"/>
  <c r="AN36" i="83"/>
  <c r="AN14" i="83"/>
  <c r="AN11" i="83"/>
  <c r="AN27" i="83"/>
  <c r="AN25" i="83"/>
  <c r="AN21" i="83"/>
  <c r="AN46" i="83"/>
  <c r="AN34" i="83"/>
  <c r="AN32" i="83"/>
  <c r="AN47" i="83"/>
  <c r="AN41" i="83"/>
  <c r="AN29" i="83"/>
  <c r="AN24" i="83"/>
  <c r="AN31" i="83"/>
  <c r="AN37" i="83"/>
  <c r="AN16" i="83"/>
  <c r="AQ20" i="83"/>
  <c r="AQ53" i="83"/>
  <c r="AQ44" i="83"/>
  <c r="AQ17" i="83"/>
  <c r="AQ49" i="83"/>
  <c r="AQ39" i="83"/>
  <c r="AQ50" i="83"/>
  <c r="AQ22" i="83"/>
  <c r="AQ7" i="83"/>
  <c r="AQ52" i="83"/>
  <c r="AQ8" i="83"/>
  <c r="AQ35" i="83"/>
  <c r="AQ13" i="83"/>
  <c r="AQ10" i="83"/>
  <c r="AQ12" i="83"/>
  <c r="AQ46" i="83"/>
  <c r="AQ6" i="83"/>
  <c r="AQ48" i="83"/>
  <c r="AQ42" i="83"/>
  <c r="AQ25" i="83"/>
  <c r="AQ26" i="83"/>
  <c r="AQ30" i="83"/>
  <c r="AQ15" i="83"/>
  <c r="AQ36" i="83"/>
  <c r="AQ14" i="83"/>
  <c r="AQ9" i="83"/>
  <c r="AQ23" i="83"/>
  <c r="AQ28" i="83"/>
  <c r="AQ43" i="83"/>
  <c r="AQ19" i="83"/>
  <c r="AQ45" i="83"/>
  <c r="AQ11" i="83"/>
  <c r="AQ41" i="83"/>
  <c r="AQ51" i="83"/>
  <c r="AQ21" i="83"/>
  <c r="AQ38" i="83"/>
  <c r="AQ24" i="83"/>
  <c r="AQ34" i="83"/>
  <c r="AQ33" i="83"/>
  <c r="AQ16" i="83"/>
  <c r="AQ47" i="83"/>
  <c r="AQ32" i="83"/>
  <c r="AQ31" i="83"/>
  <c r="AQ40" i="83"/>
  <c r="AQ37" i="83"/>
  <c r="AQ27" i="83"/>
  <c r="AQ29" i="83"/>
  <c r="AQ18" i="83"/>
  <c r="BM12" i="83"/>
  <c r="BM20" i="83"/>
  <c r="BM35" i="83"/>
  <c r="BM39" i="83"/>
  <c r="BM10" i="83"/>
  <c r="BM14" i="83"/>
  <c r="BM52" i="83"/>
  <c r="BM22" i="83"/>
  <c r="BM53" i="83"/>
  <c r="BM44" i="83"/>
  <c r="BM28" i="83"/>
  <c r="BM8" i="83"/>
  <c r="BM7" i="83"/>
  <c r="BM48" i="83"/>
  <c r="BM50" i="83"/>
  <c r="BM6" i="83"/>
  <c r="BM51" i="83"/>
  <c r="BM9" i="83"/>
  <c r="BM13" i="83"/>
  <c r="BM26" i="83"/>
  <c r="BM47" i="83"/>
  <c r="BM30" i="83"/>
  <c r="BM23" i="83"/>
  <c r="BM49" i="83"/>
  <c r="BM43" i="83"/>
  <c r="BM19" i="83"/>
  <c r="BM41" i="83"/>
  <c r="BM42" i="83"/>
  <c r="BM45" i="83"/>
  <c r="BM38" i="83"/>
  <c r="BM40" i="83"/>
  <c r="BM34" i="83"/>
  <c r="BM37" i="83"/>
  <c r="BM16" i="83"/>
  <c r="BM25" i="83"/>
  <c r="BM17" i="83"/>
  <c r="BM33" i="83"/>
  <c r="BM46" i="83"/>
  <c r="BM32" i="83"/>
  <c r="BM36" i="83"/>
  <c r="BM15" i="83"/>
  <c r="BM31" i="83"/>
  <c r="BM11" i="83"/>
  <c r="BM29" i="83"/>
  <c r="BM18" i="83"/>
  <c r="BM21" i="83"/>
  <c r="BM24" i="83"/>
  <c r="BM27" i="83"/>
  <c r="CS59" i="4"/>
  <c r="CN60" i="4"/>
  <c r="CQ59" i="4"/>
  <c r="CL59" i="4"/>
  <c r="CC61" i="4"/>
  <c r="CI59" i="4"/>
  <c r="CQ60" i="4"/>
  <c r="CO58" i="4"/>
  <c r="CJ60" i="4"/>
  <c r="CX58" i="4"/>
  <c r="CP58" i="4"/>
  <c r="CB58" i="4"/>
  <c r="CA58" i="4"/>
  <c r="CE60" i="4"/>
  <c r="CB59" i="4"/>
  <c r="CF61" i="4"/>
  <c r="CN61" i="4"/>
  <c r="CT59" i="4"/>
  <c r="CD59" i="4"/>
  <c r="CH60" i="4"/>
  <c r="CW59" i="4"/>
  <c r="CK58" i="4"/>
  <c r="CM60" i="4"/>
  <c r="CY58" i="4"/>
  <c r="CY61" i="4"/>
  <c r="CL60" i="4"/>
  <c r="CF58" i="4"/>
  <c r="CF60" i="4"/>
  <c r="CU60" i="4"/>
  <c r="CU58" i="4"/>
  <c r="CU61" i="4"/>
  <c r="CQ58" i="4"/>
  <c r="CQ61" i="4"/>
  <c r="CV61" i="4"/>
  <c r="CL61" i="4"/>
  <c r="CI60" i="4"/>
  <c r="CK60" i="4"/>
  <c r="CL58" i="4"/>
  <c r="CY59" i="4"/>
  <c r="CY60" i="4"/>
  <c r="CG60" i="4"/>
  <c r="CG59" i="4"/>
  <c r="BZ60" i="4"/>
  <c r="CS60" i="4"/>
  <c r="CS61" i="4"/>
  <c r="CC59" i="4"/>
  <c r="CN59" i="4"/>
  <c r="CT61" i="4"/>
  <c r="CW60" i="4"/>
  <c r="CI61" i="4"/>
  <c r="CF59" i="4"/>
  <c r="CD58" i="4"/>
  <c r="CK59" i="4"/>
  <c r="CX61" i="4"/>
  <c r="CX15" i="83" s="1"/>
  <c r="CJ59" i="4"/>
  <c r="CN58" i="4"/>
  <c r="CH59" i="4"/>
  <c r="CV60" i="4"/>
  <c r="CW61" i="4"/>
  <c r="CT60" i="4"/>
  <c r="CO61" i="4"/>
  <c r="CO10" i="83" s="1"/>
  <c r="CJ61" i="4"/>
  <c r="CC60" i="4"/>
  <c r="CI58" i="4"/>
  <c r="DF51" i="4"/>
  <c r="DE60" i="4"/>
  <c r="DE59" i="4"/>
  <c r="DE58" i="4"/>
  <c r="DE61" i="4"/>
  <c r="DD61" i="4"/>
  <c r="DD60" i="4"/>
  <c r="DD59" i="4"/>
  <c r="DD58" i="4"/>
  <c r="DF10" i="4"/>
  <c r="DF26" i="4"/>
  <c r="DF18" i="4"/>
  <c r="DF33" i="4"/>
  <c r="DF43" i="4"/>
  <c r="DF20" i="4"/>
  <c r="DF22" i="4"/>
  <c r="DF41" i="4"/>
  <c r="DF21" i="4"/>
  <c r="DF50" i="4"/>
  <c r="DB59" i="4"/>
  <c r="DB58" i="4"/>
  <c r="DB61" i="4"/>
  <c r="DB60" i="4"/>
  <c r="DA61" i="4"/>
  <c r="DA60" i="4"/>
  <c r="DF16" i="4"/>
  <c r="DF24" i="4"/>
  <c r="DF38" i="4"/>
  <c r="DF17" i="4"/>
  <c r="DF29" i="4"/>
  <c r="DF28" i="4"/>
  <c r="DC58" i="4"/>
  <c r="DC61" i="4"/>
  <c r="DC60" i="4"/>
  <c r="DC59" i="4"/>
  <c r="DF37" i="4"/>
  <c r="DF40" i="4"/>
  <c r="DF34" i="4"/>
  <c r="DF48" i="4"/>
  <c r="DF49" i="4"/>
  <c r="DF35" i="4"/>
  <c r="DF52" i="4"/>
  <c r="DF31" i="4"/>
  <c r="DF39" i="4"/>
  <c r="DF14" i="4"/>
  <c r="DF6" i="4"/>
  <c r="DF42" i="4"/>
  <c r="DA58" i="4"/>
  <c r="DF19" i="4"/>
  <c r="DF32" i="4"/>
  <c r="DF27" i="4"/>
  <c r="DF11" i="4"/>
  <c r="DF7" i="4"/>
  <c r="DF8" i="4"/>
  <c r="DF45" i="4"/>
  <c r="DF13" i="4"/>
  <c r="DF46" i="4"/>
  <c r="DF9" i="4"/>
  <c r="DF15" i="4"/>
  <c r="DF12" i="4"/>
  <c r="DF53" i="4"/>
  <c r="DF30" i="4"/>
  <c r="DF25" i="4"/>
  <c r="DA59" i="4"/>
  <c r="DF36" i="4"/>
  <c r="BA14" i="59" l="1"/>
  <c r="Z9" i="59"/>
  <c r="AI8" i="59"/>
  <c r="AI15" i="59"/>
  <c r="AR7" i="59"/>
  <c r="Q9" i="59"/>
  <c r="Z7" i="59"/>
  <c r="AR15" i="59"/>
  <c r="Z6" i="59"/>
  <c r="AR12" i="59"/>
  <c r="AR14" i="59"/>
  <c r="AI6" i="59"/>
  <c r="BA12" i="59"/>
  <c r="BJ11" i="59"/>
  <c r="BJ6" i="59"/>
  <c r="BJ15" i="59"/>
  <c r="BA15" i="59"/>
  <c r="BA7" i="59"/>
  <c r="Q15" i="59"/>
  <c r="AR9" i="59"/>
  <c r="AR11" i="59"/>
  <c r="BJ8" i="59"/>
  <c r="Z12" i="59"/>
  <c r="BA10" i="59"/>
  <c r="Q11" i="59"/>
  <c r="BA8" i="59"/>
  <c r="Z14" i="59"/>
  <c r="AI7" i="59"/>
  <c r="AR10" i="59"/>
  <c r="Q13" i="59"/>
  <c r="Q10" i="59"/>
  <c r="Z10" i="59"/>
  <c r="AI14" i="59"/>
  <c r="BJ7" i="59"/>
  <c r="Z8" i="59"/>
  <c r="Q12" i="59"/>
  <c r="AR13" i="59"/>
  <c r="Q7" i="59"/>
  <c r="Z13" i="59"/>
  <c r="BA6" i="59"/>
  <c r="AI12" i="59"/>
  <c r="AI9" i="59"/>
  <c r="AI13" i="59"/>
  <c r="Z15" i="59"/>
  <c r="Q6" i="59"/>
  <c r="BJ14" i="59"/>
  <c r="BJ9" i="59"/>
  <c r="BJ13" i="59"/>
  <c r="BA9" i="59"/>
  <c r="BA13" i="59"/>
  <c r="BA11" i="59"/>
  <c r="BJ12" i="59"/>
  <c r="AI11" i="59"/>
  <c r="Z11" i="59"/>
  <c r="Q14" i="59"/>
  <c r="AR8" i="59"/>
  <c r="Q8" i="59"/>
  <c r="AI10" i="59"/>
  <c r="AR6" i="59"/>
  <c r="BJ10" i="59"/>
  <c r="BK50" i="59"/>
  <c r="BK34" i="59"/>
  <c r="BK17" i="59"/>
  <c r="BK45" i="59"/>
  <c r="BK16" i="59"/>
  <c r="BK49" i="59"/>
  <c r="BK24" i="59"/>
  <c r="BK30" i="59"/>
  <c r="BK42" i="59"/>
  <c r="BK26" i="59"/>
  <c r="BK40" i="59"/>
  <c r="BK51" i="59"/>
  <c r="BK38" i="59"/>
  <c r="BK22" i="59"/>
  <c r="BK15" i="59"/>
  <c r="BK48" i="59"/>
  <c r="BK32" i="59"/>
  <c r="BK43" i="59"/>
  <c r="BK20" i="59"/>
  <c r="BK53" i="59"/>
  <c r="BK18" i="59"/>
  <c r="BK46" i="59"/>
  <c r="BK13" i="59"/>
  <c r="BK41" i="59"/>
  <c r="BK14" i="59"/>
  <c r="BK47" i="59"/>
  <c r="BK9" i="59"/>
  <c r="BK39" i="59"/>
  <c r="BK36" i="59"/>
  <c r="BK28" i="59"/>
  <c r="BK37" i="59"/>
  <c r="BK29" i="59"/>
  <c r="BK31" i="59"/>
  <c r="BK21" i="59"/>
  <c r="BK12" i="59"/>
  <c r="BK11" i="59"/>
  <c r="BK27" i="59"/>
  <c r="BK33" i="59"/>
  <c r="BK19" i="59"/>
  <c r="BK6" i="59"/>
  <c r="BK10" i="59"/>
  <c r="BK35" i="59"/>
  <c r="BK52" i="59"/>
  <c r="BK44" i="59"/>
  <c r="BK25" i="59"/>
  <c r="BK8" i="59"/>
  <c r="BK23" i="59"/>
  <c r="BK7" i="59"/>
  <c r="R48" i="59"/>
  <c r="AJ10" i="59"/>
  <c r="R20" i="59"/>
  <c r="T10" i="90"/>
  <c r="L29" i="33"/>
  <c r="L25" i="33"/>
  <c r="T5" i="90"/>
  <c r="L13" i="33"/>
  <c r="T12" i="90"/>
  <c r="T38" i="90"/>
  <c r="L28" i="33"/>
  <c r="T15" i="90"/>
  <c r="L14" i="33"/>
  <c r="T41" i="90"/>
  <c r="L5" i="33"/>
  <c r="T34" i="90"/>
  <c r="L35" i="33"/>
  <c r="T44" i="90"/>
  <c r="L49" i="33"/>
  <c r="T30" i="90"/>
  <c r="L45" i="33"/>
  <c r="L43" i="33"/>
  <c r="T50" i="90"/>
  <c r="T14" i="90"/>
  <c r="L22" i="33"/>
  <c r="T19" i="90"/>
  <c r="L50" i="33"/>
  <c r="T24" i="90"/>
  <c r="L8" i="33"/>
  <c r="L23" i="33"/>
  <c r="T11" i="90"/>
  <c r="L19" i="33"/>
  <c r="T17" i="90"/>
  <c r="T33" i="90"/>
  <c r="L15" i="33"/>
  <c r="L27" i="33"/>
  <c r="T8" i="90"/>
  <c r="L44" i="33"/>
  <c r="T23" i="90"/>
  <c r="L32" i="33"/>
  <c r="T42" i="90"/>
  <c r="L11" i="33"/>
  <c r="T47" i="90"/>
  <c r="L37" i="33"/>
  <c r="T20" i="90"/>
  <c r="T49" i="90"/>
  <c r="L34" i="33"/>
  <c r="T28" i="90"/>
  <c r="L38" i="33"/>
  <c r="L42" i="33"/>
  <c r="T43" i="90"/>
  <c r="T40" i="90"/>
  <c r="L39" i="33"/>
  <c r="L47" i="33"/>
  <c r="T46" i="90"/>
  <c r="L20" i="33"/>
  <c r="T26" i="90"/>
  <c r="T18" i="90"/>
  <c r="L33" i="33"/>
  <c r="L12" i="33"/>
  <c r="T51" i="90"/>
  <c r="T6" i="90"/>
  <c r="L4" i="33"/>
  <c r="T4" i="90"/>
  <c r="L17" i="33"/>
  <c r="L6" i="33"/>
  <c r="T32" i="90"/>
  <c r="L18" i="33"/>
  <c r="T27" i="90"/>
  <c r="L51" i="33"/>
  <c r="T21" i="90"/>
  <c r="T13" i="90"/>
  <c r="L36" i="33"/>
  <c r="L9" i="33"/>
  <c r="T9" i="90"/>
  <c r="T37" i="90"/>
  <c r="L46" i="33"/>
  <c r="T35" i="90"/>
  <c r="L30" i="33"/>
  <c r="T36" i="90"/>
  <c r="L24" i="33"/>
  <c r="T31" i="90"/>
  <c r="L40" i="33"/>
  <c r="T7" i="90"/>
  <c r="L7" i="33"/>
  <c r="L21" i="33"/>
  <c r="T25" i="90"/>
  <c r="T29" i="90"/>
  <c r="L10" i="33"/>
  <c r="L41" i="33"/>
  <c r="T22" i="90"/>
  <c r="L31" i="33"/>
  <c r="T48" i="90"/>
  <c r="T16" i="90"/>
  <c r="L16" i="33"/>
  <c r="L26" i="33"/>
  <c r="T39" i="90"/>
  <c r="AS39" i="59"/>
  <c r="AJ29" i="59"/>
  <c r="AJ26" i="59"/>
  <c r="AS13" i="59"/>
  <c r="AS40" i="59"/>
  <c r="BB50" i="59"/>
  <c r="AS53" i="59"/>
  <c r="AS24" i="59"/>
  <c r="AA48" i="59"/>
  <c r="AS7" i="59"/>
  <c r="R12" i="59"/>
  <c r="AA21" i="59"/>
  <c r="AA49" i="59"/>
  <c r="AA41" i="59"/>
  <c r="BB41" i="59"/>
  <c r="R46" i="59"/>
  <c r="AA23" i="59"/>
  <c r="BB10" i="59"/>
  <c r="AS51" i="59"/>
  <c r="AS31" i="59"/>
  <c r="AA26" i="59"/>
  <c r="AJ24" i="59"/>
  <c r="AS15" i="59"/>
  <c r="R38" i="59"/>
  <c r="AA51" i="59"/>
  <c r="AJ42" i="59"/>
  <c r="AS45" i="59"/>
  <c r="R22" i="59"/>
  <c r="AA19" i="59"/>
  <c r="AS42" i="59"/>
  <c r="AA50" i="59"/>
  <c r="BB51" i="59"/>
  <c r="AJ48" i="59"/>
  <c r="R23" i="59"/>
  <c r="BB36" i="59"/>
  <c r="AJ32" i="59"/>
  <c r="AS23" i="59"/>
  <c r="R7" i="59"/>
  <c r="AA37" i="59"/>
  <c r="AS10" i="59"/>
  <c r="AA18" i="59"/>
  <c r="BB20" i="59"/>
  <c r="AS17" i="59"/>
  <c r="R30" i="59"/>
  <c r="AA43" i="59"/>
  <c r="BB42" i="59"/>
  <c r="R29" i="59"/>
  <c r="BB35" i="59"/>
  <c r="AS37" i="59"/>
  <c r="R14" i="59"/>
  <c r="AA39" i="59"/>
  <c r="BB26" i="59"/>
  <c r="AS12" i="59"/>
  <c r="AA45" i="59"/>
  <c r="R44" i="59"/>
  <c r="AA29" i="59"/>
  <c r="AA10" i="59"/>
  <c r="BB12" i="59"/>
  <c r="AJ8" i="59"/>
  <c r="AS32" i="59"/>
  <c r="AJ31" i="59"/>
  <c r="AJ36" i="59"/>
  <c r="AS30" i="59"/>
  <c r="AJ52" i="59"/>
  <c r="AA20" i="59"/>
  <c r="AS28" i="59"/>
  <c r="BB39" i="59"/>
  <c r="R13" i="59"/>
  <c r="BB23" i="59"/>
  <c r="R36" i="59"/>
  <c r="AA11" i="59"/>
  <c r="BB7" i="59"/>
  <c r="AA7" i="59"/>
  <c r="AA17" i="59"/>
  <c r="BB40" i="59"/>
  <c r="AJ12" i="59"/>
  <c r="AJ9" i="59"/>
  <c r="AJ44" i="59"/>
  <c r="AA36" i="59"/>
  <c r="AJ11" i="59"/>
  <c r="R10" i="59"/>
  <c r="AJ23" i="59"/>
  <c r="AS18" i="59"/>
  <c r="BB28" i="59"/>
  <c r="AJ7" i="59"/>
  <c r="R50" i="59"/>
  <c r="AJ40" i="59"/>
  <c r="R34" i="59"/>
  <c r="AA47" i="59"/>
  <c r="BB31" i="59"/>
  <c r="R18" i="59"/>
  <c r="AS33" i="59"/>
  <c r="BB33" i="59"/>
  <c r="AS43" i="59"/>
  <c r="AA52" i="59"/>
  <c r="BB49" i="59"/>
  <c r="AJ46" i="59"/>
  <c r="AS36" i="59"/>
  <c r="R37" i="59"/>
  <c r="BB47" i="59"/>
  <c r="BB34" i="59"/>
  <c r="AJ30" i="59"/>
  <c r="AS20" i="59"/>
  <c r="R21" i="59"/>
  <c r="AA31" i="59"/>
  <c r="BB18" i="59"/>
  <c r="AJ14" i="59"/>
  <c r="BB15" i="59"/>
  <c r="R41" i="59"/>
  <c r="AJ28" i="59"/>
  <c r="R9" i="59"/>
  <c r="BB46" i="59"/>
  <c r="AJ47" i="59"/>
  <c r="AS14" i="59"/>
  <c r="AA9" i="59"/>
  <c r="AA53" i="59"/>
  <c r="BB43" i="59"/>
  <c r="AA35" i="59"/>
  <c r="AS16" i="59"/>
  <c r="AA40" i="59"/>
  <c r="BB27" i="59"/>
  <c r="AJ15" i="59"/>
  <c r="AS29" i="59"/>
  <c r="R6" i="59"/>
  <c r="AS38" i="59"/>
  <c r="AA24" i="59"/>
  <c r="BB11" i="59"/>
  <c r="R25" i="59"/>
  <c r="AS6" i="59"/>
  <c r="AA8" i="59"/>
  <c r="BB25" i="59"/>
  <c r="AJ27" i="59"/>
  <c r="AS26" i="59"/>
  <c r="AA34" i="59"/>
  <c r="AS11" i="59"/>
  <c r="BB37" i="59"/>
  <c r="BB9" i="59"/>
  <c r="AJ49" i="59"/>
  <c r="AJ43" i="59"/>
  <c r="R40" i="59"/>
  <c r="R45" i="59"/>
  <c r="AA28" i="59"/>
  <c r="BB32" i="59"/>
  <c r="AJ37" i="59"/>
  <c r="AS27" i="59"/>
  <c r="R42" i="59"/>
  <c r="R43" i="59"/>
  <c r="BB14" i="59"/>
  <c r="AJ34" i="59"/>
  <c r="R24" i="59"/>
  <c r="AA38" i="59"/>
  <c r="BB16" i="59"/>
  <c r="AJ21" i="59"/>
  <c r="R26" i="59"/>
  <c r="R27" i="59"/>
  <c r="AJ18" i="59"/>
  <c r="R8" i="59"/>
  <c r="AA22" i="59"/>
  <c r="BB52" i="59"/>
  <c r="AJ16" i="59"/>
  <c r="AJ51" i="59"/>
  <c r="AS25" i="59"/>
  <c r="R11" i="59"/>
  <c r="BB21" i="59"/>
  <c r="AJ33" i="59"/>
  <c r="AJ25" i="59"/>
  <c r="R47" i="59"/>
  <c r="AA6" i="59"/>
  <c r="BB22" i="59"/>
  <c r="AJ50" i="59"/>
  <c r="AS50" i="59"/>
  <c r="R33" i="59"/>
  <c r="AS44" i="59"/>
  <c r="AA25" i="59"/>
  <c r="BB53" i="59"/>
  <c r="AJ38" i="59"/>
  <c r="AA27" i="59"/>
  <c r="AJ22" i="59"/>
  <c r="AS8" i="59"/>
  <c r="AA32" i="59"/>
  <c r="BB19" i="59"/>
  <c r="AS21" i="59"/>
  <c r="AJ6" i="59"/>
  <c r="AS22" i="59"/>
  <c r="AA16" i="59"/>
  <c r="AA13" i="59"/>
  <c r="BB48" i="59"/>
  <c r="AS52" i="59"/>
  <c r="R53" i="59"/>
  <c r="AJ53" i="59"/>
  <c r="AS47" i="59"/>
  <c r="AS35" i="59"/>
  <c r="R31" i="59"/>
  <c r="AA12" i="59"/>
  <c r="AJ39" i="59"/>
  <c r="AJ35" i="59"/>
  <c r="AS34" i="59"/>
  <c r="R32" i="59"/>
  <c r="AA42" i="59"/>
  <c r="BB44" i="59"/>
  <c r="R15" i="59"/>
  <c r="BB45" i="59"/>
  <c r="R16" i="59"/>
  <c r="AS41" i="59"/>
  <c r="AS49" i="59"/>
  <c r="R28" i="59"/>
  <c r="AS46" i="59"/>
  <c r="AS9" i="59"/>
  <c r="R17" i="59"/>
  <c r="BB13" i="59"/>
  <c r="AS48" i="59"/>
  <c r="AA33" i="59"/>
  <c r="BB17" i="59"/>
  <c r="AJ45" i="59"/>
  <c r="R51" i="59"/>
  <c r="BB30" i="59"/>
  <c r="AA46" i="59"/>
  <c r="BB24" i="59"/>
  <c r="AS19" i="59"/>
  <c r="R35" i="59"/>
  <c r="AJ19" i="59"/>
  <c r="AA30" i="59"/>
  <c r="BB8" i="59"/>
  <c r="AJ13" i="59"/>
  <c r="R19" i="59"/>
  <c r="BB29" i="59"/>
  <c r="AJ41" i="59"/>
  <c r="R52" i="59"/>
  <c r="AA14" i="59"/>
  <c r="BB38" i="59"/>
  <c r="AJ20" i="59"/>
  <c r="R49" i="59"/>
  <c r="AA15" i="59"/>
  <c r="AJ17" i="59"/>
  <c r="R39" i="59"/>
  <c r="AA44" i="59"/>
  <c r="BB6" i="59"/>
  <c r="CU9" i="83"/>
  <c r="CU53" i="83"/>
  <c r="CU34" i="83"/>
  <c r="CU15" i="83"/>
  <c r="CU25" i="83"/>
  <c r="CU41" i="83"/>
  <c r="CU44" i="83"/>
  <c r="CU36" i="83"/>
  <c r="CU42" i="83"/>
  <c r="CU48" i="83"/>
  <c r="CU43" i="83"/>
  <c r="CU52" i="83"/>
  <c r="CU6" i="83"/>
  <c r="CU13" i="83"/>
  <c r="CU50" i="83"/>
  <c r="CU10" i="83"/>
  <c r="CU7" i="83"/>
  <c r="CU11" i="83"/>
  <c r="CU39" i="83"/>
  <c r="CU49" i="83"/>
  <c r="CU45" i="83"/>
  <c r="CU21" i="83"/>
  <c r="CU23" i="83"/>
  <c r="CU51" i="83"/>
  <c r="CU46" i="83"/>
  <c r="CU33" i="83"/>
  <c r="CU31" i="83"/>
  <c r="CU20" i="83"/>
  <c r="CU16" i="83"/>
  <c r="CU38" i="83"/>
  <c r="CU17" i="83"/>
  <c r="CU14" i="83"/>
  <c r="CU35" i="83"/>
  <c r="CU8" i="83"/>
  <c r="CU28" i="83"/>
  <c r="CU30" i="83"/>
  <c r="CU32" i="83"/>
  <c r="CU29" i="83"/>
  <c r="CU47" i="83"/>
  <c r="CU40" i="83"/>
  <c r="CU26" i="83"/>
  <c r="CU27" i="83"/>
  <c r="CU19" i="83"/>
  <c r="CU22" i="83"/>
  <c r="CU37" i="83"/>
  <c r="CU18" i="83"/>
  <c r="CU12" i="83"/>
  <c r="CU24" i="83"/>
  <c r="CW50" i="83"/>
  <c r="CW20" i="83"/>
  <c r="CW16" i="83"/>
  <c r="CW36" i="83"/>
  <c r="CW33" i="83"/>
  <c r="CW19" i="83"/>
  <c r="CW38" i="83"/>
  <c r="CW44" i="83"/>
  <c r="CW39" i="83"/>
  <c r="CW52" i="83"/>
  <c r="CW27" i="83"/>
  <c r="CW7" i="83"/>
  <c r="CW21" i="83"/>
  <c r="CW22" i="83"/>
  <c r="CW29" i="83"/>
  <c r="CW10" i="83"/>
  <c r="CW32" i="83"/>
  <c r="CW47" i="83"/>
  <c r="CW53" i="83"/>
  <c r="CW11" i="83"/>
  <c r="CW25" i="83"/>
  <c r="CW24" i="83"/>
  <c r="CW34" i="83"/>
  <c r="CW15" i="83"/>
  <c r="CW43" i="83"/>
  <c r="CW8" i="83"/>
  <c r="CW23" i="83"/>
  <c r="CW37" i="83"/>
  <c r="CW48" i="83"/>
  <c r="CW26" i="83"/>
  <c r="CW13" i="83"/>
  <c r="CW28" i="83"/>
  <c r="CW35" i="83"/>
  <c r="CW45" i="83"/>
  <c r="CW42" i="83"/>
  <c r="CW31" i="83"/>
  <c r="CW17" i="83"/>
  <c r="CW6" i="83"/>
  <c r="CW41" i="83"/>
  <c r="CW49" i="83"/>
  <c r="CW9" i="83"/>
  <c r="CW40" i="83"/>
  <c r="CW30" i="83"/>
  <c r="CW46" i="83"/>
  <c r="CW14" i="83"/>
  <c r="CW51" i="83"/>
  <c r="CW12" i="83"/>
  <c r="CW18" i="83"/>
  <c r="CG37" i="83"/>
  <c r="CG50" i="83"/>
  <c r="CG21" i="83"/>
  <c r="CG31" i="83"/>
  <c r="CG30" i="83"/>
  <c r="CG11" i="83"/>
  <c r="CG18" i="83"/>
  <c r="CG7" i="83"/>
  <c r="CG34" i="83"/>
  <c r="CG15" i="83"/>
  <c r="CG43" i="83"/>
  <c r="CG25" i="83"/>
  <c r="CG12" i="83"/>
  <c r="CG52" i="83"/>
  <c r="CG16" i="83"/>
  <c r="CG39" i="83"/>
  <c r="CG28" i="83"/>
  <c r="CG45" i="83"/>
  <c r="CG13" i="83"/>
  <c r="CG36" i="83"/>
  <c r="CG35" i="83"/>
  <c r="CG23" i="83"/>
  <c r="CG26" i="83"/>
  <c r="CG9" i="83"/>
  <c r="CG20" i="83"/>
  <c r="CG41" i="83"/>
  <c r="CG42" i="83"/>
  <c r="CG14" i="83"/>
  <c r="CG33" i="83"/>
  <c r="CG22" i="83"/>
  <c r="CG46" i="83"/>
  <c r="CG19" i="83"/>
  <c r="CG27" i="83"/>
  <c r="CG10" i="83"/>
  <c r="CG6" i="83"/>
  <c r="CG53" i="83"/>
  <c r="CG40" i="83"/>
  <c r="CG38" i="83"/>
  <c r="CG32" i="83"/>
  <c r="CG49" i="83"/>
  <c r="CG44" i="83"/>
  <c r="CG24" i="83"/>
  <c r="CG17" i="83"/>
  <c r="CG8" i="83"/>
  <c r="CG47" i="83"/>
  <c r="CG48" i="83"/>
  <c r="CG29" i="83"/>
  <c r="CG51" i="83"/>
  <c r="CJ17" i="83"/>
  <c r="CJ16" i="83"/>
  <c r="CJ29" i="83"/>
  <c r="CJ22" i="83"/>
  <c r="CJ37" i="83"/>
  <c r="CJ10" i="83"/>
  <c r="CJ39" i="83"/>
  <c r="CJ31" i="83"/>
  <c r="CJ35" i="83"/>
  <c r="CJ40" i="83"/>
  <c r="CJ15" i="83"/>
  <c r="CJ42" i="83"/>
  <c r="CJ43" i="83"/>
  <c r="CJ8" i="83"/>
  <c r="CJ48" i="83"/>
  <c r="CJ25" i="83"/>
  <c r="CJ49" i="83"/>
  <c r="CJ13" i="83"/>
  <c r="CJ45" i="83"/>
  <c r="CJ11" i="83"/>
  <c r="CJ44" i="83"/>
  <c r="CJ38" i="83"/>
  <c r="CJ9" i="83"/>
  <c r="CJ19" i="83"/>
  <c r="CJ23" i="83"/>
  <c r="CJ51" i="83"/>
  <c r="CJ6" i="83"/>
  <c r="CJ52" i="83"/>
  <c r="CJ26" i="83"/>
  <c r="CJ32" i="83"/>
  <c r="CJ12" i="83"/>
  <c r="CJ28" i="83"/>
  <c r="CJ53" i="83"/>
  <c r="CJ14" i="83"/>
  <c r="CJ7" i="83"/>
  <c r="CJ21" i="83"/>
  <c r="CJ33" i="83"/>
  <c r="CJ20" i="83"/>
  <c r="CJ24" i="83"/>
  <c r="CJ27" i="83"/>
  <c r="CJ30" i="83"/>
  <c r="CJ41" i="83"/>
  <c r="CJ18" i="83"/>
  <c r="CJ46" i="83"/>
  <c r="CJ36" i="83"/>
  <c r="CJ50" i="83"/>
  <c r="CJ47" i="83"/>
  <c r="CJ34" i="83"/>
  <c r="AN58" i="83"/>
  <c r="AN61" i="83"/>
  <c r="AN60" i="83"/>
  <c r="AN59" i="83"/>
  <c r="BM60" i="83"/>
  <c r="BM59" i="83"/>
  <c r="BM58" i="83"/>
  <c r="BM61" i="83"/>
  <c r="AR61" i="83"/>
  <c r="AR60" i="83"/>
  <c r="AR59" i="83"/>
  <c r="AR58" i="83"/>
  <c r="O60" i="83"/>
  <c r="O58" i="83"/>
  <c r="O61" i="83"/>
  <c r="O59" i="83"/>
  <c r="CX19" i="83"/>
  <c r="CX44" i="83"/>
  <c r="CX42" i="83"/>
  <c r="CX13" i="83"/>
  <c r="CX25" i="83"/>
  <c r="CX17" i="83"/>
  <c r="CO17" i="83"/>
  <c r="CO32" i="83"/>
  <c r="CO35" i="83"/>
  <c r="CO33" i="83"/>
  <c r="CO21" i="83"/>
  <c r="CO42" i="83"/>
  <c r="AJ59" i="83"/>
  <c r="AJ58" i="83"/>
  <c r="AJ61" i="83"/>
  <c r="AJ60" i="83"/>
  <c r="BA58" i="83"/>
  <c r="BA61" i="83"/>
  <c r="BA60" i="83"/>
  <c r="BA59" i="83"/>
  <c r="AU60" i="83"/>
  <c r="AU59" i="83"/>
  <c r="AU58" i="83"/>
  <c r="AU61" i="83"/>
  <c r="Z60" i="83"/>
  <c r="Z59" i="83"/>
  <c r="Z58" i="83"/>
  <c r="Z61" i="83"/>
  <c r="Y60" i="83"/>
  <c r="Y59" i="83"/>
  <c r="Y58" i="83"/>
  <c r="Y61" i="83"/>
  <c r="AK61" i="83"/>
  <c r="AK60" i="83"/>
  <c r="AK59" i="83"/>
  <c r="AK58" i="83"/>
  <c r="CR60" i="83"/>
  <c r="CR59" i="83"/>
  <c r="CR58" i="83"/>
  <c r="CR61" i="83"/>
  <c r="R58" i="83"/>
  <c r="R61" i="83"/>
  <c r="R60" i="83"/>
  <c r="R59" i="83"/>
  <c r="AI60" i="83"/>
  <c r="AI59" i="83"/>
  <c r="AI58" i="83"/>
  <c r="AI61" i="83"/>
  <c r="CK30" i="83"/>
  <c r="CK16" i="83"/>
  <c r="CK33" i="83"/>
  <c r="CK42" i="83"/>
  <c r="CK35" i="83"/>
  <c r="CK9" i="83"/>
  <c r="CK39" i="83"/>
  <c r="CK46" i="83"/>
  <c r="CK27" i="83"/>
  <c r="CK8" i="83"/>
  <c r="CK15" i="83"/>
  <c r="CK11" i="83"/>
  <c r="CK52" i="83"/>
  <c r="CK29" i="83"/>
  <c r="CK14" i="83"/>
  <c r="CK49" i="83"/>
  <c r="CK37" i="83"/>
  <c r="CK31" i="83"/>
  <c r="CK6" i="83"/>
  <c r="CK23" i="83"/>
  <c r="CK51" i="83"/>
  <c r="CK44" i="83"/>
  <c r="CK22" i="83"/>
  <c r="CK28" i="83"/>
  <c r="CK38" i="83"/>
  <c r="CK19" i="83"/>
  <c r="CK43" i="83"/>
  <c r="CK17" i="83"/>
  <c r="CK13" i="83"/>
  <c r="CK7" i="83"/>
  <c r="CK47" i="83"/>
  <c r="CK18" i="83"/>
  <c r="CK12" i="83"/>
  <c r="CK34" i="83"/>
  <c r="CK48" i="83"/>
  <c r="CK50" i="83"/>
  <c r="CK10" i="83"/>
  <c r="CK40" i="83"/>
  <c r="CK41" i="83"/>
  <c r="CK25" i="83"/>
  <c r="CK45" i="83"/>
  <c r="CK21" i="83"/>
  <c r="CK20" i="83"/>
  <c r="CK32" i="83"/>
  <c r="CK53" i="83"/>
  <c r="CK36" i="83"/>
  <c r="CK26" i="83"/>
  <c r="CK24" i="83"/>
  <c r="CT37" i="83"/>
  <c r="CT10" i="83"/>
  <c r="CT30" i="83"/>
  <c r="CT44" i="83"/>
  <c r="CT26" i="83"/>
  <c r="CT52" i="83"/>
  <c r="CT50" i="83"/>
  <c r="CT48" i="83"/>
  <c r="CT31" i="83"/>
  <c r="CT15" i="83"/>
  <c r="CT16" i="83"/>
  <c r="CT7" i="83"/>
  <c r="CT39" i="83"/>
  <c r="CT36" i="83"/>
  <c r="CT29" i="83"/>
  <c r="CT38" i="83"/>
  <c r="CT46" i="83"/>
  <c r="CT20" i="83"/>
  <c r="CT34" i="83"/>
  <c r="CT32" i="83"/>
  <c r="CT43" i="83"/>
  <c r="CT14" i="83"/>
  <c r="CT42" i="83"/>
  <c r="CT8" i="83"/>
  <c r="CT19" i="83"/>
  <c r="CT25" i="83"/>
  <c r="CT17" i="83"/>
  <c r="CT13" i="83"/>
  <c r="CT53" i="83"/>
  <c r="CT22" i="83"/>
  <c r="CT51" i="83"/>
  <c r="CT21" i="83"/>
  <c r="CT9" i="83"/>
  <c r="CT40" i="83"/>
  <c r="CT35" i="83"/>
  <c r="CT27" i="83"/>
  <c r="CT28" i="83"/>
  <c r="CT6" i="83"/>
  <c r="CT47" i="83"/>
  <c r="CT11" i="83"/>
  <c r="CT45" i="83"/>
  <c r="CT23" i="83"/>
  <c r="CT24" i="83"/>
  <c r="CT18" i="83"/>
  <c r="CT12" i="83"/>
  <c r="CT49" i="83"/>
  <c r="CT33" i="83"/>
  <c r="CT41" i="83"/>
  <c r="CS43" i="83"/>
  <c r="CS29" i="83"/>
  <c r="CS44" i="83"/>
  <c r="CS31" i="83"/>
  <c r="CS10" i="83"/>
  <c r="CS15" i="83"/>
  <c r="CS30" i="83"/>
  <c r="CS39" i="83"/>
  <c r="CS14" i="83"/>
  <c r="CS53" i="83"/>
  <c r="CS27" i="83"/>
  <c r="CS46" i="83"/>
  <c r="CS22" i="83"/>
  <c r="CS21" i="83"/>
  <c r="CS12" i="83"/>
  <c r="CS8" i="83"/>
  <c r="CS42" i="83"/>
  <c r="CS49" i="83"/>
  <c r="CS41" i="83"/>
  <c r="CS13" i="83"/>
  <c r="CS6" i="83"/>
  <c r="CS26" i="83"/>
  <c r="CS35" i="83"/>
  <c r="CS33" i="83"/>
  <c r="CS38" i="83"/>
  <c r="CS9" i="83"/>
  <c r="CS48" i="83"/>
  <c r="CS16" i="83"/>
  <c r="CS51" i="83"/>
  <c r="CS32" i="83"/>
  <c r="CS40" i="83"/>
  <c r="CS20" i="83"/>
  <c r="CS28" i="83"/>
  <c r="CS34" i="83"/>
  <c r="CS7" i="83"/>
  <c r="CS50" i="83"/>
  <c r="CS36" i="83"/>
  <c r="CS47" i="83"/>
  <c r="CS45" i="83"/>
  <c r="CS11" i="83"/>
  <c r="CS19" i="83"/>
  <c r="CS17" i="83"/>
  <c r="CS37" i="83"/>
  <c r="CS52" i="83"/>
  <c r="CS25" i="83"/>
  <c r="CS18" i="83"/>
  <c r="CS24" i="83"/>
  <c r="CS23" i="83"/>
  <c r="CI36" i="83"/>
  <c r="CI18" i="83"/>
  <c r="CI17" i="83"/>
  <c r="CI40" i="83"/>
  <c r="CI45" i="83"/>
  <c r="CI11" i="83"/>
  <c r="CI14" i="83"/>
  <c r="CI6" i="83"/>
  <c r="CI8" i="83"/>
  <c r="CI21" i="83"/>
  <c r="CI33" i="83"/>
  <c r="CI20" i="83"/>
  <c r="CI7" i="83"/>
  <c r="CI53" i="83"/>
  <c r="CI23" i="83"/>
  <c r="CI48" i="83"/>
  <c r="CI25" i="83"/>
  <c r="CI38" i="83"/>
  <c r="CI50" i="83"/>
  <c r="CI22" i="83"/>
  <c r="CI44" i="83"/>
  <c r="CI42" i="83"/>
  <c r="CI19" i="83"/>
  <c r="CI13" i="83"/>
  <c r="CI32" i="83"/>
  <c r="CI52" i="83"/>
  <c r="CI26" i="83"/>
  <c r="CI43" i="83"/>
  <c r="CI37" i="83"/>
  <c r="CI35" i="83"/>
  <c r="CI10" i="83"/>
  <c r="CI9" i="83"/>
  <c r="CI29" i="83"/>
  <c r="CI30" i="83"/>
  <c r="CI46" i="83"/>
  <c r="CI12" i="83"/>
  <c r="CI27" i="83"/>
  <c r="CI28" i="83"/>
  <c r="CI41" i="83"/>
  <c r="CI49" i="83"/>
  <c r="CI34" i="83"/>
  <c r="CI51" i="83"/>
  <c r="CI47" i="83"/>
  <c r="CI16" i="83"/>
  <c r="CI15" i="83"/>
  <c r="CI39" i="83"/>
  <c r="CI31" i="83"/>
  <c r="CI24" i="83"/>
  <c r="CF6" i="83"/>
  <c r="CF51" i="83"/>
  <c r="CF7" i="83"/>
  <c r="CF52" i="83"/>
  <c r="CF34" i="83"/>
  <c r="CF18" i="83"/>
  <c r="CF23" i="83"/>
  <c r="CF29" i="83"/>
  <c r="CF49" i="83"/>
  <c r="CF13" i="83"/>
  <c r="CF8" i="83"/>
  <c r="CF47" i="83"/>
  <c r="CF27" i="83"/>
  <c r="CF45" i="83"/>
  <c r="CF30" i="83"/>
  <c r="CF35" i="83"/>
  <c r="CF26" i="83"/>
  <c r="CF16" i="83"/>
  <c r="CF22" i="83"/>
  <c r="CF24" i="83"/>
  <c r="CF50" i="83"/>
  <c r="CF39" i="83"/>
  <c r="CF38" i="83"/>
  <c r="CF31" i="83"/>
  <c r="CF15" i="83"/>
  <c r="CF32" i="83"/>
  <c r="CF33" i="83"/>
  <c r="CF48" i="83"/>
  <c r="CF14" i="83"/>
  <c r="CF9" i="83"/>
  <c r="CF36" i="83"/>
  <c r="CF12" i="83"/>
  <c r="CF42" i="83"/>
  <c r="CF10" i="83"/>
  <c r="CF44" i="83"/>
  <c r="CF43" i="83"/>
  <c r="CF21" i="83"/>
  <c r="CF53" i="83"/>
  <c r="CF46" i="83"/>
  <c r="CF41" i="83"/>
  <c r="CF25" i="83"/>
  <c r="CF28" i="83"/>
  <c r="CF37" i="83"/>
  <c r="CF20" i="83"/>
  <c r="CF19" i="83"/>
  <c r="CF17" i="83"/>
  <c r="CF11" i="83"/>
  <c r="CF40" i="83"/>
  <c r="AQ58" i="83"/>
  <c r="AQ61" i="83"/>
  <c r="AQ60" i="83"/>
  <c r="AQ59" i="83"/>
  <c r="DB7" i="83"/>
  <c r="DB34" i="83"/>
  <c r="G42" i="93" s="1"/>
  <c r="DB32" i="83"/>
  <c r="G36" i="93" s="1"/>
  <c r="DB46" i="83"/>
  <c r="G25" i="93" s="1"/>
  <c r="DB40" i="83"/>
  <c r="G30" i="93" s="1"/>
  <c r="DB51" i="83"/>
  <c r="G44" i="93" s="1"/>
  <c r="DB31" i="83"/>
  <c r="G12" i="93" s="1"/>
  <c r="DB18" i="83"/>
  <c r="G18" i="93" s="1"/>
  <c r="DB36" i="83"/>
  <c r="G49" i="93" s="1"/>
  <c r="DB24" i="83"/>
  <c r="G16" i="93" s="1"/>
  <c r="DB12" i="83"/>
  <c r="G31" i="93" s="1"/>
  <c r="DB11" i="83"/>
  <c r="G11" i="93" s="1"/>
  <c r="DB17" i="83"/>
  <c r="G34" i="93" s="1"/>
  <c r="DB19" i="83"/>
  <c r="G8" i="93" s="1"/>
  <c r="DB35" i="83"/>
  <c r="G20" i="93" s="1"/>
  <c r="DB20" i="83"/>
  <c r="DB27" i="83"/>
  <c r="G9" i="93" s="1"/>
  <c r="DB39" i="83"/>
  <c r="G22" i="93" s="1"/>
  <c r="DB37" i="83"/>
  <c r="G35" i="93" s="1"/>
  <c r="DB15" i="83"/>
  <c r="G14" i="93" s="1"/>
  <c r="DB50" i="83"/>
  <c r="G45" i="93" s="1"/>
  <c r="DB28" i="83"/>
  <c r="G40" i="93" s="1"/>
  <c r="DB41" i="83"/>
  <c r="G41" i="93" s="1"/>
  <c r="DB47" i="83"/>
  <c r="G32" i="93" s="1"/>
  <c r="DB9" i="83"/>
  <c r="DB42" i="83"/>
  <c r="G33" i="93" s="1"/>
  <c r="DB14" i="83"/>
  <c r="G51" i="93" s="1"/>
  <c r="DB10" i="83"/>
  <c r="DB38" i="83"/>
  <c r="G15" i="93" s="1"/>
  <c r="DB13" i="83"/>
  <c r="G47" i="93" s="1"/>
  <c r="DB53" i="83"/>
  <c r="G23" i="93" s="1"/>
  <c r="DB16" i="83"/>
  <c r="G17" i="93" s="1"/>
  <c r="DB23" i="83"/>
  <c r="DB29" i="83"/>
  <c r="G10" i="93" s="1"/>
  <c r="DB8" i="83"/>
  <c r="DB33" i="83"/>
  <c r="G48" i="93" s="1"/>
  <c r="DB43" i="83"/>
  <c r="G24" i="93" s="1"/>
  <c r="DB48" i="83"/>
  <c r="G38" i="93" s="1"/>
  <c r="DB44" i="83"/>
  <c r="G43" i="93" s="1"/>
  <c r="DB26" i="83"/>
  <c r="G37" i="93" s="1"/>
  <c r="DB30" i="83"/>
  <c r="G39" i="93" s="1"/>
  <c r="DB22" i="83"/>
  <c r="DB52" i="83"/>
  <c r="G21" i="93" s="1"/>
  <c r="DB25" i="83"/>
  <c r="G13" i="93" s="1"/>
  <c r="DB45" i="83"/>
  <c r="G50" i="93" s="1"/>
  <c r="DB49" i="83"/>
  <c r="G46" i="93" s="1"/>
  <c r="DB21" i="83"/>
  <c r="G19" i="93" s="1"/>
  <c r="DB6" i="83"/>
  <c r="CY8" i="83"/>
  <c r="CY40" i="83"/>
  <c r="CY52" i="83"/>
  <c r="CY50" i="83"/>
  <c r="CY53" i="83"/>
  <c r="CY12" i="83"/>
  <c r="CY31" i="83"/>
  <c r="CY26" i="83"/>
  <c r="CY48" i="83"/>
  <c r="CY14" i="83"/>
  <c r="CY29" i="83"/>
  <c r="CY13" i="83"/>
  <c r="CY45" i="83"/>
  <c r="CY24" i="83"/>
  <c r="CY41" i="83"/>
  <c r="CY17" i="83"/>
  <c r="CY30" i="83"/>
  <c r="CY10" i="83"/>
  <c r="CY16" i="83"/>
  <c r="CY21" i="83"/>
  <c r="CY25" i="83"/>
  <c r="CY35" i="83"/>
  <c r="CY9" i="83"/>
  <c r="CY32" i="83"/>
  <c r="CY7" i="83"/>
  <c r="CY18" i="83"/>
  <c r="CY42" i="83"/>
  <c r="CY44" i="83"/>
  <c r="CY43" i="83"/>
  <c r="CY38" i="83"/>
  <c r="CY33" i="83"/>
  <c r="CY20" i="83"/>
  <c r="CY49" i="83"/>
  <c r="CY36" i="83"/>
  <c r="CY51" i="83"/>
  <c r="CY37" i="83"/>
  <c r="CY11" i="83"/>
  <c r="CY39" i="83"/>
  <c r="CY6" i="83"/>
  <c r="CY34" i="83"/>
  <c r="CY19" i="83"/>
  <c r="CY47" i="83"/>
  <c r="CY22" i="83"/>
  <c r="CY23" i="83"/>
  <c r="CY27" i="83"/>
  <c r="CY15" i="83"/>
  <c r="CY46" i="83"/>
  <c r="CY28" i="83"/>
  <c r="DD13" i="83"/>
  <c r="I47" i="93" s="1"/>
  <c r="DD46" i="83"/>
  <c r="I25" i="93" s="1"/>
  <c r="DD26" i="83"/>
  <c r="I37" i="93" s="1"/>
  <c r="DD12" i="83"/>
  <c r="I31" i="93" s="1"/>
  <c r="DD34" i="83"/>
  <c r="I42" i="93" s="1"/>
  <c r="DD37" i="83"/>
  <c r="I35" i="93" s="1"/>
  <c r="DD17" i="83"/>
  <c r="I34" i="93" s="1"/>
  <c r="DD27" i="83"/>
  <c r="I9" i="93" s="1"/>
  <c r="DD6" i="83"/>
  <c r="DD31" i="83"/>
  <c r="I12" i="93" s="1"/>
  <c r="DD22" i="83"/>
  <c r="DD18" i="83"/>
  <c r="I18" i="93" s="1"/>
  <c r="DD35" i="83"/>
  <c r="I20" i="93" s="1"/>
  <c r="DD51" i="83"/>
  <c r="I44" i="93" s="1"/>
  <c r="DD36" i="83"/>
  <c r="I49" i="93" s="1"/>
  <c r="DD19" i="83"/>
  <c r="I8" i="93" s="1"/>
  <c r="DD33" i="83"/>
  <c r="I48" i="93" s="1"/>
  <c r="DD49" i="83"/>
  <c r="I46" i="93" s="1"/>
  <c r="DD53" i="83"/>
  <c r="I23" i="93" s="1"/>
  <c r="DD8" i="83"/>
  <c r="DD21" i="83"/>
  <c r="I19" i="93" s="1"/>
  <c r="DD16" i="83"/>
  <c r="I17" i="93" s="1"/>
  <c r="DD43" i="83"/>
  <c r="I24" i="93" s="1"/>
  <c r="DD38" i="83"/>
  <c r="I15" i="93" s="1"/>
  <c r="DD40" i="83"/>
  <c r="I30" i="93" s="1"/>
  <c r="DD10" i="83"/>
  <c r="DD39" i="83"/>
  <c r="I22" i="93" s="1"/>
  <c r="DD15" i="83"/>
  <c r="I14" i="93" s="1"/>
  <c r="DD11" i="83"/>
  <c r="I11" i="93" s="1"/>
  <c r="DD24" i="83"/>
  <c r="I16" i="93" s="1"/>
  <c r="DD48" i="83"/>
  <c r="I38" i="93" s="1"/>
  <c r="DD29" i="83"/>
  <c r="I10" i="93" s="1"/>
  <c r="DD44" i="83"/>
  <c r="I43" i="93" s="1"/>
  <c r="DD30" i="83"/>
  <c r="I39" i="93" s="1"/>
  <c r="DD9" i="83"/>
  <c r="DD25" i="83"/>
  <c r="I13" i="93" s="1"/>
  <c r="DD14" i="83"/>
  <c r="I51" i="93" s="1"/>
  <c r="DD42" i="83"/>
  <c r="I33" i="93" s="1"/>
  <c r="DD47" i="83"/>
  <c r="I32" i="93" s="1"/>
  <c r="DD45" i="83"/>
  <c r="I50" i="93" s="1"/>
  <c r="DD7" i="83"/>
  <c r="DD41" i="83"/>
  <c r="I41" i="93" s="1"/>
  <c r="DD28" i="83"/>
  <c r="I40" i="93" s="1"/>
  <c r="DD50" i="83"/>
  <c r="I45" i="93" s="1"/>
  <c r="DD32" i="83"/>
  <c r="I36" i="93" s="1"/>
  <c r="DD23" i="83"/>
  <c r="DD52" i="83"/>
  <c r="I21" i="93" s="1"/>
  <c r="DD20" i="83"/>
  <c r="CC9" i="83"/>
  <c r="CC30" i="83"/>
  <c r="CC40" i="83"/>
  <c r="CC6" i="83"/>
  <c r="CC34" i="83"/>
  <c r="CC38" i="83"/>
  <c r="CC32" i="83"/>
  <c r="CC51" i="83"/>
  <c r="CC29" i="83"/>
  <c r="CC18" i="83"/>
  <c r="CC16" i="83"/>
  <c r="CC22" i="83"/>
  <c r="CC49" i="83"/>
  <c r="CC42" i="83"/>
  <c r="CC39" i="83"/>
  <c r="CC19" i="83"/>
  <c r="CC10" i="83"/>
  <c r="CC23" i="83"/>
  <c r="CC43" i="83"/>
  <c r="CC47" i="83"/>
  <c r="CC37" i="83"/>
  <c r="CC20" i="83"/>
  <c r="CC50" i="83"/>
  <c r="CC31" i="83"/>
  <c r="CC53" i="83"/>
  <c r="CC46" i="83"/>
  <c r="CC12" i="83"/>
  <c r="CC52" i="83"/>
  <c r="CC8" i="83"/>
  <c r="CC7" i="83"/>
  <c r="CC21" i="83"/>
  <c r="CC27" i="83"/>
  <c r="CC36" i="83"/>
  <c r="CC41" i="83"/>
  <c r="CC35" i="83"/>
  <c r="CC33" i="83"/>
  <c r="CC45" i="83"/>
  <c r="CC14" i="83"/>
  <c r="CC28" i="83"/>
  <c r="CC17" i="83"/>
  <c r="CC48" i="83"/>
  <c r="CC24" i="83"/>
  <c r="CC25" i="83"/>
  <c r="CC26" i="83"/>
  <c r="CC44" i="83"/>
  <c r="CC11" i="83"/>
  <c r="CC13" i="83"/>
  <c r="CC15" i="83"/>
  <c r="CM11" i="83"/>
  <c r="CM40" i="83"/>
  <c r="CM50" i="83"/>
  <c r="CM44" i="83"/>
  <c r="CM52" i="83"/>
  <c r="CM15" i="83"/>
  <c r="CM39" i="83"/>
  <c r="CM32" i="83"/>
  <c r="CM27" i="83"/>
  <c r="CM14" i="83"/>
  <c r="CM21" i="83"/>
  <c r="CM24" i="83"/>
  <c r="CM42" i="83"/>
  <c r="CM8" i="83"/>
  <c r="CM30" i="83"/>
  <c r="CM26" i="83"/>
  <c r="CM7" i="83"/>
  <c r="CM23" i="83"/>
  <c r="CM34" i="83"/>
  <c r="CM37" i="83"/>
  <c r="CM53" i="83"/>
  <c r="CM47" i="83"/>
  <c r="CM6" i="83"/>
  <c r="CM9" i="83"/>
  <c r="CM51" i="83"/>
  <c r="CM33" i="83"/>
  <c r="CM12" i="83"/>
  <c r="CM16" i="83"/>
  <c r="CM43" i="83"/>
  <c r="CM20" i="83"/>
  <c r="CM45" i="83"/>
  <c r="CM10" i="83"/>
  <c r="CM48" i="83"/>
  <c r="CM38" i="83"/>
  <c r="CM29" i="83"/>
  <c r="CM17" i="83"/>
  <c r="CM22" i="83"/>
  <c r="CM25" i="83"/>
  <c r="CM36" i="83"/>
  <c r="CM28" i="83"/>
  <c r="CM13" i="83"/>
  <c r="CM31" i="83"/>
  <c r="CM35" i="83"/>
  <c r="CM46" i="83"/>
  <c r="CM18" i="83"/>
  <c r="CM19" i="83"/>
  <c r="CM41" i="83"/>
  <c r="CM49" i="83"/>
  <c r="CQ32" i="83"/>
  <c r="CQ38" i="83"/>
  <c r="CQ10" i="83"/>
  <c r="CQ15" i="83"/>
  <c r="CQ43" i="83"/>
  <c r="CQ35" i="83"/>
  <c r="CQ16" i="83"/>
  <c r="CQ14" i="83"/>
  <c r="CQ24" i="83"/>
  <c r="CQ42" i="83"/>
  <c r="CQ17" i="83"/>
  <c r="CQ25" i="83"/>
  <c r="CQ8" i="83"/>
  <c r="CQ53" i="83"/>
  <c r="CQ21" i="83"/>
  <c r="CQ27" i="83"/>
  <c r="CQ44" i="83"/>
  <c r="CQ30" i="83"/>
  <c r="CQ13" i="83"/>
  <c r="CQ33" i="83"/>
  <c r="CQ11" i="83"/>
  <c r="CQ22" i="83"/>
  <c r="CQ37" i="83"/>
  <c r="CQ9" i="83"/>
  <c r="CQ6" i="83"/>
  <c r="CQ47" i="83"/>
  <c r="CQ18" i="83"/>
  <c r="CQ45" i="83"/>
  <c r="CQ49" i="83"/>
  <c r="CQ50" i="83"/>
  <c r="CQ41" i="83"/>
  <c r="CQ39" i="83"/>
  <c r="CQ29" i="83"/>
  <c r="CQ48" i="83"/>
  <c r="CQ31" i="83"/>
  <c r="CQ28" i="83"/>
  <c r="CQ7" i="83"/>
  <c r="CQ40" i="83"/>
  <c r="CQ23" i="83"/>
  <c r="CQ34" i="83"/>
  <c r="CQ51" i="83"/>
  <c r="CQ20" i="83"/>
  <c r="CQ26" i="83"/>
  <c r="CQ46" i="83"/>
  <c r="CQ52" i="83"/>
  <c r="CQ19" i="83"/>
  <c r="CQ12" i="83"/>
  <c r="CQ36" i="83"/>
  <c r="BW59" i="83"/>
  <c r="BW58" i="83"/>
  <c r="BW61" i="83"/>
  <c r="BW60" i="83"/>
  <c r="BJ61" i="83"/>
  <c r="BJ60" i="83"/>
  <c r="BJ59" i="83"/>
  <c r="BJ58" i="83"/>
  <c r="CX43" i="83"/>
  <c r="CX40" i="83"/>
  <c r="CX39" i="83"/>
  <c r="CX14" i="83"/>
  <c r="CX53" i="83"/>
  <c r="CX41" i="83"/>
  <c r="CO47" i="83"/>
  <c r="CO8" i="83"/>
  <c r="CO45" i="83"/>
  <c r="CO48" i="83"/>
  <c r="CO12" i="83"/>
  <c r="CO49" i="83"/>
  <c r="AB60" i="83"/>
  <c r="AB59" i="83"/>
  <c r="AB58" i="83"/>
  <c r="AB61" i="83"/>
  <c r="BF59" i="83"/>
  <c r="BF58" i="83"/>
  <c r="BF61" i="83"/>
  <c r="BF60" i="83"/>
  <c r="J59" i="83"/>
  <c r="J58" i="83"/>
  <c r="J61" i="83"/>
  <c r="J60" i="83"/>
  <c r="I58" i="83"/>
  <c r="I61" i="83"/>
  <c r="I60" i="83"/>
  <c r="I59" i="83"/>
  <c r="CE6" i="83"/>
  <c r="CE42" i="83"/>
  <c r="CE20" i="83"/>
  <c r="CE14" i="83"/>
  <c r="CE22" i="83"/>
  <c r="CE38" i="83"/>
  <c r="CE11" i="83"/>
  <c r="CE41" i="83"/>
  <c r="CE48" i="83"/>
  <c r="CE45" i="83"/>
  <c r="CE49" i="83"/>
  <c r="CE16" i="83"/>
  <c r="CE53" i="83"/>
  <c r="CE40" i="83"/>
  <c r="CE32" i="83"/>
  <c r="CE44" i="83"/>
  <c r="CE30" i="83"/>
  <c r="CE26" i="83"/>
  <c r="CE47" i="83"/>
  <c r="CE50" i="83"/>
  <c r="CE37" i="83"/>
  <c r="CE8" i="83"/>
  <c r="CE24" i="83"/>
  <c r="CE21" i="83"/>
  <c r="CE29" i="83"/>
  <c r="CE12" i="83"/>
  <c r="CE39" i="83"/>
  <c r="CE25" i="83"/>
  <c r="CE36" i="83"/>
  <c r="CE18" i="83"/>
  <c r="CE34" i="83"/>
  <c r="CE43" i="83"/>
  <c r="CE17" i="83"/>
  <c r="CE9" i="83"/>
  <c r="CE27" i="83"/>
  <c r="CE7" i="83"/>
  <c r="CE51" i="83"/>
  <c r="CE15" i="83"/>
  <c r="CE28" i="83"/>
  <c r="CE13" i="83"/>
  <c r="CE31" i="83"/>
  <c r="CE10" i="83"/>
  <c r="CE19" i="83"/>
  <c r="CE23" i="83"/>
  <c r="CE46" i="83"/>
  <c r="CE52" i="83"/>
  <c r="CE35" i="83"/>
  <c r="CE33" i="83"/>
  <c r="AT61" i="83"/>
  <c r="AT60" i="83"/>
  <c r="AT59" i="83"/>
  <c r="AT58" i="83"/>
  <c r="S61" i="83"/>
  <c r="S60" i="83"/>
  <c r="S59" i="83"/>
  <c r="S58" i="83"/>
  <c r="AA58" i="83"/>
  <c r="AA61" i="83"/>
  <c r="AA60" i="83"/>
  <c r="AA59" i="83"/>
  <c r="CX8" i="83"/>
  <c r="CX46" i="83"/>
  <c r="CX50" i="83"/>
  <c r="CX30" i="83"/>
  <c r="CX20" i="83"/>
  <c r="CX45" i="83"/>
  <c r="CO20" i="83"/>
  <c r="CO26" i="83"/>
  <c r="CO41" i="83"/>
  <c r="CO46" i="83"/>
  <c r="CO34" i="83"/>
  <c r="CO19" i="83"/>
  <c r="X60" i="83"/>
  <c r="X59" i="83"/>
  <c r="X58" i="83"/>
  <c r="X61" i="83"/>
  <c r="BS60" i="83"/>
  <c r="BS61" i="83"/>
  <c r="BS59" i="83"/>
  <c r="BS58" i="83"/>
  <c r="V61" i="83"/>
  <c r="V60" i="83"/>
  <c r="V59" i="83"/>
  <c r="V58" i="83"/>
  <c r="BC59" i="83"/>
  <c r="BC58" i="83"/>
  <c r="BC60" i="83"/>
  <c r="BC61" i="83"/>
  <c r="W60" i="83"/>
  <c r="W58" i="83"/>
  <c r="W61" i="83"/>
  <c r="W59" i="83"/>
  <c r="BV58" i="83"/>
  <c r="BV61" i="83"/>
  <c r="BV60" i="83"/>
  <c r="BV59" i="83"/>
  <c r="M58" i="83"/>
  <c r="M61" i="83"/>
  <c r="M60" i="83"/>
  <c r="M59" i="83"/>
  <c r="BY60" i="83"/>
  <c r="BY59" i="83"/>
  <c r="BY58" i="83"/>
  <c r="BY61" i="83"/>
  <c r="AM60" i="83"/>
  <c r="AM59" i="83"/>
  <c r="AM58" i="83"/>
  <c r="AM61" i="83"/>
  <c r="CD58" i="83"/>
  <c r="CD61" i="83"/>
  <c r="CD60" i="83"/>
  <c r="CD59" i="83"/>
  <c r="AW59" i="83"/>
  <c r="AW58" i="83"/>
  <c r="AW61" i="83"/>
  <c r="AW60" i="83"/>
  <c r="BK58" i="83"/>
  <c r="BK60" i="83"/>
  <c r="BK61" i="83"/>
  <c r="BK59" i="83"/>
  <c r="CX26" i="83"/>
  <c r="CX24" i="83"/>
  <c r="CX52" i="83"/>
  <c r="CX22" i="83"/>
  <c r="CX47" i="83"/>
  <c r="CX51" i="83"/>
  <c r="CO43" i="83"/>
  <c r="CO18" i="83"/>
  <c r="CO52" i="83"/>
  <c r="CO44" i="83"/>
  <c r="CO9" i="83"/>
  <c r="CO15" i="83"/>
  <c r="AC61" i="83"/>
  <c r="AC60" i="83"/>
  <c r="AC59" i="83"/>
  <c r="AC58" i="83"/>
  <c r="BD58" i="83"/>
  <c r="BD61" i="83"/>
  <c r="BD60" i="83"/>
  <c r="BD59" i="83"/>
  <c r="BB61" i="83"/>
  <c r="BB60" i="83"/>
  <c r="BB59" i="83"/>
  <c r="BB58" i="83"/>
  <c r="Q61" i="83"/>
  <c r="Q60" i="83"/>
  <c r="Q59" i="83"/>
  <c r="Q58" i="83"/>
  <c r="E58" i="83"/>
  <c r="E61" i="83"/>
  <c r="E60" i="83"/>
  <c r="E59" i="83"/>
  <c r="BP59" i="83"/>
  <c r="BP58" i="83"/>
  <c r="BP61" i="83"/>
  <c r="BP60" i="83"/>
  <c r="AV60" i="83"/>
  <c r="AV61" i="83"/>
  <c r="AV59" i="83"/>
  <c r="AV58" i="83"/>
  <c r="P61" i="83"/>
  <c r="P59" i="83"/>
  <c r="P60" i="83"/>
  <c r="P58" i="83"/>
  <c r="BG60" i="83"/>
  <c r="BG59" i="83"/>
  <c r="BG58" i="83"/>
  <c r="BG61" i="83"/>
  <c r="CX34" i="83"/>
  <c r="CX11" i="83"/>
  <c r="CX49" i="83"/>
  <c r="CX7" i="83"/>
  <c r="CX21" i="83"/>
  <c r="CX31" i="83"/>
  <c r="CO11" i="83"/>
  <c r="CO30" i="83"/>
  <c r="CO22" i="83"/>
  <c r="CO7" i="83"/>
  <c r="CO51" i="83"/>
  <c r="CO16" i="83"/>
  <c r="CB60" i="83"/>
  <c r="CB59" i="83"/>
  <c r="CB58" i="83"/>
  <c r="CB61" i="83"/>
  <c r="AX58" i="83"/>
  <c r="AX61" i="83"/>
  <c r="AX60" i="83"/>
  <c r="AX59" i="83"/>
  <c r="BO60" i="83"/>
  <c r="BO59" i="83"/>
  <c r="BO58" i="83"/>
  <c r="BO61" i="83"/>
  <c r="BN59" i="83"/>
  <c r="BN58" i="83"/>
  <c r="BN61" i="83"/>
  <c r="BN60" i="83"/>
  <c r="DC25" i="83"/>
  <c r="H13" i="93" s="1"/>
  <c r="DC30" i="83"/>
  <c r="H39" i="93" s="1"/>
  <c r="DC53" i="83"/>
  <c r="H23" i="93" s="1"/>
  <c r="DC14" i="83"/>
  <c r="H51" i="93" s="1"/>
  <c r="DC47" i="83"/>
  <c r="H32" i="93" s="1"/>
  <c r="DC23" i="83"/>
  <c r="DC26" i="83"/>
  <c r="H37" i="93" s="1"/>
  <c r="DC12" i="83"/>
  <c r="H31" i="93" s="1"/>
  <c r="DC40" i="83"/>
  <c r="H30" i="93" s="1"/>
  <c r="DC41" i="83"/>
  <c r="H41" i="93" s="1"/>
  <c r="DC6" i="83"/>
  <c r="DC10" i="83"/>
  <c r="DC20" i="83"/>
  <c r="DC22" i="83"/>
  <c r="DC48" i="83"/>
  <c r="H38" i="93" s="1"/>
  <c r="DC11" i="83"/>
  <c r="H11" i="93" s="1"/>
  <c r="DC15" i="83"/>
  <c r="H14" i="93" s="1"/>
  <c r="DC39" i="83"/>
  <c r="H22" i="93" s="1"/>
  <c r="DC52" i="83"/>
  <c r="H21" i="93" s="1"/>
  <c r="DC44" i="83"/>
  <c r="H43" i="93" s="1"/>
  <c r="DC36" i="83"/>
  <c r="H49" i="93" s="1"/>
  <c r="DC17" i="83"/>
  <c r="H34" i="93" s="1"/>
  <c r="DC19" i="83"/>
  <c r="H8" i="93" s="1"/>
  <c r="DC28" i="83"/>
  <c r="H40" i="93" s="1"/>
  <c r="DC16" i="83"/>
  <c r="H17" i="93" s="1"/>
  <c r="DC42" i="83"/>
  <c r="H33" i="93" s="1"/>
  <c r="DC34" i="83"/>
  <c r="H42" i="93" s="1"/>
  <c r="DC51" i="83"/>
  <c r="H44" i="93" s="1"/>
  <c r="DC9" i="83"/>
  <c r="DC45" i="83"/>
  <c r="H50" i="93" s="1"/>
  <c r="DC21" i="83"/>
  <c r="H19" i="93" s="1"/>
  <c r="DC29" i="83"/>
  <c r="H10" i="93" s="1"/>
  <c r="DC49" i="83"/>
  <c r="H46" i="93" s="1"/>
  <c r="DC35" i="83"/>
  <c r="H20" i="93" s="1"/>
  <c r="DC18" i="83"/>
  <c r="H18" i="93" s="1"/>
  <c r="DC33" i="83"/>
  <c r="H48" i="93" s="1"/>
  <c r="DC31" i="83"/>
  <c r="H12" i="93" s="1"/>
  <c r="DC50" i="83"/>
  <c r="H45" i="93" s="1"/>
  <c r="DC46" i="83"/>
  <c r="H25" i="93" s="1"/>
  <c r="DC37" i="83"/>
  <c r="H35" i="93" s="1"/>
  <c r="DC27" i="83"/>
  <c r="H9" i="93" s="1"/>
  <c r="DC32" i="83"/>
  <c r="H36" i="93" s="1"/>
  <c r="DC43" i="83"/>
  <c r="H24" i="93" s="1"/>
  <c r="DC38" i="83"/>
  <c r="H15" i="93" s="1"/>
  <c r="DC7" i="83"/>
  <c r="DC13" i="83"/>
  <c r="H47" i="93" s="1"/>
  <c r="DC24" i="83"/>
  <c r="H16" i="93" s="1"/>
  <c r="DC8" i="83"/>
  <c r="BE58" i="83"/>
  <c r="BE61" i="83"/>
  <c r="BE60" i="83"/>
  <c r="BE59" i="83"/>
  <c r="BT61" i="83"/>
  <c r="BT60" i="83"/>
  <c r="BT59" i="83"/>
  <c r="BT58" i="83"/>
  <c r="AO61" i="83"/>
  <c r="AO60" i="83"/>
  <c r="AO59" i="83"/>
  <c r="AO58" i="83"/>
  <c r="AE59" i="83"/>
  <c r="AE60" i="83"/>
  <c r="AE58" i="83"/>
  <c r="AE61" i="83"/>
  <c r="CX28" i="83"/>
  <c r="CX48" i="83"/>
  <c r="CX10" i="83"/>
  <c r="CX37" i="83"/>
  <c r="CX23" i="83"/>
  <c r="CX33" i="83"/>
  <c r="CO36" i="83"/>
  <c r="CO28" i="83"/>
  <c r="CO14" i="83"/>
  <c r="CO50" i="83"/>
  <c r="CO24" i="83"/>
  <c r="CO27" i="83"/>
  <c r="K58" i="83"/>
  <c r="K61" i="83"/>
  <c r="K60" i="83"/>
  <c r="K59" i="83"/>
  <c r="AL61" i="83"/>
  <c r="AL60" i="83"/>
  <c r="AL59" i="83"/>
  <c r="AL58" i="83"/>
  <c r="AP58" i="83"/>
  <c r="AP61" i="83"/>
  <c r="AP60" i="83"/>
  <c r="AP59" i="83"/>
  <c r="BL60" i="83"/>
  <c r="BL59" i="83"/>
  <c r="BL58" i="83"/>
  <c r="BL61" i="83"/>
  <c r="AF60" i="83"/>
  <c r="AF59" i="83"/>
  <c r="AF58" i="83"/>
  <c r="AF61" i="83"/>
  <c r="F61" i="83"/>
  <c r="F60" i="83"/>
  <c r="F59" i="83"/>
  <c r="F58" i="83"/>
  <c r="CA60" i="83"/>
  <c r="CA58" i="83"/>
  <c r="CA61" i="83"/>
  <c r="CA59" i="83"/>
  <c r="DA24" i="83"/>
  <c r="F16" i="93" s="1"/>
  <c r="DA15" i="83"/>
  <c r="F14" i="93" s="1"/>
  <c r="DA51" i="83"/>
  <c r="F44" i="93" s="1"/>
  <c r="DA17" i="83"/>
  <c r="F34" i="93" s="1"/>
  <c r="DA29" i="83"/>
  <c r="F10" i="93" s="1"/>
  <c r="DA35" i="83"/>
  <c r="F20" i="93" s="1"/>
  <c r="DA13" i="83"/>
  <c r="F47" i="93" s="1"/>
  <c r="DA33" i="83"/>
  <c r="F48" i="93" s="1"/>
  <c r="DA16" i="83"/>
  <c r="F17" i="93" s="1"/>
  <c r="DA19" i="83"/>
  <c r="F8" i="93" s="1"/>
  <c r="DA53" i="83"/>
  <c r="F23" i="93" s="1"/>
  <c r="DA45" i="83"/>
  <c r="F50" i="93" s="1"/>
  <c r="DA31" i="83"/>
  <c r="F12" i="93" s="1"/>
  <c r="DA39" i="83"/>
  <c r="F22" i="93" s="1"/>
  <c r="DA21" i="83"/>
  <c r="F19" i="93" s="1"/>
  <c r="DA6" i="83"/>
  <c r="DA41" i="83"/>
  <c r="F41" i="93" s="1"/>
  <c r="DA32" i="83"/>
  <c r="F36" i="93" s="1"/>
  <c r="DA23" i="83"/>
  <c r="DA49" i="83"/>
  <c r="F46" i="93" s="1"/>
  <c r="DA12" i="83"/>
  <c r="F31" i="93" s="1"/>
  <c r="DA22" i="83"/>
  <c r="DA28" i="83"/>
  <c r="F40" i="93" s="1"/>
  <c r="DA18" i="83"/>
  <c r="F18" i="93" s="1"/>
  <c r="DA14" i="83"/>
  <c r="F51" i="93" s="1"/>
  <c r="DA34" i="83"/>
  <c r="F42" i="93" s="1"/>
  <c r="DA27" i="83"/>
  <c r="F9" i="93" s="1"/>
  <c r="DA46" i="83"/>
  <c r="F25" i="93" s="1"/>
  <c r="DA52" i="83"/>
  <c r="F21" i="93" s="1"/>
  <c r="DA7" i="83"/>
  <c r="DA42" i="83"/>
  <c r="F33" i="93" s="1"/>
  <c r="DA44" i="83"/>
  <c r="F43" i="93" s="1"/>
  <c r="DA26" i="83"/>
  <c r="F37" i="93" s="1"/>
  <c r="DA20" i="83"/>
  <c r="DA37" i="83"/>
  <c r="F35" i="93" s="1"/>
  <c r="DA11" i="83"/>
  <c r="F11" i="93" s="1"/>
  <c r="DA50" i="83"/>
  <c r="F45" i="93" s="1"/>
  <c r="DA10" i="83"/>
  <c r="DA25" i="83"/>
  <c r="F13" i="93" s="1"/>
  <c r="DA40" i="83"/>
  <c r="F30" i="93" s="1"/>
  <c r="DA9" i="83"/>
  <c r="DA38" i="83"/>
  <c r="F15" i="93" s="1"/>
  <c r="DA47" i="83"/>
  <c r="F32" i="93" s="1"/>
  <c r="DA48" i="83"/>
  <c r="F38" i="93" s="1"/>
  <c r="DA8" i="83"/>
  <c r="DA36" i="83"/>
  <c r="F49" i="93" s="1"/>
  <c r="DA30" i="83"/>
  <c r="F39" i="93" s="1"/>
  <c r="DA43" i="83"/>
  <c r="F24" i="93" s="1"/>
  <c r="DE33" i="83"/>
  <c r="J48" i="93" s="1"/>
  <c r="DE25" i="83"/>
  <c r="J13" i="93" s="1"/>
  <c r="DE29" i="83"/>
  <c r="J10" i="93" s="1"/>
  <c r="DE42" i="83"/>
  <c r="J33" i="93" s="1"/>
  <c r="DE24" i="83"/>
  <c r="J16" i="93" s="1"/>
  <c r="DE8" i="83"/>
  <c r="DE13" i="83"/>
  <c r="J47" i="93" s="1"/>
  <c r="DE36" i="83"/>
  <c r="J49" i="93" s="1"/>
  <c r="DE38" i="83"/>
  <c r="J15" i="93" s="1"/>
  <c r="DE53" i="83"/>
  <c r="J23" i="93" s="1"/>
  <c r="DE7" i="83"/>
  <c r="DE39" i="83"/>
  <c r="J22" i="93" s="1"/>
  <c r="DE17" i="83"/>
  <c r="J34" i="93" s="1"/>
  <c r="DE34" i="83"/>
  <c r="J42" i="93" s="1"/>
  <c r="DE18" i="83"/>
  <c r="J18" i="93" s="1"/>
  <c r="DE40" i="83"/>
  <c r="J30" i="93" s="1"/>
  <c r="DE20" i="83"/>
  <c r="DE30" i="83"/>
  <c r="J39" i="93" s="1"/>
  <c r="DE9" i="83"/>
  <c r="DE10" i="83"/>
  <c r="DE31" i="83"/>
  <c r="J12" i="93" s="1"/>
  <c r="DE12" i="83"/>
  <c r="J31" i="93" s="1"/>
  <c r="DE6" i="83"/>
  <c r="DE26" i="83"/>
  <c r="J37" i="93" s="1"/>
  <c r="DE15" i="83"/>
  <c r="J14" i="93" s="1"/>
  <c r="DE16" i="83"/>
  <c r="J17" i="93" s="1"/>
  <c r="DE46" i="83"/>
  <c r="J25" i="93" s="1"/>
  <c r="DE21" i="83"/>
  <c r="J19" i="93" s="1"/>
  <c r="DE28" i="83"/>
  <c r="J40" i="93" s="1"/>
  <c r="DE51" i="83"/>
  <c r="J44" i="93" s="1"/>
  <c r="DE50" i="83"/>
  <c r="J45" i="93" s="1"/>
  <c r="DE19" i="83"/>
  <c r="J8" i="93" s="1"/>
  <c r="DE45" i="83"/>
  <c r="J50" i="93" s="1"/>
  <c r="DE23" i="83"/>
  <c r="DE41" i="83"/>
  <c r="J41" i="93" s="1"/>
  <c r="DE49" i="83"/>
  <c r="J46" i="93" s="1"/>
  <c r="DE11" i="83"/>
  <c r="J11" i="93" s="1"/>
  <c r="DE27" i="83"/>
  <c r="J9" i="93" s="1"/>
  <c r="DE32" i="83"/>
  <c r="J36" i="93" s="1"/>
  <c r="DE43" i="83"/>
  <c r="J24" i="93" s="1"/>
  <c r="DE22" i="83"/>
  <c r="DE48" i="83"/>
  <c r="J38" i="93" s="1"/>
  <c r="DE37" i="83"/>
  <c r="J35" i="93" s="1"/>
  <c r="DE35" i="83"/>
  <c r="J20" i="93" s="1"/>
  <c r="DE14" i="83"/>
  <c r="J51" i="93" s="1"/>
  <c r="DE44" i="83"/>
  <c r="J43" i="93" s="1"/>
  <c r="DE52" i="83"/>
  <c r="J21" i="93" s="1"/>
  <c r="DE47" i="83"/>
  <c r="J32" i="93" s="1"/>
  <c r="CV17" i="83"/>
  <c r="CV12" i="83"/>
  <c r="CV42" i="83"/>
  <c r="CV26" i="83"/>
  <c r="CV31" i="83"/>
  <c r="CV33" i="83"/>
  <c r="CV24" i="83"/>
  <c r="CV9" i="83"/>
  <c r="CV25" i="83"/>
  <c r="CV11" i="83"/>
  <c r="CV7" i="83"/>
  <c r="CV49" i="83"/>
  <c r="CV44" i="83"/>
  <c r="CV18" i="83"/>
  <c r="CV30" i="83"/>
  <c r="CV29" i="83"/>
  <c r="CV48" i="83"/>
  <c r="CV20" i="83"/>
  <c r="CV10" i="83"/>
  <c r="CV22" i="83"/>
  <c r="CV8" i="83"/>
  <c r="CV39" i="83"/>
  <c r="CV41" i="83"/>
  <c r="CV47" i="83"/>
  <c r="CV51" i="83"/>
  <c r="CV46" i="83"/>
  <c r="CV6" i="83"/>
  <c r="CV21" i="83"/>
  <c r="CV35" i="83"/>
  <c r="CV14" i="83"/>
  <c r="CV36" i="83"/>
  <c r="CV16" i="83"/>
  <c r="CV34" i="83"/>
  <c r="CV43" i="83"/>
  <c r="CV40" i="83"/>
  <c r="CV27" i="83"/>
  <c r="CV13" i="83"/>
  <c r="CV45" i="83"/>
  <c r="CV38" i="83"/>
  <c r="CV19" i="83"/>
  <c r="CV32" i="83"/>
  <c r="CV37" i="83"/>
  <c r="CV52" i="83"/>
  <c r="CV53" i="83"/>
  <c r="CV50" i="83"/>
  <c r="CV28" i="83"/>
  <c r="CV23" i="83"/>
  <c r="CV15" i="83"/>
  <c r="CL8" i="83"/>
  <c r="CL44" i="83"/>
  <c r="CL45" i="83"/>
  <c r="CL51" i="83"/>
  <c r="CL9" i="83"/>
  <c r="CL11" i="83"/>
  <c r="CL30" i="83"/>
  <c r="CL13" i="83"/>
  <c r="CL14" i="83"/>
  <c r="CL52" i="83"/>
  <c r="CL28" i="83"/>
  <c r="CL49" i="83"/>
  <c r="CL16" i="83"/>
  <c r="CL46" i="83"/>
  <c r="CL23" i="83"/>
  <c r="CL37" i="83"/>
  <c r="CL21" i="83"/>
  <c r="CL43" i="83"/>
  <c r="CL53" i="83"/>
  <c r="CL22" i="83"/>
  <c r="CL25" i="83"/>
  <c r="CL42" i="83"/>
  <c r="CL18" i="83"/>
  <c r="CL41" i="83"/>
  <c r="CL24" i="83"/>
  <c r="CL19" i="83"/>
  <c r="CL29" i="83"/>
  <c r="CL31" i="83"/>
  <c r="CL36" i="83"/>
  <c r="CL38" i="83"/>
  <c r="CL6" i="83"/>
  <c r="CL33" i="83"/>
  <c r="CL12" i="83"/>
  <c r="CL35" i="83"/>
  <c r="CL7" i="83"/>
  <c r="CL17" i="83"/>
  <c r="CL40" i="83"/>
  <c r="CL26" i="83"/>
  <c r="CL48" i="83"/>
  <c r="CL32" i="83"/>
  <c r="CL27" i="83"/>
  <c r="CL15" i="83"/>
  <c r="CL20" i="83"/>
  <c r="CL39" i="83"/>
  <c r="CL47" i="83"/>
  <c r="CL34" i="83"/>
  <c r="CL50" i="83"/>
  <c r="CL10" i="83"/>
  <c r="CN47" i="83"/>
  <c r="CN28" i="83"/>
  <c r="CN43" i="83"/>
  <c r="CN50" i="83"/>
  <c r="CN33" i="83"/>
  <c r="CN27" i="83"/>
  <c r="CN19" i="83"/>
  <c r="CN7" i="83"/>
  <c r="CN23" i="83"/>
  <c r="CN34" i="83"/>
  <c r="CN35" i="83"/>
  <c r="CN31" i="83"/>
  <c r="CN36" i="83"/>
  <c r="CN6" i="83"/>
  <c r="CN40" i="83"/>
  <c r="CN32" i="83"/>
  <c r="CN53" i="83"/>
  <c r="CN46" i="83"/>
  <c r="CN15" i="83"/>
  <c r="CN39" i="83"/>
  <c r="CN8" i="83"/>
  <c r="CN52" i="83"/>
  <c r="CN25" i="83"/>
  <c r="CN38" i="83"/>
  <c r="CN22" i="83"/>
  <c r="CN9" i="83"/>
  <c r="CN44" i="83"/>
  <c r="CN49" i="83"/>
  <c r="CN14" i="83"/>
  <c r="CN16" i="83"/>
  <c r="CN26" i="83"/>
  <c r="CN18" i="83"/>
  <c r="CN29" i="83"/>
  <c r="CN48" i="83"/>
  <c r="CN20" i="83"/>
  <c r="CN45" i="83"/>
  <c r="CN13" i="83"/>
  <c r="CN24" i="83"/>
  <c r="CN41" i="83"/>
  <c r="CN21" i="83"/>
  <c r="CN11" i="83"/>
  <c r="CN37" i="83"/>
  <c r="CN10" i="83"/>
  <c r="CN30" i="83"/>
  <c r="CN42" i="83"/>
  <c r="CN12" i="83"/>
  <c r="CN51" i="83"/>
  <c r="CN17" i="83"/>
  <c r="AG59" i="83"/>
  <c r="AG58" i="83"/>
  <c r="AG61" i="83"/>
  <c r="AG60" i="83"/>
  <c r="BX58" i="83"/>
  <c r="BX61" i="83"/>
  <c r="BX60" i="83"/>
  <c r="BX59" i="83"/>
  <c r="CX16" i="83"/>
  <c r="CX9" i="83"/>
  <c r="CX38" i="83"/>
  <c r="CX36" i="83"/>
  <c r="CX32" i="83"/>
  <c r="CX29" i="83"/>
  <c r="CO37" i="83"/>
  <c r="CO6" i="83"/>
  <c r="CO31" i="83"/>
  <c r="CO25" i="83"/>
  <c r="CO40" i="83"/>
  <c r="CO38" i="83"/>
  <c r="L60" i="83"/>
  <c r="L59" i="83"/>
  <c r="L58" i="83"/>
  <c r="L61" i="83"/>
  <c r="U61" i="83"/>
  <c r="U60" i="83"/>
  <c r="U59" i="83"/>
  <c r="U58" i="83"/>
  <c r="T61" i="83"/>
  <c r="T60" i="83"/>
  <c r="T59" i="83"/>
  <c r="T58" i="83"/>
  <c r="CH51" i="83"/>
  <c r="CH20" i="83"/>
  <c r="CH41" i="83"/>
  <c r="CH36" i="83"/>
  <c r="CH42" i="83"/>
  <c r="CH38" i="83"/>
  <c r="CH52" i="83"/>
  <c r="CH43" i="83"/>
  <c r="CH21" i="83"/>
  <c r="CH13" i="83"/>
  <c r="CH28" i="83"/>
  <c r="CH29" i="83"/>
  <c r="CH27" i="83"/>
  <c r="CH26" i="83"/>
  <c r="CH33" i="83"/>
  <c r="CH14" i="83"/>
  <c r="CH7" i="83"/>
  <c r="CH32" i="83"/>
  <c r="CH16" i="83"/>
  <c r="CH9" i="83"/>
  <c r="CH48" i="83"/>
  <c r="CH10" i="83"/>
  <c r="CH18" i="83"/>
  <c r="CH49" i="83"/>
  <c r="CH23" i="83"/>
  <c r="CH35" i="83"/>
  <c r="CH12" i="83"/>
  <c r="CH44" i="83"/>
  <c r="CH47" i="83"/>
  <c r="CH37" i="83"/>
  <c r="CH24" i="83"/>
  <c r="CH8" i="83"/>
  <c r="CH22" i="83"/>
  <c r="CH46" i="83"/>
  <c r="CH17" i="83"/>
  <c r="CH50" i="83"/>
  <c r="CH15" i="83"/>
  <c r="CH6" i="83"/>
  <c r="CH34" i="83"/>
  <c r="CH19" i="83"/>
  <c r="CH39" i="83"/>
  <c r="CH53" i="83"/>
  <c r="CH31" i="83"/>
  <c r="CH25" i="83"/>
  <c r="CH11" i="83"/>
  <c r="CH40" i="83"/>
  <c r="CH30" i="83"/>
  <c r="CH45" i="83"/>
  <c r="BI60" i="83"/>
  <c r="BI59" i="83"/>
  <c r="BI58" i="83"/>
  <c r="BI61" i="83"/>
  <c r="AY60" i="83"/>
  <c r="AY59" i="83"/>
  <c r="AY58" i="83"/>
  <c r="AY61" i="83"/>
  <c r="CX18" i="83"/>
  <c r="CX27" i="83"/>
  <c r="CX35" i="83"/>
  <c r="CX6" i="83"/>
  <c r="CX12" i="83"/>
  <c r="CO39" i="83"/>
  <c r="CO53" i="83"/>
  <c r="CO29" i="83"/>
  <c r="CO23" i="83"/>
  <c r="CO13" i="83"/>
  <c r="AS61" i="83"/>
  <c r="AS60" i="83"/>
  <c r="AS59" i="83"/>
  <c r="AS58" i="83"/>
  <c r="BU61" i="83"/>
  <c r="BU60" i="83"/>
  <c r="BU59" i="83"/>
  <c r="BU58" i="83"/>
  <c r="N61" i="83"/>
  <c r="N60" i="83"/>
  <c r="N59" i="83"/>
  <c r="N58" i="83"/>
  <c r="AD60" i="83"/>
  <c r="AD59" i="83"/>
  <c r="AD58" i="83"/>
  <c r="AD61" i="83"/>
  <c r="BH60" i="83"/>
  <c r="BH59" i="83"/>
  <c r="BH58" i="83"/>
  <c r="BH61" i="83"/>
  <c r="AH58" i="83"/>
  <c r="AH61" i="83"/>
  <c r="AH60" i="83"/>
  <c r="AH59" i="83"/>
  <c r="BR61" i="83"/>
  <c r="BR60" i="83"/>
  <c r="BR59" i="83"/>
  <c r="BR58" i="83"/>
  <c r="CP61" i="83"/>
  <c r="CP60" i="83"/>
  <c r="CP59" i="83"/>
  <c r="CP58" i="83"/>
  <c r="BQ59" i="83"/>
  <c r="BQ58" i="83"/>
  <c r="BQ61" i="83"/>
  <c r="BQ60" i="83"/>
  <c r="H59" i="83"/>
  <c r="H58" i="83"/>
  <c r="H61" i="83"/>
  <c r="H60" i="83"/>
  <c r="AZ58" i="83"/>
  <c r="AZ61" i="83"/>
  <c r="AZ60" i="83"/>
  <c r="AZ59" i="83"/>
  <c r="BZ58" i="4"/>
  <c r="BZ59" i="4"/>
  <c r="BZ61" i="4"/>
  <c r="BZ22" i="83" s="1"/>
  <c r="J28" i="93" l="1"/>
  <c r="DD10" i="98"/>
  <c r="J27" i="93"/>
  <c r="DD9" i="98"/>
  <c r="J4" i="93"/>
  <c r="DD4" i="98"/>
  <c r="J26" i="93"/>
  <c r="DD8" i="98"/>
  <c r="J5" i="93"/>
  <c r="DD7" i="98"/>
  <c r="J29" i="93"/>
  <c r="DD11" i="98"/>
  <c r="J7" i="93"/>
  <c r="DD5" i="98"/>
  <c r="J6" i="93"/>
  <c r="DD6" i="98"/>
  <c r="F6" i="93"/>
  <c r="AV6" i="98"/>
  <c r="F5" i="93"/>
  <c r="AV7" i="98"/>
  <c r="F26" i="93"/>
  <c r="AV8" i="98"/>
  <c r="F29" i="93"/>
  <c r="AV11" i="98"/>
  <c r="F7" i="93"/>
  <c r="AV5" i="98"/>
  <c r="F28" i="93"/>
  <c r="AV10" i="98"/>
  <c r="F27" i="93"/>
  <c r="AV9" i="98"/>
  <c r="F4" i="93"/>
  <c r="AV4" i="98"/>
  <c r="H6" i="93"/>
  <c r="BZ6" i="98"/>
  <c r="H7" i="93"/>
  <c r="BZ5" i="98"/>
  <c r="H5" i="93"/>
  <c r="BZ7" i="98"/>
  <c r="H28" i="93"/>
  <c r="BZ10" i="98"/>
  <c r="H29" i="93"/>
  <c r="BZ11" i="98"/>
  <c r="H26" i="93"/>
  <c r="BZ8" i="98"/>
  <c r="H4" i="93"/>
  <c r="BZ4" i="98"/>
  <c r="H27" i="93"/>
  <c r="BZ9" i="98"/>
  <c r="I29" i="93"/>
  <c r="CO11" i="98"/>
  <c r="I27" i="93"/>
  <c r="CO9" i="98"/>
  <c r="I7" i="93"/>
  <c r="CO5" i="98"/>
  <c r="I5" i="93"/>
  <c r="CO7" i="98"/>
  <c r="I26" i="93"/>
  <c r="CO8" i="98"/>
  <c r="I6" i="93"/>
  <c r="CO6" i="98"/>
  <c r="I28" i="93"/>
  <c r="CO10" i="98"/>
  <c r="I4" i="93"/>
  <c r="CO4" i="98"/>
  <c r="G4" i="93"/>
  <c r="BK4" i="98"/>
  <c r="G28" i="93"/>
  <c r="BK10" i="98"/>
  <c r="G6" i="93"/>
  <c r="BK6" i="98"/>
  <c r="G27" i="93"/>
  <c r="BK9" i="98"/>
  <c r="G26" i="93"/>
  <c r="BK8" i="98"/>
  <c r="G5" i="93"/>
  <c r="BK7" i="98"/>
  <c r="G29" i="93"/>
  <c r="BK11" i="98"/>
  <c r="G7" i="93"/>
  <c r="BK5" i="98"/>
  <c r="BZ45" i="83"/>
  <c r="BZ33" i="83"/>
  <c r="BZ40" i="83"/>
  <c r="BZ51" i="83"/>
  <c r="BZ29" i="83"/>
  <c r="BZ17" i="83"/>
  <c r="CQ60" i="83"/>
  <c r="CQ58" i="83"/>
  <c r="CQ61" i="83"/>
  <c r="CQ59" i="83"/>
  <c r="DD58" i="83"/>
  <c r="DD61" i="83"/>
  <c r="DD60" i="83"/>
  <c r="DD59" i="83"/>
  <c r="CY60" i="83"/>
  <c r="CY59" i="83"/>
  <c r="CY58" i="83"/>
  <c r="CY61" i="83"/>
  <c r="CI60" i="83"/>
  <c r="CI58" i="83"/>
  <c r="CI61" i="83"/>
  <c r="CI59" i="83"/>
  <c r="CX61" i="83"/>
  <c r="CX60" i="83"/>
  <c r="CX59" i="83"/>
  <c r="CX58" i="83"/>
  <c r="CH61" i="83"/>
  <c r="CH60" i="83"/>
  <c r="CH59" i="83"/>
  <c r="CH58" i="83"/>
  <c r="BZ9" i="83"/>
  <c r="BZ16" i="83"/>
  <c r="BZ48" i="83"/>
  <c r="BZ46" i="83"/>
  <c r="BZ18" i="83"/>
  <c r="BZ50" i="83"/>
  <c r="CE60" i="83"/>
  <c r="CE59" i="83"/>
  <c r="CE58" i="83"/>
  <c r="CE61" i="83"/>
  <c r="CO61" i="83"/>
  <c r="CO60" i="83"/>
  <c r="CO59" i="83"/>
  <c r="CO58" i="83"/>
  <c r="BZ7" i="83"/>
  <c r="BZ38" i="83"/>
  <c r="BZ23" i="83"/>
  <c r="BZ6" i="83"/>
  <c r="BZ25" i="83"/>
  <c r="BZ34" i="83"/>
  <c r="CM58" i="83"/>
  <c r="CM61" i="83"/>
  <c r="CM60" i="83"/>
  <c r="CM59" i="83"/>
  <c r="CT58" i="83"/>
  <c r="CT61" i="83"/>
  <c r="CT60" i="83"/>
  <c r="CT59" i="83"/>
  <c r="CJ60" i="83"/>
  <c r="CJ59" i="83"/>
  <c r="CJ58" i="83"/>
  <c r="CJ61" i="83"/>
  <c r="CG61" i="83"/>
  <c r="CG60" i="83"/>
  <c r="CG59" i="83"/>
  <c r="CG58" i="83"/>
  <c r="CU60" i="83"/>
  <c r="CU59" i="83"/>
  <c r="CU58" i="83"/>
  <c r="CU61" i="83"/>
  <c r="CL59" i="83"/>
  <c r="CL58" i="83"/>
  <c r="CL61" i="83"/>
  <c r="CL60" i="83"/>
  <c r="DE58" i="83"/>
  <c r="DE61" i="83"/>
  <c r="DE60" i="83"/>
  <c r="DE59" i="83"/>
  <c r="BZ37" i="83"/>
  <c r="BZ27" i="83"/>
  <c r="BZ26" i="83"/>
  <c r="BZ24" i="83"/>
  <c r="BZ53" i="83"/>
  <c r="BZ13" i="83"/>
  <c r="DC58" i="83"/>
  <c r="DC61" i="83"/>
  <c r="DC60" i="83"/>
  <c r="DC59" i="83"/>
  <c r="CS61" i="83"/>
  <c r="CS60" i="83"/>
  <c r="CS59" i="83"/>
  <c r="CS58" i="83"/>
  <c r="CN58" i="83"/>
  <c r="CN61" i="83"/>
  <c r="CN60" i="83"/>
  <c r="CN59" i="83"/>
  <c r="DA59" i="83"/>
  <c r="DA58" i="83"/>
  <c r="DA61" i="83"/>
  <c r="DA60" i="83"/>
  <c r="BZ44" i="83"/>
  <c r="BZ49" i="83"/>
  <c r="BZ41" i="83"/>
  <c r="BZ11" i="83"/>
  <c r="BZ36" i="83"/>
  <c r="BZ28" i="83"/>
  <c r="BZ32" i="83"/>
  <c r="BZ12" i="83"/>
  <c r="BZ8" i="83"/>
  <c r="BZ52" i="83"/>
  <c r="BZ20" i="83"/>
  <c r="BZ35" i="83"/>
  <c r="CC59" i="83"/>
  <c r="CC58" i="83"/>
  <c r="CC61" i="83"/>
  <c r="CC60" i="83"/>
  <c r="BZ14" i="83"/>
  <c r="BZ31" i="83"/>
  <c r="BZ19" i="83"/>
  <c r="BZ21" i="83"/>
  <c r="BZ39" i="83"/>
  <c r="BZ30" i="83"/>
  <c r="CK61" i="83"/>
  <c r="CK60" i="83"/>
  <c r="CK59" i="83"/>
  <c r="CK58" i="83"/>
  <c r="CV58" i="83"/>
  <c r="CV61" i="83"/>
  <c r="CV60" i="83"/>
  <c r="CV59" i="83"/>
  <c r="BZ43" i="83"/>
  <c r="BZ42" i="83"/>
  <c r="BZ47" i="83"/>
  <c r="BZ15" i="83"/>
  <c r="BZ10" i="83"/>
  <c r="DB59" i="83"/>
  <c r="DB58" i="83"/>
  <c r="DB61" i="83"/>
  <c r="DB60" i="83"/>
  <c r="CF58" i="83"/>
  <c r="CF61" i="83"/>
  <c r="CF60" i="83"/>
  <c r="CF59" i="83"/>
  <c r="CW61" i="83"/>
  <c r="CW60" i="83"/>
  <c r="CW59" i="83"/>
  <c r="CW58" i="83"/>
  <c r="CZ59" i="4"/>
  <c r="DF47" i="4"/>
  <c r="CZ58" i="4"/>
  <c r="CZ60" i="4"/>
  <c r="CZ61" i="4"/>
  <c r="T45" i="90" l="1"/>
  <c r="L48" i="33"/>
  <c r="CZ9" i="83"/>
  <c r="DG9" i="83" s="1"/>
  <c r="CZ27" i="83"/>
  <c r="DG27" i="83" s="1"/>
  <c r="CZ28" i="83"/>
  <c r="DG28" i="83" s="1"/>
  <c r="CZ45" i="83"/>
  <c r="DG45" i="83" s="1"/>
  <c r="CZ51" i="83"/>
  <c r="DG51" i="83" s="1"/>
  <c r="CZ16" i="83"/>
  <c r="DG16" i="83" s="1"/>
  <c r="CZ15" i="83"/>
  <c r="DG15" i="83" s="1"/>
  <c r="CZ7" i="83"/>
  <c r="DG7" i="83" s="1"/>
  <c r="CZ12" i="83"/>
  <c r="DG12" i="83" s="1"/>
  <c r="CZ49" i="83"/>
  <c r="DG49" i="83" s="1"/>
  <c r="CZ43" i="83"/>
  <c r="DG43" i="83" s="1"/>
  <c r="CZ29" i="83"/>
  <c r="DG29" i="83" s="1"/>
  <c r="CZ31" i="83"/>
  <c r="DG31" i="83" s="1"/>
  <c r="CZ14" i="83"/>
  <c r="DG14" i="83" s="1"/>
  <c r="CZ19" i="83"/>
  <c r="DG19" i="83" s="1"/>
  <c r="CZ44" i="83"/>
  <c r="DG44" i="83" s="1"/>
  <c r="CZ36" i="83"/>
  <c r="DG36" i="83" s="1"/>
  <c r="CZ26" i="83"/>
  <c r="DG26" i="83" s="1"/>
  <c r="CZ40" i="83"/>
  <c r="DG40" i="83" s="1"/>
  <c r="CZ50" i="83"/>
  <c r="DG50" i="83" s="1"/>
  <c r="CZ8" i="83"/>
  <c r="DG8" i="83" s="1"/>
  <c r="CZ46" i="83"/>
  <c r="DG46" i="83" s="1"/>
  <c r="CZ38" i="83"/>
  <c r="DG38" i="83" s="1"/>
  <c r="CZ30" i="83"/>
  <c r="DG30" i="83" s="1"/>
  <c r="CZ25" i="83"/>
  <c r="DG25" i="83" s="1"/>
  <c r="CZ20" i="83"/>
  <c r="DG20" i="83" s="1"/>
  <c r="CZ32" i="83"/>
  <c r="DG32" i="83" s="1"/>
  <c r="CZ21" i="83"/>
  <c r="DG21" i="83" s="1"/>
  <c r="CZ52" i="83"/>
  <c r="DG52" i="83" s="1"/>
  <c r="CZ35" i="83"/>
  <c r="DG35" i="83" s="1"/>
  <c r="CZ42" i="83"/>
  <c r="DG42" i="83" s="1"/>
  <c r="CZ24" i="83"/>
  <c r="DG24" i="83" s="1"/>
  <c r="CZ22" i="83"/>
  <c r="DG22" i="83" s="1"/>
  <c r="CZ47" i="83"/>
  <c r="DG47" i="83" s="1"/>
  <c r="CZ11" i="83"/>
  <c r="DG11" i="83" s="1"/>
  <c r="CZ18" i="83"/>
  <c r="DG18" i="83" s="1"/>
  <c r="CZ23" i="83"/>
  <c r="DG23" i="83" s="1"/>
  <c r="CZ34" i="83"/>
  <c r="DG34" i="83" s="1"/>
  <c r="CZ33" i="83"/>
  <c r="DG33" i="83" s="1"/>
  <c r="CZ41" i="83"/>
  <c r="DG41" i="83" s="1"/>
  <c r="CZ39" i="83"/>
  <c r="DG39" i="83" s="1"/>
  <c r="CZ10" i="83"/>
  <c r="DG10" i="83" s="1"/>
  <c r="CZ17" i="83"/>
  <c r="DG17" i="83" s="1"/>
  <c r="CZ13" i="83"/>
  <c r="DG13" i="83" s="1"/>
  <c r="CZ6" i="83"/>
  <c r="DG6" i="83" s="1"/>
  <c r="CZ53" i="83"/>
  <c r="DG53" i="83" s="1"/>
  <c r="CZ48" i="83"/>
  <c r="DG48" i="83" s="1"/>
  <c r="CZ37" i="83"/>
  <c r="DG37" i="83" s="1"/>
  <c r="BZ61" i="83"/>
  <c r="BZ60" i="83"/>
  <c r="BZ59" i="83"/>
  <c r="BZ58" i="83"/>
  <c r="DF47" i="82"/>
  <c r="DF43" i="82"/>
  <c r="DF45" i="82"/>
  <c r="DF6" i="82"/>
  <c r="DF23" i="82"/>
  <c r="DF27" i="82"/>
  <c r="DF33" i="82"/>
  <c r="DF49" i="82"/>
  <c r="DF25" i="82"/>
  <c r="DF19" i="82"/>
  <c r="DF16" i="82"/>
  <c r="DF9" i="82"/>
  <c r="DF52" i="82"/>
  <c r="DF26" i="82"/>
  <c r="DF42" i="82"/>
  <c r="DF39" i="82"/>
  <c r="DF36" i="82"/>
  <c r="DF35" i="82"/>
  <c r="DF17" i="82"/>
  <c r="DF28" i="82"/>
  <c r="DF15" i="82"/>
  <c r="DF31" i="82"/>
  <c r="DF21" i="82"/>
  <c r="DF44" i="82"/>
  <c r="DF34" i="82"/>
  <c r="DF37" i="82"/>
  <c r="DF22" i="82"/>
  <c r="DF50" i="82"/>
  <c r="DF53" i="82"/>
  <c r="DF40" i="82"/>
  <c r="DF8" i="82"/>
  <c r="T4" i="44" s="1"/>
  <c r="DF24" i="82"/>
  <c r="DF13" i="82"/>
  <c r="DF48" i="82"/>
  <c r="DF18" i="82"/>
  <c r="DF11" i="82"/>
  <c r="DF41" i="82"/>
  <c r="DF12" i="82"/>
  <c r="DF10" i="82"/>
  <c r="DF20" i="82"/>
  <c r="DF46" i="82"/>
  <c r="DF38" i="82"/>
  <c r="DF32" i="82"/>
  <c r="DF51" i="82"/>
  <c r="DF7" i="82"/>
  <c r="DF29" i="82"/>
  <c r="DF30" i="82"/>
  <c r="DF14" i="82"/>
  <c r="DF59" i="4"/>
  <c r="DF58" i="4"/>
  <c r="DF61" i="4"/>
  <c r="DF60" i="4"/>
  <c r="B6" i="59" l="1"/>
  <c r="E42" i="93"/>
  <c r="E17" i="93"/>
  <c r="E21" i="93"/>
  <c r="E12" i="93"/>
  <c r="E44" i="93"/>
  <c r="E51" i="93"/>
  <c r="E47" i="93"/>
  <c r="E18" i="93"/>
  <c r="E19" i="93"/>
  <c r="E45" i="93"/>
  <c r="E10" i="93"/>
  <c r="E50" i="93"/>
  <c r="E25" i="93"/>
  <c r="E34" i="93"/>
  <c r="E11" i="93"/>
  <c r="E36" i="93"/>
  <c r="E30" i="93"/>
  <c r="E24" i="93"/>
  <c r="E40" i="93"/>
  <c r="E23" i="93"/>
  <c r="E32" i="93"/>
  <c r="E37" i="93"/>
  <c r="E46" i="93"/>
  <c r="E9" i="93"/>
  <c r="E20" i="93"/>
  <c r="E22" i="93"/>
  <c r="E13" i="93"/>
  <c r="E49" i="93"/>
  <c r="E31" i="93"/>
  <c r="E35" i="93"/>
  <c r="E41" i="93"/>
  <c r="E16" i="93"/>
  <c r="E39" i="93"/>
  <c r="E43" i="93"/>
  <c r="E38" i="93"/>
  <c r="E48" i="93"/>
  <c r="E33" i="93"/>
  <c r="E15" i="93"/>
  <c r="E8" i="93"/>
  <c r="E14" i="93"/>
  <c r="B8" i="4"/>
  <c r="B38" i="111"/>
  <c r="B48" i="111"/>
  <c r="B37" i="111"/>
  <c r="B35" i="111"/>
  <c r="B19" i="111"/>
  <c r="B43" i="111"/>
  <c r="B46" i="111"/>
  <c r="B13" i="111"/>
  <c r="B34" i="111"/>
  <c r="B36" i="111"/>
  <c r="B25" i="111"/>
  <c r="B47" i="111"/>
  <c r="B14" i="111"/>
  <c r="B20" i="111"/>
  <c r="B24" i="111"/>
  <c r="B44" i="111"/>
  <c r="B39" i="111"/>
  <c r="B49" i="111"/>
  <c r="B30" i="111"/>
  <c r="B10" i="111"/>
  <c r="B8" i="111"/>
  <c r="B21" i="111"/>
  <c r="B42" i="111"/>
  <c r="B33" i="111"/>
  <c r="B29" i="111"/>
  <c r="B12" i="111"/>
  <c r="B40" i="111"/>
  <c r="B31" i="111"/>
  <c r="B26" i="111"/>
  <c r="B27" i="111"/>
  <c r="B7" i="111"/>
  <c r="B41" i="111"/>
  <c r="B53" i="111"/>
  <c r="B15" i="111"/>
  <c r="B52" i="111"/>
  <c r="B23" i="111"/>
  <c r="B51" i="111"/>
  <c r="B11" i="111"/>
  <c r="B50" i="111"/>
  <c r="B28" i="111"/>
  <c r="B9" i="111"/>
  <c r="B6" i="111"/>
  <c r="B32" i="111"/>
  <c r="B18" i="111"/>
  <c r="B22" i="111"/>
  <c r="B17" i="111"/>
  <c r="B16" i="111"/>
  <c r="B45" i="111"/>
  <c r="B38" i="101"/>
  <c r="B38" i="102"/>
  <c r="B46" i="93"/>
  <c r="B48" i="102"/>
  <c r="B48" i="101"/>
  <c r="B36" i="93"/>
  <c r="B37" i="102"/>
  <c r="B37" i="101"/>
  <c r="B34" i="93"/>
  <c r="B35" i="101"/>
  <c r="B35" i="102"/>
  <c r="B19" i="93"/>
  <c r="B19" i="101"/>
  <c r="B19" i="102"/>
  <c r="B43" i="101"/>
  <c r="B43" i="102"/>
  <c r="B44" i="93"/>
  <c r="B46" i="101"/>
  <c r="B46" i="102"/>
  <c r="B13" i="93"/>
  <c r="B13" i="102"/>
  <c r="B13" i="101"/>
  <c r="B34" i="101"/>
  <c r="B34" i="102"/>
  <c r="B35" i="93"/>
  <c r="B36" i="102"/>
  <c r="B36" i="101"/>
  <c r="B25" i="93"/>
  <c r="B25" i="101"/>
  <c r="B25" i="102"/>
  <c r="B45" i="93"/>
  <c r="B47" i="101"/>
  <c r="B47" i="102"/>
  <c r="B14" i="93"/>
  <c r="B14" i="101"/>
  <c r="B14" i="102"/>
  <c r="B20" i="93"/>
  <c r="B20" i="102"/>
  <c r="B20" i="101"/>
  <c r="B24" i="93"/>
  <c r="B24" i="102"/>
  <c r="B24" i="101"/>
  <c r="B42" i="93"/>
  <c r="B44" i="102"/>
  <c r="B44" i="101"/>
  <c r="B38" i="93"/>
  <c r="B39" i="101"/>
  <c r="B39" i="102"/>
  <c r="B47" i="93"/>
  <c r="B49" i="101"/>
  <c r="B49" i="102"/>
  <c r="B30" i="93"/>
  <c r="B30" i="101"/>
  <c r="B30" i="102"/>
  <c r="B10" i="93"/>
  <c r="B10" i="101"/>
  <c r="B10" i="102"/>
  <c r="B8" i="102"/>
  <c r="B8" i="101"/>
  <c r="B21" i="93"/>
  <c r="B21" i="102"/>
  <c r="B21" i="101"/>
  <c r="B41" i="93"/>
  <c r="B42" i="101"/>
  <c r="B42" i="102"/>
  <c r="B33" i="93"/>
  <c r="B33" i="101"/>
  <c r="B33" i="102"/>
  <c r="B29" i="102"/>
  <c r="B29" i="101"/>
  <c r="B12" i="93"/>
  <c r="B12" i="102"/>
  <c r="B12" i="101"/>
  <c r="B39" i="93"/>
  <c r="B40" i="102"/>
  <c r="B40" i="101"/>
  <c r="B31" i="93"/>
  <c r="B31" i="101"/>
  <c r="B31" i="102"/>
  <c r="B26" i="101"/>
  <c r="B26" i="102"/>
  <c r="B27" i="101"/>
  <c r="B27" i="102"/>
  <c r="B9" i="93"/>
  <c r="B7" i="102"/>
  <c r="B7" i="101"/>
  <c r="B40" i="93"/>
  <c r="B41" i="101"/>
  <c r="B41" i="102"/>
  <c r="B51" i="93"/>
  <c r="B53" i="102"/>
  <c r="B53" i="101"/>
  <c r="B15" i="93"/>
  <c r="B15" i="101"/>
  <c r="B15" i="102"/>
  <c r="B50" i="93"/>
  <c r="B52" i="102"/>
  <c r="B52" i="101"/>
  <c r="B23" i="93"/>
  <c r="B23" i="102"/>
  <c r="B23" i="101"/>
  <c r="B49" i="93"/>
  <c r="B51" i="102"/>
  <c r="B51" i="101"/>
  <c r="B11" i="93"/>
  <c r="B11" i="101"/>
  <c r="B11" i="102"/>
  <c r="B48" i="93"/>
  <c r="B50" i="101"/>
  <c r="B50" i="102"/>
  <c r="B28" i="102"/>
  <c r="B28" i="101"/>
  <c r="B9" i="101"/>
  <c r="B9" i="102"/>
  <c r="B8" i="93"/>
  <c r="B6" i="101"/>
  <c r="B6" i="102"/>
  <c r="B32" i="93"/>
  <c r="B32" i="102"/>
  <c r="B32" i="101"/>
  <c r="B18" i="93"/>
  <c r="B18" i="101"/>
  <c r="B18" i="102"/>
  <c r="B22" i="93"/>
  <c r="B22" i="101"/>
  <c r="B22" i="102"/>
  <c r="B17" i="93"/>
  <c r="B17" i="101"/>
  <c r="B17" i="102"/>
  <c r="B16" i="93"/>
  <c r="B16" i="102"/>
  <c r="B16" i="101"/>
  <c r="B43" i="93"/>
  <c r="B45" i="102"/>
  <c r="B45" i="101"/>
  <c r="B37" i="93"/>
  <c r="B38" i="3"/>
  <c r="B29" i="93"/>
  <c r="R24" i="98"/>
  <c r="B4" i="93"/>
  <c r="B8" i="59"/>
  <c r="B16" i="59"/>
  <c r="B24" i="59"/>
  <c r="B32" i="59"/>
  <c r="B40" i="59"/>
  <c r="B48" i="59"/>
  <c r="B9" i="59"/>
  <c r="B17" i="59"/>
  <c r="B33" i="59"/>
  <c r="B41" i="59"/>
  <c r="B10" i="59"/>
  <c r="B18" i="59"/>
  <c r="B34" i="59"/>
  <c r="B44" i="59"/>
  <c r="B29" i="59"/>
  <c r="B39" i="59"/>
  <c r="B25" i="59"/>
  <c r="B49" i="59"/>
  <c r="B26" i="59"/>
  <c r="B42" i="59"/>
  <c r="B20" i="59"/>
  <c r="B52" i="59"/>
  <c r="B7" i="59"/>
  <c r="B50" i="59"/>
  <c r="B12" i="59"/>
  <c r="B36" i="59"/>
  <c r="B37" i="59"/>
  <c r="B11" i="59"/>
  <c r="B19" i="59"/>
  <c r="B27" i="59"/>
  <c r="B35" i="59"/>
  <c r="B43" i="59"/>
  <c r="B51" i="59"/>
  <c r="B28" i="59"/>
  <c r="B53" i="59"/>
  <c r="B21" i="59"/>
  <c r="B31" i="59"/>
  <c r="B13" i="59"/>
  <c r="B45" i="59"/>
  <c r="B47" i="59"/>
  <c r="B14" i="59"/>
  <c r="B22" i="59"/>
  <c r="B30" i="59"/>
  <c r="B38" i="59"/>
  <c r="B46" i="59"/>
  <c r="B15" i="59"/>
  <c r="B23" i="59"/>
  <c r="R17" i="98"/>
  <c r="B6" i="93"/>
  <c r="R19" i="98"/>
  <c r="B28" i="93"/>
  <c r="R23" i="98"/>
  <c r="B26" i="93"/>
  <c r="R21" i="98"/>
  <c r="B5" i="93"/>
  <c r="R20" i="98"/>
  <c r="B27" i="93"/>
  <c r="R22" i="98"/>
  <c r="B7" i="93"/>
  <c r="R18" i="98"/>
  <c r="AG4" i="98"/>
  <c r="E4" i="93"/>
  <c r="E26" i="93"/>
  <c r="AG8" i="98"/>
  <c r="E27" i="93"/>
  <c r="AG9" i="98"/>
  <c r="E28" i="93"/>
  <c r="AG10" i="98"/>
  <c r="E29" i="93"/>
  <c r="AG11" i="98"/>
  <c r="E6" i="93"/>
  <c r="AG6" i="98"/>
  <c r="E7" i="93"/>
  <c r="AG5" i="98"/>
  <c r="E5" i="93"/>
  <c r="AG7" i="98"/>
  <c r="B49" i="91"/>
  <c r="B49" i="44"/>
  <c r="T49" i="44"/>
  <c r="B49" i="33"/>
  <c r="E49" i="33" s="1"/>
  <c r="B44" i="90"/>
  <c r="B6" i="91"/>
  <c r="T6" i="44"/>
  <c r="B32" i="90"/>
  <c r="B6" i="44"/>
  <c r="B6" i="33"/>
  <c r="E6" i="33" s="1"/>
  <c r="B35" i="91"/>
  <c r="T35" i="44"/>
  <c r="B35" i="33"/>
  <c r="E35" i="33" s="1"/>
  <c r="B35" i="44"/>
  <c r="B34" i="90"/>
  <c r="T44" i="44"/>
  <c r="B44" i="91"/>
  <c r="B44" i="44"/>
  <c r="B44" i="33"/>
  <c r="E44" i="33" s="1"/>
  <c r="B23" i="90"/>
  <c r="B48" i="44"/>
  <c r="B48" i="91"/>
  <c r="B45" i="90"/>
  <c r="T48" i="44"/>
  <c r="B48" i="33"/>
  <c r="E48" i="33" s="1"/>
  <c r="B47" i="44"/>
  <c r="B47" i="33"/>
  <c r="E47" i="33" s="1"/>
  <c r="B47" i="91"/>
  <c r="B46" i="90"/>
  <c r="T47" i="44"/>
  <c r="T5" i="44"/>
  <c r="B5" i="91"/>
  <c r="B41" i="90"/>
  <c r="B5" i="44"/>
  <c r="B5" i="33"/>
  <c r="E5" i="33" s="1"/>
  <c r="B23" i="91"/>
  <c r="B11" i="90"/>
  <c r="T23" i="44"/>
  <c r="B23" i="44"/>
  <c r="B23" i="33"/>
  <c r="E23" i="33" s="1"/>
  <c r="B12" i="90"/>
  <c r="B13" i="44"/>
  <c r="B13" i="33"/>
  <c r="E13" i="33" s="1"/>
  <c r="B13" i="91"/>
  <c r="T13" i="44"/>
  <c r="B33" i="91"/>
  <c r="B33" i="44"/>
  <c r="B18" i="90"/>
  <c r="B33" i="33"/>
  <c r="E33" i="33" s="1"/>
  <c r="T33" i="44"/>
  <c r="B22" i="90"/>
  <c r="T41" i="44"/>
  <c r="B41" i="44"/>
  <c r="B41" i="33"/>
  <c r="E41" i="33" s="1"/>
  <c r="B41" i="91"/>
  <c r="B32" i="91"/>
  <c r="B42" i="90"/>
  <c r="T32" i="44"/>
  <c r="B32" i="44"/>
  <c r="B32" i="33"/>
  <c r="E32" i="33" s="1"/>
  <c r="B37" i="90"/>
  <c r="T46" i="44"/>
  <c r="B46" i="44"/>
  <c r="B46" i="91"/>
  <c r="B46" i="33"/>
  <c r="E46" i="33" s="1"/>
  <c r="T11" i="44"/>
  <c r="B11" i="91"/>
  <c r="B11" i="44"/>
  <c r="B11" i="33"/>
  <c r="E11" i="33" s="1"/>
  <c r="B47" i="90"/>
  <c r="B36" i="90"/>
  <c r="T24" i="44"/>
  <c r="B24" i="44"/>
  <c r="B24" i="33"/>
  <c r="E24" i="33" s="1"/>
  <c r="B24" i="91"/>
  <c r="B19" i="91"/>
  <c r="T19" i="44"/>
  <c r="B19" i="44"/>
  <c r="B17" i="90"/>
  <c r="B19" i="33"/>
  <c r="E19" i="33" s="1"/>
  <c r="B38" i="33"/>
  <c r="E38" i="33" s="1"/>
  <c r="B38" i="91"/>
  <c r="B38" i="44"/>
  <c r="T38" i="44"/>
  <c r="B28" i="90"/>
  <c r="T27" i="44"/>
  <c r="B27" i="91"/>
  <c r="B27" i="44"/>
  <c r="B8" i="90"/>
  <c r="B27" i="33"/>
  <c r="E27" i="33" s="1"/>
  <c r="B4" i="91"/>
  <c r="B6" i="90"/>
  <c r="B4" i="44"/>
  <c r="B4" i="33"/>
  <c r="E4" i="33" s="1"/>
  <c r="B50" i="91"/>
  <c r="T50" i="44"/>
  <c r="B19" i="90"/>
  <c r="B50" i="33"/>
  <c r="E50" i="33" s="1"/>
  <c r="B50" i="44"/>
  <c r="B39" i="91"/>
  <c r="B39" i="44"/>
  <c r="T39" i="44"/>
  <c r="B39" i="33"/>
  <c r="E39" i="33" s="1"/>
  <c r="B40" i="90"/>
  <c r="B40" i="33"/>
  <c r="E40" i="33" s="1"/>
  <c r="B40" i="91"/>
  <c r="B31" i="90"/>
  <c r="T40" i="44"/>
  <c r="B40" i="44"/>
  <c r="B29" i="44"/>
  <c r="B29" i="33"/>
  <c r="E29" i="33" s="1"/>
  <c r="B29" i="91"/>
  <c r="B10" i="90"/>
  <c r="T29" i="44"/>
  <c r="B28" i="91"/>
  <c r="B38" i="90"/>
  <c r="B28" i="44"/>
  <c r="B28" i="33"/>
  <c r="E28" i="33" s="1"/>
  <c r="T28" i="44"/>
  <c r="B10" i="91"/>
  <c r="T10" i="44"/>
  <c r="B10" i="44"/>
  <c r="B10" i="33"/>
  <c r="E10" i="33" s="1"/>
  <c r="B29" i="90"/>
  <c r="T8" i="44"/>
  <c r="B8" i="44"/>
  <c r="B8" i="91"/>
  <c r="B24" i="90"/>
  <c r="B8" i="33"/>
  <c r="E8" i="33" s="1"/>
  <c r="B21" i="91"/>
  <c r="B25" i="90"/>
  <c r="T21" i="44"/>
  <c r="B21" i="44"/>
  <c r="B21" i="33"/>
  <c r="E21" i="33" s="1"/>
  <c r="B15" i="33"/>
  <c r="E15" i="33" s="1"/>
  <c r="B15" i="91"/>
  <c r="B33" i="90"/>
  <c r="B15" i="44"/>
  <c r="T15" i="44"/>
  <c r="B18" i="91"/>
  <c r="T18" i="44"/>
  <c r="B27" i="90"/>
  <c r="B18" i="33"/>
  <c r="E18" i="33" s="1"/>
  <c r="B18" i="44"/>
  <c r="B39" i="90"/>
  <c r="T26" i="44"/>
  <c r="B26" i="44"/>
  <c r="B26" i="91"/>
  <c r="B26" i="33"/>
  <c r="E26" i="33" s="1"/>
  <c r="T12" i="44"/>
  <c r="B12" i="91"/>
  <c r="B51" i="90"/>
  <c r="B12" i="44"/>
  <c r="B12" i="33"/>
  <c r="E12" i="33" s="1"/>
  <c r="B13" i="90"/>
  <c r="T36" i="44"/>
  <c r="B36" i="44"/>
  <c r="B36" i="91"/>
  <c r="B36" i="33"/>
  <c r="E36" i="33" s="1"/>
  <c r="B43" i="44"/>
  <c r="B43" i="91"/>
  <c r="T43" i="44"/>
  <c r="B50" i="90"/>
  <c r="B43" i="33"/>
  <c r="E43" i="33" s="1"/>
  <c r="B21" i="90"/>
  <c r="B51" i="44"/>
  <c r="T51" i="44"/>
  <c r="B51" i="91"/>
  <c r="B51" i="33"/>
  <c r="E51" i="33" s="1"/>
  <c r="B25" i="91"/>
  <c r="T25" i="44"/>
  <c r="B5" i="90"/>
  <c r="B25" i="44"/>
  <c r="B25" i="33"/>
  <c r="E25" i="33" s="1"/>
  <c r="B49" i="90"/>
  <c r="B34" i="33"/>
  <c r="E34" i="33" s="1"/>
  <c r="T34" i="44"/>
  <c r="B34" i="44"/>
  <c r="B34" i="91"/>
  <c r="B9" i="33"/>
  <c r="E9" i="33" s="1"/>
  <c r="B9" i="44"/>
  <c r="B9" i="91"/>
  <c r="B9" i="90"/>
  <c r="T9" i="44"/>
  <c r="B31" i="44"/>
  <c r="B31" i="33"/>
  <c r="E31" i="33" s="1"/>
  <c r="B31" i="91"/>
  <c r="B48" i="90"/>
  <c r="T31" i="44"/>
  <c r="B26" i="90"/>
  <c r="B20" i="44"/>
  <c r="T20" i="44"/>
  <c r="B20" i="91"/>
  <c r="B20" i="33"/>
  <c r="E20" i="33" s="1"/>
  <c r="V12" i="18"/>
  <c r="B7" i="90"/>
  <c r="B7" i="33"/>
  <c r="E7" i="33" s="1"/>
  <c r="B7" i="44"/>
  <c r="B7" i="91"/>
  <c r="T7" i="44"/>
  <c r="B17" i="44"/>
  <c r="B17" i="33"/>
  <c r="E17" i="33" s="1"/>
  <c r="B17" i="91"/>
  <c r="B4" i="90"/>
  <c r="T17" i="44"/>
  <c r="B30" i="44"/>
  <c r="B30" i="91"/>
  <c r="B35" i="90"/>
  <c r="T30" i="44"/>
  <c r="B30" i="33"/>
  <c r="E30" i="33" s="1"/>
  <c r="B45" i="44"/>
  <c r="B45" i="91"/>
  <c r="B30" i="90"/>
  <c r="B45" i="33"/>
  <c r="E45" i="33" s="1"/>
  <c r="T45" i="44"/>
  <c r="B16" i="44"/>
  <c r="B16" i="91"/>
  <c r="B16" i="90"/>
  <c r="T16" i="44"/>
  <c r="B16" i="33"/>
  <c r="E16" i="33" s="1"/>
  <c r="B20" i="90"/>
  <c r="B37" i="44"/>
  <c r="B37" i="33"/>
  <c r="E37" i="33" s="1"/>
  <c r="T37" i="44"/>
  <c r="B37" i="91"/>
  <c r="B15" i="90"/>
  <c r="T14" i="44"/>
  <c r="B14" i="44"/>
  <c r="B14" i="33"/>
  <c r="E14" i="33" s="1"/>
  <c r="B14" i="91"/>
  <c r="B22" i="91"/>
  <c r="B22" i="33"/>
  <c r="E22" i="33" s="1"/>
  <c r="T22" i="44"/>
  <c r="B14" i="90"/>
  <c r="B22" i="44"/>
  <c r="T42" i="44"/>
  <c r="B42" i="91"/>
  <c r="B43" i="90"/>
  <c r="B42" i="33"/>
  <c r="E42" i="33" s="1"/>
  <c r="B42" i="44"/>
  <c r="V54" i="18"/>
  <c r="V25" i="18"/>
  <c r="V41" i="18"/>
  <c r="V40" i="18"/>
  <c r="V38" i="18"/>
  <c r="V22" i="18"/>
  <c r="V46" i="18"/>
  <c r="V14" i="18"/>
  <c r="V20" i="18"/>
  <c r="V16" i="18"/>
  <c r="V39" i="18"/>
  <c r="V28" i="18"/>
  <c r="V50" i="18"/>
  <c r="V35" i="18"/>
  <c r="V51" i="18"/>
  <c r="V17" i="18"/>
  <c r="V47" i="18"/>
  <c r="V42" i="18"/>
  <c r="V52" i="18"/>
  <c r="V31" i="18"/>
  <c r="V19" i="18"/>
  <c r="V23" i="18"/>
  <c r="V33" i="18"/>
  <c r="V24" i="18"/>
  <c r="V45" i="18"/>
  <c r="V36" i="18"/>
  <c r="V9" i="18"/>
  <c r="V21" i="18"/>
  <c r="V48" i="18"/>
  <c r="V49" i="18"/>
  <c r="V37" i="18"/>
  <c r="V27" i="18"/>
  <c r="V13" i="18"/>
  <c r="V11" i="18"/>
  <c r="V32" i="18"/>
  <c r="V15" i="18"/>
  <c r="V43" i="18"/>
  <c r="V34" i="18"/>
  <c r="V29" i="18"/>
  <c r="V30" i="18"/>
  <c r="V53" i="18"/>
  <c r="V10" i="18"/>
  <c r="V44" i="18"/>
  <c r="V56" i="18"/>
  <c r="V18" i="18"/>
  <c r="V55" i="18"/>
  <c r="V26" i="18"/>
  <c r="B14" i="83"/>
  <c r="B53" i="82"/>
  <c r="B51" i="82"/>
  <c r="B36" i="83"/>
  <c r="B22" i="83"/>
  <c r="B28" i="82"/>
  <c r="B6" i="4"/>
  <c r="B19" i="83"/>
  <c r="B6" i="82"/>
  <c r="B32" i="82"/>
  <c r="B47" i="83"/>
  <c r="B18" i="83"/>
  <c r="B18" i="82"/>
  <c r="B39" i="83"/>
  <c r="B22" i="82"/>
  <c r="B16" i="83"/>
  <c r="B17" i="82"/>
  <c r="B24" i="83"/>
  <c r="B16" i="82"/>
  <c r="B45" i="82"/>
  <c r="B44" i="83"/>
  <c r="B41" i="82"/>
  <c r="B28" i="83"/>
  <c r="B45" i="83"/>
  <c r="B52" i="82"/>
  <c r="B26" i="83"/>
  <c r="B38" i="82"/>
  <c r="B48" i="82"/>
  <c r="B49" i="83"/>
  <c r="B32" i="83"/>
  <c r="B37" i="82"/>
  <c r="B35" i="82"/>
  <c r="B17" i="83"/>
  <c r="B21" i="83"/>
  <c r="B19" i="82"/>
  <c r="B43" i="82"/>
  <c r="B7" i="83"/>
  <c r="B50" i="82"/>
  <c r="B33" i="83"/>
  <c r="B46" i="82"/>
  <c r="B51" i="83"/>
  <c r="B25" i="83"/>
  <c r="B13" i="82"/>
  <c r="B34" i="82"/>
  <c r="B8" i="83"/>
  <c r="B37" i="83"/>
  <c r="B36" i="82"/>
  <c r="B25" i="82"/>
  <c r="B46" i="83"/>
  <c r="B50" i="83"/>
  <c r="B47" i="82"/>
  <c r="B27" i="83"/>
  <c r="B7" i="82"/>
  <c r="B53" i="83"/>
  <c r="B23" i="82"/>
  <c r="B24" i="82"/>
  <c r="B43" i="83"/>
  <c r="B48" i="83"/>
  <c r="B39" i="82"/>
  <c r="B49" i="82"/>
  <c r="B13" i="83"/>
  <c r="B38" i="83"/>
  <c r="B15" i="82"/>
  <c r="B11" i="83"/>
  <c r="B11" i="82"/>
  <c r="B9" i="83"/>
  <c r="B9" i="82"/>
  <c r="B15" i="83"/>
  <c r="B14" i="82"/>
  <c r="B35" i="83"/>
  <c r="B20" i="82"/>
  <c r="B34" i="83"/>
  <c r="B44" i="82"/>
  <c r="B40" i="83"/>
  <c r="B30" i="82"/>
  <c r="B10" i="82"/>
  <c r="B29" i="83"/>
  <c r="B8" i="82"/>
  <c r="B6" i="83"/>
  <c r="B52" i="83"/>
  <c r="B21" i="82"/>
  <c r="B42" i="82"/>
  <c r="B41" i="83"/>
  <c r="B33" i="82"/>
  <c r="B42" i="83"/>
  <c r="B20" i="83"/>
  <c r="B29" i="82"/>
  <c r="B31" i="83"/>
  <c r="B12" i="82"/>
  <c r="B40" i="82"/>
  <c r="B30" i="83"/>
  <c r="B31" i="82"/>
  <c r="B12" i="83"/>
  <c r="B10" i="83"/>
  <c r="B26" i="82"/>
  <c r="B27" i="82"/>
  <c r="B23" i="83"/>
  <c r="B29" i="3"/>
  <c r="B29" i="4"/>
  <c r="B41" i="3"/>
  <c r="B41" i="4"/>
  <c r="B53" i="3"/>
  <c r="B53" i="4"/>
  <c r="B51" i="3"/>
  <c r="B51" i="4"/>
  <c r="B11" i="3"/>
  <c r="B11" i="4"/>
  <c r="B50" i="3"/>
  <c r="B50" i="4"/>
  <c r="B28" i="3"/>
  <c r="B28" i="4"/>
  <c r="B9" i="3"/>
  <c r="B9" i="4"/>
  <c r="B30" i="3"/>
  <c r="B30" i="4"/>
  <c r="B32" i="3"/>
  <c r="B32" i="4"/>
  <c r="B22" i="3"/>
  <c r="B22" i="4"/>
  <c r="B17" i="3"/>
  <c r="B17" i="4"/>
  <c r="B16" i="3"/>
  <c r="B16" i="4"/>
  <c r="B45" i="3"/>
  <c r="B45" i="4"/>
  <c r="B20" i="3"/>
  <c r="B20" i="4"/>
  <c r="B12" i="3"/>
  <c r="B12" i="4"/>
  <c r="B18" i="3"/>
  <c r="B18" i="4"/>
  <c r="B38" i="4"/>
  <c r="B48" i="3"/>
  <c r="B48" i="4"/>
  <c r="B37" i="3"/>
  <c r="B37" i="4"/>
  <c r="B35" i="3"/>
  <c r="B35" i="4"/>
  <c r="B19" i="3"/>
  <c r="B19" i="4"/>
  <c r="B43" i="3"/>
  <c r="B43" i="4"/>
  <c r="B13" i="3"/>
  <c r="B13" i="4"/>
  <c r="B34" i="3"/>
  <c r="B34" i="4"/>
  <c r="B36" i="3"/>
  <c r="B36" i="4"/>
  <c r="B25" i="3"/>
  <c r="B25" i="4"/>
  <c r="B47" i="3"/>
  <c r="B47" i="4"/>
  <c r="B14" i="3"/>
  <c r="B14" i="4"/>
  <c r="B24" i="3"/>
  <c r="B24" i="4"/>
  <c r="B44" i="3"/>
  <c r="B44" i="4"/>
  <c r="B39" i="3"/>
  <c r="B39" i="4"/>
  <c r="B49" i="3"/>
  <c r="B49" i="4"/>
  <c r="B10" i="3"/>
  <c r="B10" i="4"/>
  <c r="B8" i="3"/>
  <c r="B21" i="3"/>
  <c r="B21" i="4"/>
  <c r="B42" i="3"/>
  <c r="B42" i="4"/>
  <c r="B33" i="3"/>
  <c r="B33" i="4"/>
  <c r="B46" i="3"/>
  <c r="B46" i="4"/>
  <c r="B40" i="3"/>
  <c r="B40" i="4"/>
  <c r="B31" i="3"/>
  <c r="B31" i="4"/>
  <c r="B26" i="3"/>
  <c r="B26" i="4"/>
  <c r="B27" i="3"/>
  <c r="B27" i="4"/>
  <c r="B7" i="3"/>
  <c r="B7" i="4"/>
  <c r="B15" i="3"/>
  <c r="B15" i="4"/>
  <c r="B52" i="3"/>
  <c r="B52" i="4"/>
  <c r="B23" i="3"/>
  <c r="B23" i="4"/>
  <c r="B6" i="3"/>
  <c r="CZ59" i="83"/>
  <c r="CZ58" i="83"/>
  <c r="CZ61" i="83"/>
  <c r="CZ60" i="83"/>
  <c r="DF38" i="83"/>
  <c r="T36" i="91" s="1"/>
  <c r="DF49" i="83"/>
  <c r="T47" i="91" s="1"/>
  <c r="DF34" i="83"/>
  <c r="T32" i="91" s="1"/>
  <c r="DF22" i="83"/>
  <c r="DF23" i="83"/>
  <c r="DF51" i="83"/>
  <c r="T49" i="91" s="1"/>
  <c r="DF52" i="83"/>
  <c r="T50" i="91" s="1"/>
  <c r="DF33" i="83"/>
  <c r="T31" i="91" s="1"/>
  <c r="DF12" i="83"/>
  <c r="T10" i="91" s="1"/>
  <c r="DF35" i="83"/>
  <c r="T33" i="91" s="1"/>
  <c r="DF36" i="83"/>
  <c r="T34" i="91" s="1"/>
  <c r="DF14" i="83"/>
  <c r="T12" i="91" s="1"/>
  <c r="DF45" i="83"/>
  <c r="T43" i="91" s="1"/>
  <c r="DF25" i="83"/>
  <c r="T23" i="91" s="1"/>
  <c r="DF46" i="83"/>
  <c r="T44" i="91" s="1"/>
  <c r="DF13" i="83"/>
  <c r="T11" i="91" s="1"/>
  <c r="DF6" i="83"/>
  <c r="DF10" i="83"/>
  <c r="DF21" i="83"/>
  <c r="T19" i="91" s="1"/>
  <c r="DF39" i="83"/>
  <c r="T37" i="91" s="1"/>
  <c r="DF19" i="83"/>
  <c r="T17" i="91" s="1"/>
  <c r="DF27" i="83"/>
  <c r="T25" i="91" s="1"/>
  <c r="DF48" i="83"/>
  <c r="T46" i="91" s="1"/>
  <c r="DF17" i="83"/>
  <c r="T15" i="91" s="1"/>
  <c r="DF8" i="83"/>
  <c r="DF16" i="83"/>
  <c r="T14" i="91" s="1"/>
  <c r="DF18" i="83"/>
  <c r="T16" i="91" s="1"/>
  <c r="DF28" i="83"/>
  <c r="T26" i="91" s="1"/>
  <c r="DF20" i="83"/>
  <c r="DF7" i="83"/>
  <c r="DF15" i="83"/>
  <c r="T13" i="91" s="1"/>
  <c r="DF37" i="83"/>
  <c r="T35" i="91" s="1"/>
  <c r="DF29" i="83"/>
  <c r="T27" i="91" s="1"/>
  <c r="DF11" i="83"/>
  <c r="T9" i="91" s="1"/>
  <c r="DF40" i="83"/>
  <c r="T38" i="91" s="1"/>
  <c r="DF53" i="83"/>
  <c r="T51" i="91" s="1"/>
  <c r="DF30" i="83"/>
  <c r="T28" i="91" s="1"/>
  <c r="DF42" i="83"/>
  <c r="T40" i="91" s="1"/>
  <c r="DF47" i="83"/>
  <c r="T45" i="91" s="1"/>
  <c r="DF31" i="83"/>
  <c r="T29" i="91" s="1"/>
  <c r="DF44" i="83"/>
  <c r="T42" i="91" s="1"/>
  <c r="DF43" i="83"/>
  <c r="T41" i="91" s="1"/>
  <c r="DF41" i="83"/>
  <c r="T39" i="91" s="1"/>
  <c r="DF32" i="83"/>
  <c r="T30" i="91" s="1"/>
  <c r="DF9" i="83"/>
  <c r="DF24" i="83"/>
  <c r="T22" i="91" s="1"/>
  <c r="DF26" i="83"/>
  <c r="T24" i="91" s="1"/>
  <c r="DF50" i="83"/>
  <c r="T48" i="91" s="1"/>
  <c r="DF59" i="82"/>
  <c r="DF58" i="82"/>
  <c r="DF61" i="82"/>
  <c r="DF60" i="82"/>
  <c r="F11" i="59" l="1"/>
  <c r="H11" i="59" s="1"/>
  <c r="R4" i="98"/>
  <c r="T4" i="91"/>
  <c r="F6" i="59"/>
  <c r="H6" i="59" s="1"/>
  <c r="G7" i="59"/>
  <c r="T7" i="91"/>
  <c r="R7" i="98"/>
  <c r="T5" i="91"/>
  <c r="R5" i="98"/>
  <c r="T18" i="91"/>
  <c r="R11" i="98"/>
  <c r="T6" i="91"/>
  <c r="R6" i="98"/>
  <c r="T8" i="91"/>
  <c r="R8" i="98"/>
  <c r="T21" i="91"/>
  <c r="R9" i="98"/>
  <c r="T20" i="91"/>
  <c r="R10" i="98"/>
  <c r="C23" i="59"/>
  <c r="G23" i="59"/>
  <c r="E23" i="59"/>
  <c r="F23" i="59"/>
  <c r="H23" i="59" s="1"/>
  <c r="C15" i="59"/>
  <c r="E15" i="59"/>
  <c r="F15" i="59"/>
  <c r="H15" i="59" s="1"/>
  <c r="G15" i="59"/>
  <c r="G6" i="59"/>
  <c r="C6" i="59"/>
  <c r="E6" i="59"/>
  <c r="G46" i="59"/>
  <c r="E46" i="59"/>
  <c r="F46" i="59"/>
  <c r="H46" i="59" s="1"/>
  <c r="C46" i="59"/>
  <c r="C38" i="59"/>
  <c r="G38" i="59"/>
  <c r="E38" i="59"/>
  <c r="F38" i="59"/>
  <c r="H38" i="59" s="1"/>
  <c r="C30" i="59"/>
  <c r="F30" i="59"/>
  <c r="H30" i="59" s="1"/>
  <c r="G30" i="59"/>
  <c r="E30" i="59"/>
  <c r="G22" i="59"/>
  <c r="E22" i="59"/>
  <c r="C22" i="59"/>
  <c r="F22" i="59"/>
  <c r="H22" i="59" s="1"/>
  <c r="G14" i="59"/>
  <c r="C14" i="59"/>
  <c r="E14" i="59"/>
  <c r="F14" i="59"/>
  <c r="H14" i="59" s="1"/>
  <c r="C47" i="59"/>
  <c r="E47" i="59"/>
  <c r="F47" i="59"/>
  <c r="H47" i="59" s="1"/>
  <c r="G47" i="59"/>
  <c r="C45" i="59"/>
  <c r="E45" i="59"/>
  <c r="G45" i="59"/>
  <c r="F45" i="59"/>
  <c r="H45" i="59" s="1"/>
  <c r="C13" i="59"/>
  <c r="G13" i="59"/>
  <c r="E13" i="59"/>
  <c r="F13" i="59"/>
  <c r="H13" i="59" s="1"/>
  <c r="C31" i="59"/>
  <c r="G31" i="59"/>
  <c r="E31" i="59"/>
  <c r="F31" i="59"/>
  <c r="H31" i="59" s="1"/>
  <c r="C21" i="59"/>
  <c r="G21" i="59"/>
  <c r="F21" i="59"/>
  <c r="H21" i="59" s="1"/>
  <c r="E21" i="59"/>
  <c r="C53" i="59"/>
  <c r="F53" i="59"/>
  <c r="H53" i="59" s="1"/>
  <c r="E53" i="59"/>
  <c r="G53" i="59"/>
  <c r="C28" i="59"/>
  <c r="E28" i="59"/>
  <c r="G28" i="59"/>
  <c r="F28" i="59"/>
  <c r="H28" i="59" s="1"/>
  <c r="C51" i="59"/>
  <c r="E51" i="59"/>
  <c r="G51" i="59"/>
  <c r="F51" i="59"/>
  <c r="H51" i="59" s="1"/>
  <c r="C43" i="59"/>
  <c r="E43" i="59"/>
  <c r="G43" i="59"/>
  <c r="F43" i="59"/>
  <c r="H43" i="59" s="1"/>
  <c r="C35" i="59"/>
  <c r="F35" i="59"/>
  <c r="H35" i="59" s="1"/>
  <c r="E35" i="59"/>
  <c r="G35" i="59"/>
  <c r="C27" i="59"/>
  <c r="G27" i="59"/>
  <c r="F27" i="59"/>
  <c r="H27" i="59" s="1"/>
  <c r="E27" i="59"/>
  <c r="C19" i="59"/>
  <c r="G19" i="59"/>
  <c r="E19" i="59"/>
  <c r="F19" i="59"/>
  <c r="H19" i="59" s="1"/>
  <c r="C11" i="59"/>
  <c r="G11" i="59"/>
  <c r="E11" i="59"/>
  <c r="C37" i="59"/>
  <c r="E37" i="59"/>
  <c r="G37" i="59"/>
  <c r="F37" i="59"/>
  <c r="H37" i="59" s="1"/>
  <c r="C36" i="59"/>
  <c r="F36" i="59"/>
  <c r="H36" i="59" s="1"/>
  <c r="E36" i="59"/>
  <c r="G36" i="59"/>
  <c r="C12" i="59"/>
  <c r="F12" i="59"/>
  <c r="H12" i="59" s="1"/>
  <c r="E12" i="59"/>
  <c r="G12" i="59"/>
  <c r="G50" i="59"/>
  <c r="C50" i="59"/>
  <c r="E50" i="59"/>
  <c r="F50" i="59"/>
  <c r="H50" i="59" s="1"/>
  <c r="C7" i="59"/>
  <c r="E7" i="59"/>
  <c r="F7" i="59"/>
  <c r="H7" i="59" s="1"/>
  <c r="C52" i="59"/>
  <c r="G52" i="59"/>
  <c r="F52" i="59"/>
  <c r="H52" i="59" s="1"/>
  <c r="E52" i="59"/>
  <c r="C20" i="59"/>
  <c r="E20" i="59"/>
  <c r="G20" i="59"/>
  <c r="F20" i="59"/>
  <c r="H20" i="59" s="1"/>
  <c r="G42" i="59"/>
  <c r="C42" i="59"/>
  <c r="E42" i="59"/>
  <c r="F42" i="59"/>
  <c r="H42" i="59" s="1"/>
  <c r="C26" i="59"/>
  <c r="E26" i="59"/>
  <c r="G26" i="59"/>
  <c r="F26" i="59"/>
  <c r="H26" i="59" s="1"/>
  <c r="C49" i="59"/>
  <c r="F49" i="59"/>
  <c r="H49" i="59" s="1"/>
  <c r="G49" i="59"/>
  <c r="E49" i="59"/>
  <c r="C25" i="59"/>
  <c r="E25" i="59"/>
  <c r="G25" i="59"/>
  <c r="F25" i="59"/>
  <c r="H25" i="59" s="1"/>
  <c r="C39" i="59"/>
  <c r="G39" i="59"/>
  <c r="F39" i="59"/>
  <c r="H39" i="59" s="1"/>
  <c r="E39" i="59"/>
  <c r="C29" i="59"/>
  <c r="F29" i="59"/>
  <c r="H29" i="59" s="1"/>
  <c r="E29" i="59"/>
  <c r="G29" i="59"/>
  <c r="C44" i="59"/>
  <c r="F44" i="59"/>
  <c r="H44" i="59" s="1"/>
  <c r="E44" i="59"/>
  <c r="G44" i="59"/>
  <c r="F34" i="59"/>
  <c r="H34" i="59" s="1"/>
  <c r="E34" i="59"/>
  <c r="G34" i="59"/>
  <c r="C34" i="59"/>
  <c r="G18" i="59"/>
  <c r="F18" i="59"/>
  <c r="H18" i="59" s="1"/>
  <c r="E18" i="59"/>
  <c r="C18" i="59"/>
  <c r="G10" i="59"/>
  <c r="E10" i="59"/>
  <c r="F10" i="59"/>
  <c r="H10" i="59" s="1"/>
  <c r="C10" i="59"/>
  <c r="G41" i="59"/>
  <c r="F41" i="59"/>
  <c r="H41" i="59" s="1"/>
  <c r="C41" i="59"/>
  <c r="E41" i="59"/>
  <c r="G33" i="59"/>
  <c r="E33" i="59"/>
  <c r="F33" i="59"/>
  <c r="H33" i="59" s="1"/>
  <c r="C33" i="59"/>
  <c r="C17" i="59"/>
  <c r="E17" i="59"/>
  <c r="G17" i="59"/>
  <c r="F17" i="59"/>
  <c r="H17" i="59" s="1"/>
  <c r="F9" i="59"/>
  <c r="H9" i="59" s="1"/>
  <c r="E9" i="59"/>
  <c r="G9" i="59"/>
  <c r="C9" i="59"/>
  <c r="E48" i="59"/>
  <c r="F48" i="59"/>
  <c r="H48" i="59" s="1"/>
  <c r="G48" i="59"/>
  <c r="C48" i="59"/>
  <c r="G40" i="59"/>
  <c r="F40" i="59"/>
  <c r="H40" i="59" s="1"/>
  <c r="E40" i="59"/>
  <c r="C40" i="59"/>
  <c r="F32" i="59"/>
  <c r="H32" i="59" s="1"/>
  <c r="E32" i="59"/>
  <c r="G32" i="59"/>
  <c r="C32" i="59"/>
  <c r="C24" i="59"/>
  <c r="F24" i="59"/>
  <c r="H24" i="59" s="1"/>
  <c r="G24" i="59"/>
  <c r="E24" i="59"/>
  <c r="C16" i="59"/>
  <c r="E16" i="59"/>
  <c r="G16" i="59"/>
  <c r="F16" i="59"/>
  <c r="H16" i="59" s="1"/>
  <c r="F8" i="59"/>
  <c r="H8" i="59" s="1"/>
  <c r="C8" i="59"/>
  <c r="G8" i="59"/>
  <c r="E8" i="59"/>
  <c r="DF60" i="83"/>
  <c r="DF61" i="83"/>
  <c r="DF59" i="83"/>
  <c r="DF58" i="83"/>
  <c r="I8" i="59" l="1"/>
  <c r="I24" i="59"/>
  <c r="I53" i="59"/>
  <c r="I41" i="59"/>
  <c r="I29" i="59"/>
  <c r="I26" i="59"/>
  <c r="I9" i="59"/>
  <c r="I21" i="59"/>
  <c r="I40" i="59"/>
  <c r="I52" i="59"/>
  <c r="I38" i="59"/>
  <c r="I17" i="59"/>
  <c r="I42" i="59"/>
  <c r="I32" i="59"/>
  <c r="I30" i="59"/>
  <c r="I6" i="59"/>
  <c r="I22" i="59"/>
  <c r="I45" i="59"/>
  <c r="I48" i="59"/>
  <c r="I46" i="59"/>
  <c r="I16" i="59"/>
  <c r="I14" i="59"/>
  <c r="I50" i="59"/>
  <c r="I51" i="59"/>
  <c r="I10" i="59"/>
  <c r="I23" i="59"/>
  <c r="I19" i="59"/>
  <c r="I28" i="59"/>
  <c r="I13" i="59"/>
  <c r="I20" i="59"/>
  <c r="I47" i="59"/>
  <c r="I43" i="59"/>
  <c r="I15" i="59"/>
  <c r="I11" i="59"/>
  <c r="I39" i="59"/>
  <c r="I35" i="59"/>
  <c r="I44" i="59"/>
  <c r="I7" i="59"/>
  <c r="I12" i="59"/>
  <c r="I33" i="59"/>
  <c r="I25" i="59"/>
  <c r="I31" i="59"/>
  <c r="I27" i="59"/>
  <c r="I36" i="59"/>
  <c r="I34" i="59"/>
  <c r="I37" i="59"/>
  <c r="I49" i="59"/>
  <c r="I18" i="59"/>
  <c r="Y36" i="18" a="1"/>
  <c r="AA27" i="18" a="1"/>
  <c r="AB17" i="18" a="1"/>
  <c r="Z47" i="18" a="1"/>
  <c r="AA17" i="18" a="1"/>
  <c r="AA46" i="18" a="1"/>
  <c r="AB29" i="18" a="1"/>
  <c r="AB19" i="18" a="1"/>
  <c r="AB37" i="18" a="1"/>
  <c r="AA10" i="18" a="1"/>
  <c r="AB32" i="18" a="1"/>
  <c r="AA26" i="18" a="1"/>
  <c r="AB40" i="18" a="1"/>
  <c r="AB35" i="18" a="1"/>
  <c r="Z25" i="18" a="1"/>
  <c r="AA56" i="18" a="1"/>
  <c r="Y27" i="18" a="1"/>
  <c r="Z36" i="18" a="1"/>
  <c r="AB48" i="18" a="1"/>
  <c r="Y22" i="18" a="1"/>
  <c r="AA25" i="18" a="1"/>
  <c r="AB25" i="18" a="1"/>
  <c r="Y14" i="18" a="1"/>
  <c r="Y55" i="18" a="1"/>
  <c r="Z52" i="18" a="1"/>
  <c r="Y48" i="18" a="1"/>
  <c r="Z28" i="18" a="1"/>
  <c r="Z46" i="18" a="1"/>
  <c r="AB12" i="18" a="1"/>
  <c r="AB11" i="18" a="1"/>
  <c r="AA38" i="18" a="1"/>
  <c r="Y16" i="18" a="1"/>
  <c r="Y19" i="18" a="1"/>
  <c r="AB16" i="18" a="1"/>
  <c r="AB27" i="18" a="1"/>
  <c r="AB9" i="18" a="1"/>
  <c r="AA48" i="18" a="1"/>
  <c r="AA21" i="18" a="1"/>
  <c r="AB45" i="18" a="1"/>
  <c r="AB51" i="18" a="1"/>
  <c r="Z39" i="18" a="1"/>
  <c r="Z43" i="18" a="1"/>
  <c r="AA41" i="18" a="1"/>
  <c r="AA30" i="18" a="1"/>
  <c r="AB47" i="18" a="1"/>
  <c r="AB30" i="18" a="1"/>
  <c r="Y49" i="18" a="1"/>
  <c r="Y42" i="18" a="1"/>
  <c r="Y30" i="18" a="1"/>
  <c r="Z50" i="18" a="1"/>
  <c r="Y17" i="18" a="1"/>
  <c r="Z51" i="18" a="1"/>
  <c r="Y54" i="18" a="1"/>
  <c r="Z17" i="18" a="1"/>
  <c r="Y24" i="18" a="1"/>
  <c r="AA43" i="18" a="1"/>
  <c r="Y45" i="18" a="1"/>
  <c r="AA36" i="18" a="1"/>
  <c r="AB28" i="18" a="1"/>
  <c r="AA19" i="18" a="1"/>
  <c r="AA11" i="18" a="1"/>
  <c r="AA54" i="18" a="1"/>
  <c r="Z33" i="18" a="1"/>
  <c r="Z10" i="18" a="1"/>
  <c r="Y18" i="18" a="1"/>
  <c r="Z48" i="18" a="1"/>
  <c r="AA14" i="18" a="1"/>
  <c r="Y20" i="18" a="1"/>
  <c r="AB24" i="18" a="1"/>
  <c r="Z32" i="18" a="1"/>
  <c r="Y15" i="18" a="1"/>
  <c r="Y32" i="18" a="1"/>
  <c r="AB39" i="18" a="1"/>
  <c r="AB53" i="18" a="1"/>
  <c r="Y40" i="18" a="1"/>
  <c r="AB18" i="18" a="1"/>
  <c r="AA42" i="18" a="1"/>
  <c r="AB14" i="18" a="1"/>
  <c r="Z31" i="18" a="1"/>
  <c r="Y41" i="18" a="1"/>
  <c r="AB54" i="18" a="1"/>
  <c r="Z37" i="18" a="1"/>
  <c r="AA44" i="18" a="1"/>
  <c r="Z26" i="18" a="1"/>
  <c r="Y29" i="18" a="1"/>
  <c r="AA52" i="18" a="1"/>
  <c r="Z41" i="18" a="1"/>
  <c r="Z53" i="18" a="1"/>
  <c r="AB13" i="18" a="1"/>
  <c r="AA39" i="18" a="1"/>
  <c r="Z18" i="18" a="1"/>
  <c r="AB26" i="18" a="1"/>
  <c r="Z44" i="18" a="1"/>
  <c r="Z23" i="18" a="1"/>
  <c r="AA18" i="18" a="1"/>
  <c r="AB31" i="18" a="1"/>
  <c r="AA24" i="18" a="1"/>
  <c r="Z55" i="18" a="1"/>
  <c r="Y12" i="18" a="1"/>
  <c r="AA31" i="18" a="1"/>
  <c r="Z45" i="18" a="1"/>
  <c r="Y35" i="18" a="1"/>
  <c r="Y47" i="18" a="1"/>
  <c r="Y38" i="18" a="1"/>
  <c r="AB56" i="18" a="1"/>
  <c r="AA53" i="18" a="1"/>
  <c r="Y50" i="18" a="1"/>
  <c r="Y23" i="18" a="1"/>
  <c r="AA40" i="18" a="1"/>
  <c r="AA32" i="18" a="1"/>
  <c r="Z13" i="18" a="1"/>
  <c r="AB43" i="18" a="1"/>
  <c r="Z38" i="18" a="1"/>
  <c r="Y9" i="18" a="1"/>
  <c r="AA15" i="18" a="1"/>
  <c r="Y31" i="18" a="1"/>
  <c r="AB33" i="18" a="1"/>
  <c r="Z56" i="18" a="1"/>
  <c r="AB44" i="18" a="1"/>
  <c r="AB50" i="18" a="1"/>
  <c r="Z16" i="18" a="1"/>
  <c r="Y26" i="18" a="1"/>
  <c r="AB49" i="18" a="1"/>
  <c r="Y39" i="18" a="1"/>
  <c r="Z27" i="18" a="1"/>
  <c r="Z15" i="18" a="1"/>
  <c r="AB36" i="18" a="1"/>
  <c r="AA12" i="18" a="1"/>
  <c r="AA16" i="18" a="1"/>
  <c r="AB52" i="18" a="1"/>
  <c r="Z9" i="18" a="1"/>
  <c r="AA34" i="18" a="1"/>
  <c r="Z12" i="18" a="1"/>
  <c r="Z19" i="18" a="1"/>
  <c r="AB42" i="18" a="1"/>
  <c r="Y43" i="18" a="1"/>
  <c r="AA13" i="18" a="1"/>
  <c r="AB38" i="18" a="1"/>
  <c r="AA22" i="18" a="1"/>
  <c r="Z21" i="18" a="1"/>
  <c r="Z30" i="18" a="1"/>
  <c r="Z54" i="18" a="1"/>
  <c r="Y33" i="18" a="1"/>
  <c r="AA33" i="18" a="1"/>
  <c r="AB55" i="18" a="1"/>
  <c r="Z14" i="18" a="1"/>
  <c r="Z34" i="18" a="1"/>
  <c r="Y10" i="18" a="1"/>
  <c r="AA35" i="18" a="1"/>
  <c r="AB41" i="18" a="1"/>
  <c r="Z20" i="18" a="1"/>
  <c r="AA51" i="18" a="1"/>
  <c r="Z29" i="18" a="1"/>
  <c r="Z49" i="18" a="1"/>
  <c r="AB20" i="18" a="1"/>
  <c r="Y37" i="18" a="1"/>
  <c r="AA45" i="18" a="1"/>
  <c r="AA50" i="18" a="1"/>
  <c r="Y25" i="18" a="1"/>
  <c r="Z22" i="18" a="1"/>
  <c r="Y56" i="18" a="1"/>
  <c r="AB21" i="18" a="1"/>
  <c r="AB34" i="18" a="1"/>
  <c r="AA9" i="18" a="1"/>
  <c r="Y46" i="18" a="1"/>
  <c r="Z24" i="18" a="1"/>
  <c r="Y52" i="18" a="1"/>
  <c r="Y44" i="18" a="1"/>
  <c r="Y51" i="18" a="1"/>
  <c r="AB15" i="18" a="1"/>
  <c r="Z11" i="18" a="1"/>
  <c r="AA23" i="18" a="1"/>
  <c r="Y13" i="18" a="1"/>
  <c r="AA49" i="18" a="1"/>
  <c r="Z42" i="18" a="1"/>
  <c r="AB23" i="18" a="1"/>
  <c r="AA28" i="18" a="1"/>
  <c r="AA37" i="18" a="1"/>
  <c r="Y28" i="18" a="1"/>
  <c r="AB22" i="18" a="1"/>
  <c r="Y11" i="18" a="1"/>
  <c r="Y34" i="18" a="1"/>
  <c r="Y53" i="18" a="1"/>
  <c r="AA29" i="18" a="1"/>
  <c r="Y21" i="18" a="1"/>
  <c r="AA55" i="18" a="1"/>
  <c r="Z35" i="18" a="1"/>
  <c r="AB46" i="18" a="1"/>
  <c r="AA47" i="18" a="1"/>
  <c r="AA20" i="18" a="1"/>
  <c r="Z40" i="18" a="1"/>
  <c r="AB10" i="18" a="1"/>
  <c r="Y9" i="18" l="1"/>
  <c r="AB52" i="18"/>
  <c r="AA29" i="18"/>
  <c r="Z10" i="18"/>
  <c r="Z37" i="18"/>
  <c r="Z52" i="18"/>
  <c r="Z38" i="18"/>
  <c r="Z14" i="18"/>
  <c r="Y18" i="18"/>
  <c r="Z35" i="18"/>
  <c r="AA14" i="18"/>
  <c r="AA19" i="18"/>
  <c r="AB12" i="18"/>
  <c r="Z36" i="18"/>
  <c r="Y52" i="18"/>
  <c r="AA50" i="18"/>
  <c r="Y24" i="18"/>
  <c r="Z47" i="18"/>
  <c r="AB15" i="18"/>
  <c r="AA43" i="18"/>
  <c r="AA32" i="18"/>
  <c r="Z34" i="18"/>
  <c r="AB26" i="18"/>
  <c r="Z16" i="18"/>
  <c r="Z49" i="18"/>
  <c r="AB37" i="18"/>
  <c r="AA26" i="18"/>
  <c r="Z13" i="18"/>
  <c r="AB18" i="18"/>
  <c r="AB19" i="18"/>
  <c r="Z39" i="18"/>
  <c r="AA16" i="18"/>
  <c r="AB20" i="18"/>
  <c r="Z29" i="18"/>
  <c r="AA20" i="18"/>
  <c r="Y43" i="18"/>
  <c r="Y55" i="18"/>
  <c r="Z15" i="18"/>
  <c r="AA46" i="18"/>
  <c r="AA31" i="18"/>
  <c r="Y32" i="18"/>
  <c r="AB17" i="18"/>
  <c r="AA30" i="18"/>
  <c r="Z53" i="18"/>
  <c r="Z56" i="18"/>
  <c r="AA10" i="18"/>
  <c r="Y38" i="18"/>
  <c r="Z18" i="18"/>
  <c r="Y46" i="18"/>
  <c r="Z44" i="18"/>
  <c r="AA44" i="18"/>
  <c r="AA47" i="18"/>
  <c r="Y35" i="18"/>
  <c r="Y30" i="18"/>
  <c r="Y33" i="18"/>
  <c r="AB33" i="18"/>
  <c r="Y20" i="18"/>
  <c r="AA13" i="18"/>
  <c r="Z42" i="18"/>
  <c r="AB49" i="18"/>
  <c r="Z12" i="18"/>
  <c r="Y26" i="18"/>
  <c r="Z20" i="18"/>
  <c r="AA49" i="18"/>
  <c r="AA42" i="18"/>
  <c r="AB54" i="18"/>
  <c r="Y50" i="18"/>
  <c r="AA45" i="18"/>
  <c r="Y56" i="18"/>
  <c r="Z55" i="18"/>
  <c r="AA52" i="18"/>
  <c r="Y19" i="18"/>
  <c r="Y22" i="18"/>
  <c r="Y23" i="18"/>
  <c r="Y34" i="18"/>
  <c r="Y47" i="18"/>
  <c r="Z19" i="18"/>
  <c r="AB24" i="18"/>
  <c r="AB35" i="18"/>
  <c r="Y25" i="18"/>
  <c r="Y48" i="18"/>
  <c r="Y12" i="18"/>
  <c r="Y15" i="18"/>
  <c r="Y27" i="18"/>
  <c r="AB32" i="18"/>
  <c r="Y11" i="18"/>
  <c r="AB16" i="18"/>
  <c r="Z50" i="18"/>
  <c r="AB31" i="18"/>
  <c r="Z43" i="18"/>
  <c r="AB48" i="18"/>
  <c r="Z41" i="18"/>
  <c r="Z48" i="18"/>
  <c r="AB23" i="18"/>
  <c r="AA24" i="18"/>
  <c r="AB39" i="18"/>
  <c r="AA22" i="18"/>
  <c r="Z54" i="18"/>
  <c r="AA27" i="18"/>
  <c r="Z23" i="18"/>
  <c r="Y49" i="18"/>
  <c r="AA17" i="18"/>
  <c r="AB25" i="18"/>
  <c r="Z26" i="18"/>
  <c r="AA53" i="18"/>
  <c r="AB36" i="18"/>
  <c r="AA15" i="18"/>
  <c r="Y16" i="18"/>
  <c r="AA41" i="18"/>
  <c r="AB28" i="18"/>
  <c r="Z9" i="18"/>
  <c r="AB14" i="18"/>
  <c r="Y44" i="18"/>
  <c r="Y37" i="18"/>
  <c r="Z30" i="18"/>
  <c r="AA51" i="18"/>
  <c r="AB11" i="18"/>
  <c r="AB29" i="18"/>
  <c r="AB44" i="18"/>
  <c r="Z27" i="18"/>
  <c r="AB50" i="18"/>
  <c r="AA36" i="18"/>
  <c r="AB41" i="18"/>
  <c r="AA38" i="18"/>
  <c r="AB21" i="18"/>
  <c r="Y45" i="18"/>
  <c r="AA12" i="18"/>
  <c r="Z32" i="18"/>
  <c r="Y51" i="18"/>
  <c r="Y10" i="18"/>
  <c r="AB40" i="18"/>
  <c r="Z31" i="18"/>
  <c r="AB45" i="18"/>
  <c r="AB34" i="18"/>
  <c r="Z40" i="18"/>
  <c r="AA21" i="18"/>
  <c r="Y13" i="18"/>
  <c r="Y36" i="18"/>
  <c r="AB22" i="18"/>
  <c r="AB38" i="18"/>
  <c r="AA34" i="18"/>
  <c r="AB53" i="18"/>
  <c r="AA28" i="18"/>
  <c r="Z21" i="18"/>
  <c r="AA55" i="18"/>
  <c r="Y14" i="18"/>
  <c r="AA39" i="18"/>
  <c r="Y53" i="18"/>
  <c r="AA56" i="18"/>
  <c r="Z51" i="18"/>
  <c r="AA23" i="18"/>
  <c r="Z17" i="18"/>
  <c r="AA48" i="18"/>
  <c r="AA40" i="18"/>
  <c r="AB46" i="18"/>
  <c r="Y40" i="18"/>
  <c r="AB30" i="18"/>
  <c r="Z11" i="18"/>
  <c r="AB47" i="18"/>
  <c r="Z45" i="18"/>
  <c r="Z25" i="18"/>
  <c r="AA33" i="18"/>
  <c r="Y17" i="18"/>
  <c r="Y41" i="18"/>
  <c r="AA9" i="18"/>
  <c r="AB55" i="18"/>
  <c r="AA54" i="18"/>
  <c r="AA18" i="18"/>
  <c r="Y28" i="18"/>
  <c r="Z33" i="18"/>
  <c r="Z24" i="18"/>
  <c r="AB10" i="18"/>
  <c r="AA25" i="18"/>
  <c r="Y54" i="18"/>
  <c r="Y31" i="18"/>
  <c r="Y42" i="18"/>
  <c r="AB42" i="18"/>
  <c r="AB51" i="18"/>
  <c r="Y29" i="18"/>
  <c r="AB56" i="18"/>
  <c r="AB9" i="18"/>
  <c r="AB27" i="18"/>
  <c r="Z28" i="18"/>
  <c r="Y39" i="18"/>
  <c r="Y21" i="18"/>
  <c r="AA37" i="18"/>
  <c r="AA35" i="18"/>
  <c r="AA11" i="18"/>
  <c r="Z46" i="18"/>
  <c r="AB13" i="18"/>
  <c r="Z22" i="18"/>
  <c r="AB43" i="18"/>
  <c r="AE33" i="18" l="1"/>
  <c r="AF30" i="18"/>
  <c r="AE23" i="18"/>
  <c r="AD21" i="18"/>
  <c r="AC13" i="18"/>
  <c r="AF40" i="18"/>
  <c r="AF27" i="18"/>
  <c r="AF51" i="18"/>
  <c r="AD33" i="18"/>
  <c r="AD25" i="18"/>
  <c r="AE28" i="18"/>
  <c r="AE31" i="18"/>
  <c r="AF43" i="18"/>
  <c r="AF9" i="18"/>
  <c r="AB62" i="18"/>
  <c r="AB60" i="18"/>
  <c r="AB61" i="18"/>
  <c r="AB63" i="18"/>
  <c r="AF42" i="18"/>
  <c r="AC40" i="18"/>
  <c r="AD51" i="18"/>
  <c r="AF53" i="18"/>
  <c r="AE21" i="18"/>
  <c r="AC51" i="18"/>
  <c r="AF44" i="18"/>
  <c r="AD30" i="18"/>
  <c r="AD26" i="18"/>
  <c r="AE24" i="18"/>
  <c r="AF31" i="18"/>
  <c r="AF35" i="18"/>
  <c r="AF54" i="18"/>
  <c r="AD20" i="18"/>
  <c r="AF49" i="18"/>
  <c r="AC20" i="18"/>
  <c r="AD56" i="18"/>
  <c r="AD13" i="18"/>
  <c r="AE26" i="18"/>
  <c r="AF12" i="18"/>
  <c r="AD35" i="18"/>
  <c r="AD14" i="18"/>
  <c r="AD52" i="18"/>
  <c r="AD10" i="18"/>
  <c r="AF36" i="18"/>
  <c r="AE35" i="18"/>
  <c r="AF56" i="18"/>
  <c r="AC42" i="18"/>
  <c r="AC28" i="18"/>
  <c r="AD45" i="18"/>
  <c r="AF46" i="18"/>
  <c r="AE56" i="18"/>
  <c r="AE34" i="18"/>
  <c r="AD40" i="18"/>
  <c r="AD32" i="18"/>
  <c r="AE38" i="18"/>
  <c r="AF29" i="18"/>
  <c r="AC37" i="18"/>
  <c r="AF25" i="18"/>
  <c r="AD23" i="18"/>
  <c r="AF23" i="18"/>
  <c r="AD50" i="18"/>
  <c r="AC27" i="18"/>
  <c r="AC26" i="18"/>
  <c r="AE47" i="18"/>
  <c r="AE46" i="18"/>
  <c r="AE20" i="18"/>
  <c r="AF20" i="18"/>
  <c r="AD34" i="18"/>
  <c r="AE43" i="18"/>
  <c r="AC31" i="18"/>
  <c r="AE18" i="18"/>
  <c r="AA63" i="18"/>
  <c r="AE9" i="18"/>
  <c r="AA61" i="18"/>
  <c r="AA60" i="18"/>
  <c r="AA62" i="18"/>
  <c r="AF24" i="18"/>
  <c r="AD15" i="18"/>
  <c r="AE16" i="18"/>
  <c r="AF37" i="18"/>
  <c r="AD47" i="18"/>
  <c r="AD38" i="18"/>
  <c r="AC29" i="18"/>
  <c r="AD24" i="18"/>
  <c r="AF39" i="18"/>
  <c r="AD43" i="18"/>
  <c r="AF32" i="18"/>
  <c r="AC48" i="18"/>
  <c r="AD22" i="18"/>
  <c r="AE37" i="18"/>
  <c r="AE30" i="18"/>
  <c r="AF13" i="18"/>
  <c r="AC21" i="18"/>
  <c r="AC41" i="18"/>
  <c r="AF47" i="18"/>
  <c r="AE48" i="18"/>
  <c r="AE39" i="18"/>
  <c r="AF22" i="18"/>
  <c r="AF34" i="18"/>
  <c r="AC45" i="18"/>
  <c r="AE36" i="18"/>
  <c r="AC24" i="18"/>
  <c r="AE50" i="18"/>
  <c r="AE19" i="18"/>
  <c r="AF52" i="18"/>
  <c r="AE40" i="18"/>
  <c r="AC53" i="18"/>
  <c r="AF38" i="18"/>
  <c r="AE42" i="18"/>
  <c r="AD12" i="18"/>
  <c r="AD42" i="18"/>
  <c r="AF33" i="18"/>
  <c r="AE44" i="18"/>
  <c r="AC44" i="18"/>
  <c r="AE41" i="18"/>
  <c r="AE17" i="18"/>
  <c r="AE27" i="18"/>
  <c r="AD48" i="18"/>
  <c r="AF16" i="18"/>
  <c r="AE25" i="18"/>
  <c r="AE54" i="18"/>
  <c r="AC17" i="18"/>
  <c r="AC14" i="18"/>
  <c r="AF45" i="18"/>
  <c r="AF50" i="18"/>
  <c r="AF14" i="18"/>
  <c r="AC16" i="18"/>
  <c r="AD54" i="18"/>
  <c r="AD41" i="18"/>
  <c r="AC15" i="18"/>
  <c r="AC47" i="18"/>
  <c r="AC19" i="18"/>
  <c r="AE49" i="18"/>
  <c r="AC30" i="18"/>
  <c r="AC46" i="18"/>
  <c r="AC38" i="18"/>
  <c r="AE10" i="18"/>
  <c r="AF17" i="18"/>
  <c r="AC55" i="18"/>
  <c r="AD39" i="18"/>
  <c r="AF15" i="18"/>
  <c r="AC18" i="18"/>
  <c r="AE11" i="18"/>
  <c r="AE12" i="18"/>
  <c r="AF41" i="18"/>
  <c r="AF11" i="18"/>
  <c r="AC54" i="18"/>
  <c r="AD19" i="18"/>
  <c r="AC22" i="18"/>
  <c r="AC33" i="18"/>
  <c r="AD44" i="18"/>
  <c r="AD18" i="18"/>
  <c r="AD29" i="18"/>
  <c r="AD46" i="18"/>
  <c r="AC39" i="18"/>
  <c r="AD28" i="18"/>
  <c r="AF10" i="18"/>
  <c r="AF55" i="18"/>
  <c r="AD11" i="18"/>
  <c r="AD17" i="18"/>
  <c r="AE55" i="18"/>
  <c r="AC36" i="18"/>
  <c r="AD31" i="18"/>
  <c r="AE51" i="18"/>
  <c r="AE15" i="18"/>
  <c r="AC49" i="18"/>
  <c r="AE22" i="18"/>
  <c r="AF48" i="18"/>
  <c r="AC11" i="18"/>
  <c r="AC12" i="18"/>
  <c r="AC34" i="18"/>
  <c r="AE52" i="18"/>
  <c r="AE13" i="18"/>
  <c r="AC35" i="18"/>
  <c r="AC32" i="18"/>
  <c r="AC43" i="18"/>
  <c r="AF19" i="18"/>
  <c r="Y62" i="18"/>
  <c r="AC9" i="18"/>
  <c r="Y61" i="18"/>
  <c r="Y63" i="18"/>
  <c r="Y60" i="18"/>
  <c r="AD55" i="18"/>
  <c r="AE45" i="18"/>
  <c r="AD53" i="18"/>
  <c r="AF18" i="18"/>
  <c r="AD49" i="18"/>
  <c r="AC52" i="18"/>
  <c r="AE14" i="18"/>
  <c r="AD37" i="18"/>
  <c r="AD27" i="18"/>
  <c r="Z63" i="18"/>
  <c r="AD9" i="18"/>
  <c r="Z60" i="18"/>
  <c r="Z61" i="18"/>
  <c r="Z62" i="18"/>
  <c r="AC10" i="18"/>
  <c r="AF21" i="18"/>
  <c r="AF28" i="18"/>
  <c r="AE53" i="18"/>
  <c r="AC25" i="18"/>
  <c r="AC23" i="18"/>
  <c r="AC56" i="18"/>
  <c r="AC50" i="18"/>
  <c r="AD16" i="18"/>
  <c r="AF26" i="18"/>
  <c r="AE32" i="18"/>
  <c r="AD36" i="18"/>
  <c r="AE29" i="18"/>
  <c r="AZ9" i="18" l="1"/>
  <c r="AY9" i="18"/>
  <c r="BA9" i="18" s="1"/>
  <c r="AV9" i="18"/>
  <c r="AU9" i="18"/>
  <c r="AR38" i="18"/>
  <c r="AR22" i="18"/>
  <c r="AR53" i="18"/>
  <c r="AR47" i="18"/>
  <c r="AR32" i="18"/>
  <c r="AR9" i="18"/>
  <c r="AQ9" i="18"/>
  <c r="AN9" i="18"/>
  <c r="AM9" i="18"/>
  <c r="AO9" i="18" s="1"/>
  <c r="AQ42" i="18"/>
  <c r="AS42" i="18" s="1"/>
  <c r="AQ49" i="18"/>
  <c r="AS49" i="18" s="1"/>
  <c r="AQ21" i="18"/>
  <c r="AS21" i="18" s="1"/>
  <c r="AQ30" i="18"/>
  <c r="AS30" i="18" s="1"/>
  <c r="AQ39" i="18"/>
  <c r="AS39" i="18" s="1"/>
  <c r="AQ48" i="18"/>
  <c r="AS48" i="18" s="1"/>
  <c r="AN50" i="18"/>
  <c r="AN20" i="18"/>
  <c r="AN29" i="18"/>
  <c r="AN38" i="18"/>
  <c r="AN47" i="18"/>
  <c r="AN55" i="18"/>
  <c r="AN56" i="18"/>
  <c r="AN17" i="18"/>
  <c r="AM48" i="18"/>
  <c r="AO48" i="18" s="1"/>
  <c r="AM41" i="18"/>
  <c r="AO41" i="18" s="1"/>
  <c r="AM32" i="18"/>
  <c r="AO32" i="18" s="1"/>
  <c r="AM25" i="18"/>
  <c r="AO25" i="18" s="1"/>
  <c r="AM56" i="18"/>
  <c r="AO56" i="18" s="1"/>
  <c r="AM49" i="18"/>
  <c r="AO49" i="18" s="1"/>
  <c r="AM40" i="18"/>
  <c r="AO40" i="18" s="1"/>
  <c r="AM14" i="18"/>
  <c r="AO14" i="18" s="1"/>
  <c r="AM15" i="18"/>
  <c r="AO15" i="18" s="1"/>
  <c r="AM23" i="18"/>
  <c r="AO23" i="18" s="1"/>
  <c r="AM33" i="18"/>
  <c r="AO33" i="18" s="1"/>
  <c r="C9" i="18"/>
  <c r="AJ55" i="18"/>
  <c r="AJ32" i="18"/>
  <c r="AJ15" i="18"/>
  <c r="AJ26" i="18"/>
  <c r="AJ28" i="18"/>
  <c r="AJ18" i="18"/>
  <c r="AJ41" i="18"/>
  <c r="AI29" i="18"/>
  <c r="AI19" i="18"/>
  <c r="AJ47" i="18"/>
  <c r="AJ17" i="18"/>
  <c r="AJ34" i="18"/>
  <c r="AJ21" i="18"/>
  <c r="AJ19" i="18"/>
  <c r="AJ10" i="18"/>
  <c r="AJ13" i="18"/>
  <c r="AI14" i="18"/>
  <c r="AJ48" i="18"/>
  <c r="AI22" i="18"/>
  <c r="AJ11" i="18"/>
  <c r="AH36" i="18"/>
  <c r="AJ43" i="18"/>
  <c r="AH53" i="18"/>
  <c r="AI56" i="18"/>
  <c r="AH11" i="18"/>
  <c r="AI51" i="18"/>
  <c r="AI54" i="18"/>
  <c r="AI17" i="18"/>
  <c r="AI37" i="18"/>
  <c r="AI9" i="18"/>
  <c r="AI13" i="18"/>
  <c r="AI25" i="18"/>
  <c r="AI41" i="18"/>
  <c r="AI42" i="18"/>
  <c r="AI50" i="18"/>
  <c r="AI20" i="18"/>
  <c r="AI45" i="18"/>
  <c r="AI52" i="18"/>
  <c r="AI39" i="18"/>
  <c r="AI12" i="18"/>
  <c r="AI49" i="18"/>
  <c r="AI32" i="18"/>
  <c r="AH31" i="18"/>
  <c r="AG42" i="18"/>
  <c r="AI55" i="18"/>
  <c r="AI53" i="18"/>
  <c r="AI11" i="18"/>
  <c r="AI44" i="18"/>
  <c r="AI18" i="18"/>
  <c r="AJ25" i="18"/>
  <c r="AH49" i="18"/>
  <c r="AH55" i="18"/>
  <c r="AI15" i="18"/>
  <c r="AI10" i="18"/>
  <c r="AI27" i="18"/>
  <c r="AI40" i="18"/>
  <c r="AI36" i="18"/>
  <c r="AI48" i="18"/>
  <c r="AI30" i="18"/>
  <c r="AI47" i="18"/>
  <c r="AJ14" i="18"/>
  <c r="AJ33" i="18"/>
  <c r="AJ29" i="18"/>
  <c r="AJ12" i="18"/>
  <c r="AG56" i="18"/>
  <c r="AJ50" i="18"/>
  <c r="AJ37" i="18"/>
  <c r="AI33" i="18"/>
  <c r="AJ23" i="18"/>
  <c r="AI38" i="18"/>
  <c r="AJ46" i="18"/>
  <c r="AJ36" i="18"/>
  <c r="AJ52" i="18"/>
  <c r="AI46" i="18"/>
  <c r="AH10" i="18"/>
  <c r="AJ45" i="18"/>
  <c r="AJ16" i="18"/>
  <c r="AJ39" i="18"/>
  <c r="AI16" i="18"/>
  <c r="AI43" i="18"/>
  <c r="AJ38" i="18"/>
  <c r="AI34" i="18"/>
  <c r="AJ44" i="18"/>
  <c r="AJ22" i="18"/>
  <c r="AJ24" i="18"/>
  <c r="AJ20" i="18"/>
  <c r="AJ56" i="18"/>
  <c r="AG32" i="18"/>
  <c r="AG34" i="18"/>
  <c r="AC60" i="18"/>
  <c r="AN19" i="18" s="1"/>
  <c r="AC62" i="18"/>
  <c r="AN11" i="18" s="1"/>
  <c r="AC63" i="18"/>
  <c r="AC61" i="18"/>
  <c r="AG35" i="18"/>
  <c r="AG12" i="18"/>
  <c r="AG49" i="18"/>
  <c r="AG36" i="18"/>
  <c r="AG20" i="18"/>
  <c r="AJ35" i="18"/>
  <c r="AH30" i="18"/>
  <c r="AJ53" i="18"/>
  <c r="AJ9" i="18"/>
  <c r="AI31" i="18"/>
  <c r="AJ51" i="18"/>
  <c r="AH21" i="18"/>
  <c r="AG23" i="18"/>
  <c r="AG52" i="18"/>
  <c r="AH16" i="18"/>
  <c r="AG25" i="18"/>
  <c r="AG10" i="18"/>
  <c r="AH27" i="18"/>
  <c r="AH46" i="18"/>
  <c r="AG33" i="18"/>
  <c r="AG55" i="18"/>
  <c r="AG46" i="18"/>
  <c r="AG47" i="18"/>
  <c r="AG16" i="18"/>
  <c r="AG14" i="18"/>
  <c r="AH42" i="18"/>
  <c r="AG53" i="18"/>
  <c r="AG29" i="18"/>
  <c r="AG27" i="18"/>
  <c r="AH32" i="18"/>
  <c r="AH52" i="18"/>
  <c r="AG11" i="18"/>
  <c r="AI26" i="18"/>
  <c r="AJ49" i="18"/>
  <c r="AJ31" i="18"/>
  <c r="AH51" i="18"/>
  <c r="AI28" i="18"/>
  <c r="AJ27" i="18"/>
  <c r="AI23" i="18"/>
  <c r="AG50" i="18"/>
  <c r="AH9" i="18"/>
  <c r="AH37" i="18"/>
  <c r="AH29" i="18"/>
  <c r="AG22" i="18"/>
  <c r="AG18" i="18"/>
  <c r="AG30" i="18"/>
  <c r="AG15" i="18"/>
  <c r="AG17" i="18"/>
  <c r="AH48" i="18"/>
  <c r="AG44" i="18"/>
  <c r="AH12" i="18"/>
  <c r="AG24" i="18"/>
  <c r="AG41" i="18"/>
  <c r="AH43" i="18"/>
  <c r="AH38" i="18"/>
  <c r="AH15" i="18"/>
  <c r="AE61" i="18"/>
  <c r="AE60" i="18"/>
  <c r="AV10" i="18" s="1"/>
  <c r="AE63" i="18"/>
  <c r="E9" i="18"/>
  <c r="AE62" i="18"/>
  <c r="AH50" i="18"/>
  <c r="AG37" i="18"/>
  <c r="AH40" i="18"/>
  <c r="AH45" i="18"/>
  <c r="AI35" i="18"/>
  <c r="AH14" i="18"/>
  <c r="AG43" i="18"/>
  <c r="AH17" i="18"/>
  <c r="AH28" i="18"/>
  <c r="AH13" i="18"/>
  <c r="AH20" i="18"/>
  <c r="AI24" i="18"/>
  <c r="AG51" i="18"/>
  <c r="AG40" i="18"/>
  <c r="AH25" i="18"/>
  <c r="AJ40" i="18"/>
  <c r="AJ30" i="18"/>
  <c r="AG9" i="18"/>
  <c r="AH18" i="18"/>
  <c r="AH19" i="18"/>
  <c r="AH41" i="18"/>
  <c r="AG21" i="18"/>
  <c r="AH22" i="18"/>
  <c r="AH47" i="18"/>
  <c r="AH34" i="18"/>
  <c r="AG28" i="18"/>
  <c r="AH35" i="18"/>
  <c r="F9" i="18"/>
  <c r="AF63" i="18"/>
  <c r="AF61" i="18"/>
  <c r="AY29" i="18" s="1"/>
  <c r="BA29" i="18" s="1"/>
  <c r="AF60" i="18"/>
  <c r="AZ10" i="18" s="1"/>
  <c r="AF62" i="18"/>
  <c r="AH56" i="18"/>
  <c r="AJ54" i="18"/>
  <c r="AH26" i="18"/>
  <c r="AI21" i="18"/>
  <c r="AJ42" i="18"/>
  <c r="AH33" i="18"/>
  <c r="AG13" i="18"/>
  <c r="AD61" i="18"/>
  <c r="AQ56" i="18" s="1"/>
  <c r="AS56" i="18" s="1"/>
  <c r="AD63" i="18"/>
  <c r="AD60" i="18"/>
  <c r="AR11" i="18" s="1"/>
  <c r="D9" i="18"/>
  <c r="AD62" i="18"/>
  <c r="AG39" i="18"/>
  <c r="AH44" i="18"/>
  <c r="AG54" i="18"/>
  <c r="AH39" i="18"/>
  <c r="AG38" i="18"/>
  <c r="AG19" i="18"/>
  <c r="AH54" i="18"/>
  <c r="AG45" i="18"/>
  <c r="AG48" i="18"/>
  <c r="AH24" i="18"/>
  <c r="AG31" i="18"/>
  <c r="AG26" i="18"/>
  <c r="AH23" i="18"/>
  <c r="AY20" i="18" l="1"/>
  <c r="BA20" i="18" s="1"/>
  <c r="AZ36" i="18"/>
  <c r="AM24" i="18"/>
  <c r="AO24" i="18" s="1"/>
  <c r="AM17" i="18"/>
  <c r="AO17" i="18" s="1"/>
  <c r="AM53" i="18"/>
  <c r="AO53" i="18" s="1"/>
  <c r="AM52" i="18"/>
  <c r="AO52" i="18" s="1"/>
  <c r="AM51" i="18"/>
  <c r="AO51" i="18" s="1"/>
  <c r="AM50" i="18"/>
  <c r="AO50" i="18" s="1"/>
  <c r="AN48" i="18"/>
  <c r="AN39" i="18"/>
  <c r="AN30" i="18"/>
  <c r="AN21" i="18"/>
  <c r="AN12" i="18"/>
  <c r="AN42" i="18"/>
  <c r="AQ40" i="18"/>
  <c r="AS40" i="18" s="1"/>
  <c r="AQ31" i="18"/>
  <c r="AS31" i="18" s="1"/>
  <c r="AQ22" i="18"/>
  <c r="AS22" i="18" s="1"/>
  <c r="AQ13" i="18"/>
  <c r="AS13" i="18" s="1"/>
  <c r="AQ51" i="18"/>
  <c r="AS51" i="18" s="1"/>
  <c r="AQ34" i="18"/>
  <c r="AS34" i="18" s="1"/>
  <c r="AR42" i="18"/>
  <c r="AR24" i="18"/>
  <c r="AR39" i="18"/>
  <c r="AR45" i="18"/>
  <c r="AR52" i="18"/>
  <c r="AR30" i="18"/>
  <c r="AU56" i="18"/>
  <c r="AW56" i="18" s="1"/>
  <c r="AU47" i="18"/>
  <c r="AW47" i="18" s="1"/>
  <c r="AU30" i="18"/>
  <c r="AW30" i="18" s="1"/>
  <c r="AU21" i="18"/>
  <c r="AW21" i="18" s="1"/>
  <c r="AU12" i="18"/>
  <c r="AW12" i="18" s="1"/>
  <c r="AU49" i="18"/>
  <c r="AW49" i="18" s="1"/>
  <c r="AV17" i="18"/>
  <c r="AV55" i="18"/>
  <c r="AV46" i="18"/>
  <c r="AV37" i="18"/>
  <c r="AV28" i="18"/>
  <c r="AV11" i="18"/>
  <c r="AY17" i="18"/>
  <c r="BA17" i="18" s="1"/>
  <c r="AY47" i="18"/>
  <c r="BA47" i="18" s="1"/>
  <c r="AY30" i="18"/>
  <c r="BA30" i="18" s="1"/>
  <c r="AY21" i="18"/>
  <c r="BA21" i="18" s="1"/>
  <c r="AY12" i="18"/>
  <c r="BA12" i="18" s="1"/>
  <c r="AY33" i="18"/>
  <c r="BA33" i="18" s="1"/>
  <c r="AZ49" i="18"/>
  <c r="AZ16" i="18"/>
  <c r="AZ14" i="18"/>
  <c r="AZ28" i="18"/>
  <c r="AZ43" i="18"/>
  <c r="AZ21" i="18"/>
  <c r="AU29" i="18"/>
  <c r="AW29" i="18" s="1"/>
  <c r="AV54" i="18"/>
  <c r="AY55" i="18"/>
  <c r="BA55" i="18" s="1"/>
  <c r="AY11" i="18"/>
  <c r="BA11" i="18" s="1"/>
  <c r="AZ51" i="18"/>
  <c r="AM16" i="18"/>
  <c r="AO16" i="18" s="1"/>
  <c r="AM54" i="18"/>
  <c r="AO54" i="18" s="1"/>
  <c r="AM45" i="18"/>
  <c r="AO45" i="18" s="1"/>
  <c r="AM44" i="18"/>
  <c r="AO44" i="18" s="1"/>
  <c r="AM43" i="18"/>
  <c r="AO43" i="18" s="1"/>
  <c r="AM42" i="18"/>
  <c r="AO42" i="18" s="1"/>
  <c r="AN40" i="18"/>
  <c r="AN31" i="18"/>
  <c r="AN22" i="18"/>
  <c r="AN13" i="18"/>
  <c r="AN51" i="18"/>
  <c r="AN34" i="18"/>
  <c r="AQ32" i="18"/>
  <c r="AS32" i="18" s="1"/>
  <c r="AQ23" i="18"/>
  <c r="AS23" i="18" s="1"/>
  <c r="AQ14" i="18"/>
  <c r="AS14" i="18" s="1"/>
  <c r="AQ52" i="18"/>
  <c r="AS52" i="18" s="1"/>
  <c r="AQ43" i="18"/>
  <c r="AS43" i="18" s="1"/>
  <c r="AQ26" i="18"/>
  <c r="AS26" i="18" s="1"/>
  <c r="AR49" i="18"/>
  <c r="AR16" i="18"/>
  <c r="AR31" i="18"/>
  <c r="AR37" i="18"/>
  <c r="AR44" i="18"/>
  <c r="AR51" i="18"/>
  <c r="AU48" i="18"/>
  <c r="AW48" i="18" s="1"/>
  <c r="AU39" i="18"/>
  <c r="AW39" i="18" s="1"/>
  <c r="AU22" i="18"/>
  <c r="AW22" i="18" s="1"/>
  <c r="AU13" i="18"/>
  <c r="AW13" i="18" s="1"/>
  <c r="AU41" i="18"/>
  <c r="AW41" i="18" s="1"/>
  <c r="AU50" i="18"/>
  <c r="AW50" i="18" s="1"/>
  <c r="AV56" i="18"/>
  <c r="AV47" i="18"/>
  <c r="AV38" i="18"/>
  <c r="AV29" i="18"/>
  <c r="AV20" i="18"/>
  <c r="AV50" i="18"/>
  <c r="AY56" i="18"/>
  <c r="BA56" i="18" s="1"/>
  <c r="AY39" i="18"/>
  <c r="BA39" i="18" s="1"/>
  <c r="AY22" i="18"/>
  <c r="BA22" i="18" s="1"/>
  <c r="AY13" i="18"/>
  <c r="BA13" i="18" s="1"/>
  <c r="AY41" i="18"/>
  <c r="BA41" i="18" s="1"/>
  <c r="AY50" i="18"/>
  <c r="BA50" i="18" s="1"/>
  <c r="AZ25" i="18"/>
  <c r="AZ39" i="18"/>
  <c r="AZ41" i="18"/>
  <c r="AZ20" i="18"/>
  <c r="AZ35" i="18"/>
  <c r="AZ50" i="18"/>
  <c r="AU20" i="18"/>
  <c r="AW20" i="18" s="1"/>
  <c r="AV45" i="18"/>
  <c r="AY38" i="18"/>
  <c r="BA38" i="18" s="1"/>
  <c r="AZ37" i="18"/>
  <c r="AM55" i="18"/>
  <c r="AO55" i="18" s="1"/>
  <c r="AM46" i="18"/>
  <c r="AO46" i="18" s="1"/>
  <c r="AM37" i="18"/>
  <c r="AO37" i="18" s="1"/>
  <c r="AM36" i="18"/>
  <c r="AO36" i="18" s="1"/>
  <c r="AM35" i="18"/>
  <c r="AO35" i="18" s="1"/>
  <c r="AM34" i="18"/>
  <c r="AO34" i="18" s="1"/>
  <c r="AN32" i="18"/>
  <c r="AN23" i="18"/>
  <c r="AN14" i="18"/>
  <c r="AN49" i="18"/>
  <c r="AN43" i="18"/>
  <c r="AN26" i="18"/>
  <c r="AQ24" i="18"/>
  <c r="AS24" i="18" s="1"/>
  <c r="AQ15" i="18"/>
  <c r="AS15" i="18" s="1"/>
  <c r="AQ41" i="18"/>
  <c r="AS41" i="18" s="1"/>
  <c r="AQ44" i="18"/>
  <c r="AS44" i="18" s="1"/>
  <c r="AQ35" i="18"/>
  <c r="AS35" i="18" s="1"/>
  <c r="AQ18" i="18"/>
  <c r="AS18" i="18" s="1"/>
  <c r="AR33" i="18"/>
  <c r="AR50" i="18"/>
  <c r="AR23" i="18"/>
  <c r="AR29" i="18"/>
  <c r="AR36" i="18"/>
  <c r="AR43" i="18"/>
  <c r="AU40" i="18"/>
  <c r="AW40" i="18" s="1"/>
  <c r="AU31" i="18"/>
  <c r="AW31" i="18" s="1"/>
  <c r="AU14" i="18"/>
  <c r="AW14" i="18" s="1"/>
  <c r="AU25" i="18"/>
  <c r="AW25" i="18" s="1"/>
  <c r="AU51" i="18"/>
  <c r="AW51" i="18" s="1"/>
  <c r="AU42" i="18"/>
  <c r="AW42" i="18" s="1"/>
  <c r="AV48" i="18"/>
  <c r="AV39" i="18"/>
  <c r="AV30" i="18"/>
  <c r="AV21" i="18"/>
  <c r="AV12" i="18"/>
  <c r="AV42" i="18"/>
  <c r="AY48" i="18"/>
  <c r="BA48" i="18" s="1"/>
  <c r="AY31" i="18"/>
  <c r="BA31" i="18" s="1"/>
  <c r="AY14" i="18"/>
  <c r="BA14" i="18" s="1"/>
  <c r="AY49" i="18"/>
  <c r="BA49" i="18" s="1"/>
  <c r="AY51" i="18"/>
  <c r="BA51" i="18" s="1"/>
  <c r="AY42" i="18"/>
  <c r="BA42" i="18" s="1"/>
  <c r="AZ17" i="18"/>
  <c r="AZ15" i="18"/>
  <c r="AZ23" i="18"/>
  <c r="AZ12" i="18"/>
  <c r="AZ27" i="18"/>
  <c r="AZ42" i="18"/>
  <c r="AU55" i="18"/>
  <c r="AW55" i="18" s="1"/>
  <c r="AU11" i="18"/>
  <c r="AW11" i="18" s="1"/>
  <c r="AV36" i="18"/>
  <c r="AZ24" i="18"/>
  <c r="AM47" i="18"/>
  <c r="AO47" i="18" s="1"/>
  <c r="AM38" i="18"/>
  <c r="AO38" i="18" s="1"/>
  <c r="AM29" i="18"/>
  <c r="AO29" i="18" s="1"/>
  <c r="AM28" i="18"/>
  <c r="AO28" i="18" s="1"/>
  <c r="AM27" i="18"/>
  <c r="AO27" i="18" s="1"/>
  <c r="AM26" i="18"/>
  <c r="AO26" i="18" s="1"/>
  <c r="AN24" i="18"/>
  <c r="AN15" i="18"/>
  <c r="AN41" i="18"/>
  <c r="AN52" i="18"/>
  <c r="AN35" i="18"/>
  <c r="AN18" i="18"/>
  <c r="AQ16" i="18"/>
  <c r="AS16" i="18" s="1"/>
  <c r="AQ33" i="18"/>
  <c r="AS33" i="18" s="1"/>
  <c r="AQ53" i="18"/>
  <c r="AS53" i="18" s="1"/>
  <c r="AQ36" i="18"/>
  <c r="AS36" i="18" s="1"/>
  <c r="AQ27" i="18"/>
  <c r="AS27" i="18" s="1"/>
  <c r="AQ10" i="18"/>
  <c r="AS10" i="18" s="1"/>
  <c r="AR17" i="18"/>
  <c r="AR18" i="18"/>
  <c r="AR15" i="18"/>
  <c r="AR21" i="18"/>
  <c r="AR28" i="18"/>
  <c r="AR35" i="18"/>
  <c r="AU32" i="18"/>
  <c r="AW32" i="18" s="1"/>
  <c r="AU23" i="18"/>
  <c r="AW23" i="18" s="1"/>
  <c r="AU33" i="18"/>
  <c r="AW33" i="18" s="1"/>
  <c r="AU52" i="18"/>
  <c r="AW52" i="18" s="1"/>
  <c r="AU43" i="18"/>
  <c r="AW43" i="18" s="1"/>
  <c r="AU34" i="18"/>
  <c r="AW34" i="18" s="1"/>
  <c r="AV40" i="18"/>
  <c r="AV31" i="18"/>
  <c r="AV22" i="18"/>
  <c r="AV13" i="18"/>
  <c r="AV51" i="18"/>
  <c r="AV34" i="18"/>
  <c r="AY40" i="18"/>
  <c r="BA40" i="18" s="1"/>
  <c r="AY23" i="18"/>
  <c r="BA23" i="18" s="1"/>
  <c r="AY25" i="18"/>
  <c r="BA25" i="18" s="1"/>
  <c r="AY52" i="18"/>
  <c r="BA52" i="18" s="1"/>
  <c r="AY43" i="18"/>
  <c r="BA43" i="18" s="1"/>
  <c r="AY34" i="18"/>
  <c r="BA34" i="18" s="1"/>
  <c r="AZ56" i="18"/>
  <c r="AZ54" i="18"/>
  <c r="AZ45" i="18"/>
  <c r="AZ33" i="18"/>
  <c r="AZ19" i="18"/>
  <c r="AZ34" i="18"/>
  <c r="AU38" i="18"/>
  <c r="AW38" i="18" s="1"/>
  <c r="AV19" i="18"/>
  <c r="AZ22" i="18"/>
  <c r="AM39" i="18"/>
  <c r="AO39" i="18" s="1"/>
  <c r="AM30" i="18"/>
  <c r="AO30" i="18" s="1"/>
  <c r="AM21" i="18"/>
  <c r="AO21" i="18" s="1"/>
  <c r="AM20" i="18"/>
  <c r="AO20" i="18" s="1"/>
  <c r="AM19" i="18"/>
  <c r="AO19" i="18" s="1"/>
  <c r="AM18" i="18"/>
  <c r="AO18" i="18" s="1"/>
  <c r="AN16" i="18"/>
  <c r="AN33" i="18"/>
  <c r="AN53" i="18"/>
  <c r="AN44" i="18"/>
  <c r="AN27" i="18"/>
  <c r="AN10" i="18"/>
  <c r="AQ25" i="18"/>
  <c r="AS25" i="18" s="1"/>
  <c r="AQ54" i="18"/>
  <c r="AS54" i="18" s="1"/>
  <c r="AQ45" i="18"/>
  <c r="AS45" i="18" s="1"/>
  <c r="AQ28" i="18"/>
  <c r="AS28" i="18" s="1"/>
  <c r="AQ19" i="18"/>
  <c r="AS19" i="18" s="1"/>
  <c r="AR56" i="18"/>
  <c r="AR41" i="18"/>
  <c r="AR34" i="18"/>
  <c r="AR13" i="18"/>
  <c r="AR20" i="18"/>
  <c r="AR27" i="18"/>
  <c r="AU24" i="18"/>
  <c r="AW24" i="18" s="1"/>
  <c r="AU15" i="18"/>
  <c r="AW15" i="18" s="1"/>
  <c r="AU53" i="18"/>
  <c r="AW53" i="18" s="1"/>
  <c r="AU44" i="18"/>
  <c r="AW44" i="18" s="1"/>
  <c r="AU35" i="18"/>
  <c r="AW35" i="18" s="1"/>
  <c r="AU26" i="18"/>
  <c r="AW26" i="18" s="1"/>
  <c r="AV32" i="18"/>
  <c r="AV23" i="18"/>
  <c r="AV14" i="18"/>
  <c r="AV49" i="18"/>
  <c r="AV43" i="18"/>
  <c r="AV26" i="18"/>
  <c r="AY32" i="18"/>
  <c r="BA32" i="18" s="1"/>
  <c r="AY15" i="18"/>
  <c r="BA15" i="18" s="1"/>
  <c r="AY53" i="18"/>
  <c r="BA53" i="18" s="1"/>
  <c r="AY44" i="18"/>
  <c r="BA44" i="18" s="1"/>
  <c r="AY35" i="18"/>
  <c r="BA35" i="18" s="1"/>
  <c r="AY26" i="18"/>
  <c r="BA26" i="18" s="1"/>
  <c r="AZ48" i="18"/>
  <c r="AZ46" i="18"/>
  <c r="AZ13" i="18"/>
  <c r="AZ47" i="18"/>
  <c r="AZ11" i="18"/>
  <c r="AZ26" i="18"/>
  <c r="AV25" i="18"/>
  <c r="AM31" i="18"/>
  <c r="AO31" i="18" s="1"/>
  <c r="AM22" i="18"/>
  <c r="AO22" i="18" s="1"/>
  <c r="AM13" i="18"/>
  <c r="AO13" i="18" s="1"/>
  <c r="AM12" i="18"/>
  <c r="AO12" i="18" s="1"/>
  <c r="AM11" i="18"/>
  <c r="AO11" i="18" s="1"/>
  <c r="AM10" i="18"/>
  <c r="AO10" i="18" s="1"/>
  <c r="AN25" i="18"/>
  <c r="AN54" i="18"/>
  <c r="AN45" i="18"/>
  <c r="AN36" i="18"/>
  <c r="AQ17" i="18"/>
  <c r="AS17" i="18" s="1"/>
  <c r="AQ55" i="18"/>
  <c r="AS55" i="18" s="1"/>
  <c r="AQ46" i="18"/>
  <c r="AS46" i="18" s="1"/>
  <c r="AQ37" i="18"/>
  <c r="AS37" i="18" s="1"/>
  <c r="AQ20" i="18"/>
  <c r="AS20" i="18" s="1"/>
  <c r="AQ11" i="18"/>
  <c r="AS11" i="18" s="1"/>
  <c r="AR48" i="18"/>
  <c r="AR25" i="18"/>
  <c r="AR54" i="18"/>
  <c r="AR26" i="18"/>
  <c r="AR12" i="18"/>
  <c r="AR19" i="18"/>
  <c r="AU16" i="18"/>
  <c r="AW16" i="18" s="1"/>
  <c r="AU54" i="18"/>
  <c r="AW54" i="18" s="1"/>
  <c r="AU45" i="18"/>
  <c r="AW45" i="18" s="1"/>
  <c r="AU36" i="18"/>
  <c r="AW36" i="18" s="1"/>
  <c r="AU27" i="18"/>
  <c r="AW27" i="18" s="1"/>
  <c r="AU18" i="18"/>
  <c r="AW18" i="18" s="1"/>
  <c r="AV24" i="18"/>
  <c r="AV15" i="18"/>
  <c r="AV33" i="18"/>
  <c r="AV52" i="18"/>
  <c r="AV35" i="18"/>
  <c r="AV18" i="18"/>
  <c r="AY24" i="18"/>
  <c r="BA24" i="18" s="1"/>
  <c r="AY54" i="18"/>
  <c r="BA54" i="18" s="1"/>
  <c r="AY45" i="18"/>
  <c r="BA45" i="18" s="1"/>
  <c r="AY36" i="18"/>
  <c r="BA36" i="18" s="1"/>
  <c r="AY27" i="18"/>
  <c r="BA27" i="18" s="1"/>
  <c r="AY18" i="18"/>
  <c r="BA18" i="18" s="1"/>
  <c r="AZ40" i="18"/>
  <c r="AZ38" i="18"/>
  <c r="AZ52" i="18"/>
  <c r="AZ53" i="18"/>
  <c r="AZ55" i="18"/>
  <c r="AZ18" i="18"/>
  <c r="AN46" i="18"/>
  <c r="AN37" i="18"/>
  <c r="AN28" i="18"/>
  <c r="AQ47" i="18"/>
  <c r="AS47" i="18" s="1"/>
  <c r="AQ38" i="18"/>
  <c r="AS38" i="18" s="1"/>
  <c r="AQ29" i="18"/>
  <c r="AS29" i="18" s="1"/>
  <c r="AQ12" i="18"/>
  <c r="AS12" i="18" s="1"/>
  <c r="AQ50" i="18"/>
  <c r="AS50" i="18" s="1"/>
  <c r="AR40" i="18"/>
  <c r="AR55" i="18"/>
  <c r="AR14" i="18"/>
  <c r="AR46" i="18"/>
  <c r="AR10" i="18"/>
  <c r="AU17" i="18"/>
  <c r="AW17" i="18" s="1"/>
  <c r="AU46" i="18"/>
  <c r="AW46" i="18" s="1"/>
  <c r="AU37" i="18"/>
  <c r="AW37" i="18" s="1"/>
  <c r="AU28" i="18"/>
  <c r="AW28" i="18" s="1"/>
  <c r="AU19" i="18"/>
  <c r="AW19" i="18" s="1"/>
  <c r="AU10" i="18"/>
  <c r="AW10" i="18" s="1"/>
  <c r="AV16" i="18"/>
  <c r="AV41" i="18"/>
  <c r="AV53" i="18"/>
  <c r="AV44" i="18"/>
  <c r="AV27" i="18"/>
  <c r="AY16" i="18"/>
  <c r="BA16" i="18" s="1"/>
  <c r="AY46" i="18"/>
  <c r="BA46" i="18" s="1"/>
  <c r="AY37" i="18"/>
  <c r="BA37" i="18" s="1"/>
  <c r="AY28" i="18"/>
  <c r="BA28" i="18" s="1"/>
  <c r="AY19" i="18"/>
  <c r="BA19" i="18" s="1"/>
  <c r="AY10" i="18"/>
  <c r="BA10" i="18" s="1"/>
  <c r="AZ32" i="18"/>
  <c r="AZ30" i="18"/>
  <c r="AZ44" i="18"/>
  <c r="AZ29" i="18"/>
  <c r="AZ31" i="18"/>
  <c r="AW9" i="18"/>
  <c r="AS9" i="18"/>
  <c r="C35" i="18"/>
  <c r="C29" i="18"/>
  <c r="C42" i="18"/>
  <c r="C32" i="18"/>
  <c r="C33" i="18"/>
  <c r="C47" i="18"/>
  <c r="C49" i="18"/>
  <c r="E33" i="18"/>
  <c r="C16" i="18"/>
  <c r="E20" i="18"/>
  <c r="E47" i="18"/>
  <c r="F36" i="18"/>
  <c r="F56" i="18"/>
  <c r="F18" i="18"/>
  <c r="F24" i="18"/>
  <c r="F27" i="18"/>
  <c r="E56" i="18"/>
  <c r="E29" i="18"/>
  <c r="F45" i="18"/>
  <c r="F52" i="18"/>
  <c r="F14" i="18"/>
  <c r="E26" i="18"/>
  <c r="E32" i="18"/>
  <c r="F22" i="18"/>
  <c r="F35" i="18"/>
  <c r="F51" i="18"/>
  <c r="E24" i="18"/>
  <c r="E49" i="18"/>
  <c r="F41" i="18"/>
  <c r="F32" i="18"/>
  <c r="F25" i="18"/>
  <c r="E45" i="18"/>
  <c r="E13" i="18"/>
  <c r="F54" i="18"/>
  <c r="F13" i="18"/>
  <c r="F21" i="18"/>
  <c r="E46" i="18"/>
  <c r="E42" i="18"/>
  <c r="E19" i="18"/>
  <c r="F33" i="18"/>
  <c r="F19" i="18"/>
  <c r="F48" i="18"/>
  <c r="F28" i="18"/>
  <c r="E28" i="18"/>
  <c r="E39" i="18"/>
  <c r="E25" i="18"/>
  <c r="D50" i="18"/>
  <c r="F11" i="18"/>
  <c r="E55" i="18"/>
  <c r="C25" i="18"/>
  <c r="F31" i="18"/>
  <c r="E35" i="18"/>
  <c r="C43" i="18"/>
  <c r="C36" i="18"/>
  <c r="E34" i="18"/>
  <c r="C17" i="18"/>
  <c r="C46" i="18"/>
  <c r="F44" i="18"/>
  <c r="E30" i="18"/>
  <c r="C51" i="18"/>
  <c r="C31" i="18"/>
  <c r="C50" i="18"/>
  <c r="C14" i="18"/>
  <c r="F46" i="18"/>
  <c r="E48" i="18"/>
  <c r="E12" i="18"/>
  <c r="C30" i="18"/>
  <c r="C26" i="18"/>
  <c r="D41" i="18"/>
  <c r="F40" i="18"/>
  <c r="F39" i="18"/>
  <c r="F29" i="18"/>
  <c r="F50" i="18"/>
  <c r="F20" i="18"/>
  <c r="E14" i="18"/>
  <c r="E11" i="18"/>
  <c r="E18" i="18"/>
  <c r="E21" i="18"/>
  <c r="E22" i="18"/>
  <c r="E53" i="18"/>
  <c r="C41" i="18"/>
  <c r="C28" i="18"/>
  <c r="C38" i="18"/>
  <c r="C12" i="18"/>
  <c r="C22" i="18"/>
  <c r="F55" i="18"/>
  <c r="F16" i="18"/>
  <c r="E50" i="18"/>
  <c r="E15" i="18"/>
  <c r="E51" i="18"/>
  <c r="E16" i="18"/>
  <c r="E54" i="18"/>
  <c r="C56" i="18"/>
  <c r="C11" i="18"/>
  <c r="C18" i="18"/>
  <c r="C54" i="18"/>
  <c r="C21" i="18"/>
  <c r="F38" i="18"/>
  <c r="F42" i="18"/>
  <c r="F43" i="18"/>
  <c r="F53" i="18"/>
  <c r="E40" i="18"/>
  <c r="E52" i="18"/>
  <c r="E41" i="18"/>
  <c r="C15" i="18"/>
  <c r="C34" i="18"/>
  <c r="C37" i="18"/>
  <c r="C48" i="18"/>
  <c r="C13" i="18"/>
  <c r="F34" i="18"/>
  <c r="F23" i="18"/>
  <c r="F17" i="18"/>
  <c r="E31" i="18"/>
  <c r="E44" i="18"/>
  <c r="E36" i="18"/>
  <c r="E17" i="18"/>
  <c r="C24" i="18"/>
  <c r="C19" i="18"/>
  <c r="C40" i="18"/>
  <c r="D37" i="18"/>
  <c r="D25" i="18"/>
  <c r="D22" i="18"/>
  <c r="D56" i="18"/>
  <c r="D48" i="18"/>
  <c r="D31" i="18"/>
  <c r="D54" i="18"/>
  <c r="D16" i="18"/>
  <c r="D36" i="18"/>
  <c r="F47" i="18"/>
  <c r="F49" i="18"/>
  <c r="F30" i="18"/>
  <c r="F15" i="18"/>
  <c r="E37" i="18"/>
  <c r="E27" i="18"/>
  <c r="E23" i="18"/>
  <c r="C53" i="18"/>
  <c r="D49" i="18"/>
  <c r="D19" i="18"/>
  <c r="D24" i="18"/>
  <c r="D40" i="18"/>
  <c r="D29" i="18"/>
  <c r="D53" i="18"/>
  <c r="D51" i="18"/>
  <c r="D10" i="18"/>
  <c r="D45" i="18"/>
  <c r="F26" i="18"/>
  <c r="F12" i="18"/>
  <c r="E38" i="18"/>
  <c r="E10" i="18"/>
  <c r="C55" i="18"/>
  <c r="C39" i="18"/>
  <c r="C52" i="18"/>
  <c r="D35" i="18"/>
  <c r="D44" i="18"/>
  <c r="D55" i="18"/>
  <c r="D15" i="18"/>
  <c r="D46" i="18"/>
  <c r="D17" i="18"/>
  <c r="D11" i="18"/>
  <c r="C20" i="18"/>
  <c r="C27" i="18"/>
  <c r="D38" i="18"/>
  <c r="D13" i="18"/>
  <c r="D12" i="18"/>
  <c r="D47" i="18"/>
  <c r="D18" i="18"/>
  <c r="D21" i="18"/>
  <c r="D30" i="18"/>
  <c r="D20" i="18"/>
  <c r="D14" i="18"/>
  <c r="D23" i="18"/>
  <c r="D28" i="18"/>
  <c r="D27" i="18"/>
  <c r="D39" i="18"/>
  <c r="D34" i="18"/>
  <c r="D43" i="18"/>
  <c r="D33" i="18"/>
  <c r="F37" i="18"/>
  <c r="F10" i="18"/>
  <c r="E43" i="18"/>
  <c r="C10" i="18"/>
  <c r="C23" i="18"/>
  <c r="C44" i="18"/>
  <c r="C45" i="18"/>
  <c r="D26" i="18"/>
  <c r="D52" i="18"/>
  <c r="D42" i="18"/>
  <c r="D32" i="18"/>
  <c r="AI60" i="18"/>
  <c r="AI63" i="18"/>
  <c r="AI61" i="18"/>
  <c r="AH60" i="18"/>
  <c r="AH61" i="18"/>
  <c r="AH63" i="18"/>
  <c r="AH62" i="18"/>
  <c r="AJ61" i="18"/>
  <c r="AJ62" i="18"/>
  <c r="AJ63" i="18"/>
  <c r="AJ60" i="18"/>
  <c r="AG61" i="18"/>
  <c r="AG62" i="18"/>
  <c r="AG63" i="18"/>
  <c r="AG60" i="18"/>
  <c r="AI6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isogaya</author>
  </authors>
  <commentList>
    <comment ref="H60" authorId="0" shapeId="0" xr:uid="{7697C3ED-C8CA-4444-92F1-91D91FA6DE07}">
      <text>
        <r>
          <rPr>
            <b/>
            <sz val="9"/>
            <color indexed="81"/>
            <rFont val="MS P ゴシック"/>
            <family val="3"/>
            <charset val="128"/>
          </rPr>
          <t>isogaya:</t>
        </r>
        <r>
          <rPr>
            <sz val="9"/>
            <color indexed="81"/>
            <rFont val="MS P ゴシック"/>
            <family val="3"/>
            <charset val="128"/>
          </rPr>
          <t xml:space="preserve">
下つきの２
</t>
        </r>
      </text>
    </comment>
  </commentList>
</comments>
</file>

<file path=xl/sharedStrings.xml><?xml version="1.0" encoding="utf-8"?>
<sst xmlns="http://schemas.openxmlformats.org/spreadsheetml/2006/main" count="18675" uniqueCount="4387">
  <si>
    <t>経済</t>
  </si>
  <si>
    <t>研究・開発</t>
  </si>
  <si>
    <t>文化・交流</t>
  </si>
  <si>
    <t>居住</t>
  </si>
  <si>
    <t>環境</t>
  </si>
  <si>
    <t>交通・アクセス</t>
  </si>
  <si>
    <t>Economy</t>
  </si>
  <si>
    <t>Cultural Interaction</t>
  </si>
  <si>
    <t>Livability</t>
    <phoneticPr fontId="9"/>
  </si>
  <si>
    <t>Environment</t>
  </si>
  <si>
    <t>Accessibility</t>
  </si>
  <si>
    <t>市場の規模</t>
  </si>
  <si>
    <t>市場の魅力</t>
  </si>
  <si>
    <t>経済集積</t>
  </si>
  <si>
    <t>人的集積</t>
  </si>
  <si>
    <t>ビジネス環境</t>
  </si>
  <si>
    <t>ビジネスの容易性</t>
  </si>
  <si>
    <t>研究集積</t>
  </si>
  <si>
    <t>研究環境</t>
    <rPh sb="2" eb="4">
      <t>カンキョウ</t>
    </rPh>
    <phoneticPr fontId="9"/>
  </si>
  <si>
    <t>イノベーション</t>
    <phoneticPr fontId="9"/>
  </si>
  <si>
    <t>受入環境</t>
  </si>
  <si>
    <t>就業環境</t>
  </si>
  <si>
    <t>居住コスト</t>
  </si>
  <si>
    <t>安全・安心</t>
  </si>
  <si>
    <t>生活良好性</t>
  </si>
  <si>
    <t>生活利便性</t>
  </si>
  <si>
    <t>Market Size</t>
  </si>
  <si>
    <t>Market Attractiveness</t>
  </si>
  <si>
    <t>Economic Vitality</t>
  </si>
  <si>
    <t>Human Capital</t>
  </si>
  <si>
    <t>Business Environment</t>
  </si>
  <si>
    <t>Ease of Doing Business</t>
  </si>
  <si>
    <t>Academic Resources</t>
  </si>
  <si>
    <t>Innovation</t>
    <phoneticPr fontId="9"/>
  </si>
  <si>
    <t>Trendsetting Potential</t>
  </si>
  <si>
    <t>International Interaction</t>
  </si>
  <si>
    <t>Working Environment</t>
  </si>
  <si>
    <t>Cost of Living</t>
  </si>
  <si>
    <t>Security and Safety</t>
  </si>
  <si>
    <t>Well-Being</t>
  </si>
  <si>
    <t>Ease of Living</t>
  </si>
  <si>
    <t>人口</t>
  </si>
  <si>
    <t>面積</t>
  </si>
  <si>
    <t>GDP</t>
  </si>
  <si>
    <t>1人あたりGDP</t>
  </si>
  <si>
    <t>GDP成長率</t>
  </si>
  <si>
    <t>経済自由度</t>
  </si>
  <si>
    <t>世界トップ500企業</t>
  </si>
  <si>
    <t>従業者数</t>
  </si>
  <si>
    <t>優秀な人材確保の容易性</t>
  </si>
  <si>
    <t>研究者数</t>
  </si>
  <si>
    <t>研究開発費</t>
  </si>
  <si>
    <t>コンテンツ輸出額</t>
  </si>
  <si>
    <t>劇場・コンサートホール数</t>
  </si>
  <si>
    <t>美術館・博物館数</t>
  </si>
  <si>
    <t>スタジアム数</t>
  </si>
  <si>
    <t>ハイクラスホテル客室数</t>
  </si>
  <si>
    <t>買物の魅力</t>
  </si>
  <si>
    <t>食事の魅力</t>
  </si>
  <si>
    <t>外国人居住者数</t>
  </si>
  <si>
    <t>平均寿命</t>
  </si>
  <si>
    <t>ICT環境の充実度</t>
  </si>
  <si>
    <t>リサイクル率</t>
  </si>
  <si>
    <t>国際貨物流通規模</t>
  </si>
  <si>
    <t>Population</t>
  </si>
  <si>
    <t>Area</t>
  </si>
  <si>
    <t>Nominal GDP</t>
  </si>
  <si>
    <t>GDP Growth Rate</t>
  </si>
  <si>
    <t>Economic Freedom</t>
    <phoneticPr fontId="9"/>
  </si>
  <si>
    <t>World's Top 500 Companies</t>
  </si>
  <si>
    <t>Total Employment</t>
  </si>
  <si>
    <t>Employees in Business Support Services</t>
    <phoneticPr fontId="9"/>
  </si>
  <si>
    <t>Wage Level</t>
  </si>
  <si>
    <t>Availability of Skilled Human Resources</t>
    <phoneticPr fontId="9"/>
  </si>
  <si>
    <t>Variety of Workplace Options</t>
    <phoneticPr fontId="9"/>
  </si>
  <si>
    <t>Corporate Tax Rate</t>
  </si>
  <si>
    <t>Political, Economic and Business Risk</t>
  </si>
  <si>
    <t>Number of Researchers</t>
  </si>
  <si>
    <t>World's Top Universities</t>
    <phoneticPr fontId="9"/>
  </si>
  <si>
    <t>Number of Patents</t>
    <phoneticPr fontId="9"/>
  </si>
  <si>
    <t>Winners of Prizes in Science and Technology</t>
    <phoneticPr fontId="9"/>
  </si>
  <si>
    <t>Number of International Conferences</t>
    <phoneticPr fontId="9"/>
  </si>
  <si>
    <t>Cultural Content Export Value</t>
    <phoneticPr fontId="9"/>
  </si>
  <si>
    <t>Proximity to World Heritage Sites</t>
    <phoneticPr fontId="9"/>
  </si>
  <si>
    <t>Number of Museums</t>
    <phoneticPr fontId="9"/>
  </si>
  <si>
    <t>Number of Stadiums</t>
    <phoneticPr fontId="9"/>
  </si>
  <si>
    <t>Attractiveness of Shopping Options</t>
  </si>
  <si>
    <t>Attractiveness of Dining Options</t>
  </si>
  <si>
    <t>Number of Foreign Residents</t>
    <phoneticPr fontId="9"/>
  </si>
  <si>
    <t>Number of Foreign Visitors</t>
    <phoneticPr fontId="9"/>
  </si>
  <si>
    <t>Total Unemployment Rate</t>
  </si>
  <si>
    <t>Housing Rent</t>
    <phoneticPr fontId="9"/>
  </si>
  <si>
    <t>Price Level</t>
  </si>
  <si>
    <t>Number of Murders</t>
    <phoneticPr fontId="9"/>
  </si>
  <si>
    <t>Economic Risk of Natural Disaster</t>
  </si>
  <si>
    <t>Life Expectancy</t>
  </si>
  <si>
    <t>Social Freedom and Equality</t>
    <phoneticPr fontId="9"/>
  </si>
  <si>
    <t>Risk to Mental Health</t>
  </si>
  <si>
    <t>Number of Medical Doctors</t>
    <phoneticPr fontId="9"/>
  </si>
  <si>
    <t>ICT Readiness</t>
  </si>
  <si>
    <t>Cities with Direct International Flights</t>
    <phoneticPr fontId="9"/>
  </si>
  <si>
    <t>International Freight Flows</t>
  </si>
  <si>
    <t>Number of Air Passengers</t>
    <phoneticPr fontId="9"/>
  </si>
  <si>
    <t>基礎</t>
    <rPh sb="0" eb="2">
      <t>キソ</t>
    </rPh>
    <phoneticPr fontId="5"/>
  </si>
  <si>
    <t>Basic</t>
    <phoneticPr fontId="5"/>
  </si>
  <si>
    <t>Madrid</t>
  </si>
  <si>
    <t>Barcelona</t>
  </si>
  <si>
    <t>バルセロナ</t>
  </si>
  <si>
    <t>London</t>
  </si>
  <si>
    <t>ロンドン</t>
  </si>
  <si>
    <t>Paris</t>
  </si>
  <si>
    <t>パリ</t>
  </si>
  <si>
    <t>Brussels</t>
  </si>
  <si>
    <t>ブリュッセル</t>
  </si>
  <si>
    <t>Amsterdam</t>
  </si>
  <si>
    <t>アムステルダム</t>
  </si>
  <si>
    <t>Geneva</t>
  </si>
  <si>
    <t>ジュネーブ</t>
  </si>
  <si>
    <t>Frankfurt</t>
  </si>
  <si>
    <t>フランクフルト</t>
  </si>
  <si>
    <t>Berlin</t>
  </si>
  <si>
    <t>ベルリン</t>
  </si>
  <si>
    <t>Milan</t>
  </si>
  <si>
    <t>ミラノ</t>
  </si>
  <si>
    <t>Zurich</t>
  </si>
  <si>
    <t>チューリッヒ</t>
  </si>
  <si>
    <t>Copenhagen</t>
  </si>
  <si>
    <t>コペンハーゲン</t>
  </si>
  <si>
    <t>Vienna</t>
  </si>
  <si>
    <t>ウィーン</t>
  </si>
  <si>
    <t>Stockholm</t>
  </si>
  <si>
    <t>ストックホルム</t>
  </si>
  <si>
    <t>Istanbul</t>
  </si>
  <si>
    <t>イスタンブール</t>
  </si>
  <si>
    <t>Cairo</t>
  </si>
  <si>
    <t>カイロ</t>
  </si>
  <si>
    <t>Moscow</t>
  </si>
  <si>
    <t>モスクワ</t>
  </si>
  <si>
    <t>Mumbai</t>
  </si>
  <si>
    <t>ムンバイ</t>
  </si>
  <si>
    <t>Bangkok</t>
  </si>
  <si>
    <t>バンコク</t>
  </si>
  <si>
    <t>Kuala Lumpur</t>
  </si>
  <si>
    <t>クアラルンプール</t>
  </si>
  <si>
    <t>Singapore</t>
  </si>
  <si>
    <t>シンガポール</t>
  </si>
  <si>
    <t>Hong Kong</t>
  </si>
  <si>
    <t>香港</t>
    <rPh sb="0" eb="2">
      <t>ホンコン</t>
    </rPh>
    <phoneticPr fontId="7"/>
  </si>
  <si>
    <t>Beijing</t>
  </si>
  <si>
    <t>北京</t>
  </si>
  <si>
    <t>Shanghai</t>
  </si>
  <si>
    <t>上海</t>
  </si>
  <si>
    <t>Taipei</t>
  </si>
  <si>
    <t>台北</t>
    <rPh sb="0" eb="2">
      <t>タイペイ</t>
    </rPh>
    <phoneticPr fontId="7"/>
  </si>
  <si>
    <t>Seoul</t>
  </si>
  <si>
    <t>ソウル</t>
  </si>
  <si>
    <t>Fukuoka</t>
  </si>
  <si>
    <t>福岡</t>
  </si>
  <si>
    <t>Osaka</t>
  </si>
  <si>
    <t>大阪</t>
  </si>
  <si>
    <t>Tokyo</t>
  </si>
  <si>
    <t>東京</t>
    <rPh sb="0" eb="2">
      <t>トウキョウ</t>
    </rPh>
    <phoneticPr fontId="7"/>
  </si>
  <si>
    <t>Sydney</t>
  </si>
  <si>
    <t>シドニー</t>
  </si>
  <si>
    <t>Vancouver</t>
  </si>
  <si>
    <t>バンクーバー</t>
  </si>
  <si>
    <t>San Francisco</t>
  </si>
  <si>
    <t>サンフランシスコ</t>
  </si>
  <si>
    <t>Los Angeles</t>
  </si>
  <si>
    <t>ロサンゼルス</t>
  </si>
  <si>
    <t>Mexico City</t>
  </si>
  <si>
    <t>メキシコシティ</t>
  </si>
  <si>
    <t>Chicago</t>
  </si>
  <si>
    <t>シカゴ</t>
  </si>
  <si>
    <t>Toronto</t>
  </si>
  <si>
    <t>トロント</t>
  </si>
  <si>
    <r>
      <t>Washington</t>
    </r>
    <r>
      <rPr>
        <sz val="9"/>
        <rFont val="游ゴシック"/>
        <family val="2"/>
        <charset val="128"/>
      </rPr>
      <t>, DC</t>
    </r>
    <phoneticPr fontId="9"/>
  </si>
  <si>
    <t>ワシントンDC</t>
    <phoneticPr fontId="9"/>
  </si>
  <si>
    <t>New York</t>
  </si>
  <si>
    <t>ニューヨーク</t>
  </si>
  <si>
    <t>Boston</t>
  </si>
  <si>
    <t>ボストン</t>
  </si>
  <si>
    <t>Sao Paulo</t>
  </si>
  <si>
    <t>サンパウロ</t>
  </si>
  <si>
    <t>Johannesburg</t>
  </si>
  <si>
    <t>ヨハネスブルグ</t>
  </si>
  <si>
    <t>Jakarta</t>
  </si>
  <si>
    <t>ジャカルタ</t>
  </si>
  <si>
    <t>Buenos Aires</t>
  </si>
  <si>
    <t>ブエノスアイレス</t>
  </si>
  <si>
    <t>Dubai</t>
  </si>
  <si>
    <t>ドバイ</t>
  </si>
  <si>
    <r>
      <t>D</t>
    </r>
    <r>
      <rPr>
        <sz val="9"/>
        <rFont val="游ゴシック"/>
        <family val="2"/>
        <charset val="128"/>
      </rPr>
      <t>ublin</t>
    </r>
    <phoneticPr fontId="9"/>
  </si>
  <si>
    <t>ダブリン</t>
    <phoneticPr fontId="9"/>
  </si>
  <si>
    <r>
      <t>H</t>
    </r>
    <r>
      <rPr>
        <sz val="9"/>
        <rFont val="游ゴシック"/>
        <family val="2"/>
        <charset val="128"/>
      </rPr>
      <t>elsinki</t>
    </r>
    <phoneticPr fontId="9"/>
  </si>
  <si>
    <t>ヘルシンキ</t>
    <phoneticPr fontId="9"/>
  </si>
  <si>
    <r>
      <t>T</t>
    </r>
    <r>
      <rPr>
        <sz val="9"/>
        <rFont val="游ゴシック"/>
        <family val="2"/>
        <charset val="128"/>
      </rPr>
      <t>el Aviv</t>
    </r>
    <phoneticPr fontId="9"/>
  </si>
  <si>
    <t>テルアビブ</t>
    <phoneticPr fontId="9"/>
  </si>
  <si>
    <r>
      <t>M</t>
    </r>
    <r>
      <rPr>
        <sz val="9"/>
        <rFont val="游ゴシック"/>
        <family val="2"/>
        <charset val="128"/>
      </rPr>
      <t>elbourne</t>
    </r>
    <phoneticPr fontId="9"/>
  </si>
  <si>
    <t>メルボルン</t>
    <phoneticPr fontId="9"/>
  </si>
  <si>
    <t>分野</t>
    <rPh sb="0" eb="2">
      <t>ブンヤ</t>
    </rPh>
    <phoneticPr fontId="5"/>
  </si>
  <si>
    <t>Function</t>
    <phoneticPr fontId="5"/>
  </si>
  <si>
    <t>指標グループ</t>
    <rPh sb="0" eb="2">
      <t>シヒョウ</t>
    </rPh>
    <phoneticPr fontId="5"/>
  </si>
  <si>
    <t>Indicator Group</t>
    <phoneticPr fontId="5"/>
  </si>
  <si>
    <t>指標</t>
    <rPh sb="0" eb="2">
      <t>シヒョウ</t>
    </rPh>
    <phoneticPr fontId="5"/>
  </si>
  <si>
    <t>Indicator</t>
    <phoneticPr fontId="5"/>
  </si>
  <si>
    <t>単位</t>
    <rPh sb="0" eb="2">
      <t>タンイ</t>
    </rPh>
    <phoneticPr fontId="5"/>
  </si>
  <si>
    <t>プラマイ</t>
  </si>
  <si>
    <t>#</t>
    <phoneticPr fontId="5"/>
  </si>
  <si>
    <t>都市名</t>
    <rPh sb="0" eb="3">
      <t>トシメイ</t>
    </rPh>
    <phoneticPr fontId="5"/>
  </si>
  <si>
    <t>City Name</t>
    <phoneticPr fontId="5"/>
  </si>
  <si>
    <t>01</t>
    <phoneticPr fontId="5"/>
  </si>
  <si>
    <t>02</t>
    <phoneticPr fontId="5"/>
  </si>
  <si>
    <t>03</t>
    <phoneticPr fontId="5"/>
  </si>
  <si>
    <t>04</t>
    <phoneticPr fontId="5"/>
  </si>
  <si>
    <t>05</t>
    <phoneticPr fontId="5"/>
  </si>
  <si>
    <t>06</t>
    <phoneticPr fontId="5"/>
  </si>
  <si>
    <t>07</t>
    <phoneticPr fontId="5"/>
  </si>
  <si>
    <t>08</t>
    <phoneticPr fontId="5"/>
  </si>
  <si>
    <t>09</t>
    <phoneticPr fontId="5"/>
  </si>
  <si>
    <t>stdev.p</t>
    <phoneticPr fontId="5"/>
  </si>
  <si>
    <t>人</t>
  </si>
  <si>
    <t>プラス</t>
  </si>
  <si>
    <t>k㎡</t>
  </si>
  <si>
    <t>百万ドル</t>
  </si>
  <si>
    <t>0a,7→1→2,3,24,55</t>
  </si>
  <si>
    <t>Comprehensive</t>
    <phoneticPr fontId="5"/>
  </si>
  <si>
    <t>▶分野別</t>
    <rPh sb="1" eb="4">
      <t>ブンヤベツ</t>
    </rPh>
    <phoneticPr fontId="5"/>
  </si>
  <si>
    <t>▶指標グループ別</t>
    <rPh sb="1" eb="3">
      <t>シヒョウ</t>
    </rPh>
    <rPh sb="7" eb="8">
      <t>ベツ</t>
    </rPh>
    <phoneticPr fontId="5"/>
  </si>
  <si>
    <t>▶指標別</t>
    <rPh sb="1" eb="3">
      <t>シヒョウ</t>
    </rPh>
    <rPh sb="3" eb="4">
      <t>ベツ</t>
    </rPh>
    <phoneticPr fontId="5"/>
  </si>
  <si>
    <t>1,0a,7→2</t>
  </si>
  <si>
    <t>%</t>
  </si>
  <si>
    <t>7→1,8,14,18,19,48</t>
  </si>
  <si>
    <t>7→8</t>
  </si>
  <si>
    <t>マイナス</t>
  </si>
  <si>
    <t>7→14</t>
  </si>
  <si>
    <t>件</t>
  </si>
  <si>
    <t>7→19</t>
  </si>
  <si>
    <t>1,7→24</t>
  </si>
  <si>
    <t>施設</t>
  </si>
  <si>
    <t>室</t>
  </si>
  <si>
    <t>0a→43</t>
  </si>
  <si>
    <t>歳</t>
  </si>
  <si>
    <t>人/百万人</t>
  </si>
  <si>
    <t>0a,7→48</t>
  </si>
  <si>
    <t>1→55</t>
  </si>
  <si>
    <t>（合算）</t>
  </si>
  <si>
    <t>都市</t>
  </si>
  <si>
    <t>63→64</t>
  </si>
  <si>
    <t>駅/k㎡</t>
  </si>
  <si>
    <t>63→67</t>
  </si>
  <si>
    <t>Unit</t>
    <phoneticPr fontId="5"/>
  </si>
  <si>
    <t>IG#</t>
    <phoneticPr fontId="5"/>
  </si>
  <si>
    <t>-</t>
    <phoneticPr fontId="5"/>
  </si>
  <si>
    <t>Ec1</t>
  </si>
  <si>
    <t>Ec2</t>
  </si>
  <si>
    <t>Ec3</t>
  </si>
  <si>
    <t>Ec4</t>
  </si>
  <si>
    <t>Ec5</t>
  </si>
  <si>
    <t>Ec6</t>
  </si>
  <si>
    <t>RD1</t>
  </si>
  <si>
    <t>RD2</t>
  </si>
  <si>
    <t>RD3</t>
  </si>
  <si>
    <t>CI1</t>
  </si>
  <si>
    <t>CI2</t>
  </si>
  <si>
    <t>CI3</t>
  </si>
  <si>
    <t>CI4</t>
  </si>
  <si>
    <t>CI5</t>
  </si>
  <si>
    <t>Li1</t>
  </si>
  <si>
    <t>Li2</t>
  </si>
  <si>
    <t>Li3</t>
  </si>
  <si>
    <t>Li4</t>
  </si>
  <si>
    <t>Li5</t>
  </si>
  <si>
    <t>En1</t>
  </si>
  <si>
    <t>En2</t>
  </si>
  <si>
    <t>En3</t>
  </si>
  <si>
    <t>Ac1</t>
  </si>
  <si>
    <t>Ac2</t>
  </si>
  <si>
    <t>Ac3</t>
  </si>
  <si>
    <t>Ac4</t>
  </si>
  <si>
    <t>分野構成</t>
    <rPh sb="0" eb="2">
      <t>ブンヤ</t>
    </rPh>
    <rPh sb="2" eb="4">
      <t>コウセイ</t>
    </rPh>
    <phoneticPr fontId="5"/>
  </si>
  <si>
    <t>Livability</t>
  </si>
  <si>
    <t>Spain</t>
  </si>
  <si>
    <t>UK</t>
  </si>
  <si>
    <t>France</t>
  </si>
  <si>
    <t>Belgium</t>
  </si>
  <si>
    <t>Netherlands</t>
  </si>
  <si>
    <t>Switzerland</t>
  </si>
  <si>
    <t>Germany</t>
  </si>
  <si>
    <t>Italy</t>
  </si>
  <si>
    <t>Denmark</t>
  </si>
  <si>
    <t>Austria</t>
  </si>
  <si>
    <t>Sweden</t>
  </si>
  <si>
    <t>Turkey</t>
  </si>
  <si>
    <t>Egypt</t>
  </si>
  <si>
    <t>Russia</t>
  </si>
  <si>
    <t>India</t>
  </si>
  <si>
    <t>Thailand</t>
  </si>
  <si>
    <t>Malaysia</t>
  </si>
  <si>
    <t>China</t>
  </si>
  <si>
    <t>Taiwan</t>
  </si>
  <si>
    <t>South Korea</t>
  </si>
  <si>
    <t>Japan</t>
  </si>
  <si>
    <t>Australia</t>
  </si>
  <si>
    <t>Canada</t>
  </si>
  <si>
    <t>USA</t>
  </si>
  <si>
    <t>Mexico</t>
  </si>
  <si>
    <t>Brazil</t>
  </si>
  <si>
    <t>South Africa</t>
  </si>
  <si>
    <t>Indonesia</t>
  </si>
  <si>
    <t>Argentina</t>
  </si>
  <si>
    <t>UAE</t>
  </si>
  <si>
    <t>Ireland</t>
  </si>
  <si>
    <t>Finland</t>
  </si>
  <si>
    <t>Israel</t>
  </si>
  <si>
    <t>Country Name</t>
    <phoneticPr fontId="5"/>
  </si>
  <si>
    <t>国名</t>
    <rPh sb="0" eb="1">
      <t>クニ</t>
    </rPh>
    <rPh sb="1" eb="2">
      <t>メイ</t>
    </rPh>
    <phoneticPr fontId="5"/>
  </si>
  <si>
    <t>スペイン</t>
  </si>
  <si>
    <t>英国</t>
    <rPh sb="0" eb="2">
      <t>エイコク</t>
    </rPh>
    <phoneticPr fontId="12"/>
  </si>
  <si>
    <t>フランス</t>
  </si>
  <si>
    <t>ベルギー</t>
  </si>
  <si>
    <t>オランダ</t>
  </si>
  <si>
    <t>スイス</t>
  </si>
  <si>
    <t>ドイツ</t>
  </si>
  <si>
    <t>イタリア</t>
  </si>
  <si>
    <t>デンマーク</t>
  </si>
  <si>
    <t>オーストリア</t>
  </si>
  <si>
    <t>スウェーデン</t>
  </si>
  <si>
    <t>トルコ</t>
  </si>
  <si>
    <t>エジプト</t>
  </si>
  <si>
    <t>ロシア</t>
  </si>
  <si>
    <t>インド</t>
  </si>
  <si>
    <t>タイ</t>
  </si>
  <si>
    <t>マレーシア</t>
  </si>
  <si>
    <t>香港</t>
    <rPh sb="0" eb="2">
      <t>ホンコン</t>
    </rPh>
    <phoneticPr fontId="12"/>
  </si>
  <si>
    <t>中国</t>
    <rPh sb="0" eb="2">
      <t>チュウゴク</t>
    </rPh>
    <phoneticPr fontId="12"/>
  </si>
  <si>
    <t>台湾</t>
    <rPh sb="0" eb="2">
      <t>タイワン</t>
    </rPh>
    <phoneticPr fontId="12"/>
  </si>
  <si>
    <t>韓国</t>
    <rPh sb="0" eb="2">
      <t>カンコク</t>
    </rPh>
    <phoneticPr fontId="12"/>
  </si>
  <si>
    <t>日本</t>
  </si>
  <si>
    <t>オーストラリア</t>
  </si>
  <si>
    <t>カナダ</t>
  </si>
  <si>
    <t>米国</t>
  </si>
  <si>
    <t>メキシコ</t>
  </si>
  <si>
    <t>米国</t>
    <rPh sb="0" eb="1">
      <t>コメ</t>
    </rPh>
    <rPh sb="1" eb="2">
      <t>コク</t>
    </rPh>
    <phoneticPr fontId="8"/>
  </si>
  <si>
    <t>ブラジル</t>
  </si>
  <si>
    <t>南アフリカ</t>
    <rPh sb="0" eb="1">
      <t>ミナミ</t>
    </rPh>
    <phoneticPr fontId="8"/>
  </si>
  <si>
    <t>インドネシア</t>
  </si>
  <si>
    <t>アルゼンチン</t>
  </si>
  <si>
    <t>アラブ首長国連邦</t>
    <rPh sb="3" eb="5">
      <t>シュチョウ</t>
    </rPh>
    <rPh sb="5" eb="6">
      <t>コク</t>
    </rPh>
    <rPh sb="6" eb="8">
      <t>レンポウ</t>
    </rPh>
    <phoneticPr fontId="8"/>
  </si>
  <si>
    <t>アイルランド</t>
  </si>
  <si>
    <t>フィンランド</t>
  </si>
  <si>
    <t>イスラエル</t>
  </si>
  <si>
    <t>○</t>
  </si>
  <si>
    <t>○</t>
    <phoneticPr fontId="5"/>
  </si>
  <si>
    <t>△</t>
  </si>
  <si>
    <t>△</t>
    <phoneticPr fontId="5"/>
  </si>
  <si>
    <t>配点</t>
    <rPh sb="0" eb="2">
      <t>ハイテン</t>
    </rPh>
    <phoneticPr fontId="5"/>
  </si>
  <si>
    <t>▶スコア</t>
  </si>
  <si>
    <t>▶順位</t>
    <rPh sb="1" eb="3">
      <t>ジュンイ</t>
    </rPh>
    <phoneticPr fontId="5"/>
  </si>
  <si>
    <t>▶偏差値</t>
    <rPh sb="1" eb="4">
      <t>ヘンサチ</t>
    </rPh>
    <phoneticPr fontId="5"/>
  </si>
  <si>
    <t>average</t>
    <phoneticPr fontId="5"/>
  </si>
  <si>
    <t>▶星取表</t>
    <rPh sb="1" eb="3">
      <t>ホシト</t>
    </rPh>
    <rPh sb="3" eb="4">
      <t>ヒョウ</t>
    </rPh>
    <phoneticPr fontId="5"/>
  </si>
  <si>
    <t>個数</t>
    <rPh sb="0" eb="2">
      <t>コスウ</t>
    </rPh>
    <phoneticPr fontId="5"/>
  </si>
  <si>
    <t>max</t>
    <phoneticPr fontId="5"/>
  </si>
  <si>
    <t>min</t>
    <phoneticPr fontId="5"/>
  </si>
  <si>
    <t>▶配点</t>
    <rPh sb="1" eb="3">
      <t>ハイテン</t>
    </rPh>
    <phoneticPr fontId="5"/>
  </si>
  <si>
    <t>▶手入力</t>
    <rPh sb="1" eb="4">
      <t>テニュウリョク</t>
    </rPh>
    <phoneticPr fontId="5"/>
  </si>
  <si>
    <t>▶結果確認用</t>
    <rPh sb="1" eb="3">
      <t>ケッカ</t>
    </rPh>
    <rPh sb="3" eb="6">
      <t>カクニニョウ</t>
    </rPh>
    <phoneticPr fontId="5"/>
  </si>
  <si>
    <t>CI1</t>
    <phoneticPr fontId="5"/>
  </si>
  <si>
    <t>Dublin</t>
  </si>
  <si>
    <t>Helsinki</t>
  </si>
  <si>
    <t>Tel Aviv</t>
  </si>
  <si>
    <t>Melbourne</t>
  </si>
  <si>
    <t>Washington, DC</t>
  </si>
  <si>
    <t>ナイトライフ充実度</t>
  </si>
  <si>
    <t>Nightlife Options</t>
  </si>
  <si>
    <t>世界遺産への近接性</t>
  </si>
  <si>
    <t>文化施設</t>
  </si>
  <si>
    <t>観光資源</t>
  </si>
  <si>
    <t>Cultural Facilities</t>
  </si>
  <si>
    <t>Tourism Resources</t>
  </si>
  <si>
    <t>Number of Hotel Rooms</t>
  </si>
  <si>
    <t>Q</t>
  </si>
  <si>
    <t>Research Environment</t>
  </si>
  <si>
    <t>ビジネスサポート人材の多さ</t>
  </si>
  <si>
    <t>駅密度</t>
  </si>
  <si>
    <t>Station Density</t>
  </si>
  <si>
    <t>空港アクセス時間の短さ</t>
  </si>
  <si>
    <t>国際ネットワーク</t>
  </si>
  <si>
    <t>International Network</t>
  </si>
  <si>
    <t>都市内交通</t>
  </si>
  <si>
    <t>Academic Performance</t>
  </si>
  <si>
    <t>Stock Market Capitalization</t>
  </si>
  <si>
    <t>観光地の充実度</t>
  </si>
  <si>
    <t>Visitor Amenities</t>
  </si>
  <si>
    <t>ホテル客室数</t>
  </si>
  <si>
    <t>航空キャパシティ</t>
  </si>
  <si>
    <t>Number of International Students</t>
  </si>
  <si>
    <t>Number of Theaters</t>
  </si>
  <si>
    <t>ドル/人</t>
  </si>
  <si>
    <t>pt</t>
  </si>
  <si>
    <t>時間/年</t>
  </si>
  <si>
    <t>ドル/月</t>
  </si>
  <si>
    <t>件/百万人</t>
  </si>
  <si>
    <t>分（平均）</t>
  </si>
  <si>
    <t>people</t>
  </si>
  <si>
    <t>million USD</t>
  </si>
  <si>
    <t>(combined)</t>
  </si>
  <si>
    <t>patents</t>
  </si>
  <si>
    <t>cases</t>
  </si>
  <si>
    <t>places</t>
  </si>
  <si>
    <t>rooms</t>
  </si>
  <si>
    <t>hours/year</t>
  </si>
  <si>
    <t>USD/month</t>
  </si>
  <si>
    <t>years</t>
  </si>
  <si>
    <t>cities</t>
  </si>
  <si>
    <t>stations/k㎡</t>
  </si>
  <si>
    <t>15→17</t>
  </si>
  <si>
    <t>32→33</t>
  </si>
  <si>
    <t>学力の高さ</t>
  </si>
  <si>
    <t>主要科学技術賞受賞者数</t>
  </si>
  <si>
    <t>文化イベント開催件数</t>
  </si>
  <si>
    <t>Number of Cultural Events</t>
  </si>
  <si>
    <t>小売店舗の多さ</t>
  </si>
  <si>
    <t>飲食店の多さ</t>
  </si>
  <si>
    <t>Number of Retail Shops</t>
  </si>
  <si>
    <t>Number of Restaurants</t>
  </si>
  <si>
    <t>cases/million people</t>
  </si>
  <si>
    <t>doctors/million people</t>
  </si>
  <si>
    <t>Number of Luxury Hotel Rooms</t>
  </si>
  <si>
    <t>Tourist Attractions</t>
  </si>
  <si>
    <t>Public Transportation Use</t>
    <phoneticPr fontId="5"/>
  </si>
  <si>
    <t>Workstyle Flexibility</t>
  </si>
  <si>
    <t>働き方の柔軟性</t>
  </si>
  <si>
    <t>施設（平均）</t>
  </si>
  <si>
    <t>○</t>
    <phoneticPr fontId="5"/>
  </si>
  <si>
    <t>△</t>
    <phoneticPr fontId="5"/>
  </si>
  <si>
    <t>外国人受入実績</t>
    <phoneticPr fontId="5"/>
  </si>
  <si>
    <t>発信力</t>
    <phoneticPr fontId="5"/>
  </si>
  <si>
    <t>移動の快適性</t>
    <rPh sb="0" eb="2">
      <t>イドウ</t>
    </rPh>
    <rPh sb="3" eb="6">
      <t>カイテキセイ</t>
    </rPh>
    <phoneticPr fontId="5"/>
  </si>
  <si>
    <t>Transport Comfortability</t>
    <phoneticPr fontId="5"/>
  </si>
  <si>
    <t>▼欠損数</t>
    <rPh sb="1" eb="3">
      <t>ケッソン</t>
    </rPh>
    <rPh sb="3" eb="4">
      <t>スウ</t>
    </rPh>
    <phoneticPr fontId="5"/>
  </si>
  <si>
    <t>R&amp;D</t>
    <phoneticPr fontId="5"/>
  </si>
  <si>
    <t>GPCI
2010</t>
    <phoneticPr fontId="5"/>
  </si>
  <si>
    <t>GPCI
2011</t>
    <phoneticPr fontId="5"/>
  </si>
  <si>
    <t>GPCI
2012</t>
  </si>
  <si>
    <t>GPCI
2013</t>
  </si>
  <si>
    <t>GPCI
2014</t>
  </si>
  <si>
    <t>GPCI
2015</t>
  </si>
  <si>
    <t>GPCI
2016</t>
  </si>
  <si>
    <t>GPCI
2017</t>
  </si>
  <si>
    <t>GPCI
2018</t>
  </si>
  <si>
    <t>GPCI
2019</t>
  </si>
  <si>
    <t>7→18</t>
  </si>
  <si>
    <t>定義</t>
    <rPh sb="0" eb="2">
      <t>テイギ</t>
    </rPh>
    <phoneticPr fontId="5"/>
  </si>
  <si>
    <t>Total employment in the target city.</t>
  </si>
  <si>
    <t>対象都市の従業者数。</t>
  </si>
  <si>
    <t>Average of the indexed values of the following data: (1) Average of the 10 indicators related to ease of doing business for the target city or the country of the target city in the World Bank's "Doing Business", (2) Moody’s long-term credit rating for the country risk ceiling of foreign currency for the country of the target city.</t>
  </si>
  <si>
    <t>Indexed score of the 16 indicators of the country of the target city related to ICT infrastructure for resident, business, and government services in World Economic Forum's "Networked Readiness Index".</t>
  </si>
  <si>
    <t>OECDの"Environment Statistics"およびUnited Nations Statistics Divisionの"Environmental Indicators"における対象都市が属する国の一般ごみのリサイクル率の平均値。</t>
  </si>
  <si>
    <t>places</t>
    <phoneticPr fontId="5"/>
  </si>
  <si>
    <t>minutes</t>
    <phoneticPr fontId="5"/>
  </si>
  <si>
    <t>スコア</t>
    <phoneticPr fontId="5"/>
  </si>
  <si>
    <t>順位</t>
    <rPh sb="0" eb="2">
      <t>ジュンイ</t>
    </rPh>
    <phoneticPr fontId="5"/>
  </si>
  <si>
    <t>-</t>
  </si>
  <si>
    <t>備考</t>
    <rPh sb="0" eb="2">
      <t>ビコウ</t>
    </rPh>
    <phoneticPr fontId="5"/>
  </si>
  <si>
    <t>GPCI
2009</t>
    <phoneticPr fontId="5"/>
  </si>
  <si>
    <t>GPCI
2008</t>
    <phoneticPr fontId="5"/>
  </si>
  <si>
    <t>中心地</t>
    <rPh sb="0" eb="3">
      <t>チュウシンチ</t>
    </rPh>
    <phoneticPr fontId="9"/>
  </si>
  <si>
    <t>Atocha Station, Madrid</t>
  </si>
  <si>
    <t>Barcelona Sants Station, Barcelona</t>
  </si>
  <si>
    <t>オリジナル関数</t>
    <rPh sb="5" eb="7">
      <t>カンスウ</t>
    </rPh>
    <phoneticPr fontId="5"/>
  </si>
  <si>
    <t>関数</t>
    <rPh sb="0" eb="2">
      <t>カンスウ</t>
    </rPh>
    <phoneticPr fontId="5"/>
  </si>
  <si>
    <t>機能</t>
    <rPh sb="0" eb="2">
      <t>キノウ</t>
    </rPh>
    <phoneticPr fontId="5"/>
  </si>
  <si>
    <t>Gare du Nord, Paris</t>
  </si>
  <si>
    <t>Gare de Bruxelles-Central, Brussels</t>
  </si>
  <si>
    <t>最も近い対象都市までの距離をkmで表示</t>
    <rPh sb="17" eb="19">
      <t>ヒョウジ</t>
    </rPh>
    <phoneticPr fontId="5"/>
  </si>
  <si>
    <t>Amsterdam Centraal Station, Amsterdam</t>
  </si>
  <si>
    <t>Gare de Genève-Cornavin, Geneva</t>
  </si>
  <si>
    <t>Frankfurt Hauptbahnhof, Frankfurt</t>
  </si>
  <si>
    <t>Berlin Hauptbahnhof, Berlin</t>
  </si>
  <si>
    <t>Milano Centrale Station, Milan</t>
  </si>
  <si>
    <t>Zurich Hauptbahnhof, Zurich</t>
  </si>
  <si>
    <t>Copenhagen Central Station, Copenhagen</t>
  </si>
  <si>
    <t>Vienna Central Station, Vienna</t>
  </si>
  <si>
    <t>Stockholm Central Station, Stockholm</t>
  </si>
  <si>
    <t>Sirkeci Station, Istanbul</t>
  </si>
  <si>
    <t>Ramses Station, Cairo</t>
  </si>
  <si>
    <t>Leningradsky Station, Moscow</t>
  </si>
  <si>
    <t>Mumbai Central Station, Mumbai</t>
  </si>
  <si>
    <t>Hua Lamphong Station, Bangkok</t>
  </si>
  <si>
    <t>Kuala Lumpur Sentral Railway Station, Kuala Lumpur</t>
  </si>
  <si>
    <t>Raffles Place Station, Singapore</t>
  </si>
  <si>
    <t>MTR Hong Kong Station, Hong Kong</t>
  </si>
  <si>
    <t>Beijing Railway Station, Beijing</t>
  </si>
  <si>
    <t>Shanghai Railway Station, Shanghai</t>
  </si>
  <si>
    <t>Taipei Main Station, Taipei</t>
  </si>
  <si>
    <t>Seoul Station, Seoul</t>
  </si>
  <si>
    <t>Hakata Station, Fukuoka</t>
  </si>
  <si>
    <t>Osaka Station, Osaka</t>
  </si>
  <si>
    <t>Tokyo Station, Tokyo</t>
  </si>
  <si>
    <t>Central Station, Sydney</t>
  </si>
  <si>
    <t>Pacific Central Station, Vancouver</t>
  </si>
  <si>
    <t>4th and King Street Station, San Francisco</t>
  </si>
  <si>
    <t>Union Station, Los Angeles</t>
  </si>
  <si>
    <t>Estacion Buenavista, Mexico City</t>
  </si>
  <si>
    <t>Union Station, Chicago</t>
  </si>
  <si>
    <t>Union Station, Toronto</t>
  </si>
  <si>
    <t>Union Station, Washington D.C.</t>
  </si>
  <si>
    <t>Grand Central Station, New York</t>
  </si>
  <si>
    <t>South Station, Boston</t>
  </si>
  <si>
    <t>Luz Station, Sao Paulo</t>
  </si>
  <si>
    <t>Johannesburg Park Station, Johannesburg</t>
  </si>
  <si>
    <t>Manggarai Station, Jakarta</t>
  </si>
  <si>
    <t>Estación Retiro, Buenos Aires</t>
  </si>
  <si>
    <t>Dubai Mall Metro Station, Dubai</t>
  </si>
  <si>
    <t>Connolly Station, Dublin</t>
  </si>
  <si>
    <t>Helsingin päärautatieasema, Helsinki</t>
  </si>
  <si>
    <t>Savidor Center, Tel Aviv</t>
  </si>
  <si>
    <t>Southern Cross Station, Melbourne</t>
  </si>
  <si>
    <t>新規都市</t>
    <rPh sb="0" eb="2">
      <t>シンキ</t>
    </rPh>
    <rPh sb="2" eb="4">
      <t>トシ</t>
    </rPh>
    <phoneticPr fontId="5"/>
  </si>
  <si>
    <t>都市の中心地（中心駅）</t>
    <rPh sb="0" eb="2">
      <t>トシ</t>
    </rPh>
    <rPh sb="3" eb="6">
      <t>チュウシンチ</t>
    </rPh>
    <rPh sb="7" eb="9">
      <t>チュウシン</t>
    </rPh>
    <rPh sb="9" eb="10">
      <t>エキ</t>
    </rPh>
    <phoneticPr fontId="9"/>
  </si>
  <si>
    <t>※中心地を利用している各指標ファイルにシートごと持っていく（シート名、行、列、すべて変更不可）</t>
  </si>
  <si>
    <t>#</t>
  </si>
  <si>
    <t>緯度/Latitude</t>
  </si>
  <si>
    <t>経度/Longitude</t>
  </si>
  <si>
    <t>d</t>
  </si>
  <si>
    <t>2地点間の距離をkmで表示</t>
  </si>
  <si>
    <t>mind</t>
  </si>
  <si>
    <t>mincity</t>
  </si>
  <si>
    <t>最も近い対象都市名を表示</t>
  </si>
  <si>
    <t>サンプル</t>
  </si>
  <si>
    <t>六本木ヒルズ</t>
  </si>
  <si>
    <t>起点</t>
    <rPh sb="0" eb="2">
      <t>キテン</t>
    </rPh>
    <phoneticPr fontId="5"/>
  </si>
  <si>
    <t>起点の緯度</t>
    <rPh sb="0" eb="2">
      <t>キテン</t>
    </rPh>
    <rPh sb="3" eb="5">
      <t>イド</t>
    </rPh>
    <phoneticPr fontId="21"/>
  </si>
  <si>
    <t>起点の経度</t>
    <rPh sb="0" eb="2">
      <t>キテン</t>
    </rPh>
    <rPh sb="3" eb="5">
      <t>ケイド</t>
    </rPh>
    <phoneticPr fontId="21"/>
  </si>
  <si>
    <t>使いかた</t>
    <rPh sb="0" eb="1">
      <t>ツカ</t>
    </rPh>
    <phoneticPr fontId="5"/>
  </si>
  <si>
    <t>Rank</t>
    <phoneticPr fontId="5"/>
  </si>
  <si>
    <t>Madridまでのd</t>
    <phoneticPr fontId="5"/>
  </si>
  <si>
    <t>Ec1</t>
    <phoneticPr fontId="5"/>
  </si>
  <si>
    <t>Ec4</t>
    <phoneticPr fontId="5"/>
  </si>
  <si>
    <t>Ec3</t>
    <phoneticPr fontId="5"/>
  </si>
  <si>
    <t>Ec2</t>
    <phoneticPr fontId="5"/>
  </si>
  <si>
    <t>Q</t>
    <phoneticPr fontId="5"/>
  </si>
  <si>
    <t>Definition</t>
  </si>
  <si>
    <t>Exchange Rate</t>
    <phoneticPr fontId="9"/>
  </si>
  <si>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</si>
  <si>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</si>
  <si>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</si>
  <si>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</si>
  <si>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</si>
  <si>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</si>
  <si>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</si>
  <si>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</si>
  <si>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</si>
  <si>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</si>
  <si>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</si>
  <si>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</si>
  <si>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</si>
  <si>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</si>
  <si>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</si>
  <si>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</si>
  <si>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</si>
  <si>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</si>
  <si>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</si>
  <si>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</si>
  <si>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</si>
  <si>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</si>
  <si>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</si>
  <si>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</si>
  <si>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</si>
  <si>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</si>
  <si>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</si>
  <si>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</si>
  <si>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</si>
  <si>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</si>
  <si>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</si>
  <si>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</si>
  <si>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</si>
  <si>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</si>
  <si>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</si>
  <si>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</si>
  <si>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</si>
  <si>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</si>
  <si>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</si>
  <si>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</si>
  <si>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</si>
  <si>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</si>
  <si>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</si>
  <si>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</si>
  <si>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</si>
  <si>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</si>
  <si>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</si>
  <si>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</si>
  <si>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</si>
  <si>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</si>
  <si>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</si>
  <si>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</si>
  <si>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</si>
  <si>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</si>
  <si>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</si>
  <si>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</si>
  <si>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</si>
  <si>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</si>
  <si>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</si>
  <si>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</si>
  <si>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</si>
  <si>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max</t>
  </si>
  <si>
    <t>min</t>
  </si>
  <si>
    <t>average</t>
  </si>
  <si>
    <t>stdev.p</t>
  </si>
  <si>
    <t>10</t>
    <phoneticPr fontId="5"/>
  </si>
  <si>
    <t>maxmin</t>
    <phoneticPr fontId="5"/>
  </si>
  <si>
    <t>指標グループ構成</t>
    <rPh sb="0" eb="2">
      <t>シヒョウ</t>
    </rPh>
    <rPh sb="6" eb="8">
      <t>コウセイ</t>
    </rPh>
    <phoneticPr fontId="5"/>
  </si>
  <si>
    <t>Economy</t>
    <phoneticPr fontId="5"/>
  </si>
  <si>
    <t>Ec5</t>
    <phoneticPr fontId="5"/>
  </si>
  <si>
    <t>Cultural Interaction</t>
    <phoneticPr fontId="5"/>
  </si>
  <si>
    <t>Livability</t>
    <phoneticPr fontId="5"/>
  </si>
  <si>
    <t>Environment</t>
    <phoneticPr fontId="5"/>
  </si>
  <si>
    <t>Accessibility</t>
    <phoneticPr fontId="5"/>
  </si>
  <si>
    <t>合計</t>
    <rPh sb="0" eb="2">
      <t>ゴウケイハイゴウ</t>
    </rPh>
    <phoneticPr fontId="5"/>
  </si>
  <si>
    <t>=d(起点の緯度,起点の経度,終点の緯度,終点の経度)</t>
  </si>
  <si>
    <t>=mind(起点の緯度,起点の経度)</t>
  </si>
  <si>
    <t>=mincity(起点の緯度,起点の経度)</t>
  </si>
  <si>
    <t>諸説あり</t>
    <rPh sb="0" eb="2">
      <t>ショセツ</t>
    </rPh>
    <phoneticPr fontId="5"/>
  </si>
  <si>
    <t>スEconomy</t>
  </si>
  <si>
    <t>スR&amp;D</t>
  </si>
  <si>
    <t>スCultural Interaction</t>
  </si>
  <si>
    <t>スLivability</t>
  </si>
  <si>
    <t>スEnvironment</t>
  </si>
  <si>
    <t>スAccessibility</t>
  </si>
  <si>
    <t>スComprehensive</t>
  </si>
  <si>
    <t>順Economy</t>
  </si>
  <si>
    <t>順R&amp;D</t>
  </si>
  <si>
    <t>順Cultural Interaction</t>
  </si>
  <si>
    <t>順Livability</t>
  </si>
  <si>
    <t>順Environment</t>
  </si>
  <si>
    <t>順Accessibility</t>
  </si>
  <si>
    <t>順Comprehensive</t>
  </si>
  <si>
    <t>▼前年データを値貼付</t>
    <rPh sb="1" eb="3">
      <t>ゼンネン</t>
    </rPh>
    <rPh sb="7" eb="8">
      <t>アタイ</t>
    </rPh>
    <rPh sb="8" eb="10">
      <t>ハリツ</t>
    </rPh>
    <phoneticPr fontId="5"/>
  </si>
  <si>
    <t>印刷</t>
    <rPh sb="0" eb="2">
      <t>インサツ</t>
    </rPh>
    <phoneticPr fontId="5"/>
  </si>
  <si>
    <t>グラフ用</t>
    <rPh sb="3" eb="4">
      <t>ヨウ</t>
    </rPh>
    <phoneticPr fontId="5"/>
  </si>
  <si>
    <t>引用指標</t>
    <rPh sb="0" eb="2">
      <t>インヨウ</t>
    </rPh>
    <rPh sb="2" eb="4">
      <t>シヒョウ</t>
    </rPh>
    <phoneticPr fontId="5"/>
  </si>
  <si>
    <t>/USD</t>
  </si>
  <si>
    <t>生データ</t>
    <rPh sb="0" eb="1">
      <t>ナマ</t>
    </rPh>
    <phoneticPr fontId="5"/>
  </si>
  <si>
    <t>スコア</t>
  </si>
  <si>
    <t>プラマイ</t>
    <phoneticPr fontId="5"/>
  </si>
  <si>
    <t>▼①指標番号を選択</t>
    <rPh sb="2" eb="4">
      <t>シヒョウ</t>
    </rPh>
    <rPh sb="4" eb="6">
      <t>バンゴウ</t>
    </rPh>
    <rPh sb="7" eb="9">
      <t>センタク</t>
    </rPh>
    <phoneticPr fontId="5"/>
  </si>
  <si>
    <t>Corporate Executive</t>
  </si>
  <si>
    <t>Tourist</t>
  </si>
  <si>
    <t>Resident</t>
  </si>
  <si>
    <t>アクター名</t>
    <rPh sb="4" eb="5">
      <t>メイ</t>
    </rPh>
    <phoneticPr fontId="5"/>
  </si>
  <si>
    <t>経営者</t>
  </si>
  <si>
    <t>観光客</t>
  </si>
  <si>
    <t>居住者</t>
  </si>
  <si>
    <t/>
  </si>
  <si>
    <t>JP</t>
    <phoneticPr fontId="5"/>
  </si>
  <si>
    <t>対象</t>
    <rPh sb="0" eb="2">
      <t>タイショウ</t>
    </rPh>
    <phoneticPr fontId="5"/>
  </si>
  <si>
    <t>●</t>
    <phoneticPr fontId="5"/>
  </si>
  <si>
    <t>01</t>
  </si>
  <si>
    <t>02</t>
  </si>
  <si>
    <t>03</t>
  </si>
  <si>
    <t>04</t>
  </si>
  <si>
    <t>05</t>
  </si>
  <si>
    <t>06</t>
  </si>
  <si>
    <t>07</t>
  </si>
  <si>
    <t>08</t>
  </si>
  <si>
    <t>09</t>
  </si>
  <si>
    <t>偏差値</t>
    <rPh sb="0" eb="3">
      <t>ヘンサチ</t>
    </rPh>
    <phoneticPr fontId="5"/>
  </si>
  <si>
    <t>City Name</t>
  </si>
  <si>
    <t>▼②掲載都市の都市番号を記入</t>
    <rPh sb="2" eb="4">
      <t>ケイサイ</t>
    </rPh>
    <rPh sb="4" eb="6">
      <t>トシ</t>
    </rPh>
    <rPh sb="7" eb="9">
      <t>トシ</t>
    </rPh>
    <rPh sb="9" eb="11">
      <t>バンゴウ</t>
    </rPh>
    <rPh sb="12" eb="14">
      <t>キニュウ</t>
    </rPh>
    <phoneticPr fontId="5"/>
  </si>
  <si>
    <t>EN</t>
    <phoneticPr fontId="5"/>
  </si>
  <si>
    <t>USD/people</t>
    <phoneticPr fontId="9"/>
  </si>
  <si>
    <t>個別</t>
  </si>
  <si>
    <t>#</t>
    <phoneticPr fontId="7"/>
  </si>
  <si>
    <t>00c</t>
    <phoneticPr fontId="5"/>
  </si>
  <si>
    <t>00b</t>
    <phoneticPr fontId="5"/>
  </si>
  <si>
    <t>00a</t>
    <phoneticPr fontId="5"/>
  </si>
  <si>
    <t>70</t>
    <phoneticPr fontId="5"/>
  </si>
  <si>
    <t>Taxi Rates</t>
  </si>
  <si>
    <t>Taxicab Fares</t>
  </si>
  <si>
    <t>Numbeo</t>
  </si>
  <si>
    <t>関協タクシーの料金</t>
  </si>
  <si>
    <t>関西ハイタク事業協同組合</t>
  </si>
  <si>
    <t>Basic fare</t>
  </si>
  <si>
    <t>Taxi Singapore</t>
  </si>
  <si>
    <t>Prices and earnings 2018</t>
  </si>
  <si>
    <t>UBS</t>
  </si>
  <si>
    <t>共通</t>
  </si>
  <si>
    <t>平成27年度 全国道路・街路交通情勢調査</t>
  </si>
  <si>
    <t>国土交通省</t>
  </si>
  <si>
    <t>Government of Japan</t>
  </si>
  <si>
    <t>Ministry of Land, Infrastructure, Transport and Tourism</t>
  </si>
  <si>
    <t>69</t>
    <phoneticPr fontId="5"/>
  </si>
  <si>
    <t>Traffic Index</t>
  </si>
  <si>
    <t>TomTom</t>
  </si>
  <si>
    <t>総務省</t>
  </si>
  <si>
    <t>Ministry of Internal Affairs and Communications</t>
  </si>
  <si>
    <t>①</t>
  </si>
  <si>
    <t>68</t>
    <phoneticPr fontId="5"/>
  </si>
  <si>
    <t>67</t>
    <phoneticPr fontId="5"/>
  </si>
  <si>
    <t>Google Maps</t>
  </si>
  <si>
    <t>平成27年全国都市交通特性調査</t>
  </si>
  <si>
    <t>66</t>
    <phoneticPr fontId="5"/>
  </si>
  <si>
    <t>OpenStreetMap</t>
  </si>
  <si>
    <t>OpenStreetMap contributors</t>
  </si>
  <si>
    <t>65</t>
    <phoneticPr fontId="5"/>
  </si>
  <si>
    <t>64</t>
    <phoneticPr fontId="5"/>
  </si>
  <si>
    <t>63</t>
    <phoneticPr fontId="5"/>
  </si>
  <si>
    <t>French Republic</t>
  </si>
  <si>
    <t>United States</t>
  </si>
  <si>
    <t>Port of Helsinki</t>
  </si>
  <si>
    <t>62</t>
    <phoneticPr fontId="5"/>
  </si>
  <si>
    <t>Mumbai Port Trust</t>
  </si>
  <si>
    <t>Türkiye Cumhuriyeti Devlet Demiryolları</t>
  </si>
  <si>
    <t>Port of Amsterdam</t>
  </si>
  <si>
    <t>②</t>
  </si>
  <si>
    <t>61</t>
    <phoneticPr fontId="5"/>
  </si>
  <si>
    <t>Weather in the World</t>
  </si>
  <si>
    <t>Raspisaniye Pogodi Ltd.</t>
  </si>
  <si>
    <t>60</t>
    <phoneticPr fontId="5"/>
  </si>
  <si>
    <t>59</t>
    <phoneticPr fontId="5"/>
  </si>
  <si>
    <t>Pollution</t>
  </si>
  <si>
    <t>58</t>
    <phoneticPr fontId="5"/>
  </si>
  <si>
    <t>57</t>
    <phoneticPr fontId="5"/>
  </si>
  <si>
    <t>City of Johannesburg</t>
  </si>
  <si>
    <t>Ciudad de México</t>
  </si>
  <si>
    <t>Seoul Metropolitan Government</t>
  </si>
  <si>
    <t>Republic of China (Taiwan)</t>
  </si>
  <si>
    <t>Government of Singapore</t>
  </si>
  <si>
    <t>République et Canton de Genève</t>
  </si>
  <si>
    <t>United Kingdom of Great Britain and Northern Ireland</t>
  </si>
  <si>
    <t>Ayuntamiento de Madrid</t>
  </si>
  <si>
    <t>Republic of South Africa</t>
  </si>
  <si>
    <t>行政院環境保護署</t>
  </si>
  <si>
    <t>56</t>
    <phoneticPr fontId="5"/>
  </si>
  <si>
    <t>World Health Organization</t>
  </si>
  <si>
    <t>City of New York</t>
  </si>
  <si>
    <t>55</t>
    <phoneticPr fontId="5"/>
  </si>
  <si>
    <t>東京都環境局</t>
  </si>
  <si>
    <t>Tokyo Metropolitan Government</t>
  </si>
  <si>
    <t>서울 특별시</t>
  </si>
  <si>
    <t>Government of the United Kingdom</t>
  </si>
  <si>
    <t>International Energy Agency</t>
  </si>
  <si>
    <t>Percentage of municipal waste collected which is recycled</t>
  </si>
  <si>
    <t>54</t>
    <phoneticPr fontId="5"/>
  </si>
  <si>
    <t>Government of India</t>
  </si>
  <si>
    <t>Organisation for Economic Co-operation and Development</t>
  </si>
  <si>
    <t>53</t>
    <phoneticPr fontId="5"/>
  </si>
  <si>
    <t>52</t>
    <phoneticPr fontId="5"/>
  </si>
  <si>
    <t>大阪市</t>
  </si>
  <si>
    <t>Osaka City</t>
  </si>
  <si>
    <t>福岡市</t>
  </si>
  <si>
    <t>Fukuoka City</t>
  </si>
  <si>
    <t>Stadt Wien</t>
  </si>
  <si>
    <t>Stadt Frankfurt am Main</t>
  </si>
  <si>
    <t>République et canton de Genève</t>
  </si>
  <si>
    <t>51</t>
    <phoneticPr fontId="5"/>
  </si>
  <si>
    <t>50</t>
    <phoneticPr fontId="5"/>
  </si>
  <si>
    <t>World Economic Forum</t>
  </si>
  <si>
    <t>49</t>
    <phoneticPr fontId="5"/>
  </si>
  <si>
    <t>48</t>
    <phoneticPr fontId="5"/>
  </si>
  <si>
    <t>台北市統計年報</t>
  </si>
  <si>
    <t>臺北市政府主計處</t>
  </si>
  <si>
    <t>Taipei City Government</t>
  </si>
  <si>
    <t>Department of Budget, Accounting and Statistics</t>
  </si>
  <si>
    <t>香港特别行政区政府卫生署</t>
  </si>
  <si>
    <t>Hong Kong Special Administrative Region</t>
  </si>
  <si>
    <t>47</t>
    <phoneticPr fontId="5"/>
  </si>
  <si>
    <t>Hong Kong Jockey Club Centre for Suicide Research and Prevention, HKU</t>
  </si>
  <si>
    <t>Department of Information, Evidence and Research, World Health Organization</t>
  </si>
  <si>
    <t>④</t>
  </si>
  <si>
    <t>46</t>
    <phoneticPr fontId="5"/>
  </si>
  <si>
    <t>Reporters Without Borders</t>
  </si>
  <si>
    <t>③</t>
  </si>
  <si>
    <t>Freedom House</t>
  </si>
  <si>
    <t>Transparency International</t>
  </si>
  <si>
    <t>Republic of China(Taiwan)</t>
  </si>
  <si>
    <t>Ministry of the Interior</t>
  </si>
  <si>
    <t>45</t>
    <phoneticPr fontId="5"/>
  </si>
  <si>
    <t>World Health Organization(WHO)</t>
  </si>
  <si>
    <t>Lloyd’s City Risk Index</t>
  </si>
  <si>
    <t>Lloyd's</t>
  </si>
  <si>
    <t>44</t>
    <phoneticPr fontId="5"/>
  </si>
  <si>
    <t>補助</t>
  </si>
  <si>
    <t>43</t>
    <phoneticPr fontId="5"/>
  </si>
  <si>
    <t>Statistics South Africa</t>
  </si>
  <si>
    <t>Turkish Statistical Institute</t>
  </si>
  <si>
    <t>Instituto Nacional de Estadistica</t>
  </si>
  <si>
    <t>Crime Statistics Agency</t>
  </si>
  <si>
    <t>European Commission</t>
  </si>
  <si>
    <t>在サンパウロ日本国総領事館</t>
  </si>
  <si>
    <t>Offenses Known to Law Enforcement</t>
  </si>
  <si>
    <t>Federal Bureau of Investigation</t>
  </si>
  <si>
    <t>TPS Crime Statistics - Homicide</t>
  </si>
  <si>
    <t>Toronto Police Service</t>
  </si>
  <si>
    <t>Vancouver Police Department</t>
  </si>
  <si>
    <t>Bureau of Crime Statistics and Research</t>
  </si>
  <si>
    <t>Tokyo Metropolitan Police Department</t>
  </si>
  <si>
    <t>刑法犯罪種及び手口別発生市区町村別検挙件数</t>
  </si>
  <si>
    <t>大阪府警察</t>
  </si>
  <si>
    <t>福岡県警察</t>
  </si>
  <si>
    <t>Fukuoka Prefectural Police</t>
  </si>
  <si>
    <t>경찰청</t>
  </si>
  <si>
    <t>Korean National Police Agency</t>
  </si>
  <si>
    <t xml:space="preserve">臺北市政府主計處 </t>
  </si>
  <si>
    <t>上海市统计局</t>
  </si>
  <si>
    <t>Shanghai Municipal Statistics Bureau</t>
  </si>
  <si>
    <t>National Bureau of Statistics of China</t>
  </si>
  <si>
    <t>Crime Statistics Comparison</t>
  </si>
  <si>
    <t>Hong Kong Police Force</t>
  </si>
  <si>
    <t>Australian Bureau of Statistics</t>
  </si>
  <si>
    <t>42</t>
    <phoneticPr fontId="5"/>
  </si>
  <si>
    <t>Government of Canada</t>
  </si>
  <si>
    <t>Statistics Canada</t>
  </si>
  <si>
    <t>10大費目別消費者物価地域差指数 (全国平均＝100) － 全国，地方，都道府県，都道府県庁所在市及び政令指定都市</t>
  </si>
  <si>
    <t>総務省統計局</t>
  </si>
  <si>
    <t>Statistics Bureau, Ministry of Internal Affairs and Communications</t>
  </si>
  <si>
    <t>Department of Statistics</t>
  </si>
  <si>
    <t>41</t>
    <phoneticPr fontId="5"/>
  </si>
  <si>
    <t>Singapore Government</t>
  </si>
  <si>
    <t>Ministry of Manpower</t>
  </si>
  <si>
    <t>39</t>
    <phoneticPr fontId="5"/>
  </si>
  <si>
    <t>大阪府</t>
  </si>
  <si>
    <t>Osaka Prefectural Government</t>
  </si>
  <si>
    <t>福岡県</t>
  </si>
  <si>
    <t>38</t>
    <phoneticPr fontId="5"/>
  </si>
  <si>
    <t>Bank of Israel</t>
  </si>
  <si>
    <t xml:space="preserve">Helsinki Region Infoshare </t>
  </si>
  <si>
    <t>Government of Dubai</t>
  </si>
  <si>
    <t>Badan Pusat Statistik Provinsi DKI Jakarta</t>
  </si>
  <si>
    <t>Federative Republic of Brazil</t>
  </si>
  <si>
    <t>Bureau of Labor Statistics</t>
  </si>
  <si>
    <t>United Mexican States</t>
  </si>
  <si>
    <t>Parliament of New South Wales</t>
  </si>
  <si>
    <t>東京都総務局統計部</t>
  </si>
  <si>
    <t>Statistics Division, Bureau of General Affairs</t>
  </si>
  <si>
    <t>労働力調査（基本集計）都道府県別結果</t>
  </si>
  <si>
    <t>Statistics Korea</t>
  </si>
  <si>
    <t>上海市統計局</t>
  </si>
  <si>
    <t>National Statistical Office</t>
  </si>
  <si>
    <t>Kingdom of Thailand</t>
  </si>
  <si>
    <t>Federal State Statistics Service</t>
  </si>
  <si>
    <t>Russian Federation</t>
  </si>
  <si>
    <t>Arab Republic of Egypt</t>
  </si>
  <si>
    <t>Central Agency for Public Mobilization And Statistics</t>
  </si>
  <si>
    <t>Türkiye İstatistik Kurumu</t>
  </si>
  <si>
    <t>Arbeitsmarktservice Österreich</t>
  </si>
  <si>
    <t>Statistics Denmark</t>
  </si>
  <si>
    <t>Stadt Zürich</t>
  </si>
  <si>
    <t>Federal Republic of Germany</t>
  </si>
  <si>
    <t>Statistisches Bundesamt</t>
  </si>
  <si>
    <t>République et Canton de Genéve</t>
  </si>
  <si>
    <t>Office Cantonal de la Statistique</t>
  </si>
  <si>
    <t>Statistics Netherlands (CBS)</t>
  </si>
  <si>
    <t>Belgian Federal Government</t>
  </si>
  <si>
    <t xml:space="preserve">Institut national de la statistique et des études économiques </t>
  </si>
  <si>
    <t>Office for National Statistics</t>
  </si>
  <si>
    <t>United Kingdom</t>
  </si>
  <si>
    <t>Kingdom of Spain</t>
  </si>
  <si>
    <t>37</t>
    <phoneticPr fontId="5"/>
  </si>
  <si>
    <t>Visitor by Nationality</t>
  </si>
  <si>
    <t>Dubai Statistics Center</t>
  </si>
  <si>
    <t>United Nations World Tourism Organization</t>
  </si>
  <si>
    <t>Badan Pusat Statistik</t>
  </si>
  <si>
    <t>Destination NSW</t>
  </si>
  <si>
    <t>Osaka Prefecture</t>
  </si>
  <si>
    <t>Tourism Bureau, Ministry of Transportation and Communications</t>
  </si>
  <si>
    <t>上海市统计局、国家统计局上海调查总队</t>
  </si>
  <si>
    <t>Hotel Guests by States</t>
  </si>
  <si>
    <t>Tourism Malaysia</t>
  </si>
  <si>
    <t>Ministry of Tourism</t>
  </si>
  <si>
    <t>Statistics Sweden</t>
  </si>
  <si>
    <t>Schweizerischer Städteverband</t>
  </si>
  <si>
    <t>Amt für Statistik Berlin-Brandenburg</t>
  </si>
  <si>
    <t>Toerisme en Cultuur</t>
  </si>
  <si>
    <t>Travel trends estimates: overseas residents in the UK</t>
  </si>
  <si>
    <t>36</t>
    <phoneticPr fontId="5"/>
  </si>
  <si>
    <t>City in Numbers</t>
  </si>
  <si>
    <t>Municipality of Tel Aviv- Yafo</t>
  </si>
  <si>
    <t>Census of Population 2016</t>
  </si>
  <si>
    <t>Central Statistics Office</t>
  </si>
  <si>
    <t>Dubai Statistics Center, Government of Dubai</t>
  </si>
  <si>
    <t>Dirección General de Estadística y Censos, Gobierno de la Ciudad de Buenos</t>
  </si>
  <si>
    <t>Republic of Indonesia</t>
  </si>
  <si>
    <t>Instituto Brasileiro de Geografia e Estatística</t>
  </si>
  <si>
    <t>Instituto Nacional de Estadística y Geografía</t>
  </si>
  <si>
    <t>City of Osaka</t>
  </si>
  <si>
    <t>福岡市統計書</t>
  </si>
  <si>
    <t>Statistics of Registered Foreigners</t>
  </si>
  <si>
    <t>국가통계포털</t>
  </si>
  <si>
    <t>Korean Statistical Information Service (KOSIS)</t>
  </si>
  <si>
    <t>臺北市統計年報</t>
  </si>
  <si>
    <t>上海市统计局 国家统计局上海调查总队</t>
  </si>
  <si>
    <t>政府統計處, 香港特別行政區政府</t>
  </si>
  <si>
    <t>Department of Statistics Singapore</t>
  </si>
  <si>
    <t>Department of statistics Malaysia</t>
  </si>
  <si>
    <t>Global Migration Data Analysis Centre</t>
  </si>
  <si>
    <t>Kingdom of Sweden</t>
  </si>
  <si>
    <t>Statistiska centralbyrån</t>
  </si>
  <si>
    <t>Popolazione residente a Milano</t>
  </si>
  <si>
    <t>Comune di Milano</t>
  </si>
  <si>
    <t>Frankfurt Statistik Aktuell (FSA)</t>
  </si>
  <si>
    <t>Office cantonal de la statistique (OCSTAT), Département des finances et des ressources humaines, République et Canton de Genève</t>
  </si>
  <si>
    <t>Onderzoek, Informatie en Statistiek (OIS), Gemeente Amsterdam</t>
  </si>
  <si>
    <t>Institut National de la Statistique et des études économiques</t>
  </si>
  <si>
    <t>Continuous Municipal Register Statistics</t>
  </si>
  <si>
    <t>La Liste</t>
  </si>
  <si>
    <t>35</t>
    <phoneticPr fontId="5"/>
  </si>
  <si>
    <t>Hotels.com</t>
  </si>
  <si>
    <t>Hotels.com, L.P</t>
  </si>
  <si>
    <t>33</t>
    <phoneticPr fontId="5"/>
  </si>
  <si>
    <t>32</t>
    <phoneticPr fontId="5"/>
  </si>
  <si>
    <t>World Stadiums</t>
  </si>
  <si>
    <t>31</t>
    <phoneticPr fontId="5"/>
  </si>
  <si>
    <t>Trip Advisor</t>
  </si>
  <si>
    <t>TripAdvisor LLC</t>
  </si>
  <si>
    <t>29</t>
    <phoneticPr fontId="5"/>
  </si>
  <si>
    <t>28</t>
    <phoneticPr fontId="5"/>
  </si>
  <si>
    <t>United Nations Educational, Scientific and Cultural Organization</t>
  </si>
  <si>
    <t>27</t>
    <phoneticPr fontId="5"/>
  </si>
  <si>
    <t>26</t>
    <phoneticPr fontId="5"/>
  </si>
  <si>
    <t>Artnet Worldwide Corporation</t>
  </si>
  <si>
    <t>25</t>
    <phoneticPr fontId="5"/>
  </si>
  <si>
    <t>ARTPRICE.COM</t>
  </si>
  <si>
    <t>World Trade Organization</t>
  </si>
  <si>
    <t>24</t>
    <phoneticPr fontId="5"/>
  </si>
  <si>
    <t>United Nations</t>
  </si>
  <si>
    <t>International Trade in Services</t>
  </si>
  <si>
    <t>FIFA WORLD CUP HISTORY</t>
  </si>
  <si>
    <t>Fédération Internationale de Football Association</t>
  </si>
  <si>
    <t>23</t>
    <phoneticPr fontId="5"/>
  </si>
  <si>
    <t>Expo Timeline</t>
  </si>
  <si>
    <t>Bureau International des Expositions</t>
  </si>
  <si>
    <t>Olympic Games</t>
  </si>
  <si>
    <t>International Olympic Committee</t>
  </si>
  <si>
    <t>World Travel Guide-Madrid Events</t>
  </si>
  <si>
    <t>Columbus Travel Media Ltd.</t>
  </si>
  <si>
    <t>21</t>
    <phoneticPr fontId="5"/>
  </si>
  <si>
    <t>Companies | Crunchbase</t>
  </si>
  <si>
    <t>Crunchbase</t>
  </si>
  <si>
    <t>Annual Statistics</t>
  </si>
  <si>
    <t>19</t>
    <phoneticPr fontId="5"/>
  </si>
  <si>
    <t>WIPO Intellectual Property Statistics Data Center</t>
  </si>
  <si>
    <t>World Intellectual Property Organization</t>
  </si>
  <si>
    <t>International Association for the Evaluation of Educational Achievement</t>
  </si>
  <si>
    <t>18</t>
    <phoneticPr fontId="5"/>
  </si>
  <si>
    <t>PISA 2009 Plus Results</t>
  </si>
  <si>
    <t>Australian Council for Educational Research</t>
  </si>
  <si>
    <t>Times Higher Education</t>
  </si>
  <si>
    <t>17</t>
    <phoneticPr fontId="5"/>
  </si>
  <si>
    <t>16</t>
    <phoneticPr fontId="5"/>
  </si>
  <si>
    <t>Ministère de l'enseignement supérieur et de la recherche</t>
  </si>
  <si>
    <t>15</t>
    <phoneticPr fontId="5"/>
  </si>
  <si>
    <t>CAEMP25N Total Full-Time and Part-Time Employment by NAICS Industry 1/</t>
  </si>
  <si>
    <t>Bureau of Economic Analysis</t>
  </si>
  <si>
    <t>14</t>
    <phoneticPr fontId="5"/>
  </si>
  <si>
    <t>OECD Statistics</t>
  </si>
  <si>
    <t>UNESCO UIS</t>
  </si>
  <si>
    <t>Sovereign and Supranational rating List</t>
  </si>
  <si>
    <t>Moody's Investors Service, Inc.</t>
  </si>
  <si>
    <t>13</t>
    <phoneticPr fontId="5"/>
  </si>
  <si>
    <t>法人市民税（法人税割）の超過課税について</t>
  </si>
  <si>
    <t>12</t>
    <phoneticPr fontId="5"/>
  </si>
  <si>
    <t>法人市民税について</t>
  </si>
  <si>
    <t>Business Corporation Tax</t>
  </si>
  <si>
    <t>東京都主税局</t>
  </si>
  <si>
    <t>Tokyo Metropolitan Government Bureau of Taxation</t>
  </si>
  <si>
    <t>Fukuoka Prefecture</t>
  </si>
  <si>
    <t>Deutscher Industrie- und Handelskammertag</t>
  </si>
  <si>
    <t>Japan External Trade Organization</t>
  </si>
  <si>
    <t>法人税の税率</t>
  </si>
  <si>
    <t>国税庁</t>
  </si>
  <si>
    <t>National Tax Agency</t>
  </si>
  <si>
    <t>KPMG</t>
  </si>
  <si>
    <t>Coworker</t>
  </si>
  <si>
    <t>11</t>
    <phoneticPr fontId="5"/>
  </si>
  <si>
    <t>English Proficiency Index</t>
  </si>
  <si>
    <t>EF Education First</t>
  </si>
  <si>
    <t>INSEAD</t>
  </si>
  <si>
    <t>Population Aged 15 Years and Over in the Labour Force 2011 to 2016</t>
  </si>
  <si>
    <t>Labour</t>
  </si>
  <si>
    <t>United States Census Bureau, United States Department of Commerce</t>
  </si>
  <si>
    <t>City of Toronto</t>
  </si>
  <si>
    <t>Government of Australia</t>
  </si>
  <si>
    <t>北京市统计局 国家统计局北京调查总队</t>
  </si>
  <si>
    <t>Beijing Municipal Bureau of Statistics - Survey Office of the National Bureau of Statistics in Beijing</t>
  </si>
  <si>
    <t>Government of Maharashtra</t>
  </si>
  <si>
    <t>Stockholms stad</t>
  </si>
  <si>
    <t>Italian Republic</t>
  </si>
  <si>
    <t>Gemeente Amsterdam</t>
  </si>
  <si>
    <t>Onderzoek, Informatie en Statistiek</t>
  </si>
  <si>
    <t>JOBS05: Workforce jobs by region and industry</t>
  </si>
  <si>
    <t>Ajuntament de Barcelona</t>
  </si>
  <si>
    <t>City of Helsinki</t>
  </si>
  <si>
    <t>Korean Statistical Information Service</t>
  </si>
  <si>
    <t>Short Report on Important Statistics of Taipei City</t>
  </si>
  <si>
    <t>Census of India 2011</t>
  </si>
  <si>
    <t>Egypt in Figures</t>
  </si>
  <si>
    <t>Statistik Austria</t>
  </si>
  <si>
    <t>Danmarks Statistik</t>
  </si>
  <si>
    <t>Statistik Stadt Zürich</t>
  </si>
  <si>
    <t>Sistema Statistico Integrato</t>
  </si>
  <si>
    <t>Fortune</t>
  </si>
  <si>
    <t>Euronext</t>
  </si>
  <si>
    <t>Regional Economic Accounts</t>
  </si>
  <si>
    <t>Quarterly Report on Current Economic Conditions</t>
  </si>
  <si>
    <t>國民所得統計年報</t>
  </si>
  <si>
    <t>中華民國統計資訊網</t>
  </si>
  <si>
    <t>National Statistics</t>
  </si>
  <si>
    <t>Economic Survey of Maharashtra</t>
  </si>
  <si>
    <t>Census Bureau, Department of Commerce</t>
  </si>
  <si>
    <t>Census and Statistics Department</t>
  </si>
  <si>
    <t>Ministry of Trade and Industry</t>
  </si>
  <si>
    <t>Government of Maharashtra, India</t>
  </si>
  <si>
    <t>Directorate of Economics and Statistics, Planning Department</t>
  </si>
  <si>
    <t>Regional key figures; national accounts</t>
  </si>
  <si>
    <t>Kingdom of the Netherlands</t>
  </si>
  <si>
    <t>Central Agency for Public Mobilization and Statistics</t>
  </si>
  <si>
    <t>Office of the Registrar General &amp; Census Commissioner, Ministry of Home Affairs</t>
  </si>
  <si>
    <t>Institut National de la Statistique et des Études Économiques</t>
  </si>
  <si>
    <t>Central Bureau of Statistics</t>
  </si>
  <si>
    <t>Toronto at a Glance</t>
  </si>
  <si>
    <t>福岡市推計人口</t>
  </si>
  <si>
    <t xml:space="preserve">Beijing Municipal Bureau of Statistics </t>
  </si>
  <si>
    <t>Population and Population Structure</t>
  </si>
  <si>
    <t>Federal State Statistics Service for the Moscow Region</t>
  </si>
  <si>
    <t>Population statistics</t>
  </si>
  <si>
    <t xml:space="preserve">Comune di Milano </t>
  </si>
  <si>
    <t>居住者アンケート</t>
  </si>
  <si>
    <t>40</t>
    <phoneticPr fontId="5"/>
  </si>
  <si>
    <t>Source特殊</t>
  </si>
  <si>
    <t>34</t>
    <phoneticPr fontId="5"/>
  </si>
  <si>
    <t>30</t>
    <phoneticPr fontId="5"/>
  </si>
  <si>
    <t>22</t>
    <phoneticPr fontId="5"/>
  </si>
  <si>
    <t>20</t>
    <phoneticPr fontId="5"/>
  </si>
  <si>
    <t>完成ソース</t>
    <rPh sb="0" eb="2">
      <t>カンセイ</t>
    </rPh>
    <phoneticPr fontId="5"/>
  </si>
  <si>
    <t>優先</t>
    <rPh sb="0" eb="2">
      <t>ユウセン</t>
    </rPh>
    <phoneticPr fontId="5"/>
  </si>
  <si>
    <t>URL修正2（3回目の/より前だけ抽出）</t>
    <rPh sb="3" eb="5">
      <t>シュウセイ</t>
    </rPh>
    <phoneticPr fontId="5"/>
  </si>
  <si>
    <t>URL修正1（/で終わらせる）</t>
    <rPh sb="3" eb="5">
      <t>シュウセイ</t>
    </rPh>
    <phoneticPr fontId="5"/>
  </si>
  <si>
    <t>終わりに不要スペース</t>
    <rPh sb="0" eb="1">
      <t>オ</t>
    </rPh>
    <rPh sb="4" eb="6">
      <t>フヨウ</t>
    </rPh>
    <phoneticPr fontId="5"/>
  </si>
  <si>
    <t>冒頭に不要スペース</t>
    <rPh sb="0" eb="2">
      <t>ボウトウ</t>
    </rPh>
    <rPh sb="3" eb="5">
      <t>フヨウ</t>
    </rPh>
    <phoneticPr fontId="5"/>
  </si>
  <si>
    <t>(前にスペースなし</t>
    <rPh sb="1" eb="2">
      <t>マエ</t>
    </rPh>
    <phoneticPr fontId="5"/>
  </si>
  <si>
    <t>全角（</t>
    <rPh sb="0" eb="2">
      <t>ゼンカク</t>
    </rPh>
    <phoneticPr fontId="5"/>
  </si>
  <si>
    <t>全角スペース</t>
    <rPh sb="0" eb="2">
      <t>ゼンカク</t>
    </rPh>
    <phoneticPr fontId="5"/>
  </si>
  <si>
    <t>ダブルスペース</t>
    <phoneticPr fontId="5"/>
  </si>
  <si>
    <t>ダブル"マーク</t>
    <phoneticPr fontId="5"/>
  </si>
  <si>
    <t>ダブルピリオド</t>
    <phoneticPr fontId="5"/>
  </si>
  <si>
    <t>カッコ</t>
    <phoneticPr fontId="5"/>
  </si>
  <si>
    <t>書籍</t>
    <rPh sb="0" eb="2">
      <t>ショセキ</t>
    </rPh>
    <phoneticPr fontId="5"/>
  </si>
  <si>
    <t>ダブリ</t>
    <phoneticPr fontId="5"/>
  </si>
  <si>
    <t>閲覧日</t>
    <rPh sb="0" eb="3">
      <t>エツランビ</t>
    </rPh>
    <phoneticPr fontId="9"/>
  </si>
  <si>
    <t>URL</t>
  </si>
  <si>
    <t>ソース名</t>
    <rPh sb="3" eb="4">
      <t>メイ</t>
    </rPh>
    <phoneticPr fontId="9"/>
  </si>
  <si>
    <t>*現地語</t>
    <rPh sb="1" eb="3">
      <t>ゲンチ</t>
    </rPh>
    <rPh sb="3" eb="4">
      <t>ゴ</t>
    </rPh>
    <phoneticPr fontId="3"/>
  </si>
  <si>
    <t>*行政名</t>
    <rPh sb="1" eb="3">
      <t>ギョウセイ</t>
    </rPh>
    <phoneticPr fontId="3"/>
  </si>
  <si>
    <t>発行元</t>
    <rPh sb="0" eb="3">
      <t>ハッコウモト</t>
    </rPh>
    <phoneticPr fontId="3"/>
  </si>
  <si>
    <t>参考：都市名</t>
    <rPh sb="0" eb="2">
      <t>サンコウ</t>
    </rPh>
    <rPh sb="3" eb="6">
      <t>トシメイ</t>
    </rPh>
    <phoneticPr fontId="9"/>
  </si>
  <si>
    <t>種類</t>
    <rPh sb="0" eb="2">
      <t>シュルイ</t>
    </rPh>
    <phoneticPr fontId="3"/>
  </si>
  <si>
    <t>定義</t>
    <rPh sb="0" eb="2">
      <t>テイギ</t>
    </rPh>
    <phoneticPr fontId="3"/>
  </si>
  <si>
    <t>指標#</t>
    <rPh sb="0" eb="2">
      <t>シヒョウ</t>
    </rPh>
    <phoneticPr fontId="5"/>
  </si>
  <si>
    <t>関数で作成</t>
    <rPh sb="0" eb="2">
      <t>カンスウ</t>
    </rPh>
    <rPh sb="3" eb="5">
      <t>サクセイ</t>
    </rPh>
    <phoneticPr fontId="5"/>
  </si>
  <si>
    <t>check用、例外なくNGなくなるまで修正</t>
    <rPh sb="5" eb="6">
      <t>ヨウ</t>
    </rPh>
    <rPh sb="7" eb="9">
      <t>レイガイ</t>
    </rPh>
    <rPh sb="19" eb="21">
      <t>シュウセイ</t>
    </rPh>
    <phoneticPr fontId="5"/>
  </si>
  <si>
    <t>check用</t>
    <rPh sb="5" eb="6">
      <t>ヨウ</t>
    </rPh>
    <phoneticPr fontId="5"/>
  </si>
  <si>
    <t>マクロで収集（問題あればここを修正）</t>
    <rPh sb="4" eb="6">
      <t>シュウシュウ</t>
    </rPh>
    <rPh sb="7" eb="9">
      <t>モンダイ</t>
    </rPh>
    <rPh sb="15" eb="17">
      <t>シュウセイ</t>
    </rPh>
    <phoneticPr fontId="5"/>
  </si>
  <si>
    <t>マクロで収集</t>
    <rPh sb="4" eb="6">
      <t>シュウシュウ</t>
    </rPh>
    <phoneticPr fontId="5"/>
  </si>
  <si>
    <t>▼Inc.やLtd.などの例外以外は要修正</t>
    <rPh sb="13" eb="15">
      <t>レイガイ</t>
    </rPh>
    <rPh sb="15" eb="17">
      <t>イガイ</t>
    </rPh>
    <rPh sb="18" eb="21">
      <t>ヨウシュウセイ</t>
    </rPh>
    <phoneticPr fontId="5"/>
  </si>
  <si>
    <t>▼不要な略称ないか？</t>
    <rPh sb="1" eb="3">
      <t>フヨウ</t>
    </rPh>
    <rPh sb="4" eb="6">
      <t>リャクショウ</t>
    </rPh>
    <phoneticPr fontId="5"/>
  </si>
  <si>
    <t>▼個別に確認、本当に書籍なのは3つくらいしかないと思うけど。特殊ソースは忘れず手作業で持ってきているか？</t>
    <rPh sb="1" eb="3">
      <t>コベツ</t>
    </rPh>
    <rPh sb="4" eb="6">
      <t>カクニン</t>
    </rPh>
    <rPh sb="7" eb="9">
      <t>ホントウ</t>
    </rPh>
    <rPh sb="10" eb="12">
      <t>ショセキ</t>
    </rPh>
    <rPh sb="25" eb="26">
      <t>オモ</t>
    </rPh>
    <phoneticPr fontId="5"/>
  </si>
  <si>
    <t>▼ダブリは1行だけ残して削除</t>
    <rPh sb="6" eb="7">
      <t>ギョウ</t>
    </rPh>
    <rPh sb="9" eb="10">
      <t>ノコ</t>
    </rPh>
    <rPh sb="12" eb="14">
      <t>サクジョ</t>
    </rPh>
    <phoneticPr fontId="5"/>
  </si>
  <si>
    <t>▼今年度の日付か？入力漏れないか？</t>
    <rPh sb="1" eb="4">
      <t>コンネンド</t>
    </rPh>
    <rPh sb="5" eb="7">
      <t>ヒヅケ</t>
    </rPh>
    <rPh sb="9" eb="11">
      <t>ニュウリョク</t>
    </rPh>
    <rPh sb="11" eb="12">
      <t>モ</t>
    </rPh>
    <phoneticPr fontId="5"/>
  </si>
  <si>
    <t>要確認：</t>
    <rPh sb="0" eb="3">
      <t>ヨウカクニン</t>
    </rPh>
    <phoneticPr fontId="5"/>
  </si>
  <si>
    <t>▼1番目</t>
    <rPh sb="2" eb="4">
      <t>バンメ</t>
    </rPh>
    <phoneticPr fontId="5"/>
  </si>
  <si>
    <t>▼2番目</t>
    <rPh sb="2" eb="4">
      <t>バンメ</t>
    </rPh>
    <phoneticPr fontId="5"/>
  </si>
  <si>
    <t>▼3番目</t>
    <rPh sb="2" eb="4">
      <t>バンメ</t>
    </rPh>
    <phoneticPr fontId="5"/>
  </si>
  <si>
    <t>並び替え：</t>
    <rPh sb="0" eb="1">
      <t>ナラ</t>
    </rPh>
    <rPh sb="2" eb="3">
      <t>カ</t>
    </rPh>
    <phoneticPr fontId="5"/>
  </si>
  <si>
    <t>MMF 次年度への引継事項</t>
    <phoneticPr fontId="5"/>
  </si>
  <si>
    <t>MMF 3rd Check以降</t>
    <rPh sb="13" eb="15">
      <t>イコウ</t>
    </rPh>
    <phoneticPr fontId="5"/>
  </si>
  <si>
    <t>MRI/SRC返信</t>
    <rPh sb="7" eb="9">
      <t>ヘンシン</t>
    </rPh>
    <phoneticPr fontId="5"/>
  </si>
  <si>
    <t>MMF 2nd Check</t>
    <phoneticPr fontId="5"/>
  </si>
  <si>
    <t>MMF 1st Check</t>
    <phoneticPr fontId="5"/>
  </si>
  <si>
    <t>00a</t>
    <phoneticPr fontId="9"/>
  </si>
  <si>
    <t>00b</t>
    <phoneticPr fontId="9"/>
  </si>
  <si>
    <t>00c</t>
    <phoneticPr fontId="9"/>
  </si>
  <si>
    <t>00a</t>
    <phoneticPr fontId="5"/>
  </si>
  <si>
    <t>00b</t>
    <phoneticPr fontId="5"/>
  </si>
  <si>
    <t>Waterloo Station, London</t>
    <phoneticPr fontId="5"/>
  </si>
  <si>
    <t>2020/7/8 King's CrossからWaterlooに変更</t>
    <rPh sb="32" eb="34">
      <t>ヘンコウ</t>
    </rPh>
    <phoneticPr fontId="5"/>
  </si>
  <si>
    <t>00a</t>
  </si>
  <si>
    <t>00b</t>
  </si>
  <si>
    <t>00c</t>
  </si>
  <si>
    <t>※A3横印刷用。東京とトップ5都市は条件付き書式で目立つようにしてあります。もっと派手にしてと言われたら「条件付き書式」を編集してください。</t>
    <rPh sb="3" eb="4">
      <t>ヨコ</t>
    </rPh>
    <rPh sb="4" eb="6">
      <t>インサツ</t>
    </rPh>
    <rPh sb="6" eb="7">
      <t>ヨウ</t>
    </rPh>
    <rPh sb="8" eb="10">
      <t>トウキョウ</t>
    </rPh>
    <rPh sb="15" eb="17">
      <t>トシ</t>
    </rPh>
    <rPh sb="18" eb="21">
      <t>ジョウケンツ</t>
    </rPh>
    <rPh sb="22" eb="24">
      <t>ショシキ</t>
    </rPh>
    <rPh sb="25" eb="27">
      <t>メダ</t>
    </rPh>
    <rPh sb="41" eb="43">
      <t>ハデ</t>
    </rPh>
    <rPh sb="47" eb="48">
      <t>イ</t>
    </rPh>
    <rPh sb="53" eb="56">
      <t>ジョウケンツ</t>
    </rPh>
    <rPh sb="57" eb="59">
      <t>ショシキ</t>
    </rPh>
    <rPh sb="61" eb="63">
      <t>ヘンシュウ</t>
    </rPh>
    <phoneticPr fontId="5"/>
  </si>
  <si>
    <t>◀この行にも式入ってます</t>
    <rPh sb="3" eb="4">
      <t>ギョウ</t>
    </rPh>
    <rPh sb="6" eb="7">
      <t>シキ</t>
    </rPh>
    <rPh sb="7" eb="8">
      <t>ハイ</t>
    </rPh>
    <phoneticPr fontId="5"/>
  </si>
  <si>
    <t>※A4横印刷用。東京は条件付き書式で目立つようにしてあります。</t>
    <rPh sb="3" eb="4">
      <t>ヨコ</t>
    </rPh>
    <rPh sb="4" eb="6">
      <t>インサツ</t>
    </rPh>
    <rPh sb="6" eb="7">
      <t>ヨウ</t>
    </rPh>
    <rPh sb="8" eb="10">
      <t>トウキョウ</t>
    </rPh>
    <rPh sb="11" eb="14">
      <t>ジョウケンツ</t>
    </rPh>
    <rPh sb="15" eb="17">
      <t>ショシキ</t>
    </rPh>
    <rPh sb="18" eb="20">
      <t>メダ</t>
    </rPh>
    <phoneticPr fontId="5"/>
  </si>
  <si>
    <t>※A3横印刷用</t>
    <rPh sb="3" eb="4">
      <t>ヨコ</t>
    </rPh>
    <rPh sb="4" eb="6">
      <t>インサツ</t>
    </rPh>
    <rPh sb="6" eb="7">
      <t>ヨウ</t>
    </rPh>
    <phoneticPr fontId="5"/>
  </si>
  <si>
    <t>▼黄色部分に最新データを引っ張ってくる数式が入っています。年度更新の際は、黄色い列の前に列を追加して、そこに昨年データを値貼り付けしてください。</t>
    <rPh sb="1" eb="3">
      <t>キイロ</t>
    </rPh>
    <rPh sb="3" eb="5">
      <t>ブブン</t>
    </rPh>
    <rPh sb="6" eb="8">
      <t>サイシン</t>
    </rPh>
    <rPh sb="12" eb="13">
      <t>ヒ</t>
    </rPh>
    <rPh sb="14" eb="15">
      <t>パ</t>
    </rPh>
    <rPh sb="19" eb="20">
      <t>スウ</t>
    </rPh>
    <rPh sb="20" eb="21">
      <t>シキ</t>
    </rPh>
    <rPh sb="22" eb="23">
      <t>ハイ</t>
    </rPh>
    <rPh sb="29" eb="31">
      <t>ネンド</t>
    </rPh>
    <rPh sb="31" eb="33">
      <t>コウシン</t>
    </rPh>
    <rPh sb="34" eb="35">
      <t>サイ</t>
    </rPh>
    <rPh sb="37" eb="39">
      <t>キイロ</t>
    </rPh>
    <rPh sb="40" eb="41">
      <t>レツ</t>
    </rPh>
    <rPh sb="42" eb="43">
      <t>マエ</t>
    </rPh>
    <rPh sb="44" eb="45">
      <t>レツ</t>
    </rPh>
    <rPh sb="46" eb="48">
      <t>ツイカ</t>
    </rPh>
    <rPh sb="54" eb="56">
      <t>サクネン</t>
    </rPh>
    <rPh sb="60" eb="61">
      <t>アタイ</t>
    </rPh>
    <rPh sb="61" eb="62">
      <t>ハ</t>
    </rPh>
    <rPh sb="63" eb="64">
      <t>ツ</t>
    </rPh>
    <phoneticPr fontId="5"/>
  </si>
  <si>
    <t>GPCI
2020</t>
    <phoneticPr fontId="5"/>
  </si>
  <si>
    <t>▶右のほうにスクロールすると昨年結果を入れる場所があります。</t>
    <phoneticPr fontId="5"/>
  </si>
  <si>
    <t>言語設定：</t>
    <rPh sb="0" eb="2">
      <t>ゲンゴ</t>
    </rPh>
    <rPh sb="2" eb="4">
      <t>セッテイ</t>
    </rPh>
    <phoneticPr fontId="5"/>
  </si>
  <si>
    <t>マクロについて：</t>
    <phoneticPr fontId="5"/>
  </si>
  <si>
    <t>「生データ」</t>
    <rPh sb="1" eb="2">
      <t>ナマ</t>
    </rPh>
    <phoneticPr fontId="5"/>
  </si>
  <si>
    <t>「指標縦棒」</t>
    <rPh sb="1" eb="3">
      <t>シヒョウ</t>
    </rPh>
    <rPh sb="3" eb="5">
      <t>タテボウ</t>
    </rPh>
    <phoneticPr fontId="5"/>
  </si>
  <si>
    <t>「データソース」</t>
    <phoneticPr fontId="5"/>
  </si>
  <si>
    <t>「年次」</t>
    <rPh sb="1" eb="3">
      <t>ネンジ</t>
    </rPh>
    <phoneticPr fontId="5"/>
  </si>
  <si>
    <t>「出典」</t>
    <rPh sb="1" eb="3">
      <t>シュッテン</t>
    </rPh>
    <phoneticPr fontId="5"/>
  </si>
  <si>
    <t>「範囲」</t>
    <rPh sb="1" eb="3">
      <t>ハンイ</t>
    </rPh>
    <phoneticPr fontId="5"/>
  </si>
  <si>
    <t>「定義収集」</t>
    <rPh sb="1" eb="3">
      <t>テイギ</t>
    </rPh>
    <rPh sb="3" eb="5">
      <t>シュウシュウ</t>
    </rPh>
    <phoneticPr fontId="5"/>
  </si>
  <si>
    <t>各指標ファイルの「Check」シートから生データ、単位、プラマイ情報などを集めてきます。</t>
    <rPh sb="0" eb="3">
      <t>カクシヒョウ</t>
    </rPh>
    <rPh sb="20" eb="21">
      <t>ナマ</t>
    </rPh>
    <rPh sb="25" eb="27">
      <t>タンイ</t>
    </rPh>
    <rPh sb="32" eb="34">
      <t>ジョウホウ</t>
    </rPh>
    <rPh sb="37" eb="38">
      <t>アツ</t>
    </rPh>
    <phoneticPr fontId="5"/>
  </si>
  <si>
    <t>各指標ファイルの「Source」シートからデータソースを集めてきます。ここでいろいろソートかけながら整えてください。</t>
    <rPh sb="0" eb="3">
      <t>カクシヒョウ</t>
    </rPh>
    <rPh sb="28" eb="29">
      <t>アツ</t>
    </rPh>
    <rPh sb="50" eb="51">
      <t>トトノ</t>
    </rPh>
    <phoneticPr fontId="5"/>
  </si>
  <si>
    <t>各指標ファイルの「Check」シートからコメントを集めてきます。やり残したCheck事項がないか、また来年度の振り返りに活用してください。</t>
    <rPh sb="0" eb="3">
      <t>カクシヒョウ</t>
    </rPh>
    <rPh sb="25" eb="26">
      <t>アツ</t>
    </rPh>
    <rPh sb="34" eb="35">
      <t>ノコ</t>
    </rPh>
    <rPh sb="42" eb="44">
      <t>ジコウ</t>
    </rPh>
    <rPh sb="51" eb="54">
      <t>ライネンド</t>
    </rPh>
    <rPh sb="55" eb="56">
      <t>フ</t>
    </rPh>
    <rPh sb="57" eb="58">
      <t>カエ</t>
    </rPh>
    <rPh sb="60" eb="62">
      <t>カツヨウ</t>
    </rPh>
    <phoneticPr fontId="5"/>
  </si>
  <si>
    <t>プレゼン資料やYEARBOOKで使う、主な都市のデータとスコアの縦棒グラフを一括作成します。</t>
    <rPh sb="4" eb="6">
      <t>シリョウ</t>
    </rPh>
    <rPh sb="16" eb="17">
      <t>ツカ</t>
    </rPh>
    <rPh sb="19" eb="20">
      <t>オモ</t>
    </rPh>
    <rPh sb="21" eb="23">
      <t>トシ</t>
    </rPh>
    <rPh sb="32" eb="33">
      <t>タテ</t>
    </rPh>
    <rPh sb="33" eb="34">
      <t>ボウ</t>
    </rPh>
    <rPh sb="38" eb="40">
      <t>イッカツ</t>
    </rPh>
    <rPh sb="40" eb="42">
      <t>サクセイ</t>
    </rPh>
    <phoneticPr fontId="5"/>
  </si>
  <si>
    <t>他にメモ：</t>
    <rPh sb="0" eb="1">
      <t>ホカ</t>
    </rPh>
    <phoneticPr fontId="5"/>
  </si>
  <si>
    <t>「JP」って書いたら各シートの指標名や都市名（図表のみ）が日本語に、「EN」って書いたら英語になります。</t>
    <rPh sb="6" eb="7">
      <t>カ</t>
    </rPh>
    <rPh sb="10" eb="11">
      <t>カク</t>
    </rPh>
    <rPh sb="15" eb="17">
      <t>シヒョウ</t>
    </rPh>
    <rPh sb="17" eb="18">
      <t>メイ</t>
    </rPh>
    <rPh sb="19" eb="22">
      <t>トシメイ</t>
    </rPh>
    <rPh sb="23" eb="25">
      <t>ズヒョウ</t>
    </rPh>
    <rPh sb="29" eb="32">
      <t>ニホンゴ</t>
    </rPh>
    <rPh sb="40" eb="41">
      <t>カ</t>
    </rPh>
    <rPh sb="44" eb="46">
      <t>エイゴ</t>
    </rPh>
    <phoneticPr fontId="5"/>
  </si>
  <si>
    <t>ファイル名</t>
    <rPh sb="4" eb="5">
      <t>メイ</t>
    </rPh>
    <phoneticPr fontId="5"/>
  </si>
  <si>
    <t>最新</t>
    <rPh sb="0" eb="2">
      <t>サイシン</t>
    </rPh>
    <phoneticPr fontId="5"/>
  </si>
  <si>
    <t>前年</t>
    <rPh sb="0" eb="2">
      <t>ゼンネン</t>
    </rPh>
    <phoneticPr fontId="5"/>
  </si>
  <si>
    <t>Definition</t>
    <phoneticPr fontId="5"/>
  </si>
  <si>
    <t>▼結果変わったらここでソート</t>
    <rPh sb="1" eb="3">
      <t>ケッカ</t>
    </rPh>
    <rPh sb="3" eb="4">
      <t>カ</t>
    </rPh>
    <phoneticPr fontId="5"/>
  </si>
  <si>
    <t xml:space="preserve">Office for National Statistics </t>
  </si>
  <si>
    <t>https://www.ons.gov.uk/peoplepopulationandcommunity/populationandmigration/populationestimates/datasets/populationestimatesforukenglandandwalesscotlandandnorthernireland</t>
  </si>
  <si>
    <t>https://www.insee.fr/fr/statistiques/1893198</t>
  </si>
  <si>
    <t>Belgische Statistiekbureau, Belgische Federale Overheidsdiensten</t>
  </si>
  <si>
    <t>https://data.amsterdam.nl/datasets/z4sOEZdwV-BcYg/kerncijfers-amsterdam/</t>
  </si>
  <si>
    <t>https://www.comune.milano.it/aree-tematiche/dati-statistici/pubblicazioni/popolazione-residente-a-milano</t>
  </si>
  <si>
    <t>City of Zurich</t>
  </si>
  <si>
    <t>https://gks.ru/folder/12781</t>
  </si>
  <si>
    <t>Singapore Department of Statistics (DOS)</t>
  </si>
  <si>
    <t>https://www.singstat.gov.sg/find-data/search-by-theme/population/population-and-population-structure/latest-data</t>
  </si>
  <si>
    <t>Seoul Open Data Plaza</t>
  </si>
  <si>
    <t>https://www2.gov.bc.ca/gov/content/data/statistics/people-population-community/population/population-estimates</t>
  </si>
  <si>
    <t>National Institute of Statistics, Geography and Informatics</t>
  </si>
  <si>
    <t>https://www.toronto.ca/city-government/data-research-maps/toronto-at-a-glance/</t>
  </si>
  <si>
    <t>https://cidades.ibge.gov.br/brasil/sp/sao-paulo/panorama</t>
  </si>
  <si>
    <t>BPS-Statistics Indonesia</t>
  </si>
  <si>
    <t>Indonesia government</t>
  </si>
  <si>
    <t>Dirección General de Estadística y Censos</t>
  </si>
  <si>
    <t>City of Buenos Aires</t>
  </si>
  <si>
    <t>Central Statistics Office, Ireland</t>
  </si>
  <si>
    <t>State of Israel</t>
  </si>
  <si>
    <t>United States Internal Revenue Service (IRS)</t>
  </si>
  <si>
    <t>Yearly Average Currency Exchange Rates</t>
  </si>
  <si>
    <t>https://www.irs.gov/individuals/international-taxpayers/yearly-average-currency-exchange-rates</t>
  </si>
  <si>
    <t>OECD Statistics - Regions and Cities</t>
  </si>
  <si>
    <t>http://stats.oecd.org/index.aspx</t>
  </si>
  <si>
    <t>Republic and Canton of Geneva</t>
  </si>
  <si>
    <t>Zahlen, Daten, Fakten - Wirtschaft</t>
  </si>
  <si>
    <t>https://frankfurt.de/service-und-rathaus/zahlen-daten-fakten/themen/wirtschaft</t>
  </si>
  <si>
    <t>Bruttoinlandprodukt der Stadt Zürich, Agglomeration und Schweiz, nach Jahr und Quartal</t>
  </si>
  <si>
    <t>https://www.stadt-zuerich.ch/prd/de/index/statistik/themen/wirtschaft/wertschoepfung.html</t>
  </si>
  <si>
    <t>Directorate of Economics &amp; Statistics, Planning Department</t>
  </si>
  <si>
    <t>State Government of Maharashtra</t>
  </si>
  <si>
    <t>https://mahades.maharashtra.gov.in/publications.do?pubId=ESM</t>
  </si>
  <si>
    <t>The Government of the Hong Kong Special Administrative Region</t>
  </si>
  <si>
    <t>Gross Domestic Product (GDP), implicit price deflator of GDP and per capita GDP</t>
  </si>
  <si>
    <t>Beijing Municipal Bureau Statistics, Survey Office of the National Bureau of Statistics in Beijing</t>
  </si>
  <si>
    <t>Beijing Municipal</t>
  </si>
  <si>
    <t>统计数据 - 月季度数据</t>
  </si>
  <si>
    <t xml:space="preserve">Shanghai Municipal Statistics Bureau </t>
  </si>
  <si>
    <t>Shanghai Municipal People's Government</t>
  </si>
  <si>
    <t>Gross regional domestic product by economic activity</t>
  </si>
  <si>
    <t>https://www.city.fukuoka.lg.jp/soki/tokeichosa/shisei/toukei/shiminkeizaikeisan/shiminkeizaikeisan.html</t>
  </si>
  <si>
    <t>SGS Economics and Planning Pty Ltd</t>
  </si>
  <si>
    <t>The U.S. Bureau of Economic Analysis</t>
  </si>
  <si>
    <t>The United States government</t>
  </si>
  <si>
    <t>GDP and Personal Income</t>
  </si>
  <si>
    <t>https://apps.bea.gov/itable/iTable.cfm?ReqID=70&amp;step=1</t>
  </si>
  <si>
    <t>The National Institute of Statistics, Geography and Informatics</t>
  </si>
  <si>
    <t>Mexico en Cifras</t>
  </si>
  <si>
    <t>Mayor’s Office of Management and Budget</t>
  </si>
  <si>
    <t>Brazilian Institute of Geography and Statistics</t>
  </si>
  <si>
    <t>CONHEÇA CIDADES E ESTADOS DO BRASIL</t>
  </si>
  <si>
    <t>Department Statistics South Africa</t>
  </si>
  <si>
    <t>Provinsi DKI Jakarta</t>
  </si>
  <si>
    <t>Ciudad de Buenos Aires</t>
  </si>
  <si>
    <t xml:space="preserve">Gross Domestic Product at Current  Prices  - Emirate of Dubai </t>
  </si>
  <si>
    <t>https://www.dsc.gov.ae/en-us/Themes/Pages/National-Accounts.aspx?Theme=24</t>
  </si>
  <si>
    <t>County Incomes and Regional GDP</t>
  </si>
  <si>
    <t>eurostat</t>
  </si>
  <si>
    <t>Gross domestic product (GDP) at current market prices by NUTS 3 regions</t>
  </si>
  <si>
    <t>The Brookings Institution</t>
  </si>
  <si>
    <t>Redefining Global Cities - The Seven Types of Global Metro Economics</t>
  </si>
  <si>
    <t>https://www.brookings.edu/research/redefining-global-cities/</t>
  </si>
  <si>
    <t>National Accounts - Analysis of Main Aggregates</t>
  </si>
  <si>
    <t>https://unstats.un.org/unsd/snaama/Basic</t>
  </si>
  <si>
    <t>National Accounts - Analysis of Main Aggregates, "GDP, at constant 2015 prices - US Dollars"</t>
  </si>
  <si>
    <t>Department of Statictics</t>
  </si>
  <si>
    <t>Government of Malaysia</t>
  </si>
  <si>
    <t>National Accounts - Gross Domestic Product</t>
  </si>
  <si>
    <t>https://www.singstat.gov.sg/find-data/search-by-theme/economy/national-accounts/latest-data</t>
  </si>
  <si>
    <t>Government of the hong Kong Special Administrative Region</t>
  </si>
  <si>
    <t>Hong Kong in Figures</t>
  </si>
  <si>
    <t xml:space="preserve">Beijing Municipal Bureau Statistics </t>
  </si>
  <si>
    <t>http://www.city.fukuoka.lg.jp/soki/tokeichosa/shisei/toukei/shiminkeizaikeisan/shiminkeizaikeisan.html</t>
  </si>
  <si>
    <t>https://www.city.osaka.lg.jp/toshikeikaku/page/0000233170.html</t>
  </si>
  <si>
    <t>United States government</t>
  </si>
  <si>
    <t>https://apps.bea.gov/itable/iTable.cfm?ReqID=70&amp;step=1#reqid=70&amp;step=1&amp;isuri=1</t>
  </si>
  <si>
    <t>New York City</t>
  </si>
  <si>
    <t>https://www1.nyc.gov/site/omb/publications/publications.page</t>
  </si>
  <si>
    <t>Produto Interno Bruto dos Municipios</t>
  </si>
  <si>
    <t>https://www.ibge.gov.br/estatisticas/economicas/contas-nacionais/9088-produto-interno-bruto-dos-municipios.html?t=pib-por-municipio&amp;c=3550308</t>
  </si>
  <si>
    <t>Badan Pusat Statistik - Statistics Indonesia</t>
  </si>
  <si>
    <t>Dubai Statistic Center</t>
  </si>
  <si>
    <t>Gross Domestic Product at Constant Prices  - Emirate of Dubai</t>
  </si>
  <si>
    <t>National Accounts - Analysis of Main Aggregates, "GDP, at constant 2015 prices - US Dollars" &amp; "GDP, at current prices - US Dollars"</t>
  </si>
  <si>
    <t>https://www.ibge.gov.br/estatisticas/economicas/contas-nacionais/9052-sistema-de-contas-nacionais-brasil.html?=&amp;t=resultados</t>
  </si>
  <si>
    <t>Brookings Institution</t>
  </si>
  <si>
    <t>Redefining Global Cities</t>
  </si>
  <si>
    <t>The Heritage Foundation</t>
  </si>
  <si>
    <t>－</t>
  </si>
  <si>
    <t>https://www.heritage.org/index/download</t>
  </si>
  <si>
    <t>Cash markets - Monthly reports</t>
  </si>
  <si>
    <t>https://live.euronext.com/en/resources/statistics/nextmonth-cash</t>
  </si>
  <si>
    <t>Nasdaq</t>
  </si>
  <si>
    <t>http://www-2.munimadrid.es/CSE6/control/seleccionDatos?numSerie=9030202042</t>
  </si>
  <si>
    <t>Barcelona City Council</t>
  </si>
  <si>
    <t>Estadística i Difusió de Dades - Población ocupada</t>
  </si>
  <si>
    <t>Office for National Statistcs</t>
  </si>
  <si>
    <t>Workforce jobs by region &amp; industry</t>
  </si>
  <si>
    <t>https://www.ons.gov.uk/employmentandlabourmarket/peopleinwork/employmentandemployeetypes/datasets/workforcejobsbyregionandindustryjobs05</t>
  </si>
  <si>
    <t>French National Institute of Statistics and Economic Studies(INSEE)</t>
  </si>
  <si>
    <t>Belgian statistical office (Statbel)</t>
  </si>
  <si>
    <t>Office cantonal de la statistique (OCSTAT)</t>
  </si>
  <si>
    <t>Statistiques Cantonales</t>
  </si>
  <si>
    <t>Stadt Frankfurt Am Main</t>
  </si>
  <si>
    <t>Statistical Office for Berlin-Brandenburg</t>
  </si>
  <si>
    <t>States Berlin and Brandenburg</t>
  </si>
  <si>
    <t>http://sisi.comune.milano.it/</t>
  </si>
  <si>
    <t>Stadt Zürich Präsidialdepartement</t>
  </si>
  <si>
    <t>https://www.stadt-zuerich.ch/prd/de/index/statistik/themen/wirtschaft/arbeitsmarkt/beschaeftigte.html</t>
  </si>
  <si>
    <t>Statistics Demmark</t>
  </si>
  <si>
    <t>Bundesanstalt Statistik Österreich -  STATISTICS AUSTRIA</t>
  </si>
  <si>
    <t>Austrian Micro census</t>
  </si>
  <si>
    <t>https://statcube.at/statistik.at/ext/statcube/jsf/tableView/tableView.xhtml</t>
  </si>
  <si>
    <t>https://start.stockholm/om-stockholms-stad/utredningar-statistik-och-fakta/statistik/befolkning/</t>
  </si>
  <si>
    <t>Federal State Statistics Service(Rosstat)</t>
  </si>
  <si>
    <t>The Ministry of Economic Development of the Russian Federation</t>
  </si>
  <si>
    <t>https://www.gks.ru/labour_force</t>
  </si>
  <si>
    <t>Office of the Registrar General &amp; Census Commissioner, India</t>
  </si>
  <si>
    <t>Ministry of Home Affairs,Government of India</t>
  </si>
  <si>
    <t>National Statistical Office of Thailand</t>
  </si>
  <si>
    <t>http://statbbi.nso.go.th/staticreport/page/sector/en/02.aspx</t>
  </si>
  <si>
    <t>Department of Statictics Malaysia, Offifial Portal</t>
  </si>
  <si>
    <t>Number of Employed Persons Aged Fifteen Years and Over</t>
  </si>
  <si>
    <t>https://stats.mom.gov.sg/Pages/EmploymentTimeSeries.aspx</t>
  </si>
  <si>
    <t>The Government of the hong Kong Special Administrative Region</t>
  </si>
  <si>
    <t>香港特別行政區政府</t>
  </si>
  <si>
    <t>The People's Government of Beijing Municipality</t>
  </si>
  <si>
    <t>北京市人民政府</t>
  </si>
  <si>
    <t>上海市人民政府</t>
  </si>
  <si>
    <t>https://dbaseng.gov.taipei/Content_List.aspx?n=ED952FC77E9A7D4B</t>
  </si>
  <si>
    <t>KOrean Statistical Information Service, Statistics Korea</t>
  </si>
  <si>
    <t>Commonwealth of Australia</t>
  </si>
  <si>
    <t>the United States government</t>
  </si>
  <si>
    <t>the National Institute of Statistics, Geography and Informatics</t>
  </si>
  <si>
    <t>https://www.dsc.gov.ae/en-us/Themes/Pages/Labour.aspx?Theme=41</t>
  </si>
  <si>
    <t>City of Madrid</t>
  </si>
  <si>
    <t>Ocupados de la industria, de la construcción y de los servicios por Rama de actividad (miles)</t>
  </si>
  <si>
    <t>https://www.madrid.es/portales/munimadrid/es/Inicio/El-Ayuntamiento/Estadistica/Areas-de-informacion-estadistica/Mercado-de-trabajo/Encuesta-de-Poblacion-Activa-EPA-/Serie-historica/?vgnextfmt=default&amp;vgnextoid=50ef6e0754c0c210VgnVCM2000000c205a0aRCRD&amp;vgnextchannel=560d62a006986210VgnVCM2000000c205a0aRCRD</t>
  </si>
  <si>
    <t>https://www.bcn.cat/estadistica/angles/dades/ttreball/epa/epa/pocu/evocbr.htm</t>
  </si>
  <si>
    <t>French National Institute of Statistics and Economic Studies</t>
  </si>
  <si>
    <t>Brussels Institute for Statistics and Analysis</t>
  </si>
  <si>
    <t>Frankfurt am Main</t>
  </si>
  <si>
    <t xml:space="preserve">Amt für Statistik Berlin-Brandenburg </t>
  </si>
  <si>
    <t>Statbank Denmark</t>
  </si>
  <si>
    <t>https://www.statbank.dk/statbank5a/default.asp?w=1600</t>
  </si>
  <si>
    <t>City of Vienna</t>
  </si>
  <si>
    <t>https://www.wien.gv.at/statistik/publikationen/uebersicht-pub.html</t>
  </si>
  <si>
    <t>Labour Force Statistics(2014 and after)</t>
  </si>
  <si>
    <t>https://biruni.tuik.gov.tr/medas/?kn=72&amp;locale=en</t>
  </si>
  <si>
    <t xml:space="preserve"> Central Agency for Public Mobilization And Statistics</t>
  </si>
  <si>
    <t>http://www.capmas.gov.eg/Pages/StaticPages.aspx?page_id=5034</t>
  </si>
  <si>
    <t>Department of Statistics, International Labour Organization</t>
  </si>
  <si>
    <t>Economic Survey of Maharashtra 2015-2016</t>
  </si>
  <si>
    <t>The Government of the Hong Kong Special Administrative Region of the People's Republic of China</t>
  </si>
  <si>
    <t>Taipei City Statistical Yearbook</t>
  </si>
  <si>
    <t>https://dbaseng.gov.taipei/News_Content.aspx?n=88FDFA11268005C0&amp;sms=042CBB893F5D9D7A&amp;s=C1B5D59E1BD15FB8</t>
  </si>
  <si>
    <t>Employed persons by industry</t>
  </si>
  <si>
    <t>Employed population according to sector of economic activity, quarterly national</t>
  </si>
  <si>
    <t>http://en.www.inegi.org.mx/app/tabulados/default.html?nc=597</t>
  </si>
  <si>
    <t>https://www.dsc.gov.ae/en-us/Themes/Pages/Labour.aspx?Theme=41#DSC_Tab2</t>
  </si>
  <si>
    <t>Employment (Thousand, Seasonally Adjusted, Based On Labor Force Surveys)</t>
  </si>
  <si>
    <t>https://uniondesvilles.ch/cmsfiles/STST_2013_Web_1.pdf?v=20200720043350</t>
  </si>
  <si>
    <t>https://www.ubs.com/minisites/prices-earnings/en/open-data/</t>
  </si>
  <si>
    <t>https://www.speedtest.net/global-index</t>
  </si>
  <si>
    <t>Clarity on Swiss Taxes</t>
  </si>
  <si>
    <t>日本貿易振興機構</t>
  </si>
  <si>
    <t>https://www.nta.go.jp/taxes/shiraberu/taxanswer/hojin/5759.htm</t>
  </si>
  <si>
    <t>Corporate Income Tax</t>
  </si>
  <si>
    <t>https://www.jetro.go.jp/world/n_america/us/invest_04.html#block1</t>
  </si>
  <si>
    <t>https://www.jetro.go.jp/world/middle_east/ae/invest_04.html</t>
  </si>
  <si>
    <t>外形標準課税対象法人の税率表</t>
  </si>
  <si>
    <t>https://www.pref.fukuoka.lg.jp/contents/houjinkenminzei.html</t>
  </si>
  <si>
    <t>法人府民税・法人事業税・特別法人事業税・地方法人特別税の税率一覧</t>
  </si>
  <si>
    <t>http://www.pref.osaka.lg.jp/zei/alacarte/zeiritu.html</t>
  </si>
  <si>
    <t>法人都民税について</t>
  </si>
  <si>
    <t>https://www.tax.metro.tokyo.lg.jp/kazei/houjinji.html#ho_03_02</t>
  </si>
  <si>
    <t>https://www.jetro.go.jp/world/n_america/ca/invest_04.html</t>
  </si>
  <si>
    <t>The Tax Foundation</t>
  </si>
  <si>
    <t>Department of Finance</t>
  </si>
  <si>
    <t>https://www1.nyc.gov/site/finance/taxes/business-corporation-tax.page</t>
  </si>
  <si>
    <t>https://www.city.fukuoka.lg.jp/zaisei/shisanzei/life/002.html#5</t>
  </si>
  <si>
    <t>https://www.city.osaka.lg.jp/zaisei/page/0000361789.html</t>
  </si>
  <si>
    <t>Department of Taxation and Finance</t>
  </si>
  <si>
    <t>New York State</t>
  </si>
  <si>
    <t>The World Bank</t>
  </si>
  <si>
    <t>Doing Business 2020</t>
  </si>
  <si>
    <t>https://www.moodys.com/ja/search?keyword=Sovereign%20%26%20Supranational%20Rating%20List</t>
  </si>
  <si>
    <t>http://data.uis.unesco.org/#</t>
  </si>
  <si>
    <t>https://stats.oecd.org/</t>
  </si>
  <si>
    <t>The French National Institute of Statistics and Economic Studies</t>
  </si>
  <si>
    <t>T201 : Emploi en fin d'année par département et région de France (hors Mayotte), selon le statut (salarié/non salarié) et le secteur d'activité (A5)</t>
  </si>
  <si>
    <t>PISA 2018 Results</t>
  </si>
  <si>
    <t>https://research.acer.edu.au/cgi/viewcontent.cgi?article=1000&amp;context=pisa</t>
  </si>
  <si>
    <t>Intellectual Property Office, Ministry of Economic Affairs</t>
  </si>
  <si>
    <t>Republic of China</t>
  </si>
  <si>
    <t>經濟部智慧財產局</t>
  </si>
  <si>
    <t>https://www.tipo.gov.tw/en/lp-303-2.html</t>
  </si>
  <si>
    <t>http://www.worldtravelguide.net/</t>
  </si>
  <si>
    <t>https://www.olympic.org/olympic-games</t>
  </si>
  <si>
    <t>http://www.bie-paris.org/</t>
  </si>
  <si>
    <t>https://www.fifa.com/worldcup/</t>
  </si>
  <si>
    <t>International Trade Center、Trade Statistics</t>
  </si>
  <si>
    <t>https://www.ons.gov.uk/businessindustryandtrade/internationaltrade/datasets/internationaltradeinservicesreferencetables</t>
  </si>
  <si>
    <t>UN Comtrade Database</t>
  </si>
  <si>
    <t>https://comtrade.un.org/data/</t>
  </si>
  <si>
    <t>Statistics on trade in commercial services</t>
  </si>
  <si>
    <t>Audio-visual services - Major exporters and importers of audio-visual and related services, 2010 and 2011</t>
  </si>
  <si>
    <t>https://www.wto.org/english/res_e/statis_e/its2012_e/its12_trade_category_e.htm</t>
  </si>
  <si>
    <t>https://www.tripadvisor.com</t>
  </si>
  <si>
    <t>World Heritage List</t>
  </si>
  <si>
    <t>https://whc.unesco.org/</t>
  </si>
  <si>
    <t>http://www.worldstadiums.com/</t>
  </si>
  <si>
    <t>https://www.tripadvisor.com/</t>
  </si>
  <si>
    <t>The Brussels Institute of Statistics and Analysis</t>
  </si>
  <si>
    <t>https://www.ge.ch/statistique/domaines/01/01_01/tableaux.asp#18</t>
  </si>
  <si>
    <t>https://frankfurt.de/service-und-rathaus/zahlen-daten-fakten/themen/bevoelkerung</t>
  </si>
  <si>
    <t>https://www.wien.gv.at/statistik/publikationen/jahrbuch.html</t>
  </si>
  <si>
    <t>http://www.statistikdatabasen.scb.se/pxweb/en/ssd/START__BE__BE0101__BE0101F/UtlmedbTotNK/</t>
  </si>
  <si>
    <t>https://migrationdataportal.org/?i=stock_abs_&amp;t=2019&amp;cm49=818</t>
  </si>
  <si>
    <t>Федеральная служба государственной статистики</t>
  </si>
  <si>
    <t>Population classified by place of birth and Sex - 2011</t>
  </si>
  <si>
    <t>https://www.strategygroup.gov.sg/media-centre/publications/population-in-brief</t>
  </si>
  <si>
    <t>https://dbas.gov.taipei/News.aspx?n=72EB69FFAC3565DF&amp;sms=96C0B436A542605B</t>
  </si>
  <si>
    <t>http://kosis.kr/eng/statisticsList/statisticsListIndex.do?menuId=M_01_01&amp;vwcd=MT_ETITLE&amp;parmTabId=M_01_01</t>
  </si>
  <si>
    <t>United States Census Bureau</t>
  </si>
  <si>
    <t>http://en.www.inegi.org.mx/app/tabulados/interactivos/?px=Migracion_03&amp;bd=Migracion</t>
  </si>
  <si>
    <t>https://www.dsc.gov.ae/en-us/Themes/Pages/Population-and-Vital-Statistics.aspx?Theme=42</t>
  </si>
  <si>
    <t>https://www.cso.ie/en/releasesandpublications/ep/p-cp7md/p7md/p7anii/</t>
  </si>
  <si>
    <t>https://hri.fi/data/en_GB/dataset/helsingin-tilastollinen-vuosikirja</t>
  </si>
  <si>
    <t>https://www.tel-aviv.gov.il/en/abouttheCity/Pages/CityinNumbers.aspx</t>
  </si>
  <si>
    <t>Estadística - Banco de Datos, "Viajeros en la ciudad de Madrid por País de residencia y Mes"</t>
  </si>
  <si>
    <t>The Observatori del Turisme a Barcelona</t>
  </si>
  <si>
    <t>https://www.observatoriturisme.barcelona/en</t>
  </si>
  <si>
    <t>https://www.ons.gov.uk/peoplepopulationandcommunity/leisureandtourism/datasets/overseasresidentsvisitstotheuk</t>
  </si>
  <si>
    <t>Paris Convention and Visitors Bureau</t>
  </si>
  <si>
    <t>Brussels instituut voor statistiek en analyse</t>
  </si>
  <si>
    <t>https://bisa.brussels/themas/toerisme-en-cultuur/toerisme</t>
  </si>
  <si>
    <t>Hotels; guests, overnight stays, country of residence, region</t>
  </si>
  <si>
    <t>The Swiss Federal Statistical Office</t>
  </si>
  <si>
    <t>Federal Department of Home Affairs</t>
  </si>
  <si>
    <t>Hotels und Kurbetriebe: Gäste nach Inland-Ausland und nach Gemeinde (kumulierte Ergebnisse)</t>
  </si>
  <si>
    <t>https://frankfurt.de/service-und-rathaus/zahlen-daten-fakten/publikationen/statistisches-jahrbuch</t>
  </si>
  <si>
    <t>http://www.statbank.dk/TURIST</t>
  </si>
  <si>
    <t>Wiener Tourismusverband</t>
  </si>
  <si>
    <t>http://www.statistikdatabasen.scb.se/pxweb/en/ssd/START__NV__NV1701__NV1701A/NV1701T910Ar/</t>
  </si>
  <si>
    <t>Ministry of Tourism &amp; Sports</t>
  </si>
  <si>
    <t>中華人民共和國香港特別行政區政府</t>
  </si>
  <si>
    <t>https://www.censtatd.gov.hk/hkstat/sub/sp140.jsp?productCode=B1010006</t>
  </si>
  <si>
    <t>Beijing Municipal Bureau of Culture and Tourism</t>
  </si>
  <si>
    <t>北京市文化和旅游局</t>
  </si>
  <si>
    <t>Shanghai Municipal Statistics Bureau and Survey Office of the National Bureau of Statistics in Shanghai</t>
  </si>
  <si>
    <t>中華民國交通部觀光局</t>
  </si>
  <si>
    <t>観光統計調査/大阪の延べ宿泊者数・外国人延べ宿泊者数</t>
  </si>
  <si>
    <t>Bureau of Industrial and Labor Affairs</t>
  </si>
  <si>
    <t>東京都産業労働局</t>
  </si>
  <si>
    <t>New South Wales Government</t>
  </si>
  <si>
    <t>https://www.destinationnsw.com.au/tourism/facts-and-figures/sydney-tourism-statistics</t>
  </si>
  <si>
    <t>Tourism Vancouver</t>
  </si>
  <si>
    <t>The Metro Vancouver Convention and Visitors Bureau</t>
  </si>
  <si>
    <t>U.S. Government</t>
  </si>
  <si>
    <t>Secretaría de Turismo</t>
  </si>
  <si>
    <t>https://turismo.cdmx.gob.mx/actividad-turistica/estadisticas-de-la-actividad-turistica</t>
  </si>
  <si>
    <t>Destination Toronto</t>
  </si>
  <si>
    <t>Indonesia Government</t>
  </si>
  <si>
    <t>https://www.dsc.gov.ae/en-us/Themes/Pages/Tourism.aspx?Theme=30</t>
  </si>
  <si>
    <t>Tourism Research Australia</t>
  </si>
  <si>
    <t>Australian Government</t>
  </si>
  <si>
    <t>https://www.tra.gov.au/data-and-research</t>
  </si>
  <si>
    <t>http://portalestadistico.com/municipioencifras/?pn=madrid&amp;pc=ZTV21&amp;idp=&amp;idioma=eng&amp;idpl=1331&amp;Id_Territorio=28079</t>
  </si>
  <si>
    <t>Statistical Yearbook of Catalonia</t>
  </si>
  <si>
    <t>https://data.london.gov.uk/dataset/unemployment-rate-region</t>
  </si>
  <si>
    <t>https://www.insee.fr/en/statistiques/serie/001515940</t>
  </si>
  <si>
    <t>https://statbel.fgov.be/fr/themes/emploi-formation/marche-du-travail/emploi-et-chomage/plus</t>
  </si>
  <si>
    <t>https://www.stadt-zuerich.ch/prd/de/index/statistik/themen/wirtschaft/arbeitsmarkt/arbeitslose-stellensuchende.html</t>
  </si>
  <si>
    <t>LABOUR, INCOME AND WEALTH</t>
  </si>
  <si>
    <t>https://www.statbank.dk/statbank5a/default.asp?w=1920</t>
  </si>
  <si>
    <t>https://biruni.tuik.gov.tr/medas/?kn=102&amp;locale=en</t>
  </si>
  <si>
    <t>경인지방통계청</t>
  </si>
  <si>
    <t>https://www.parliament.nsw.gov.au/researchpapers/Pages/NSW-regional-labour-force-data---interactive-portal.aspx</t>
  </si>
  <si>
    <t>https://srv129.services.gc.ca/ei_regions/eng/tab.aspx</t>
  </si>
  <si>
    <t>Labour Force Survey (LFS)</t>
  </si>
  <si>
    <t>https://hri.fi/data/en/dataset/helsingin-tilastollinen-vuosikirja</t>
  </si>
  <si>
    <t>United States of America</t>
  </si>
  <si>
    <t>https://www.e-stat.go.jp/stat-search/files?page=1&amp;layout=datalist&amp;toukei=00200571&amp;bunya_l=07&amp;tstat=000001067253&amp;cycle=7&amp;year=20180&amp;month=0&amp;result_back=1&amp;result_page=1&amp;tclass1val=0</t>
  </si>
  <si>
    <t>Inter-city indexes of price differentials of consumer goods and services, annual</t>
  </si>
  <si>
    <t>https://www150.statcan.gc.ca/t1/tbl1/en/cv.action?pid=1810000301</t>
  </si>
  <si>
    <t>NUMBEO</t>
  </si>
  <si>
    <t>eurostat - Intentional homicide offences in largest cities</t>
  </si>
  <si>
    <t xml:space="preserve"> National Statistics Institute</t>
  </si>
  <si>
    <t>United Nations Office on Drugs and Crime(UNODC)</t>
  </si>
  <si>
    <t>Victims of intentional homicide in cities, counts and rates, per 100,000 population</t>
  </si>
  <si>
    <t>Swedish National Council for Crime Prevention</t>
  </si>
  <si>
    <t>Greater Mumbai Police</t>
  </si>
  <si>
    <t>https://mumbaipolice.gov.in/CrimeStatistics</t>
  </si>
  <si>
    <t>Government of Hong Kong SAR</t>
  </si>
  <si>
    <t>https://dbas.gov.taipei/News_Content.aspx?n=72EB69FFAC3565DF&amp;sms=96C0B436A542605B&amp;s=C6AE4934B889F185</t>
  </si>
  <si>
    <t>犯罪統計</t>
  </si>
  <si>
    <t>https://www.police.pref.fukuoka.jp/tokei/index.html</t>
  </si>
  <si>
    <t>Osaka Prefectural Police</t>
  </si>
  <si>
    <t>警視庁</t>
  </si>
  <si>
    <t>State of New South Wales</t>
  </si>
  <si>
    <t>https://www.bocsar.nsw.gov.au/Pages/bocsar_crime_stats/bocsar_lgaexceltables.aspx</t>
  </si>
  <si>
    <t>City of Vancouver</t>
  </si>
  <si>
    <t>Vancouver Police Department Reported Crime Incident Statistics</t>
  </si>
  <si>
    <t xml:space="preserve">Consulate General of Japan in Sao Paulo </t>
  </si>
  <si>
    <t>https://www.sp.br.emb-japan.go.jp/itpr_ja/SegSP_jp.html</t>
  </si>
  <si>
    <t>South African Police Service</t>
  </si>
  <si>
    <t>CRIME STATISTICS</t>
  </si>
  <si>
    <t>https://www.saps.gov.za/services/crimestats.php</t>
  </si>
  <si>
    <t>State of Victoria</t>
  </si>
  <si>
    <t>Municipal Corporation of Greater Mumbai</t>
  </si>
  <si>
    <t>https://portal.mcgm.gov.in/irj/portal/anonymous/qlvitalstatsreport?guest_user=english</t>
  </si>
  <si>
    <t>https://cityriskindex.lloyds.com/explore/</t>
  </si>
  <si>
    <t>Life expectancy at birth, total (years)</t>
  </si>
  <si>
    <t>https://freedomhouse.org/report/freedom-world</t>
  </si>
  <si>
    <t>https://csrp.hku.hk/statistics/</t>
  </si>
  <si>
    <t>Taiwan Suicide Prevention Center</t>
  </si>
  <si>
    <t>社團法人台灣自殺防治學會</t>
  </si>
  <si>
    <t>https://www.tsos.org.tw/km/4995</t>
  </si>
  <si>
    <t>Global Health Observatory data repository - Medical doctors</t>
  </si>
  <si>
    <t>https://apps.who.int/gho/data/node.main.HWFGRP_0020?lang=en</t>
  </si>
  <si>
    <t xml:space="preserve">Department of Health </t>
  </si>
  <si>
    <t>The Government of the Hong Kong Special Administrative Reagion</t>
  </si>
  <si>
    <t>https://www.dh.gov.hk/english/statistics/statistics_hs/statistics_hs.html</t>
  </si>
  <si>
    <t>Department of Budget, Accounting and Statistics,</t>
  </si>
  <si>
    <t>https://dbas.gov.taipei/News_Content.aspx?n=72EB69FFAC3565DF&amp;sms=96C0B436A542605B&amp;s=8198EDB25F415333</t>
  </si>
  <si>
    <t>Organization for Economic Co-operation and Development</t>
  </si>
  <si>
    <t>http://www.oecd.org/els/health-systems/health-data.htm</t>
  </si>
  <si>
    <t>https://openstreetmap.jp/</t>
  </si>
  <si>
    <t>Bureau of Environment</t>
  </si>
  <si>
    <t>https://www.kankyo.metro.tokyo.lg.jp/climate/zenpan/emissions_tokyo.html</t>
  </si>
  <si>
    <t>Mayor's Office of Sustainability</t>
  </si>
  <si>
    <t>OECD.Stat - Municipal waste, Generation and Treatment</t>
  </si>
  <si>
    <t>Shanghai Landscaping &amp; City Appearance Administrative Bureau, Shanghai Forestry Bureau</t>
  </si>
  <si>
    <t>Shanghai City</t>
  </si>
  <si>
    <t>上海市绿化和市容管理局 上海市林业局</t>
  </si>
  <si>
    <t>Environment Protection Administration</t>
  </si>
  <si>
    <t>Solid Waste Statistics, "Generation and Treatment of Municipal Waste"</t>
  </si>
  <si>
    <t>https://www.kankyo.metro.tokyo.lg.jp/resource/general_waste/survey_results.html</t>
  </si>
  <si>
    <t>Department Environmental Affairs</t>
  </si>
  <si>
    <t>South Africa State of Waste Report</t>
  </si>
  <si>
    <t>International Trade Administration, U.S. Department of Commerce</t>
  </si>
  <si>
    <t>United State of America</t>
  </si>
  <si>
    <t>2019 Top Markets Report: Environmental Technologies</t>
  </si>
  <si>
    <t>United Nations Statistisc Division (UNSD)</t>
  </si>
  <si>
    <t>University of Maryland Department of Geographical Sciences</t>
  </si>
  <si>
    <t>Global Forest Change 2000–2019</t>
  </si>
  <si>
    <t>https://www.numbeo.com/pollution/</t>
  </si>
  <si>
    <t>IQAir</t>
  </si>
  <si>
    <t>https://www.iqair.com/world-most-polluted-cities</t>
  </si>
  <si>
    <t>https://rp5.ru/Weather_in_the_world</t>
  </si>
  <si>
    <t>OAG</t>
  </si>
  <si>
    <t>OAG Analyser</t>
  </si>
  <si>
    <t>https://oag.com/</t>
  </si>
  <si>
    <t>American Journal of Transportation</t>
  </si>
  <si>
    <t>The Government of Japan</t>
  </si>
  <si>
    <t>国土交通省港湾局</t>
  </si>
  <si>
    <t>https://www.mlit.go.jp/statistics/details/port_list.html</t>
  </si>
  <si>
    <t>City and County of San Francisco</t>
  </si>
  <si>
    <t>https://sfport.com/maritime-statistics-reports</t>
  </si>
  <si>
    <t>American Association of Port Authorities</t>
  </si>
  <si>
    <t>Dublin Port Company</t>
  </si>
  <si>
    <t>https://www.dublinport.ie/about-dublin-port/annual-reports/</t>
  </si>
  <si>
    <t>Airports Council International</t>
  </si>
  <si>
    <t>https://www.openstreetmap.org/</t>
  </si>
  <si>
    <t>http://www.mlit.go.jp/toshi/tosiko/toshi_tosiko_fr_000024.html</t>
  </si>
  <si>
    <t>https://www.taxisingapore.com/taxi-fare/</t>
  </si>
  <si>
    <t>福岡市タクシー協会</t>
  </si>
  <si>
    <t>http://www.taxi-fukcty.or.jp/charge.html</t>
  </si>
  <si>
    <t>http://www.kankyo-taxi.com/fare/#anc_price</t>
  </si>
  <si>
    <t>Yellow Cab Company Ltd.</t>
  </si>
  <si>
    <t>Taxi Fares Publish</t>
  </si>
  <si>
    <t>https://dfhv.dc.gov/page/taxicab-fares</t>
  </si>
  <si>
    <t>https://bpdnews.com/taxi-rates</t>
  </si>
  <si>
    <t>数式テンプレート（この行は消さない）</t>
    <rPh sb="0" eb="2">
      <t>スウシキ</t>
    </rPh>
    <rPh sb="11" eb="12">
      <t>ギョウ</t>
    </rPh>
    <rPh sb="13" eb="14">
      <t>ケ</t>
    </rPh>
    <phoneticPr fontId="5"/>
  </si>
  <si>
    <t>▼アルファベットが混入していないか？ダッシュなどは消す！</t>
    <rPh sb="9" eb="11">
      <t>コンニュウ</t>
    </rPh>
    <phoneticPr fontId="5"/>
  </si>
  <si>
    <t>▼カギカッコなどついてないか？入力漏れないか？ダッシュなどは消す！</t>
    <rPh sb="15" eb="17">
      <t>ニュウリョク</t>
    </rPh>
    <rPh sb="17" eb="18">
      <t>モ</t>
    </rPh>
    <phoneticPr fontId="5"/>
  </si>
  <si>
    <t>▼http://もしくはhttps://で始まるか？入力漏れないか？ダッシュなどは消す！</t>
    <rPh sb="21" eb="22">
      <t>ハジ</t>
    </rPh>
    <rPh sb="26" eb="29">
      <t>ニュウリョクモ</t>
    </rPh>
    <phoneticPr fontId="5"/>
  </si>
  <si>
    <t>▼すべてアルファベットになっているか？The始まりないか？単語はじめは大文字か？ダッシュなどは消す！</t>
    <rPh sb="22" eb="23">
      <t>ハジ</t>
    </rPh>
    <rPh sb="29" eb="31">
      <t>タンゴ</t>
    </rPh>
    <rPh sb="35" eb="38">
      <t>オオモジ</t>
    </rPh>
    <rPh sb="47" eb="48">
      <t>ケ</t>
    </rPh>
    <phoneticPr fontId="5"/>
  </si>
  <si>
    <t>▼すべてアルファベットになっているか？The始まりないか？単語はじめは大文字か？同じ行政は同一表記に統一されているか？ダッシュなどは消す！</t>
    <rPh sb="22" eb="23">
      <t>ハジ</t>
    </rPh>
    <rPh sb="29" eb="31">
      <t>タンゴ</t>
    </rPh>
    <rPh sb="35" eb="38">
      <t>オオモジ</t>
    </rPh>
    <rPh sb="50" eb="52">
      <t>トウイツ</t>
    </rPh>
    <phoneticPr fontId="5"/>
  </si>
  <si>
    <t>00a</t>
    <phoneticPr fontId="5"/>
  </si>
  <si>
    <t>00b</t>
    <phoneticPr fontId="5"/>
  </si>
  <si>
    <t>00c</t>
    <phoneticPr fontId="5"/>
  </si>
  <si>
    <t>次の年度</t>
    <rPh sb="0" eb="1">
      <t>ツギ</t>
    </rPh>
    <rPh sb="2" eb="4">
      <t>ネンド</t>
    </rPh>
    <phoneticPr fontId="5"/>
  </si>
  <si>
    <t>指標ファイル一式を次年度用にコピペして、</t>
    <rPh sb="0" eb="2">
      <t>シヒョウ</t>
    </rPh>
    <rPh sb="6" eb="8">
      <t>イッシキ</t>
    </rPh>
    <rPh sb="9" eb="12">
      <t>ジネンド</t>
    </rPh>
    <rPh sb="12" eb="13">
      <t>ヨウ</t>
    </rPh>
    <phoneticPr fontId="5"/>
  </si>
  <si>
    <t>リセット内容</t>
    <rPh sb="4" eb="6">
      <t>ナイヨウ</t>
    </rPh>
    <phoneticPr fontId="5"/>
  </si>
  <si>
    <t>・Memoシート：定義を左の表のとおりコピペ</t>
    <phoneticPr fontId="5"/>
  </si>
  <si>
    <t>・Checkシート：指標名、単位を左の表のとおりコピペします</t>
    <rPh sb="10" eb="12">
      <t>シヒョウ</t>
    </rPh>
    <rPh sb="12" eb="13">
      <t>メイ</t>
    </rPh>
    <rPh sb="14" eb="16">
      <t>タンイ</t>
    </rPh>
    <rPh sb="17" eb="18">
      <t>ヒダリ</t>
    </rPh>
    <rPh sb="19" eb="20">
      <t>ヒョウ</t>
    </rPh>
    <phoneticPr fontId="5"/>
  </si>
  <si>
    <t>・Sourceシート：閲覧日を全削除</t>
    <rPh sb="11" eb="13">
      <t>エツラン</t>
    </rPh>
    <rPh sb="13" eb="14">
      <t>ビ</t>
    </rPh>
    <rPh sb="15" eb="18">
      <t>ゼンサクジョ</t>
    </rPh>
    <phoneticPr fontId="5"/>
  </si>
  <si>
    <t>・Checkシート：コメント欄（都市別、全体）を全削除、書式リセット、V列幅リセット</t>
    <rPh sb="14" eb="15">
      <t>ラン</t>
    </rPh>
    <rPh sb="16" eb="18">
      <t>トシ</t>
    </rPh>
    <rPh sb="18" eb="19">
      <t>ベツ</t>
    </rPh>
    <rPh sb="20" eb="22">
      <t>ゼンタイ</t>
    </rPh>
    <rPh sb="24" eb="27">
      <t>ゼンサクジョ</t>
    </rPh>
    <rPh sb="28" eb="30">
      <t>ショシキ</t>
    </rPh>
    <rPh sb="36" eb="38">
      <t>レツハバ</t>
    </rPh>
    <phoneticPr fontId="5"/>
  </si>
  <si>
    <t>・Checkシート：「GPCI-最新年度」「GPCI-前年年度」の表記を変更</t>
    <rPh sb="16" eb="18">
      <t>サイシン</t>
    </rPh>
    <rPh sb="18" eb="20">
      <t>ネンド</t>
    </rPh>
    <rPh sb="27" eb="29">
      <t>ゼンネン</t>
    </rPh>
    <rPh sb="29" eb="31">
      <t>ネンド</t>
    </rPh>
    <rPh sb="33" eb="35">
      <t>ヒョウキ</t>
    </rPh>
    <rPh sb="36" eb="38">
      <t>ヘンコウ</t>
    </rPh>
    <phoneticPr fontId="5"/>
  </si>
  <si>
    <t>取扱要注意！来年度用に指標ファイルをリセットします！</t>
    <rPh sb="0" eb="2">
      <t>トリアツカイ</t>
    </rPh>
    <rPh sb="2" eb="5">
      <t>ヨウチュウイ</t>
    </rPh>
    <rPh sb="6" eb="9">
      <t>ライネンド</t>
    </rPh>
    <rPh sb="9" eb="10">
      <t>ヨウ</t>
    </rPh>
    <rPh sb="11" eb="13">
      <t>シヒョウ</t>
    </rPh>
    <phoneticPr fontId="5"/>
  </si>
  <si>
    <t>・名前全削除</t>
    <rPh sb="1" eb="3">
      <t>ナマエ</t>
    </rPh>
    <rPh sb="3" eb="6">
      <t>ゼンサクジョ</t>
    </rPh>
    <phoneticPr fontId="5"/>
  </si>
  <si>
    <t>・スタイルリセット</t>
    <phoneticPr fontId="5"/>
  </si>
  <si>
    <t>・全シートのズームを100%にリセット</t>
    <rPh sb="1" eb="2">
      <t>ゼン</t>
    </rPh>
    <phoneticPr fontId="5"/>
  </si>
  <si>
    <t>・全シートのカーソル位置リセット</t>
    <rPh sb="1" eb="2">
      <t>ゼン</t>
    </rPh>
    <rPh sb="10" eb="12">
      <t>イチ</t>
    </rPh>
    <phoneticPr fontId="5"/>
  </si>
  <si>
    <t>Office of the Registrar General &amp; Census Commissioner, Ministry of Home Affairs, Government of India "Census of India 2011"</t>
    <phoneticPr fontId="5"/>
  </si>
  <si>
    <t>National Statistical Office, Kingdom of Thailand "Statistical table from the National Statistical Office"</t>
    <phoneticPr fontId="5"/>
  </si>
  <si>
    <t>City of Madrid</t>
    <phoneticPr fontId="5"/>
  </si>
  <si>
    <t>City of Barcelona</t>
    <phoneticPr fontId="5"/>
  </si>
  <si>
    <t>Greater London</t>
    <phoneticPr fontId="5"/>
  </si>
  <si>
    <t>City of Paris</t>
    <phoneticPr fontId="5"/>
  </si>
  <si>
    <t>Brussels-Capital Region</t>
    <phoneticPr fontId="5"/>
  </si>
  <si>
    <t>City of Amsterdam</t>
    <phoneticPr fontId="5"/>
  </si>
  <si>
    <t>City of Geneva</t>
    <phoneticPr fontId="5"/>
  </si>
  <si>
    <t>City of Frankfurt am Main</t>
    <phoneticPr fontId="5"/>
  </si>
  <si>
    <t>City of Berlin</t>
    <phoneticPr fontId="5"/>
  </si>
  <si>
    <t>City of Milan</t>
    <phoneticPr fontId="5"/>
  </si>
  <si>
    <t>City of Zurich</t>
    <phoneticPr fontId="5"/>
  </si>
  <si>
    <t>City Copenhagen</t>
    <phoneticPr fontId="5"/>
  </si>
  <si>
    <t>City of Vienna</t>
    <phoneticPr fontId="5"/>
  </si>
  <si>
    <t>Stockholm Municipality</t>
    <phoneticPr fontId="5"/>
  </si>
  <si>
    <t>Istanbul Province</t>
    <phoneticPr fontId="5"/>
  </si>
  <si>
    <t>Cairo Governorate</t>
    <phoneticPr fontId="5"/>
  </si>
  <si>
    <t>City of Moscow</t>
    <phoneticPr fontId="5"/>
  </si>
  <si>
    <t>Mumbai City/Suburban District</t>
    <phoneticPr fontId="5"/>
  </si>
  <si>
    <t>Bangkok (Province-level city)</t>
    <phoneticPr fontId="5"/>
  </si>
  <si>
    <t>Federal Territory of Kuala Lumpur</t>
    <phoneticPr fontId="5"/>
  </si>
  <si>
    <t>Republic of Singapore</t>
    <phoneticPr fontId="5"/>
  </si>
  <si>
    <t>Hong Kong SAR</t>
    <phoneticPr fontId="5"/>
  </si>
  <si>
    <t>Beijing City</t>
    <phoneticPr fontId="5"/>
  </si>
  <si>
    <t>Shanghai City</t>
    <phoneticPr fontId="5"/>
  </si>
  <si>
    <t>Taipei City</t>
    <phoneticPr fontId="5"/>
  </si>
  <si>
    <t>City of Soul</t>
    <phoneticPr fontId="5"/>
  </si>
  <si>
    <t>Fukuoka City</t>
    <phoneticPr fontId="5"/>
  </si>
  <si>
    <t>Osaka City</t>
    <phoneticPr fontId="5"/>
  </si>
  <si>
    <t>23 Wards of Tokyo</t>
    <phoneticPr fontId="5"/>
  </si>
  <si>
    <t>Greater Sydney</t>
    <phoneticPr fontId="5"/>
  </si>
  <si>
    <t>City of Vancouver</t>
    <phoneticPr fontId="5"/>
  </si>
  <si>
    <t>San Francisco city, California</t>
    <phoneticPr fontId="5"/>
  </si>
  <si>
    <t>Los Angeles city, California</t>
    <phoneticPr fontId="5"/>
  </si>
  <si>
    <t>Mexico City</t>
    <phoneticPr fontId="5"/>
  </si>
  <si>
    <t>Chicago city, Illinois</t>
    <phoneticPr fontId="5"/>
  </si>
  <si>
    <t>City of Toronto</t>
    <phoneticPr fontId="5"/>
  </si>
  <si>
    <t>Washington city, District of Columbia</t>
    <phoneticPr fontId="5"/>
  </si>
  <si>
    <t>New York city, New York</t>
    <phoneticPr fontId="5"/>
  </si>
  <si>
    <t>Boston city, Massachusetts</t>
    <phoneticPr fontId="5"/>
  </si>
  <si>
    <t>City of Sao Paulo</t>
    <phoneticPr fontId="5"/>
  </si>
  <si>
    <t>City of Johannesburg</t>
    <phoneticPr fontId="5"/>
  </si>
  <si>
    <t>DKI Jakarta</t>
    <phoneticPr fontId="5"/>
  </si>
  <si>
    <t>City of Buenos Aires</t>
    <phoneticPr fontId="5"/>
  </si>
  <si>
    <t>Emirate of Dubai</t>
    <phoneticPr fontId="5"/>
  </si>
  <si>
    <t>Dublin City</t>
    <phoneticPr fontId="5"/>
  </si>
  <si>
    <t>City of Helsinki</t>
    <phoneticPr fontId="5"/>
  </si>
  <si>
    <t>Tel Aviv District</t>
    <phoneticPr fontId="5"/>
  </si>
  <si>
    <t>Greater Melbourne</t>
    <phoneticPr fontId="5"/>
  </si>
  <si>
    <t>国別</t>
    <phoneticPr fontId="5"/>
  </si>
  <si>
    <t>Statistics Netherlands (CBS), Netherlands "Regional key figures; national accounts"</t>
    <phoneticPr fontId="5"/>
  </si>
  <si>
    <t>Office Cantonal de la Statistique, Republic and Canton of Geneva "Statistiques Cantonales - 04. ECONOMIE NATIONALE ET CONJONCTURE"</t>
    <phoneticPr fontId="5"/>
  </si>
  <si>
    <t>Central Agency for Public Mobilization and Statistics, Arab Republic of Egypt "Egypt in Figures"</t>
    <phoneticPr fontId="5"/>
  </si>
  <si>
    <t>Census and Statistics Department, The Government of the Hong Kong Special Administrative Region "Gross Domestic Product (GDP), implicit price deflator of GDP and per capita GDP"</t>
    <phoneticPr fontId="5"/>
  </si>
  <si>
    <t>Beijing Municipal Bureau Statistics, Survey Office of the National Bureau of Statistics in Beijing, Beijing Municipal "统计数据 - 月季度数据"</t>
    <phoneticPr fontId="5"/>
  </si>
  <si>
    <t>Directorate-General of Budget, Accounting and Statistics, Republic of China (Taiwan） "National Accounts - Principal Figures"</t>
    <phoneticPr fontId="5"/>
  </si>
  <si>
    <t>The U.S. Bureau of Economic Analysis, The United States government "GDP and Personal Income"</t>
    <phoneticPr fontId="5"/>
  </si>
  <si>
    <t>Dubai Statistics Center, Government of Dubai "Gross Domestic Product at Current  Prices  - Emirate of Dubai "</t>
    <phoneticPr fontId="5"/>
  </si>
  <si>
    <t>Central Statistics Office, Ireland "County Incomes and Regional GDP"</t>
    <phoneticPr fontId="5"/>
  </si>
  <si>
    <t>eurostat, European Commission "Gross domestic product (GDP) at current market prices by NUTS 3 regions"</t>
    <phoneticPr fontId="5"/>
  </si>
  <si>
    <t>Amsterdam（COROP plus-region）</t>
    <phoneticPr fontId="5"/>
  </si>
  <si>
    <t>Canton of Geneva</t>
    <phoneticPr fontId="5"/>
  </si>
  <si>
    <t>City of Zürich</t>
    <phoneticPr fontId="5"/>
  </si>
  <si>
    <t>Stockholm county</t>
    <phoneticPr fontId="5"/>
  </si>
  <si>
    <t>Egypt</t>
    <phoneticPr fontId="5"/>
  </si>
  <si>
    <t>India</t>
    <phoneticPr fontId="5"/>
  </si>
  <si>
    <t>Bangkok（Province-level city）</t>
    <phoneticPr fontId="5"/>
  </si>
  <si>
    <t>Taiwan</t>
    <phoneticPr fontId="5"/>
  </si>
  <si>
    <t>City of Seoul</t>
    <phoneticPr fontId="5"/>
  </si>
  <si>
    <t>Tokyo</t>
    <phoneticPr fontId="5"/>
  </si>
  <si>
    <t>Sydney Region</t>
    <phoneticPr fontId="5"/>
  </si>
  <si>
    <t>San Francisco-Oakland-Berkeley, CA (Metropolitan Statistical Area)</t>
    <phoneticPr fontId="5"/>
  </si>
  <si>
    <t>Los Angeles-Long Beach-Anaheim, CA (Metropolitan Statistical Area)</t>
    <phoneticPr fontId="5"/>
  </si>
  <si>
    <t>Mexico city</t>
    <phoneticPr fontId="5"/>
  </si>
  <si>
    <t>Chicago-Naperville-Elgin, IL-IN-WI (Metropolitan Statistical Area)</t>
    <phoneticPr fontId="5"/>
  </si>
  <si>
    <t>District of Columbia</t>
    <phoneticPr fontId="5"/>
  </si>
  <si>
    <t>City of New York</t>
    <phoneticPr fontId="5"/>
  </si>
  <si>
    <t>Boston-Cambridge-Newton, MA-NH (Metropolitan Statistical Area)</t>
    <phoneticPr fontId="5"/>
  </si>
  <si>
    <t>South Africa</t>
    <phoneticPr fontId="5"/>
  </si>
  <si>
    <t>Provinsi DKI Jakarta (ジャカルタ首都特別州) - 都市データ、為替レート換算</t>
    <phoneticPr fontId="5"/>
  </si>
  <si>
    <t>Dublin Regional Authority</t>
    <phoneticPr fontId="5"/>
  </si>
  <si>
    <t>Melborne Region</t>
    <phoneticPr fontId="5"/>
  </si>
  <si>
    <t>2018/2019</t>
    <phoneticPr fontId="5"/>
  </si>
  <si>
    <t>2019/2020</t>
    <phoneticPr fontId="5"/>
  </si>
  <si>
    <t>2013-2018</t>
    <phoneticPr fontId="5"/>
  </si>
  <si>
    <t>2012-2017</t>
    <phoneticPr fontId="5"/>
  </si>
  <si>
    <t>2011-2016</t>
    <phoneticPr fontId="5"/>
  </si>
  <si>
    <t>2009-2013</t>
    <phoneticPr fontId="5"/>
  </si>
  <si>
    <t>2014-2019</t>
    <phoneticPr fontId="5"/>
  </si>
  <si>
    <t>Directorate of Economics and Statistics, Planning Department, Government of Maharashtra "Economic Survey of Maharashtra"</t>
    <phoneticPr fontId="5"/>
  </si>
  <si>
    <t>Singapore Department of Statistics (DOS), Government of Singapore "National Accounts - Gross Domestic Product"</t>
    <phoneticPr fontId="5"/>
  </si>
  <si>
    <t>Census and Statistics Department, Government of the hong Kong Special Administrative Region "Hong Kong in Figures"</t>
    <phoneticPr fontId="5"/>
  </si>
  <si>
    <t>National Statistics, Republic of China (Taiwan) "國民所得統計年報"</t>
    <phoneticPr fontId="5"/>
  </si>
  <si>
    <t>Bureau of Economic Analysis, United States government "Regional Economic Accounts"</t>
    <phoneticPr fontId="5"/>
  </si>
  <si>
    <t>Mayor’s Office of Management and Budget, New York City "Quarterly Report on Current Economic Conditions"</t>
    <phoneticPr fontId="5"/>
  </si>
  <si>
    <t>Instituto Brasileiro de Geografia e Estatística, Federative Republic of Brazil "Produto Interno Bruto dos Municipios"</t>
    <phoneticPr fontId="5"/>
  </si>
  <si>
    <t>Dubai Statistic Center, Government of Dubai "Gross Domestic Product at Constant Prices  - Emirate of Dubai"</t>
    <phoneticPr fontId="5"/>
  </si>
  <si>
    <t>国 - 実質GDP(2015年ベース）の増加率</t>
    <phoneticPr fontId="5"/>
  </si>
  <si>
    <t>City of Moscow - 実質GDP成長率から、年平均成長率（CAGR）を算出。</t>
    <phoneticPr fontId="5"/>
  </si>
  <si>
    <t>Mumbai District - 直近4年間の現地通貨ベースの実質GDP（2004年度ベース）成長率</t>
    <phoneticPr fontId="5"/>
  </si>
  <si>
    <t>国 - 実質GDP(2015年ベース)の増加率</t>
    <phoneticPr fontId="5"/>
  </si>
  <si>
    <t>Beijing City - 実質GDPの対2000年比指数の、年平均成長率（CAGR）を算出。</t>
    <phoneticPr fontId="5"/>
  </si>
  <si>
    <t>Shanghai City - 実質GDPの対前年比成長率から年平均成長率（CAGR）を算出。</t>
    <phoneticPr fontId="5"/>
  </si>
  <si>
    <t>国 - 実質GDP(2016年ベース）の増加率</t>
    <phoneticPr fontId="5"/>
  </si>
  <si>
    <t>Fukuoka City - 実質GDP(2011年ベース）の増加率</t>
    <phoneticPr fontId="5"/>
  </si>
  <si>
    <t>Osaka City - 実質GDP(2011年ベース）の増加率</t>
    <phoneticPr fontId="5"/>
  </si>
  <si>
    <t>Tokyo Metropolis - 東京都実質GDP（2011年ベース）を、東京都と東京23区の従業者比率で按分した数値で増加率を算出</t>
    <phoneticPr fontId="5"/>
  </si>
  <si>
    <t>San Francisco-Oakland-Berkeley, CA  実質GDP値（2012年ベース）の増加率</t>
    <phoneticPr fontId="5"/>
  </si>
  <si>
    <t>Los Angeles-Long Beach-Anaheim, CA 実質GDP値（2012年ベース）の増加率</t>
    <phoneticPr fontId="5"/>
  </si>
  <si>
    <t>Chicago-Naperville-Elgin, IL-IN-WI 実質GDP値（2012年ベース）の増加率</t>
    <phoneticPr fontId="5"/>
  </si>
  <si>
    <t>Washington-Arlington-Alexandria, DC-VA-MD-WV 実質GDP値（2012年ベース）の増加率</t>
    <phoneticPr fontId="5"/>
  </si>
  <si>
    <t>New York City - 実質GDP（2012年ベース）の増加率</t>
    <phoneticPr fontId="5"/>
  </si>
  <si>
    <t>Boston-Cambridge-Newton, MA-NH 実質GDP値（2012年ベース）の増加率</t>
    <phoneticPr fontId="5"/>
  </si>
  <si>
    <t>Special Capital Region of Jakarta - 実質GDP（2010年ベース）の増加率</t>
    <phoneticPr fontId="5"/>
  </si>
  <si>
    <t>City of Buenos Aires - 実質GDP（2004年ベース）の増加率</t>
    <phoneticPr fontId="5"/>
  </si>
  <si>
    <t>Emirate of Dubai - 実質GDPの増加率</t>
    <phoneticPr fontId="5"/>
  </si>
  <si>
    <t>Tel Aviv Metropolitan area - 国の実質GDP､名目GDP,都市名目GDP(2015年度)から、都市実質GDPの推計値を算出し、増加率を算出。</t>
    <phoneticPr fontId="5"/>
  </si>
  <si>
    <t>Greater Melbourne - 実質GDP(2015年ベース）の増加率</t>
    <phoneticPr fontId="5"/>
  </si>
  <si>
    <t>Hong Kong</t>
    <phoneticPr fontId="5"/>
  </si>
  <si>
    <t>BMEの時価総額を各都市を含む地域GDPで按分して算出</t>
    <phoneticPr fontId="5"/>
  </si>
  <si>
    <t>20km圏内</t>
    <phoneticPr fontId="5"/>
  </si>
  <si>
    <t>Office cantonal de la statistique (OCSTAT), République et canton de Genève "Statistiques Cantonales"</t>
    <phoneticPr fontId="5"/>
  </si>
  <si>
    <t>Stadt Zürich Präsidialdepartement, Stadt Zürich "Statistik Stadt Zürich"</t>
    <phoneticPr fontId="5"/>
  </si>
  <si>
    <t>Federal State Statistics Service(Rosstat), The Ministry of Economic Development of the Russian Federation "Трудовые ресурсы"</t>
    <phoneticPr fontId="5"/>
  </si>
  <si>
    <t>Office of the Registrar General &amp; Census Commissioner, India, Ministry of Home Affairs,Government of India "Census of India 2011 - Population Enumeration Data (Final Population)"</t>
    <phoneticPr fontId="5"/>
  </si>
  <si>
    <t>Department of Statictics Malaysia, Offifial Portal, Government of Malaysia "Labour Force Survey (LFS) Time Series Statistics by State, 1982 - 2019"</t>
    <phoneticPr fontId="5"/>
  </si>
  <si>
    <t>Ministry of Manpower, Government of Singapore "Number of Employed Persons Aged Fifteen Years and Over"</t>
    <phoneticPr fontId="5"/>
  </si>
  <si>
    <t>Census and Statistics Department, The Government of the hong Kong Special Administrative Region "Employed persons by hours of work during the 7 days before enumeration and sex"</t>
    <phoneticPr fontId="5"/>
  </si>
  <si>
    <t>Department of Budget, Accounting and Statistics, Taipei City Government "Short Report on Important Statistics of Taipei City"</t>
    <phoneticPr fontId="5"/>
  </si>
  <si>
    <t>Statistics Bureau, Ministry of Internal Affairs and Communications, Government of Japan "平成26年経済センサス"</t>
    <phoneticPr fontId="5"/>
  </si>
  <si>
    <t>Australian Bureau of Statistics, Commonwealth of Australia "2016 Census QuickStats"</t>
    <phoneticPr fontId="5"/>
  </si>
  <si>
    <t>The U.S. Bureau of Economic Analysis, the United States government "CAEMP25N Total Full-Time and Part-Time Employment by NAICS Industry 1/"</t>
    <phoneticPr fontId="5"/>
  </si>
  <si>
    <t>Department Statistics South Africa, Republic of South Africa "Quarterly Labour Force Survey"</t>
    <phoneticPr fontId="5"/>
  </si>
  <si>
    <t>Dubai Statistic Center, Government of Dubai "Labour"</t>
    <phoneticPr fontId="5"/>
  </si>
  <si>
    <t>Comune di Milano</t>
    <phoneticPr fontId="5"/>
  </si>
  <si>
    <t>Stockholm City</t>
    <phoneticPr fontId="5"/>
  </si>
  <si>
    <t>W.P. Kuala Lumpur</t>
    <phoneticPr fontId="5"/>
  </si>
  <si>
    <t>Tokyo (23区)</t>
    <phoneticPr fontId="5"/>
  </si>
  <si>
    <t>City of São Paulo</t>
    <phoneticPr fontId="5"/>
  </si>
  <si>
    <t>City of Johsnnesburg</t>
    <phoneticPr fontId="5"/>
  </si>
  <si>
    <t>Helsinki City</t>
    <phoneticPr fontId="5"/>
  </si>
  <si>
    <t>Office for National Statistics, United Kingdom of Great Britain and Northern Ireland "JOBS05: Workforce jobs by region and industry"</t>
    <phoneticPr fontId="5"/>
  </si>
  <si>
    <t>the Italian National Institute of Statistics, Italian Republic "Industry Services Census"</t>
    <phoneticPr fontId="5"/>
  </si>
  <si>
    <t>Census and Statistics Department, The Government of the Hong Kong Special Administrative Region of the People's Republic of China "Hong Kong in Figures"</t>
    <phoneticPr fontId="5"/>
  </si>
  <si>
    <t>Department of Budget, Accounting and Statistics, Taipei City Government "Taipei City Statistical Yearbook"</t>
    <phoneticPr fontId="5"/>
  </si>
  <si>
    <t>Statistics Bureau, Ministry of Internal Affairs and Communications, Government of Japan "平成26年経済センサス‐基礎調査"</t>
    <phoneticPr fontId="5"/>
  </si>
  <si>
    <t>Statistics Canada, Government of Canada "Census Profile, 2016 Census"</t>
    <phoneticPr fontId="5"/>
  </si>
  <si>
    <t>Instituto Nacional de Estadística y Geografía, United Mexican States "Employed population according to sector of economic activity, quarterly national"</t>
    <phoneticPr fontId="5"/>
  </si>
  <si>
    <t>Badan Pusat Statistik, Republic of Indonesia "Sensus Ekonomi 2016 Indonesia - Banyaknya Tenaga Kerja Usaha/Perusahaan Menurut Wilayah dan Lapangan Usaha, 2016 "</t>
    <phoneticPr fontId="5"/>
  </si>
  <si>
    <t>Grater London</t>
    <phoneticPr fontId="5"/>
  </si>
  <si>
    <t>Department of Paris</t>
    <phoneticPr fontId="5"/>
  </si>
  <si>
    <t>アムステルダム市</t>
    <phoneticPr fontId="5"/>
  </si>
  <si>
    <t>ベルリン市</t>
    <phoneticPr fontId="5"/>
  </si>
  <si>
    <t>ミラノ市</t>
    <phoneticPr fontId="5"/>
  </si>
  <si>
    <t>コペンハーゲン市</t>
    <phoneticPr fontId="5"/>
  </si>
  <si>
    <t>北京市</t>
    <phoneticPr fontId="5"/>
  </si>
  <si>
    <t>上海市</t>
    <phoneticPr fontId="5"/>
  </si>
  <si>
    <t>台北市</t>
    <phoneticPr fontId="5"/>
  </si>
  <si>
    <t>福岡市</t>
    <phoneticPr fontId="5"/>
  </si>
  <si>
    <t>【推計】Tel Aviv District：イスラエル（国ベースの値）×（District/国）</t>
    <phoneticPr fontId="5"/>
  </si>
  <si>
    <t>Statistics of Japan, Japanese government "家計調査 - 1世帯当たり1か月間の収入と支出 "</t>
    <phoneticPr fontId="5"/>
  </si>
  <si>
    <t>Statistics Canada, Government of Canada "Census families by family type and family composition including before and after-tax median income of the family"</t>
    <phoneticPr fontId="5"/>
  </si>
  <si>
    <t>マドリッド市</t>
    <phoneticPr fontId="5"/>
  </si>
  <si>
    <t>バルセロナ市</t>
    <phoneticPr fontId="5"/>
  </si>
  <si>
    <t>ロンドン市（詳細無し）</t>
    <phoneticPr fontId="5"/>
  </si>
  <si>
    <t>パリ市</t>
    <phoneticPr fontId="5"/>
  </si>
  <si>
    <t>ブリュッセル市（詳細無し）</t>
    <phoneticPr fontId="5"/>
  </si>
  <si>
    <t>ジュネーブ市/Genève</t>
    <phoneticPr fontId="5"/>
  </si>
  <si>
    <t>フランクフルト市</t>
    <phoneticPr fontId="5"/>
  </si>
  <si>
    <t>チューリッヒ市</t>
    <phoneticPr fontId="5"/>
  </si>
  <si>
    <t>ウィーン市</t>
    <phoneticPr fontId="5"/>
  </si>
  <si>
    <t>ストックホルム市</t>
    <phoneticPr fontId="5"/>
  </si>
  <si>
    <t>イスタンブール市</t>
    <phoneticPr fontId="5"/>
  </si>
  <si>
    <t>カイロ市</t>
    <phoneticPr fontId="5"/>
  </si>
  <si>
    <t>モスクワ市</t>
    <phoneticPr fontId="5"/>
  </si>
  <si>
    <t>ムンバイ市</t>
    <phoneticPr fontId="5"/>
  </si>
  <si>
    <t>バンコク市</t>
    <phoneticPr fontId="5"/>
  </si>
  <si>
    <t>クアラルンプール市</t>
    <phoneticPr fontId="5"/>
  </si>
  <si>
    <t>香港</t>
    <phoneticPr fontId="5"/>
  </si>
  <si>
    <t>ソウル市</t>
    <phoneticPr fontId="5"/>
  </si>
  <si>
    <t>福岡市の勤務先収入（配偶者収入含まない）を有業員数で按分した値と東京23区のデータ比率に基づき、NY=100として算出</t>
    <phoneticPr fontId="5"/>
  </si>
  <si>
    <t>大阪市の勤務先収入（配偶者収入含まない）を有業員数で按分した値と東京23区のデータ比率に基づき、NY=100として算出</t>
    <phoneticPr fontId="5"/>
  </si>
  <si>
    <t>23区</t>
    <phoneticPr fontId="5"/>
  </si>
  <si>
    <t>シドニー</t>
    <phoneticPr fontId="5"/>
  </si>
  <si>
    <t>バンクーバー市の週平均世帯収入の値を用いて、トロントとの収入データ比率に基づき、NY=100としたときの値（UBS値）を算出した。</t>
    <phoneticPr fontId="5"/>
  </si>
  <si>
    <t>サンフランシスコ市；USセンサス局の世帯年収（中間値（Median household income）,2017）のNY市に対する同一年次の比率に基づき、NY=100として算出。</t>
    <phoneticPr fontId="5"/>
  </si>
  <si>
    <t>ロサンゼルス市</t>
    <phoneticPr fontId="5"/>
  </si>
  <si>
    <t>メキシコシティ市</t>
    <phoneticPr fontId="5"/>
  </si>
  <si>
    <t>シカゴ市</t>
    <phoneticPr fontId="5"/>
  </si>
  <si>
    <t>トロント市</t>
    <phoneticPr fontId="5"/>
  </si>
  <si>
    <t>ワシントンD.C. ；USセンサス局の世帯年収（中間値（Median household income）,2017）のNY市に対する同一年次の比率に基づき、NY=100として算出。</t>
    <phoneticPr fontId="5"/>
  </si>
  <si>
    <t>ニューヨーク市</t>
    <phoneticPr fontId="5"/>
  </si>
  <si>
    <t>ボストン市。；USセンサス局の世帯年収（中間値（Median household income）,2017）のNY市に対する同一年次の比率に基づき、NY=100として算出。</t>
    <phoneticPr fontId="5"/>
  </si>
  <si>
    <t>サンパウロ市</t>
    <phoneticPr fontId="5"/>
  </si>
  <si>
    <t>ヨハネスブルグ市</t>
    <phoneticPr fontId="5"/>
  </si>
  <si>
    <t>ジャカルタ市</t>
    <phoneticPr fontId="5"/>
  </si>
  <si>
    <t>ブエノスアイレス</t>
    <phoneticPr fontId="5"/>
  </si>
  <si>
    <t>ドバイ</t>
    <phoneticPr fontId="5"/>
  </si>
  <si>
    <t>ダブリン市</t>
    <phoneticPr fontId="5"/>
  </si>
  <si>
    <t>ヘルシンキ</t>
    <phoneticPr fontId="5"/>
  </si>
  <si>
    <t>テルアビブ市</t>
    <phoneticPr fontId="5"/>
  </si>
  <si>
    <t>大都市圏/Greater Melbourneの週平均世帯収入の値を用いて、シドニーとの収入データ比率に基づき、NY=100として算出。</t>
    <phoneticPr fontId="5"/>
  </si>
  <si>
    <t>①2020/②2020</t>
    <phoneticPr fontId="5"/>
  </si>
  <si>
    <t>国単位</t>
    <phoneticPr fontId="5"/>
  </si>
  <si>
    <t>都市単位</t>
    <phoneticPr fontId="5"/>
  </si>
  <si>
    <t>①2019/②2020</t>
    <phoneticPr fontId="5"/>
  </si>
  <si>
    <t>①国別/②国別</t>
    <phoneticPr fontId="5"/>
  </si>
  <si>
    <t>対象都市に属する国の研究者数を従業者数で按分</t>
    <phoneticPr fontId="5"/>
  </si>
  <si>
    <t>Times Higher Education "World University Rankings 2020"</t>
    <phoneticPr fontId="5"/>
  </si>
  <si>
    <t>50km圏内</t>
    <phoneticPr fontId="5"/>
  </si>
  <si>
    <t>Ministère de l'enseignement supérieur et de la recherche, French Republic "Dépenses de recherche et développement en France - Résultats détaillés pour 2017 et premières estimations pour 2018"</t>
    <phoneticPr fontId="5"/>
  </si>
  <si>
    <t>国</t>
    <phoneticPr fontId="5"/>
  </si>
  <si>
    <t>Ils-de-France</t>
    <phoneticPr fontId="5"/>
  </si>
  <si>
    <t>Intellectual Property Office, Ministry of Economic Affairs, Republic of China "Annual Statistics"</t>
    <phoneticPr fontId="5"/>
  </si>
  <si>
    <t>国を従業者按分</t>
    <phoneticPr fontId="5"/>
  </si>
  <si>
    <t>Source特殊 ""</t>
    <phoneticPr fontId="5"/>
  </si>
  <si>
    <t>①2019/②2017</t>
    <phoneticPr fontId="5"/>
  </si>
  <si>
    <t>①2019/②2018</t>
    <phoneticPr fontId="5"/>
  </si>
  <si>
    <t>①2019/②2019</t>
    <phoneticPr fontId="5"/>
  </si>
  <si>
    <t>①2019/②2015</t>
    <phoneticPr fontId="5"/>
  </si>
  <si>
    <t>①2019</t>
    <phoneticPr fontId="5"/>
  </si>
  <si>
    <t>①都市/②都市</t>
    <phoneticPr fontId="5"/>
  </si>
  <si>
    <t>①TripAdvisor LLC "Trip Advisor"/②居住者アンケート ""</t>
    <phoneticPr fontId="5"/>
  </si>
  <si>
    <t>①10km圏内/②</t>
    <phoneticPr fontId="5"/>
  </si>
  <si>
    <t>100km圏内</t>
    <phoneticPr fontId="5"/>
  </si>
  <si>
    <t>①Madrid nightlife/②都市</t>
    <phoneticPr fontId="5"/>
  </si>
  <si>
    <t>①Barcelona nightlife/②都市</t>
    <phoneticPr fontId="5"/>
  </si>
  <si>
    <t>①London nightlife/②都市</t>
    <phoneticPr fontId="5"/>
  </si>
  <si>
    <t>①Paris nightlife/②都市</t>
    <phoneticPr fontId="5"/>
  </si>
  <si>
    <t>①Brussels nightlife/②都市</t>
    <phoneticPr fontId="5"/>
  </si>
  <si>
    <t>①Amsterdam nightlife/②都市</t>
    <phoneticPr fontId="5"/>
  </si>
  <si>
    <t>①Geneva nightlife/②都市</t>
    <phoneticPr fontId="5"/>
  </si>
  <si>
    <t>①Frankfurt nightlife/②都市</t>
    <phoneticPr fontId="5"/>
  </si>
  <si>
    <t>①Berlin nightlife/②都市</t>
    <phoneticPr fontId="5"/>
  </si>
  <si>
    <t>①Milan nightlife/②都市</t>
    <phoneticPr fontId="5"/>
  </si>
  <si>
    <t>①Zurich nightlife/②都市</t>
    <phoneticPr fontId="5"/>
  </si>
  <si>
    <t>①Copenhagen nightlife/②都市</t>
    <phoneticPr fontId="5"/>
  </si>
  <si>
    <t>①Vienna nightlife/②都市</t>
    <phoneticPr fontId="5"/>
  </si>
  <si>
    <t>①Stockholm nightlife/②都市</t>
    <phoneticPr fontId="5"/>
  </si>
  <si>
    <t>①Istanbul nightlife/②都市</t>
    <phoneticPr fontId="5"/>
  </si>
  <si>
    <t>①Cairo nightlife/②都市</t>
    <phoneticPr fontId="5"/>
  </si>
  <si>
    <t>①Moscow nightlife/②都市</t>
    <phoneticPr fontId="5"/>
  </si>
  <si>
    <t>①Mumbai nightlife/②都市</t>
    <phoneticPr fontId="5"/>
  </si>
  <si>
    <t>①Bangkok nightlife/②都市</t>
    <phoneticPr fontId="5"/>
  </si>
  <si>
    <t>①Kuala Lumpur nightlife/②都市</t>
    <phoneticPr fontId="5"/>
  </si>
  <si>
    <t>①Singapore nightlife/②都市</t>
    <phoneticPr fontId="5"/>
  </si>
  <si>
    <t>①Hong Kong nightlife/②都市</t>
    <phoneticPr fontId="5"/>
  </si>
  <si>
    <t>①Beijing nightlife/②都市</t>
    <phoneticPr fontId="5"/>
  </si>
  <si>
    <t>①Shanghai nightlife/②都市</t>
    <phoneticPr fontId="5"/>
  </si>
  <si>
    <t>①Taipei nightlife/②都市</t>
    <phoneticPr fontId="5"/>
  </si>
  <si>
    <t>①Seoul nightlife/②都市</t>
    <phoneticPr fontId="5"/>
  </si>
  <si>
    <t>①Fukuoka nightlife/②都市</t>
    <phoneticPr fontId="5"/>
  </si>
  <si>
    <t>①Osaka nightlife/②都市</t>
    <phoneticPr fontId="5"/>
  </si>
  <si>
    <t>①Tokyo nightlife/②都市</t>
    <phoneticPr fontId="5"/>
  </si>
  <si>
    <t>①Sydney nightlife/②都市</t>
    <phoneticPr fontId="5"/>
  </si>
  <si>
    <t>①Vancouver nightlife/②都市</t>
    <phoneticPr fontId="5"/>
  </si>
  <si>
    <t>①San Francisco nightlife/②都市</t>
    <phoneticPr fontId="5"/>
  </si>
  <si>
    <t>①Los Angeles nightlife/②都市</t>
    <phoneticPr fontId="5"/>
  </si>
  <si>
    <t>①Mexico City nightlife/②都市</t>
    <phoneticPr fontId="5"/>
  </si>
  <si>
    <t>①Chicago nightlife/②都市</t>
    <phoneticPr fontId="5"/>
  </si>
  <si>
    <t>①Toronto nightlife/②都市</t>
    <phoneticPr fontId="5"/>
  </si>
  <si>
    <t>①Washington nightlife/②都市</t>
    <phoneticPr fontId="5"/>
  </si>
  <si>
    <t>①NYC nightlife/②都市</t>
    <phoneticPr fontId="5"/>
  </si>
  <si>
    <t>①Boston nightlife/②都市</t>
    <phoneticPr fontId="5"/>
  </si>
  <si>
    <t>①Sao Paulo nightlife/②都市</t>
    <phoneticPr fontId="5"/>
  </si>
  <si>
    <t>①Johannesburg nightlife/②都市</t>
    <phoneticPr fontId="5"/>
  </si>
  <si>
    <t>①Jakarta nightlife/②都市</t>
    <phoneticPr fontId="5"/>
  </si>
  <si>
    <t>①Buenos Aires nightlife/②都市</t>
    <phoneticPr fontId="5"/>
  </si>
  <si>
    <t>①Dubai nightlife/②都市</t>
    <phoneticPr fontId="5"/>
  </si>
  <si>
    <t>①Dublin nightlife/②都市</t>
    <phoneticPr fontId="5"/>
  </si>
  <si>
    <t>①Helsinki nightlife/②都市</t>
    <phoneticPr fontId="5"/>
  </si>
  <si>
    <t>①Tel Aviv nightlife/②都市</t>
    <phoneticPr fontId="5"/>
  </si>
  <si>
    <t>①Melbourne nightlife/②都市</t>
    <phoneticPr fontId="5"/>
  </si>
  <si>
    <t>②OpenStreetMap contributors "OpenStreetMap"/①TripAdvisor LLC "Trip Advisor"</t>
    <phoneticPr fontId="5"/>
  </si>
  <si>
    <t>De Gruyter Saur. 2020. "Museums of the World 2020". Berlin: De Gruyter. ""</t>
    <phoneticPr fontId="5"/>
  </si>
  <si>
    <t>都市</t>
    <phoneticPr fontId="5"/>
  </si>
  <si>
    <t>World Stadiums "World Stadiums"</t>
    <phoneticPr fontId="5"/>
  </si>
  <si>
    <t>都市別、website上でcityに含まれていれば、大都市圏エリアのスタジアムも数に含めるとした。</t>
    <phoneticPr fontId="5"/>
  </si>
  <si>
    <t>Hotels.com, L.P "Hotels.com"</t>
    <phoneticPr fontId="5"/>
  </si>
  <si>
    <t>10km圏内</t>
    <phoneticPr fontId="5"/>
  </si>
  <si>
    <t>①La Liste "World's Top 1000 Restaurants 2020"/②居住者アンケート ""</t>
    <phoneticPr fontId="5"/>
  </si>
  <si>
    <t>London Datastore, United Kingdom "Equality, Diversity and Inclusion Evidence Base for London"</t>
    <phoneticPr fontId="5"/>
  </si>
  <si>
    <t>Statistiska centralbyrån, Kingdom of Sweden "Foreign citizens by region, age in ten year groups and sex"</t>
    <phoneticPr fontId="5"/>
  </si>
  <si>
    <t>Office of the Registrar General &amp; Census Commissioner, India, Ministry of Home Affairs,Government of India "Population classified by place of birth and Sex - 2011"</t>
    <phoneticPr fontId="5"/>
  </si>
  <si>
    <t>Census and Statistics Department, Hong Kong Special Administrative Region of the People’s Republic of China, Hong Kong Special Administrative Region of the People’s Republic of China "2016中期人口統計"</t>
    <phoneticPr fontId="5"/>
  </si>
  <si>
    <t>Department of Budget, Accounting and Statistics, Taipei City Government "臺北市統計年報"</t>
    <phoneticPr fontId="5"/>
  </si>
  <si>
    <t>City of Johannesburg, City of Johannesburg "City of Johannesburg: 2012/16 Integrated Development Plan: 2013/14 Review"</t>
    <phoneticPr fontId="5"/>
  </si>
  <si>
    <t>Badan Pusat Statistik, Republic of Indonesia "SENSUS PENDUDUK 2010"</t>
    <phoneticPr fontId="5"/>
  </si>
  <si>
    <t>Dubai Statistics Center, Government of Dubai, Government of Dubai "Population and Vital Statistics"</t>
    <phoneticPr fontId="5"/>
  </si>
  <si>
    <t>Amsterdam, オランダ以外の国籍</t>
    <phoneticPr fontId="5"/>
  </si>
  <si>
    <t>Berlin, Foreigners</t>
    <phoneticPr fontId="5"/>
  </si>
  <si>
    <t>Stockholm Municipality, Foreign citizens</t>
    <phoneticPr fontId="5"/>
  </si>
  <si>
    <t>Istanbul province, Foreign nationals</t>
    <phoneticPr fontId="5"/>
  </si>
  <si>
    <t>Egyptの外国人居住者割合をカイロの人口に乗じて算出, (International migrants )</t>
    <phoneticPr fontId="5"/>
  </si>
  <si>
    <t>Mumbai Suburban + Mumbai, Born Outside India</t>
    <phoneticPr fontId="5"/>
  </si>
  <si>
    <t>W.P. Kuala Lumpur, non-Malaysian citizens</t>
    <phoneticPr fontId="5"/>
  </si>
  <si>
    <t>Singapore, シンガポール国籍、永住権を有していないもの、滞在が一年の半分に満たない者。</t>
    <phoneticPr fontId="5"/>
  </si>
  <si>
    <t>香港, 総人口から本籍が香港にある中国人を除外した人口</t>
    <phoneticPr fontId="5"/>
  </si>
  <si>
    <t>Beijing Munipality, Foreigners who are registered for census</t>
    <phoneticPr fontId="5"/>
  </si>
  <si>
    <t>上海市, 居留許可外国人＋永久居留外国人</t>
    <phoneticPr fontId="5"/>
  </si>
  <si>
    <t>台北市, 外橋人口</t>
    <phoneticPr fontId="5"/>
  </si>
  <si>
    <t>Seoul, Registered Foreginers</t>
    <phoneticPr fontId="5"/>
  </si>
  <si>
    <t>大阪市, 外国人住民</t>
    <phoneticPr fontId="5"/>
  </si>
  <si>
    <t>ヨハネスブルグ市 , Migration Patterns(Outside South Africa)</t>
    <phoneticPr fontId="5"/>
  </si>
  <si>
    <t>Jakarta Province , Foreginer Citizenship</t>
    <phoneticPr fontId="5"/>
  </si>
  <si>
    <t>Emirate of Dubai, Non-Emarati</t>
    <phoneticPr fontId="5"/>
  </si>
  <si>
    <t>Dublin City , Non-Irish nationals</t>
    <phoneticPr fontId="5"/>
  </si>
  <si>
    <t>HELSINKI , Total Population からFinnishを引いた値</t>
    <phoneticPr fontId="5"/>
  </si>
  <si>
    <t>【推計】Tel Aviv District</t>
    <phoneticPr fontId="5"/>
  </si>
  <si>
    <t>Russia</t>
    <phoneticPr fontId="5"/>
  </si>
  <si>
    <t>Estrada y Asociados, United Mexican States "Estrada y Asociados"</t>
    <phoneticPr fontId="5"/>
  </si>
  <si>
    <t>居住者アンケート ""</t>
    <phoneticPr fontId="5"/>
  </si>
  <si>
    <t>The Housing &amp; Development Board, Government of Singapore "Rental Statistics - Median rents by town and flat type"</t>
    <phoneticPr fontId="5"/>
  </si>
  <si>
    <t>都市別</t>
    <phoneticPr fontId="5"/>
  </si>
  <si>
    <t>Singapore(UBSにデータがないため、政府公開のデータを用いて、2009年のUBSの値に乗じた。)</t>
    <phoneticPr fontId="5"/>
  </si>
  <si>
    <t>福岡県(総務省統計局のデータにおける福岡県の金額と東京都の金額との比率を、UBS東京データの値に乗じた。)</t>
    <phoneticPr fontId="5"/>
  </si>
  <si>
    <t>バンクーバー市(CMHCのトロントの金額に対するバンクーバーの比率を、UBSのトロントデータに乗じた。)</t>
    <phoneticPr fontId="5"/>
  </si>
  <si>
    <t>メルボルン大都市圏/Greater Melbourneの週平均世帯収入の値を用いて、シドニーとの収入データ比率をUBSのシドニーデータに乗じた。</t>
    <phoneticPr fontId="5"/>
  </si>
  <si>
    <t>Statistics Bureau, Ministry of Internal Affairs and Communications, Government of Japan "10大費目別消費者物価地域差指数 (全国平均＝100) － 全国，地方，都道府県，都道府県庁所在市及び政令指定都市"</t>
    <phoneticPr fontId="5"/>
  </si>
  <si>
    <t>Statistics Canada, Government of Canada "Inter-city indexes of price differentials of consumer goods and services, annual"</t>
    <phoneticPr fontId="5"/>
  </si>
  <si>
    <t>Taipei</t>
    <phoneticPr fontId="5"/>
  </si>
  <si>
    <t>東京を基準に2018年の地域差を反映してUBS化</t>
    <phoneticPr fontId="5"/>
  </si>
  <si>
    <t xml:space="preserve">トロントを基準に2018年の地域差を範囲してUBS化。 </t>
    <phoneticPr fontId="5"/>
  </si>
  <si>
    <t>European Commission "eurostat - Intentional homicide offences in largest cities"</t>
    <phoneticPr fontId="5"/>
  </si>
  <si>
    <t>United Nations Office on Drugs and Crime(UNODC) "Victims of intentional homicide in cities, counts and rates, per 100,000 population"</t>
    <phoneticPr fontId="5"/>
  </si>
  <si>
    <t>United Nations Office on Drugs and Crime(UNODC) "Victims of Intentional homicide, rates and counts per 100,000 population"</t>
    <phoneticPr fontId="5"/>
  </si>
  <si>
    <t>Hong Kong Police Force, Government of Hong Kong SAR "Crime Statistics Comparison"</t>
    <phoneticPr fontId="5"/>
  </si>
  <si>
    <t>Shanghai Municipal Statistics Bureau, Shanghai "CRIMINAL CASES REGISTERED IN PUBLIC SECURITY ORGANS IN MAIN YEARS"</t>
    <phoneticPr fontId="5"/>
  </si>
  <si>
    <t>Korean National Police Agency "Korean Police Crime Statistics in 2019"</t>
    <phoneticPr fontId="5"/>
  </si>
  <si>
    <t>Fukuoka Prefectural Police "犯罪統計"</t>
    <phoneticPr fontId="5"/>
  </si>
  <si>
    <t>Osaka Prefectural Police "刑法犯罪種及び手口別発生市区町村別検挙件数"</t>
    <phoneticPr fontId="5"/>
  </si>
  <si>
    <t>Vancouver Police Department, City of Vancouver "Vancouver Police Department Reported Crime Incident Statistics"</t>
    <phoneticPr fontId="5"/>
  </si>
  <si>
    <t>Federal Bureau of Investigation, United States of America "Offenses Known to Law Enforcement"</t>
    <phoneticPr fontId="5"/>
  </si>
  <si>
    <t>Toronto Police Service "TPS Crime Statistics - Homicide"</t>
    <phoneticPr fontId="5"/>
  </si>
  <si>
    <t>South African Police Service "CRIME STATISTICS"</t>
    <phoneticPr fontId="5"/>
  </si>
  <si>
    <t>Madrid city</t>
    <phoneticPr fontId="5"/>
  </si>
  <si>
    <t>国（Spain）</t>
    <phoneticPr fontId="5"/>
  </si>
  <si>
    <t>London city</t>
    <phoneticPr fontId="5"/>
  </si>
  <si>
    <t>Paris city</t>
    <phoneticPr fontId="5"/>
  </si>
  <si>
    <t>Brussels city</t>
    <phoneticPr fontId="5"/>
  </si>
  <si>
    <t>Amsterdam city</t>
    <phoneticPr fontId="5"/>
  </si>
  <si>
    <t>Geneva city</t>
    <phoneticPr fontId="5"/>
  </si>
  <si>
    <t>Berlin city</t>
    <phoneticPr fontId="5"/>
  </si>
  <si>
    <t>Zurich city</t>
    <phoneticPr fontId="5"/>
  </si>
  <si>
    <t>Copenhagen city</t>
    <phoneticPr fontId="5"/>
  </si>
  <si>
    <t>Vienna city</t>
    <phoneticPr fontId="5"/>
  </si>
  <si>
    <t>国（Turkey）</t>
    <phoneticPr fontId="5"/>
  </si>
  <si>
    <t>Cairo city</t>
    <phoneticPr fontId="5"/>
  </si>
  <si>
    <t>Moscow city</t>
    <phoneticPr fontId="5"/>
  </si>
  <si>
    <t>Greater Mumbai</t>
    <phoneticPr fontId="5"/>
  </si>
  <si>
    <t>国（Malaysia）</t>
    <phoneticPr fontId="5"/>
  </si>
  <si>
    <t>国（Singapore）</t>
    <phoneticPr fontId="5"/>
  </si>
  <si>
    <t>国 (China)</t>
    <phoneticPr fontId="5"/>
  </si>
  <si>
    <t>San Francisco city</t>
    <phoneticPr fontId="5"/>
  </si>
  <si>
    <t>Los Angeles city</t>
    <phoneticPr fontId="5"/>
  </si>
  <si>
    <t>Chicago city</t>
    <phoneticPr fontId="5"/>
  </si>
  <si>
    <t>New York city</t>
    <phoneticPr fontId="5"/>
  </si>
  <si>
    <t>Boston city</t>
    <phoneticPr fontId="5"/>
  </si>
  <si>
    <t>州（Gauteng Province）</t>
    <phoneticPr fontId="5"/>
  </si>
  <si>
    <t>Buenos Aires city</t>
    <phoneticPr fontId="5"/>
  </si>
  <si>
    <t>国（United Arab Emirates）</t>
    <phoneticPr fontId="5"/>
  </si>
  <si>
    <t>国（Ireland）</t>
    <phoneticPr fontId="5"/>
  </si>
  <si>
    <t>Helsinki city</t>
    <phoneticPr fontId="5"/>
  </si>
  <si>
    <t>国（Israel）</t>
    <phoneticPr fontId="5"/>
  </si>
  <si>
    <t>Greater Melbourn</t>
    <phoneticPr fontId="5"/>
  </si>
  <si>
    <t>都市、エリア範囲記載なし</t>
    <phoneticPr fontId="5"/>
  </si>
  <si>
    <t>①国別/②国別/③国別/④国別</t>
    <phoneticPr fontId="5"/>
  </si>
  <si>
    <t>①Hong Kong/②Hong Kong/③Hong Kong/④China</t>
    <phoneticPr fontId="5"/>
  </si>
  <si>
    <t>①Taiwan/②Taiwan/③Taiwan/④China</t>
    <phoneticPr fontId="5"/>
  </si>
  <si>
    <t>①2018/②2018</t>
    <phoneticPr fontId="5"/>
  </si>
  <si>
    <t>①Hong Kong/②Hong Kong</t>
    <phoneticPr fontId="5"/>
  </si>
  <si>
    <t>①Taiwan/②Taiwan</t>
    <phoneticPr fontId="5"/>
  </si>
  <si>
    <t>①2018</t>
    <phoneticPr fontId="5"/>
  </si>
  <si>
    <t>①2015</t>
    <phoneticPr fontId="5"/>
  </si>
  <si>
    <t>①2016</t>
    <phoneticPr fontId="5"/>
  </si>
  <si>
    <t>①2017/②2017</t>
    <phoneticPr fontId="5"/>
  </si>
  <si>
    <t>①2017</t>
    <phoneticPr fontId="5"/>
  </si>
  <si>
    <t>①Department of Budget, Accounting and Statistics,, Taipei City Government "台北市統計年報"</t>
    <phoneticPr fontId="5"/>
  </si>
  <si>
    <t>①国別（従業者按分）/②国別（従業者按分）</t>
    <phoneticPr fontId="5"/>
  </si>
  <si>
    <t>①国別（従業者按分）</t>
    <phoneticPr fontId="5"/>
  </si>
  <si>
    <t>①Hong Kong</t>
    <phoneticPr fontId="5"/>
  </si>
  <si>
    <t>①台北市</t>
    <phoneticPr fontId="5"/>
  </si>
  <si>
    <t>①OpenStreetMap contributors "OpenStreetMap"/②居住者アンケート ""</t>
    <phoneticPr fontId="5"/>
  </si>
  <si>
    <t>2018/2016</t>
    <phoneticPr fontId="5"/>
  </si>
  <si>
    <t>2018/2015</t>
    <phoneticPr fontId="5"/>
  </si>
  <si>
    <t>/2012</t>
    <phoneticPr fontId="5"/>
  </si>
  <si>
    <t>/2017</t>
    <phoneticPr fontId="5"/>
  </si>
  <si>
    <t>/2015</t>
    <phoneticPr fontId="5"/>
  </si>
  <si>
    <t>2017/2015</t>
    <phoneticPr fontId="5"/>
  </si>
  <si>
    <t>2012/2012</t>
    <phoneticPr fontId="5"/>
  </si>
  <si>
    <t>2000/2015</t>
    <phoneticPr fontId="5"/>
  </si>
  <si>
    <t>Maharashtra Pollution Control Board , Government of Maharashtra "Status of Municipal Solid Waste Management in Municipal Corporations (Maharashtra)"</t>
    <phoneticPr fontId="5"/>
  </si>
  <si>
    <t>Shanghai Landscaping &amp; City Appearance Administrative Bureau, Shanghai Forestry Bureau, Shanghai City "新闻发布会 "垃圾分类一年“成绩单”亮相发布会！各区测评得分均超92分" （2020年07月03日）"</t>
    <phoneticPr fontId="5"/>
  </si>
  <si>
    <t>Environment Protection Administration, Republic of China (Taiwan) "Solid Waste Statistics, "Generation and Treatment of Municipal Waste""</t>
    <phoneticPr fontId="5"/>
  </si>
  <si>
    <t>Bureau of Environment, Tokyo Metropolitan Government "東京都区市町村清掃事業年報 (平成29年度実績)"</t>
    <phoneticPr fontId="5"/>
  </si>
  <si>
    <t>Department Environmental Affairs, Republic of South Africa "South Africa State of Waste Report"</t>
    <phoneticPr fontId="5"/>
  </si>
  <si>
    <t>International Trade Administration, U.S. Department of Commerce, United State of America "2019 Top Markets Report: Environmental Technologies"</t>
    <phoneticPr fontId="5"/>
  </si>
  <si>
    <t>国別/国別</t>
    <phoneticPr fontId="5"/>
  </si>
  <si>
    <t>/国別</t>
    <phoneticPr fontId="5"/>
  </si>
  <si>
    <t>東京都</t>
    <phoneticPr fontId="5"/>
  </si>
  <si>
    <t>Indonesia in urban areas</t>
    <phoneticPr fontId="5"/>
  </si>
  <si>
    <t>Buenos Aires</t>
    <phoneticPr fontId="5"/>
  </si>
  <si>
    <t>①都市</t>
    <phoneticPr fontId="5"/>
  </si>
  <si>
    <t>/②都市</t>
    <phoneticPr fontId="5"/>
  </si>
  <si>
    <t>Numbeo "Pollution"</t>
    <phoneticPr fontId="5"/>
  </si>
  <si>
    <t>Raspisaniye Pogodi Ltd. "Weather in the World"</t>
    <phoneticPr fontId="5"/>
  </si>
  <si>
    <t>Madrid / Barajas (airport)</t>
    <phoneticPr fontId="5"/>
  </si>
  <si>
    <t>Barcelona (airport)</t>
    <phoneticPr fontId="5"/>
  </si>
  <si>
    <t>London / Heathrow (airport)</t>
    <phoneticPr fontId="5"/>
  </si>
  <si>
    <t>Paris / Charles-de-Gaulle (airport)</t>
    <phoneticPr fontId="5"/>
  </si>
  <si>
    <t>Brussels (airport)</t>
    <phoneticPr fontId="5"/>
  </si>
  <si>
    <t>Amsterdam (airport)</t>
    <phoneticPr fontId="5"/>
  </si>
  <si>
    <t>Geneva (airport)</t>
    <phoneticPr fontId="5"/>
  </si>
  <si>
    <t>Frankfurt am Main (airport)</t>
    <phoneticPr fontId="5"/>
  </si>
  <si>
    <t>Milan (airport)</t>
    <phoneticPr fontId="5"/>
  </si>
  <si>
    <t>Copenhagen / Kastrup (airport)</t>
    <phoneticPr fontId="5"/>
  </si>
  <si>
    <t>Vienna (airport)</t>
    <phoneticPr fontId="5"/>
  </si>
  <si>
    <t>Stockholm / Arlanda (airport)</t>
    <phoneticPr fontId="5"/>
  </si>
  <si>
    <t>Cairo (airport)</t>
    <phoneticPr fontId="5"/>
  </si>
  <si>
    <t>Mumbai / Santacruz (airport)</t>
    <phoneticPr fontId="5"/>
  </si>
  <si>
    <t>Bangkok / Suvarnabhumi (airport)</t>
    <phoneticPr fontId="5"/>
  </si>
  <si>
    <t>Kuala Lumpur (airport)</t>
    <phoneticPr fontId="5"/>
  </si>
  <si>
    <t>Singapore (airport)</t>
    <phoneticPr fontId="5"/>
  </si>
  <si>
    <t>Hong Kong (airport)</t>
    <phoneticPr fontId="5"/>
  </si>
  <si>
    <t>Seoul (weather station)</t>
    <phoneticPr fontId="5"/>
  </si>
  <si>
    <t>Sydney (airport)</t>
    <phoneticPr fontId="5"/>
  </si>
  <si>
    <t>Vancouver (airport)</t>
    <phoneticPr fontId="5"/>
  </si>
  <si>
    <t>San Francisco (airport)</t>
    <phoneticPr fontId="5"/>
  </si>
  <si>
    <t>Los Angeles (airport)</t>
    <phoneticPr fontId="5"/>
  </si>
  <si>
    <t>Chicago / O'Hare (airport)</t>
    <phoneticPr fontId="5"/>
  </si>
  <si>
    <t>Toronto Pearson (airport)</t>
    <phoneticPr fontId="5"/>
  </si>
  <si>
    <t>Washington / Dulles (airport)</t>
    <phoneticPr fontId="5"/>
  </si>
  <si>
    <t>New York / La Guardia (airport)</t>
    <phoneticPr fontId="5"/>
  </si>
  <si>
    <t>East Boston (airport)</t>
    <phoneticPr fontId="5"/>
  </si>
  <si>
    <t>Sao Paulo (airport)</t>
    <phoneticPr fontId="5"/>
  </si>
  <si>
    <t>Jakarta / Soekarno-Hatta (airport)</t>
    <phoneticPr fontId="5"/>
  </si>
  <si>
    <t>Buenos Aires (airport)</t>
    <phoneticPr fontId="5"/>
  </si>
  <si>
    <t>Dubai (airport)</t>
    <phoneticPr fontId="5"/>
  </si>
  <si>
    <t>Dublin (airport)</t>
    <phoneticPr fontId="5"/>
  </si>
  <si>
    <t>Helsinki / Vantaa (airport)</t>
    <phoneticPr fontId="5"/>
  </si>
  <si>
    <t>Tel Aviv / Ben-Gurion (airport)</t>
    <phoneticPr fontId="5"/>
  </si>
  <si>
    <t>Melbourne (airport)</t>
    <phoneticPr fontId="5"/>
  </si>
  <si>
    <t>OAG "OAG Analyser"</t>
    <phoneticPr fontId="5"/>
  </si>
  <si>
    <t>OpenStreetMap contributors "OpenStreetMap"</t>
    <phoneticPr fontId="5"/>
  </si>
  <si>
    <t>①2020</t>
    <phoneticPr fontId="5"/>
  </si>
  <si>
    <t>Google Maps "Google Maps"</t>
    <phoneticPr fontId="5"/>
  </si>
  <si>
    <t>バラハス・アドルフォ・スアレス空港</t>
    <phoneticPr fontId="5"/>
  </si>
  <si>
    <t>バルセロナ・エル・プラット国際空港</t>
    <phoneticPr fontId="5"/>
  </si>
  <si>
    <t>ロンドン・シティ空港
ロンドン・ガドウィック空港
ヒースロー空港
ロンドン・ルートン空港
ロンドン・スタンステッド空港
ロンドン・サウスエンド空港</t>
    <phoneticPr fontId="5"/>
  </si>
  <si>
    <t>シャルル・ド・ゴール空港
オルリー空港
パリ・ボーヴェ・ティレ空港</t>
    <phoneticPr fontId="5"/>
  </si>
  <si>
    <t>ブリュッセル国際空港
ブリュッセル・サウスシャルルロワ空港</t>
    <phoneticPr fontId="5"/>
  </si>
  <si>
    <t>スキポール空港</t>
    <phoneticPr fontId="5"/>
  </si>
  <si>
    <t>ジュネーヴ・コアントラン国際空港</t>
    <phoneticPr fontId="5"/>
  </si>
  <si>
    <t>フランクフルト・アム・マイン空港
フランクフルト＝ハーン空港</t>
    <phoneticPr fontId="5"/>
  </si>
  <si>
    <t>シェーネフェルト国際空港
テーゲル国際空港</t>
    <phoneticPr fontId="5"/>
  </si>
  <si>
    <t>ミラノ・マルペンサ国際空港
ミラノ・リナーテ国際空港
オーリオ・アル・セリオ国際空港</t>
    <phoneticPr fontId="5"/>
  </si>
  <si>
    <t>チューリッヒ国際空港</t>
    <phoneticPr fontId="5"/>
  </si>
  <si>
    <t>カストルップ国際空港</t>
    <phoneticPr fontId="5"/>
  </si>
  <si>
    <t>ウィーン国際空港</t>
    <phoneticPr fontId="5"/>
  </si>
  <si>
    <t>ストックホルム・アーランダ空港
ストックホルム・スカブスタ空港</t>
    <phoneticPr fontId="5"/>
  </si>
  <si>
    <t>アタテュルク国際空港（2019年4月6日に旅客便の運航を終えイスタンブール新空港へ移転）
サビハギョクチェン空港
イスタンブール新空港</t>
    <phoneticPr fontId="5"/>
  </si>
  <si>
    <t>カイロ国際空港</t>
    <phoneticPr fontId="5"/>
  </si>
  <si>
    <t>シェレメーチエヴォ国際空港
ドモジェドヴォ空港
ヴヌーコヴォ国際空港</t>
    <phoneticPr fontId="5"/>
  </si>
  <si>
    <t>チャトラパティ・シヴァジー国際空港</t>
    <phoneticPr fontId="5"/>
  </si>
  <si>
    <t>スワンナプーム国際空港
ドンムアン空港</t>
    <phoneticPr fontId="5"/>
  </si>
  <si>
    <t>クアラルンプール国際空港</t>
    <phoneticPr fontId="5"/>
  </si>
  <si>
    <t>チャンギ国際空港</t>
    <phoneticPr fontId="5"/>
  </si>
  <si>
    <t>香港国際空港</t>
    <phoneticPr fontId="5"/>
  </si>
  <si>
    <t>北京首都国際空港</t>
    <phoneticPr fontId="5"/>
  </si>
  <si>
    <t>上海浦東国際空港
上海虹橋国際空港</t>
    <phoneticPr fontId="5"/>
  </si>
  <si>
    <t>台湾桃園国際空港
台北松山空港</t>
    <phoneticPr fontId="5"/>
  </si>
  <si>
    <t>金浦国際空港
仁川国際空港</t>
    <phoneticPr fontId="5"/>
  </si>
  <si>
    <t>福岡国際空港</t>
    <phoneticPr fontId="5"/>
  </si>
  <si>
    <t>関西国際空港</t>
    <phoneticPr fontId="5"/>
  </si>
  <si>
    <t>成田国際空港
東京国際空港</t>
    <phoneticPr fontId="5"/>
  </si>
  <si>
    <t>キングスフォード・スミス国際空港</t>
    <phoneticPr fontId="5"/>
  </si>
  <si>
    <t>バンクーバー国際空港</t>
    <phoneticPr fontId="5"/>
  </si>
  <si>
    <t>サンフランシスコ国際空港</t>
    <phoneticPr fontId="5"/>
  </si>
  <si>
    <t>ロサンゼルス国際空港</t>
    <phoneticPr fontId="5"/>
  </si>
  <si>
    <t>メキシコシティ国際空港</t>
    <phoneticPr fontId="5"/>
  </si>
  <si>
    <t>オヘア国際空港</t>
    <phoneticPr fontId="5"/>
  </si>
  <si>
    <t>トロント・ピアソン国際空港</t>
    <phoneticPr fontId="5"/>
  </si>
  <si>
    <t>ワシントン・ダレス国際空港
ボルチモア・ワシントン国際空港</t>
    <phoneticPr fontId="5"/>
  </si>
  <si>
    <t>J.F.ケネディ空港
ラガーディア空港
ニューアーク・リバティー国際空港</t>
    <phoneticPr fontId="5"/>
  </si>
  <si>
    <t>ローガン国際空港</t>
    <phoneticPr fontId="5"/>
  </si>
  <si>
    <t>グアルーリョス国際空港</t>
    <phoneticPr fontId="5"/>
  </si>
  <si>
    <t>O・R・タンボ国際空港（ヨハネスブルグ国際空港）</t>
    <phoneticPr fontId="5"/>
  </si>
  <si>
    <t>スカルノ・ハッタ国際空港</t>
    <phoneticPr fontId="5"/>
  </si>
  <si>
    <t>ミニストロ・ピスタリーニ国際空港（エセイサ国際空港）</t>
    <phoneticPr fontId="5"/>
  </si>
  <si>
    <t>ドバイ国際空港
アール・マクトゥーム国際空港</t>
    <phoneticPr fontId="5"/>
  </si>
  <si>
    <t>ダブリン空港</t>
    <phoneticPr fontId="5"/>
  </si>
  <si>
    <t>ヘルシンキ・ヴァンター国際空港</t>
    <phoneticPr fontId="5"/>
  </si>
  <si>
    <t>ベン・グリオン国際空港</t>
    <phoneticPr fontId="5"/>
  </si>
  <si>
    <t>メルボルン空港</t>
    <phoneticPr fontId="5"/>
  </si>
  <si>
    <t>①2017/②2020</t>
    <phoneticPr fontId="5"/>
  </si>
  <si>
    <t>①Ministry of Internal Affairs and Communications, Government of Japan "平成25年住宅・土地統計"/②居住者アンケート ""</t>
    <phoneticPr fontId="5"/>
  </si>
  <si>
    <t>①都市/②</t>
    <phoneticPr fontId="5"/>
  </si>
  <si>
    <t>①福岡市/②</t>
    <phoneticPr fontId="5"/>
  </si>
  <si>
    <t>①大阪市/②</t>
    <phoneticPr fontId="5"/>
  </si>
  <si>
    <t>Ministry of Land, Infrastructure, Transport and Tourism, Government of Japan "平成27年度 全国道路・街路交通情勢調査"</t>
    <phoneticPr fontId="5"/>
  </si>
  <si>
    <t>Frankfurt am Main</t>
    <phoneticPr fontId="5"/>
  </si>
  <si>
    <t>Moscow region (oblast)</t>
    <phoneticPr fontId="5"/>
  </si>
  <si>
    <t>Seoul</t>
    <phoneticPr fontId="5"/>
  </si>
  <si>
    <t>Washington</t>
    <phoneticPr fontId="5"/>
  </si>
  <si>
    <t>Madrid/Madrid</t>
    <phoneticPr fontId="5"/>
  </si>
  <si>
    <t>Barcelona/Barcelona</t>
    <phoneticPr fontId="5"/>
  </si>
  <si>
    <t>London/London</t>
    <phoneticPr fontId="5"/>
  </si>
  <si>
    <t>Paris/Paris</t>
    <phoneticPr fontId="5"/>
  </si>
  <si>
    <t>Brussels/Brussels</t>
    <phoneticPr fontId="5"/>
  </si>
  <si>
    <t>Amsterdam/Amsterdam</t>
    <phoneticPr fontId="5"/>
  </si>
  <si>
    <t>Geneva/Geneva</t>
    <phoneticPr fontId="5"/>
  </si>
  <si>
    <t>Frankfurt/Frankfurt</t>
    <phoneticPr fontId="5"/>
  </si>
  <si>
    <t>Berlin/Berlin</t>
    <phoneticPr fontId="5"/>
  </si>
  <si>
    <t>Milan/Milan</t>
    <phoneticPr fontId="5"/>
  </si>
  <si>
    <t>Zurich/Zurich</t>
    <phoneticPr fontId="5"/>
  </si>
  <si>
    <t>Copenhagen/Copenhagen</t>
    <phoneticPr fontId="5"/>
  </si>
  <si>
    <t>Vienna/Vienna</t>
    <phoneticPr fontId="5"/>
  </si>
  <si>
    <t>Stockholm/Stockholm</t>
    <phoneticPr fontId="5"/>
  </si>
  <si>
    <t>Istanbul/Istanbul</t>
    <phoneticPr fontId="5"/>
  </si>
  <si>
    <t>Cairo/Cairo</t>
    <phoneticPr fontId="5"/>
  </si>
  <si>
    <t>Moscow region (oblast)/Moscow</t>
    <phoneticPr fontId="5"/>
  </si>
  <si>
    <t>Mumbai/Mumbai</t>
    <phoneticPr fontId="5"/>
  </si>
  <si>
    <t>Bangkok/Bangkok</t>
    <phoneticPr fontId="5"/>
  </si>
  <si>
    <t>Kuala Lumpur/Kuala Lumpur</t>
    <phoneticPr fontId="5"/>
  </si>
  <si>
    <t>Singapore/Singapore</t>
    <phoneticPr fontId="5"/>
  </si>
  <si>
    <t>Hong Kong/Hong Kong</t>
    <phoneticPr fontId="5"/>
  </si>
  <si>
    <t>Beijing/Beijing</t>
    <phoneticPr fontId="5"/>
  </si>
  <si>
    <t>Shanghai/Shanghai</t>
    <phoneticPr fontId="5"/>
  </si>
  <si>
    <t>Taipei/Taipei</t>
    <phoneticPr fontId="5"/>
  </si>
  <si>
    <t>Seoul/Seoul</t>
    <phoneticPr fontId="5"/>
  </si>
  <si>
    <t>Tokyo/Tokyo</t>
    <phoneticPr fontId="5"/>
  </si>
  <si>
    <t>Sydney/Sydney</t>
    <phoneticPr fontId="5"/>
  </si>
  <si>
    <t>San Francisco/San Francisco</t>
    <phoneticPr fontId="5"/>
  </si>
  <si>
    <t>Los Angeles/Los Angeles</t>
    <phoneticPr fontId="5"/>
  </si>
  <si>
    <t>Mexico City/Mexico City</t>
    <phoneticPr fontId="5"/>
  </si>
  <si>
    <t>Chicago/Chicago</t>
    <phoneticPr fontId="5"/>
  </si>
  <si>
    <t>Toronto/Toronto</t>
    <phoneticPr fontId="5"/>
  </si>
  <si>
    <t>Washington/Washington, DC</t>
    <phoneticPr fontId="5"/>
  </si>
  <si>
    <t>New York/New York</t>
    <phoneticPr fontId="5"/>
  </si>
  <si>
    <t>Boston/Boston</t>
    <phoneticPr fontId="5"/>
  </si>
  <si>
    <t>São Paulo/Sao Paulo</t>
    <phoneticPr fontId="5"/>
  </si>
  <si>
    <t>Johannesburg/Johannesburg</t>
    <phoneticPr fontId="5"/>
  </si>
  <si>
    <t>Jakarta/Jakarta</t>
    <phoneticPr fontId="5"/>
  </si>
  <si>
    <t>Buenos Aires/Buenos Aires</t>
    <phoneticPr fontId="5"/>
  </si>
  <si>
    <t>Dubai/Dubai</t>
    <phoneticPr fontId="5"/>
  </si>
  <si>
    <t>Dublin/Dublin</t>
    <phoneticPr fontId="5"/>
  </si>
  <si>
    <t>Helsinki/Helsinki</t>
    <phoneticPr fontId="5"/>
  </si>
  <si>
    <t>Tel Aviv/Tel Aviv</t>
    <phoneticPr fontId="5"/>
  </si>
  <si>
    <t>Melbourne/Melbourne</t>
    <phoneticPr fontId="5"/>
  </si>
  <si>
    <t>▼ここから下はマクロ実行のたびにリセットされます。</t>
    <rPh sb="5" eb="6">
      <t>シタ</t>
    </rPh>
    <rPh sb="10" eb="12">
      <t>ジッコウ</t>
    </rPh>
    <phoneticPr fontId="5"/>
  </si>
  <si>
    <t>▼③掲載都市を決めたらクリック</t>
    <phoneticPr fontId="5"/>
  </si>
  <si>
    <t>注意事項</t>
    <rPh sb="0" eb="2">
      <t>チュウイ</t>
    </rPh>
    <rPh sb="2" eb="4">
      <t>ジコウ</t>
    </rPh>
    <phoneticPr fontId="5"/>
  </si>
  <si>
    <t>・式は消さない</t>
    <rPh sb="1" eb="2">
      <t>シキ</t>
    </rPh>
    <rPh sb="3" eb="4">
      <t>ケ</t>
    </rPh>
    <phoneticPr fontId="5"/>
  </si>
  <si>
    <t>・上表、右表は黄色部分だけ編集</t>
    <rPh sb="1" eb="2">
      <t>ウエ</t>
    </rPh>
    <rPh sb="2" eb="3">
      <t>ヒョウ</t>
    </rPh>
    <rPh sb="4" eb="5">
      <t>ミギ</t>
    </rPh>
    <rPh sb="5" eb="6">
      <t>ヒョウ</t>
    </rPh>
    <rPh sb="7" eb="9">
      <t>キイロ</t>
    </rPh>
    <rPh sb="9" eb="11">
      <t>ブブン</t>
    </rPh>
    <rPh sb="13" eb="15">
      <t>ヘンシュウ</t>
    </rPh>
    <phoneticPr fontId="5"/>
  </si>
  <si>
    <t>・使わない行は消さない</t>
    <rPh sb="1" eb="2">
      <t>ツカ</t>
    </rPh>
    <rPh sb="5" eb="6">
      <t>ギョウ</t>
    </rPh>
    <rPh sb="7" eb="8">
      <t>ケ</t>
    </rPh>
    <phoneticPr fontId="5"/>
  </si>
  <si>
    <r>
      <t>▼</t>
    </r>
    <r>
      <rPr>
        <b/>
        <sz val="9"/>
        <rFont val="游ゴシック"/>
        <family val="3"/>
        <charset val="128"/>
      </rPr>
      <t>スコアグラフのサンプル</t>
    </r>
    <phoneticPr fontId="5"/>
  </si>
  <si>
    <r>
      <t>▼</t>
    </r>
    <r>
      <rPr>
        <b/>
        <sz val="9"/>
        <rFont val="游ゴシック"/>
        <family val="3"/>
        <charset val="128"/>
      </rPr>
      <t>生データグラフのサンプル</t>
    </r>
    <rPh sb="1" eb="2">
      <t>ナマ</t>
    </rPh>
    <phoneticPr fontId="5"/>
  </si>
  <si>
    <t>Yearly Average Exchange Rates for Converting Foreign Currencies into U.S. Dollars</t>
  </si>
  <si>
    <t>以下のシートには、対応するマクロがあります。</t>
    <rPh sb="0" eb="2">
      <t>イカ</t>
    </rPh>
    <rPh sb="9" eb="11">
      <t>タイオウ</t>
    </rPh>
    <phoneticPr fontId="5"/>
  </si>
  <si>
    <t>「コメント収集」</t>
    <rPh sb="5" eb="7">
      <t>シュウシュウ</t>
    </rPh>
    <phoneticPr fontId="5"/>
  </si>
  <si>
    <t>各指標ファイルの「Source」シートから年次・出典・範囲を集めてきます。</t>
    <rPh sb="0" eb="3">
      <t>カクシヒョウ</t>
    </rPh>
    <rPh sb="21" eb="23">
      <t>ネンジ</t>
    </rPh>
    <rPh sb="24" eb="26">
      <t>シュッテン</t>
    </rPh>
    <rPh sb="27" eb="29">
      <t>ハンイ</t>
    </rPh>
    <rPh sb="30" eb="31">
      <t>アツ</t>
    </rPh>
    <phoneticPr fontId="5"/>
  </si>
  <si>
    <t>対象都市の人口。</t>
    <phoneticPr fontId="5"/>
  </si>
  <si>
    <t>Population of the target city.</t>
    <phoneticPr fontId="5"/>
  </si>
  <si>
    <t>対象都市の面積。</t>
    <rPh sb="5" eb="7">
      <t>メンセキ</t>
    </rPh>
    <phoneticPr fontId="5"/>
  </si>
  <si>
    <t>Area of the target city.</t>
    <phoneticPr fontId="5"/>
  </si>
  <si>
    <t>各暦年の1米ドルあたりの年間平均外国為替レート</t>
    <rPh sb="0" eb="1">
      <t>カク</t>
    </rPh>
    <rPh sb="1" eb="3">
      <t>レキネン</t>
    </rPh>
    <rPh sb="5" eb="6">
      <t>ベイ</t>
    </rPh>
    <rPh sb="12" eb="14">
      <t>ネンカン</t>
    </rPh>
    <rPh sb="14" eb="16">
      <t>ヘイキン</t>
    </rPh>
    <rPh sb="16" eb="18">
      <t>ガイコク</t>
    </rPh>
    <rPh sb="18" eb="20">
      <t>カワセ</t>
    </rPh>
    <phoneticPr fontId="39"/>
  </si>
  <si>
    <t>対象都市の名目GDP。</t>
    <phoneticPr fontId="5"/>
  </si>
  <si>
    <t>Nominal GDP of the target city.</t>
    <phoneticPr fontId="5"/>
  </si>
  <si>
    <t>対象都市の人口1人あたりの名目GDP。</t>
    <phoneticPr fontId="5"/>
  </si>
  <si>
    <t>Nominal GDP per capita of the target city.</t>
    <phoneticPr fontId="5"/>
  </si>
  <si>
    <t>対象都市における実質GDPの直近5年間の年平均成長率。</t>
    <phoneticPr fontId="5"/>
  </si>
  <si>
    <t>Compound Annual Growth Rate (CAGR) of real GDP for the target city for the last 5 years.</t>
    <phoneticPr fontId="5"/>
  </si>
  <si>
    <t>Heritage Foundationの"Index of Economic Freedom"における対象都市が属する国のスコア。</t>
    <phoneticPr fontId="5"/>
  </si>
  <si>
    <t>Score of the country of the target city in the Heritage Foundation’s "Index of Economic Freedom".</t>
    <phoneticPr fontId="5"/>
  </si>
  <si>
    <t>World Federation of Exchangesの"Domestic Market Capitalization"における対象都市に立地する取引所の国内時価総額。</t>
    <phoneticPr fontId="5"/>
  </si>
  <si>
    <t>Aggregate domestic market capitalization for the stock exchanges located in the target city from World Federation of Exchanges' "Domestic Market Capitalization".</t>
    <phoneticPr fontId="5"/>
  </si>
  <si>
    <r>
      <t>Fortuneの"Fortune Global 500"でランクインした企業のうち、対象都市に立地する企業を</t>
    </r>
    <r>
      <rPr>
        <sz val="9"/>
        <color rgb="FFFF0000"/>
        <rFont val="游ゴシック"/>
        <family val="3"/>
        <charset val="128"/>
      </rPr>
      <t>総売上高に</t>
    </r>
    <r>
      <rPr>
        <sz val="9"/>
        <rFont val="游ゴシック"/>
        <family val="2"/>
        <charset val="128"/>
      </rPr>
      <t>応じて点数化したスコア。</t>
    </r>
    <rPh sb="54" eb="55">
      <t>ソウ</t>
    </rPh>
    <rPh sb="55" eb="56">
      <t>ウ</t>
    </rPh>
    <rPh sb="56" eb="57">
      <t>ア</t>
    </rPh>
    <rPh sb="57" eb="58">
      <t>タカ</t>
    </rPh>
    <phoneticPr fontId="5"/>
  </si>
  <si>
    <r>
      <t xml:space="preserve">Total score (determined by </t>
    </r>
    <r>
      <rPr>
        <sz val="9"/>
        <color rgb="FFFF0000"/>
        <rFont val="游ゴシック"/>
        <family val="3"/>
        <charset val="128"/>
      </rPr>
      <t>Revenue</t>
    </r>
    <r>
      <rPr>
        <sz val="9"/>
        <rFont val="游ゴシック"/>
        <family val="2"/>
        <charset val="128"/>
      </rPr>
      <t>) of companies located in the target city that feature in Fortune's "Fortune Global 500".</t>
    </r>
    <phoneticPr fontId="5"/>
  </si>
  <si>
    <t>対象都市の従業者数。</t>
    <phoneticPr fontId="5"/>
  </si>
  <si>
    <t>Total employment in the target city.</t>
    <phoneticPr fontId="5"/>
  </si>
  <si>
    <t>対象都市におけるビジネスサポート業種(金融、保険、不動産、事務、科学技術などの各種サービス業)の従業者数の対象都市の従業者数に対する割合。</t>
    <phoneticPr fontId="5"/>
  </si>
  <si>
    <t>Percentage of employees in the target city working in industries such as finance, insurance services, real estate services, professional services, business services, and science and technology services.</t>
    <phoneticPr fontId="5"/>
  </si>
  <si>
    <t>UBSの"Prices and Earnings"における対象都市の賃金水準(税引前の年間総収入)のニューヨークを100としたときの値。</t>
    <phoneticPr fontId="5"/>
  </si>
  <si>
    <t>Wage level (gross annual salary, with New York indexed as 100) of the target city given in UBS' "Prices and Earnings".</t>
    <phoneticPr fontId="5"/>
  </si>
  <si>
    <r>
      <t>以下のデータを指数化したものの平均値：①INSEADの"Global Talent Competitiveness Index"における対象都市が属する国の優秀な人材確保の容易性に関する9指標の平均スコア、②INSEADの"Global Talent Competitiveness Index - City and Regions"における対象都市の優秀な人材確保の容易性に関する</t>
    </r>
    <r>
      <rPr>
        <sz val="9"/>
        <color rgb="FFFF0000"/>
        <rFont val="游ゴシック"/>
        <family val="3"/>
        <charset val="128"/>
      </rPr>
      <t>3</t>
    </r>
    <r>
      <rPr>
        <sz val="9"/>
        <rFont val="游ゴシック"/>
        <family val="2"/>
        <charset val="128"/>
      </rPr>
      <t>指標の平均スコア、③EF Education Firstの"English Proficiency Index"における対象都市の英語能力スコア。</t>
    </r>
    <phoneticPr fontId="5"/>
  </si>
  <si>
    <t>Average of the indexed values of the following data: (1) Average of the 9 indicators of the country of the target city related to the ease of securing human resources in INSEAD's "Global Talent Competitiveness Index", (2) Average of the 3 indicators of the target city related to the ease of securing human resources in INSEAD's "Global Talent Competitiveness Index - City and Regions", (3) Score of the target city in EF Education First's "English Proficiency Index".</t>
    <phoneticPr fontId="5"/>
  </si>
  <si>
    <r>
      <t>以下のデータを指数化したものの平均値：①Coworker.comに掲載されている対象都市のコワーキング施設数</t>
    </r>
    <r>
      <rPr>
        <sz val="9"/>
        <color rgb="FFFF0000"/>
        <rFont val="游ゴシック"/>
        <family val="3"/>
        <charset val="128"/>
      </rPr>
      <t>②OoklaSpeedtestが提供するSpeedtest.net に掲載されている対象都市の固定ブロードバンドの通信回線速度③居住者アンケートによる、居住者の働く空間に関する項目</t>
    </r>
    <r>
      <rPr>
        <sz val="9"/>
        <color theme="4"/>
        <rFont val="游ゴシック"/>
        <family val="3"/>
        <charset val="128"/>
      </rPr>
      <t>（執務空間の広さ、温度・湿度、リラックススペースの有無・広さ、ユニバーサルデザインの普及度）</t>
    </r>
    <r>
      <rPr>
        <sz val="9"/>
        <color rgb="FFFF0000"/>
        <rFont val="游ゴシック"/>
        <family val="3"/>
        <charset val="128"/>
      </rPr>
      <t>別の満足度。</t>
    </r>
    <rPh sb="70" eb="72">
      <t>テイキョウ</t>
    </rPh>
    <rPh sb="107" eb="109">
      <t>ツウシン</t>
    </rPh>
    <rPh sb="109" eb="111">
      <t>カイセン</t>
    </rPh>
    <rPh sb="111" eb="113">
      <t>ソクド</t>
    </rPh>
    <rPh sb="135" eb="138">
      <t>キョジュウシャ</t>
    </rPh>
    <rPh sb="139" eb="140">
      <t>ハタラ</t>
    </rPh>
    <rPh sb="141" eb="143">
      <t>クウカン</t>
    </rPh>
    <rPh sb="190" eb="191">
      <t>カン</t>
    </rPh>
    <rPh sb="193" eb="195">
      <t>コウモク</t>
    </rPh>
    <rPh sb="195" eb="196">
      <t>ベツマンゾクド</t>
    </rPh>
    <phoneticPr fontId="5"/>
  </si>
  <si>
    <r>
      <t xml:space="preserve">Average of the indexed values of the following data: (1) Number of coworking facilities located in target cities according to Coworker.com.(2) Fixed broadband speeds produced by Speedtest.net by Ookla.(3)  Level of satisfaction of target city's workplace </t>
    </r>
    <r>
      <rPr>
        <sz val="9"/>
        <color theme="4"/>
        <rFont val="游ゴシック"/>
        <family val="3"/>
        <charset val="128"/>
      </rPr>
      <t xml:space="preserve">(Size of your workplace, Temperature and humidity, Availability / Size of break room and Adoption of universal or barrier-free) </t>
    </r>
    <r>
      <rPr>
        <sz val="9"/>
        <rFont val="游ゴシック"/>
        <family val="2"/>
        <charset val="128"/>
      </rPr>
      <t>according to the Resident Questionnaire.</t>
    </r>
    <phoneticPr fontId="5"/>
  </si>
  <si>
    <t>KPMGの"Corporate Tax Rates Table"における対象都市もしくは対象都市が属する国の法人税率。</t>
    <phoneticPr fontId="5"/>
  </si>
  <si>
    <t>Corporate tax rate for the target city or the country of the target city in KPMG's "Corporate Tax Rates Table".</t>
    <phoneticPr fontId="5"/>
  </si>
  <si>
    <t>以下のデータを指数化したものの平均値：①World Bankの"Doing Business"における対象都市もしくは対象都市が属する国のビジネスの容易性に関する10指標の平均スコア、②Moody'sによる対象都市が属する国の外貨建カントリーシーリングの長期格付け。</t>
    <phoneticPr fontId="5"/>
  </si>
  <si>
    <t>UNESCO Institute of Statisticsの"UIS Statistics"における対象都市が属する国の研究者数を国と対象都市の従業者数の比率で按分して推計した人数。</t>
    <phoneticPr fontId="5"/>
  </si>
  <si>
    <t>Number of researchers in the target city estimated pro rata from the number of employees in the country and target city in the UNESCO Institute of Statistics' "UIS Statistics".</t>
    <phoneticPr fontId="5"/>
  </si>
  <si>
    <t>Times Higher Educationの"World University Rankings"で1000位以内にランクインした大学のうち、対象都市の中心点から50km圏内に所在する大学を順位に応じて点数化したスコア。</t>
    <phoneticPr fontId="5"/>
  </si>
  <si>
    <t>Ranking score determined from the rank of universities located within 50km of the center of the target city that are in the top 1000 of Times Higher Education’s "World University Rankings".</t>
    <phoneticPr fontId="5"/>
  </si>
  <si>
    <t>UNESCO Institute of Statisticsの"UIS Statistics"における対象都市が属する国の研究開発費を国と対象都市の従業者数の比率で按分して推計した額。</t>
    <phoneticPr fontId="5"/>
  </si>
  <si>
    <t>Research and development expenditure in the country of the target city estimated pro rata from the number of employees in the country and target city listed under the UNESCO Institute of Statistics' "UIS Statistics".</t>
    <phoneticPr fontId="5"/>
  </si>
  <si>
    <t>Times Higher Educationの"World University Rankings"で1000位以内にランクインした大学のうち、対象都市の中心点から50km圏内に所在する大学の生徒数と留学生割合から推計した対象都市における留学生数。</t>
    <phoneticPr fontId="5"/>
  </si>
  <si>
    <t>Number of international students attending universities estimated from the number of students and the percentage of international students of each university located within 50km of the city center of the target city that are in the top 1000 of Times Higher Education's "World University Rankings".</t>
    <phoneticPr fontId="5"/>
  </si>
  <si>
    <t>OECDの"Programme for International Student Assessment (PISA)"における対象都市が属する国の全科目平均得点。</t>
    <phoneticPr fontId="5"/>
  </si>
  <si>
    <t>Average score of all subjects for the country of the target city in the OECD’s "Programme for International Student Assessment (PISA)".</t>
    <phoneticPr fontId="5"/>
  </si>
  <si>
    <r>
      <t>World Intellectual Property Organizationの"WIPO IP Statistics Data Center"における対象都市が属する国の特許登録数の</t>
    </r>
    <r>
      <rPr>
        <sz val="9"/>
        <color rgb="FFFF0000"/>
        <rFont val="游ゴシック"/>
        <family val="3"/>
        <charset val="128"/>
      </rPr>
      <t>直近10年間</t>
    </r>
    <r>
      <rPr>
        <sz val="9"/>
        <rFont val="游ゴシック"/>
        <family val="2"/>
        <charset val="128"/>
      </rPr>
      <t>の平均値を国と対象都市の従業者数の比率で按分して推計した数。</t>
    </r>
    <phoneticPr fontId="5"/>
  </si>
  <si>
    <r>
      <t xml:space="preserve">Number of registered patents estimated pro rata from the number of employees in the country and target city based on averages for the </t>
    </r>
    <r>
      <rPr>
        <sz val="9"/>
        <color rgb="FFFF0000"/>
        <rFont val="游ゴシック"/>
        <family val="3"/>
        <charset val="128"/>
      </rPr>
      <t>last 10 years</t>
    </r>
    <r>
      <rPr>
        <sz val="9"/>
        <rFont val="游ゴシック"/>
        <family val="2"/>
        <charset val="128"/>
      </rPr>
      <t xml:space="preserve"> from World Intellectual Property Organization's "WIPO IP Statistics Data Center".</t>
    </r>
    <phoneticPr fontId="5"/>
  </si>
  <si>
    <t>主要科学技術賞(ノーベル賞、バルザン賞、クラフォード賞、ネヴァンリンナ賞、フィールズ賞)の直近20年間の受賞者のうち、受賞当時の在籍機関が対象都市の中心点から50km圏内に所在する受賞者を受賞経年数に応じて点数化したスコア。</t>
    <phoneticPr fontId="5"/>
  </si>
  <si>
    <t>Total points awarded to the target city for number of recipients within the last 20 years of the major science and technology-related awards (Nobel Prize, Balzan Prize, Crafoord Prize, Nevanlinna Prize, and Fields Medal) based on the university or research institute (located within 50km of the city center) with which they were affiliated at the time of receiving the award. Points are weighted based on the year in which the prize was awarded.</t>
    <phoneticPr fontId="5"/>
  </si>
  <si>
    <r>
      <t>Crunchbase</t>
    </r>
    <r>
      <rPr>
        <sz val="9"/>
        <rFont val="游ゴシック"/>
        <family val="2"/>
        <charset val="128"/>
      </rPr>
      <t>に掲載されている対象都市で起業されたスタートアップ数の直近</t>
    </r>
    <r>
      <rPr>
        <sz val="9"/>
        <rFont val="游ゴシック"/>
        <family val="3"/>
        <charset val="128"/>
      </rPr>
      <t>3</t>
    </r>
    <r>
      <rPr>
        <sz val="9"/>
        <rFont val="游ゴシック"/>
        <family val="2"/>
        <charset val="128"/>
      </rPr>
      <t>年間の平均値を指数化したもの</t>
    </r>
    <phoneticPr fontId="5"/>
  </si>
  <si>
    <t>The indexed value of average number of startups founded in the target city in the last 3 years according to Crunchbase.</t>
    <phoneticPr fontId="5"/>
  </si>
  <si>
    <t>Union of International Associationsの"Yearbook of International Organizations"における対象都市で開催された国際会議件数。</t>
    <phoneticPr fontId="5"/>
  </si>
  <si>
    <t>Number of international conferences held in the target city listed in the Union of International Associations' "Yearbook of International Organizations".</t>
    <phoneticPr fontId="5"/>
  </si>
  <si>
    <t>以下のデータを指数化したものの平均値：①世界的な文化イベント(オリンピック、FIFAワールドカップ、万国博覧会)のうち、直近20年間に対象都市で開催されたイベントを規模および開催経年数に応じて点数化したスコア、②Columbus Travel Mediaの"World Travel Guide"における対象都市で開催された文化イベント数の直近3年間の平均値。</t>
    <phoneticPr fontId="5"/>
  </si>
  <si>
    <t>Average of the indexed values of the following data: (1) Number of points awarded to the target city for hosting global events such as the Olympics, World Expositions, and FIFA World Cups in the last 20 years according to their size and year in which they were hosted, (2) Average number of events held in the target city in the last 3 years listed in Columbus Travel Media's "World Travel Guide".</t>
    <phoneticPr fontId="5"/>
  </si>
  <si>
    <t>以下のデータを指数化したものを1:2で重み付けした平均値：①International Trade Centerの"International Trade Statistics"における対象都市が属する国の書籍および光学メディアの国別輸出額を国と対象都市のGDPの比率で按分して推計した額、②International Trade Centerの"International Trade Statistics"における対象都市が属する国の視聴覚および関連サービスの国別輸出額を国と対象都市のGDPの比率で按分して推計した額。</t>
    <phoneticPr fontId="5"/>
  </si>
  <si>
    <t>Average of the indexed values of the following data (weighted 1:2): (1) Export value of Printed Books and Optical Media estimated pro rata from the proportion of GDP for the country and target city according to the International Trade Center's "International Trade Statistics", (2) Export value of Audiovisual and Related Services estimated pro rata from the proportion of GDP for the country and target city according to the International Trade Center's "International Trade Statistics".</t>
    <phoneticPr fontId="5"/>
  </si>
  <si>
    <t>以下のデータを指数化したものの平均値：①Artprice.comの"Contemporary Art Market Report"で年間落札総額200位以内にランクインした作家(存命)のうち、対象都市を活動拠点としている作家を順位に応じて点数化したスコア、②Artnet.comの"Gallery Network"に掲載されている対象都市のギャラリー数。</t>
    <phoneticPr fontId="5"/>
  </si>
  <si>
    <t>Average of the indexed values of the following data: (1) Score determined by the ranking of the contemporary artists based in the target city from the top 200 living artists ranked according to total sales over the period of one year in Artprice.com's "Contemporary Art Market Report", (2) Number of art galleries listed in Artnet.com's "Gallery Network".</t>
    <phoneticPr fontId="5"/>
  </si>
  <si>
    <t>以下のデータを指数化したものの平均値：①TripAdvisorに掲載されている対象都市の中心点から10km圏内に所在する観光スポット数(レビュー数100以上)、②居住者アンケートより、外国人訪問者が対象都市の主な観光スポットを回るのに要する日数。</t>
    <phoneticPr fontId="5"/>
  </si>
  <si>
    <t>Average of the indexed values of the following data: (1) Number of tourist attractions listed in TripAdvisor with more than 100 reviews and located within 10km of the center of the target city, (2) Number of days required for a foreign visitor to visit the major tourist attractions in the target city according to the Resident Questionnaire.</t>
    <phoneticPr fontId="5"/>
  </si>
  <si>
    <t>UNESCOによるユネスコ世界遺産のうち、対象都市の中心点から100km圏内に所在する世界遺産を種別および面積に応じて点数化したスコア。</t>
    <phoneticPr fontId="5"/>
  </si>
  <si>
    <t>Total points awarded based on the size and type of UNESCO World Heritage Sites located within 100km of the center of the target city.</t>
    <phoneticPr fontId="5"/>
  </si>
  <si>
    <t>以下のデータを指数化したものの平均値：①kwfinderにおける"対象都市名 nightlife関連ワード”の検索数(2019年間)、②TripAdvisorに掲載されている対象都市のナイトライフスポット数(レビュー数10以上)。</t>
    <phoneticPr fontId="5"/>
  </si>
  <si>
    <t>Average of the indexed values of the following data: (1) Total number of searches for the city's name + "nightlife" related keywords in 2019, according to KWfinder provided by Mangools, (2) Number of nightlife attractions listed in TripAdvisor with more than 10 reviews.</t>
    <phoneticPr fontId="5"/>
  </si>
  <si>
    <t>以下のデータの平均値：①TripAdvisorに掲載されている対象都市の劇場・コンサートホール数、②OpenStreetMapに掲載されている対象都市の中心点から10km圏内に所在する劇場・コンサートホール数。</t>
    <phoneticPr fontId="5"/>
  </si>
  <si>
    <t>Average of the following values: (1) Number of theaters and concert halls listed in TripAdvisor, (2) Number of theaters and concert halls listed in OpenStreetMap located within 10km of the center of the target city.</t>
    <phoneticPr fontId="5"/>
  </si>
  <si>
    <t>De Gruyter Saurの"Museums of the World"に掲載されている対象都市の美術館・博物館数。</t>
    <phoneticPr fontId="5"/>
  </si>
  <si>
    <t>Number of museums listed in De Gruyter Saur's "Museums of the World".</t>
    <phoneticPr fontId="5"/>
  </si>
  <si>
    <t>World Stadiumsに掲載されている対象都市のスタジアム数(収容人数10,000人以上、大学など教育施設構内のスタジアムは除く)。</t>
    <phoneticPr fontId="5"/>
  </si>
  <si>
    <t>Number of stadiums listed in World Stadiums with a capacity of more than 10,000 people. Stadiums for universities and other educational facilities are excluded.</t>
    <phoneticPr fontId="5"/>
  </si>
  <si>
    <t>Hotels.comに掲載されている対象都市の中心点から10km圏内に所在するホテルの総客室数。</t>
    <phoneticPr fontId="5"/>
  </si>
  <si>
    <t>Total number of hotel rooms located within 10km of the city center displayed on Hotels.com.</t>
    <phoneticPr fontId="5"/>
  </si>
  <si>
    <t>Hotels.comに掲載されている対象都市の中心点から10km圏内に所在する5つ星ホテルの総客室数。</t>
    <phoneticPr fontId="5"/>
  </si>
  <si>
    <t>Total number of 5 star hotel rooms located within 10km of the city center displayed on Hotels.com.</t>
    <phoneticPr fontId="5"/>
  </si>
  <si>
    <t>以下のデータを指数化したものの平均値：①TripAdvisorに掲載されている対象都市のショップ・モールの５段階評価の数字の合算値、②居住者アンケートより、観光客が買物の魅力を対象都市の訪問の目的として感じている度合い。</t>
    <rPh sb="54" eb="56">
      <t>ダンカイ</t>
    </rPh>
    <rPh sb="56" eb="58">
      <t>ヒョウカ</t>
    </rPh>
    <rPh sb="59" eb="61">
      <t>スウジ</t>
    </rPh>
    <rPh sb="62" eb="64">
      <t>ガッサン</t>
    </rPh>
    <phoneticPr fontId="5"/>
  </si>
  <si>
    <t>Average of the indexed values of the following data: (1) The total value of ratings for all Shops &amp; Malls  located in the target city listed on Tripadvisor, (2) Influence level of shopping as a major reason for visiting the target city according to the Resident Questionnaire.</t>
    <phoneticPr fontId="5"/>
  </si>
  <si>
    <t>以下のデータを指数化したものの平均値：①La Listeの"World's Top 1000 Restaurants"でランクインしたレストランのうち、対象都市の中心点から10km圏内に所在するレストラン数、②居住者アンケートより、観光客が食事の魅力を対象都市の訪問の目的として感じている度合い。</t>
    <phoneticPr fontId="5"/>
  </si>
  <si>
    <t>Average of the indexed values of the following data: (1) Number of restaurants located within 10km from the city center in the target city in La Liste's "World's Top 1000 Restaurants", (2) Influence level of cuisine or dining as a major reason for visiting the target city according to the Resident Questionnaire.</t>
    <phoneticPr fontId="5"/>
  </si>
  <si>
    <t>対象都市の外国人居住者数もしくは市民権を持たない居住者数。</t>
    <phoneticPr fontId="5"/>
  </si>
  <si>
    <t>Number of registered foreign people or residents without citizenship in the country of the target city.</t>
    <phoneticPr fontId="5"/>
  </si>
  <si>
    <t>対象都市を1年間に訪問した外国人数。</t>
    <phoneticPr fontId="5"/>
  </si>
  <si>
    <t>Annual number of foreign visitors to the target city.</t>
    <phoneticPr fontId="5"/>
  </si>
  <si>
    <t>対象都市の完全失業率。</t>
    <phoneticPr fontId="5"/>
  </si>
  <si>
    <t>Total unemployment rate in the target city.</t>
    <phoneticPr fontId="5"/>
  </si>
  <si>
    <t>UBSの"Prices and Earnings"における対象都市の年間総労働時間。</t>
    <phoneticPr fontId="5"/>
  </si>
  <si>
    <t>Working Hours for the target city given in UBS' "Prices and Earnings".</t>
    <phoneticPr fontId="5"/>
  </si>
  <si>
    <t>居住者アンケートより、対象都市における働き方の柔軟性(早退のしやすさや在宅勤務のしやすさなど)の度合い。</t>
    <phoneticPr fontId="41"/>
  </si>
  <si>
    <t>Ease of working flexibly at the workplace (such as leaving early, work from home) in the target city according to the Resident Questionnaire.</t>
    <phoneticPr fontId="5"/>
  </si>
  <si>
    <t>UBSの"Prices and Earnings"における対象都市の住宅賃料(家具付き2部屋、家具なし3部屋、対象都市で一般的な大きさの部屋の平均賃料)。</t>
    <phoneticPr fontId="5"/>
  </si>
  <si>
    <t>Average Rent of a furnished 2-room apartment, an unfurnished 3-room apartment, and a typical sized apartment in the target city given in UBS' "Prices and Earnings".</t>
    <phoneticPr fontId="5"/>
  </si>
  <si>
    <t>UBSの"Prices and Earnings"における対象都市の物価(住宅賃料を除く)のニューヨークを100としたときの値。</t>
    <phoneticPr fontId="5"/>
  </si>
  <si>
    <t>Prices excl. Rent (with New York indexed as 100) given in UBS' "Prices and Earnings".</t>
    <phoneticPr fontId="5"/>
  </si>
  <si>
    <t>対象都市の人口100万人あたりの年間殺人事件発生(認知)件数。</t>
    <phoneticPr fontId="5"/>
  </si>
  <si>
    <t>Number of murders (acknowledged) per year per population of one million in the target city.</t>
    <phoneticPr fontId="5"/>
  </si>
  <si>
    <t>Lloyd'sの"Lloyd's City Risk Index"における対象都市のGDPリスク量の対平均年間GDP比。</t>
    <phoneticPr fontId="5"/>
  </si>
  <si>
    <t>Share of Average Annual GDP for "GDP at Risk" in Lloyd's "Lloyd's City Risk Index".</t>
    <phoneticPr fontId="5"/>
  </si>
  <si>
    <t>World Health Organizationの"World Health Statistics"における対象都市が属する国の平均寿命。</t>
    <phoneticPr fontId="5"/>
  </si>
  <si>
    <t>Average life expectancy for the country of the target city listed in the World Health Organization's "World Health Statistics".</t>
    <phoneticPr fontId="5"/>
  </si>
  <si>
    <t>以下のデータを指数化したものの平均値：①Transparency Internationalの"Corruption Perceptions Index"における対象都市が属する国のスコア、②Freedom Houseの"Freedom in the World"における対象都市が属する国のスコア、③Reporter without Bordersの"World Press Freedom Index"における対象都市が属する国のスコア、④World Economic Forumの"Global Gender Gap Index"における対象都市が属する国のスコア。</t>
    <phoneticPr fontId="5"/>
  </si>
  <si>
    <t>Average of the indexed values of the following data: (1) Score for the country of the target city listed in Transparency International's "Corruption Perceptions Index", (2) Score for the country of the target city listed in Freedom House's "Freedom in the World", (3) Score for the country of the target city listed in Reporters without Borders' "World Press Freedom Index", (4) Score for the country of the target city listed in World Economic Forum's "Global Gender Gap Index".</t>
    <phoneticPr fontId="5"/>
  </si>
  <si>
    <t>以下のデータを指数化したものの平均値：①World Health Organizationの"Global Health Estimates"における対象都市が属する国の後天的な精神疾患による障害調整生命年(病的状態、障害、早死により失われた年数)、②World Health Organizationの"Global Health Observatory"における対象都市が属する国の人口10万人あたりの自殺者数。</t>
    <phoneticPr fontId="5"/>
  </si>
  <si>
    <t>Average of the indexed values of the following data: (1) Total value of the indexed score for disability-adjusted life years (the number of years lost due to illness, disorder or premature death) based only on acquired mental illnesses for the country of the target city listed in the World Health Organization's "Global Health Estimates", (2) Suicide rates per 100,000 population for the country of the target city in the World Health Organization's "Global Health Observatory".</t>
    <phoneticPr fontId="5"/>
  </si>
  <si>
    <t>OECDの"Health Statistics"およびWHOの"Global Health Observatory"における対象都市が属する国の医師数の平均値を国と対象都市の従業者数の比率で按分して推計した人口100万人あたりの医師数。</t>
    <phoneticPr fontId="5"/>
  </si>
  <si>
    <t>Number of medical doctors per one million people estimated pro rata from the number of employees in the country and target city based on the average number of medical doctors in the country listed in the OECD's "Health Statistics" and the WHO's "Global Health Observatory".</t>
    <phoneticPr fontId="5"/>
  </si>
  <si>
    <t>World Economic Forumの"Networked Readiness Index"における対象都市が属する国の個人、ビジネス、行政サービスにおけるICT環境に関する16指標を同調査と同じ方法で指数化した値。</t>
    <phoneticPr fontId="5"/>
  </si>
  <si>
    <t>以下のデータを指数化したものの平均値：①OpenStreetMapに掲載されている対象都市の中心点から10km圏内に所在する小売店舗数、②居住者アンケートより、対象都市で徒歩10分圏内に所在する小売店舗数。</t>
    <phoneticPr fontId="5"/>
  </si>
  <si>
    <t>Average of the indexed values of the following data: (1) Number of retail shops listed in OpenStreetMap located within 10km of the center of the target city, (2) Number of retail shops located within a 10-minute walk in the target city according to the Resident Questionnaire.</t>
    <phoneticPr fontId="5"/>
  </si>
  <si>
    <t>以下のデータを指数化したものの平均値：①OpenStreetMapに掲載されている対象都市の中心点から10km圏内に所在するレストラン数、②居住者アンケートより、対象都市で徒歩10分圏内に所在するレストラン数。</t>
    <phoneticPr fontId="5"/>
  </si>
  <si>
    <t>Average of the indexed values of the following data: (1) Number of restaurants listed in OpenStreetMap located within 10km of the center of the target city, (2) Number of restaurants located within a 10-minute walk in the target city according to the Resident Questionnaire.</t>
    <phoneticPr fontId="5"/>
  </si>
  <si>
    <r>
      <t>International Energy Agencyの"CO2 Emissions from Fuel Combustion"における対象都市が属する国のCO2排出量を国と対象都市のGDPの比率で按分して推計し、</t>
    </r>
    <r>
      <rPr>
        <sz val="9"/>
        <color rgb="FFFF0000"/>
        <rFont val="游ゴシック"/>
        <family val="3"/>
        <charset val="128"/>
      </rPr>
      <t>それを都市人口で除したもの。</t>
    </r>
    <rPh sb="110" eb="112">
      <t>トシ</t>
    </rPh>
    <rPh sb="112" eb="114">
      <t>ジンコウ</t>
    </rPh>
    <rPh sb="115" eb="116">
      <t>ジョ</t>
    </rPh>
    <phoneticPr fontId="5"/>
  </si>
  <si>
    <r>
      <t>Volume of CO2 emission estimated pro rata from the proportion of GDP for the country and target city in the International Energy Agency's "CO2 Emissions from Fuel Combustion"</t>
    </r>
    <r>
      <rPr>
        <sz val="9"/>
        <color rgb="FFFF0000"/>
        <rFont val="游ゴシック"/>
        <family val="3"/>
        <charset val="128"/>
      </rPr>
      <t>divided by city population</t>
    </r>
    <r>
      <rPr>
        <sz val="9"/>
        <rFont val="游ゴシック"/>
        <family val="2"/>
        <charset val="128"/>
      </rPr>
      <t>.</t>
    </r>
    <phoneticPr fontId="5"/>
  </si>
  <si>
    <t>International Energy Agencyの"Renewables Information"における対象都市が属する国の総1次エネルギー供給量に対する再生可能エネルギーの供給量の比率。</t>
    <phoneticPr fontId="5"/>
  </si>
  <si>
    <t>Percentage of renewable energy supply used versus the total primary energy supply for the country of the target city listed in the International Energy Agency's "Renewables Information".</t>
    <phoneticPr fontId="5"/>
  </si>
  <si>
    <t>OECDの"Environment Statistics"およびUnited Nations Statistics Divisionの"Environmental Indicators"における対象都市が属する国の一般ごみのリサイクル率の平均値。</t>
    <phoneticPr fontId="5"/>
  </si>
  <si>
    <t>Average percentage of municipal waste generated that is recycled in the country of the target city listed in the OECD's "Environment Statistics" and the United Nations Statistics Division's "Environmental Indicators".</t>
    <phoneticPr fontId="5"/>
  </si>
  <si>
    <t>Data-Driven EnviroLabの"The Urban Environment and Social Inclusion Index"における対象都市の緑被率。</t>
    <rPh sb="81" eb="83">
      <t>リョクヒ</t>
    </rPh>
    <rPh sb="83" eb="84">
      <t>リツ</t>
    </rPh>
    <phoneticPr fontId="5"/>
  </si>
  <si>
    <t>Tree Cover Proportion for the target city in Data-Driven EnviroLab's "The Urban Environment and Social Inclusion Index".</t>
    <phoneticPr fontId="5"/>
  </si>
  <si>
    <t>居住者アンケートによる、対象都市の緑地空間・公園・水辺空間の量と、それらに対する居住者の満足度。</t>
    <rPh sb="17" eb="19">
      <t>リョクチ</t>
    </rPh>
    <rPh sb="19" eb="21">
      <t>クウカン</t>
    </rPh>
    <rPh sb="22" eb="24">
      <t>コウエン</t>
    </rPh>
    <rPh sb="25" eb="27">
      <t>ミズベ</t>
    </rPh>
    <rPh sb="27" eb="29">
      <t>クウカン</t>
    </rPh>
    <rPh sb="30" eb="31">
      <t>リョウ</t>
    </rPh>
    <rPh sb="37" eb="38">
      <t>タイ</t>
    </rPh>
    <rPh sb="40" eb="43">
      <t>キョジュウシャ</t>
    </rPh>
    <rPh sb="44" eb="47">
      <t>マンゾクド</t>
    </rPh>
    <phoneticPr fontId="41"/>
  </si>
  <si>
    <t>Quantity and Satisfaction of  parks, green spaces, or natural areas including rivers, ponds, waterfront areas in the target city according to the Resident Questionnaire.</t>
    <phoneticPr fontId="5"/>
  </si>
  <si>
    <t>Numbeoの"Pollution"における対象都市の"Water Quality"のスコア。</t>
    <phoneticPr fontId="5"/>
  </si>
  <si>
    <t>Score of "Water Quality" for the target city in Numbeo's "Pollution".</t>
    <phoneticPr fontId="5"/>
  </si>
  <si>
    <t>Satisfaction of the cleanliness of outdoor spaces in the target city according to the Resident Questionnaire.</t>
    <phoneticPr fontId="5"/>
  </si>
  <si>
    <t>IQAirの"World's most polluted cities 2019 (PM2.5)"における対象都市のPM2.5の年間平均濃度。</t>
    <rPh sb="53" eb="55">
      <t>タイショウ</t>
    </rPh>
    <rPh sb="55" eb="57">
      <t>トシ</t>
    </rPh>
    <rPh sb="64" eb="66">
      <t>ネンカン</t>
    </rPh>
    <rPh sb="66" eb="68">
      <t>ヘイキン</t>
    </rPh>
    <rPh sb="68" eb="70">
      <t>ノウド</t>
    </rPh>
    <phoneticPr fontId="41"/>
  </si>
  <si>
    <t>Annual mean PM2.5 concentrations  in target cities from IQAir's "World's most polluted cities 2019 (PM2.5)"</t>
    <phoneticPr fontId="5"/>
  </si>
  <si>
    <t>Raspisaniye Pogodi Ltd.の"Weather in the World"に掲載されている対象都市の直近3年間の気象データから算出した体感温度の快適な温度(15～25℃)からの乖離度を集計した値。</t>
    <phoneticPr fontId="5"/>
  </si>
  <si>
    <t>3-year average amount by which the target city’s apparent temperature, calculated from the weather data from Raspisaniye Pogodi Ltd.'s "Weather in the World", deviates from the ideal temperature range (15-25℃).</t>
    <phoneticPr fontId="5"/>
  </si>
  <si>
    <t>OAGの"OAG Analyser"における対象都市を出発地もしくは到着地とする航空旅客便(直行便のみ)の輸送実績を有する都市数。</t>
    <phoneticPr fontId="5"/>
  </si>
  <si>
    <t>Number of cities from which direct passenger flights depart or arrive at the target city's airports cited in the OAG's "OAG Analyser".</t>
    <phoneticPr fontId="5"/>
  </si>
  <si>
    <r>
      <t>以下のデータを指数化したものの平均値：①American Journal of Transportationの"AJOT’s Top 100 Containerports A to Z"における対象都市の港湾貨物量、②Airports Council Internationalの"2019 Annual Data Movements, Passengers and Cargo with available breakdowns for specific airports (98 airports)"における航空</t>
    </r>
    <r>
      <rPr>
        <sz val="9"/>
        <rFont val="游ゴシック"/>
        <family val="3"/>
        <charset val="128"/>
      </rPr>
      <t>国際貨物量</t>
    </r>
    <r>
      <rPr>
        <sz val="9"/>
        <rFont val="游ゴシック"/>
        <family val="2"/>
        <charset val="128"/>
      </rPr>
      <t>。</t>
    </r>
    <rPh sb="258" eb="260">
      <t>コクサイ</t>
    </rPh>
    <rPh sb="260" eb="262">
      <t>カモツ</t>
    </rPh>
    <rPh sb="262" eb="263">
      <t>リョウ</t>
    </rPh>
    <phoneticPr fontId="5"/>
  </si>
  <si>
    <r>
      <t xml:space="preserve">Average of the indexed values of the following data: (1) Port freight of the target city cited in the American Journal of Transportation's "AJOT’s Top 100 Containerports A to Z", (2) </t>
    </r>
    <r>
      <rPr>
        <sz val="9"/>
        <color rgb="FFFF0000"/>
        <rFont val="游ゴシック"/>
        <family val="3"/>
        <charset val="128"/>
      </rPr>
      <t>Amount of international air freight of the target city cited in the Airports Council International's "2019 Annual Data Movements, Passengers and Cargo with available breakdowns For Specific Airports (98 airports)".</t>
    </r>
    <r>
      <rPr>
        <sz val="9"/>
        <rFont val="游ゴシック"/>
        <family val="2"/>
        <charset val="128"/>
      </rPr>
      <t>(要Peter確認)</t>
    </r>
    <rPh sb="398" eb="399">
      <t>ヨウ</t>
    </rPh>
    <rPh sb="404" eb="406">
      <t>カクニン</t>
    </rPh>
    <phoneticPr fontId="5"/>
  </si>
  <si>
    <t>対象都市の空港(国際線年間旅客数100万人以上)の国内線・国際線の合計年間旅客数。</t>
    <rPh sb="25" eb="28">
      <t>コクナイセン</t>
    </rPh>
    <rPh sb="29" eb="31">
      <t>コクサイ</t>
    </rPh>
    <rPh sb="31" eb="32">
      <t>セン</t>
    </rPh>
    <phoneticPr fontId="5"/>
  </si>
  <si>
    <t>Total annual number of arriving/departing passengers at major airports (one million or more passengers a year) of the target city.</t>
    <phoneticPr fontId="5"/>
  </si>
  <si>
    <r>
      <t>OAGの"OAG Analyser"における対象都市の空港(国際線年間旅客数100万人以上)における</t>
    </r>
    <r>
      <rPr>
        <sz val="9"/>
        <color rgb="FFFF0000"/>
        <rFont val="游ゴシック"/>
        <family val="3"/>
        <charset val="128"/>
      </rPr>
      <t>国内線・国際線</t>
    </r>
    <r>
      <rPr>
        <sz val="9"/>
        <rFont val="游ゴシック"/>
        <family val="2"/>
        <charset val="128"/>
      </rPr>
      <t>発着回数。</t>
    </r>
    <rPh sb="50" eb="53">
      <t>コクナイセン</t>
    </rPh>
    <rPh sb="54" eb="57">
      <t>コクサイセン</t>
    </rPh>
    <rPh sb="57" eb="59">
      <t>ハッチャク</t>
    </rPh>
    <rPh sb="59" eb="61">
      <t>カイスウ</t>
    </rPh>
    <phoneticPr fontId="5"/>
  </si>
  <si>
    <r>
      <t xml:space="preserve">Total number of </t>
    </r>
    <r>
      <rPr>
        <sz val="9"/>
        <color rgb="FFFF0000"/>
        <rFont val="游ゴシック"/>
        <family val="3"/>
        <charset val="128"/>
      </rPr>
      <t>international and domestic</t>
    </r>
    <r>
      <rPr>
        <sz val="9"/>
        <rFont val="游ゴシック"/>
        <family val="2"/>
        <charset val="128"/>
      </rPr>
      <t xml:space="preserve"> </t>
    </r>
    <r>
      <rPr>
        <sz val="9"/>
        <color rgb="FFFF0000"/>
        <rFont val="游ゴシック"/>
        <family val="3"/>
        <charset val="128"/>
      </rPr>
      <t>arrivals and departures</t>
    </r>
    <r>
      <rPr>
        <sz val="9"/>
        <rFont val="游ゴシック"/>
        <family val="2"/>
        <charset val="128"/>
      </rPr>
      <t xml:space="preserve"> at the target city's major airports that receive more than one million</t>
    </r>
    <r>
      <rPr>
        <sz val="9"/>
        <rFont val="游ゴシック"/>
        <family val="3"/>
        <charset val="128"/>
      </rPr>
      <t xml:space="preserve"> international</t>
    </r>
    <r>
      <rPr>
        <sz val="9"/>
        <color rgb="FFFF0000"/>
        <rFont val="游ゴシック"/>
        <family val="3"/>
        <charset val="128"/>
      </rPr>
      <t xml:space="preserve"> </t>
    </r>
    <r>
      <rPr>
        <sz val="9"/>
        <rFont val="游ゴシック"/>
        <family val="2"/>
        <charset val="128"/>
      </rPr>
      <t>passengers a year according to OAG's "OAG Analyser"</t>
    </r>
    <phoneticPr fontId="5"/>
  </si>
  <si>
    <t>OpenStreetMapに掲載されている対象都市の中心点から10km圏内に所在する鉄道とトラムの駅数(トラムは駅名が重複するものを除く)を当該面積で除した密度。</t>
    <phoneticPr fontId="5"/>
  </si>
  <si>
    <t>Density of train and tram stations listed in OpenStreetMap located within 10km of the center of the target city.</t>
    <phoneticPr fontId="5"/>
  </si>
  <si>
    <t>以下のデータの平均値：①Numbeoの"Traffic"における対象都市の通勤・通学における公共交通機関の利用者割合を公共交通機関、自動車、バイクの利用者割合の合計で除した割合、②居住者アンケートより、対象都市において通勤・通学に公共交通を利用している人の割合。</t>
    <rPh sb="0" eb="2">
      <t>イカ</t>
    </rPh>
    <rPh sb="7" eb="10">
      <t>ヘイキンチ</t>
    </rPh>
    <rPh sb="90" eb="93">
      <t>キョジュウシャ</t>
    </rPh>
    <rPh sb="109" eb="111">
      <t>ツウキン</t>
    </rPh>
    <rPh sb="112" eb="114">
      <t>ツウガク</t>
    </rPh>
    <rPh sb="115" eb="117">
      <t>コウキョウ</t>
    </rPh>
    <rPh sb="117" eb="119">
      <t>コウツウ</t>
    </rPh>
    <rPh sb="120" eb="122">
      <t>リヨウ</t>
    </rPh>
    <rPh sb="126" eb="127">
      <t>ヒト</t>
    </rPh>
    <rPh sb="128" eb="130">
      <t>ワリアイ</t>
    </rPh>
    <phoneticPr fontId="5"/>
  </si>
  <si>
    <t>Average of the following values:  (1)Ratio of public transportation use in the target city according to Numbeo's "Traffic", (2)Percentage of transportation use for commuting to work or school in the target city according to the Resident Questionnaire.</t>
    <phoneticPr fontId="5"/>
  </si>
  <si>
    <r>
      <t>対象都市の空港(</t>
    </r>
    <r>
      <rPr>
        <sz val="9"/>
        <color rgb="FFFF0000"/>
        <rFont val="游ゴシック"/>
        <family val="3"/>
        <charset val="128"/>
      </rPr>
      <t>国際線年間旅客数100万人以上)</t>
    </r>
    <r>
      <rPr>
        <sz val="9"/>
        <rFont val="游ゴシック"/>
        <family val="2"/>
        <charset val="128"/>
      </rPr>
      <t>から対象都市の中心点までの</t>
    </r>
    <r>
      <rPr>
        <sz val="9"/>
        <color rgb="FFFF0000"/>
        <rFont val="游ゴシック"/>
        <family val="3"/>
        <charset val="128"/>
      </rPr>
      <t>片道最短</t>
    </r>
    <r>
      <rPr>
        <sz val="9"/>
        <rFont val="游ゴシック"/>
        <family val="2"/>
        <charset val="128"/>
      </rPr>
      <t>所要時間。複数の空港が存在する場合は各空港の</t>
    </r>
    <r>
      <rPr>
        <sz val="9"/>
        <color rgb="FFFF0000"/>
        <rFont val="游ゴシック"/>
        <family val="3"/>
        <charset val="128"/>
      </rPr>
      <t>全</t>
    </r>
    <r>
      <rPr>
        <sz val="9"/>
        <rFont val="游ゴシック"/>
        <family val="2"/>
        <charset val="128"/>
      </rPr>
      <t>旅客数で加重平均を取った。</t>
    </r>
    <rPh sb="8" eb="11">
      <t>コクサイセン</t>
    </rPh>
    <rPh sb="39" eb="41">
      <t>サイタン</t>
    </rPh>
    <rPh sb="63" eb="64">
      <t>ゼン</t>
    </rPh>
    <rPh sb="64" eb="66">
      <t>リョキャク</t>
    </rPh>
    <phoneticPr fontId="5"/>
  </si>
  <si>
    <r>
      <rPr>
        <sz val="9"/>
        <color rgb="FFFF0000"/>
        <rFont val="游ゴシック"/>
        <family val="3"/>
        <charset val="128"/>
      </rPr>
      <t>Minimum</t>
    </r>
    <r>
      <rPr>
        <sz val="9"/>
        <rFont val="游ゴシック"/>
        <family val="2"/>
        <charset val="128"/>
      </rPr>
      <t xml:space="preserve"> time required to travel from the major airport (</t>
    </r>
    <r>
      <rPr>
        <sz val="9"/>
        <color rgb="FFFF0000"/>
        <rFont val="游ゴシック"/>
        <family val="3"/>
        <charset val="128"/>
      </rPr>
      <t>one million or more international passengers a year</t>
    </r>
    <r>
      <rPr>
        <sz val="9"/>
        <rFont val="游ゴシック"/>
        <family val="2"/>
        <charset val="128"/>
      </rPr>
      <t>) of the target city to the city center. If more than one airport exists, a weighted average is calculated according to the number of passengers of each airport.</t>
    </r>
    <phoneticPr fontId="5"/>
  </si>
  <si>
    <t>以下のデータの平均値：①Numbeoの"Traffic"における対象都市で通勤・通学にかかる片道所要時間、②居住者アンケートより、対象都市で通勤・通学にかかる片道所要時間。</t>
    <phoneticPr fontId="5"/>
  </si>
  <si>
    <t>Average of the following values: (1) Time required for a one-way trip to work or school in the target city according to Numbeo's "Traffic", (2) Time required for a one-way trip to work or school in the target city according to the Resident Questionnaire.</t>
    <phoneticPr fontId="5"/>
  </si>
  <si>
    <t>TomTomの"Traffic Index"における対象都市において非混雑時の交通状況と比較して混雑時に余分にかかる時間の割合。</t>
    <phoneticPr fontId="5"/>
  </si>
  <si>
    <t>Congestion level in percentage for each target city which compares the average additional travel time accrued due to traffic congestion according to TomTom's "Traffic Index".</t>
    <phoneticPr fontId="5"/>
  </si>
  <si>
    <r>
      <rPr>
        <sz val="9"/>
        <color rgb="FFFF0000"/>
        <rFont val="游ゴシック"/>
        <family val="3"/>
        <charset val="128"/>
      </rPr>
      <t>以下のデータを指数化したものの平均値：①</t>
    </r>
    <r>
      <rPr>
        <sz val="9"/>
        <rFont val="游ゴシック"/>
        <family val="2"/>
        <charset val="128"/>
      </rPr>
      <t>UBSの"Prices and Earnings"における対象都市で5km走行した場合のタクシー運賃</t>
    </r>
    <r>
      <rPr>
        <sz val="9"/>
        <color rgb="FFFF0000"/>
        <rFont val="游ゴシック"/>
        <family val="3"/>
        <charset val="128"/>
      </rPr>
      <t>、②Coyaの"Bicycle Cities Index 2019"のTotal scoreの値。</t>
    </r>
    <rPh sb="0" eb="2">
      <t>イカ</t>
    </rPh>
    <rPh sb="7" eb="10">
      <t>シスウカ</t>
    </rPh>
    <rPh sb="15" eb="18">
      <t>ヘイキンチ</t>
    </rPh>
    <rPh sb="117" eb="118">
      <t>アタイ</t>
    </rPh>
    <phoneticPr fontId="5"/>
  </si>
  <si>
    <r>
      <rPr>
        <sz val="9"/>
        <color rgb="FFFF0000"/>
        <rFont val="游ゴシック"/>
        <family val="3"/>
        <charset val="128"/>
      </rPr>
      <t xml:space="preserve">Average of the indexed values of the following data: (1) </t>
    </r>
    <r>
      <rPr>
        <sz val="9"/>
        <rFont val="游ゴシック"/>
        <family val="2"/>
        <charset val="128"/>
      </rPr>
      <t>Taxi fare for a 5km ride in the target city cited in UBS's "Prices and Earnings"</t>
    </r>
    <r>
      <rPr>
        <sz val="9"/>
        <color rgb="FFFF0000"/>
        <rFont val="游ゴシック"/>
        <family val="3"/>
        <charset val="128"/>
      </rPr>
      <t xml:space="preserve">, (2)Total score for the target city listed in the Coya's "Bicycle Cities Index 2019". </t>
    </r>
    <phoneticPr fontId="5"/>
  </si>
  <si>
    <r>
      <rPr>
        <sz val="9"/>
        <color rgb="FFFF0000"/>
        <rFont val="游ゴシック"/>
        <family val="3"/>
        <charset val="128"/>
      </rPr>
      <t xml:space="preserve">＜MRI/SRC様＞
・Istanbuleは人口は統計と同じ名前でProvinceと書き直したほうがよいと思う。面積は元データで辿れなかったので、Province調べた、元データが分かれば元データでも良い。元データのとり方を記載いただけますか？
・カイロはウィキペディアでみるとcityではなくGovernorate(県）のように見える。https://en.wikipedia.org/wiki/Cairo_Governorate
・BangkokのC4はMetropolitan Area？ C5はCity of Bangkok？
＜2ndチェックへ＞
①Tel Aviv要判断。 ビジサポ人材は国のビジサポ人材の従業者数の割合を、都市圏の従業者数に乗じて算出している。Tel Aviv Districtが規模的に良さそう。
②ヘルシンキとダブリン問題
・Dublin City And Suburbs(urban)とDublin Cityを追加。Dublin City And Suburbs(urban)より大きいエリアを使っているけど、urbanでも良さそう。従業者がDublin City And Suburbs(urban)とcityで取れるか⇒取れたが、ビジネスサポート人材が取れない。今のまま広域でいくのがベターか、ビジネスサポート人材を推計で出すか。
・City of HelsinkiとGreater Helsinkiを追加。去年使ってるのはNUTS3 region、つまりUusimaa県で広すぎるので、Greater Helsinkiでも良さそう。Cityを基本とするならCityでも良さそう。バンクーバーと同じくらいの人口になる。従業者がGreater Hesinkiでも取れるなら⇒取れる。ビジネスサポート人材はUusimaa県なので、今のまま広域でいくのがベターか、ビジネスサポート人材を推計で出すか。
③Copenhagen Municipalityより大きいCopenhagen Cityを追加。これを採用すべきだと思う。
④BangkokのC4はMetropolitan Area？ C5はCity of Bangkok？去年使っているのはMetropolitan Areaなのだが、Municipalityがとれるならそちらの方がよさそう。⇒従業者がおそらcityなのでcityを使う方向で。
&lt;要市川先生相談&gt;
・ParisはLondonにあわせてCity of ParisではなくIl de Franceがよいのでは？
</t>
    </r>
    <r>
      <rPr>
        <sz val="9"/>
        <rFont val="游ゴシック"/>
        <family val="3"/>
        <charset val="128"/>
      </rPr>
      <t>&lt;memo&gt;
・Brussels-Capital Regionより小さいCity of Brusselsを追加。⇒これは使わないと思う。LondonのCity的なもの。
・City of Sydneyを追加だが使わないと思う。
・StockholmはMunicipalityではなくCityと書き換えて良さそうだが、面積はMunicipalityなので、このまま。Cityがないか調べたが、Cityのサイトでもほぼ同じ数字なので、municipalは＝cityだと思われる。</t>
    </r>
    <rPh sb="103" eb="104">
      <t>モト</t>
    </rPh>
    <rPh sb="110" eb="111">
      <t>カタ</t>
    </rPh>
    <rPh sb="112" eb="114">
      <t>キサイ</t>
    </rPh>
    <rPh sb="159" eb="160">
      <t>ケン</t>
    </rPh>
    <rPh sb="165" eb="166">
      <t>ミ</t>
    </rPh>
    <rPh sb="1115" eb="1116">
      <t>チイ</t>
    </rPh>
    <rPh sb="1135" eb="1137">
      <t>ツイカ</t>
    </rPh>
    <rPh sb="1142" eb="1143">
      <t>ツカ</t>
    </rPh>
    <rPh sb="1147" eb="1148">
      <t>オモ</t>
    </rPh>
    <rPh sb="1161" eb="1162">
      <t>テキ</t>
    </rPh>
    <rPh sb="1183" eb="1185">
      <t>ツイカ</t>
    </rPh>
    <rPh sb="1187" eb="1188">
      <t>ツカ</t>
    </rPh>
    <rPh sb="1192" eb="1193">
      <t>オモ</t>
    </rPh>
    <rPh sb="1240" eb="1242">
      <t>メンセキ</t>
    </rPh>
    <phoneticPr fontId="5"/>
  </si>
  <si>
    <t>&lt;to MMF浜田＞
・Tel AvivがMetropolitan Areaの値になっているが、Tel Aviv Districtに修正が必要では？（7/27市川先生mtgの結果を踏まえ）
・上記修正を行う場合、Tel AvivのSourceのリンクも修正が必要。→修正しました。（浜田）</t>
    <rPh sb="7" eb="9">
      <t>ハマダ</t>
    </rPh>
    <rPh sb="79" eb="81">
      <t>イチカワ</t>
    </rPh>
    <rPh sb="81" eb="83">
      <t>センセイ</t>
    </rPh>
    <rPh sb="87" eb="89">
      <t>ケッカ</t>
    </rPh>
    <rPh sb="90" eb="91">
      <t>フ</t>
    </rPh>
    <rPh sb="126" eb="128">
      <t>シュウセイ</t>
    </rPh>
    <rPh sb="129" eb="131">
      <t>ヒツヨウ</t>
    </rPh>
    <rPh sb="133" eb="135">
      <t>シュウセイ</t>
    </rPh>
    <rPh sb="141" eb="143">
      <t>ハマダ</t>
    </rPh>
    <phoneticPr fontId="5"/>
  </si>
  <si>
    <r>
      <t>・イスタンブールの面積データは人口と同じ表から、人口と人口密度のデータを使って算出しております。AH列が人口密度のデータになります。「Province and district centers」とあり、範囲が分かりにくいデータとなっております。参考として、別サイトで面積のデータを見つけたので、ご確認いただけますでしょうか（BC列以降に貼り付けております）。Provinceのデータで間違いないかと思います。</t>
    </r>
    <r>
      <rPr>
        <sz val="9"/>
        <color rgb="FFFF0000"/>
        <rFont val="游ゴシック"/>
        <family val="3"/>
        <charset val="128"/>
      </rPr>
      <t>→Provinceで統一。面積データも確認。解決（浜田7/29)</t>
    </r>
    <r>
      <rPr>
        <sz val="9"/>
        <rFont val="游ゴシック"/>
        <family val="3"/>
        <charset val="128"/>
      </rPr>
      <t xml:space="preserve">
・カイロのデータ範囲については、MMF様のご指摘通り「Cairo Governorate」のデータのようです。参考データを記載しておりますので、ご確認いただけますと幸いです。</t>
    </r>
    <r>
      <rPr>
        <sz val="9"/>
        <color rgb="FFFF0000"/>
        <rFont val="游ゴシック"/>
        <family val="3"/>
        <charset val="128"/>
      </rPr>
      <t>→Cairo Governorateで統一。解決（浜田7/29）</t>
    </r>
    <r>
      <rPr>
        <sz val="9"/>
        <rFont val="游ゴシック"/>
        <family val="3"/>
        <charset val="128"/>
      </rPr>
      <t xml:space="preserve">
・バンコクに関して、エリア範囲と面積の分かるサイトがあったので記載しております。（BY列以降）
8,656,519人というデータは、バンコク市にあたる範囲のデータのようです。メトロポリタンエリアの人口データは見つけることができませんでした。</t>
    </r>
    <r>
      <rPr>
        <sz val="9"/>
        <color rgb="FFFF0000"/>
        <rFont val="游ゴシック"/>
        <family val="3"/>
        <charset val="128"/>
      </rPr>
      <t>→Bangkokは (Province-level city)で統一。解決（浜田7/29)</t>
    </r>
    <rPh sb="18" eb="19">
      <t>オナ</t>
    </rPh>
    <rPh sb="20" eb="21">
      <t>ヒョウ</t>
    </rPh>
    <rPh sb="24" eb="26">
      <t>ジンコウ</t>
    </rPh>
    <rPh sb="27" eb="29">
      <t>ジンコウ</t>
    </rPh>
    <rPh sb="29" eb="31">
      <t>ミツド</t>
    </rPh>
    <rPh sb="36" eb="37">
      <t>ツカ</t>
    </rPh>
    <rPh sb="39" eb="41">
      <t>サンシュツ</t>
    </rPh>
    <rPh sb="50" eb="51">
      <t>レツ</t>
    </rPh>
    <rPh sb="52" eb="54">
      <t>ジンコウ</t>
    </rPh>
    <rPh sb="54" eb="56">
      <t>ミツド</t>
    </rPh>
    <rPh sb="122" eb="124">
      <t>サンコウ</t>
    </rPh>
    <rPh sb="128" eb="129">
      <t>ベツ</t>
    </rPh>
    <rPh sb="133" eb="135">
      <t>メンセキ</t>
    </rPh>
    <rPh sb="140" eb="141">
      <t>ミ</t>
    </rPh>
    <rPh sb="148" eb="150">
      <t>カクニン</t>
    </rPh>
    <rPh sb="164" eb="165">
      <t>レツ</t>
    </rPh>
    <rPh sb="165" eb="167">
      <t>イコウ</t>
    </rPh>
    <rPh sb="168" eb="169">
      <t>ハ</t>
    </rPh>
    <rPh sb="170" eb="171">
      <t>ツ</t>
    </rPh>
    <rPh sb="192" eb="194">
      <t>マチガ</t>
    </rPh>
    <rPh sb="199" eb="200">
      <t>オモ</t>
    </rPh>
    <rPh sb="214" eb="216">
      <t>トウイツ</t>
    </rPh>
    <rPh sb="217" eb="219">
      <t>メンセキ</t>
    </rPh>
    <rPh sb="223" eb="225">
      <t>カクニン</t>
    </rPh>
    <rPh sb="226" eb="228">
      <t>カイケツ</t>
    </rPh>
    <rPh sb="229" eb="231">
      <t>ハマダ</t>
    </rPh>
    <rPh sb="245" eb="247">
      <t>ハンイ</t>
    </rPh>
    <rPh sb="256" eb="257">
      <t>サマ</t>
    </rPh>
    <rPh sb="259" eb="261">
      <t>シテキ</t>
    </rPh>
    <rPh sb="261" eb="262">
      <t>ドオ</t>
    </rPh>
    <rPh sb="292" eb="294">
      <t>サンコウ</t>
    </rPh>
    <rPh sb="298" eb="300">
      <t>キサイ</t>
    </rPh>
    <rPh sb="310" eb="312">
      <t>カクニン</t>
    </rPh>
    <rPh sb="319" eb="320">
      <t>サイワ</t>
    </rPh>
    <rPh sb="343" eb="345">
      <t>トウイツ</t>
    </rPh>
    <rPh sb="346" eb="348">
      <t>カイケツ</t>
    </rPh>
    <rPh sb="349" eb="351">
      <t>ハマダ</t>
    </rPh>
    <rPh sb="363" eb="364">
      <t>カン</t>
    </rPh>
    <rPh sb="370" eb="372">
      <t>ハンイ</t>
    </rPh>
    <rPh sb="373" eb="375">
      <t>メンセキ</t>
    </rPh>
    <rPh sb="376" eb="377">
      <t>ワ</t>
    </rPh>
    <rPh sb="388" eb="390">
      <t>キサイ</t>
    </rPh>
    <rPh sb="400" eb="401">
      <t>レツ</t>
    </rPh>
    <rPh sb="401" eb="403">
      <t>イコウ</t>
    </rPh>
    <rPh sb="414" eb="415">
      <t>ニン</t>
    </rPh>
    <rPh sb="427" eb="428">
      <t>シ</t>
    </rPh>
    <rPh sb="432" eb="434">
      <t>ハンイ</t>
    </rPh>
    <rPh sb="455" eb="457">
      <t>ジンコウ</t>
    </rPh>
    <rPh sb="461" eb="462">
      <t>ミ</t>
    </rPh>
    <rPh sb="509" eb="511">
      <t>トウイツ</t>
    </rPh>
    <rPh sb="512" eb="514">
      <t>カイケツ</t>
    </rPh>
    <rPh sb="515" eb="517">
      <t>ハマダ</t>
    </rPh>
    <phoneticPr fontId="5"/>
  </si>
  <si>
    <t>特に気になる点なし。</t>
    <rPh sb="0" eb="1">
      <t>トク</t>
    </rPh>
    <rPh sb="2" eb="3">
      <t>キ</t>
    </rPh>
    <rPh sb="6" eb="7">
      <t>テン</t>
    </rPh>
    <phoneticPr fontId="5"/>
  </si>
  <si>
    <r>
      <t>Memoに
「・しかし、UNデータは2019年がカバーされていないので、</t>
    </r>
    <r>
      <rPr>
        <u/>
        <sz val="9"/>
        <rFont val="游ゴシック"/>
        <family val="3"/>
        <charset val="128"/>
      </rPr>
      <t>2019年はIRS（アメリカ内国歳入庁）の為替レート表を補助出典として用いた。</t>
    </r>
    <r>
      <rPr>
        <sz val="9"/>
        <rFont val="游ゴシック"/>
        <family val="3"/>
        <charset val="128"/>
      </rPr>
      <t>」
と、唐突にIRSが出てきているが、UNとIRSデータの代替性などについての検証が特に記載が見当たらいのですが、大丈夫でしょうか。（私が見つけられていないだけかもしれません）</t>
    </r>
    <r>
      <rPr>
        <sz val="9"/>
        <color rgb="FFFF0000"/>
        <rFont val="游ゴシック"/>
        <family val="3"/>
        <charset val="128"/>
      </rPr>
      <t>→追加しました（松田）</t>
    </r>
    <rPh sb="79" eb="81">
      <t>トウトツ</t>
    </rPh>
    <rPh sb="86" eb="87">
      <t>デ</t>
    </rPh>
    <rPh sb="104" eb="107">
      <t>ダイタイセイ</t>
    </rPh>
    <rPh sb="114" eb="116">
      <t>ケンショウ</t>
    </rPh>
    <rPh sb="117" eb="118">
      <t>トク</t>
    </rPh>
    <rPh sb="119" eb="121">
      <t>キサイ</t>
    </rPh>
    <rPh sb="122" eb="124">
      <t>ミア</t>
    </rPh>
    <rPh sb="132" eb="135">
      <t>ダイジョウブ</t>
    </rPh>
    <rPh sb="142" eb="143">
      <t>ワタシ</t>
    </rPh>
    <rPh sb="144" eb="145">
      <t>ミ</t>
    </rPh>
    <rPh sb="164" eb="166">
      <t>ツイカ</t>
    </rPh>
    <rPh sb="171" eb="173">
      <t>マツダ</t>
    </rPh>
    <phoneticPr fontId="5"/>
  </si>
  <si>
    <t>＜MRI/SRC様＞
・「OECDデータ」シートのK10は按分しているので、記述間違い？
・Sourceシートのブリュッセルの備考は按分していないので記述間違い？
+T10:V19・ジュネーブはCanton of Genevaの値なので、CityとCantonの人口比率をかけてCityのGDPを推計してください。
・コペンハーゲンは以下のサイトによるとProvince of Byen København＝Cityといえそうなので、Sourceの範囲をCityに書き直してください。https://ugeo.urbistat.com/AdminStat/en/dk/demografia/popolazione/byen-k-benhavn/1/3
・ストックホルムは、「Stockholm countyの１人当たりGDPに都市の人口をかけて算出」しているが、CountyのGDPをまず算出し、CountyとStockholm Municipalityの人口の比率を出して、Stockholm MunicipalityのGDPを推計してください。
・ムンバイは国のデータでカイロと同じように国と都市の人口で按分して算出してください。
・東京23区の推計で用いている従業者数ですが、2016年のを取ってきてくださっていますが、従業者マスタと一致させておきたいので、2014年の数字を使って推計いただけますでしょうか？
・バンコクのSourceの範囲を「Bangkok (Province-level city)」と書き換えてください。
・Sourceの範囲Beijing Municipal→Beijing City、Shanghai Municipal→Shanghai Cityに書き換え可能では？
・taipeiは、国のGDPを国の人口と都市の人口で按分して算出してください。
・SeoulはProvinceではなくspecial cityのようなのでSourceの範囲をcity of Seoulと書き直してください。
・ダブリンは「Dublin Regional Authorityの1人当たりGDPに都市の人口をかけて算出。」していますが、DRAの人口をかけてDRAのGDPをまず出し、そのあとDRAとCity of Dublinの人口の比率をかけてCity of DublinのGDPを推計してください。
・ヘルシンキはHelsinki-UusimaaのGDPにHelsinki-UusimaaとCity of Helsinkiの人口の比率をかけてCity of HelsinkiのGDPを推計してください。
・テルアビは「 国GDPを、国と都市の名目GDPで按分、為替レート換算」していますが、さらにそれをTel Aviv Metro AreaとTel Aviv Districtの人口の比率をかけてTel Aviv DistrictのGDPを推計してください。 
・ミラノの2017の都市人口を入れました。</t>
    <rPh sb="5" eb="7">
      <t>イチブ</t>
    </rPh>
    <rPh sb="7" eb="9">
      <t>シュウセイ</t>
    </rPh>
    <rPh sb="21" eb="23">
      <t>ジンコウ</t>
    </rPh>
    <rPh sb="23" eb="25">
      <t>アンブン</t>
    </rPh>
    <rPh sb="33" eb="35">
      <t>ケイサン</t>
    </rPh>
    <rPh sb="38" eb="40">
      <t>ビコウ</t>
    </rPh>
    <rPh sb="41" eb="43">
      <t>トウキョウ</t>
    </rPh>
    <rPh sb="44" eb="46">
      <t>ビコウ</t>
    </rPh>
    <rPh sb="46" eb="47">
      <t>ラン</t>
    </rPh>
    <rPh sb="48" eb="50">
      <t>イチブ</t>
    </rPh>
    <rPh sb="50" eb="52">
      <t>シュウセイ</t>
    </rPh>
    <rPh sb="70" eb="73">
      <t>ジュウギョウシャ</t>
    </rPh>
    <rPh sb="73" eb="74">
      <t>スウ</t>
    </rPh>
    <phoneticPr fontId="5"/>
  </si>
  <si>
    <r>
      <t>・Memo一部修正（パリのOECDデータは人口按分していないので、パリの名前は削除）
・計算シート備考の東京の備考欄を一部修正（東京都全体のGDPを東京都と区部の</t>
    </r>
    <r>
      <rPr>
        <sz val="9"/>
        <color rgb="FFFF0000"/>
        <rFont val="游ゴシック"/>
        <family val="3"/>
        <charset val="128"/>
      </rPr>
      <t>従業者数</t>
    </r>
    <r>
      <rPr>
        <sz val="9"/>
        <rFont val="游ゴシック"/>
        <family val="3"/>
        <charset val="128"/>
      </rPr>
      <t xml:space="preserve">で按分して算出）
・都市別コメント追加（Milan、Helsinki、Dublin）
</t>
    </r>
    <rPh sb="5" eb="7">
      <t>イチブ</t>
    </rPh>
    <rPh sb="7" eb="9">
      <t>シュウセイ</t>
    </rPh>
    <rPh sb="21" eb="23">
      <t>ジンコウ</t>
    </rPh>
    <rPh sb="23" eb="25">
      <t>アンブン</t>
    </rPh>
    <rPh sb="36" eb="38">
      <t>ナマエ</t>
    </rPh>
    <rPh sb="39" eb="41">
      <t>サクジョ</t>
    </rPh>
    <rPh sb="44" eb="46">
      <t>ケイサン</t>
    </rPh>
    <rPh sb="49" eb="51">
      <t>ビコウ</t>
    </rPh>
    <rPh sb="52" eb="54">
      <t>トウキョウ</t>
    </rPh>
    <rPh sb="55" eb="57">
      <t>ビコウ</t>
    </rPh>
    <rPh sb="57" eb="58">
      <t>ラン</t>
    </rPh>
    <rPh sb="59" eb="61">
      <t>イチブ</t>
    </rPh>
    <rPh sb="61" eb="63">
      <t>シュウセイ</t>
    </rPh>
    <rPh sb="81" eb="84">
      <t>ジュウギョウシャ</t>
    </rPh>
    <rPh sb="84" eb="85">
      <t>スウ</t>
    </rPh>
    <rPh sb="95" eb="98">
      <t>トシベツ</t>
    </rPh>
    <rPh sb="102" eb="104">
      <t>ツイカ</t>
    </rPh>
    <phoneticPr fontId="5"/>
  </si>
  <si>
    <r>
      <t xml:space="preserve">・パリについては、都市圏と都市で人口がほぼ同じだったため、按分なしに修正いたしました。
・パリ、ブリュッセル、ロンドン、ウィーンは按分なしの為、Sourceシートを修正しました。
・ジュネーブについて、CityとCantonの人口比率をかけてCityのGDPを算出しました。
・コペンハーゲンの範囲をCityに修正しました。
・ストックホルムについて、CountyのGDPをまず算出し、CountyとStockholm Municipalityの人口の比率を出して、Stockholm MunicipalityのGDPを算出しました。
・東京の算出に使用する従業者数データを#07従業者数ファイルに合わせました。
・バンコクの範囲をBangkok (Province-level city)」に修正しました。
・北京と上海の範囲を「Municipal→City」に変更しました。
・台北について、国のGDPを国と都市の人口で按分するよう修正しました。
・ソウルの範囲をCityに修正しました。
・ダブリンについて、Dublin Regional AuthorityのGDPを算出してから都市との人口比率で按分するよう修正しました。
・ヘルシンキについて、Helsinki-UusimaaのGDPをHelsinki-Uusimaaと都市の人口で按分して算出するよう修正しました。
・テルアビブについて、国のGDPをメトロエリアと国のGDPで按分して最新のメトロエリアのGDPを算出したのち、メトロエリアとTel Aviv Districtの人口比率で按分するよう修正しました。
・ミラノの都市データは2017年のデータを使って算出するよう修正しました。
</t>
    </r>
    <r>
      <rPr>
        <sz val="9"/>
        <color rgb="FFFF0000"/>
        <rFont val="游ゴシック"/>
        <family val="3"/>
        <charset val="128"/>
      </rPr>
      <t>⇒すべての修正を確認（浜田）</t>
    </r>
    <rPh sb="9" eb="12">
      <t>トシケン</t>
    </rPh>
    <rPh sb="13" eb="15">
      <t>トシ</t>
    </rPh>
    <rPh sb="16" eb="18">
      <t>ジンコウ</t>
    </rPh>
    <rPh sb="21" eb="22">
      <t>オナ</t>
    </rPh>
    <rPh sb="29" eb="31">
      <t>アンブン</t>
    </rPh>
    <rPh sb="34" eb="36">
      <t>シュウセイ</t>
    </rPh>
    <rPh sb="65" eb="67">
      <t>アンブン</t>
    </rPh>
    <rPh sb="70" eb="71">
      <t>タメ</t>
    </rPh>
    <rPh sb="82" eb="84">
      <t>シュウセイ</t>
    </rPh>
    <rPh sb="130" eb="132">
      <t>サンシュツ</t>
    </rPh>
    <rPh sb="147" eb="149">
      <t>ハンイ</t>
    </rPh>
    <rPh sb="155" eb="157">
      <t>シュウセイ</t>
    </rPh>
    <rPh sb="260" eb="262">
      <t>サンシュツ</t>
    </rPh>
    <rPh sb="269" eb="271">
      <t>トウキョウ</t>
    </rPh>
    <rPh sb="272" eb="274">
      <t>サンシュツ</t>
    </rPh>
    <rPh sb="275" eb="277">
      <t>シヨウ</t>
    </rPh>
    <rPh sb="279" eb="280">
      <t>ジュウ</t>
    </rPh>
    <rPh sb="280" eb="283">
      <t>ギョウシャスウ</t>
    </rPh>
    <rPh sb="290" eb="291">
      <t>ジュウ</t>
    </rPh>
    <rPh sb="291" eb="294">
      <t>ギョウシャスウ</t>
    </rPh>
    <rPh sb="299" eb="300">
      <t>ア</t>
    </rPh>
    <rPh sb="313" eb="315">
      <t>ハンイ</t>
    </rPh>
    <rPh sb="347" eb="349">
      <t>シュウセイ</t>
    </rPh>
    <rPh sb="356" eb="358">
      <t>ペキン</t>
    </rPh>
    <rPh sb="359" eb="361">
      <t>シャンハイ</t>
    </rPh>
    <rPh sb="362" eb="364">
      <t>ハンイ</t>
    </rPh>
    <rPh sb="382" eb="384">
      <t>ヘンコウ</t>
    </rPh>
    <rPh sb="391" eb="393">
      <t>タイペイ</t>
    </rPh>
    <rPh sb="398" eb="399">
      <t>クニ</t>
    </rPh>
    <rPh sb="404" eb="405">
      <t>クニ</t>
    </rPh>
    <rPh sb="406" eb="408">
      <t>トシ</t>
    </rPh>
    <rPh sb="409" eb="411">
      <t>ジンコウ</t>
    </rPh>
    <rPh sb="412" eb="414">
      <t>アンブン</t>
    </rPh>
    <rPh sb="418" eb="420">
      <t>シュウセイ</t>
    </rPh>
    <rPh sb="431" eb="433">
      <t>ハンイ</t>
    </rPh>
    <rPh sb="439" eb="441">
      <t>シュウセイ</t>
    </rPh>
    <rPh sb="487" eb="489">
      <t>サンシュツ</t>
    </rPh>
    <rPh sb="493" eb="495">
      <t>トシ</t>
    </rPh>
    <rPh sb="497" eb="499">
      <t>ジンコウ</t>
    </rPh>
    <rPh sb="499" eb="501">
      <t>ヒリツ</t>
    </rPh>
    <rPh sb="502" eb="504">
      <t>アンブン</t>
    </rPh>
    <rPh sb="508" eb="510">
      <t>シュウセイ</t>
    </rPh>
    <rPh sb="581" eb="583">
      <t>シュウセイ</t>
    </rPh>
    <rPh sb="680" eb="682">
      <t>シュウセイ</t>
    </rPh>
    <rPh sb="693" eb="695">
      <t>トシ</t>
    </rPh>
    <rPh sb="703" eb="704">
      <t>ネン</t>
    </rPh>
    <rPh sb="709" eb="710">
      <t>ツカ</t>
    </rPh>
    <rPh sb="712" eb="714">
      <t>サンシュツ</t>
    </rPh>
    <rPh sb="718" eb="720">
      <t>シュウセイ</t>
    </rPh>
    <rPh sb="732" eb="734">
      <t>シュウセイ</t>
    </rPh>
    <rPh sb="735" eb="737">
      <t>カクニン</t>
    </rPh>
    <rPh sb="738" eb="740">
      <t>ハマダ</t>
    </rPh>
    <phoneticPr fontId="5"/>
  </si>
  <si>
    <t>従業者数で按分するほうが正しくて、人口按分は仕方なくやっている？従業者が取れるならば従業者でとるべき？</t>
    <rPh sb="0" eb="3">
      <t>ジュウギョウシャ</t>
    </rPh>
    <rPh sb="3" eb="4">
      <t>スウ</t>
    </rPh>
    <rPh sb="5" eb="7">
      <t>アンブン</t>
    </rPh>
    <rPh sb="12" eb="13">
      <t>タダ</t>
    </rPh>
    <rPh sb="17" eb="19">
      <t>ジンコウ</t>
    </rPh>
    <rPh sb="19" eb="21">
      <t>アンブン</t>
    </rPh>
    <rPh sb="22" eb="24">
      <t>シカタ</t>
    </rPh>
    <rPh sb="32" eb="35">
      <t>ジュウギョウシャ</t>
    </rPh>
    <rPh sb="36" eb="37">
      <t>ト</t>
    </rPh>
    <rPh sb="42" eb="45">
      <t>ジュウギョウシャ</t>
    </rPh>
    <phoneticPr fontId="5"/>
  </si>
  <si>
    <t>・Sourceに個別ソースしか入っていなかったので、GDPと人口のファイルのソースの値張り付けをした。人口は最新の人口データのソースだが、実際ここで使っている人口の値は年次が古いのもあるので、厳密には一緒ではない。YBの書き方要検討。
・Dublinは「Dublin Cityのデータが取得できなかったため、GPCI-2019と同様に、Dublin Regionのデータを取得。」となっているがしょうがないか・・・。NYより高いのが違和感。
・関数OK、大きな問題なし。</t>
    <rPh sb="8" eb="10">
      <t>コベツ</t>
    </rPh>
    <rPh sb="15" eb="16">
      <t>ハイ</t>
    </rPh>
    <rPh sb="30" eb="32">
      <t>ジンコウ</t>
    </rPh>
    <rPh sb="42" eb="43">
      <t>アタイ</t>
    </rPh>
    <rPh sb="43" eb="44">
      <t>ハ</t>
    </rPh>
    <rPh sb="45" eb="46">
      <t>ツ</t>
    </rPh>
    <rPh sb="51" eb="53">
      <t>ジンコウ</t>
    </rPh>
    <rPh sb="54" eb="56">
      <t>サイシン</t>
    </rPh>
    <rPh sb="57" eb="59">
      <t>ジンコウ</t>
    </rPh>
    <rPh sb="69" eb="71">
      <t>ジッサイ</t>
    </rPh>
    <rPh sb="74" eb="75">
      <t>ツカ</t>
    </rPh>
    <rPh sb="79" eb="81">
      <t>ジンコウ</t>
    </rPh>
    <rPh sb="82" eb="83">
      <t>アタイ</t>
    </rPh>
    <rPh sb="84" eb="86">
      <t>ネンジ</t>
    </rPh>
    <rPh sb="87" eb="88">
      <t>フル</t>
    </rPh>
    <rPh sb="96" eb="98">
      <t>ゲンミツ</t>
    </rPh>
    <rPh sb="100" eb="102">
      <t>イッショ</t>
    </rPh>
    <rPh sb="110" eb="111">
      <t>カ</t>
    </rPh>
    <rPh sb="112" eb="113">
      <t>カタ</t>
    </rPh>
    <rPh sb="113" eb="114">
      <t>ヨウ</t>
    </rPh>
    <rPh sb="114" eb="116">
      <t>ケントウ</t>
    </rPh>
    <rPh sb="212" eb="213">
      <t>タカ</t>
    </rPh>
    <rPh sb="216" eb="219">
      <t>イワカン</t>
    </rPh>
    <rPh sb="222" eb="224">
      <t>カンスウ</t>
    </rPh>
    <rPh sb="227" eb="228">
      <t>オオ</t>
    </rPh>
    <rPh sb="230" eb="232">
      <t>モンダイ</t>
    </rPh>
    <phoneticPr fontId="5"/>
  </si>
  <si>
    <t xml:space="preserve">・Dublin　→（Dublin Regionの1人当たりGDP）×（Dublin cityの人口）となっている件、了解（備忘）
・MumbaiとJohannesburgの人口年次違い（2011→2019）。人口の増加が反映されない分損していることになる（備忘）
</t>
    <rPh sb="25" eb="26">
      <t>ニン</t>
    </rPh>
    <rPh sb="26" eb="27">
      <t>ア</t>
    </rPh>
    <rPh sb="47" eb="49">
      <t>ジンコウ</t>
    </rPh>
    <rPh sb="56" eb="57">
      <t>ケン</t>
    </rPh>
    <rPh sb="58" eb="60">
      <t>リョウカイ</t>
    </rPh>
    <rPh sb="61" eb="63">
      <t>ビボウ</t>
    </rPh>
    <rPh sb="87" eb="89">
      <t>ジンコウ</t>
    </rPh>
    <rPh sb="105" eb="107">
      <t>ジンコウ</t>
    </rPh>
    <rPh sb="108" eb="110">
      <t>ゾウカ</t>
    </rPh>
    <rPh sb="111" eb="113">
      <t>ハンエイ</t>
    </rPh>
    <rPh sb="117" eb="118">
      <t>ブン</t>
    </rPh>
    <rPh sb="118" eb="119">
      <t>ソン</t>
    </rPh>
    <rPh sb="129" eb="131">
      <t>ビボウ</t>
    </rPh>
    <phoneticPr fontId="5"/>
  </si>
  <si>
    <t>&lt;全体事項＞
・青色と黄色シートの色の違いに意味が無ければ統一願います。
＜Hong Kong＞
・Memoには「香港は、2013～18年の5ヵ年のGDPの変化率をそのまま引用」とあるが、「HK」シートのどこから読み取るのか？また、当シートの年次は2014-2020と記載。
＜Jakarta＞
・「Jakarta」シート内で、平均成長率の算出にあたり6乗根をとっているが5乗根では？
&lt;Dublin＞※ To MMF浜田
・人口データはDublin Cityに変更したので、当データも修正必要では。</t>
    <rPh sb="1" eb="3">
      <t>ゼンタイ</t>
    </rPh>
    <rPh sb="3" eb="5">
      <t>ジコウ</t>
    </rPh>
    <rPh sb="8" eb="10">
      <t>アオイロ</t>
    </rPh>
    <rPh sb="11" eb="13">
      <t>キイロ</t>
    </rPh>
    <rPh sb="17" eb="18">
      <t>イロ</t>
    </rPh>
    <rPh sb="19" eb="20">
      <t>チガ</t>
    </rPh>
    <rPh sb="22" eb="24">
      <t>イミ</t>
    </rPh>
    <rPh sb="25" eb="26">
      <t>ナ</t>
    </rPh>
    <rPh sb="29" eb="31">
      <t>トウイツ</t>
    </rPh>
    <rPh sb="31" eb="32">
      <t>ネガ</t>
    </rPh>
    <rPh sb="122" eb="124">
      <t>ネンジ</t>
    </rPh>
    <rPh sb="212" eb="214">
      <t>ハマダ</t>
    </rPh>
    <phoneticPr fontId="5"/>
  </si>
  <si>
    <t>＜Hong Kong＞
・「2013～18年の5ヵ年の…」は去年のコメントですね。GPCI2020では「2014～19年」が正。Memoは修正済。
・根拠は「HK」シートのT11セルにあります。（隠れていて見えづらかったので行幅変更）Memoは修正（Beijinも古かった）
＜Jakarta＞
・平均成長率の算出は5乗根が正かと。（MRI様要確認）
＜Kuala Lumpur＞
・Sourceシートミス。（United Nation→Department of Statictics）</t>
    <rPh sb="30" eb="32">
      <t>キョネン</t>
    </rPh>
    <rPh sb="59" eb="60">
      <t>ネン</t>
    </rPh>
    <rPh sb="62" eb="63">
      <t>セイ</t>
    </rPh>
    <rPh sb="69" eb="71">
      <t>シュウセイ</t>
    </rPh>
    <rPh sb="71" eb="72">
      <t>スミ</t>
    </rPh>
    <rPh sb="75" eb="77">
      <t>コンキョ</t>
    </rPh>
    <rPh sb="98" eb="99">
      <t>カク</t>
    </rPh>
    <rPh sb="103" eb="104">
      <t>ミ</t>
    </rPh>
    <rPh sb="112" eb="114">
      <t>ギョウハバ</t>
    </rPh>
    <rPh sb="114" eb="116">
      <t>ヘンコウ</t>
    </rPh>
    <rPh sb="122" eb="124">
      <t>シュウセイ</t>
    </rPh>
    <rPh sb="132" eb="133">
      <t>フル</t>
    </rPh>
    <rPh sb="163" eb="164">
      <t>セイ</t>
    </rPh>
    <rPh sb="171" eb="172">
      <t>サマ</t>
    </rPh>
    <rPh sb="172" eb="173">
      <t>ヨウ</t>
    </rPh>
    <rPh sb="173" eb="175">
      <t>カクニン</t>
    </rPh>
    <phoneticPr fontId="5"/>
  </si>
  <si>
    <t>数式、出典等確認。特に問題なし。</t>
    <rPh sb="0" eb="2">
      <t>スウシキ</t>
    </rPh>
    <rPh sb="3" eb="5">
      <t>シュッテン</t>
    </rPh>
    <rPh sb="5" eb="6">
      <t>トウ</t>
    </rPh>
    <rPh sb="6" eb="8">
      <t>カクニン</t>
    </rPh>
    <rPh sb="9" eb="10">
      <t>トク</t>
    </rPh>
    <rPh sb="11" eb="13">
      <t>モンダイ</t>
    </rPh>
    <phoneticPr fontId="5"/>
  </si>
  <si>
    <t>特に問題なし。</t>
    <rPh sb="0" eb="1">
      <t>トク</t>
    </rPh>
    <rPh sb="2" eb="4">
      <t>モンダイ</t>
    </rPh>
    <phoneticPr fontId="5"/>
  </si>
  <si>
    <t>【MRIへ申し送り】
WFE_出典シート：”前年からの変更点”ではなくGPCI2019から、など時期を明確に記載して下さい。</t>
    <rPh sb="5" eb="6">
      <t>モウ</t>
    </rPh>
    <rPh sb="7" eb="8">
      <t>オク</t>
    </rPh>
    <rPh sb="22" eb="24">
      <t>ゼンネン</t>
    </rPh>
    <rPh sb="27" eb="30">
      <t>ヘンコウテン</t>
    </rPh>
    <rPh sb="48" eb="50">
      <t>ジキ</t>
    </rPh>
    <rPh sb="51" eb="53">
      <t>メイカク</t>
    </rPh>
    <rPh sb="54" eb="56">
      <t>キサイ</t>
    </rPh>
    <rPh sb="58" eb="59">
      <t>クダ</t>
    </rPh>
    <phoneticPr fontId="5"/>
  </si>
  <si>
    <t>浜田コメント
関数など問題なし。SourceのURLと閲覧日を追記したが、データ購入の場合のソースの記入方法はどうなんだろうか？
神保コメント
・GPCI2019ではランクポイントを使ったが、GOCI2020では総売上高を使った。
・London（1位）、Newyork（5位）は対象企業数も売上高も大きく伸ばしている。Tokyoもやや増えてはいる（1stコメント参照）
松田メモ：やっぱり総売上高のほうがデータ＆グラフとして意味のあるものになる気がする</t>
    <rPh sb="0" eb="2">
      <t>ハマダ</t>
    </rPh>
    <rPh sb="7" eb="9">
      <t>カンスウ</t>
    </rPh>
    <rPh sb="11" eb="13">
      <t>モンダイ</t>
    </rPh>
    <rPh sb="27" eb="29">
      <t>エツラン</t>
    </rPh>
    <rPh sb="29" eb="30">
      <t>ビ</t>
    </rPh>
    <rPh sb="31" eb="33">
      <t>ツイキ</t>
    </rPh>
    <rPh sb="40" eb="42">
      <t>コウニュウ</t>
    </rPh>
    <rPh sb="43" eb="45">
      <t>バアイ</t>
    </rPh>
    <rPh sb="50" eb="52">
      <t>キニュウ</t>
    </rPh>
    <rPh sb="52" eb="54">
      <t>ホウホウ</t>
    </rPh>
    <rPh sb="65" eb="67">
      <t>ジンボ</t>
    </rPh>
    <rPh sb="91" eb="92">
      <t>ツカ</t>
    </rPh>
    <rPh sb="106" eb="107">
      <t>ソウ</t>
    </rPh>
    <rPh sb="107" eb="108">
      <t>バイ</t>
    </rPh>
    <rPh sb="108" eb="109">
      <t>ア</t>
    </rPh>
    <rPh sb="109" eb="110">
      <t>タカ</t>
    </rPh>
    <rPh sb="111" eb="112">
      <t>ツカ</t>
    </rPh>
    <rPh sb="126" eb="127">
      <t>イ</t>
    </rPh>
    <rPh sb="138" eb="139">
      <t>イ</t>
    </rPh>
    <rPh sb="141" eb="143">
      <t>タイショウ</t>
    </rPh>
    <rPh sb="143" eb="145">
      <t>キギョウ</t>
    </rPh>
    <rPh sb="145" eb="146">
      <t>スウ</t>
    </rPh>
    <rPh sb="147" eb="150">
      <t>ウリアゲタカ</t>
    </rPh>
    <rPh sb="151" eb="152">
      <t>オオ</t>
    </rPh>
    <rPh sb="154" eb="155">
      <t>ノ</t>
    </rPh>
    <rPh sb="169" eb="170">
      <t>フ</t>
    </rPh>
    <rPh sb="183" eb="185">
      <t>サンショウ</t>
    </rPh>
    <rPh sb="188" eb="190">
      <t>マツダ</t>
    </rPh>
    <rPh sb="197" eb="201">
      <t>ソウウリアゲダカ</t>
    </rPh>
    <rPh sb="215" eb="217">
      <t>イミ</t>
    </rPh>
    <rPh sb="225" eb="226">
      <t>キ</t>
    </rPh>
    <phoneticPr fontId="5"/>
  </si>
  <si>
    <t>特になし</t>
    <rPh sb="0" eb="1">
      <t>トク</t>
    </rPh>
    <phoneticPr fontId="5"/>
  </si>
  <si>
    <t>・FORTUNEから購入したデータはもっと活用できそう。（＄599払ったのに企業名と住所と総売上高しか使ってない。）
・もしくは、GPCI2021ではMRI様に企業名と住所と総売上高のみ情報を拾ってもらうよう委託した方がいいかもしれない。</t>
    <rPh sb="10" eb="12">
      <t>コウニュウ</t>
    </rPh>
    <rPh sb="21" eb="23">
      <t>カツヨウ</t>
    </rPh>
    <rPh sb="33" eb="34">
      <t>ハラ</t>
    </rPh>
    <rPh sb="38" eb="40">
      <t>キギョウ</t>
    </rPh>
    <rPh sb="40" eb="41">
      <t>メイ</t>
    </rPh>
    <rPh sb="42" eb="44">
      <t>ジュウショ</t>
    </rPh>
    <rPh sb="45" eb="46">
      <t>ソウ</t>
    </rPh>
    <rPh sb="46" eb="47">
      <t>バイ</t>
    </rPh>
    <rPh sb="47" eb="48">
      <t>ア</t>
    </rPh>
    <rPh sb="48" eb="49">
      <t>タカ</t>
    </rPh>
    <rPh sb="51" eb="52">
      <t>ツカ</t>
    </rPh>
    <rPh sb="78" eb="79">
      <t>サマ</t>
    </rPh>
    <rPh sb="93" eb="95">
      <t>ジョウホウ</t>
    </rPh>
    <rPh sb="96" eb="97">
      <t>ヒロ</t>
    </rPh>
    <rPh sb="104" eb="106">
      <t>イタク</t>
    </rPh>
    <rPh sb="108" eb="109">
      <t>ホウ</t>
    </rPh>
    <phoneticPr fontId="5"/>
  </si>
  <si>
    <t>&lt;MRI/SRC様&gt;
・BangkokはMetropolitan areaかCityかわかりますか？Cityと思われますが・・。
＜2ndさんへ＞
・従業者と就業者どちらもとれる場合は従業者を用いるでよい？ドイツ。
・ミラノは去年と違う定義だがよいか。</t>
    <rPh sb="8" eb="9">
      <t>サマ</t>
    </rPh>
    <rPh sb="55" eb="56">
      <t>オモ</t>
    </rPh>
    <rPh sb="75" eb="78">
      <t>ジュウギョウシャ</t>
    </rPh>
    <rPh sb="79" eb="82">
      <t>シュウギョウシャ</t>
    </rPh>
    <rPh sb="89" eb="91">
      <t>バアイ</t>
    </rPh>
    <rPh sb="92" eb="95">
      <t>ジュウギョウシャ</t>
    </rPh>
    <rPh sb="96" eb="97">
      <t>モチ</t>
    </rPh>
    <rPh sb="113" eb="115">
      <t>キョネン</t>
    </rPh>
    <rPh sb="116" eb="117">
      <t>チガ</t>
    </rPh>
    <rPh sb="118" eb="120">
      <t>テイギ</t>
    </rPh>
    <phoneticPr fontId="5"/>
  </si>
  <si>
    <r>
      <t>・バンコクと呼ばれる範囲は、Metropolitan areaかCity(Province level）だけのようです。取得したデータはCityにあたるデータかと思います。AP列以降に参考資料を載せております。</t>
    </r>
    <r>
      <rPr>
        <sz val="9"/>
        <color rgb="FFFF0000"/>
        <rFont val="游ゴシック"/>
        <family val="3"/>
        <charset val="128"/>
      </rPr>
      <t>→Bangkokは (Province-level city)で統一。解決（浜田7/29)</t>
    </r>
    <phoneticPr fontId="5"/>
  </si>
  <si>
    <t xml:space="preserve">・●をチェック＆Memoに記載のある都市をチェック。「●」は、最下位ムンバイのデータ値が下がったことによるものが多い。
＜範囲について＞
・Barcelonaは県の可能性もあるかと思ったが、発行元がBarcelona CityなのでOK。
・Department of ParisはCity of Parisと同じと考えてよさそう。
＜MRI/SRC様＞
・サンパウロは現在Metropolitan Areaの数字を使っていますが、従業者数を使って推計していただけますか？
</t>
    <rPh sb="13" eb="15">
      <t>キサイ</t>
    </rPh>
    <rPh sb="18" eb="20">
      <t>トシ</t>
    </rPh>
    <rPh sb="31" eb="34">
      <t>サイカイ</t>
    </rPh>
    <rPh sb="42" eb="43">
      <t>チ</t>
    </rPh>
    <rPh sb="44" eb="45">
      <t>サ</t>
    </rPh>
    <rPh sb="56" eb="57">
      <t>オオ</t>
    </rPh>
    <rPh sb="61" eb="63">
      <t>ハンイ</t>
    </rPh>
    <rPh sb="80" eb="81">
      <t>ケン</t>
    </rPh>
    <rPh sb="82" eb="85">
      <t>カノウセイ</t>
    </rPh>
    <rPh sb="90" eb="91">
      <t>オモ</t>
    </rPh>
    <rPh sb="95" eb="98">
      <t>ハッコウモト</t>
    </rPh>
    <rPh sb="155" eb="156">
      <t>オナ</t>
    </rPh>
    <rPh sb="158" eb="159">
      <t>カンガ</t>
    </rPh>
    <rPh sb="175" eb="176">
      <t>サマ</t>
    </rPh>
    <rPh sb="185" eb="187">
      <t>ゲンザイ</t>
    </rPh>
    <rPh sb="205" eb="207">
      <t>スウジ</t>
    </rPh>
    <rPh sb="208" eb="209">
      <t>ツカ</t>
    </rPh>
    <rPh sb="216" eb="219">
      <t>ジュウギョウシャ</t>
    </rPh>
    <rPh sb="219" eb="220">
      <t>スウ</t>
    </rPh>
    <rPh sb="221" eb="222">
      <t>ツカ</t>
    </rPh>
    <rPh sb="224" eb="226">
      <t>スイケイ</t>
    </rPh>
    <phoneticPr fontId="5"/>
  </si>
  <si>
    <t>＜MRI/SRC様＞
・サンパウロは現在Metropolitan Areaの数字を使っていますが、従業者数を使って推計していただけますか？
・それに伴い、Memoの記載（下から2行目）の修正もお願いします。</t>
    <rPh sb="74" eb="75">
      <t>トモナ</t>
    </rPh>
    <rPh sb="82" eb="84">
      <t>キサイ</t>
    </rPh>
    <rPh sb="85" eb="86">
      <t>シタ</t>
    </rPh>
    <rPh sb="89" eb="91">
      <t>ギョウメ</t>
    </rPh>
    <rPh sb="93" eb="95">
      <t>シュウセイ</t>
    </rPh>
    <rPh sb="97" eb="98">
      <t>ネガ</t>
    </rPh>
    <phoneticPr fontId="5"/>
  </si>
  <si>
    <t>本指標では、本指標は従業者数に対する対事業所サービス従業者の割合を求めているため、全ての都市で都市別の対事業所サービス従業者数を算出する必要はないかと思います。「Memo」のシートをご確認いただけますでしょうか。</t>
    <rPh sb="0" eb="1">
      <t>ホン</t>
    </rPh>
    <rPh sb="1" eb="3">
      <t>シヒョウ</t>
    </rPh>
    <rPh sb="33" eb="34">
      <t>モト</t>
    </rPh>
    <rPh sb="41" eb="42">
      <t>スベ</t>
    </rPh>
    <rPh sb="44" eb="46">
      <t>トシ</t>
    </rPh>
    <rPh sb="47" eb="49">
      <t>トシ</t>
    </rPh>
    <rPh sb="49" eb="50">
      <t>ベツ</t>
    </rPh>
    <rPh sb="62" eb="63">
      <t>スウ</t>
    </rPh>
    <rPh sb="64" eb="66">
      <t>サンシュツ</t>
    </rPh>
    <rPh sb="68" eb="70">
      <t>ヒツヨウ</t>
    </rPh>
    <rPh sb="75" eb="76">
      <t>オモ</t>
    </rPh>
    <rPh sb="92" eb="94">
      <t>カクニン</t>
    </rPh>
    <phoneticPr fontId="5"/>
  </si>
  <si>
    <t xml:space="preserve">No big problems. UBS data hasn't been updated, so those cities remained unchanged (UBS updates every three years). Osaka increased slightly from last year. Toronto's income level rose above Vancouver's according to StatsCan, which affects its comparative UBS score. </t>
    <phoneticPr fontId="5"/>
  </si>
  <si>
    <t>他のUBSを用いる指標同様、来年以降の申し送り事項として、主要ソースの年次と個別で取得する都市のデータの年次は可能な限りそろえる。今回のデータで言えば主要ソースが2018年で、シンガポール、大阪、福岡が2019年のデータとなっているので、次年度以降2018年のデータに変更。
個別都市のデータで年次が2018年より古い場合、為替変動などを用いて独自で2018年の値を推計し利用するかについては要検討。</t>
    <rPh sb="0" eb="1">
      <t>ホカ</t>
    </rPh>
    <rPh sb="6" eb="7">
      <t>モチ</t>
    </rPh>
    <rPh sb="9" eb="11">
      <t>シヒョウ</t>
    </rPh>
    <rPh sb="11" eb="13">
      <t>ドウヨウ</t>
    </rPh>
    <rPh sb="14" eb="16">
      <t>ライネン</t>
    </rPh>
    <rPh sb="16" eb="18">
      <t>イコウ</t>
    </rPh>
    <rPh sb="19" eb="20">
      <t>モウ</t>
    </rPh>
    <rPh sb="21" eb="22">
      <t>オク</t>
    </rPh>
    <rPh sb="23" eb="25">
      <t>ジコウ</t>
    </rPh>
    <rPh sb="29" eb="31">
      <t>シュヨウ</t>
    </rPh>
    <rPh sb="35" eb="37">
      <t>ネンジ</t>
    </rPh>
    <rPh sb="38" eb="40">
      <t>コベツ</t>
    </rPh>
    <rPh sb="41" eb="43">
      <t>シュトク</t>
    </rPh>
    <rPh sb="45" eb="47">
      <t>トシ</t>
    </rPh>
    <rPh sb="52" eb="54">
      <t>ネンジ</t>
    </rPh>
    <rPh sb="55" eb="57">
      <t>カノウ</t>
    </rPh>
    <rPh sb="58" eb="59">
      <t>カギ</t>
    </rPh>
    <rPh sb="65" eb="67">
      <t>コンカイ</t>
    </rPh>
    <rPh sb="72" eb="73">
      <t>イ</t>
    </rPh>
    <rPh sb="75" eb="77">
      <t>シュヨウ</t>
    </rPh>
    <rPh sb="85" eb="86">
      <t>ネン</t>
    </rPh>
    <rPh sb="95" eb="97">
      <t>オオサカ</t>
    </rPh>
    <rPh sb="98" eb="100">
      <t>フクオカ</t>
    </rPh>
    <rPh sb="105" eb="106">
      <t>ネン</t>
    </rPh>
    <rPh sb="119" eb="122">
      <t>ジネンド</t>
    </rPh>
    <rPh sb="122" eb="124">
      <t>イコウ</t>
    </rPh>
    <rPh sb="128" eb="129">
      <t>ネン</t>
    </rPh>
    <rPh sb="134" eb="136">
      <t>ヘンコウ</t>
    </rPh>
    <rPh sb="138" eb="140">
      <t>コベツ</t>
    </rPh>
    <rPh sb="140" eb="142">
      <t>トシ</t>
    </rPh>
    <rPh sb="147" eb="149">
      <t>ネンジ</t>
    </rPh>
    <rPh sb="154" eb="155">
      <t>ネン</t>
    </rPh>
    <rPh sb="157" eb="158">
      <t>フル</t>
    </rPh>
    <rPh sb="159" eb="161">
      <t>バアイ</t>
    </rPh>
    <rPh sb="162" eb="164">
      <t>カワセ</t>
    </rPh>
    <rPh sb="164" eb="166">
      <t>ヘンドウ</t>
    </rPh>
    <rPh sb="169" eb="170">
      <t>モチ</t>
    </rPh>
    <rPh sb="172" eb="174">
      <t>ドクジ</t>
    </rPh>
    <rPh sb="179" eb="180">
      <t>ネン</t>
    </rPh>
    <rPh sb="181" eb="182">
      <t>アタイ</t>
    </rPh>
    <rPh sb="183" eb="185">
      <t>スイケイ</t>
    </rPh>
    <rPh sb="186" eb="188">
      <t>リヨウ</t>
    </rPh>
    <rPh sb="196" eb="197">
      <t>ヨウ</t>
    </rPh>
    <rPh sb="197" eb="199">
      <t>ケントウ</t>
    </rPh>
    <phoneticPr fontId="5"/>
  </si>
  <si>
    <t>他のUBSを用いる指標同様、来年以降の申し送り事項として、主要ソースの年次と個別で取得する都市のデータの年次は可能な限りそろえる。今回のデータで言えば主要ソースが2018年で、シンガポール、大阪、福岡が2019年のデータとなっているので、次年度以降2018年のデータに変更。
個別都市のデータで年次が2018年より古い場合、為替変動などを用いて独自で2018年の値を推計し利用するかについては要検討。</t>
    <phoneticPr fontId="5"/>
  </si>
  <si>
    <r>
      <rPr>
        <b/>
        <sz val="8"/>
        <color rgb="FFFF0000"/>
        <rFont val="游ゴシック"/>
        <family val="3"/>
        <charset val="128"/>
      </rPr>
      <t>・②INSEAD都市別データが３→２項目に減少したため、3→２項目の平均になった。これにより結果が大幅に変動した。平均の取り方がこのままでよいか、要議論。⇒WGにて議論（浜田）</t>
    </r>
    <r>
      <rPr>
        <sz val="8"/>
        <rFont val="游ゴシック"/>
        <family val="3"/>
        <charset val="128"/>
      </rPr>
      <t xml:space="preserve">
（以下、松田メモ）
・英語力はよく使うし、かなり重視される要素だし、独立させたい。。
・文化交流の発信力にいれて、コンテンツ輸出額の代わりにする？
・INSEADの基準がなかなかゆるい（高卒人数とか。優秀な人材ってレベルではなさそう）⇒大学および職業専門教育の入学者なので高卒よりは意義はありそう（浜田）</t>
    </r>
    <rPh sb="8" eb="10">
      <t>トシ</t>
    </rPh>
    <rPh sb="10" eb="11">
      <t>ベツ</t>
    </rPh>
    <rPh sb="18" eb="20">
      <t>コウモク</t>
    </rPh>
    <rPh sb="21" eb="23">
      <t>ゲンショウ</t>
    </rPh>
    <rPh sb="31" eb="33">
      <t>コウモク</t>
    </rPh>
    <rPh sb="34" eb="36">
      <t>ヘイキン</t>
    </rPh>
    <rPh sb="46" eb="48">
      <t>ケッカ</t>
    </rPh>
    <rPh sb="49" eb="51">
      <t>オオハバ</t>
    </rPh>
    <rPh sb="52" eb="54">
      <t>ヘンドウ</t>
    </rPh>
    <rPh sb="57" eb="59">
      <t>ヘイキン</t>
    </rPh>
    <rPh sb="60" eb="61">
      <t>ト</t>
    </rPh>
    <rPh sb="62" eb="63">
      <t>カタ</t>
    </rPh>
    <rPh sb="73" eb="74">
      <t>ヨウ</t>
    </rPh>
    <rPh sb="74" eb="76">
      <t>ギロン</t>
    </rPh>
    <rPh sb="82" eb="84">
      <t>ギロン</t>
    </rPh>
    <rPh sb="85" eb="87">
      <t>ハマダ</t>
    </rPh>
    <rPh sb="91" eb="93">
      <t>イカ</t>
    </rPh>
    <rPh sb="94" eb="96">
      <t>マツダ</t>
    </rPh>
    <rPh sb="172" eb="174">
      <t>キジュン</t>
    </rPh>
    <rPh sb="190" eb="192">
      <t>ユウシュウ</t>
    </rPh>
    <rPh sb="193" eb="195">
      <t>ジンザイ</t>
    </rPh>
    <rPh sb="220" eb="223">
      <t>ニュウガクシャ</t>
    </rPh>
    <rPh sb="226" eb="228">
      <t>コウソツ</t>
    </rPh>
    <rPh sb="231" eb="233">
      <t>イギ</t>
    </rPh>
    <rPh sb="239" eb="241">
      <t>ハマダ</t>
    </rPh>
    <phoneticPr fontId="5"/>
  </si>
  <si>
    <t>・EF(EPI)_出典の範囲を都市（南アのみ国）とし、Sourceの個別の範囲を削除してください。（ちなみにEF(EPI)の東京都ではなくTokyo、大阪府ではなくOsaka、福岡市はFukuokaだと思いました）</t>
    <rPh sb="12" eb="14">
      <t>ハンイ</t>
    </rPh>
    <rPh sb="15" eb="17">
      <t>トシ</t>
    </rPh>
    <rPh sb="18" eb="19">
      <t>ミナミ</t>
    </rPh>
    <rPh sb="22" eb="23">
      <t>クニ</t>
    </rPh>
    <rPh sb="34" eb="36">
      <t>コベツ</t>
    </rPh>
    <rPh sb="37" eb="39">
      <t>ハンイ</t>
    </rPh>
    <rPh sb="40" eb="42">
      <t>サクジョ</t>
    </rPh>
    <rPh sb="62" eb="64">
      <t>トウキョウ</t>
    </rPh>
    <rPh sb="64" eb="65">
      <t>ト</t>
    </rPh>
    <rPh sb="75" eb="77">
      <t>オオサカ</t>
    </rPh>
    <rPh sb="77" eb="78">
      <t>フ</t>
    </rPh>
    <rPh sb="88" eb="91">
      <t>フクオカシ</t>
    </rPh>
    <rPh sb="101" eb="102">
      <t>オモ</t>
    </rPh>
    <phoneticPr fontId="5"/>
  </si>
  <si>
    <t>・Sourceの範囲の表記をEF(EPI)の東京都→Tokyo、大阪府→Osaka、福岡市→Fukuoka、香港特別行政区域→HongKong、南アフリカ→South Africaに変更。英語圏はままにしております。</t>
    <rPh sb="8" eb="10">
      <t>ハンイ</t>
    </rPh>
    <rPh sb="11" eb="13">
      <t>ヒョウキ</t>
    </rPh>
    <rPh sb="54" eb="56">
      <t>ホンコン</t>
    </rPh>
    <rPh sb="56" eb="58">
      <t>トクベツ</t>
    </rPh>
    <rPh sb="58" eb="60">
      <t>ギョウセイ</t>
    </rPh>
    <rPh sb="60" eb="62">
      <t>クイキ</t>
    </rPh>
    <rPh sb="72" eb="73">
      <t>ミナミ</t>
    </rPh>
    <rPh sb="91" eb="93">
      <t>ヘンコウ</t>
    </rPh>
    <rPh sb="94" eb="96">
      <t>エイゴ</t>
    </rPh>
    <rPh sb="96" eb="97">
      <t>ケン</t>
    </rPh>
    <phoneticPr fontId="5"/>
  </si>
  <si>
    <t>修正を確認。</t>
    <rPh sb="0" eb="2">
      <t>シュウセイ</t>
    </rPh>
    <rPh sb="3" eb="5">
      <t>カクニン</t>
    </rPh>
    <phoneticPr fontId="5"/>
  </si>
  <si>
    <t xml:space="preserve">・ネット速度（Download SPEED）を外すべきか。
外すべき理由：国別データ・本来年間のデータ拾うべきものだが、月別データ
外さない理由；Tokyoが（30位→41位）となる。
・日本３都市のアンケート結果がかなり低い
</t>
    <rPh sb="4" eb="6">
      <t>ソクド</t>
    </rPh>
    <rPh sb="23" eb="24">
      <t>ハズ</t>
    </rPh>
    <rPh sb="30" eb="31">
      <t>ハズ</t>
    </rPh>
    <rPh sb="34" eb="36">
      <t>リユウ</t>
    </rPh>
    <rPh sb="43" eb="45">
      <t>ホンライ</t>
    </rPh>
    <rPh sb="45" eb="47">
      <t>ネンカン</t>
    </rPh>
    <rPh sb="51" eb="52">
      <t>ヒロ</t>
    </rPh>
    <rPh sb="60" eb="62">
      <t>ツキベツ</t>
    </rPh>
    <rPh sb="66" eb="67">
      <t>ハズ</t>
    </rPh>
    <rPh sb="70" eb="72">
      <t>リユウ</t>
    </rPh>
    <rPh sb="82" eb="83">
      <t>イ</t>
    </rPh>
    <rPh sb="86" eb="87">
      <t>イ</t>
    </rPh>
    <rPh sb="94" eb="96">
      <t>ニホン</t>
    </rPh>
    <rPh sb="97" eb="99">
      <t>トシ</t>
    </rPh>
    <rPh sb="105" eb="107">
      <t>ケッカ</t>
    </rPh>
    <rPh sb="111" eb="112">
      <t>ヒク</t>
    </rPh>
    <phoneticPr fontId="5"/>
  </si>
  <si>
    <t>・定義に青字を追加。
・関数チェック</t>
    <rPh sb="1" eb="3">
      <t>テイギ</t>
    </rPh>
    <rPh sb="4" eb="5">
      <t>アオ</t>
    </rPh>
    <rPh sb="5" eb="6">
      <t>ジ</t>
    </rPh>
    <rPh sb="7" eb="9">
      <t>ツイカ</t>
    </rPh>
    <rPh sb="12" eb="14">
      <t>カンスウ</t>
    </rPh>
    <phoneticPr fontId="5"/>
  </si>
  <si>
    <t>Spain（Madrid, Barcelona）およびItaly（Milan）のソースが「共通」ということは、個別シート（Spain, Italy）は使っていないため削除可能では？</t>
    <rPh sb="45" eb="47">
      <t>キョウツウ</t>
    </rPh>
    <rPh sb="55" eb="57">
      <t>コベツ</t>
    </rPh>
    <rPh sb="75" eb="76">
      <t>ツカ</t>
    </rPh>
    <rPh sb="83" eb="85">
      <t>サクジョ</t>
    </rPh>
    <rPh sb="85" eb="87">
      <t>カノウ</t>
    </rPh>
    <phoneticPr fontId="5"/>
  </si>
  <si>
    <t>・特にコメントなし
※Spain、Itaryのシートはグレーアウトしました。KPMGデータと整合とれているようなので次年度以降不要かと。</t>
    <rPh sb="1" eb="2">
      <t>トク</t>
    </rPh>
    <rPh sb="46" eb="48">
      <t>セイゴウ</t>
    </rPh>
    <rPh sb="58" eb="61">
      <t>ジネンド</t>
    </rPh>
    <rPh sb="61" eb="63">
      <t>イコウ</t>
    </rPh>
    <rPh sb="63" eb="65">
      <t>フヨウ</t>
    </rPh>
    <phoneticPr fontId="5"/>
  </si>
  <si>
    <t>松田メモ：GPCI2019でDoing Business 2019使ってたのにYBのデータソースでは2018と掲載してる？
鈴木：Doing Businessの出典URLが特定の1トピックのURLになっていたので、大元のページのURLに変更した。
SourceシートのDoing Businessの出典部分において、赤字で示した部分は関数で合算されないが書く必要あるのか？そもそもソース自体は同じだから記載の必要はないのではないか。</t>
    <rPh sb="0" eb="2">
      <t>マツダ</t>
    </rPh>
    <rPh sb="62" eb="64">
      <t>スズキ</t>
    </rPh>
    <rPh sb="80" eb="82">
      <t>シュッテン</t>
    </rPh>
    <rPh sb="86" eb="88">
      <t>トクテイ</t>
    </rPh>
    <rPh sb="107" eb="109">
      <t>オオモト</t>
    </rPh>
    <rPh sb="118" eb="120">
      <t>ヘンコウ</t>
    </rPh>
    <rPh sb="149" eb="151">
      <t>シュッテン</t>
    </rPh>
    <rPh sb="151" eb="153">
      <t>ブブン</t>
    </rPh>
    <rPh sb="158" eb="160">
      <t>アカジ</t>
    </rPh>
    <rPh sb="161" eb="162">
      <t>シメ</t>
    </rPh>
    <rPh sb="164" eb="166">
      <t>ブブン</t>
    </rPh>
    <rPh sb="167" eb="169">
      <t>カンスウ</t>
    </rPh>
    <rPh sb="170" eb="172">
      <t>ガッサン</t>
    </rPh>
    <rPh sb="177" eb="178">
      <t>カ</t>
    </rPh>
    <rPh sb="179" eb="181">
      <t>ヒツヨウ</t>
    </rPh>
    <rPh sb="193" eb="195">
      <t>ジタイ</t>
    </rPh>
    <rPh sb="196" eb="197">
      <t>オナ</t>
    </rPh>
    <rPh sb="201" eb="203">
      <t>キサイ</t>
    </rPh>
    <rPh sb="204" eb="206">
      <t>ヒツヨウ</t>
    </rPh>
    <phoneticPr fontId="5"/>
  </si>
  <si>
    <t>特に問題なし。ソースの部分はソース一覧を作成するときに確認する。</t>
    <rPh sb="0" eb="1">
      <t>トク</t>
    </rPh>
    <rPh sb="2" eb="4">
      <t>モンダイ</t>
    </rPh>
    <rPh sb="11" eb="13">
      <t>ブブン</t>
    </rPh>
    <rPh sb="17" eb="19">
      <t>イチラン</t>
    </rPh>
    <rPh sb="20" eb="22">
      <t>サクセイ</t>
    </rPh>
    <rPh sb="27" eb="29">
      <t>カクニン</t>
    </rPh>
    <phoneticPr fontId="5"/>
  </si>
  <si>
    <t>・スコア変動に関しては、研究者数の増減と、国と都市の従業者比率の変化の、２つの要因がある。（集計シート55行以下参照）
・（MRI様）イスラエルの昨年データを入力する場所は「集計」シートのE49ではなくH49。値貼り付けではなくGPCI2019のデータソースのシートを引っ張っています。
・（MRI様）Sourceシートが全て値貼り付けになっていたので、出典シートからの引用とします。</t>
    <rPh sb="39" eb="41">
      <t>ヨウイン</t>
    </rPh>
    <rPh sb="46" eb="48">
      <t>シュウケイ</t>
    </rPh>
    <rPh sb="53" eb="54">
      <t>ギョウ</t>
    </rPh>
    <rPh sb="54" eb="56">
      <t>イカ</t>
    </rPh>
    <rPh sb="56" eb="58">
      <t>サンショウ</t>
    </rPh>
    <rPh sb="65" eb="66">
      <t>サマ</t>
    </rPh>
    <rPh sb="73" eb="75">
      <t>サクネン</t>
    </rPh>
    <rPh sb="79" eb="81">
      <t>ニュウリョク</t>
    </rPh>
    <rPh sb="83" eb="85">
      <t>バショ</t>
    </rPh>
    <rPh sb="87" eb="89">
      <t>シュウケイ</t>
    </rPh>
    <rPh sb="105" eb="106">
      <t>アタイ</t>
    </rPh>
    <rPh sb="106" eb="107">
      <t>ハ</t>
    </rPh>
    <rPh sb="108" eb="109">
      <t>ツ</t>
    </rPh>
    <rPh sb="134" eb="135">
      <t>ヒ</t>
    </rPh>
    <rPh sb="136" eb="137">
      <t>パ</t>
    </rPh>
    <rPh sb="161" eb="162">
      <t>スベ</t>
    </rPh>
    <rPh sb="163" eb="164">
      <t>アタイ</t>
    </rPh>
    <rPh sb="164" eb="165">
      <t>ハ</t>
    </rPh>
    <rPh sb="166" eb="167">
      <t>ツ</t>
    </rPh>
    <rPh sb="177" eb="179">
      <t>シュッテン</t>
    </rPh>
    <rPh sb="185" eb="187">
      <t>インヨウ</t>
    </rPh>
    <phoneticPr fontId="5"/>
  </si>
  <si>
    <t>MMF内部向けコメント：
神保さん、集計シートおよびコメント部分に記載された内容について、主語が省略されている傾向があり、パッと見はわかりにくい感じがするので、周りくどい記載にはなりますが、明確に書いていただいた方が、第三者的にはわかりやすいです。鈴木にて赤字で訂正入れてます。</t>
    <rPh sb="3" eb="5">
      <t>ナイブ</t>
    </rPh>
    <rPh sb="5" eb="6">
      <t>ム</t>
    </rPh>
    <rPh sb="13" eb="15">
      <t>ジンボ</t>
    </rPh>
    <rPh sb="18" eb="20">
      <t>シュウケイ</t>
    </rPh>
    <rPh sb="30" eb="32">
      <t>ブブン</t>
    </rPh>
    <rPh sb="33" eb="35">
      <t>キサイ</t>
    </rPh>
    <rPh sb="38" eb="40">
      <t>ナイヨウ</t>
    </rPh>
    <rPh sb="45" eb="47">
      <t>シュゴ</t>
    </rPh>
    <rPh sb="48" eb="50">
      <t>ショウリャク</t>
    </rPh>
    <rPh sb="55" eb="57">
      <t>ケイコウ</t>
    </rPh>
    <rPh sb="64" eb="65">
      <t>ミ</t>
    </rPh>
    <rPh sb="72" eb="73">
      <t>カン</t>
    </rPh>
    <rPh sb="80" eb="81">
      <t>マワ</t>
    </rPh>
    <rPh sb="85" eb="87">
      <t>キサイ</t>
    </rPh>
    <rPh sb="95" eb="97">
      <t>メイカク</t>
    </rPh>
    <rPh sb="98" eb="99">
      <t>カ</t>
    </rPh>
    <rPh sb="106" eb="107">
      <t>ホウ</t>
    </rPh>
    <rPh sb="109" eb="110">
      <t>ダイ</t>
    </rPh>
    <rPh sb="124" eb="126">
      <t>スズキ</t>
    </rPh>
    <rPh sb="128" eb="130">
      <t>アカジ</t>
    </rPh>
    <rPh sb="131" eb="133">
      <t>テイセイ</t>
    </rPh>
    <rPh sb="133" eb="134">
      <t>イ</t>
    </rPh>
    <phoneticPr fontId="5"/>
  </si>
  <si>
    <t>・本ファイルにて別途調べた従業者数データについては、セルを赤くしてマスタシートに反映しております。
・UNESCOのデータからイスラエルが取れなくなっていたため、昨年のデータを流用しております。</t>
    <rPh sb="69" eb="70">
      <t>ト</t>
    </rPh>
    <rPh sb="81" eb="83">
      <t>サクネン</t>
    </rPh>
    <rPh sb="88" eb="90">
      <t>リュウヨウ</t>
    </rPh>
    <phoneticPr fontId="5"/>
  </si>
  <si>
    <t>・Sao Paulo、Sydney、Tel Aviv、Melbourneはデータ年次が古いので、GPCI2021以降も新しいデータが出なければ、別なデータソース収集の検討が必要か（神保）</t>
    <rPh sb="59" eb="60">
      <t>アタラ</t>
    </rPh>
    <rPh sb="66" eb="67">
      <t>デ</t>
    </rPh>
    <rPh sb="90" eb="92">
      <t>ジンボ</t>
    </rPh>
    <phoneticPr fontId="5"/>
  </si>
  <si>
    <t>CheckシートOK
SourceシートOK
集計シート他、計算シートOK</t>
    <rPh sb="23" eb="25">
      <t>シュウケイ</t>
    </rPh>
    <rPh sb="28" eb="29">
      <t>ホカ</t>
    </rPh>
    <rPh sb="30" eb="32">
      <t>ケイサン</t>
    </rPh>
    <phoneticPr fontId="5"/>
  </si>
  <si>
    <t xml:space="preserve">・スコア変動に関しては、研究者数の増減、為替、国と都市の従業者比率の変化の、３つの原因があるが（集計シート55行以下参照）、全体的に大きな変動は無し。
・（MRI様）Sourceシートは値貼りつけではなかく、出典シートから引用をお願いします。Franceの従業者データが記載漏れていたので個別データとして追記しました（神保）
</t>
    <rPh sb="20" eb="22">
      <t>カワセ</t>
    </rPh>
    <rPh sb="62" eb="65">
      <t>ゼンタイテキ</t>
    </rPh>
    <rPh sb="66" eb="67">
      <t>オオ</t>
    </rPh>
    <rPh sb="69" eb="71">
      <t>ヘンドウ</t>
    </rPh>
    <rPh sb="72" eb="73">
      <t>ナ</t>
    </rPh>
    <rPh sb="81" eb="82">
      <t>サマ</t>
    </rPh>
    <rPh sb="93" eb="94">
      <t>アタイ</t>
    </rPh>
    <rPh sb="94" eb="95">
      <t>ハ</t>
    </rPh>
    <rPh sb="104" eb="106">
      <t>シュッテン</t>
    </rPh>
    <rPh sb="111" eb="113">
      <t>インヨウ</t>
    </rPh>
    <rPh sb="115" eb="116">
      <t>ネガ</t>
    </rPh>
    <rPh sb="128" eb="131">
      <t>ジュウギョウシャ</t>
    </rPh>
    <rPh sb="135" eb="137">
      <t>キサイ</t>
    </rPh>
    <rPh sb="137" eb="138">
      <t>モ</t>
    </rPh>
    <rPh sb="144" eb="146">
      <t>コベツ</t>
    </rPh>
    <rPh sb="152" eb="154">
      <t>ツイキ</t>
    </rPh>
    <rPh sb="159" eb="161">
      <t>ジンボ</t>
    </rPh>
    <phoneticPr fontId="5"/>
  </si>
  <si>
    <t>本ファイルにて別途調べた従業者数データについては、セルを赤くしてマスタシートに反映しております。</t>
    <phoneticPr fontId="5"/>
  </si>
  <si>
    <t>・フランスが個別データ取得となった経緯（MEMO欄に推測記載）だけ確認したい。（神保）</t>
    <rPh sb="6" eb="8">
      <t>コベツ</t>
    </rPh>
    <rPh sb="11" eb="13">
      <t>シュトク</t>
    </rPh>
    <rPh sb="17" eb="19">
      <t>ケイイ</t>
    </rPh>
    <rPh sb="24" eb="25">
      <t>ラン</t>
    </rPh>
    <rPh sb="26" eb="28">
      <t>スイソク</t>
    </rPh>
    <rPh sb="28" eb="30">
      <t>キサイ</t>
    </rPh>
    <rPh sb="33" eb="35">
      <t>カクニン</t>
    </rPh>
    <rPh sb="40" eb="42">
      <t>ジンボ</t>
    </rPh>
    <phoneticPr fontId="5"/>
  </si>
  <si>
    <t>CheckシートOK
SourceシートOK
集計シート他、計算シートOK
※THE2020の値が#15から値貼り付けとなっているため、集計する留学生数（y列）の計算式も消えているため、確認の際に若干わかりにくい。計算式は残してよいのでは？</t>
    <rPh sb="23" eb="25">
      <t>シュウケイ</t>
    </rPh>
    <rPh sb="28" eb="29">
      <t>ホカ</t>
    </rPh>
    <rPh sb="30" eb="32">
      <t>ケイサン</t>
    </rPh>
    <rPh sb="48" eb="49">
      <t>アタイ</t>
    </rPh>
    <rPh sb="55" eb="56">
      <t>アタイ</t>
    </rPh>
    <rPh sb="56" eb="57">
      <t>ハ</t>
    </rPh>
    <rPh sb="58" eb="59">
      <t>ツ</t>
    </rPh>
    <rPh sb="69" eb="71">
      <t>シュウケイ</t>
    </rPh>
    <rPh sb="73" eb="76">
      <t>リュウガクセイ</t>
    </rPh>
    <rPh sb="76" eb="77">
      <t>スウ</t>
    </rPh>
    <rPh sb="79" eb="80">
      <t>レツ</t>
    </rPh>
    <rPh sb="82" eb="85">
      <t>ケイサンシキ</t>
    </rPh>
    <rPh sb="86" eb="87">
      <t>キ</t>
    </rPh>
    <rPh sb="94" eb="96">
      <t>カクニン</t>
    </rPh>
    <rPh sb="97" eb="98">
      <t>サイ</t>
    </rPh>
    <rPh sb="99" eb="101">
      <t>ジャッカン</t>
    </rPh>
    <rPh sb="108" eb="111">
      <t>ケイサンシキ</t>
    </rPh>
    <rPh sb="112" eb="113">
      <t>ノコ</t>
    </rPh>
    <phoneticPr fontId="5"/>
  </si>
  <si>
    <r>
      <rPr>
        <sz val="9"/>
        <color rgb="FFFF0000"/>
        <rFont val="游ゴシック"/>
        <family val="3"/>
        <charset val="128"/>
      </rPr>
      <t>・スペインのreadingの結果が欠損している理由は、別シートに記載。前回のスコア（2015）を使用。（市川先生要確認）</t>
    </r>
    <r>
      <rPr>
        <sz val="9"/>
        <rFont val="游ゴシック"/>
        <family val="3"/>
        <charset val="128"/>
      </rPr>
      <t xml:space="preserve">
・PISA2018ではOECD全体の平均点が2015よりも下落。その結果、データ差は前回からマイナスだが順位差は前回より上がっている都市もある。
・インドはPISA2021に参加予定。Himachal Pradesh州にムンバイは含まれないが、インドで使えるデータが現状他に無いので、PISA2021が出るまでこのデータで補完することとする。
</t>
    </r>
    <rPh sb="35" eb="37">
      <t>ゼンカイ</t>
    </rPh>
    <rPh sb="48" eb="50">
      <t>シヨウ</t>
    </rPh>
    <rPh sb="52" eb="54">
      <t>イチカワ</t>
    </rPh>
    <rPh sb="54" eb="56">
      <t>センセイ</t>
    </rPh>
    <rPh sb="56" eb="57">
      <t>ヨウ</t>
    </rPh>
    <rPh sb="57" eb="59">
      <t>カクニン</t>
    </rPh>
    <rPh sb="76" eb="78">
      <t>ゼンタイ</t>
    </rPh>
    <rPh sb="79" eb="82">
      <t>ヘイキンテン</t>
    </rPh>
    <rPh sb="90" eb="92">
      <t>ゲラク</t>
    </rPh>
    <rPh sb="95" eb="97">
      <t>ケッカ</t>
    </rPh>
    <rPh sb="101" eb="102">
      <t>サ</t>
    </rPh>
    <rPh sb="103" eb="105">
      <t>ゼンカイ</t>
    </rPh>
    <rPh sb="113" eb="115">
      <t>ジュンイ</t>
    </rPh>
    <rPh sb="115" eb="116">
      <t>サ</t>
    </rPh>
    <rPh sb="117" eb="119">
      <t>ゼンカイ</t>
    </rPh>
    <rPh sb="121" eb="122">
      <t>ア</t>
    </rPh>
    <rPh sb="127" eb="129">
      <t>トシ</t>
    </rPh>
    <rPh sb="148" eb="150">
      <t>サンカ</t>
    </rPh>
    <rPh sb="150" eb="152">
      <t>ヨテイ</t>
    </rPh>
    <rPh sb="169" eb="170">
      <t>シュウ</t>
    </rPh>
    <rPh sb="176" eb="177">
      <t>フク</t>
    </rPh>
    <rPh sb="187" eb="188">
      <t>ツカ</t>
    </rPh>
    <rPh sb="194" eb="196">
      <t>ゲンジョウ</t>
    </rPh>
    <rPh sb="196" eb="197">
      <t>ホカ</t>
    </rPh>
    <rPh sb="198" eb="199">
      <t>ナ</t>
    </rPh>
    <rPh sb="212" eb="213">
      <t>デ</t>
    </rPh>
    <rPh sb="222" eb="224">
      <t>ホカン</t>
    </rPh>
    <phoneticPr fontId="5"/>
  </si>
  <si>
    <t>追加コメント特になし。</t>
    <rPh sb="0" eb="2">
      <t>ツイカ</t>
    </rPh>
    <rPh sb="6" eb="7">
      <t>トク</t>
    </rPh>
    <phoneticPr fontId="5"/>
  </si>
  <si>
    <t>・「アイルランドのデータについては、毎年の積み上げデータと今年ダウンロードしたデータでかなり差がありました。
参考として、今年ダウンロードしたデータも記載しております。」とのこと。積み上げ式なので、現状のままでOKとする。
・関数OK。特に問題なし。</t>
    <rPh sb="90" eb="91">
      <t>ツ</t>
    </rPh>
    <rPh sb="92" eb="93">
      <t>ア</t>
    </rPh>
    <rPh sb="94" eb="95">
      <t>シキ</t>
    </rPh>
    <rPh sb="99" eb="101">
      <t>ゲンジョウ</t>
    </rPh>
    <rPh sb="113" eb="115">
      <t>カンスウ</t>
    </rPh>
    <rPh sb="118" eb="119">
      <t>トク</t>
    </rPh>
    <rPh sb="120" eb="122">
      <t>モンダイ</t>
    </rPh>
    <phoneticPr fontId="5"/>
  </si>
  <si>
    <t>・直近11年間→10年間に変更した。
・それに伴い記載や関数などを修正した。
・結果に大きな変動はなし。</t>
    <rPh sb="1" eb="3">
      <t>チョッキン</t>
    </rPh>
    <rPh sb="5" eb="7">
      <t>ネンカン</t>
    </rPh>
    <rPh sb="10" eb="12">
      <t>ネンカン</t>
    </rPh>
    <rPh sb="13" eb="15">
      <t>ヘンコウ</t>
    </rPh>
    <rPh sb="23" eb="24">
      <t>トモナ</t>
    </rPh>
    <rPh sb="25" eb="27">
      <t>キサイ</t>
    </rPh>
    <rPh sb="28" eb="30">
      <t>カンスウ</t>
    </rPh>
    <rPh sb="33" eb="35">
      <t>シュウセイ</t>
    </rPh>
    <rPh sb="40" eb="42">
      <t>ケッカ</t>
    </rPh>
    <rPh sb="43" eb="44">
      <t>オオ</t>
    </rPh>
    <rPh sb="46" eb="48">
      <t>ヘンドウ</t>
    </rPh>
    <phoneticPr fontId="5"/>
  </si>
  <si>
    <t>本ファイルにて別途調べた従業者数データについては、セルを赤くしてマスタシートに反映しております。</t>
    <rPh sb="0" eb="1">
      <t>ホン</t>
    </rPh>
    <rPh sb="7" eb="9">
      <t>ベット</t>
    </rPh>
    <rPh sb="9" eb="10">
      <t>シラ</t>
    </rPh>
    <rPh sb="12" eb="15">
      <t>ジュウギョウシャ</t>
    </rPh>
    <rPh sb="15" eb="16">
      <t>スウ</t>
    </rPh>
    <rPh sb="28" eb="29">
      <t>アカ</t>
    </rPh>
    <rPh sb="39" eb="41">
      <t>ハンエイ</t>
    </rPh>
    <phoneticPr fontId="5"/>
  </si>
  <si>
    <t>松田メモ：存命者に限定あり？なし？（PeterがMoscowから問い合わせあり）
→なし（大和 2020/7/8）
大和：
・MMFにて新規受賞者の1）緯度経度付与と、2）距離計算を実施。
・スコア計算、ソース等は問題なし。</t>
    <rPh sb="0" eb="2">
      <t>マツダ</t>
    </rPh>
    <rPh sb="7" eb="8">
      <t>シャ</t>
    </rPh>
    <rPh sb="9" eb="11">
      <t>ゲンテイ</t>
    </rPh>
    <rPh sb="32" eb="33">
      <t>ト</t>
    </rPh>
    <rPh sb="34" eb="35">
      <t>ア</t>
    </rPh>
    <rPh sb="45" eb="47">
      <t>ヤマト</t>
    </rPh>
    <rPh sb="59" eb="61">
      <t>ヤマト</t>
    </rPh>
    <rPh sb="69" eb="71">
      <t>シンキ</t>
    </rPh>
    <rPh sb="71" eb="74">
      <t>ジュショウシャ</t>
    </rPh>
    <rPh sb="77" eb="79">
      <t>イド</t>
    </rPh>
    <rPh sb="79" eb="81">
      <t>ケイド</t>
    </rPh>
    <rPh sb="81" eb="83">
      <t>フヨ</t>
    </rPh>
    <rPh sb="87" eb="89">
      <t>キョリ</t>
    </rPh>
    <rPh sb="89" eb="91">
      <t>ケイサン</t>
    </rPh>
    <rPh sb="92" eb="94">
      <t>ジッシ</t>
    </rPh>
    <rPh sb="100" eb="102">
      <t>ケイサン</t>
    </rPh>
    <rPh sb="106" eb="107">
      <t>トウ</t>
    </rPh>
    <rPh sb="108" eb="110">
      <t>モンダイ</t>
    </rPh>
    <phoneticPr fontId="5"/>
  </si>
  <si>
    <t>特になし。</t>
    <rPh sb="0" eb="1">
      <t>トク</t>
    </rPh>
    <phoneticPr fontId="5"/>
  </si>
  <si>
    <t>2000年以降でリストから抜けている受賞者がいないかを改めて確認し、記載しております。</t>
    <rPh sb="4" eb="5">
      <t>ネン</t>
    </rPh>
    <rPh sb="5" eb="7">
      <t>イコウ</t>
    </rPh>
    <rPh sb="13" eb="14">
      <t>ヌ</t>
    </rPh>
    <rPh sb="18" eb="21">
      <t>ジュショウシャ</t>
    </rPh>
    <rPh sb="27" eb="28">
      <t>アラタ</t>
    </rPh>
    <rPh sb="30" eb="32">
      <t>カクニン</t>
    </rPh>
    <rPh sb="34" eb="36">
      <t>キサイ</t>
    </rPh>
    <phoneticPr fontId="5"/>
  </si>
  <si>
    <t>・SourceにGPCI2019の情報が若干残っていたので消去済。
・GPCI2019のデータ収集に用いたシートも削除済み。
・定義変更に伴いスコア差が大きいが、GPCI2020の結果は問題なし。</t>
    <rPh sb="17" eb="19">
      <t>ジョウホウ</t>
    </rPh>
    <rPh sb="20" eb="22">
      <t>ジャッカン</t>
    </rPh>
    <rPh sb="22" eb="23">
      <t>ノコ</t>
    </rPh>
    <rPh sb="29" eb="31">
      <t>ショウキョ</t>
    </rPh>
    <rPh sb="31" eb="32">
      <t>ズ</t>
    </rPh>
    <rPh sb="47" eb="49">
      <t>シュウシュウ</t>
    </rPh>
    <rPh sb="50" eb="51">
      <t>モチ</t>
    </rPh>
    <rPh sb="57" eb="59">
      <t>サクジョ</t>
    </rPh>
    <rPh sb="59" eb="60">
      <t>ズ</t>
    </rPh>
    <phoneticPr fontId="5"/>
  </si>
  <si>
    <t>・出典シートをテンプレのものに更新
・定義変更理由を追記。
・閲覧日が抜けていたので、追記。</t>
    <rPh sb="1" eb="3">
      <t>シュッテン</t>
    </rPh>
    <rPh sb="15" eb="17">
      <t>コウシン</t>
    </rPh>
    <rPh sb="19" eb="21">
      <t>テイギ</t>
    </rPh>
    <rPh sb="21" eb="23">
      <t>ヘンコウ</t>
    </rPh>
    <rPh sb="23" eb="25">
      <t>リユウ</t>
    </rPh>
    <rPh sb="26" eb="28">
      <t>ツイキ</t>
    </rPh>
    <rPh sb="31" eb="33">
      <t>エツラン</t>
    </rPh>
    <rPh sb="33" eb="34">
      <t>ビ</t>
    </rPh>
    <rPh sb="35" eb="36">
      <t>ヌ</t>
    </rPh>
    <rPh sb="43" eb="45">
      <t>ツイキ</t>
    </rPh>
    <phoneticPr fontId="5"/>
  </si>
  <si>
    <t>・GPCI2021では、MRI/SRCに依頼したい（大和）※ログインのためのトライアル・アカウント登録が必要だが。</t>
    <rPh sb="20" eb="22">
      <t>イライ</t>
    </rPh>
    <rPh sb="26" eb="28">
      <t>ヤマト</t>
    </rPh>
    <rPh sb="49" eb="51">
      <t>トウロク</t>
    </rPh>
    <rPh sb="52" eb="54">
      <t>ヒツヨウ</t>
    </rPh>
    <phoneticPr fontId="5"/>
  </si>
  <si>
    <t>・GPCI2019（2017年データ）より総数で116件減少。下記レポートによるとUIA統計全体では開催件数は増えているはずなので、GPCI選定都市以外での開催件数が増えたと推測される。
https://mice.jnto.go.jp/assets/doc/survey-statistical-data/cv_tokei_2018_2shou.pdf
・バンコク、ソウルで大幅減、シンガポールは大幅増。</t>
    <rPh sb="14" eb="15">
      <t>ネン</t>
    </rPh>
    <rPh sb="27" eb="28">
      <t>ケン</t>
    </rPh>
    <rPh sb="28" eb="30">
      <t>ゲンショウ</t>
    </rPh>
    <rPh sb="31" eb="33">
      <t>カキ</t>
    </rPh>
    <rPh sb="44" eb="46">
      <t>トウケイ</t>
    </rPh>
    <rPh sb="46" eb="48">
      <t>ゼンタイ</t>
    </rPh>
    <rPh sb="50" eb="52">
      <t>カイサイ</t>
    </rPh>
    <rPh sb="52" eb="54">
      <t>ケンスウ</t>
    </rPh>
    <rPh sb="55" eb="56">
      <t>フ</t>
    </rPh>
    <rPh sb="70" eb="72">
      <t>センテイ</t>
    </rPh>
    <rPh sb="72" eb="74">
      <t>トシ</t>
    </rPh>
    <rPh sb="74" eb="76">
      <t>イガイ</t>
    </rPh>
    <rPh sb="78" eb="80">
      <t>カイサイ</t>
    </rPh>
    <rPh sb="80" eb="82">
      <t>ケンスウ</t>
    </rPh>
    <rPh sb="83" eb="84">
      <t>フ</t>
    </rPh>
    <rPh sb="87" eb="89">
      <t>スイソク</t>
    </rPh>
    <rPh sb="187" eb="189">
      <t>オオハバ</t>
    </rPh>
    <rPh sb="189" eb="190">
      <t>ゲン</t>
    </rPh>
    <rPh sb="198" eb="200">
      <t>オオハバ</t>
    </rPh>
    <rPh sb="200" eb="201">
      <t>ゾウ</t>
    </rPh>
    <phoneticPr fontId="5"/>
  </si>
  <si>
    <t xml:space="preserve">MMF松田メモ：World Travel Guideは変更したい。
Dubai's World Expo was postponed to October 2021, so should probably not be counted. Some cities had no information available on the WTG website, and so 2019 data was used. Frankfurt, Osaka, and Tokyo were missing 2019 data, so I added it.
Will try to find an alternative source.
</t>
    <rPh sb="3" eb="5">
      <t>マツダ</t>
    </rPh>
    <rPh sb="27" eb="29">
      <t>ヘンコウ</t>
    </rPh>
    <phoneticPr fontId="5"/>
  </si>
  <si>
    <t xml:space="preserve">FrankFurt, Tokyo, and Osaka：データ更新がなかったため、他都市と同様、2019年データを貼付けたこと（by Peter）を確認した。
■To SRC様：
Dubai：Expo 2020が延期されたため2020からは削除でお願いします。
</t>
    <rPh sb="31" eb="33">
      <t>コウシン</t>
    </rPh>
    <rPh sb="41" eb="44">
      <t>タトシ</t>
    </rPh>
    <rPh sb="45" eb="47">
      <t>ドウヨウ</t>
    </rPh>
    <rPh sb="57" eb="59">
      <t>ハリツ</t>
    </rPh>
    <rPh sb="74" eb="76">
      <t>カクニン</t>
    </rPh>
    <rPh sb="88" eb="89">
      <t>サマ</t>
    </rPh>
    <phoneticPr fontId="5"/>
  </si>
  <si>
    <t>Dubai:Expo2020が2021に延期になったため、2020から削除しました。</t>
    <rPh sb="20" eb="22">
      <t>エンキ</t>
    </rPh>
    <rPh sb="35" eb="37">
      <t>サクジョ</t>
    </rPh>
    <phoneticPr fontId="5"/>
  </si>
  <si>
    <t>Dubai: 2020年からExpo2020の削除を確認済。</t>
    <rPh sb="11" eb="12">
      <t>ネン</t>
    </rPh>
    <rPh sb="23" eb="25">
      <t>サクジョ</t>
    </rPh>
    <rPh sb="26" eb="28">
      <t>カクニン</t>
    </rPh>
    <rPh sb="28" eb="29">
      <t>ズ</t>
    </rPh>
    <phoneticPr fontId="5"/>
  </si>
  <si>
    <t>・Audiovisual and related servicesが具体的な定義について、WTOのページに説明があったので参考に記載。（シート名『視聴覚サービス_採用データ』）
・中国の「Audiovisual and related services」の輸出額データは、年次を考慮し、シート『中国』から『（参考）中国』の情報（BRICのデータから算出）に差し替えました。集計シートのV~Xの24、25行を修正。ソースシートも修正。
・『集計』シートB2セルのコメントは昨年のもの？使わないと思うので削除。</t>
    <rPh sb="34" eb="37">
      <t>グタイテキ</t>
    </rPh>
    <rPh sb="38" eb="40">
      <t>テイギ</t>
    </rPh>
    <rPh sb="53" eb="55">
      <t>セツメイ</t>
    </rPh>
    <rPh sb="61" eb="63">
      <t>サンコウ</t>
    </rPh>
    <rPh sb="64" eb="66">
      <t>キサイ</t>
    </rPh>
    <rPh sb="71" eb="72">
      <t>メイ</t>
    </rPh>
    <rPh sb="91" eb="93">
      <t>チュウゴク</t>
    </rPh>
    <rPh sb="137" eb="139">
      <t>ネンジ</t>
    </rPh>
    <rPh sb="140" eb="142">
      <t>コウリョ</t>
    </rPh>
    <rPh sb="148" eb="150">
      <t>チュウゴク</t>
    </rPh>
    <rPh sb="162" eb="164">
      <t>ジョウホウ</t>
    </rPh>
    <rPh sb="175" eb="177">
      <t>サンシュツ</t>
    </rPh>
    <rPh sb="179" eb="180">
      <t>サ</t>
    </rPh>
    <rPh sb="181" eb="182">
      <t>カ</t>
    </rPh>
    <rPh sb="187" eb="189">
      <t>シュウケイ</t>
    </rPh>
    <rPh sb="202" eb="203">
      <t>ギョウ</t>
    </rPh>
    <rPh sb="204" eb="206">
      <t>シュウセイ</t>
    </rPh>
    <rPh sb="214" eb="216">
      <t>シュウセイ</t>
    </rPh>
    <rPh sb="221" eb="223">
      <t>シュウケイ</t>
    </rPh>
    <rPh sb="237" eb="239">
      <t>サクネン</t>
    </rPh>
    <rPh sb="243" eb="244">
      <t>ツカ</t>
    </rPh>
    <rPh sb="248" eb="249">
      <t>オモ</t>
    </rPh>
    <rPh sb="252" eb="254">
      <t>サクジョ</t>
    </rPh>
    <phoneticPr fontId="5"/>
  </si>
  <si>
    <t>・集計シートが分かりづらいのでフォーマット変更したい（神保）
・Audiovisual and related servicesは各国統一された定義だとは思えない。公平性から来年は定義変更したい。（神保）</t>
    <rPh sb="21" eb="23">
      <t>ヘンコウ</t>
    </rPh>
    <rPh sb="27" eb="29">
      <t>ジンボ</t>
    </rPh>
    <rPh sb="65" eb="67">
      <t>カッコク</t>
    </rPh>
    <rPh sb="67" eb="69">
      <t>トウイツ</t>
    </rPh>
    <rPh sb="72" eb="74">
      <t>テイギ</t>
    </rPh>
    <rPh sb="77" eb="78">
      <t>オモ</t>
    </rPh>
    <rPh sb="82" eb="85">
      <t>コウヘイセイ</t>
    </rPh>
    <rPh sb="87" eb="89">
      <t>ライネン</t>
    </rPh>
    <rPh sb="90" eb="92">
      <t>テイギ</t>
    </rPh>
    <rPh sb="92" eb="94">
      <t>ヘンコウ</t>
    </rPh>
    <rPh sb="99" eb="101">
      <t>ジンボ</t>
    </rPh>
    <phoneticPr fontId="5"/>
  </si>
  <si>
    <t>・Auction Turnoverシート-RowT：K列のコピペ？参照元も無さそうなので不要と思います。
・アーティスト情報のウェブサイトが作成者が雑なのか、2019記載のURLをクリックすると別のアーティストが出てきたりする。BiographyのURLにアーティスト名が入っていても違うことも。
URLが正しいか、また在住都市データが正しいかを1人1人チェックしないと分からないのが難しい</t>
    <rPh sb="27" eb="28">
      <t>レツ</t>
    </rPh>
    <rPh sb="33" eb="35">
      <t>サンショウ</t>
    </rPh>
    <rPh sb="35" eb="36">
      <t>モト</t>
    </rPh>
    <rPh sb="37" eb="38">
      <t>ナ</t>
    </rPh>
    <rPh sb="44" eb="46">
      <t>フヨウ</t>
    </rPh>
    <rPh sb="47" eb="48">
      <t>オモ</t>
    </rPh>
    <rPh sb="60" eb="62">
      <t>ジョウホウ</t>
    </rPh>
    <rPh sb="70" eb="72">
      <t>サクセイ</t>
    </rPh>
    <rPh sb="72" eb="73">
      <t>シャ</t>
    </rPh>
    <rPh sb="74" eb="75">
      <t>ザツ</t>
    </rPh>
    <rPh sb="83" eb="85">
      <t>キサイ</t>
    </rPh>
    <rPh sb="97" eb="98">
      <t>ベツ</t>
    </rPh>
    <rPh sb="106" eb="107">
      <t>デ</t>
    </rPh>
    <rPh sb="134" eb="135">
      <t>メイ</t>
    </rPh>
    <rPh sb="136" eb="137">
      <t>ハイ</t>
    </rPh>
    <rPh sb="142" eb="143">
      <t>チガ</t>
    </rPh>
    <rPh sb="153" eb="154">
      <t>タダ</t>
    </rPh>
    <rPh sb="160" eb="162">
      <t>ザイジュウ</t>
    </rPh>
    <rPh sb="162" eb="164">
      <t>トシ</t>
    </rPh>
    <rPh sb="168" eb="169">
      <t>タダ</t>
    </rPh>
    <rPh sb="174" eb="175">
      <t>ニン</t>
    </rPh>
    <rPh sb="176" eb="177">
      <t>ニン</t>
    </rPh>
    <rPh sb="185" eb="186">
      <t>ワ</t>
    </rPh>
    <rPh sb="192" eb="193">
      <t>ムズカ</t>
    </rPh>
    <phoneticPr fontId="5"/>
  </si>
  <si>
    <t>・上海のアンケートスコア向上が印象的（4.2日→5.5日）
・Tokyoはアンケートスコアはやや減だが、観光スポット数は増えている</t>
    <rPh sb="1" eb="3">
      <t>シャンハイ</t>
    </rPh>
    <rPh sb="12" eb="14">
      <t>コウジョウ</t>
    </rPh>
    <rPh sb="15" eb="18">
      <t>インショウテキ</t>
    </rPh>
    <rPh sb="22" eb="23">
      <t>ニチ</t>
    </rPh>
    <rPh sb="27" eb="28">
      <t>ニチ</t>
    </rPh>
    <rPh sb="49" eb="50">
      <t>ゲン</t>
    </rPh>
    <rPh sb="53" eb="55">
      <t>カンコウ</t>
    </rPh>
    <rPh sb="59" eb="60">
      <t>スウ</t>
    </rPh>
    <rPh sb="61" eb="62">
      <t>フ</t>
    </rPh>
    <phoneticPr fontId="5"/>
  </si>
  <si>
    <t>・関数チェック</t>
    <rPh sb="1" eb="3">
      <t>カンスウ</t>
    </rPh>
    <phoneticPr fontId="5"/>
  </si>
  <si>
    <t>UNESCO usually updates the World Heritage list in July, but due to Corona they postponed it. So, there won't be any new updates this year.
London's center point was updated without much change.</t>
    <phoneticPr fontId="5"/>
  </si>
  <si>
    <t>・シート『kwfinder使い方（神保メモ）』を追加
・kwfinderでは「対象都市名＋nightlife」としたが、問題あり（Memo記載）。ただ、「どのように検索ワードを選定するか」の基準が難しいので、GPCI2020では現状の方針で進める</t>
    <rPh sb="24" eb="26">
      <t>ツイカ</t>
    </rPh>
    <rPh sb="39" eb="41">
      <t>タイショウ</t>
    </rPh>
    <rPh sb="41" eb="44">
      <t>トシメイ</t>
    </rPh>
    <rPh sb="60" eb="62">
      <t>モンダイ</t>
    </rPh>
    <rPh sb="69" eb="71">
      <t>キサイ</t>
    </rPh>
    <rPh sb="82" eb="84">
      <t>ケンサク</t>
    </rPh>
    <rPh sb="88" eb="90">
      <t>センテイ</t>
    </rPh>
    <rPh sb="95" eb="97">
      <t>キジュン</t>
    </rPh>
    <rPh sb="98" eb="99">
      <t>ムズカ</t>
    </rPh>
    <rPh sb="114" eb="116">
      <t>ゲンジョウ</t>
    </rPh>
    <rPh sb="117" eb="119">
      <t>ホウシン</t>
    </rPh>
    <rPh sb="120" eb="121">
      <t>スス</t>
    </rPh>
    <phoneticPr fontId="5"/>
  </si>
  <si>
    <t>・kwfinderでの言葉の選び方については要検討</t>
    <rPh sb="11" eb="13">
      <t>コトバ</t>
    </rPh>
    <rPh sb="14" eb="15">
      <t>エラ</t>
    </rPh>
    <rPh sb="16" eb="17">
      <t>カタ</t>
    </rPh>
    <rPh sb="22" eb="25">
      <t>ヨウケントウ</t>
    </rPh>
    <phoneticPr fontId="5"/>
  </si>
  <si>
    <t>・Sourceの年次は2020でもよいのでは？
・Open Street Map は施設名が入っていないものはカウントされていない→OKだと思うけれど・・・入っていない都市が多いところは少しかわいそう。
・ドバイ、ジャカルタ箇所メモ入れました。</t>
    <rPh sb="8" eb="10">
      <t>ネンジ</t>
    </rPh>
    <rPh sb="42" eb="44">
      <t>シセツ</t>
    </rPh>
    <rPh sb="44" eb="45">
      <t>メイ</t>
    </rPh>
    <rPh sb="46" eb="47">
      <t>ハイ</t>
    </rPh>
    <rPh sb="70" eb="71">
      <t>オモ</t>
    </rPh>
    <rPh sb="78" eb="79">
      <t>ハイ</t>
    </rPh>
    <rPh sb="84" eb="86">
      <t>トシ</t>
    </rPh>
    <rPh sb="87" eb="88">
      <t>オオ</t>
    </rPh>
    <rPh sb="93" eb="94">
      <t>スコ</t>
    </rPh>
    <rPh sb="112" eb="114">
      <t>カショ</t>
    </rPh>
    <rPh sb="116" eb="117">
      <t>イ</t>
    </rPh>
    <phoneticPr fontId="5"/>
  </si>
  <si>
    <t>・Sourceの年次は2020が正しいと思うので、「2020」に修正済み。
・また、閲覧日が未記入だったので、ファイル作成日の「2020/8/14」を記入。</t>
    <rPh sb="8" eb="10">
      <t>ネンジ</t>
    </rPh>
    <rPh sb="16" eb="17">
      <t>タダ</t>
    </rPh>
    <rPh sb="20" eb="21">
      <t>オモ</t>
    </rPh>
    <rPh sb="32" eb="34">
      <t>シュウセイ</t>
    </rPh>
    <rPh sb="34" eb="35">
      <t>ズ</t>
    </rPh>
    <rPh sb="42" eb="44">
      <t>エツラン</t>
    </rPh>
    <rPh sb="44" eb="45">
      <t>ビ</t>
    </rPh>
    <rPh sb="46" eb="49">
      <t>ミキニュウ</t>
    </rPh>
    <rPh sb="59" eb="61">
      <t>サクセイ</t>
    </rPh>
    <rPh sb="61" eb="62">
      <t>ビ</t>
    </rPh>
    <rPh sb="75" eb="77">
      <t>キニュウ</t>
    </rPh>
    <phoneticPr fontId="5"/>
  </si>
  <si>
    <t>作成者（神保）：次年度以降への引継事項要チェック。
【大和】
・データ、ソース、関数等は問題なし。
・Memoシートの「その他メモ」はもう消してもよいのでは？</t>
    <rPh sb="0" eb="3">
      <t>サクセイシャ</t>
    </rPh>
    <rPh sb="4" eb="6">
      <t>ジンボ</t>
    </rPh>
    <rPh sb="8" eb="9">
      <t>ツギ</t>
    </rPh>
    <rPh sb="9" eb="11">
      <t>ネンド</t>
    </rPh>
    <rPh sb="11" eb="13">
      <t>イコウ</t>
    </rPh>
    <rPh sb="15" eb="17">
      <t>ヒキツ</t>
    </rPh>
    <rPh sb="17" eb="19">
      <t>ジコウ</t>
    </rPh>
    <rPh sb="19" eb="20">
      <t>ヨウ</t>
    </rPh>
    <rPh sb="28" eb="30">
      <t>ヤマト</t>
    </rPh>
    <rPh sb="41" eb="43">
      <t>カンスウ</t>
    </rPh>
    <rPh sb="43" eb="44">
      <t>トウ</t>
    </rPh>
    <rPh sb="45" eb="47">
      <t>モンダイ</t>
    </rPh>
    <rPh sb="63" eb="64">
      <t>タ</t>
    </rPh>
    <rPh sb="70" eb="71">
      <t>ケ</t>
    </rPh>
    <phoneticPr fontId="5"/>
  </si>
  <si>
    <t>・SourceシートにURLと取得日を記載した。
・関数が抜けているところがあった。（集計E列）あと値張り付けが間違っていたので張り付けなおした（F列）</t>
    <rPh sb="15" eb="18">
      <t>シュトクビ</t>
    </rPh>
    <rPh sb="19" eb="21">
      <t>キサイ</t>
    </rPh>
    <rPh sb="26" eb="28">
      <t>カンスウ</t>
    </rPh>
    <rPh sb="29" eb="30">
      <t>ヌ</t>
    </rPh>
    <rPh sb="43" eb="45">
      <t>シュウケイ</t>
    </rPh>
    <rPh sb="46" eb="47">
      <t>レツ</t>
    </rPh>
    <rPh sb="50" eb="51">
      <t>アタイ</t>
    </rPh>
    <rPh sb="51" eb="52">
      <t>ハ</t>
    </rPh>
    <rPh sb="53" eb="54">
      <t>ツ</t>
    </rPh>
    <rPh sb="56" eb="58">
      <t>マチガ</t>
    </rPh>
    <rPh sb="64" eb="65">
      <t>ハ</t>
    </rPh>
    <rPh sb="66" eb="67">
      <t>ツ</t>
    </rPh>
    <rPh sb="74" eb="75">
      <t>レツ</t>
    </rPh>
    <phoneticPr fontId="5"/>
  </si>
  <si>
    <t>・情報収集（Parsehub）にかなり時間を要した。次年度では、Museums of the World2021が発刊され次第、早めの着手が重要。「収集方法」のシートも要チェック。</t>
    <rPh sb="26" eb="27">
      <t>ツギ</t>
    </rPh>
    <rPh sb="27" eb="29">
      <t>ネンド</t>
    </rPh>
    <rPh sb="57" eb="59">
      <t>ハッカン</t>
    </rPh>
    <rPh sb="61" eb="63">
      <t>シダイ</t>
    </rPh>
    <rPh sb="64" eb="65">
      <t>ハヤ</t>
    </rPh>
    <rPh sb="67" eb="69">
      <t>チャクシュ</t>
    </rPh>
    <rPh sb="70" eb="72">
      <t>ジュウヨウ</t>
    </rPh>
    <rPh sb="74" eb="76">
      <t>シュウシュウ</t>
    </rPh>
    <rPh sb="76" eb="78">
      <t>ホウホウ</t>
    </rPh>
    <rPh sb="84" eb="85">
      <t>ヨウ</t>
    </rPh>
    <phoneticPr fontId="5"/>
  </si>
  <si>
    <t xml:space="preserve">Some updates to the World Stadium Website caused changes in score. Zurich has a duplicate stadium that should not be counted? </t>
    <phoneticPr fontId="5"/>
  </si>
  <si>
    <t>the formula of Zurich had a mistake(counting area was wrong). The area has been fixed and the duplicate is fixed.</t>
    <phoneticPr fontId="5"/>
  </si>
  <si>
    <t>・Reason of rank changes are not only the definition change but also the result of Questionaire. Please check the excel sheet "順位比較（2020⇔2019各）".</t>
    <phoneticPr fontId="5"/>
  </si>
  <si>
    <t>・Sourceに居住者アンケートを追加。
・香港、ソウルの下落が大きいがラグジュアリーブランドで稼いでいたから。アンケートは大きく変わらない。少し下がった。
・大阪、福岡はどちらもダウン。
・トリップアドバイザーはショップ数とレビュー数は見ていない。Ratingの数が大きいほど評価が高い。
・定義でShops &amp; Mallsとキャピタルにしているのはなぜか。</t>
    <rPh sb="8" eb="11">
      <t>キョジュウシャ</t>
    </rPh>
    <rPh sb="17" eb="19">
      <t>ツイカ</t>
    </rPh>
    <rPh sb="22" eb="24">
      <t>ホンコン</t>
    </rPh>
    <rPh sb="29" eb="31">
      <t>ゲラク</t>
    </rPh>
    <rPh sb="32" eb="33">
      <t>オオ</t>
    </rPh>
    <rPh sb="48" eb="49">
      <t>カセ</t>
    </rPh>
    <rPh sb="62" eb="63">
      <t>オオ</t>
    </rPh>
    <rPh sb="65" eb="66">
      <t>カ</t>
    </rPh>
    <rPh sb="71" eb="72">
      <t>スコ</t>
    </rPh>
    <rPh sb="73" eb="74">
      <t>サ</t>
    </rPh>
    <rPh sb="80" eb="82">
      <t>オオサカ</t>
    </rPh>
    <rPh sb="83" eb="85">
      <t>フクオカ</t>
    </rPh>
    <rPh sb="111" eb="112">
      <t>スウ</t>
    </rPh>
    <rPh sb="117" eb="118">
      <t>スウ</t>
    </rPh>
    <rPh sb="119" eb="120">
      <t>ミ</t>
    </rPh>
    <rPh sb="132" eb="133">
      <t>カズ</t>
    </rPh>
    <rPh sb="134" eb="135">
      <t>オオ</t>
    </rPh>
    <rPh sb="139" eb="141">
      <t>ヒョウカ</t>
    </rPh>
    <rPh sb="142" eb="143">
      <t>タカ</t>
    </rPh>
    <rPh sb="147" eb="149">
      <t>テイギ</t>
    </rPh>
    <phoneticPr fontId="5"/>
  </si>
  <si>
    <t>・LaListe掲載レストラン数が、48都市全体で昨年から35店舗も減った。
・居住者Qは昨年比で全体プラス10と、食事が訪問の理由だと考える人が増えている
・居住者Qのスコアが昨年から下がったのは、大阪と福岡の２都市のみ。順位下落も激しい。</t>
    <rPh sb="8" eb="10">
      <t>ケイサイ</t>
    </rPh>
    <rPh sb="15" eb="16">
      <t>スウ</t>
    </rPh>
    <rPh sb="20" eb="22">
      <t>トシ</t>
    </rPh>
    <rPh sb="22" eb="24">
      <t>ゼンタイ</t>
    </rPh>
    <rPh sb="25" eb="27">
      <t>サクネン</t>
    </rPh>
    <rPh sb="31" eb="33">
      <t>テンポ</t>
    </rPh>
    <rPh sb="34" eb="35">
      <t>ヘ</t>
    </rPh>
    <rPh sb="41" eb="44">
      <t>キョジュウシャ</t>
    </rPh>
    <rPh sb="46" eb="48">
      <t>サクネン</t>
    </rPh>
    <rPh sb="48" eb="49">
      <t>ヒ</t>
    </rPh>
    <rPh sb="59" eb="61">
      <t>ショクジ</t>
    </rPh>
    <rPh sb="62" eb="64">
      <t>ホウモン</t>
    </rPh>
    <rPh sb="65" eb="67">
      <t>リユウ</t>
    </rPh>
    <rPh sb="69" eb="70">
      <t>カンガ</t>
    </rPh>
    <rPh sb="72" eb="73">
      <t>ヒト</t>
    </rPh>
    <rPh sb="74" eb="75">
      <t>フ</t>
    </rPh>
    <rPh sb="102" eb="104">
      <t>オオサカ</t>
    </rPh>
    <rPh sb="105" eb="107">
      <t>フクオカ</t>
    </rPh>
    <rPh sb="109" eb="111">
      <t>トシ</t>
    </rPh>
    <rPh sb="114" eb="116">
      <t>ジュンイ</t>
    </rPh>
    <rPh sb="116" eb="118">
      <t>ゲラク</t>
    </rPh>
    <rPh sb="119" eb="120">
      <t>ハゲ</t>
    </rPh>
    <phoneticPr fontId="5"/>
  </si>
  <si>
    <t xml:space="preserve">＜2ndさんへ＞北京市の異常値で●のつく場所が変わってくるので、北京市のlookupをいったん外して確認した。
・北京市のコメントをご確認ください。
・Mumbaiの範囲をMumbai Suburban＋Mumbaiと記載してください。
・パリ市のコメントを確認ください。
・カイロはエジプトとカイロの人口データを使っているので、人口の指標ファイルができてから最新データを使うべき。
・US都市のコメントをご確認ください。
</t>
    <rPh sb="84" eb="86">
      <t>ハンイ</t>
    </rPh>
    <rPh sb="110" eb="112">
      <t>キサイ</t>
    </rPh>
    <rPh sb="123" eb="124">
      <t>シ</t>
    </rPh>
    <rPh sb="130" eb="132">
      <t>カクニン</t>
    </rPh>
    <rPh sb="152" eb="154">
      <t>ジンコウ</t>
    </rPh>
    <rPh sb="158" eb="159">
      <t>ツカ</t>
    </rPh>
    <rPh sb="166" eb="168">
      <t>ジンコウ</t>
    </rPh>
    <rPh sb="169" eb="171">
      <t>シヒョウ</t>
    </rPh>
    <rPh sb="181" eb="183">
      <t>サイシン</t>
    </rPh>
    <rPh sb="187" eb="188">
      <t>ツカ</t>
    </rPh>
    <rPh sb="196" eb="198">
      <t>トシ</t>
    </rPh>
    <rPh sb="205" eb="207">
      <t>カクニン</t>
    </rPh>
    <phoneticPr fontId="5"/>
  </si>
  <si>
    <t>北京市はMigrantとEthnic Minorityどちらが正しい外国人居住者なのかなんらかの方法で確認できますでしょうか？（北京市のコメント欄を御覧ください。）
To SRC
US都市 :コメント欄を参照してください。
Mumbai：範囲をMumbai Suburban＋Mumbaiと記載してください。
カイロ：エジプトとカイロの人口データを使っているので、人口の指標ファイルができてから最新データに更新。</t>
    <rPh sb="0" eb="3">
      <t>ペキンシ</t>
    </rPh>
    <rPh sb="31" eb="32">
      <t>タダ</t>
    </rPh>
    <rPh sb="34" eb="36">
      <t>ガイコク</t>
    </rPh>
    <rPh sb="36" eb="37">
      <t>ジン</t>
    </rPh>
    <rPh sb="37" eb="40">
      <t>キョジュウシャ</t>
    </rPh>
    <rPh sb="48" eb="50">
      <t>ホウホウ</t>
    </rPh>
    <rPh sb="51" eb="53">
      <t>カクニン</t>
    </rPh>
    <rPh sb="64" eb="66">
      <t>ペキン</t>
    </rPh>
    <rPh sb="66" eb="67">
      <t>シ</t>
    </rPh>
    <rPh sb="72" eb="73">
      <t>ラン</t>
    </rPh>
    <rPh sb="74" eb="76">
      <t>ゴラン</t>
    </rPh>
    <rPh sb="204" eb="206">
      <t>コウシン</t>
    </rPh>
    <phoneticPr fontId="5"/>
  </si>
  <si>
    <r>
      <t xml:space="preserve">一部の都市で採用するデータを変えた結果、大きく値が変わっているところがございます。
昨年のデータを採用した方がいいところもあるかと思いますので、その場合はお申しつけください。
</t>
    </r>
    <r>
      <rPr>
        <sz val="9"/>
        <color rgb="FFFF0000"/>
        <rFont val="游ゴシック"/>
        <family val="3"/>
        <charset val="128"/>
      </rPr>
      <t>（7/17）
ご指摘いただいた部分を修正いたしました。
・USについて、昨年と同じデータにてCityの範囲がありましたので、そちらを採用しております。詳しくは「US」シートをご確認ください。
・エジプトとカイロの人口データにつきましては、人口の指標ファイル完成後にデータを差し替えます。
・北京について改めて定義を調べたところ、統計年鑑の値は他の市から北京に移住している中国人も含まれているようでした。詳しくは「Beijing」シートをご確認ください。
（8/26）
テルアビブについて、Districtの値を推計しました。</t>
    </r>
    <rPh sb="0" eb="2">
      <t>イチブ</t>
    </rPh>
    <rPh sb="3" eb="5">
      <t>トシ</t>
    </rPh>
    <rPh sb="6" eb="8">
      <t>サイヨウ</t>
    </rPh>
    <rPh sb="14" eb="15">
      <t>カ</t>
    </rPh>
    <rPh sb="17" eb="19">
      <t>ケッカ</t>
    </rPh>
    <rPh sb="20" eb="21">
      <t>オオ</t>
    </rPh>
    <rPh sb="23" eb="24">
      <t>アタイ</t>
    </rPh>
    <rPh sb="25" eb="26">
      <t>カ</t>
    </rPh>
    <rPh sb="42" eb="44">
      <t>サクネン</t>
    </rPh>
    <rPh sb="49" eb="51">
      <t>サイヨウ</t>
    </rPh>
    <rPh sb="53" eb="54">
      <t>ホウ</t>
    </rPh>
    <rPh sb="65" eb="66">
      <t>オモ</t>
    </rPh>
    <rPh sb="74" eb="76">
      <t>バアイ</t>
    </rPh>
    <rPh sb="78" eb="79">
      <t>モウ</t>
    </rPh>
    <rPh sb="97" eb="99">
      <t>シテキ</t>
    </rPh>
    <rPh sb="104" eb="106">
      <t>ブブン</t>
    </rPh>
    <rPh sb="107" eb="109">
      <t>シュウセイ</t>
    </rPh>
    <rPh sb="125" eb="127">
      <t>サクネン</t>
    </rPh>
    <rPh sb="128" eb="129">
      <t>オナ</t>
    </rPh>
    <rPh sb="140" eb="142">
      <t>ハンイ</t>
    </rPh>
    <rPh sb="155" eb="157">
      <t>サイヨウ</t>
    </rPh>
    <rPh sb="164" eb="165">
      <t>クワ</t>
    </rPh>
    <rPh sb="177" eb="179">
      <t>カクニン</t>
    </rPh>
    <rPh sb="195" eb="197">
      <t>ジンコウ</t>
    </rPh>
    <rPh sb="208" eb="210">
      <t>ジンコウ</t>
    </rPh>
    <rPh sb="211" eb="213">
      <t>シヒョウ</t>
    </rPh>
    <rPh sb="217" eb="219">
      <t>カンセイ</t>
    </rPh>
    <rPh sb="219" eb="220">
      <t>ゴ</t>
    </rPh>
    <rPh sb="225" eb="226">
      <t>サ</t>
    </rPh>
    <rPh sb="227" eb="228">
      <t>カ</t>
    </rPh>
    <rPh sb="234" eb="236">
      <t>ペキン</t>
    </rPh>
    <rPh sb="240" eb="241">
      <t>アラタ</t>
    </rPh>
    <rPh sb="243" eb="245">
      <t>テイギ</t>
    </rPh>
    <rPh sb="246" eb="247">
      <t>シラ</t>
    </rPh>
    <rPh sb="253" eb="255">
      <t>トウケイ</t>
    </rPh>
    <rPh sb="255" eb="257">
      <t>ネンカン</t>
    </rPh>
    <rPh sb="258" eb="259">
      <t>アタイ</t>
    </rPh>
    <rPh sb="260" eb="261">
      <t>ホカ</t>
    </rPh>
    <rPh sb="262" eb="263">
      <t>シ</t>
    </rPh>
    <rPh sb="265" eb="267">
      <t>ペキン</t>
    </rPh>
    <rPh sb="268" eb="270">
      <t>イジュウ</t>
    </rPh>
    <rPh sb="274" eb="276">
      <t>チュウゴク</t>
    </rPh>
    <rPh sb="276" eb="277">
      <t>ジン</t>
    </rPh>
    <rPh sb="278" eb="279">
      <t>フク</t>
    </rPh>
    <rPh sb="290" eb="291">
      <t>クワ</t>
    </rPh>
    <rPh sb="308" eb="310">
      <t>カクニン</t>
    </rPh>
    <rPh sb="342" eb="343">
      <t>アタイ</t>
    </rPh>
    <rPh sb="344" eb="346">
      <t>スイケイ</t>
    </rPh>
    <phoneticPr fontId="5"/>
  </si>
  <si>
    <t>・エジプトとカイロの人口データを差し替え済み。
・北京確認、解決。
・US都市確認、解決。
・トップのドバイが伸びたため、全体的に減少傾向。
・テルアビの修正を確認。</t>
    <rPh sb="10" eb="12">
      <t>ジンコウ</t>
    </rPh>
    <rPh sb="16" eb="17">
      <t>サ</t>
    </rPh>
    <rPh sb="18" eb="19">
      <t>カ</t>
    </rPh>
    <rPh sb="20" eb="21">
      <t>ズ</t>
    </rPh>
    <rPh sb="25" eb="27">
      <t>ペキン</t>
    </rPh>
    <rPh sb="27" eb="29">
      <t>カクニン</t>
    </rPh>
    <rPh sb="30" eb="32">
      <t>カイケツ</t>
    </rPh>
    <rPh sb="37" eb="39">
      <t>トシ</t>
    </rPh>
    <rPh sb="39" eb="41">
      <t>カクニン</t>
    </rPh>
    <rPh sb="42" eb="44">
      <t>カイケツ</t>
    </rPh>
    <rPh sb="55" eb="56">
      <t>ノ</t>
    </rPh>
    <rPh sb="61" eb="64">
      <t>ゼンタイテキ</t>
    </rPh>
    <rPh sb="65" eb="67">
      <t>ゲンショウ</t>
    </rPh>
    <rPh sb="67" eb="69">
      <t>ケイコウ</t>
    </rPh>
    <rPh sb="77" eb="79">
      <t>シュウセイ</t>
    </rPh>
    <rPh sb="80" eb="82">
      <t>カクニン</t>
    </rPh>
    <phoneticPr fontId="5"/>
  </si>
  <si>
    <t xml:space="preserve">・都市別コメント参照
・データソース変更案（ユーロモニター）については、MEMOに記載
</t>
    <rPh sb="1" eb="4">
      <t>トシベツ</t>
    </rPh>
    <rPh sb="8" eb="10">
      <t>サンショウ</t>
    </rPh>
    <rPh sb="18" eb="20">
      <t>ヘンコウ</t>
    </rPh>
    <rPh sb="20" eb="21">
      <t>アン</t>
    </rPh>
    <rPh sb="41" eb="43">
      <t>キサイ</t>
    </rPh>
    <phoneticPr fontId="5"/>
  </si>
  <si>
    <t>・1stのコメントチェック
・いくつか気になる都市をチェック。
問題なし。</t>
    <rPh sb="19" eb="20">
      <t>キ</t>
    </rPh>
    <rPh sb="23" eb="25">
      <t>トシ</t>
    </rPh>
    <rPh sb="32" eb="34">
      <t>モンダイ</t>
    </rPh>
    <phoneticPr fontId="5"/>
  </si>
  <si>
    <t>Barcelona、Geneva、Zurich、北京、東京、São Pauloについては、より年次の新しいデータが取得できたため、そちらを採用しております。</t>
    <rPh sb="24" eb="26">
      <t>ペキン</t>
    </rPh>
    <rPh sb="27" eb="29">
      <t>トウキョウ</t>
    </rPh>
    <rPh sb="47" eb="49">
      <t>ネンジ</t>
    </rPh>
    <rPh sb="50" eb="51">
      <t>アタラ</t>
    </rPh>
    <rPh sb="57" eb="59">
      <t>シュトク</t>
    </rPh>
    <rPh sb="69" eb="71">
      <t>サイヨウ</t>
    </rPh>
    <phoneticPr fontId="5"/>
  </si>
  <si>
    <r>
      <rPr>
        <sz val="9"/>
        <color rgb="FFFF0000"/>
        <rFont val="游ゴシック"/>
        <family val="3"/>
        <charset val="128"/>
      </rPr>
      <t>・Amsterdamは2015のデータから都市別が無く未更新。国全体では2019年で3.4％の失業率だが、国別に置き換えるか否か。
There has been no data source for Amsterdam since 2015, so we can consider to use the data of Netherlands in 2020.</t>
    </r>
    <r>
      <rPr>
        <sz val="9"/>
        <rFont val="游ゴシック"/>
        <family val="3"/>
        <charset val="128"/>
      </rPr>
      <t xml:space="preserve">
・Cairoの失業率低下の理由と思われる理由は、シート「Cairo」にリンクを添付
I noted the URL which tells why the unemployment rate of Cairo has decreased from 2017 to 2018.
</t>
    </r>
    <rPh sb="21" eb="23">
      <t>トシ</t>
    </rPh>
    <rPh sb="23" eb="24">
      <t>ベツ</t>
    </rPh>
    <rPh sb="25" eb="26">
      <t>ナ</t>
    </rPh>
    <rPh sb="27" eb="30">
      <t>ミコウシン</t>
    </rPh>
    <rPh sb="31" eb="32">
      <t>クニ</t>
    </rPh>
    <rPh sb="32" eb="34">
      <t>ゼンタイ</t>
    </rPh>
    <rPh sb="40" eb="41">
      <t>ネン</t>
    </rPh>
    <rPh sb="47" eb="49">
      <t>シツギョウ</t>
    </rPh>
    <rPh sb="49" eb="50">
      <t>リツ</t>
    </rPh>
    <rPh sb="53" eb="55">
      <t>クニベツ</t>
    </rPh>
    <rPh sb="56" eb="57">
      <t>オ</t>
    </rPh>
    <rPh sb="58" eb="59">
      <t>カ</t>
    </rPh>
    <rPh sb="62" eb="63">
      <t>イナ</t>
    </rPh>
    <rPh sb="188" eb="190">
      <t>シツギョウ</t>
    </rPh>
    <rPh sb="190" eb="191">
      <t>リツ</t>
    </rPh>
    <rPh sb="191" eb="193">
      <t>テイカ</t>
    </rPh>
    <rPh sb="194" eb="196">
      <t>リユウ</t>
    </rPh>
    <rPh sb="197" eb="198">
      <t>オモ</t>
    </rPh>
    <rPh sb="201" eb="203">
      <t>リユウ</t>
    </rPh>
    <rPh sb="220" eb="222">
      <t>テンプ</t>
    </rPh>
    <phoneticPr fontId="5"/>
  </si>
  <si>
    <t>・2015年（GPCI2017）以降、都市データが未更新のAmsterdamについて、毎年更新されている国データに変更するかどうか要検討。但し、その場合、7.7%→3.4％と急激に改善されるので要注意。
・それ以外は特に問題なし。</t>
    <rPh sb="5" eb="6">
      <t>ネン</t>
    </rPh>
    <rPh sb="16" eb="18">
      <t>イコウ</t>
    </rPh>
    <rPh sb="19" eb="21">
      <t>トシ</t>
    </rPh>
    <rPh sb="25" eb="28">
      <t>ミコウシン</t>
    </rPh>
    <rPh sb="43" eb="45">
      <t>マイトシ</t>
    </rPh>
    <rPh sb="45" eb="47">
      <t>コウシン</t>
    </rPh>
    <rPh sb="52" eb="53">
      <t>クニ</t>
    </rPh>
    <rPh sb="57" eb="59">
      <t>ヘンコウ</t>
    </rPh>
    <rPh sb="65" eb="66">
      <t>ヨウ</t>
    </rPh>
    <rPh sb="66" eb="68">
      <t>ケントウ</t>
    </rPh>
    <rPh sb="69" eb="70">
      <t>タダ</t>
    </rPh>
    <rPh sb="74" eb="76">
      <t>バアイ</t>
    </rPh>
    <rPh sb="87" eb="89">
      <t>キュウゲキ</t>
    </rPh>
    <rPh sb="90" eb="92">
      <t>カイゼン</t>
    </rPh>
    <rPh sb="97" eb="100">
      <t>ヨウチュウイ</t>
    </rPh>
    <rPh sb="105" eb="107">
      <t>イガイ</t>
    </rPh>
    <rPh sb="108" eb="109">
      <t>トク</t>
    </rPh>
    <rPh sb="110" eb="112">
      <t>モンダイ</t>
    </rPh>
    <phoneticPr fontId="5"/>
  </si>
  <si>
    <t>・シンガポールのデータの元となっているUBS2009年のページが現在リンク切れで確認できない状態。（シート「Singapore」参照）UBSのページを確認しても見つからず、他にUBS化するためのデータがないため、過年度に倣って数字を使うしかない状況。
・SRC木嵜様からのコメント通り、個別データの年次が異なるので注意。</t>
    <rPh sb="12" eb="13">
      <t>モト</t>
    </rPh>
    <rPh sb="32" eb="34">
      <t>ゲンザイ</t>
    </rPh>
    <rPh sb="37" eb="38">
      <t>キ</t>
    </rPh>
    <rPh sb="40" eb="42">
      <t>カクニン</t>
    </rPh>
    <rPh sb="46" eb="48">
      <t>ジョウタイ</t>
    </rPh>
    <rPh sb="64" eb="66">
      <t>サンショウ</t>
    </rPh>
    <rPh sb="75" eb="77">
      <t>カクニン</t>
    </rPh>
    <rPh sb="80" eb="81">
      <t>ミ</t>
    </rPh>
    <rPh sb="86" eb="87">
      <t>タ</t>
    </rPh>
    <rPh sb="91" eb="92">
      <t>カ</t>
    </rPh>
    <rPh sb="106" eb="109">
      <t>カネンド</t>
    </rPh>
    <rPh sb="110" eb="111">
      <t>ナラ</t>
    </rPh>
    <rPh sb="113" eb="115">
      <t>スウジ</t>
    </rPh>
    <rPh sb="116" eb="117">
      <t>ツカ</t>
    </rPh>
    <rPh sb="122" eb="124">
      <t>ジョウキョウ</t>
    </rPh>
    <rPh sb="132" eb="133">
      <t>サマ</t>
    </rPh>
    <rPh sb="140" eb="141">
      <t>ドオ</t>
    </rPh>
    <rPh sb="143" eb="145">
      <t>コベツ</t>
    </rPh>
    <rPh sb="149" eb="151">
      <t>ネンジ</t>
    </rPh>
    <rPh sb="152" eb="153">
      <t>コト</t>
    </rPh>
    <rPh sb="157" eb="159">
      <t>チュウイ</t>
    </rPh>
    <phoneticPr fontId="5"/>
  </si>
  <si>
    <t>特に問題なし</t>
    <rPh sb="0" eb="1">
      <t>トク</t>
    </rPh>
    <rPh sb="2" eb="4">
      <t>モンダイ</t>
    </rPh>
    <phoneticPr fontId="5"/>
  </si>
  <si>
    <t>大阪、福岡、バンクーバー、サンフランシスコ、ワシントンDC、ボストンについて、昨年は個別に調べたデータとUBSの年次が同じだったため、個別データとUBSデータの比率で計算しておりましたが、今年は個別データとUBSデータで年次が異なっておりました。したがって、2018年の個別データとUBSデータの比率から一度2018年のUBS化したデータを算出し、そこから個別データの変化率を反映させることで、最新のUBS化したデータを算出しております。</t>
    <rPh sb="0" eb="2">
      <t>オオサカ</t>
    </rPh>
    <rPh sb="3" eb="5">
      <t>フクオカ</t>
    </rPh>
    <rPh sb="39" eb="41">
      <t>サクネン</t>
    </rPh>
    <rPh sb="42" eb="44">
      <t>コベツ</t>
    </rPh>
    <rPh sb="45" eb="46">
      <t>シラ</t>
    </rPh>
    <rPh sb="56" eb="58">
      <t>ネンジ</t>
    </rPh>
    <rPh sb="59" eb="60">
      <t>オナ</t>
    </rPh>
    <rPh sb="67" eb="69">
      <t>コベツ</t>
    </rPh>
    <rPh sb="80" eb="82">
      <t>ヒリツ</t>
    </rPh>
    <rPh sb="83" eb="85">
      <t>ケイサン</t>
    </rPh>
    <rPh sb="94" eb="96">
      <t>コトシ</t>
    </rPh>
    <rPh sb="97" eb="99">
      <t>コベツ</t>
    </rPh>
    <rPh sb="110" eb="112">
      <t>ネンジ</t>
    </rPh>
    <rPh sb="113" eb="114">
      <t>コト</t>
    </rPh>
    <rPh sb="133" eb="134">
      <t>ネン</t>
    </rPh>
    <rPh sb="135" eb="137">
      <t>コベツ</t>
    </rPh>
    <rPh sb="148" eb="150">
      <t>ヒリツ</t>
    </rPh>
    <rPh sb="152" eb="154">
      <t>イチド</t>
    </rPh>
    <rPh sb="158" eb="159">
      <t>ネン</t>
    </rPh>
    <rPh sb="163" eb="164">
      <t>カ</t>
    </rPh>
    <rPh sb="170" eb="172">
      <t>サンシュツ</t>
    </rPh>
    <rPh sb="178" eb="180">
      <t>コベツ</t>
    </rPh>
    <rPh sb="184" eb="186">
      <t>ヘンカ</t>
    </rPh>
    <rPh sb="186" eb="187">
      <t>リツ</t>
    </rPh>
    <rPh sb="188" eb="190">
      <t>ハンエイ</t>
    </rPh>
    <rPh sb="197" eb="199">
      <t>サイシン</t>
    </rPh>
    <rPh sb="203" eb="204">
      <t>カ</t>
    </rPh>
    <rPh sb="210" eb="212">
      <t>サンシュツ</t>
    </rPh>
    <phoneticPr fontId="5"/>
  </si>
  <si>
    <t>・集計シートN列「BEFORE→AFTER」を昇順に並べてみると、BEFORE→AFTERでプラスになる（コロナを通じて働き方の柔軟性が促進された）都市ほど、BEFOREのスコアは昨年と比べてマイナスになる。
（推測の域だが）コロナを通じて働き方の柔軟性が促進された都市ほど、BEFOREはより『柔軟では無かった』と感じてしまい、昨年と比較してマイナスの結果に出てしまったのではないか？</t>
    <rPh sb="1" eb="3">
      <t>シュウケイ</t>
    </rPh>
    <rPh sb="7" eb="8">
      <t>レツ</t>
    </rPh>
    <rPh sb="23" eb="25">
      <t>ショウジュン</t>
    </rPh>
    <rPh sb="26" eb="27">
      <t>ナラ</t>
    </rPh>
    <rPh sb="57" eb="58">
      <t>ツウ</t>
    </rPh>
    <rPh sb="60" eb="61">
      <t>ハタラ</t>
    </rPh>
    <rPh sb="62" eb="63">
      <t>カタ</t>
    </rPh>
    <rPh sb="64" eb="67">
      <t>ジュウナンセイ</t>
    </rPh>
    <rPh sb="68" eb="70">
      <t>ソクシン</t>
    </rPh>
    <rPh sb="74" eb="76">
      <t>トシ</t>
    </rPh>
    <rPh sb="90" eb="92">
      <t>サクネン</t>
    </rPh>
    <rPh sb="93" eb="94">
      <t>クラ</t>
    </rPh>
    <rPh sb="106" eb="108">
      <t>スイソク</t>
    </rPh>
    <rPh sb="109" eb="110">
      <t>イキ</t>
    </rPh>
    <rPh sb="133" eb="135">
      <t>トシ</t>
    </rPh>
    <rPh sb="148" eb="150">
      <t>ジュウナン</t>
    </rPh>
    <rPh sb="152" eb="153">
      <t>ナ</t>
    </rPh>
    <rPh sb="158" eb="159">
      <t>カン</t>
    </rPh>
    <rPh sb="165" eb="167">
      <t>サクネン</t>
    </rPh>
    <rPh sb="168" eb="170">
      <t>ヒカク</t>
    </rPh>
    <rPh sb="177" eb="179">
      <t>ケッカ</t>
    </rPh>
    <rPh sb="180" eb="181">
      <t>デ</t>
    </rPh>
    <phoneticPr fontId="5"/>
  </si>
  <si>
    <t>NYも去年2位、Beforeの今回の結果が26位、Afterが3位、とBeforeだけ悪くなっているのは、神保さん指摘のとおりかも。
下位の都市は、BeforeもAfterも下位のままの都市が多い。いくつかの都市はAfterのほうが柔軟じゃなくなった都市があるが途上国が多い印象。</t>
    <rPh sb="3" eb="5">
      <t>キョネン</t>
    </rPh>
    <rPh sb="6" eb="7">
      <t>イ</t>
    </rPh>
    <rPh sb="15" eb="17">
      <t>コンカイ</t>
    </rPh>
    <rPh sb="18" eb="20">
      <t>ケッカ</t>
    </rPh>
    <rPh sb="23" eb="24">
      <t>イ</t>
    </rPh>
    <rPh sb="32" eb="33">
      <t>イ</t>
    </rPh>
    <rPh sb="43" eb="44">
      <t>ワル</t>
    </rPh>
    <rPh sb="53" eb="55">
      <t>ジンボ</t>
    </rPh>
    <rPh sb="57" eb="59">
      <t>シテキ</t>
    </rPh>
    <rPh sb="68" eb="70">
      <t>カイ</t>
    </rPh>
    <rPh sb="71" eb="73">
      <t>トシ</t>
    </rPh>
    <rPh sb="88" eb="90">
      <t>カイ</t>
    </rPh>
    <rPh sb="94" eb="96">
      <t>トシ</t>
    </rPh>
    <rPh sb="97" eb="98">
      <t>オオ</t>
    </rPh>
    <rPh sb="105" eb="107">
      <t>トシ</t>
    </rPh>
    <rPh sb="117" eb="119">
      <t>ジュウナン</t>
    </rPh>
    <rPh sb="126" eb="128">
      <t>トシ</t>
    </rPh>
    <rPh sb="132" eb="135">
      <t>トジョウコク</t>
    </rPh>
    <rPh sb="136" eb="137">
      <t>オオ</t>
    </rPh>
    <rPh sb="138" eb="140">
      <t>インショウ</t>
    </rPh>
    <phoneticPr fontId="5"/>
  </si>
  <si>
    <t xml:space="preserve">MRIご担当者様
Fukuoka Osakaの値について、Estatの参照値が逆になっており、FukuokaにOsakaの値が入っている。こちらで修正するが以後注意いただきたい。
UBSの値は更新されずに2018年の値だが、UBSに載っていない都市については2019年の値を利用しているが、平等に比較する意味では2018年の値を採用すべきなのではないか、と思う。
</t>
    <rPh sb="4" eb="7">
      <t>タントウシャ</t>
    </rPh>
    <rPh sb="7" eb="8">
      <t>サマ</t>
    </rPh>
    <rPh sb="23" eb="24">
      <t>アタイ</t>
    </rPh>
    <rPh sb="35" eb="37">
      <t>サンショウ</t>
    </rPh>
    <rPh sb="37" eb="38">
      <t>チ</t>
    </rPh>
    <rPh sb="39" eb="40">
      <t>ギャク</t>
    </rPh>
    <rPh sb="61" eb="62">
      <t>アタイ</t>
    </rPh>
    <rPh sb="63" eb="64">
      <t>ハイ</t>
    </rPh>
    <rPh sb="73" eb="75">
      <t>シュウセイ</t>
    </rPh>
    <rPh sb="78" eb="80">
      <t>イゴ</t>
    </rPh>
    <rPh sb="80" eb="82">
      <t>チュウイ</t>
    </rPh>
    <rPh sb="95" eb="96">
      <t>アタイ</t>
    </rPh>
    <rPh sb="97" eb="99">
      <t>コウシン</t>
    </rPh>
    <rPh sb="107" eb="108">
      <t>ネン</t>
    </rPh>
    <rPh sb="109" eb="110">
      <t>アタイ</t>
    </rPh>
    <rPh sb="117" eb="118">
      <t>ノ</t>
    </rPh>
    <rPh sb="123" eb="125">
      <t>トシ</t>
    </rPh>
    <rPh sb="134" eb="135">
      <t>ネン</t>
    </rPh>
    <rPh sb="136" eb="137">
      <t>アタイ</t>
    </rPh>
    <rPh sb="138" eb="140">
      <t>リヨウ</t>
    </rPh>
    <rPh sb="146" eb="148">
      <t>ビョウドウ</t>
    </rPh>
    <rPh sb="149" eb="151">
      <t>ヒカク</t>
    </rPh>
    <rPh sb="153" eb="155">
      <t>イミ</t>
    </rPh>
    <rPh sb="161" eb="162">
      <t>ネン</t>
    </rPh>
    <rPh sb="163" eb="164">
      <t>アタイ</t>
    </rPh>
    <rPh sb="165" eb="167">
      <t>サイヨウ</t>
    </rPh>
    <rPh sb="179" eb="180">
      <t>オモ</t>
    </rPh>
    <phoneticPr fontId="5"/>
  </si>
  <si>
    <t>今年は2019年（取れる最新の値）でOKだが、
来年以降は主要なソースの年次と個別に取得する都市のデータ年次はそろえる、</t>
    <phoneticPr fontId="5"/>
  </si>
  <si>
    <t xml:space="preserve">・44位のシンガポールは推計に使う元データが古い（2009年のUBSデータ）上に、もうUBSでは公表されていないデータであるため、今後このデータを使い続けるかは要検討。
</t>
    <rPh sb="3" eb="4">
      <t>イ</t>
    </rPh>
    <rPh sb="12" eb="14">
      <t>スイケイ</t>
    </rPh>
    <rPh sb="15" eb="16">
      <t>ツカ</t>
    </rPh>
    <rPh sb="17" eb="18">
      <t>モト</t>
    </rPh>
    <rPh sb="22" eb="23">
      <t>フル</t>
    </rPh>
    <rPh sb="29" eb="30">
      <t>ネン</t>
    </rPh>
    <rPh sb="38" eb="39">
      <t>ウエ</t>
    </rPh>
    <rPh sb="48" eb="50">
      <t>コウヒョウ</t>
    </rPh>
    <rPh sb="65" eb="67">
      <t>コンゴ</t>
    </rPh>
    <rPh sb="73" eb="74">
      <t>ツカ</t>
    </rPh>
    <rPh sb="75" eb="76">
      <t>ツヅ</t>
    </rPh>
    <rPh sb="80" eb="81">
      <t>ヨウ</t>
    </rPh>
    <rPh sb="81" eb="83">
      <t>ケントウ</t>
    </rPh>
    <phoneticPr fontId="5"/>
  </si>
  <si>
    <t>【to MRI・SRC】
シンガポールの計算式は、昨年が合っている気もします。今一度ご確認いただけますか？</t>
    <rPh sb="20" eb="22">
      <t>ケイサン</t>
    </rPh>
    <rPh sb="22" eb="23">
      <t>シキ</t>
    </rPh>
    <rPh sb="25" eb="27">
      <t>サクネン</t>
    </rPh>
    <rPh sb="28" eb="29">
      <t>ア</t>
    </rPh>
    <rPh sb="33" eb="34">
      <t>キ</t>
    </rPh>
    <rPh sb="39" eb="42">
      <t>イマイチド</t>
    </rPh>
    <rPh sb="43" eb="45">
      <t>カクニン</t>
    </rPh>
    <phoneticPr fontId="5"/>
  </si>
  <si>
    <t>申し訳ございません。昨年の計算式で合っていたようです。修正いたしましたのでご確認いただけますでしょうか。</t>
    <rPh sb="0" eb="1">
      <t>モウ</t>
    </rPh>
    <rPh sb="2" eb="3">
      <t>ワケ</t>
    </rPh>
    <rPh sb="10" eb="12">
      <t>サクネン</t>
    </rPh>
    <rPh sb="13" eb="16">
      <t>ケイサンシキ</t>
    </rPh>
    <rPh sb="17" eb="18">
      <t>ア</t>
    </rPh>
    <rPh sb="27" eb="29">
      <t>シュウセイ</t>
    </rPh>
    <rPh sb="38" eb="40">
      <t>カクニン</t>
    </rPh>
    <phoneticPr fontId="5"/>
  </si>
  <si>
    <t>・集計シートE列を、IF関数を使い統一した。
【To 2nd check担当者】
・Moscow（2016）の殺人件数が1,073（425+648）となっているが、元のwebsiteを確認したところ648では？
・Helsinkiに関するSRCコメントの件：Murder（謀殺）とManslaughter（故殺）には殺人未遂は含まれていないと思われるので、そのままでOKだと考えました。</t>
    <rPh sb="1" eb="3">
      <t>シュウケイ</t>
    </rPh>
    <rPh sb="7" eb="8">
      <t>レツ</t>
    </rPh>
    <rPh sb="12" eb="14">
      <t>カンスウ</t>
    </rPh>
    <rPh sb="15" eb="16">
      <t>ツカ</t>
    </rPh>
    <rPh sb="17" eb="19">
      <t>トウイツ</t>
    </rPh>
    <rPh sb="37" eb="40">
      <t>タントウシャ</t>
    </rPh>
    <rPh sb="117" eb="118">
      <t>カン</t>
    </rPh>
    <rPh sb="128" eb="129">
      <t>ケン</t>
    </rPh>
    <rPh sb="137" eb="139">
      <t>ボウサツ</t>
    </rPh>
    <rPh sb="154" eb="156">
      <t>コサツ</t>
    </rPh>
    <rPh sb="159" eb="161">
      <t>サツジン</t>
    </rPh>
    <rPh sb="161" eb="163">
      <t>ミスイ</t>
    </rPh>
    <rPh sb="164" eb="165">
      <t>フク</t>
    </rPh>
    <rPh sb="172" eb="173">
      <t>オモ</t>
    </rPh>
    <rPh sb="188" eb="189">
      <t>カンガ</t>
    </rPh>
    <phoneticPr fontId="5"/>
  </si>
  <si>
    <r>
      <t xml:space="preserve">・Moscow（2016）648が正かと。別シートに画面はります。
・Helsinki　同じ表の1個下の行に 「Attempted manslaughter」とあり、そこに未遂が含まれているのかと思います。ただ、按分のための2019年の都市人口データがないため、GPCI2020では、Eurostatでいいと思います。
・LondonのIntentional homicide offences（Eurostat） が2017→2018で（160件→5件）が信じがたい。下記報道参照。
</t>
    </r>
    <r>
      <rPr>
        <sz val="9"/>
        <color rgb="FF0070C0"/>
        <rFont val="游ゴシック"/>
        <family val="3"/>
        <charset val="128"/>
      </rPr>
      <t>https://www.bbc.com/news/uk-46128268
→GPCI2019のスコアで据え置き</t>
    </r>
    <r>
      <rPr>
        <sz val="9"/>
        <rFont val="游ゴシック"/>
        <family val="3"/>
        <charset val="128"/>
      </rPr>
      <t xml:space="preserve">
</t>
    </r>
    <rPh sb="17" eb="18">
      <t>タダ</t>
    </rPh>
    <rPh sb="21" eb="22">
      <t>ベツ</t>
    </rPh>
    <rPh sb="26" eb="28">
      <t>ガメン</t>
    </rPh>
    <rPh sb="45" eb="46">
      <t>オナ</t>
    </rPh>
    <rPh sb="47" eb="48">
      <t>ヒョウ</t>
    </rPh>
    <rPh sb="50" eb="51">
      <t>コ</t>
    </rPh>
    <rPh sb="51" eb="52">
      <t>シタ</t>
    </rPh>
    <rPh sb="53" eb="54">
      <t>ギョウ</t>
    </rPh>
    <rPh sb="87" eb="89">
      <t>ミスイ</t>
    </rPh>
    <rPh sb="90" eb="91">
      <t>フク</t>
    </rPh>
    <rPh sb="99" eb="100">
      <t>オモ</t>
    </rPh>
    <rPh sb="107" eb="109">
      <t>アンブン</t>
    </rPh>
    <rPh sb="117" eb="118">
      <t>ネン</t>
    </rPh>
    <rPh sb="119" eb="121">
      <t>トシ</t>
    </rPh>
    <rPh sb="121" eb="123">
      <t>ジンコウ</t>
    </rPh>
    <rPh sb="155" eb="156">
      <t>オモ</t>
    </rPh>
    <rPh sb="225" eb="226">
      <t>ケン</t>
    </rPh>
    <rPh sb="228" eb="229">
      <t>ケン</t>
    </rPh>
    <rPh sb="231" eb="232">
      <t>シン</t>
    </rPh>
    <rPh sb="237" eb="239">
      <t>カキ</t>
    </rPh>
    <rPh sb="239" eb="241">
      <t>ホウドウ</t>
    </rPh>
    <rPh sb="241" eb="243">
      <t>サンショウ</t>
    </rPh>
    <rPh sb="296" eb="297">
      <t>ス</t>
    </rPh>
    <rPh sb="298" eb="299">
      <t>オ</t>
    </rPh>
    <phoneticPr fontId="5"/>
  </si>
  <si>
    <t>・ヘルシンキについて、個別ソースを採用してもいいかもしれません。詳しくは「【不採用】Helsinki」シートをご参照ください。</t>
    <rPh sb="11" eb="13">
      <t>コベツ</t>
    </rPh>
    <rPh sb="17" eb="19">
      <t>サイヨウ</t>
    </rPh>
    <rPh sb="32" eb="33">
      <t>クワ</t>
    </rPh>
    <rPh sb="38" eb="41">
      <t>フサイヨウ</t>
    </rPh>
    <rPh sb="56" eb="58">
      <t>サンショウ</t>
    </rPh>
    <phoneticPr fontId="5"/>
  </si>
  <si>
    <r>
      <t xml:space="preserve">★Londonの殺人件数（Eurostat） が2017→2018で（160件→5件）と激減。過去の推移や、下記ニュースサイトをみても特異のため、GPCI2020では、GPCI2019の値をそのまま使用する。
</t>
    </r>
    <r>
      <rPr>
        <sz val="9"/>
        <color rgb="FFFF0000"/>
        <rFont val="游ゴシック"/>
        <family val="3"/>
        <charset val="128"/>
      </rPr>
      <t>https://www.bbc.com/news/uk-46128268</t>
    </r>
    <rPh sb="8" eb="10">
      <t>サツジン</t>
    </rPh>
    <rPh sb="10" eb="12">
      <t>ケンスウ</t>
    </rPh>
    <rPh sb="44" eb="46">
      <t>ゲキゲン</t>
    </rPh>
    <rPh sb="47" eb="49">
      <t>カコ</t>
    </rPh>
    <rPh sb="50" eb="52">
      <t>スイイ</t>
    </rPh>
    <rPh sb="54" eb="56">
      <t>カキ</t>
    </rPh>
    <rPh sb="67" eb="69">
      <t>トクイ</t>
    </rPh>
    <phoneticPr fontId="5"/>
  </si>
  <si>
    <t>・Copyrightが2018のままであることをサイト上で確認。5都市ほどピックアップし、元サイトとデータが差異ないか確認、また以下の記述あり。When was the study conducted i.e. what was the last data collection period?The last data cut was taken in January 2018. This means that the index does not factor 2018 developments such as the latest peace progress in the Korean peninsula.⇒サイトは更新されていないと判断⇒OK。
・東京がどの範囲を示すか知りたいが、
City GDP　$1,514.80（bn）と記載されており、東京都のHPには9588億ドルと書かれているので、東京圏であることが推測される。
・Natural Catastrophe and Climateが何を含むか、サイトに記述はないが、以下の項目だと推測される。Drought, Earthquake, Flood, Freeze, Heatwave, Solar storm, Tropical/temperate, windstorm, Tsunami, Volcano</t>
    <rPh sb="27" eb="28">
      <t>ジョウ</t>
    </rPh>
    <rPh sb="29" eb="31">
      <t>カクニン</t>
    </rPh>
    <rPh sb="33" eb="35">
      <t>トシ</t>
    </rPh>
    <rPh sb="45" eb="46">
      <t>モト</t>
    </rPh>
    <rPh sb="54" eb="56">
      <t>サイ</t>
    </rPh>
    <rPh sb="59" eb="61">
      <t>カクニン</t>
    </rPh>
    <rPh sb="64" eb="66">
      <t>イカ</t>
    </rPh>
    <rPh sb="67" eb="69">
      <t>キジュツ</t>
    </rPh>
    <rPh sb="315" eb="317">
      <t>コウシン</t>
    </rPh>
    <rPh sb="324" eb="326">
      <t>ハンダン</t>
    </rPh>
    <rPh sb="332" eb="334">
      <t>トウキョウ</t>
    </rPh>
    <rPh sb="337" eb="339">
      <t>ハンイ</t>
    </rPh>
    <rPh sb="340" eb="341">
      <t>シメ</t>
    </rPh>
    <rPh sb="343" eb="344">
      <t>シ</t>
    </rPh>
    <rPh sb="373" eb="375">
      <t>キサイ</t>
    </rPh>
    <rPh sb="381" eb="383">
      <t>トウキョウ</t>
    </rPh>
    <rPh sb="383" eb="384">
      <t>ト</t>
    </rPh>
    <rPh sb="397" eb="398">
      <t>カ</t>
    </rPh>
    <rPh sb="406" eb="409">
      <t>トウキョウケン</t>
    </rPh>
    <rPh sb="415" eb="417">
      <t>スイソク</t>
    </rPh>
    <rPh sb="455" eb="456">
      <t>ナニ</t>
    </rPh>
    <rPh sb="457" eb="458">
      <t>フク</t>
    </rPh>
    <rPh sb="465" eb="467">
      <t>キジュツ</t>
    </rPh>
    <rPh sb="472" eb="474">
      <t>イカ</t>
    </rPh>
    <rPh sb="475" eb="477">
      <t>コウモク</t>
    </rPh>
    <rPh sb="479" eb="481">
      <t>スイソク</t>
    </rPh>
    <phoneticPr fontId="5"/>
  </si>
  <si>
    <t>データ更新がないことを確認</t>
    <rPh sb="3" eb="5">
      <t>コウシン</t>
    </rPh>
    <rPh sb="11" eb="13">
      <t>カクニン</t>
    </rPh>
    <phoneticPr fontId="5"/>
  </si>
  <si>
    <t>データの更新はありませんでした。</t>
    <rPh sb="4" eb="6">
      <t>コウシン</t>
    </rPh>
    <phoneticPr fontId="5"/>
  </si>
  <si>
    <t>SourceはOK
WHO、香港、台湾　データOK
※WHOのデータ年次がGPCI2019からGPCI2020で変わっていない（2016のまま）が、データの数値が変わっている。
元データまでたどったが、原因不明。</t>
    <rPh sb="14" eb="16">
      <t>ホンコン</t>
    </rPh>
    <rPh sb="17" eb="19">
      <t>タイワン</t>
    </rPh>
    <rPh sb="34" eb="36">
      <t>ネンジ</t>
    </rPh>
    <rPh sb="56" eb="57">
      <t>カ</t>
    </rPh>
    <rPh sb="78" eb="80">
      <t>スウチ</t>
    </rPh>
    <rPh sb="81" eb="82">
      <t>カ</t>
    </rPh>
    <rPh sb="89" eb="90">
      <t>モト</t>
    </rPh>
    <rPh sb="101" eb="103">
      <t>ゲンイン</t>
    </rPh>
    <rPh sb="103" eb="105">
      <t>フメイ</t>
    </rPh>
    <phoneticPr fontId="5"/>
  </si>
  <si>
    <t xml:space="preserve">CheckシートOK
SourceシートOK
集計シート他、計算シートOK
↑神保さんのコメントについて、GPCI2019とGPCI2020の値が出典年次が同じなのに変化があることに関して、おそらく元データ自体は2020年版となっているので、おそらく2016年のデータが更新されたものと考えます。
</t>
    <rPh sb="40" eb="42">
      <t>ジンボ</t>
    </rPh>
    <rPh sb="72" eb="73">
      <t>アタイ</t>
    </rPh>
    <rPh sb="74" eb="76">
      <t>シュッテン</t>
    </rPh>
    <rPh sb="76" eb="78">
      <t>ネンジ</t>
    </rPh>
    <rPh sb="79" eb="80">
      <t>オナ</t>
    </rPh>
    <rPh sb="84" eb="86">
      <t>ヘンカ</t>
    </rPh>
    <rPh sb="92" eb="93">
      <t>カン</t>
    </rPh>
    <rPh sb="100" eb="101">
      <t>モト</t>
    </rPh>
    <rPh sb="104" eb="106">
      <t>ジタイ</t>
    </rPh>
    <rPh sb="111" eb="112">
      <t>ネン</t>
    </rPh>
    <rPh sb="112" eb="113">
      <t>バン</t>
    </rPh>
    <rPh sb="130" eb="131">
      <t>ネン</t>
    </rPh>
    <rPh sb="136" eb="138">
      <t>コウシン</t>
    </rPh>
    <rPh sb="144" eb="145">
      <t>カンガ</t>
    </rPh>
    <phoneticPr fontId="5"/>
  </si>
  <si>
    <t>松田コメント：書式整えているときに気づいたのですが、昨年「腐敗」のヨハネスとジャカルタに間違いあったかも
松田コメント：貧困、格差問題を入れたい Gini coefficient
この指標はもういっぱいだから、別の指標に入れる？
鈴木コメント：データ最新版確認OK、計算式OK、Sourceの記載方法について、WEFのデータのみHong Kong TaiwanがChinaになっているが、合算時には反映されない模様。それで良いか？</t>
    <rPh sb="0" eb="2">
      <t>マツダ</t>
    </rPh>
    <rPh sb="7" eb="9">
      <t>ショシキ</t>
    </rPh>
    <rPh sb="9" eb="10">
      <t>トトノ</t>
    </rPh>
    <rPh sb="17" eb="18">
      <t>キ</t>
    </rPh>
    <rPh sb="26" eb="28">
      <t>サクネン</t>
    </rPh>
    <rPh sb="29" eb="31">
      <t>フハイ</t>
    </rPh>
    <rPh sb="44" eb="46">
      <t>マチガ</t>
    </rPh>
    <rPh sb="53" eb="55">
      <t>マツダ</t>
    </rPh>
    <rPh sb="115" eb="117">
      <t>スズキ</t>
    </rPh>
    <rPh sb="125" eb="128">
      <t>サイシンバン</t>
    </rPh>
    <rPh sb="128" eb="130">
      <t>カクニン</t>
    </rPh>
    <rPh sb="133" eb="136">
      <t>ケイサンシキ</t>
    </rPh>
    <rPh sb="146" eb="148">
      <t>キサイ</t>
    </rPh>
    <rPh sb="148" eb="150">
      <t>ホウホウ</t>
    </rPh>
    <rPh sb="194" eb="196">
      <t>ガッサン</t>
    </rPh>
    <rPh sb="196" eb="197">
      <t>ジ</t>
    </rPh>
    <rPh sb="199" eb="201">
      <t>ハンエイ</t>
    </rPh>
    <rPh sb="205" eb="207">
      <t>モヨウ</t>
    </rPh>
    <rPh sb="211" eb="212">
      <t>ヨ</t>
    </rPh>
    <phoneticPr fontId="5"/>
  </si>
  <si>
    <t>1次コメントのHong KongとTaiwanの集計およびSourceを確認したが、特に問題なし。</t>
    <rPh sb="1" eb="2">
      <t>ジ</t>
    </rPh>
    <rPh sb="24" eb="26">
      <t>シュウケイ</t>
    </rPh>
    <rPh sb="36" eb="38">
      <t>カクニン</t>
    </rPh>
    <rPh sb="42" eb="43">
      <t>トク</t>
    </rPh>
    <rPh sb="44" eb="46">
      <t>モンダイ</t>
    </rPh>
    <phoneticPr fontId="5"/>
  </si>
  <si>
    <r>
      <t xml:space="preserve">松田コメント：書式整えているときに気づいたのですが、昨年「精神疾患」の台湾推測に間違いあったかも
</t>
    </r>
    <r>
      <rPr>
        <sz val="9"/>
        <color rgb="FFFF0000"/>
        <rFont val="游ゴシック"/>
        <family val="3"/>
        <charset val="128"/>
      </rPr>
      <t>→大和：台湾の「自殺率」が10万人あたりではなく1万人あたりになっている。SRC様、修正をお願いします（6/29） 。
大和：WHOの精神疾患データ（香港・台湾以外の出典）の単位は千人ではないか？</t>
    </r>
    <rPh sb="0" eb="2">
      <t>マツダ</t>
    </rPh>
    <rPh sb="7" eb="9">
      <t>ショシキ</t>
    </rPh>
    <rPh sb="9" eb="10">
      <t>トトノ</t>
    </rPh>
    <rPh sb="17" eb="18">
      <t>キ</t>
    </rPh>
    <rPh sb="26" eb="28">
      <t>サクネン</t>
    </rPh>
    <rPh sb="29" eb="33">
      <t>セイシンシッカン</t>
    </rPh>
    <rPh sb="35" eb="37">
      <t>タイワン</t>
    </rPh>
    <rPh sb="37" eb="39">
      <t>スイソク</t>
    </rPh>
    <rPh sb="40" eb="42">
      <t>マチガ</t>
    </rPh>
    <rPh sb="53" eb="55">
      <t>タイワン</t>
    </rPh>
    <rPh sb="57" eb="59">
      <t>ジサツ</t>
    </rPh>
    <rPh sb="59" eb="60">
      <t>リツ</t>
    </rPh>
    <rPh sb="89" eb="90">
      <t>サマ</t>
    </rPh>
    <rPh sb="91" eb="93">
      <t>シュウセイ</t>
    </rPh>
    <rPh sb="95" eb="96">
      <t>ネガ</t>
    </rPh>
    <rPh sb="110" eb="112">
      <t>ヤマト</t>
    </rPh>
    <rPh sb="117" eb="119">
      <t>セイシン</t>
    </rPh>
    <rPh sb="119" eb="121">
      <t>シッカン</t>
    </rPh>
    <rPh sb="125" eb="127">
      <t>ホンコン</t>
    </rPh>
    <rPh sb="128" eb="130">
      <t>タイワン</t>
    </rPh>
    <rPh sb="130" eb="132">
      <t>イガイ</t>
    </rPh>
    <rPh sb="133" eb="135">
      <t>シュッテン</t>
    </rPh>
    <rPh sb="137" eb="139">
      <t>タンイ</t>
    </rPh>
    <rPh sb="140" eb="142">
      <t>センニン</t>
    </rPh>
    <phoneticPr fontId="5"/>
  </si>
  <si>
    <t>・Taiwanの推計で用いている人口は人口指標ファイルと一致させたいので、人口ファイルがFixしたら同じ年の人口の値を使ってください。
・HK精神疾患シートとTaiwan精神疾患の備考シート見てください。
・集計シートに単位の列を追加しました。
HKの単位を千人にしてください。台湾も同様に千人にしてください。
・Memoシートの「その他備考」にHKと台湾の推計方法について記述してください。</t>
    <rPh sb="8" eb="10">
      <t>スイケイ</t>
    </rPh>
    <rPh sb="11" eb="12">
      <t>モチ</t>
    </rPh>
    <rPh sb="16" eb="18">
      <t>ジンコウ</t>
    </rPh>
    <rPh sb="19" eb="21">
      <t>ジンコウ</t>
    </rPh>
    <rPh sb="21" eb="23">
      <t>シヒョウ</t>
    </rPh>
    <rPh sb="28" eb="30">
      <t>イッチ</t>
    </rPh>
    <rPh sb="37" eb="39">
      <t>ジンコウ</t>
    </rPh>
    <rPh sb="50" eb="51">
      <t>オナ</t>
    </rPh>
    <rPh sb="52" eb="53">
      <t>トシ</t>
    </rPh>
    <rPh sb="54" eb="56">
      <t>ジンコウ</t>
    </rPh>
    <rPh sb="57" eb="58">
      <t>アタイ</t>
    </rPh>
    <rPh sb="59" eb="60">
      <t>ツカ</t>
    </rPh>
    <rPh sb="104" eb="106">
      <t>シュウケイ</t>
    </rPh>
    <rPh sb="110" eb="112">
      <t>タンイ</t>
    </rPh>
    <rPh sb="113" eb="114">
      <t>レツ</t>
    </rPh>
    <rPh sb="115" eb="117">
      <t>ツイカ</t>
    </rPh>
    <rPh sb="126" eb="128">
      <t>タンイ</t>
    </rPh>
    <rPh sb="129" eb="131">
      <t>センニン</t>
    </rPh>
    <rPh sb="139" eb="141">
      <t>タイワン</t>
    </rPh>
    <rPh sb="142" eb="144">
      <t>ドウヨウ</t>
    </rPh>
    <rPh sb="145" eb="147">
      <t>センニン</t>
    </rPh>
    <rPh sb="168" eb="169">
      <t>タ</t>
    </rPh>
    <rPh sb="169" eb="171">
      <t>ビコウ</t>
    </rPh>
    <rPh sb="176" eb="178">
      <t>タイワン</t>
    </rPh>
    <rPh sb="179" eb="181">
      <t>スイケイ</t>
    </rPh>
    <rPh sb="181" eb="183">
      <t>ホウホウ</t>
    </rPh>
    <rPh sb="187" eb="189">
      <t>キジュツ</t>
    </rPh>
    <phoneticPr fontId="5"/>
  </si>
  <si>
    <r>
      <t xml:space="preserve">「自殺率」の台湾推計が誤っているかもしれません。昨年同様に計算しておりますが、修正が必要な場合はご指示ください。
</t>
    </r>
    <r>
      <rPr>
        <sz val="9"/>
        <color rgb="FFFF0000"/>
        <rFont val="游ゴシック"/>
        <family val="3"/>
        <charset val="128"/>
      </rPr>
      <t>（7/17）
・ご指摘いただいた部分について、修正しました。人口の指標ファイルが完成次第、台湾の人口データを差し替えます。</t>
    </r>
    <r>
      <rPr>
        <sz val="9"/>
        <rFont val="游ゴシック"/>
        <family val="3"/>
        <charset val="128"/>
      </rPr>
      <t xml:space="preserve">
</t>
    </r>
    <r>
      <rPr>
        <sz val="9"/>
        <color rgb="FFFF0000"/>
        <rFont val="游ゴシック"/>
        <family val="3"/>
        <charset val="128"/>
      </rPr>
      <t>・HK精神疾患とTaiwan精神疾患のシートで採用している「中国の精神疾患の割合」のデータはMMF様のご指摘通り、同レポートのFig3.1のようです。
・申し訳ありません。改めて確認したところ、精神疾患者について、香港と台湾の推計方法が間違っていたようです。詳しくは各シートの備考欄をご確認いただけますでしょうか。</t>
    </r>
    <r>
      <rPr>
        <sz val="9"/>
        <rFont val="游ゴシック"/>
        <family val="3"/>
        <charset val="128"/>
      </rPr>
      <t xml:space="preserve">
</t>
    </r>
    <r>
      <rPr>
        <sz val="9"/>
        <color rgb="FFFF0000"/>
        <rFont val="游ゴシック"/>
        <family val="3"/>
        <charset val="128"/>
      </rPr>
      <t>・集計シートの自殺者率の単位は10万人あたりの自殺者数なので「/10万人」と修正しました。
（7/31）
・台湾の自殺率について、同サイト内の別ソースにデータがありました。そちらを採用しております。</t>
    </r>
    <rPh sb="66" eb="68">
      <t>シテキ</t>
    </rPh>
    <rPh sb="73" eb="75">
      <t>ブブン</t>
    </rPh>
    <rPh sb="80" eb="82">
      <t>シュウセイ</t>
    </rPh>
    <rPh sb="87" eb="89">
      <t>ジンコウ</t>
    </rPh>
    <rPh sb="90" eb="92">
      <t>シヒョウ</t>
    </rPh>
    <rPh sb="97" eb="99">
      <t>カンセイ</t>
    </rPh>
    <rPh sb="99" eb="101">
      <t>シダイ</t>
    </rPh>
    <rPh sb="102" eb="104">
      <t>タイワン</t>
    </rPh>
    <rPh sb="105" eb="107">
      <t>ジンコウ</t>
    </rPh>
    <rPh sb="111" eb="112">
      <t>サ</t>
    </rPh>
    <rPh sb="113" eb="114">
      <t>カ</t>
    </rPh>
    <rPh sb="142" eb="144">
      <t>サイヨウ</t>
    </rPh>
    <rPh sb="168" eb="169">
      <t>サマ</t>
    </rPh>
    <rPh sb="171" eb="173">
      <t>シテキ</t>
    </rPh>
    <rPh sb="173" eb="174">
      <t>ドオ</t>
    </rPh>
    <rPh sb="176" eb="177">
      <t>ドウ</t>
    </rPh>
    <rPh sb="196" eb="197">
      <t>モウ</t>
    </rPh>
    <rPh sb="198" eb="199">
      <t>ワケ</t>
    </rPh>
    <rPh sb="205" eb="206">
      <t>アラタ</t>
    </rPh>
    <rPh sb="208" eb="210">
      <t>カクニン</t>
    </rPh>
    <rPh sb="216" eb="218">
      <t>セイシン</t>
    </rPh>
    <rPh sb="218" eb="220">
      <t>シッカン</t>
    </rPh>
    <rPh sb="220" eb="221">
      <t>シャ</t>
    </rPh>
    <rPh sb="226" eb="228">
      <t>ホンコン</t>
    </rPh>
    <rPh sb="229" eb="231">
      <t>タイワン</t>
    </rPh>
    <rPh sb="232" eb="234">
      <t>スイケイ</t>
    </rPh>
    <rPh sb="234" eb="236">
      <t>ホウホウ</t>
    </rPh>
    <rPh sb="237" eb="239">
      <t>マチガ</t>
    </rPh>
    <rPh sb="248" eb="249">
      <t>クワ</t>
    </rPh>
    <rPh sb="252" eb="253">
      <t>カク</t>
    </rPh>
    <rPh sb="257" eb="259">
      <t>ビコウ</t>
    </rPh>
    <rPh sb="259" eb="260">
      <t>ラン</t>
    </rPh>
    <rPh sb="262" eb="264">
      <t>カクニン</t>
    </rPh>
    <rPh sb="278" eb="280">
      <t>シュウケイ</t>
    </rPh>
    <rPh sb="284" eb="287">
      <t>ジサツシャ</t>
    </rPh>
    <rPh sb="287" eb="288">
      <t>リツ</t>
    </rPh>
    <rPh sb="289" eb="291">
      <t>タンイ</t>
    </rPh>
    <rPh sb="294" eb="296">
      <t>マンニン</t>
    </rPh>
    <rPh sb="300" eb="303">
      <t>ジサツシャ</t>
    </rPh>
    <rPh sb="303" eb="304">
      <t>スウ</t>
    </rPh>
    <rPh sb="311" eb="313">
      <t>マンニン</t>
    </rPh>
    <rPh sb="315" eb="317">
      <t>シュウセイ</t>
    </rPh>
    <rPh sb="331" eb="333">
      <t>タイワン</t>
    </rPh>
    <rPh sb="334" eb="336">
      <t>ジサツ</t>
    </rPh>
    <rPh sb="336" eb="337">
      <t>リツ</t>
    </rPh>
    <rPh sb="342" eb="343">
      <t>ドウ</t>
    </rPh>
    <rPh sb="346" eb="347">
      <t>ナイ</t>
    </rPh>
    <rPh sb="348" eb="349">
      <t>ベツ</t>
    </rPh>
    <rPh sb="367" eb="369">
      <t>サイヨウ</t>
    </rPh>
    <phoneticPr fontId="5"/>
  </si>
  <si>
    <t>人口ファイルに台湾の国データを入れるところがなかったので、MOFAの値を使ったままでOKとなりました。すみません。台湾の自殺率があまりに他都市と比較して高すぎるのが気になるのですが、計算上ミスがないか、http://japan.cna.com.tw/news/asoc/201809110008.aspx　の記事をみると単位が違うのですが、別の出典も探していただけますでしょうか？</t>
    <rPh sb="0" eb="2">
      <t>ジンコウ</t>
    </rPh>
    <rPh sb="7" eb="9">
      <t>タイワン</t>
    </rPh>
    <rPh sb="10" eb="11">
      <t>クニ</t>
    </rPh>
    <rPh sb="15" eb="16">
      <t>イ</t>
    </rPh>
    <rPh sb="34" eb="35">
      <t>アタイ</t>
    </rPh>
    <rPh sb="36" eb="37">
      <t>ツカ</t>
    </rPh>
    <rPh sb="57" eb="59">
      <t>タイワン</t>
    </rPh>
    <rPh sb="60" eb="62">
      <t>ジサツ</t>
    </rPh>
    <rPh sb="62" eb="63">
      <t>リツ</t>
    </rPh>
    <rPh sb="68" eb="69">
      <t>ホカ</t>
    </rPh>
    <rPh sb="69" eb="71">
      <t>トシ</t>
    </rPh>
    <rPh sb="72" eb="74">
      <t>ヒカク</t>
    </rPh>
    <rPh sb="76" eb="77">
      <t>タカ</t>
    </rPh>
    <rPh sb="82" eb="83">
      <t>キ</t>
    </rPh>
    <rPh sb="91" eb="94">
      <t>ケイサンジョウ</t>
    </rPh>
    <rPh sb="154" eb="156">
      <t>キジ</t>
    </rPh>
    <rPh sb="160" eb="162">
      <t>タンイ</t>
    </rPh>
    <rPh sb="163" eb="164">
      <t>チガ</t>
    </rPh>
    <rPh sb="170" eb="171">
      <t>ベツ</t>
    </rPh>
    <rPh sb="172" eb="174">
      <t>シュッテン</t>
    </rPh>
    <rPh sb="175" eb="176">
      <t>サガ</t>
    </rPh>
    <phoneticPr fontId="5"/>
  </si>
  <si>
    <t>関数OK、ソースOK</t>
    <rPh sb="0" eb="2">
      <t>カンスウ</t>
    </rPh>
    <phoneticPr fontId="5"/>
  </si>
  <si>
    <t>OK</t>
    <phoneticPr fontId="5"/>
  </si>
  <si>
    <t>・本ファイルにて別途調べた従業者数データについては、セルを赤くしてマスタシートに反映しております。
・Greater Melbourneの都市人口データですが、今年取得したデータ年次は2019年でした。大変申し訳ありません。</t>
    <rPh sb="69" eb="71">
      <t>トシ</t>
    </rPh>
    <rPh sb="71" eb="73">
      <t>ジンコウ</t>
    </rPh>
    <rPh sb="80" eb="82">
      <t>コトシ</t>
    </rPh>
    <rPh sb="82" eb="84">
      <t>シュトク</t>
    </rPh>
    <rPh sb="89" eb="91">
      <t>ネンジ</t>
    </rPh>
    <rPh sb="96" eb="97">
      <t>ネン</t>
    </rPh>
    <rPh sb="101" eb="103">
      <t>タイヘン</t>
    </rPh>
    <rPh sb="103" eb="104">
      <t>モウ</t>
    </rPh>
    <rPh sb="105" eb="106">
      <t>ワケ</t>
    </rPh>
    <phoneticPr fontId="5"/>
  </si>
  <si>
    <t>浜田メモ：更新なかったので昨年と同じ。Memoに計算方法を追記。WEF出典シートに記入の計算方法とやり方が違っていたので。</t>
    <rPh sb="0" eb="2">
      <t>ハマダ</t>
    </rPh>
    <rPh sb="5" eb="7">
      <t>コウシン</t>
    </rPh>
    <rPh sb="13" eb="15">
      <t>サクネン</t>
    </rPh>
    <rPh sb="16" eb="17">
      <t>オナ</t>
    </rPh>
    <rPh sb="24" eb="26">
      <t>ケイサン</t>
    </rPh>
    <rPh sb="26" eb="28">
      <t>ホウホウ</t>
    </rPh>
    <rPh sb="29" eb="31">
      <t>ツイキ</t>
    </rPh>
    <rPh sb="41" eb="43">
      <t>キニュウ</t>
    </rPh>
    <rPh sb="44" eb="46">
      <t>ケイサン</t>
    </rPh>
    <rPh sb="46" eb="48">
      <t>ホウホウ</t>
    </rPh>
    <rPh sb="51" eb="52">
      <t>カタ</t>
    </rPh>
    <rPh sb="53" eb="54">
      <t>チガ</t>
    </rPh>
    <phoneticPr fontId="5"/>
  </si>
  <si>
    <t>・特に問題なし。</t>
    <rPh sb="1" eb="2">
      <t>トク</t>
    </rPh>
    <rPh sb="3" eb="5">
      <t>モンダイ</t>
    </rPh>
    <phoneticPr fontId="5"/>
  </si>
  <si>
    <t>4年間更新されていない指標なので、来年こそはソースを変えたい。</t>
    <rPh sb="1" eb="3">
      <t>ネンカン</t>
    </rPh>
    <rPh sb="3" eb="5">
      <t>コウシン</t>
    </rPh>
    <rPh sb="11" eb="13">
      <t>シヒョウ</t>
    </rPh>
    <rPh sb="17" eb="19">
      <t>ライネン</t>
    </rPh>
    <rPh sb="26" eb="27">
      <t>カ</t>
    </rPh>
    <phoneticPr fontId="5"/>
  </si>
  <si>
    <t>・OSMによる実際の小売店舗数はほぼ全都市増加しているが、アンケートによる小売店舗数の回答は１都市平均２店舗も減少している。</t>
    <rPh sb="7" eb="9">
      <t>ジッサイ</t>
    </rPh>
    <rPh sb="10" eb="12">
      <t>コウリ</t>
    </rPh>
    <rPh sb="12" eb="14">
      <t>テンポ</t>
    </rPh>
    <rPh sb="14" eb="15">
      <t>スウ</t>
    </rPh>
    <rPh sb="18" eb="19">
      <t>ゼン</t>
    </rPh>
    <rPh sb="19" eb="21">
      <t>トシ</t>
    </rPh>
    <rPh sb="21" eb="23">
      <t>ゾウカ</t>
    </rPh>
    <rPh sb="37" eb="39">
      <t>コウリ</t>
    </rPh>
    <rPh sb="39" eb="41">
      <t>テンポ</t>
    </rPh>
    <rPh sb="41" eb="42">
      <t>スウ</t>
    </rPh>
    <rPh sb="43" eb="45">
      <t>カイトウ</t>
    </rPh>
    <rPh sb="47" eb="49">
      <t>トシ</t>
    </rPh>
    <rPh sb="49" eb="51">
      <t>ヘイキン</t>
    </rPh>
    <rPh sb="52" eb="54">
      <t>テンポ</t>
    </rPh>
    <rPh sb="55" eb="57">
      <t>ゲンショウ</t>
    </rPh>
    <phoneticPr fontId="5"/>
  </si>
  <si>
    <t>・SourceシートにURLと閲覧日を追加。
・関数チェック</t>
    <rPh sb="15" eb="17">
      <t>エツラン</t>
    </rPh>
    <rPh sb="17" eb="18">
      <t>ビ</t>
    </rPh>
    <rPh sb="19" eb="21">
      <t>ツイカ</t>
    </rPh>
    <rPh sb="24" eb="26">
      <t>カンスウ</t>
    </rPh>
    <phoneticPr fontId="5"/>
  </si>
  <si>
    <t xml:space="preserve">・昨年と比較すると、OSMによる飲食実店舗数は全都市増えているのに、アンケートによる飲食店舗数は減少している都市の方が多い。
</t>
    <rPh sb="1" eb="3">
      <t>サクネン</t>
    </rPh>
    <rPh sb="4" eb="6">
      <t>ヒカク</t>
    </rPh>
    <rPh sb="16" eb="18">
      <t>インショク</t>
    </rPh>
    <rPh sb="18" eb="19">
      <t>ジツ</t>
    </rPh>
    <rPh sb="19" eb="21">
      <t>テンポ</t>
    </rPh>
    <rPh sb="21" eb="22">
      <t>スウ</t>
    </rPh>
    <rPh sb="23" eb="24">
      <t>ゼン</t>
    </rPh>
    <rPh sb="24" eb="26">
      <t>トシ</t>
    </rPh>
    <rPh sb="26" eb="27">
      <t>フ</t>
    </rPh>
    <rPh sb="42" eb="44">
      <t>インショク</t>
    </rPh>
    <rPh sb="44" eb="46">
      <t>テンポ</t>
    </rPh>
    <rPh sb="46" eb="47">
      <t>スウ</t>
    </rPh>
    <rPh sb="48" eb="50">
      <t>ゲンショウ</t>
    </rPh>
    <rPh sb="54" eb="56">
      <t>トシ</t>
    </rPh>
    <rPh sb="57" eb="58">
      <t>ホウ</t>
    </rPh>
    <rPh sb="59" eb="60">
      <t>オオ</t>
    </rPh>
    <phoneticPr fontId="5"/>
  </si>
  <si>
    <t>・閲覧日とURLを追加。</t>
    <rPh sb="1" eb="3">
      <t>エツラン</t>
    </rPh>
    <rPh sb="3" eb="4">
      <t>ビ</t>
    </rPh>
    <rPh sb="9" eb="11">
      <t>ツイカ</t>
    </rPh>
    <phoneticPr fontId="5"/>
  </si>
  <si>
    <t>＜磯ヶ谷メモ　※総量のみで作成されていた時のチェック＞
・東京特別区CO2排出量ほぼ同じ；http://all62.jp/jigyo/pdf/houdou_20200521_01.pdf
・集計シートでメイン計算等を行うルールに変更したはず。次年度は集計シートと都市のCO2排出量シートを１つにまとめたい。
＜浜田メモ　人口当たりにした後のチェック＞
・都市のGDPで推計→人口で割っているので、GDPが大きい割に人口が少ない都市は排出量が多くなる。
・米国都市と人口が少ない都市が下位に来ている。ジュネーブ、チューリッヒはそこまで下がっていない。</t>
    <rPh sb="1" eb="4">
      <t>イソガヤ</t>
    </rPh>
    <rPh sb="8" eb="10">
      <t>ソウリョウ</t>
    </rPh>
    <rPh sb="13" eb="15">
      <t>サクセイ</t>
    </rPh>
    <rPh sb="20" eb="21">
      <t>トキ</t>
    </rPh>
    <rPh sb="29" eb="31">
      <t>トウキョウ</t>
    </rPh>
    <rPh sb="31" eb="34">
      <t>トクベツク</t>
    </rPh>
    <rPh sb="37" eb="39">
      <t>ハイシュツ</t>
    </rPh>
    <rPh sb="39" eb="40">
      <t>リョウ</t>
    </rPh>
    <rPh sb="42" eb="43">
      <t>オナ</t>
    </rPh>
    <rPh sb="155" eb="157">
      <t>ハマダ</t>
    </rPh>
    <rPh sb="160" eb="162">
      <t>ジンコウ</t>
    </rPh>
    <rPh sb="162" eb="163">
      <t>ア</t>
    </rPh>
    <rPh sb="168" eb="169">
      <t>アト</t>
    </rPh>
    <rPh sb="227" eb="229">
      <t>ベイコク</t>
    </rPh>
    <rPh sb="229" eb="231">
      <t>トシ</t>
    </rPh>
    <rPh sb="232" eb="234">
      <t>ジンコウ</t>
    </rPh>
    <rPh sb="235" eb="236">
      <t>スク</t>
    </rPh>
    <rPh sb="238" eb="240">
      <t>トシ</t>
    </rPh>
    <rPh sb="241" eb="243">
      <t>カイ</t>
    </rPh>
    <rPh sb="244" eb="245">
      <t>キ</t>
    </rPh>
    <rPh sb="266" eb="267">
      <t>サ</t>
    </rPh>
    <phoneticPr fontId="5"/>
  </si>
  <si>
    <t>松田コメント：・国別→都市別データにしたい
計算式OK
SourceOK</t>
    <rPh sb="0" eb="2">
      <t>マツダ</t>
    </rPh>
    <rPh sb="22" eb="25">
      <t>ケイサンシキ</t>
    </rPh>
    <phoneticPr fontId="5"/>
  </si>
  <si>
    <t>・IEAの『Share of renewables in TPES(%)』とは、（Of which renewables (Mtoe)）÷（TPES (Mtoe)）ではないのか？微妙に数字が違う。</t>
    <rPh sb="89" eb="91">
      <t>ビミョウ</t>
    </rPh>
    <rPh sb="92" eb="94">
      <t>スウジ</t>
    </rPh>
    <rPh sb="95" eb="96">
      <t>チガ</t>
    </rPh>
    <phoneticPr fontId="5"/>
  </si>
  <si>
    <r>
      <rPr>
        <sz val="9"/>
        <color rgb="FFFF0000"/>
        <rFont val="游ゴシック"/>
        <family val="3"/>
        <charset val="128"/>
      </rPr>
      <t>・北京市</t>
    </r>
    <r>
      <rPr>
        <sz val="9"/>
        <rFont val="游ゴシック"/>
        <family val="3"/>
        <charset val="128"/>
      </rPr>
      <t>のコメント「GPCI-2019では北京の統計が見つからず、上海と同じく国際連合地域開発センターのレポートから採用していました。今回、上海は2020年のデータが見つかりましたが、北京は｢2020年5月になって本格的なゴミ分別が始まる｣との情報を得たため同一のデータは使用できないと判断いたしました。その為、リサイクルに関するデータも探しましたが、見つからなかったため、GPCI-2019の値を流用しております。」</t>
    </r>
    <r>
      <rPr>
        <sz val="9"/>
        <color rgb="FFFF0000"/>
        <rFont val="游ゴシック"/>
        <family val="3"/>
        <charset val="128"/>
      </rPr>
      <t xml:space="preserve">とのことだが、ならばいっそ０点のほうがよいのでは？また、これをmemo欄に記載すべき。
</t>
    </r>
    <rPh sb="1" eb="4">
      <t>ペキンシ</t>
    </rPh>
    <rPh sb="223" eb="224">
      <t>テン</t>
    </rPh>
    <rPh sb="244" eb="245">
      <t>ラン</t>
    </rPh>
    <rPh sb="246" eb="248">
      <t>キサイ</t>
    </rPh>
    <phoneticPr fontId="5"/>
  </si>
  <si>
    <r>
      <t>CheckシートOK
SourceシートOK
集計シート他、計算シートOK
↑上記北京市について、「2020年5月に本格的に開始」ということであればデータ収集をしている2020年5月時点はまだデータはないのは当然なので、今年は昨年同様上海と同じ数値としてしまって良いのではないか？
（上海も昨年とソースが異なるため、ロジックが異なるかもしれないが。）</t>
    </r>
    <r>
      <rPr>
        <sz val="9"/>
        <color rgb="FFFF0000"/>
        <rFont val="游ゴシック"/>
        <family val="3"/>
        <charset val="128"/>
      </rPr>
      <t xml:space="preserve">
→市川先生相談後、北京市のリサイクル率について調べるも情報がないため、今年も上海市の最新のデータと同じ数字とする。（浜田）</t>
    </r>
    <rPh sb="40" eb="42">
      <t>ジョウキ</t>
    </rPh>
    <rPh sb="42" eb="45">
      <t>ペキンシ</t>
    </rPh>
    <rPh sb="55" eb="56">
      <t>ネン</t>
    </rPh>
    <rPh sb="57" eb="58">
      <t>ガツ</t>
    </rPh>
    <rPh sb="59" eb="62">
      <t>ホンカクテキ</t>
    </rPh>
    <rPh sb="63" eb="65">
      <t>カイシ</t>
    </rPh>
    <rPh sb="78" eb="80">
      <t>シュウシュウ</t>
    </rPh>
    <rPh sb="89" eb="90">
      <t>ネン</t>
    </rPh>
    <rPh sb="91" eb="92">
      <t>ガツ</t>
    </rPh>
    <rPh sb="92" eb="94">
      <t>ジテン</t>
    </rPh>
    <rPh sb="105" eb="107">
      <t>トウゼン</t>
    </rPh>
    <rPh sb="111" eb="113">
      <t>コトシ</t>
    </rPh>
    <rPh sb="114" eb="116">
      <t>サクネン</t>
    </rPh>
    <rPh sb="116" eb="118">
      <t>ドウヨウ</t>
    </rPh>
    <rPh sb="118" eb="120">
      <t>シャンハイ</t>
    </rPh>
    <rPh sb="121" eb="122">
      <t>オナ</t>
    </rPh>
    <rPh sb="123" eb="125">
      <t>スウチ</t>
    </rPh>
    <rPh sb="132" eb="133">
      <t>ヨ</t>
    </rPh>
    <rPh sb="143" eb="145">
      <t>シャンハイ</t>
    </rPh>
    <rPh sb="146" eb="148">
      <t>サクネン</t>
    </rPh>
    <rPh sb="153" eb="154">
      <t>コト</t>
    </rPh>
    <rPh sb="164" eb="165">
      <t>コト</t>
    </rPh>
    <rPh sb="178" eb="180">
      <t>イチカワ</t>
    </rPh>
    <rPh sb="180" eb="182">
      <t>センセイ</t>
    </rPh>
    <rPh sb="182" eb="184">
      <t>ソウダン</t>
    </rPh>
    <rPh sb="184" eb="185">
      <t>ゴ</t>
    </rPh>
    <rPh sb="186" eb="189">
      <t>ペキンシ</t>
    </rPh>
    <rPh sb="195" eb="196">
      <t>リツ</t>
    </rPh>
    <rPh sb="200" eb="201">
      <t>シラ</t>
    </rPh>
    <rPh sb="204" eb="206">
      <t>ジョウホウ</t>
    </rPh>
    <rPh sb="212" eb="214">
      <t>コトシ</t>
    </rPh>
    <rPh sb="215" eb="217">
      <t>シャンハイ</t>
    </rPh>
    <rPh sb="217" eb="218">
      <t>シ</t>
    </rPh>
    <rPh sb="219" eb="221">
      <t>サイシン</t>
    </rPh>
    <rPh sb="226" eb="227">
      <t>オナ</t>
    </rPh>
    <rPh sb="228" eb="230">
      <t>スウジ</t>
    </rPh>
    <rPh sb="235" eb="237">
      <t>ハマダ</t>
    </rPh>
    <phoneticPr fontId="5"/>
  </si>
  <si>
    <r>
      <t xml:space="preserve">・UESIに掲載されているデータ年次は、下記によると、2016年では？
</t>
    </r>
    <r>
      <rPr>
        <b/>
        <sz val="9"/>
        <color theme="8"/>
        <rFont val="游ゴシック"/>
        <family val="3"/>
        <charset val="128"/>
      </rPr>
      <t>http://datadrivenlab.org/urban/issue-profiles/urban-tree-cover/</t>
    </r>
    <r>
      <rPr>
        <sz val="9"/>
        <rFont val="游ゴシック"/>
        <family val="3"/>
        <charset val="128"/>
      </rPr>
      <t xml:space="preserve">
＞The data for both indicators is derived from the Global Forest Change 2001–2016 (Hansen et al. 2013) dataset
２ｎｄチェックの方、ご確認いただけますか。</t>
    </r>
    <rPh sb="6" eb="8">
      <t>ケイサイ</t>
    </rPh>
    <rPh sb="16" eb="18">
      <t>ネンジ</t>
    </rPh>
    <rPh sb="20" eb="22">
      <t>カキ</t>
    </rPh>
    <rPh sb="31" eb="32">
      <t>ネン</t>
    </rPh>
    <rPh sb="218" eb="219">
      <t>カタ</t>
    </rPh>
    <rPh sb="221" eb="223">
      <t>カクニン</t>
    </rPh>
    <phoneticPr fontId="5"/>
  </si>
  <si>
    <t>確かに神保さんのコメントにある通り、UESIのデータ年次については2016年とした方がよいかもしれません。</t>
    <rPh sb="0" eb="1">
      <t>タシ</t>
    </rPh>
    <rPh sb="3" eb="5">
      <t>ジンボ</t>
    </rPh>
    <rPh sb="15" eb="16">
      <t>トオ</t>
    </rPh>
    <rPh sb="26" eb="28">
      <t>ネンジ</t>
    </rPh>
    <rPh sb="37" eb="38">
      <t>ネン</t>
    </rPh>
    <rPh sb="41" eb="42">
      <t>ホウ</t>
    </rPh>
    <phoneticPr fontId="5"/>
  </si>
  <si>
    <t xml:space="preserve">集計シートのVlookup範囲が間違っていたので修正。定義について2つの質問の結果を合算することで異論ないが、合算方法について
①それぞれの指数の平均を取って合算
②それぞれの質問の結果の積を取って、それを指数化
の2種があるかと思うが、ロジック的には②があっている気がする。
理由としては、まず最初の質問で近くに自然環境があるか聞いて、次の質問でその同じ自然環境の満足度を聞いているので、自ずと最初の質問結果と次の質問の結果は連動する形となる。そのため、ロジック的には二つの結果の積を取り、その後指数化するのが良い気がする。（集計シートM:P列にその場合の結果を作成していいる。）
（神保コメント）
・AccessibilityとSatisfactionの相関性は0.58とそこまで高くない（集計シートF52 ）
・東京も大阪も、Satisfactionが低い。
</t>
    <rPh sb="0" eb="2">
      <t>シュウケイ</t>
    </rPh>
    <rPh sb="13" eb="15">
      <t>ハンイ</t>
    </rPh>
    <rPh sb="16" eb="18">
      <t>マチガ</t>
    </rPh>
    <rPh sb="24" eb="26">
      <t>シュウセイ</t>
    </rPh>
    <rPh sb="27" eb="29">
      <t>テイギ</t>
    </rPh>
    <rPh sb="36" eb="38">
      <t>シツモン</t>
    </rPh>
    <rPh sb="39" eb="41">
      <t>ケッカ</t>
    </rPh>
    <rPh sb="42" eb="44">
      <t>ガッサン</t>
    </rPh>
    <rPh sb="49" eb="51">
      <t>イロン</t>
    </rPh>
    <rPh sb="55" eb="57">
      <t>ガッサン</t>
    </rPh>
    <rPh sb="57" eb="59">
      <t>ホウホウ</t>
    </rPh>
    <rPh sb="70" eb="72">
      <t>シスウ</t>
    </rPh>
    <rPh sb="73" eb="75">
      <t>ヘイキン</t>
    </rPh>
    <rPh sb="76" eb="77">
      <t>ト</t>
    </rPh>
    <rPh sb="79" eb="81">
      <t>ガッサン</t>
    </rPh>
    <rPh sb="88" eb="90">
      <t>シツモン</t>
    </rPh>
    <rPh sb="91" eb="93">
      <t>ケッカ</t>
    </rPh>
    <rPh sb="94" eb="95">
      <t>セキ</t>
    </rPh>
    <rPh sb="96" eb="97">
      <t>ト</t>
    </rPh>
    <rPh sb="103" eb="106">
      <t>シスウカ</t>
    </rPh>
    <rPh sb="109" eb="110">
      <t>シュ</t>
    </rPh>
    <rPh sb="115" eb="116">
      <t>オモ</t>
    </rPh>
    <rPh sb="123" eb="124">
      <t>テキ</t>
    </rPh>
    <rPh sb="133" eb="134">
      <t>キ</t>
    </rPh>
    <rPh sb="139" eb="141">
      <t>リユウ</t>
    </rPh>
    <rPh sb="148" eb="150">
      <t>サイショ</t>
    </rPh>
    <rPh sb="151" eb="153">
      <t>シツモン</t>
    </rPh>
    <rPh sb="154" eb="155">
      <t>チカ</t>
    </rPh>
    <rPh sb="157" eb="159">
      <t>シゼン</t>
    </rPh>
    <rPh sb="159" eb="161">
      <t>カンキョウ</t>
    </rPh>
    <rPh sb="165" eb="166">
      <t>キ</t>
    </rPh>
    <rPh sb="169" eb="170">
      <t>ツギ</t>
    </rPh>
    <rPh sb="171" eb="173">
      <t>シツモン</t>
    </rPh>
    <rPh sb="176" eb="177">
      <t>オナ</t>
    </rPh>
    <rPh sb="178" eb="180">
      <t>シゼン</t>
    </rPh>
    <rPh sb="180" eb="182">
      <t>カンキョウ</t>
    </rPh>
    <rPh sb="183" eb="185">
      <t>マンゾク</t>
    </rPh>
    <rPh sb="185" eb="186">
      <t>ド</t>
    </rPh>
    <rPh sb="187" eb="188">
      <t>キ</t>
    </rPh>
    <rPh sb="195" eb="196">
      <t>オノ</t>
    </rPh>
    <rPh sb="198" eb="200">
      <t>サイショ</t>
    </rPh>
    <rPh sb="201" eb="203">
      <t>シツモン</t>
    </rPh>
    <rPh sb="203" eb="205">
      <t>ケッカ</t>
    </rPh>
    <rPh sb="206" eb="207">
      <t>ツギ</t>
    </rPh>
    <rPh sb="208" eb="210">
      <t>シツモン</t>
    </rPh>
    <rPh sb="211" eb="213">
      <t>ケッカ</t>
    </rPh>
    <rPh sb="214" eb="216">
      <t>レンドウ</t>
    </rPh>
    <rPh sb="218" eb="219">
      <t>カタチ</t>
    </rPh>
    <rPh sb="232" eb="233">
      <t>テキ</t>
    </rPh>
    <rPh sb="235" eb="236">
      <t>フタ</t>
    </rPh>
    <rPh sb="238" eb="240">
      <t>ケッカ</t>
    </rPh>
    <rPh sb="241" eb="242">
      <t>セキ</t>
    </rPh>
    <rPh sb="243" eb="244">
      <t>ト</t>
    </rPh>
    <rPh sb="248" eb="249">
      <t>ゴ</t>
    </rPh>
    <rPh sb="249" eb="252">
      <t>シスウカ</t>
    </rPh>
    <rPh sb="256" eb="257">
      <t>ヨ</t>
    </rPh>
    <rPh sb="258" eb="259">
      <t>キ</t>
    </rPh>
    <rPh sb="264" eb="266">
      <t>シュウケイ</t>
    </rPh>
    <rPh sb="272" eb="273">
      <t>レツ</t>
    </rPh>
    <rPh sb="276" eb="278">
      <t>バアイ</t>
    </rPh>
    <rPh sb="279" eb="281">
      <t>ケッカ</t>
    </rPh>
    <rPh sb="282" eb="284">
      <t>サクセイ</t>
    </rPh>
    <rPh sb="294" eb="296">
      <t>ジンボ</t>
    </rPh>
    <rPh sb="343" eb="344">
      <t>タカ</t>
    </rPh>
    <rPh sb="348" eb="350">
      <t>シュウケイ</t>
    </rPh>
    <rPh sb="360" eb="362">
      <t>トウキョウ</t>
    </rPh>
    <rPh sb="363" eb="365">
      <t>オオサカ</t>
    </rPh>
    <rPh sb="380" eb="381">
      <t>ヒク</t>
    </rPh>
    <phoneticPr fontId="5"/>
  </si>
  <si>
    <t>MMF松田：使いやすさを考慮し、プラス指標に変更（NUMBEOマクロで採用する項目をWater PollutionからWater Qualityに変更、これらはxと100-xのように対となる項目なので結果に影響なし）
大和：
特に問題なし。</t>
    <rPh sb="3" eb="5">
      <t>マツダ</t>
    </rPh>
    <rPh sb="6" eb="7">
      <t>ツカ</t>
    </rPh>
    <rPh sb="12" eb="14">
      <t>コウリョ</t>
    </rPh>
    <rPh sb="19" eb="21">
      <t>シヒョウ</t>
    </rPh>
    <rPh sb="22" eb="24">
      <t>ヘンコウ</t>
    </rPh>
    <rPh sb="35" eb="37">
      <t>サイヨウ</t>
    </rPh>
    <rPh sb="39" eb="41">
      <t>コウモク</t>
    </rPh>
    <rPh sb="73" eb="75">
      <t>ヘンコウ</t>
    </rPh>
    <rPh sb="91" eb="92">
      <t>ツイ</t>
    </rPh>
    <rPh sb="95" eb="97">
      <t>コウモク</t>
    </rPh>
    <rPh sb="100" eb="102">
      <t>ケッカ</t>
    </rPh>
    <rPh sb="103" eb="105">
      <t>エイキョウ</t>
    </rPh>
    <rPh sb="110" eb="112">
      <t>ヤマト</t>
    </rPh>
    <rPh sb="114" eb="115">
      <t>トク</t>
    </rPh>
    <rPh sb="116" eb="118">
      <t>モンダイ</t>
    </rPh>
    <phoneticPr fontId="5"/>
  </si>
  <si>
    <t>特にコメントなし</t>
    <rPh sb="0" eb="1">
      <t>トク</t>
    </rPh>
    <phoneticPr fontId="5"/>
  </si>
  <si>
    <t xml:space="preserve">定義の説明がざっくりしすぎている気がするので、JPC2020のアンケート指標の定義を元に少し直した方が良いと思います。
また、データ値として採用しているのが、アンケートのスコア結果となっているが、他の指標では指数化したものがデータ値となっている場合があるのでそろえたほうが良いのでは。
</t>
    <rPh sb="0" eb="2">
      <t>テイギ</t>
    </rPh>
    <rPh sb="3" eb="5">
      <t>セツメイ</t>
    </rPh>
    <rPh sb="16" eb="17">
      <t>キ</t>
    </rPh>
    <rPh sb="36" eb="38">
      <t>シヒョウ</t>
    </rPh>
    <rPh sb="39" eb="41">
      <t>テイギ</t>
    </rPh>
    <rPh sb="42" eb="43">
      <t>モト</t>
    </rPh>
    <rPh sb="44" eb="45">
      <t>スコ</t>
    </rPh>
    <rPh sb="46" eb="47">
      <t>ナオ</t>
    </rPh>
    <rPh sb="49" eb="50">
      <t>ホウ</t>
    </rPh>
    <rPh sb="51" eb="52">
      <t>ヨ</t>
    </rPh>
    <rPh sb="54" eb="55">
      <t>オモ</t>
    </rPh>
    <rPh sb="66" eb="67">
      <t>アタイ</t>
    </rPh>
    <rPh sb="70" eb="72">
      <t>サイヨウ</t>
    </rPh>
    <rPh sb="88" eb="90">
      <t>ケッカ</t>
    </rPh>
    <rPh sb="98" eb="99">
      <t>ホカ</t>
    </rPh>
    <rPh sb="100" eb="102">
      <t>シヒョウ</t>
    </rPh>
    <rPh sb="104" eb="107">
      <t>シスウカ</t>
    </rPh>
    <rPh sb="115" eb="116">
      <t>アタイ</t>
    </rPh>
    <rPh sb="122" eb="124">
      <t>バアイ</t>
    </rPh>
    <rPh sb="136" eb="137">
      <t>ヨ</t>
    </rPh>
    <phoneticPr fontId="5"/>
  </si>
  <si>
    <t xml:space="preserve">・今年については特にコメントなし。
（神保→大和さん）
・データ収集はエクセルの「webから」の作業を、各シート別々に行いましたか？もし、一括取得する方法があればお手すきの際、ご教示ください。
</t>
    <rPh sb="1" eb="3">
      <t>コトシ</t>
    </rPh>
    <rPh sb="8" eb="9">
      <t>トク</t>
    </rPh>
    <rPh sb="22" eb="24">
      <t>ジンボ</t>
    </rPh>
    <rPh sb="25" eb="27">
      <t>ヤマト</t>
    </rPh>
    <rPh sb="35" eb="37">
      <t>シュウシュウ</t>
    </rPh>
    <rPh sb="51" eb="53">
      <t>サギョウ</t>
    </rPh>
    <rPh sb="55" eb="56">
      <t>カク</t>
    </rPh>
    <rPh sb="59" eb="61">
      <t>ベツベツ</t>
    </rPh>
    <rPh sb="62" eb="63">
      <t>オコナ</t>
    </rPh>
    <rPh sb="72" eb="74">
      <t>イッカツ</t>
    </rPh>
    <rPh sb="74" eb="76">
      <t>シュトク</t>
    </rPh>
    <rPh sb="78" eb="80">
      <t>ホウホウ</t>
    </rPh>
    <rPh sb="85" eb="86">
      <t>テ</t>
    </rPh>
    <rPh sb="89" eb="90">
      <t>サイ</t>
    </rPh>
    <rPh sb="92" eb="94">
      <t>キョウジ</t>
    </rPh>
    <phoneticPr fontId="5"/>
  </si>
  <si>
    <t>・日本のシートが無かったので追加。
・北九州で代替されていたが、福岡があったので差し替え</t>
    <rPh sb="1" eb="3">
      <t>ニホン</t>
    </rPh>
    <rPh sb="8" eb="9">
      <t>ナ</t>
    </rPh>
    <rPh sb="14" eb="16">
      <t>ツイカ</t>
    </rPh>
    <rPh sb="19" eb="20">
      <t>キタ</t>
    </rPh>
    <rPh sb="20" eb="22">
      <t>キュウシュウ</t>
    </rPh>
    <rPh sb="23" eb="25">
      <t>ダイタイ</t>
    </rPh>
    <rPh sb="32" eb="34">
      <t>フクオカ</t>
    </rPh>
    <rPh sb="40" eb="41">
      <t>サ</t>
    </rPh>
    <rPh sb="42" eb="43">
      <t>カ</t>
    </rPh>
    <phoneticPr fontId="5"/>
  </si>
  <si>
    <t>・来年はコロナの影響でPM 2.5の濃度が大都市でも減少しているというニュースばかりでスコア変動ありそう。（神保）
・来年は集計シートに値張り付けじゃなくて関数でもってきたい。</t>
    <rPh sb="54" eb="56">
      <t>ジンボ</t>
    </rPh>
    <rPh sb="59" eb="61">
      <t>ライネン</t>
    </rPh>
    <rPh sb="62" eb="64">
      <t>シュウケイ</t>
    </rPh>
    <rPh sb="68" eb="69">
      <t>アタイ</t>
    </rPh>
    <rPh sb="69" eb="70">
      <t>ハ</t>
    </rPh>
    <rPh sb="71" eb="72">
      <t>ツ</t>
    </rPh>
    <rPh sb="78" eb="80">
      <t>カンスウ</t>
    </rPh>
    <phoneticPr fontId="5"/>
  </si>
  <si>
    <t>・計算式、関数チェック。
・Sourceシートに閲覧日とURLを追加。
・メモシートに「※厳密に言えば、このランキングは「屋外の日影空間（日照による影響は無視）における体感気温を元としている」と注記したほうが良いかもしれない。」と記載があるが、定義には書かなくてよいかと思いました。</t>
    <rPh sb="1" eb="4">
      <t>ケイサンシキ</t>
    </rPh>
    <rPh sb="5" eb="7">
      <t>カンスウ</t>
    </rPh>
    <rPh sb="24" eb="26">
      <t>エツラン</t>
    </rPh>
    <rPh sb="26" eb="27">
      <t>ビ</t>
    </rPh>
    <rPh sb="32" eb="34">
      <t>ツイカ</t>
    </rPh>
    <rPh sb="115" eb="117">
      <t>キサイ</t>
    </rPh>
    <rPh sb="122" eb="124">
      <t>テイギ</t>
    </rPh>
    <rPh sb="126" eb="127">
      <t>カ</t>
    </rPh>
    <rPh sb="135" eb="136">
      <t>オモ</t>
    </rPh>
    <phoneticPr fontId="5"/>
  </si>
  <si>
    <t xml:space="preserve">神保メモ：BWIはWASの空港に含める。その他、対象空港が#62に準じて変更しているので注意（定義シートに追記）
集計シートの計算について別途備忘用シートを作成
松田メモ：11月だけじゃなく、通年でデータ取得したためか、全体的に都市数が増加。（実際の新規就航都市だけでなく、夏季のみ運航する都市も加わっているはずなので）
</t>
    <rPh sb="0" eb="2">
      <t>ジンボ</t>
    </rPh>
    <rPh sb="13" eb="15">
      <t>クウコウ</t>
    </rPh>
    <rPh sb="16" eb="17">
      <t>フク</t>
    </rPh>
    <rPh sb="22" eb="23">
      <t>タ</t>
    </rPh>
    <rPh sb="24" eb="26">
      <t>タイショウ</t>
    </rPh>
    <rPh sb="26" eb="28">
      <t>クウコウ</t>
    </rPh>
    <rPh sb="33" eb="34">
      <t>ジュン</t>
    </rPh>
    <rPh sb="36" eb="38">
      <t>ヘンコウ</t>
    </rPh>
    <rPh sb="44" eb="46">
      <t>チュウイ</t>
    </rPh>
    <rPh sb="47" eb="49">
      <t>テイギ</t>
    </rPh>
    <rPh sb="53" eb="55">
      <t>ツイキ</t>
    </rPh>
    <rPh sb="57" eb="59">
      <t>シュウケイ</t>
    </rPh>
    <rPh sb="63" eb="65">
      <t>ケイサン</t>
    </rPh>
    <rPh sb="69" eb="71">
      <t>ベット</t>
    </rPh>
    <rPh sb="71" eb="73">
      <t>ビボウ</t>
    </rPh>
    <rPh sb="73" eb="74">
      <t>ヨウ</t>
    </rPh>
    <rPh sb="78" eb="80">
      <t>サクセイ</t>
    </rPh>
    <rPh sb="82" eb="84">
      <t>マツダ</t>
    </rPh>
    <rPh sb="89" eb="90">
      <t>ガツ</t>
    </rPh>
    <rPh sb="97" eb="99">
      <t>ツウネン</t>
    </rPh>
    <rPh sb="103" eb="105">
      <t>シュトク</t>
    </rPh>
    <rPh sb="111" eb="114">
      <t>ゼンタイテキ</t>
    </rPh>
    <rPh sb="115" eb="118">
      <t>トシスウ</t>
    </rPh>
    <rPh sb="119" eb="121">
      <t>ゾウカ</t>
    </rPh>
    <rPh sb="123" eb="125">
      <t>ジッサイ</t>
    </rPh>
    <rPh sb="126" eb="128">
      <t>シンキ</t>
    </rPh>
    <rPh sb="128" eb="130">
      <t>シュウコウ</t>
    </rPh>
    <rPh sb="130" eb="132">
      <t>トシ</t>
    </rPh>
    <rPh sb="138" eb="140">
      <t>カキ</t>
    </rPh>
    <rPh sb="142" eb="144">
      <t>ウンコウ</t>
    </rPh>
    <rPh sb="146" eb="148">
      <t>トシ</t>
    </rPh>
    <rPh sb="149" eb="150">
      <t>クワ</t>
    </rPh>
    <phoneticPr fontId="5"/>
  </si>
  <si>
    <t>浜田メモ：
・BWI空港についてMemoに追記
・「Arr_対象外の空港除外」のK4は「Arr 対象74空港」の間違い？</t>
    <phoneticPr fontId="5"/>
  </si>
  <si>
    <t>＜2ndさんへ＞
・ダブリンの「昨年まで採用していたAAPAのダブリンのデータは値が高すぎるかと思います。個別にPort of Dublinのサイトからデータを取得しましたので、そちらを採用しております。」とのことだが、ルールに従うならAJOTを使用すべきでは？
・ACIは⑪合計貨物（⑨＋⑩）を使うか悩んだが、指標名は国際貨物流通規模なので、⑨国際貨物のみとした。</t>
    <rPh sb="114" eb="115">
      <t>シタガ</t>
    </rPh>
    <rPh sb="123" eb="125">
      <t>シヨウ</t>
    </rPh>
    <rPh sb="148" eb="149">
      <t>ツカ</t>
    </rPh>
    <rPh sb="151" eb="152">
      <t>ナヤ</t>
    </rPh>
    <rPh sb="156" eb="158">
      <t>シヒョウ</t>
    </rPh>
    <rPh sb="158" eb="159">
      <t>メイ</t>
    </rPh>
    <rPh sb="160" eb="162">
      <t>コクサイ</t>
    </rPh>
    <rPh sb="162" eb="164">
      <t>カモツ</t>
    </rPh>
    <rPh sb="164" eb="166">
      <t>リュウツウ</t>
    </rPh>
    <rPh sb="166" eb="168">
      <t>キボ</t>
    </rPh>
    <phoneticPr fontId="5"/>
  </si>
  <si>
    <t>(8/19 大和→浜田）
・Dublinについては、AAPAのWorld Port Rankingが2016年以降更新されていないことと、AJOTにはDublinが掲載されていないことを踏まえると、個別取得が妥当ではないかと考えます。</t>
    <rPh sb="6" eb="8">
      <t>ヤマト</t>
    </rPh>
    <rPh sb="9" eb="11">
      <t>ハマダ</t>
    </rPh>
    <rPh sb="54" eb="55">
      <t>ネン</t>
    </rPh>
    <rPh sb="55" eb="57">
      <t>イコウ</t>
    </rPh>
    <rPh sb="57" eb="59">
      <t>コウシン</t>
    </rPh>
    <rPh sb="82" eb="84">
      <t>ケイサイ</t>
    </rPh>
    <rPh sb="93" eb="94">
      <t>フ</t>
    </rPh>
    <rPh sb="99" eb="101">
      <t>コベツ</t>
    </rPh>
    <rPh sb="101" eb="103">
      <t>シュトク</t>
    </rPh>
    <rPh sb="104" eb="106">
      <t>ダトウ</t>
    </rPh>
    <rPh sb="112" eb="113">
      <t>カンガ</t>
    </rPh>
    <phoneticPr fontId="5"/>
  </si>
  <si>
    <t>昨年まで採用していたAAPAは更新がなく、代わりにAJOTのサイトにより年次の新しいデータがあったため、そちらを採用しております。</t>
    <rPh sb="0" eb="2">
      <t>サクネン</t>
    </rPh>
    <rPh sb="4" eb="6">
      <t>サイヨウ</t>
    </rPh>
    <rPh sb="15" eb="17">
      <t>コウシン</t>
    </rPh>
    <rPh sb="21" eb="22">
      <t>カ</t>
    </rPh>
    <rPh sb="36" eb="38">
      <t>ネンジ</t>
    </rPh>
    <rPh sb="39" eb="40">
      <t>アタラ</t>
    </rPh>
    <rPh sb="56" eb="58">
      <t>サイヨウ</t>
    </rPh>
    <phoneticPr fontId="5"/>
  </si>
  <si>
    <t>・対象空港の定義を変更（IATAの定める都市コードに紐づき、かつ国際線年間旅客数が100万人以上）
・旅客数データを変更（国際空港評議会（ACI）の持つ対象空港の国内線および国際線年間旅客数の合計とする。）
・バンコクはドンムアン空港が追加されたことにより、順位上昇
・ストックホルムとワシントンは対象から除外された空港があったため、順位下落。
【磯ヶ谷メモ】
・ACIは今回メールでデータ購入したため、URLは記載なし。
・IATAのコードをいくつかの指標で使用しているが、どこかのSourceに入れるべきか。
・Sourceの都市範囲は集計シートに同じものあるので消しでも良いかも。</t>
    <rPh sb="1" eb="3">
      <t>タイショウ</t>
    </rPh>
    <rPh sb="3" eb="5">
      <t>クウコウ</t>
    </rPh>
    <rPh sb="6" eb="8">
      <t>テイギ</t>
    </rPh>
    <rPh sb="9" eb="11">
      <t>ヘンコウ</t>
    </rPh>
    <rPh sb="51" eb="53">
      <t>リョキャク</t>
    </rPh>
    <rPh sb="53" eb="54">
      <t>スウ</t>
    </rPh>
    <rPh sb="58" eb="60">
      <t>ヘンコウ</t>
    </rPh>
    <rPh sb="115" eb="117">
      <t>クウコウ</t>
    </rPh>
    <rPh sb="118" eb="120">
      <t>ツイカ</t>
    </rPh>
    <rPh sb="129" eb="131">
      <t>ジュンイ</t>
    </rPh>
    <rPh sb="131" eb="133">
      <t>ジョウショウ</t>
    </rPh>
    <rPh sb="149" eb="151">
      <t>タイショウ</t>
    </rPh>
    <rPh sb="153" eb="155">
      <t>ジョガイ</t>
    </rPh>
    <rPh sb="158" eb="160">
      <t>クウコウ</t>
    </rPh>
    <rPh sb="167" eb="169">
      <t>ジュンイ</t>
    </rPh>
    <rPh sb="169" eb="171">
      <t>ゲラク</t>
    </rPh>
    <rPh sb="174" eb="177">
      <t>イソガヤ</t>
    </rPh>
    <rPh sb="186" eb="188">
      <t>コンカイ</t>
    </rPh>
    <rPh sb="195" eb="197">
      <t>コウニュウ</t>
    </rPh>
    <rPh sb="206" eb="208">
      <t>キサイ</t>
    </rPh>
    <rPh sb="227" eb="229">
      <t>シヒョウ</t>
    </rPh>
    <rPh sb="230" eb="232">
      <t>シヨウ</t>
    </rPh>
    <rPh sb="249" eb="250">
      <t>イ</t>
    </rPh>
    <rPh sb="265" eb="267">
      <t>トシ</t>
    </rPh>
    <rPh sb="267" eb="269">
      <t>ハンイ</t>
    </rPh>
    <rPh sb="270" eb="272">
      <t>シュウケイ</t>
    </rPh>
    <rPh sb="276" eb="277">
      <t>オナ</t>
    </rPh>
    <rPh sb="284" eb="285">
      <t>ケ</t>
    </rPh>
    <rPh sb="288" eb="289">
      <t>ヨ</t>
    </rPh>
    <phoneticPr fontId="5"/>
  </si>
  <si>
    <t>・定義にはIATAのコードはSourceに入れなくてもOKだと思います。
・「GPCI2020対象（国内線+）」シートで個別集計していたが、SUMIFS関数を使って「集計」シートで自動集計するようにシート改変。</t>
    <rPh sb="1" eb="3">
      <t>テイギ</t>
    </rPh>
    <rPh sb="21" eb="22">
      <t>イ</t>
    </rPh>
    <rPh sb="31" eb="32">
      <t>オモ</t>
    </rPh>
    <rPh sb="47" eb="49">
      <t>タイショウ</t>
    </rPh>
    <rPh sb="50" eb="53">
      <t>コクナイセン</t>
    </rPh>
    <rPh sb="60" eb="62">
      <t>コベツ</t>
    </rPh>
    <rPh sb="62" eb="64">
      <t>シュウケイ</t>
    </rPh>
    <rPh sb="76" eb="78">
      <t>カンスウ</t>
    </rPh>
    <rPh sb="79" eb="80">
      <t>ツカ</t>
    </rPh>
    <rPh sb="83" eb="85">
      <t>シュウケイ</t>
    </rPh>
    <rPh sb="90" eb="92">
      <t>ジドウ</t>
    </rPh>
    <rPh sb="92" eb="94">
      <t>シュウケイトシハンイシュウケイオナケヨ</t>
    </rPh>
    <phoneticPr fontId="5"/>
  </si>
  <si>
    <t>・ARR、Depの数値は数都市ピックアップで確認し、問題ありませんでした。
・対象空港シートとParseHubシートの空港確認しました。
・データ年次は2019-4^2020-3。
神保コメント：
・滑走路本数は同率順位が多すぎる（特に下位）ので、前年との順位変動を見ても意味がないかと。従って、発着回数の結果がきちんと取れているかをメインにチェック頂きたいです。</t>
    <rPh sb="9" eb="11">
      <t>スウチ</t>
    </rPh>
    <rPh sb="12" eb="13">
      <t>スウ</t>
    </rPh>
    <rPh sb="13" eb="15">
      <t>トシ</t>
    </rPh>
    <rPh sb="22" eb="24">
      <t>カクニン</t>
    </rPh>
    <rPh sb="26" eb="28">
      <t>モンダイ</t>
    </rPh>
    <rPh sb="39" eb="41">
      <t>タイショウ</t>
    </rPh>
    <rPh sb="41" eb="43">
      <t>クウコウ</t>
    </rPh>
    <rPh sb="59" eb="61">
      <t>クウコウ</t>
    </rPh>
    <rPh sb="61" eb="63">
      <t>カクニン</t>
    </rPh>
    <rPh sb="73" eb="75">
      <t>ネンジ</t>
    </rPh>
    <rPh sb="93" eb="95">
      <t>ジンボ</t>
    </rPh>
    <rPh sb="102" eb="105">
      <t>カッソウロ</t>
    </rPh>
    <rPh sb="105" eb="107">
      <t>ホンスウ</t>
    </rPh>
    <rPh sb="108" eb="110">
      <t>ドウリツ</t>
    </rPh>
    <rPh sb="110" eb="112">
      <t>ジュンイ</t>
    </rPh>
    <rPh sb="113" eb="114">
      <t>オオ</t>
    </rPh>
    <rPh sb="118" eb="119">
      <t>トク</t>
    </rPh>
    <rPh sb="120" eb="122">
      <t>カイ</t>
    </rPh>
    <rPh sb="126" eb="128">
      <t>ゼンネン</t>
    </rPh>
    <rPh sb="130" eb="132">
      <t>ジュンイ</t>
    </rPh>
    <rPh sb="132" eb="134">
      <t>ヘンドウ</t>
    </rPh>
    <rPh sb="135" eb="136">
      <t>ミ</t>
    </rPh>
    <rPh sb="138" eb="140">
      <t>イミ</t>
    </rPh>
    <rPh sb="146" eb="147">
      <t>シタガ</t>
    </rPh>
    <rPh sb="150" eb="152">
      <t>ハッチャク</t>
    </rPh>
    <rPh sb="152" eb="154">
      <t>カイスウ</t>
    </rPh>
    <rPh sb="155" eb="157">
      <t>ケッカ</t>
    </rPh>
    <rPh sb="162" eb="163">
      <t>ト</t>
    </rPh>
    <rPh sb="177" eb="178">
      <t>イタダ</t>
    </rPh>
    <phoneticPr fontId="5"/>
  </si>
  <si>
    <t>定義に”国内線・国際線”発着回数と追記。</t>
    <rPh sb="0" eb="2">
      <t>テイギ</t>
    </rPh>
    <rPh sb="4" eb="7">
      <t>コクナイセン</t>
    </rPh>
    <rPh sb="8" eb="11">
      <t>コクサイセン</t>
    </rPh>
    <rPh sb="12" eb="14">
      <t>ハッチャク</t>
    </rPh>
    <rPh sb="14" eb="16">
      <t>カイスウ</t>
    </rPh>
    <rPh sb="17" eb="19">
      <t>ツイキ</t>
    </rPh>
    <phoneticPr fontId="5"/>
  </si>
  <si>
    <t>・中心地点がking's crossだったのでWaterlooに変更。→Londonだけmind関数を入れなおした。286駅→430駅に増加。
・閲覧日が書いてなかったので、1stチェックの日にちを記入。
・東京で収集方法のとおり途中までやってみて問題なかった。
・トラムは重複除外し、電車は除外していないので要注意。</t>
    <rPh sb="1" eb="3">
      <t>チュウシン</t>
    </rPh>
    <rPh sb="3" eb="5">
      <t>チテン</t>
    </rPh>
    <rPh sb="32" eb="34">
      <t>ヘンコウ</t>
    </rPh>
    <rPh sb="48" eb="50">
      <t>カンスウ</t>
    </rPh>
    <rPh sb="51" eb="52">
      <t>イ</t>
    </rPh>
    <rPh sb="73" eb="75">
      <t>エツラン</t>
    </rPh>
    <rPh sb="75" eb="76">
      <t>ビ</t>
    </rPh>
    <rPh sb="77" eb="78">
      <t>カ</t>
    </rPh>
    <rPh sb="95" eb="96">
      <t>ヒ</t>
    </rPh>
    <rPh sb="99" eb="101">
      <t>キニュウ</t>
    </rPh>
    <rPh sb="104" eb="106">
      <t>トウキョウ</t>
    </rPh>
    <rPh sb="107" eb="109">
      <t>シュウシュウ</t>
    </rPh>
    <rPh sb="109" eb="111">
      <t>ホウホウ</t>
    </rPh>
    <rPh sb="115" eb="117">
      <t>トチュウ</t>
    </rPh>
    <rPh sb="124" eb="126">
      <t>モンダイ</t>
    </rPh>
    <rPh sb="155" eb="156">
      <t>ヨウ</t>
    </rPh>
    <rPh sb="156" eb="158">
      <t>チュウイ</t>
    </rPh>
    <phoneticPr fontId="5"/>
  </si>
  <si>
    <t xml:space="preserve">・「駅データ」シートにおけるロンドンのC列およびD列の引数が間違えていたので修正。286駅→295駅に増加。
</t>
    <rPh sb="2" eb="3">
      <t>エキ</t>
    </rPh>
    <rPh sb="27" eb="29">
      <t>ヒキスウ</t>
    </rPh>
    <rPh sb="30" eb="32">
      <t>マチガ</t>
    </rPh>
    <rPh sb="38" eb="40">
      <t>シュウセイ</t>
    </rPh>
    <phoneticPr fontId="5"/>
  </si>
  <si>
    <t>・Numbeoのみの昨年比較で5%以上増減がある都市は無い。スコア変動の主要因は居住者Qによるもの。東京と大阪は順位下落。
(1st check担当者へ（from 大和））
・GPCI2019はNumbeoのみ、GPCI2020（暫定）は居住者QとNumbeoの複合にしているため、昨年からの順位変動が大きい。</t>
    <rPh sb="10" eb="12">
      <t>サクネン</t>
    </rPh>
    <rPh sb="12" eb="14">
      <t>ヒカク</t>
    </rPh>
    <rPh sb="17" eb="19">
      <t>イジョウ</t>
    </rPh>
    <rPh sb="19" eb="21">
      <t>ゾウゲン</t>
    </rPh>
    <rPh sb="24" eb="26">
      <t>トシ</t>
    </rPh>
    <rPh sb="27" eb="28">
      <t>ナ</t>
    </rPh>
    <rPh sb="33" eb="35">
      <t>ヘンドウ</t>
    </rPh>
    <rPh sb="36" eb="39">
      <t>シュヨウイン</t>
    </rPh>
    <rPh sb="40" eb="43">
      <t>キョジュウシャ</t>
    </rPh>
    <rPh sb="50" eb="52">
      <t>トウキョウ</t>
    </rPh>
    <rPh sb="53" eb="55">
      <t>オオサカ</t>
    </rPh>
    <rPh sb="56" eb="58">
      <t>ジュンイ</t>
    </rPh>
    <rPh sb="58" eb="60">
      <t>ゲラク</t>
    </rPh>
    <rPh sb="74" eb="77">
      <t>タントウシャ</t>
    </rPh>
    <rPh sb="84" eb="86">
      <t>ヤマト</t>
    </rPh>
    <rPh sb="117" eb="119">
      <t>ザンテイ</t>
    </rPh>
    <rPh sb="121" eb="124">
      <t>キョジュウシャ</t>
    </rPh>
    <rPh sb="133" eb="135">
      <t>フクゴウ</t>
    </rPh>
    <rPh sb="143" eb="145">
      <t>サクネン</t>
    </rPh>
    <rPh sb="148" eb="150">
      <t>ジュンイ</t>
    </rPh>
    <rPh sb="150" eb="152">
      <t>ヘンドウ</t>
    </rPh>
    <rPh sb="153" eb="154">
      <t>オオ</t>
    </rPh>
    <phoneticPr fontId="5"/>
  </si>
  <si>
    <t>・URLと閲覧日を追加。
・東京が1位から8位に下がるのは痛い。ロンドンのスコアダウンも大きい。</t>
    <rPh sb="5" eb="7">
      <t>エツラン</t>
    </rPh>
    <rPh sb="7" eb="8">
      <t>ビ</t>
    </rPh>
    <rPh sb="9" eb="11">
      <t>ツイカ</t>
    </rPh>
    <rPh sb="14" eb="16">
      <t>トウキョウ</t>
    </rPh>
    <rPh sb="18" eb="19">
      <t>イ</t>
    </rPh>
    <rPh sb="22" eb="23">
      <t>イ</t>
    </rPh>
    <rPh sb="24" eb="25">
      <t>サ</t>
    </rPh>
    <rPh sb="29" eb="30">
      <t>イタ</t>
    </rPh>
    <rPh sb="44" eb="45">
      <t>オオ</t>
    </rPh>
    <phoneticPr fontId="5"/>
  </si>
  <si>
    <t>神保コメント：GPCI2019の結果は2018との平均。2018の結果に交通手段や中心地の統一性が無いため、大きくスコア変動した都市も見られる。また、対象空港の追加でスコアを落とした都市もある。また、今年から電車の移動時間も含めて車との短い方を取るようにしたが、ほぼ車になったため意味が無かった。
浜田コメント：ほぼ車というかすべて車移動になったようだ。要市川先生報告指標。
・SourceシートのURLと閲覧日記入漏れあり。
・Seoul（2020）シートは出典シートのテンプレを使うとベター
・定義は書き換えが必要では？特に100万人の箇所。</t>
    <rPh sb="0" eb="2">
      <t>ジンボ</t>
    </rPh>
    <rPh sb="16" eb="18">
      <t>ケッカ</t>
    </rPh>
    <rPh sb="25" eb="27">
      <t>ヘイキン</t>
    </rPh>
    <rPh sb="33" eb="35">
      <t>ケッカ</t>
    </rPh>
    <rPh sb="36" eb="38">
      <t>コウツウ</t>
    </rPh>
    <rPh sb="38" eb="40">
      <t>シュダン</t>
    </rPh>
    <rPh sb="41" eb="44">
      <t>チュウシンチ</t>
    </rPh>
    <rPh sb="45" eb="47">
      <t>トウイツ</t>
    </rPh>
    <rPh sb="47" eb="48">
      <t>セイ</t>
    </rPh>
    <rPh sb="49" eb="50">
      <t>ナ</t>
    </rPh>
    <rPh sb="54" eb="55">
      <t>オオ</t>
    </rPh>
    <rPh sb="60" eb="62">
      <t>ヘンドウ</t>
    </rPh>
    <rPh sb="64" eb="66">
      <t>トシ</t>
    </rPh>
    <rPh sb="67" eb="68">
      <t>ミ</t>
    </rPh>
    <rPh sb="75" eb="77">
      <t>タイショウ</t>
    </rPh>
    <rPh sb="77" eb="79">
      <t>クウコウ</t>
    </rPh>
    <rPh sb="80" eb="82">
      <t>ツイカ</t>
    </rPh>
    <rPh sb="87" eb="88">
      <t>オ</t>
    </rPh>
    <rPh sb="91" eb="93">
      <t>トシ</t>
    </rPh>
    <rPh sb="100" eb="102">
      <t>コトシ</t>
    </rPh>
    <rPh sb="104" eb="106">
      <t>デンシャ</t>
    </rPh>
    <rPh sb="107" eb="109">
      <t>イドウ</t>
    </rPh>
    <rPh sb="109" eb="111">
      <t>ジカン</t>
    </rPh>
    <rPh sb="112" eb="113">
      <t>フク</t>
    </rPh>
    <rPh sb="115" eb="116">
      <t>クルマ</t>
    </rPh>
    <rPh sb="118" eb="119">
      <t>ミジカ</t>
    </rPh>
    <rPh sb="120" eb="121">
      <t>ホウ</t>
    </rPh>
    <rPh sb="122" eb="123">
      <t>ト</t>
    </rPh>
    <rPh sb="133" eb="134">
      <t>クルマ</t>
    </rPh>
    <rPh sb="140" eb="142">
      <t>イミ</t>
    </rPh>
    <rPh sb="143" eb="144">
      <t>ナ</t>
    </rPh>
    <rPh sb="149" eb="151">
      <t>ハマダ</t>
    </rPh>
    <rPh sb="158" eb="159">
      <t>クルマ</t>
    </rPh>
    <rPh sb="166" eb="167">
      <t>クルマ</t>
    </rPh>
    <rPh sb="167" eb="169">
      <t>イドウ</t>
    </rPh>
    <rPh sb="177" eb="178">
      <t>ヨウ</t>
    </rPh>
    <rPh sb="178" eb="180">
      <t>イチカワ</t>
    </rPh>
    <rPh sb="180" eb="182">
      <t>センセイ</t>
    </rPh>
    <rPh sb="182" eb="184">
      <t>ホウコク</t>
    </rPh>
    <rPh sb="184" eb="186">
      <t>シヒョウ</t>
    </rPh>
    <rPh sb="203" eb="205">
      <t>エツラン</t>
    </rPh>
    <rPh sb="205" eb="206">
      <t>ビ</t>
    </rPh>
    <rPh sb="206" eb="208">
      <t>キニュウ</t>
    </rPh>
    <rPh sb="208" eb="209">
      <t>モ</t>
    </rPh>
    <rPh sb="230" eb="232">
      <t>シュッテン</t>
    </rPh>
    <rPh sb="241" eb="242">
      <t>ツカ</t>
    </rPh>
    <rPh sb="249" eb="251">
      <t>テイギ</t>
    </rPh>
    <rPh sb="252" eb="253">
      <t>カ</t>
    </rPh>
    <rPh sb="254" eb="255">
      <t>カ</t>
    </rPh>
    <rPh sb="257" eb="259">
      <t>ヒツヨウ</t>
    </rPh>
    <rPh sb="262" eb="263">
      <t>トク</t>
    </rPh>
    <rPh sb="267" eb="269">
      <t>マンニン</t>
    </rPh>
    <rPh sb="270" eb="272">
      <t>カショ</t>
    </rPh>
    <phoneticPr fontId="5"/>
  </si>
  <si>
    <t xml:space="preserve">定義を以下の通り修正：
年間旅客者数 → 国際線年間旅客者数
Average time → Minimum time
passengers → international passengers
本来、順位変動が少ないと思われる指標だが、今回は諸々の事情で順位変動が大きいため、WGで要議論。
</t>
    <rPh sb="0" eb="2">
      <t>テイギ</t>
    </rPh>
    <rPh sb="3" eb="5">
      <t>イカ</t>
    </rPh>
    <rPh sb="6" eb="7">
      <t>トオ</t>
    </rPh>
    <rPh sb="8" eb="10">
      <t>シュウセイ</t>
    </rPh>
    <rPh sb="12" eb="14">
      <t>ネンカン</t>
    </rPh>
    <rPh sb="14" eb="16">
      <t>リョキャク</t>
    </rPh>
    <rPh sb="16" eb="17">
      <t>シャ</t>
    </rPh>
    <rPh sb="17" eb="18">
      <t>スウ</t>
    </rPh>
    <rPh sb="21" eb="24">
      <t>コクサイセン</t>
    </rPh>
    <rPh sb="24" eb="26">
      <t>ネンカン</t>
    </rPh>
    <rPh sb="26" eb="28">
      <t>リョキャク</t>
    </rPh>
    <rPh sb="28" eb="29">
      <t>シャ</t>
    </rPh>
    <rPh sb="29" eb="30">
      <t>スウ</t>
    </rPh>
    <rPh sb="98" eb="100">
      <t>ホンライ</t>
    </rPh>
    <rPh sb="101" eb="103">
      <t>ジュンイ</t>
    </rPh>
    <rPh sb="103" eb="105">
      <t>ヘンドウ</t>
    </rPh>
    <rPh sb="106" eb="107">
      <t>スク</t>
    </rPh>
    <rPh sb="110" eb="111">
      <t>オモ</t>
    </rPh>
    <rPh sb="114" eb="116">
      <t>シヒョウ</t>
    </rPh>
    <rPh sb="119" eb="121">
      <t>コンカイ</t>
    </rPh>
    <rPh sb="122" eb="124">
      <t>モロモロ</t>
    </rPh>
    <rPh sb="125" eb="127">
      <t>ジジョウ</t>
    </rPh>
    <rPh sb="128" eb="130">
      <t>ジュンイ</t>
    </rPh>
    <rPh sb="130" eb="132">
      <t>ヘンドウ</t>
    </rPh>
    <rPh sb="133" eb="134">
      <t>オオ</t>
    </rPh>
    <rPh sb="142" eb="143">
      <t>ヨウ</t>
    </rPh>
    <rPh sb="143" eb="145">
      <t>ギロン</t>
    </rPh>
    <phoneticPr fontId="5"/>
  </si>
  <si>
    <t>・カイロの居住者Qが20分以上昨年から増加している
・居住者Qの昨年比較は全都市で平均マイナス7分も縮減。
・NUMBEOは全体で大きな変化なし
・したがって、Qでの時間縮減度合いが、スコア増減に直結している。順位が下がる都市は、他都市と比べてQの時間縮減度合いが小さい
・Qのスコア化の変更についてMemo参照</t>
    <rPh sb="5" eb="8">
      <t>キョジュウシャ</t>
    </rPh>
    <rPh sb="12" eb="13">
      <t>フン</t>
    </rPh>
    <rPh sb="13" eb="15">
      <t>イジョウ</t>
    </rPh>
    <rPh sb="15" eb="17">
      <t>サクネン</t>
    </rPh>
    <rPh sb="19" eb="21">
      <t>ゾウカ</t>
    </rPh>
    <rPh sb="27" eb="30">
      <t>キョジュウシャ</t>
    </rPh>
    <rPh sb="32" eb="34">
      <t>サクネン</t>
    </rPh>
    <rPh sb="34" eb="36">
      <t>ヒカク</t>
    </rPh>
    <rPh sb="37" eb="38">
      <t>ゼン</t>
    </rPh>
    <rPh sb="38" eb="40">
      <t>トシ</t>
    </rPh>
    <rPh sb="41" eb="43">
      <t>ヘイキン</t>
    </rPh>
    <rPh sb="48" eb="49">
      <t>フン</t>
    </rPh>
    <rPh sb="50" eb="52">
      <t>シュクゲン</t>
    </rPh>
    <rPh sb="62" eb="64">
      <t>ゼンタイ</t>
    </rPh>
    <rPh sb="65" eb="66">
      <t>オオ</t>
    </rPh>
    <rPh sb="68" eb="70">
      <t>ヘンカ</t>
    </rPh>
    <rPh sb="83" eb="85">
      <t>ジカン</t>
    </rPh>
    <rPh sb="85" eb="87">
      <t>シュクゲン</t>
    </rPh>
    <rPh sb="87" eb="89">
      <t>ドア</t>
    </rPh>
    <rPh sb="94" eb="96">
      <t>ゾウゲン</t>
    </rPh>
    <rPh sb="97" eb="99">
      <t>チョッケツ</t>
    </rPh>
    <rPh sb="104" eb="106">
      <t>ジュンイ</t>
    </rPh>
    <rPh sb="107" eb="108">
      <t>サ</t>
    </rPh>
    <rPh sb="110" eb="112">
      <t>トシ</t>
    </rPh>
    <rPh sb="114" eb="117">
      <t>タトシ</t>
    </rPh>
    <rPh sb="118" eb="119">
      <t>クラ</t>
    </rPh>
    <rPh sb="123" eb="125">
      <t>ジカン</t>
    </rPh>
    <rPh sb="125" eb="127">
      <t>シュクゲン</t>
    </rPh>
    <rPh sb="127" eb="129">
      <t>ドア</t>
    </rPh>
    <rPh sb="131" eb="132">
      <t>チイ</t>
    </rPh>
    <rPh sb="142" eb="143">
      <t>カ</t>
    </rPh>
    <rPh sb="144" eb="146">
      <t>ヘンコウ</t>
    </rPh>
    <rPh sb="154" eb="156">
      <t>サンショウ</t>
    </rPh>
    <phoneticPr fontId="5"/>
  </si>
  <si>
    <t>・大阪と福岡のエクセルデータを追加。
・閲覧日とURLを追加。</t>
    <rPh sb="1" eb="3">
      <t>オオサカ</t>
    </rPh>
    <rPh sb="4" eb="6">
      <t>フクオカ</t>
    </rPh>
    <rPh sb="15" eb="17">
      <t>ツイカ</t>
    </rPh>
    <rPh sb="20" eb="22">
      <t>エツラン</t>
    </rPh>
    <rPh sb="22" eb="23">
      <t>ビ</t>
    </rPh>
    <rPh sb="28" eb="30">
      <t>ツイカ</t>
    </rPh>
    <phoneticPr fontId="5"/>
  </si>
  <si>
    <r>
      <t>【SRCへ申し送り】
・"（Data01）TomTom_データ"シートのCongestion levelが文字列になっており、それを全シートが引っ張ってきているのでスコアがおかしい。GPCI2019の指標ファイル同様数値に直してください。
・Memoの青字と赤字の意味はなんでしょうか？（弊所が書いたものかもですが）
2018メモはどこから？
【MMF確認】</t>
    </r>
    <r>
      <rPr>
        <sz val="9"/>
        <color rgb="FFFF0000"/>
        <rFont val="游ゴシック"/>
        <family val="3"/>
        <charset val="128"/>
      </rPr>
      <t>※別途検討シートあり</t>
    </r>
    <r>
      <rPr>
        <sz val="9"/>
        <rFont val="游ゴシック"/>
        <family val="3"/>
        <charset val="128"/>
      </rPr>
      <t xml:space="preserve">
・福岡の値について＞道路センサスの値をそのまま採用しているが、tomTomの国内各都市の混雑度と比較すると矛盾を感じるが、でも2019も指摘なく採用されているので、過去に検討した結果かもしれない。
・TomTomで検索されなかったEU3都市が全データDLしたら出てきた。DL時に市域サイズをLargeにすることで省かれていた？
・TomTomのランキングでは同じ％でもランクが違うがMMFは同じ％は同順位としている。ランクの重みづけ無しでOK?
</t>
    </r>
    <rPh sb="106" eb="108">
      <t>ドウヨウ</t>
    </rPh>
    <rPh sb="177" eb="179">
      <t>カクニン</t>
    </rPh>
    <rPh sb="181" eb="183">
      <t>ベット</t>
    </rPh>
    <rPh sb="183" eb="185">
      <t>ケントウ</t>
    </rPh>
    <rPh sb="192" eb="194">
      <t>フクオカ</t>
    </rPh>
    <rPh sb="195" eb="196">
      <t>アタイ</t>
    </rPh>
    <rPh sb="201" eb="203">
      <t>ドウロ</t>
    </rPh>
    <rPh sb="208" eb="209">
      <t>アタイ</t>
    </rPh>
    <rPh sb="214" eb="216">
      <t>サイヨウ</t>
    </rPh>
    <rPh sb="229" eb="231">
      <t>コクナイ</t>
    </rPh>
    <rPh sb="231" eb="234">
      <t>カクトシ</t>
    </rPh>
    <rPh sb="235" eb="237">
      <t>コンザツ</t>
    </rPh>
    <rPh sb="237" eb="238">
      <t>ド</t>
    </rPh>
    <rPh sb="239" eb="241">
      <t>ヒカク</t>
    </rPh>
    <rPh sb="244" eb="246">
      <t>ムジュン</t>
    </rPh>
    <rPh sb="247" eb="248">
      <t>カン</t>
    </rPh>
    <rPh sb="259" eb="261">
      <t>シテキ</t>
    </rPh>
    <rPh sb="263" eb="265">
      <t>サイヨウ</t>
    </rPh>
    <rPh sb="273" eb="275">
      <t>カコ</t>
    </rPh>
    <rPh sb="276" eb="278">
      <t>ケントウ</t>
    </rPh>
    <rPh sb="280" eb="282">
      <t>ケッカ</t>
    </rPh>
    <rPh sb="298" eb="300">
      <t>ケンサク</t>
    </rPh>
    <rPh sb="309" eb="311">
      <t>トシ</t>
    </rPh>
    <rPh sb="312" eb="313">
      <t>ゼン</t>
    </rPh>
    <rPh sb="321" eb="322">
      <t>デ</t>
    </rPh>
    <rPh sb="328" eb="329">
      <t>ジ</t>
    </rPh>
    <rPh sb="330" eb="332">
      <t>シイキ</t>
    </rPh>
    <rPh sb="347" eb="348">
      <t>ハブ</t>
    </rPh>
    <rPh sb="370" eb="371">
      <t>オナ</t>
    </rPh>
    <rPh sb="379" eb="380">
      <t>チガ</t>
    </rPh>
    <rPh sb="386" eb="387">
      <t>オナ</t>
    </rPh>
    <rPh sb="390" eb="391">
      <t>ドウ</t>
    </rPh>
    <rPh sb="391" eb="393">
      <t>ジュンイ</t>
    </rPh>
    <rPh sb="403" eb="404">
      <t>オモ</t>
    </rPh>
    <rPh sb="407" eb="408">
      <t>ナ</t>
    </rPh>
    <phoneticPr fontId="5"/>
  </si>
  <si>
    <t>【SRCへ申し送り】
・"（Data01）TomTom_データ"シートのCongestion levelが文字列のためスコアがおかしい。数値に直してください。
・EU3都市(Zurich, Frankfurt, Geneva)はTomTomデータあり。再確認願います。
・Memoの青字と赤字の違いは？（MMFが書いた可能性もあり）2018メモはどこから？
【MMF連絡】
福岡の補完方法は2018年に「道路センサス」をそのまま使う事の検討した履歴あり。</t>
    <rPh sb="126" eb="129">
      <t>サイカクニン</t>
    </rPh>
    <rPh sb="129" eb="130">
      <t>ネガ</t>
    </rPh>
    <rPh sb="147" eb="148">
      <t>チガ</t>
    </rPh>
    <rPh sb="159" eb="162">
      <t>カノウセイ</t>
    </rPh>
    <phoneticPr fontId="5"/>
  </si>
  <si>
    <t>・TomTomのデータに関しては、フルレポートを改めてダウンロードいたしました。データも数値で入力しておりますのでご確認いただけますでしょうか。
・メモの色分けについて、昨年はもともとあったメモを残しつつ、新しく追加したメモがどれについての記述かを分かりやすくするために色分けしていたようです。
逆に分かりにくくなっておりましたので、不要な部分を削除し、修正箇所を赤字にしております。</t>
    <rPh sb="12" eb="13">
      <t>カン</t>
    </rPh>
    <rPh sb="24" eb="25">
      <t>アラタ</t>
    </rPh>
    <rPh sb="44" eb="46">
      <t>スウチ</t>
    </rPh>
    <rPh sb="47" eb="49">
      <t>ニュウリョク</t>
    </rPh>
    <rPh sb="58" eb="60">
      <t>カクニン</t>
    </rPh>
    <rPh sb="77" eb="79">
      <t>イロワ</t>
    </rPh>
    <rPh sb="85" eb="87">
      <t>サクネン</t>
    </rPh>
    <rPh sb="98" eb="99">
      <t>ノコ</t>
    </rPh>
    <rPh sb="103" eb="104">
      <t>アタラ</t>
    </rPh>
    <rPh sb="106" eb="108">
      <t>ツイカ</t>
    </rPh>
    <rPh sb="120" eb="122">
      <t>キジュツ</t>
    </rPh>
    <rPh sb="124" eb="125">
      <t>ワ</t>
    </rPh>
    <rPh sb="135" eb="137">
      <t>イロワ</t>
    </rPh>
    <rPh sb="148" eb="149">
      <t>ギャク</t>
    </rPh>
    <rPh sb="150" eb="151">
      <t>ワ</t>
    </rPh>
    <rPh sb="167" eb="169">
      <t>フヨウ</t>
    </rPh>
    <rPh sb="170" eb="172">
      <t>ブブン</t>
    </rPh>
    <rPh sb="173" eb="175">
      <t>サクジョ</t>
    </rPh>
    <rPh sb="177" eb="179">
      <t>シュウセイ</t>
    </rPh>
    <rPh sb="179" eb="181">
      <t>カショ</t>
    </rPh>
    <rPh sb="182" eb="183">
      <t>アカ</t>
    </rPh>
    <rPh sb="183" eb="184">
      <t>ジ</t>
    </rPh>
    <phoneticPr fontId="5"/>
  </si>
  <si>
    <t>・修正箇所を確認済み。問題なし。</t>
    <rPh sb="1" eb="3">
      <t>シュウセイ</t>
    </rPh>
    <rPh sb="3" eb="5">
      <t>カショ</t>
    </rPh>
    <rPh sb="6" eb="8">
      <t>カクニン</t>
    </rPh>
    <rPh sb="8" eb="9">
      <t>ズ</t>
    </rPh>
    <rPh sb="11" eb="13">
      <t>モンダイ</t>
    </rPh>
    <phoneticPr fontId="5"/>
  </si>
  <si>
    <r>
      <t xml:space="preserve">松田コメント：以前UBSからの乖離が大きく、実数値を別ソースから取得していた都市について、いつまでこの別対応を続けるか？UBSも妥当な値になってきている。→とりあえず去年と同じ方法でよいのでは（浜田）
＜2ndさんへ＞
・去年の指標ファイルを見てもらうとわかりやすいと思います。
・SRC/MRIは為替に、2020IMFを使っていたが、為替マスターシートを使って2019（今年からUNが主）のものに浜田の方で変更した。
・ロスは実測値を採用。なぜ？→「UBS2012年とUBS2015年の差が5ドル以上の都市については実測値を採用する」の対象だったからだと思われる→UBSに戻すでよいのでは？乖離も大きくない。
・なぜ同じUSAでワシントンDCとボストンは実測値で、サンフランシスコはUBS化しているのだろう。→「UBS2012年とUBS2015年の差が5ドル以上の都市については実測値を採用する」となったためか。解決。
・メルボルンはシドニーを使ってUBS化でも良いのでは？
</t>
    </r>
    <r>
      <rPr>
        <sz val="9"/>
        <color rgb="FFFF0000"/>
        <rFont val="游ゴシック"/>
        <family val="3"/>
        <charset val="128"/>
      </rPr>
      <t>＜SRC/MRI様＞
・Sourceの福岡の範囲は福岡市でよいのでは？大阪も大阪市でよいのでは？
・ストックホルム、モスクワ、ジュネーブ、ロンドンはUBSを使っているので個別シートは消してよいのでは？</t>
    </r>
    <rPh sb="0" eb="2">
      <t>マツダ</t>
    </rPh>
    <rPh sb="83" eb="85">
      <t>キョネン</t>
    </rPh>
    <rPh sb="86" eb="87">
      <t>オナ</t>
    </rPh>
    <rPh sb="88" eb="90">
      <t>ホウホウ</t>
    </rPh>
    <rPh sb="97" eb="99">
      <t>ハマダ</t>
    </rPh>
    <rPh sb="111" eb="113">
      <t>キョネン</t>
    </rPh>
    <rPh sb="114" eb="116">
      <t>シヒョウ</t>
    </rPh>
    <rPh sb="121" eb="122">
      <t>ミ</t>
    </rPh>
    <rPh sb="134" eb="135">
      <t>オモ</t>
    </rPh>
    <rPh sb="149" eb="151">
      <t>カワセ</t>
    </rPh>
    <rPh sb="161" eb="162">
      <t>ツカ</t>
    </rPh>
    <rPh sb="168" eb="170">
      <t>カワセ</t>
    </rPh>
    <rPh sb="178" eb="179">
      <t>ツカ</t>
    </rPh>
    <rPh sb="186" eb="188">
      <t>コトシ</t>
    </rPh>
    <rPh sb="193" eb="194">
      <t>シュ</t>
    </rPh>
    <rPh sb="199" eb="201">
      <t>ハマダ</t>
    </rPh>
    <rPh sb="202" eb="203">
      <t>ホウ</t>
    </rPh>
    <rPh sb="204" eb="206">
      <t>ヘンコウ</t>
    </rPh>
    <rPh sb="269" eb="271">
      <t>タイショウ</t>
    </rPh>
    <rPh sb="278" eb="279">
      <t>オモ</t>
    </rPh>
    <rPh sb="287" eb="288">
      <t>モド</t>
    </rPh>
    <rPh sb="296" eb="298">
      <t>カイリ</t>
    </rPh>
    <rPh sb="299" eb="300">
      <t>オオ</t>
    </rPh>
    <rPh sb="309" eb="310">
      <t>オナ</t>
    </rPh>
    <rPh sb="328" eb="331">
      <t>ジッソクチ</t>
    </rPh>
    <rPh sb="345" eb="346">
      <t>カ</t>
    </rPh>
    <rPh sb="407" eb="409">
      <t>カイケツ</t>
    </rPh>
    <rPh sb="423" eb="424">
      <t>ツカ</t>
    </rPh>
    <rPh sb="429" eb="430">
      <t>カ</t>
    </rPh>
    <rPh sb="432" eb="433">
      <t>ヨ</t>
    </rPh>
    <rPh sb="447" eb="448">
      <t>サマ</t>
    </rPh>
    <rPh sb="458" eb="460">
      <t>フクオカ</t>
    </rPh>
    <rPh sb="461" eb="463">
      <t>ハンイ</t>
    </rPh>
    <rPh sb="464" eb="467">
      <t>フクオカシ</t>
    </rPh>
    <rPh sb="474" eb="476">
      <t>オオサカ</t>
    </rPh>
    <rPh sb="477" eb="480">
      <t>オオサカシ</t>
    </rPh>
    <rPh sb="517" eb="518">
      <t>ツカ</t>
    </rPh>
    <rPh sb="524" eb="526">
      <t>コベツ</t>
    </rPh>
    <rPh sb="530" eb="531">
      <t>ケ</t>
    </rPh>
    <phoneticPr fontId="5"/>
  </si>
  <si>
    <t>【Taxi】
・Los Angelesは乖離値が小さいため実測値ではなくUBSを採用（修正済）。
・ストックホルム、モスクワ、ジュネーブ、ロンドンはUBSを使っているので個別シートを削除した。
・Sourceの福岡県→福岡市、大阪府→大阪市に修正済み。
【Bike】
・Bikeを加えたことで、指標名および定義を変更した。また、マイナス指標からプラス指標へと変更した。</t>
    <rPh sb="20" eb="22">
      <t>カイリ</t>
    </rPh>
    <rPh sb="22" eb="23">
      <t>アタイ</t>
    </rPh>
    <rPh sb="24" eb="25">
      <t>チイ</t>
    </rPh>
    <rPh sb="29" eb="32">
      <t>ジッソクチ</t>
    </rPh>
    <rPh sb="40" eb="42">
      <t>サイヨウ</t>
    </rPh>
    <rPh sb="43" eb="45">
      <t>シュウセイ</t>
    </rPh>
    <rPh sb="45" eb="46">
      <t>ズ</t>
    </rPh>
    <rPh sb="91" eb="93">
      <t>サクジョ</t>
    </rPh>
    <rPh sb="107" eb="108">
      <t>ケン</t>
    </rPh>
    <rPh sb="115" eb="116">
      <t>フ</t>
    </rPh>
    <rPh sb="121" eb="123">
      <t>シュウセイ</t>
    </rPh>
    <rPh sb="123" eb="124">
      <t>ズ</t>
    </rPh>
    <rPh sb="141" eb="142">
      <t>クワ</t>
    </rPh>
    <rPh sb="148" eb="150">
      <t>シヒョウ</t>
    </rPh>
    <rPh sb="150" eb="151">
      <t>メイ</t>
    </rPh>
    <rPh sb="154" eb="156">
      <t>テイギ</t>
    </rPh>
    <rPh sb="157" eb="159">
      <t>ヘンコウ</t>
    </rPh>
    <rPh sb="169" eb="171">
      <t>シヒョウ</t>
    </rPh>
    <rPh sb="176" eb="178">
      <t>シヒョウ</t>
    </rPh>
    <rPh sb="180" eb="182">
      <t>ヘンコウ</t>
    </rPh>
    <phoneticPr fontId="5"/>
  </si>
  <si>
    <t>指標名</t>
    <rPh sb="0" eb="2">
      <t>シヒョウ</t>
    </rPh>
    <rPh sb="2" eb="3">
      <t>メイ</t>
    </rPh>
    <phoneticPr fontId="5"/>
  </si>
  <si>
    <t>・Checkシート：グレー欄に今年の結果／スコア／順位／年次／出典を値貼り付け、書式リセット</t>
    <rPh sb="13" eb="14">
      <t>ラン</t>
    </rPh>
    <rPh sb="15" eb="17">
      <t>コトシ</t>
    </rPh>
    <rPh sb="18" eb="20">
      <t>ケッカ</t>
    </rPh>
    <rPh sb="25" eb="27">
      <t>ジュンイ</t>
    </rPh>
    <rPh sb="28" eb="30">
      <t>ネンジ</t>
    </rPh>
    <rPh sb="31" eb="33">
      <t>シュッテン</t>
    </rPh>
    <rPh sb="34" eb="35">
      <t>アタイ</t>
    </rPh>
    <rPh sb="35" eb="36">
      <t>ハ</t>
    </rPh>
    <rPh sb="37" eb="38">
      <t>ツ</t>
    </rPh>
    <rPh sb="40" eb="42">
      <t>ショシキ</t>
    </rPh>
    <phoneticPr fontId="5"/>
  </si>
  <si>
    <t>各指標ファイルの「Memo」シートから定義を集めてきます。ここで整えたら、最終版を「定義」シート（定義マスタ）に貼ってください。「Check」シートから指標名も集めます。</t>
    <rPh sb="0" eb="3">
      <t>カクシヒョウ</t>
    </rPh>
    <rPh sb="19" eb="21">
      <t>テイギ</t>
    </rPh>
    <rPh sb="22" eb="23">
      <t>アツ</t>
    </rPh>
    <rPh sb="32" eb="33">
      <t>トトノ</t>
    </rPh>
    <rPh sb="37" eb="39">
      <t>サイシュウ</t>
    </rPh>
    <rPh sb="39" eb="40">
      <t>バン</t>
    </rPh>
    <rPh sb="42" eb="44">
      <t>テイギ</t>
    </rPh>
    <rPh sb="49" eb="51">
      <t>テイギ</t>
    </rPh>
    <rPh sb="56" eb="57">
      <t>ハ</t>
    </rPh>
    <rPh sb="80" eb="81">
      <t>アツ</t>
    </rPh>
    <phoneticPr fontId="5"/>
  </si>
  <si>
    <t>人口</t>
    <phoneticPr fontId="5"/>
  </si>
  <si>
    <t>面積</t>
    <rPh sb="0" eb="2">
      <t>メンセキ</t>
    </rPh>
    <phoneticPr fontId="5"/>
  </si>
  <si>
    <t>為替</t>
    <phoneticPr fontId="5"/>
  </si>
  <si>
    <t>GDP</t>
    <phoneticPr fontId="5"/>
  </si>
  <si>
    <t>1人あたりGDP</t>
    <phoneticPr fontId="5"/>
  </si>
  <si>
    <t>GDP成長率</t>
    <phoneticPr fontId="5"/>
  </si>
  <si>
    <t>経済自由度</t>
    <phoneticPr fontId="5"/>
  </si>
  <si>
    <t>証券取引所の株式時価総額</t>
    <phoneticPr fontId="5"/>
  </si>
  <si>
    <t>世界トップ500企業</t>
    <phoneticPr fontId="5"/>
  </si>
  <si>
    <t>従業者数</t>
    <phoneticPr fontId="5"/>
  </si>
  <si>
    <t>ビジネスサポート人材の多さ</t>
    <phoneticPr fontId="5"/>
  </si>
  <si>
    <t>賃金水準の高さ</t>
    <phoneticPr fontId="5"/>
  </si>
  <si>
    <t>優秀な人材確保の容易性</t>
    <phoneticPr fontId="5"/>
  </si>
  <si>
    <t>ワークプレイス充実度</t>
    <phoneticPr fontId="5"/>
  </si>
  <si>
    <t>法人税率の低さ</t>
    <phoneticPr fontId="5"/>
  </si>
  <si>
    <t>政治・経済・商機のリスク</t>
    <phoneticPr fontId="5"/>
  </si>
  <si>
    <t>研究者数</t>
    <phoneticPr fontId="5"/>
  </si>
  <si>
    <t>世界トップ大学</t>
    <phoneticPr fontId="5"/>
  </si>
  <si>
    <t>研究開発費</t>
    <phoneticPr fontId="5"/>
  </si>
  <si>
    <t>留学生数</t>
    <phoneticPr fontId="5"/>
  </si>
  <si>
    <t>学力の高さ</t>
    <phoneticPr fontId="5"/>
  </si>
  <si>
    <t>特許登録件数</t>
    <phoneticPr fontId="5"/>
  </si>
  <si>
    <t>主要科学技術賞受賞者数</t>
    <phoneticPr fontId="5"/>
  </si>
  <si>
    <t>国際コンベンション件数</t>
    <phoneticPr fontId="5"/>
  </si>
  <si>
    <t>文化イベント開催件数</t>
    <phoneticPr fontId="5"/>
  </si>
  <si>
    <t>コンテンツ輸出額</t>
    <phoneticPr fontId="5"/>
  </si>
  <si>
    <t>アート市場環境</t>
    <phoneticPr fontId="5"/>
  </si>
  <si>
    <t>観光地の充実度</t>
    <phoneticPr fontId="5"/>
  </si>
  <si>
    <t>世界遺産への近接性</t>
    <phoneticPr fontId="5"/>
  </si>
  <si>
    <t>ナイトライフ充実度</t>
    <phoneticPr fontId="5"/>
  </si>
  <si>
    <t>劇場・コンサートホール数</t>
    <phoneticPr fontId="5"/>
  </si>
  <si>
    <t>美術館・博物館数</t>
    <phoneticPr fontId="5"/>
  </si>
  <si>
    <t>スタジアム数</t>
    <phoneticPr fontId="5"/>
  </si>
  <si>
    <t>ホテル客室数</t>
    <phoneticPr fontId="5"/>
  </si>
  <si>
    <t>ハイクラスホテル客室数</t>
    <phoneticPr fontId="5"/>
  </si>
  <si>
    <t>買物の魅力</t>
    <phoneticPr fontId="5"/>
  </si>
  <si>
    <t>食事の魅力</t>
    <phoneticPr fontId="5"/>
  </si>
  <si>
    <t>外国人居住者数</t>
    <phoneticPr fontId="5"/>
  </si>
  <si>
    <t>外国人訪問者数</t>
    <phoneticPr fontId="5"/>
  </si>
  <si>
    <t>完全失業率の低さ</t>
    <phoneticPr fontId="5"/>
  </si>
  <si>
    <t>総労働時間の短さ</t>
    <phoneticPr fontId="5"/>
  </si>
  <si>
    <t>働き方の柔軟性</t>
    <phoneticPr fontId="5"/>
  </si>
  <si>
    <t>住宅賃料水準の低さ</t>
    <phoneticPr fontId="5"/>
  </si>
  <si>
    <t>物価水準の低さ</t>
    <phoneticPr fontId="5"/>
  </si>
  <si>
    <t>殺人件数の少なさ</t>
    <phoneticPr fontId="5"/>
  </si>
  <si>
    <t>自然災害の経済的リスクの少なさ</t>
    <phoneticPr fontId="5"/>
  </si>
  <si>
    <t>平均寿命</t>
    <phoneticPr fontId="5"/>
  </si>
  <si>
    <t>社会の自由度・平等さ</t>
    <phoneticPr fontId="5"/>
  </si>
  <si>
    <t>メンタルヘルス水準</t>
    <phoneticPr fontId="5"/>
  </si>
  <si>
    <t>医師数</t>
    <phoneticPr fontId="5"/>
  </si>
  <si>
    <t>ICT環境の充実度</t>
    <phoneticPr fontId="5"/>
  </si>
  <si>
    <t>小売店舗の多さ</t>
    <phoneticPr fontId="5"/>
  </si>
  <si>
    <t>飲食店の多さ</t>
    <phoneticPr fontId="5"/>
  </si>
  <si>
    <t>一人当たりのCO2排出量の少なさ</t>
    <rPh sb="0" eb="2">
      <t>ヒトリ</t>
    </rPh>
    <rPh sb="2" eb="3">
      <t>ア</t>
    </rPh>
    <phoneticPr fontId="5"/>
  </si>
  <si>
    <t>再生可能エネルギー比率</t>
    <phoneticPr fontId="5"/>
  </si>
  <si>
    <t>リサイクル率</t>
    <phoneticPr fontId="5"/>
  </si>
  <si>
    <t>緑地の充実度</t>
    <phoneticPr fontId="5"/>
  </si>
  <si>
    <t>自然環境への接触機会</t>
    <phoneticPr fontId="5"/>
  </si>
  <si>
    <t>水質の良好性</t>
    <phoneticPr fontId="5"/>
  </si>
  <si>
    <t>都市空間の清潔さ</t>
    <phoneticPr fontId="5"/>
  </si>
  <si>
    <t>空気のきれいさ</t>
    <rPh sb="0" eb="2">
      <t>クウキ</t>
    </rPh>
    <phoneticPr fontId="5"/>
  </si>
  <si>
    <t>気温の快適性</t>
    <phoneticPr fontId="5"/>
  </si>
  <si>
    <t>国際線直行便就航都市数</t>
    <phoneticPr fontId="5"/>
  </si>
  <si>
    <t>国際貨物流通規模</t>
    <phoneticPr fontId="5"/>
  </si>
  <si>
    <t>国内・国際線旅客数</t>
    <phoneticPr fontId="5"/>
  </si>
  <si>
    <t>発着回数</t>
    <rPh sb="0" eb="2">
      <t>ハッチャク</t>
    </rPh>
    <rPh sb="2" eb="4">
      <t>カイスウ</t>
    </rPh>
    <phoneticPr fontId="5"/>
  </si>
  <si>
    <t>駅密度</t>
    <phoneticPr fontId="5"/>
  </si>
  <si>
    <t>公共交通機関利用率</t>
    <phoneticPr fontId="5"/>
  </si>
  <si>
    <t>空港アクセス時間の短さ</t>
    <phoneticPr fontId="5"/>
  </si>
  <si>
    <t>通勤・通学時間の短さ</t>
    <phoneticPr fontId="5"/>
  </si>
  <si>
    <t>渋滞の少なさ</t>
    <phoneticPr fontId="5"/>
  </si>
  <si>
    <t>タクシー・自転車での移動のしやすさ</t>
    <rPh sb="5" eb="8">
      <t>ジテンシャ</t>
    </rPh>
    <rPh sb="10" eb="12">
      <t>イドウ</t>
    </rPh>
    <phoneticPr fontId="5"/>
  </si>
  <si>
    <t>為替</t>
  </si>
  <si>
    <t>賃金水準の高さ</t>
  </si>
  <si>
    <t>法人税率の低さ</t>
  </si>
  <si>
    <t>世界トップ大学</t>
  </si>
  <si>
    <t>留学生数</t>
  </si>
  <si>
    <t>特許登録件数</t>
  </si>
  <si>
    <t>国際コンベンション件数</t>
  </si>
  <si>
    <t>外国人訪問者数</t>
  </si>
  <si>
    <t>完全失業率の低さ</t>
  </si>
  <si>
    <t>物価水準の低さ</t>
  </si>
  <si>
    <t>自然災害の経済的リスクの少なさ</t>
  </si>
  <si>
    <t>社会の自由度・平等さ</t>
  </si>
  <si>
    <t>メンタルヘルス水準</t>
  </si>
  <si>
    <t>医師数</t>
  </si>
  <si>
    <t>再生可能エネルギー比率</t>
  </si>
  <si>
    <t>国際線直行便就航都市数</t>
  </si>
  <si>
    <t>公共交通機関利用率</t>
  </si>
  <si>
    <t>・ファイル名を左の表のとおり修正</t>
    <rPh sb="5" eb="6">
      <t>メイ</t>
    </rPh>
    <rPh sb="7" eb="8">
      <t>ヒダリ</t>
    </rPh>
    <rPh sb="9" eb="10">
      <t>ヒョウ</t>
    </rPh>
    <rPh sb="14" eb="16">
      <t>シュウセイ</t>
    </rPh>
    <phoneticPr fontId="5"/>
  </si>
  <si>
    <t>Renewable Energy Rate</t>
  </si>
  <si>
    <t>Waste Recycle Rate</t>
  </si>
  <si>
    <t>空気のきれいさ</t>
  </si>
  <si>
    <t>回</t>
    <rPh sb="0" eb="1">
      <t>カイ</t>
    </rPh>
    <phoneticPr fontId="9"/>
  </si>
  <si>
    <t>times</t>
    <phoneticPr fontId="9"/>
  </si>
  <si>
    <t>µg /m³</t>
    <phoneticPr fontId="9"/>
  </si>
  <si>
    <t>トン/人</t>
    <rPh sb="3" eb="4">
      <t>ヒト</t>
    </rPh>
    <phoneticPr fontId="9"/>
  </si>
  <si>
    <t>tons/people</t>
    <phoneticPr fontId="9"/>
  </si>
  <si>
    <t>スタートアップ数</t>
    <rPh sb="7" eb="8">
      <t>スウ</t>
    </rPh>
    <phoneticPr fontId="5"/>
  </si>
  <si>
    <t>居住者アンケートによる「その都市の街路や屋外空間が清潔に保たれているかどうか（定期的なゴミ拾いや清掃等が行われているか）」という問いに対する回答を元に算出した値。</t>
    <rPh sb="0" eb="3">
      <t>キョジュウシャ</t>
    </rPh>
    <rPh sb="14" eb="16">
      <t>トシ</t>
    </rPh>
    <rPh sb="17" eb="19">
      <t>ガイロ</t>
    </rPh>
    <rPh sb="20" eb="22">
      <t>オクガイ</t>
    </rPh>
    <rPh sb="22" eb="24">
      <t>クウカン</t>
    </rPh>
    <rPh sb="25" eb="27">
      <t>セイケツ</t>
    </rPh>
    <rPh sb="28" eb="29">
      <t>タモ</t>
    </rPh>
    <rPh sb="39" eb="42">
      <t>テイキテキ</t>
    </rPh>
    <rPh sb="45" eb="46">
      <t>ヒロ</t>
    </rPh>
    <rPh sb="48" eb="50">
      <t>セイソウ</t>
    </rPh>
    <rPh sb="50" eb="51">
      <t>ナド</t>
    </rPh>
    <rPh sb="52" eb="53">
      <t>オコナ</t>
    </rPh>
    <rPh sb="64" eb="65">
      <t>ト</t>
    </rPh>
    <rPh sb="67" eb="68">
      <t>タイ</t>
    </rPh>
    <rPh sb="70" eb="72">
      <t>カイトウ</t>
    </rPh>
    <rPh sb="73" eb="74">
      <t>モト</t>
    </rPh>
    <rPh sb="75" eb="77">
      <t>サンシュツ</t>
    </rPh>
    <rPh sb="79" eb="80">
      <t>アタイ</t>
    </rPh>
    <phoneticPr fontId="41"/>
  </si>
  <si>
    <t>Urban Greenery</t>
    <phoneticPr fontId="9"/>
  </si>
  <si>
    <t>環境への取り組み</t>
    <rPh sb="0" eb="2">
      <t>カンキョウ</t>
    </rPh>
    <rPh sb="4" eb="5">
      <t>ト</t>
    </rPh>
    <rPh sb="6" eb="7">
      <t>ク</t>
    </rPh>
    <phoneticPr fontId="4"/>
  </si>
  <si>
    <t>水質の良好性</t>
    <rPh sb="0" eb="2">
      <t>スイシツ</t>
    </rPh>
    <rPh sb="3" eb="5">
      <t>リョウコウ</t>
    </rPh>
    <rPh sb="5" eb="6">
      <t>セイ</t>
    </rPh>
    <phoneticPr fontId="4"/>
  </si>
  <si>
    <t>空気環境</t>
    <phoneticPr fontId="9"/>
  </si>
  <si>
    <t>持続可能性</t>
    <phoneticPr fontId="9"/>
  </si>
  <si>
    <t>Sustainability</t>
    <phoneticPr fontId="9"/>
  </si>
  <si>
    <t>Air Quality</t>
    <phoneticPr fontId="9"/>
  </si>
  <si>
    <t>気温の快適性</t>
    <rPh sb="0" eb="2">
      <t>キオン</t>
    </rPh>
    <rPh sb="3" eb="6">
      <t>カイテキセイ</t>
    </rPh>
    <phoneticPr fontId="2"/>
  </si>
  <si>
    <t>緑地の充実度</t>
    <rPh sb="0" eb="2">
      <t>リョクチ</t>
    </rPh>
    <rPh sb="3" eb="6">
      <t>ジュウジツド</t>
    </rPh>
    <phoneticPr fontId="9"/>
  </si>
  <si>
    <t>Comfort Level of Temperature</t>
    <phoneticPr fontId="9"/>
  </si>
  <si>
    <t>Heritage Foundationの"Index of Economic Freedom"における対象都市が属する国のスコア。</t>
  </si>
  <si>
    <t>Score of the country of the target city in the Heritage Foundation’s "Index of Economic Freedom".</t>
  </si>
  <si>
    <t>Number of Startups</t>
    <phoneticPr fontId="9"/>
  </si>
  <si>
    <t>Ranking score determined from the rank of universities located within 50km of the center of the target city that are in the top 1000 of Times Higher Education’s "World University Rankings".</t>
  </si>
  <si>
    <t>○</t>
    <phoneticPr fontId="9"/>
  </si>
  <si>
    <t>都市空間の清潔さ</t>
    <phoneticPr fontId="9"/>
  </si>
  <si>
    <t>Satisfaction with Urban Cleanliness</t>
    <phoneticPr fontId="9"/>
  </si>
  <si>
    <t xml:space="preserve">companies </t>
    <phoneticPr fontId="9"/>
  </si>
  <si>
    <t>社</t>
    <rPh sb="0" eb="1">
      <t>シャ</t>
    </rPh>
    <phoneticPr fontId="9"/>
  </si>
  <si>
    <t>国内・国際線旅客数</t>
    <phoneticPr fontId="9"/>
  </si>
  <si>
    <t>都市環境</t>
    <rPh sb="0" eb="2">
      <t>トシ</t>
    </rPh>
    <phoneticPr fontId="9"/>
  </si>
  <si>
    <t>Urban Environment</t>
    <phoneticPr fontId="9"/>
  </si>
  <si>
    <t>Water Quality</t>
    <phoneticPr fontId="9"/>
  </si>
  <si>
    <t>GDP per Capita</t>
    <phoneticPr fontId="9"/>
  </si>
  <si>
    <t>高度人材</t>
    <rPh sb="0" eb="2">
      <t>コウド</t>
    </rPh>
    <rPh sb="2" eb="4">
      <t>ジンザイ</t>
    </rPh>
    <phoneticPr fontId="5"/>
  </si>
  <si>
    <t>Highly-Skilled Worker</t>
    <phoneticPr fontId="5"/>
  </si>
  <si>
    <t>Ease of Mobility by Taxi or Bicycle</t>
    <phoneticPr fontId="9"/>
  </si>
  <si>
    <t>Commitment to Climate Action</t>
    <phoneticPr fontId="9"/>
  </si>
  <si>
    <t>総合度</t>
    <phoneticPr fontId="5"/>
  </si>
  <si>
    <t>Air Quality and Comfort</t>
    <phoneticPr fontId="9"/>
  </si>
  <si>
    <t>Ookla</t>
  </si>
  <si>
    <t>https://www.hotels.com/.</t>
  </si>
  <si>
    <t>United Nations Framework Convention on Climate Change (UNFCCC)</t>
  </si>
  <si>
    <t>The Non-state Actor Zone for Climate Action (NAZCA). "Global Climate Actions-Cities"</t>
  </si>
  <si>
    <t>Carbon Neutral Cities Alliance</t>
  </si>
  <si>
    <t>Carbon Neutral Cities Alliance Members</t>
  </si>
  <si>
    <t>https://carbonneutralcities.org/cities/copenhagen/</t>
  </si>
  <si>
    <t>United Nations Framework Convention on Climate Change</t>
  </si>
  <si>
    <t>大阪市地球温暖化対策実行計画（区域施策編）</t>
  </si>
  <si>
    <t>Dublin City Council</t>
  </si>
  <si>
    <t>Climate Change Action Plan 2019-2024</t>
  </si>
  <si>
    <t>値貼付実行：2021/4/26 14:44</t>
    <phoneticPr fontId="5"/>
  </si>
  <si>
    <t>0a→2,43,48,55</t>
  </si>
  <si>
    <t>スタートアップ数</t>
    <rPh sb="7" eb="8">
      <t>スウ</t>
    </rPh>
    <phoneticPr fontId="7"/>
  </si>
  <si>
    <t>CO2 Emissions per Capita</t>
    <phoneticPr fontId="9"/>
  </si>
  <si>
    <t>総合度</t>
    <rPh sb="0" eb="3">
      <t>ソウゴウド</t>
    </rPh>
    <phoneticPr fontId="5"/>
  </si>
  <si>
    <t>▲</t>
    <phoneticPr fontId="5"/>
  </si>
  <si>
    <t>2010-2019</t>
    <phoneticPr fontId="5"/>
  </si>
  <si>
    <t>2001-2021</t>
    <phoneticPr fontId="5"/>
  </si>
  <si>
    <t>2019/2021</t>
    <phoneticPr fontId="5"/>
  </si>
  <si>
    <t>2021/2014</t>
    <phoneticPr fontId="5"/>
  </si>
  <si>
    <t>Art Market Environment</t>
    <phoneticPr fontId="9"/>
  </si>
  <si>
    <t>アート市場環境</t>
    <phoneticPr fontId="9"/>
  </si>
  <si>
    <t>人</t>
    <phoneticPr fontId="9"/>
  </si>
  <si>
    <t>people</t>
    <phoneticPr fontId="9"/>
  </si>
  <si>
    <t>▼YB用</t>
    <rPh sb="3" eb="4">
      <t>ヨウ</t>
    </rPh>
    <phoneticPr fontId="5"/>
  </si>
  <si>
    <t>１位の色</t>
    <rPh sb="1" eb="2">
      <t>イ</t>
    </rPh>
    <rPh sb="3" eb="4">
      <t>イロ</t>
    </rPh>
    <phoneticPr fontId="9"/>
  </si>
  <si>
    <t>２位の色</t>
    <rPh sb="1" eb="2">
      <t>イ</t>
    </rPh>
    <rPh sb="3" eb="4">
      <t>イロ</t>
    </rPh>
    <phoneticPr fontId="9"/>
  </si>
  <si>
    <t>３位の色</t>
    <rPh sb="1" eb="2">
      <t>イ</t>
    </rPh>
    <rPh sb="3" eb="4">
      <t>イロ</t>
    </rPh>
    <phoneticPr fontId="9"/>
  </si>
  <si>
    <t>４位の色</t>
    <rPh sb="1" eb="2">
      <t>イ</t>
    </rPh>
    <rPh sb="3" eb="4">
      <t>イロ</t>
    </rPh>
    <phoneticPr fontId="9"/>
  </si>
  <si>
    <t>５位の色</t>
    <rPh sb="1" eb="2">
      <t>イ</t>
    </rPh>
    <rPh sb="3" eb="4">
      <t>イロ</t>
    </rPh>
    <phoneticPr fontId="9"/>
  </si>
  <si>
    <t>６位の色</t>
    <rPh sb="1" eb="2">
      <t>イ</t>
    </rPh>
    <rPh sb="3" eb="4">
      <t>イロ</t>
    </rPh>
    <phoneticPr fontId="9"/>
  </si>
  <si>
    <t>７位の色</t>
    <rPh sb="1" eb="2">
      <t>イ</t>
    </rPh>
    <rPh sb="3" eb="4">
      <t>イロ</t>
    </rPh>
    <phoneticPr fontId="9"/>
  </si>
  <si>
    <t>８位の色</t>
    <rPh sb="1" eb="2">
      <t>イ</t>
    </rPh>
    <rPh sb="3" eb="4">
      <t>イロ</t>
    </rPh>
    <phoneticPr fontId="9"/>
  </si>
  <si>
    <t>９位の色</t>
    <rPh sb="1" eb="2">
      <t>イ</t>
    </rPh>
    <rPh sb="3" eb="4">
      <t>イロ</t>
    </rPh>
    <phoneticPr fontId="9"/>
  </si>
  <si>
    <t>１０位の色</t>
    <rPh sb="2" eb="3">
      <t>イ</t>
    </rPh>
    <rPh sb="4" eb="5">
      <t>イロ</t>
    </rPh>
    <phoneticPr fontId="9"/>
  </si>
  <si>
    <t xml:space="preserve">HEX/HTML </t>
    <phoneticPr fontId="9"/>
  </si>
  <si>
    <t>90c31f</t>
  </si>
  <si>
    <t>9170af</t>
  </si>
  <si>
    <t>b83465</t>
  </si>
  <si>
    <t>7a882e</t>
  </si>
  <si>
    <t>009e96</t>
  </si>
  <si>
    <t>RGB</t>
    <phoneticPr fontId="9"/>
  </si>
  <si>
    <t>219 83 52</t>
  </si>
  <si>
    <t>250 191 28</t>
  </si>
  <si>
    <t>35 127 196</t>
  </si>
  <si>
    <t>144 195 31</t>
  </si>
  <si>
    <t>145 112 175</t>
  </si>
  <si>
    <t>184 52 101</t>
  </si>
  <si>
    <t>122 136 46</t>
  </si>
  <si>
    <t>0 158 150</t>
  </si>
  <si>
    <t>243 152 31</t>
  </si>
  <si>
    <t>187 100 29</t>
  </si>
  <si>
    <t>色</t>
    <rPh sb="0" eb="1">
      <t>イロ</t>
    </rPh>
    <phoneticPr fontId="9"/>
  </si>
  <si>
    <t>million USD</t>
    <phoneticPr fontId="9"/>
  </si>
  <si>
    <t>百万ドル</t>
    <phoneticPr fontId="9"/>
  </si>
  <si>
    <t>Instituto de Estadística de la Comunidad de Madrid, Comunidad de Madrid</t>
  </si>
  <si>
    <t>Bancos de Datos Municipal y Zonal (ALMUDENA)</t>
  </si>
  <si>
    <t>Institut d'Estadística de Catalunya (idescat), Departament d'Economia i Coneixement, Generalitat de Catalunya</t>
  </si>
  <si>
    <t>Anuari estadístic de Catalunya</t>
  </si>
  <si>
    <t>Estimates of the population for the UK, England and Wales, Scotland and Northern Ireland</t>
  </si>
  <si>
    <t>Densité de la population</t>
  </si>
  <si>
    <t>https://statbel.fgov.be/fr/themes/population/densite-de-la-population#figures</t>
  </si>
  <si>
    <t>Kerncijfers Amsterdam</t>
  </si>
  <si>
    <t>STATISTIQUES CANTONALES</t>
  </si>
  <si>
    <t xml:space="preserve">Bevölkerung - Monatsdaten </t>
  </si>
  <si>
    <t>Population density per sq. km by region, sex, observations and year</t>
  </si>
  <si>
    <t>http://www.statistikdatabasen.scb.se/pxweb/en/ssd/START__BE__BE0101__BE0101C/BefArealTathetKon/table/tableViewLayout1/</t>
  </si>
  <si>
    <t>https://www.capmas.gov.eg/Pages/StaticPages.aspx?page_id=5035</t>
  </si>
  <si>
    <t>The Singapore Department of Statistics (DOS)</t>
  </si>
  <si>
    <t>서울 열린데이터광장</t>
  </si>
  <si>
    <t>推計人口（毎月1日現在）・人口異動</t>
  </si>
  <si>
    <t>東京都の人口（推計）</t>
  </si>
  <si>
    <t>https://www.toukei.metro.tokyo.lg.jp/jsuikei/js-index.htm</t>
  </si>
  <si>
    <t>Government of British Columbia</t>
  </si>
  <si>
    <t>British Columbia Population Estimates</t>
  </si>
  <si>
    <t>QuickFacts</t>
  </si>
  <si>
    <t>População</t>
  </si>
  <si>
    <t>Municipalities of South Africa</t>
  </si>
  <si>
    <t>Demographic Information</t>
  </si>
  <si>
    <t>https://municipalities.co.za/demographic/2/city-of-johannesburg-metropolitan-municipality</t>
  </si>
  <si>
    <t>Population of DKI Jakarta Province by Age Group and Sex</t>
  </si>
  <si>
    <t>Population Density and Area Size 2011 to 2016</t>
  </si>
  <si>
    <t>https://data.cso.ie/</t>
  </si>
  <si>
    <t>Greater London Authority</t>
  </si>
  <si>
    <t>National Statistical Office(NSO)</t>
  </si>
  <si>
    <t>Demography Population and Housing Branch</t>
  </si>
  <si>
    <t>https://ajuntament.barcelona.cat/estadistica/angles/Anuaris/index.htm</t>
  </si>
  <si>
    <t>Gross Domestic Product By Provinces (SR Level 3) (2009 base)</t>
  </si>
  <si>
    <t>Gross Regional Product:At current basic prices total (1998-2019)</t>
  </si>
  <si>
    <t>https://eng.rosstat.gov.ru/folder/13913</t>
  </si>
  <si>
    <t>https://www.censtatd.gov.hk/en/web_table.html?id=31</t>
  </si>
  <si>
    <t>Shanghai Statistical Yearbook 2020</t>
  </si>
  <si>
    <t>http://tjj.sh.gov.cn/tjnj/20210303/2abf188275224739bd5bce9bf128aca8.html</t>
  </si>
  <si>
    <t>https://www.censtatd.gov.hk/en/EIndexbySubject.html?pcode=B1010006&amp;scode=460</t>
  </si>
  <si>
    <t>https://eng.stat.gov.tw/ct.asp?xItem=46691&amp;ctNode=3570&amp;mp=5</t>
  </si>
  <si>
    <t>都民経済計算年報</t>
  </si>
  <si>
    <t>Laju Pertumbuhan PDRB Atas Dasar Harga Konstan 2010 menurut Lapangan Usaha (Juta Rupiah)</t>
  </si>
  <si>
    <t>https://jakarta.bps.go.id/subject/52/produk-domestik-regional-bruto-lapangan-usaha-.html#subjekViewTab5.html</t>
  </si>
  <si>
    <t>Sistema de Contas Nacionais - SCN</t>
  </si>
  <si>
    <t>http://www.nasdaqomxnordic.com/news/statistics</t>
  </si>
  <si>
    <t>https://fortune.com/data-store/</t>
  </si>
  <si>
    <t>Estimations d'emploi</t>
  </si>
  <si>
    <t>Kerncijfers Amsterdam 2020</t>
  </si>
  <si>
    <t xml:space="preserve">Employed (end November) by region (workplace), industry (DB07), socioeconomic status, age and sex </t>
  </si>
  <si>
    <t>上海市統計年鑑2020</t>
  </si>
  <si>
    <t>Economically Active Population Survey</t>
  </si>
  <si>
    <t>Canadian Federation</t>
  </si>
  <si>
    <t>Instituto Brasileiro de Geografia e Estatistica</t>
  </si>
  <si>
    <t xml:space="preserve">Summary of Social Indicators </t>
  </si>
  <si>
    <t>RAS301: Employed (end November) by region (workplace), industry (DB07), socioeconomic status, age and sex</t>
  </si>
  <si>
    <t>http://www.nso.go.th/sites/2014en/statistics-from-majo-survey</t>
  </si>
  <si>
    <t>Labour Force, Australia, Detailed</t>
  </si>
  <si>
    <t>Summary of Social Indicators - SIS</t>
  </si>
  <si>
    <t>https://www.ibge.gov.br/en/statistics/social/labor/18704-summary-of-social-indicators.html?=&amp;t=downloads</t>
  </si>
  <si>
    <t>Bulletin of Labor Force Survey Results 2019</t>
  </si>
  <si>
    <t>STATISTICAL YEARBOOK OF HELSINKI</t>
  </si>
  <si>
    <t>https://www.coworker.com/</t>
  </si>
  <si>
    <t>ドイツ - 税制</t>
  </si>
  <si>
    <t>イタリア - 税制</t>
  </si>
  <si>
    <t>https://www.jetro.go.jp/world/europe/it/invest_04.html</t>
  </si>
  <si>
    <t>カナダ - 税制</t>
  </si>
  <si>
    <t>米国 - 税制</t>
  </si>
  <si>
    <t>アラブ首長国連邦 - 税制</t>
  </si>
  <si>
    <t>Trade and Invest British Columbia</t>
  </si>
  <si>
    <t>Ministry of Finance</t>
  </si>
  <si>
    <t>Government of Ontario</t>
  </si>
  <si>
    <t>Austrlian Bureau of Statistics</t>
  </si>
  <si>
    <t>Research and Experimental Development, Government and Private Non-Profit Organisations/　Higher Education Organisations/ Business, Australia</t>
  </si>
  <si>
    <t>https://www.abs.gov.au/statistics/industry/technology-and-innovation</t>
  </si>
  <si>
    <t>https://www.oecd.org/pisa/publications/</t>
  </si>
  <si>
    <t>TIMSS 2019 International Results in Mathematics and Science (Grade 8)</t>
  </si>
  <si>
    <t>https://timss2019.org/reports/achievement/</t>
  </si>
  <si>
    <t>https://www.crunchbase.com/search/organization.companies</t>
  </si>
  <si>
    <t>https://www.intracen.org/itc/market-info-tools/statistics-export-service-country/</t>
  </si>
  <si>
    <t>https://www.wto.org/english/res_e/statis_e/tradeserv_stat_e.htm</t>
  </si>
  <si>
    <t>GROSS DOMESTIC PRODUCT (GDP) BY COUNTY AND METROPOLITAN AREA - GDP in current dollars (CAGDP2)</t>
  </si>
  <si>
    <t>artnet galleries</t>
  </si>
  <si>
    <t>http://www.artnet.com/galleries/fine-art/</t>
  </si>
  <si>
    <t>https://www.ine.es/dyngs/INEbase/en/operacion.htm?c=Estadistica_C&amp;cid=1254736177012&amp;menu=resultados&amp;idp=1254734710990#!tabs-1254736195461</t>
  </si>
  <si>
    <t>http://ibsa.brussels/publications/mini-bru</t>
  </si>
  <si>
    <t>Bevölkerungsbestand</t>
  </si>
  <si>
    <t>City of Copenhagen: Statbank</t>
  </si>
  <si>
    <t>City of Copenhagen</t>
  </si>
  <si>
    <t>Population by age, sex, district, time and citizenship</t>
  </si>
  <si>
    <t>https://kk.statistikbank.dk/statbank5a/SelectVarVal/Define.asp?MainTable=KKBEF8&amp;PLanguage=1&amp;PXSId=0&amp;wsid=cflist</t>
  </si>
  <si>
    <t>Key migration statistics</t>
  </si>
  <si>
    <t>http://statbbi.nso.go.th/staticreport/Page/sector/en/01.aspx</t>
  </si>
  <si>
    <t>区市町村、国籍・地域別外国人人口</t>
  </si>
  <si>
    <t>International migration</t>
  </si>
  <si>
    <t xml:space="preserve">Movimenti Negli Esercizi Ricettivi (2000-2020) </t>
  </si>
  <si>
    <t>https://tourism.gov.in/market-research-and-statistics</t>
  </si>
  <si>
    <t>Singapore Tourism Analytics Network</t>
  </si>
  <si>
    <t>https://stan.stb.gov.sg/public/sense/app/877a079c-e05f-4871-8d87-8e6cc1963b02/sheet/38bcc4ea-c597-4fda-8469-c5702ac7104f/state/analysis</t>
  </si>
  <si>
    <t>令和2年東京都観光客数等実態調査</t>
  </si>
  <si>
    <t>https://www.sangyo-rodo.metro.tokyo.lg.jp/toukei/tourism/jittai/cat5889/index.html</t>
  </si>
  <si>
    <t>Historical Overnight Visitors to Metro Vancouver by Geographic Origin - year-to-date</t>
  </si>
  <si>
    <t>The city in Figures</t>
  </si>
  <si>
    <t>Information, procedures and services</t>
  </si>
  <si>
    <t>Government of Catalonia</t>
  </si>
  <si>
    <t>Mayor of London, London Assembly</t>
  </si>
  <si>
    <t>Unemployment rates lacalized by department - Paris</t>
  </si>
  <si>
    <t>Belgian statistical office</t>
  </si>
  <si>
    <t>Bundesagentur für Arbeit</t>
  </si>
  <si>
    <t>Statistiken nach Regionen - Frankfurt am Main, Stadt</t>
  </si>
  <si>
    <t>Arbeitslose, Arbeitslosenquoten, Gemeldete Arbeitsstellen: Bundesländer, Jahre</t>
  </si>
  <si>
    <t>Istituto Nazionale di Statistica (Istat)</t>
  </si>
  <si>
    <t>Unemployment rate : Provincial data</t>
  </si>
  <si>
    <t>Präsidialdepartements</t>
  </si>
  <si>
    <t>Arbeitslose Stadt Zürich</t>
  </si>
  <si>
    <t>Statistik - Berichte und Ausbertigen</t>
  </si>
  <si>
    <t>https://www.ams.at/arbeitsmarktdaten-und-medien/arbeitsmarkt-daten-und-arbeitsmarkt-forschung/berichte-und-auswertungen#auswertungen</t>
  </si>
  <si>
    <t>City of Stockholm</t>
  </si>
  <si>
    <t>https://start.stockholm/om-stockholms-stad/utredningar-statistik-och-fakta/statistik/statistisk-arsbok/</t>
  </si>
  <si>
    <t>Regional Results of Labour Force Statistics (2014 and onwards)</t>
  </si>
  <si>
    <t>Department of Statistics Malaysia</t>
  </si>
  <si>
    <t>Summary Table: Unemployment</t>
  </si>
  <si>
    <t>https://stats.mom.gov.sg/Pages/Unemployment-Summary-Table.aspx</t>
  </si>
  <si>
    <t>香港特別行政區 政府統計處</t>
  </si>
  <si>
    <t>Beijing Municipal Bureau of Statistics and  Survey Office oft the National Bureau of Statistics in Beijing</t>
  </si>
  <si>
    <t>Shanghai Municipal Bureau of Statistics</t>
  </si>
  <si>
    <t>Statistics Bureau of Japan</t>
  </si>
  <si>
    <t>東京都、南関東及び全国の完全失業率</t>
  </si>
  <si>
    <t>Regional labour force trends and NSW electorates</t>
  </si>
  <si>
    <t>Information on Employment Insurance (EI) Economic Regions</t>
  </si>
  <si>
    <t>Local Area Unemployment Statistics (LAUS)</t>
  </si>
  <si>
    <t>Quarterly Labour Force Survey (QLFS)</t>
  </si>
  <si>
    <t>National Institute of Statistics and Censuses</t>
  </si>
  <si>
    <t>https://www.indec.gob.ar/indec/web/Institucional-Indec-Publicaciones-2</t>
  </si>
  <si>
    <t>Statistical Yearbook of Helsinki</t>
  </si>
  <si>
    <t>International Labour Organization</t>
  </si>
  <si>
    <t>Statistics Singapore</t>
  </si>
  <si>
    <t>Monthly Consumer Price Index, Singapore</t>
  </si>
  <si>
    <t>https://www.singstat.gov.sg/find-data/search-by-theme?type=publications</t>
  </si>
  <si>
    <t>U.S. government</t>
  </si>
  <si>
    <t>Consumer Price Index - Regional Resources</t>
  </si>
  <si>
    <t>https://www.bls.gov/cpi/regional-resources.htm</t>
  </si>
  <si>
    <t>Consumer Price Index, Australia</t>
  </si>
  <si>
    <t>https://www.abs.gov.au/statistics/economy/price-indexes-and-inflation/consumer-price-index-australia/latest-release#data-download</t>
  </si>
  <si>
    <t>https://www.ine.es/jaxiT3/Tabla.htm?t=25997&amp;L=1</t>
  </si>
  <si>
    <t>Al-Ahram</t>
  </si>
  <si>
    <t>Arabic</t>
  </si>
  <si>
    <t>338 بقعة سوداء.. السجل الكامل لجرائم القتل بالقاهرة الكبرى في «عام كورونا»| فيديو</t>
  </si>
  <si>
    <t>https://gate.ahram.org.eg/News/2552521.aspx</t>
  </si>
  <si>
    <t>https://vpd.ca/crime-statistics/</t>
  </si>
  <si>
    <t>https://www.crimestatistics.vic.gov.au/crime-statistics/latest-victorian-crime-data/download-data</t>
  </si>
  <si>
    <t>Mid Year Estimated Population 2020</t>
  </si>
  <si>
    <t>https://www.who.int/data/gho/publications/world-health-statistics</t>
  </si>
  <si>
    <t>中華民國 内政部</t>
  </si>
  <si>
    <t>Freedom in the World</t>
  </si>
  <si>
    <t>Global health estimates: Leading causes of DALYs</t>
  </si>
  <si>
    <t>https://www.who.int/data/gho/data/themes/mortality-and-global-health-estimates/global-health-estimates-leading-causes-of-dalys</t>
  </si>
  <si>
    <t xml:space="preserve">the Portulans Institute </t>
  </si>
  <si>
    <t>https://networkreadinessindex.org/</t>
  </si>
  <si>
    <t>Network Readiness Around the World Focus on Taiwan and Uzbekistan</t>
  </si>
  <si>
    <t>Partnership by CDP and ICLEI - Local Governments for Sustainability</t>
  </si>
  <si>
    <t>https://carbonneutralcities.org/cities/stockholm/</t>
  </si>
  <si>
    <t>Environment and Infrastructure Services Department</t>
  </si>
  <si>
    <t>City of Johannesburg, Climate Action Plan</t>
  </si>
  <si>
    <t>https://www.dublincity.ie/residential/environment/dublin-city-councils-climate-change-action-plan-2019-2024/dublin-city-council-climate-action-plan-2019-2024</t>
  </si>
  <si>
    <t>Beijing Municipal Commission of Urban Management</t>
  </si>
  <si>
    <t>北京市城市管理委员会</t>
  </si>
  <si>
    <t>https://www.trade.gov/environmental-technologies-industry</t>
  </si>
  <si>
    <t>Department for Business, Energy &amp; Industrial strategy</t>
  </si>
  <si>
    <t>https://www.numbeo.com/</t>
  </si>
  <si>
    <t>Port of Amsterdam - 2020 Annual Report</t>
  </si>
  <si>
    <t>https://jaarverslag.portofamsterdam.com/nl</t>
  </si>
  <si>
    <t>Tonnage Report for General, Bulk Cargo and Autos 2016-2020</t>
  </si>
  <si>
    <t>Economic Commission for Latin America and the Caribbean</t>
  </si>
  <si>
    <t>Traffic</t>
  </si>
  <si>
    <t>https://www.numbeo.com/traffic/</t>
  </si>
  <si>
    <t>https://maps.google.com</t>
  </si>
  <si>
    <t>https://www.yellowcabonline.com/taxi-rates/</t>
  </si>
  <si>
    <t>Instituto de Estadística de la Comunidad de Madrid, Comunidad de Madrid "Bancos de Datos Municipal y Zonal (ALMUDENA)"</t>
    <phoneticPr fontId="5"/>
  </si>
  <si>
    <t>Institut d'Estadística de Catalunya (idescat), Departament d'Economia i Coneixement, Generalitat de Catalunya "Anuari estadístic de Catalunya"</t>
    <phoneticPr fontId="5"/>
  </si>
  <si>
    <t>Office for National Statistics , United Kingdom of Great Britain and Northern Ireland "Estimates of the population for the UK, England and Wales, Scotland and Northern Ireland"</t>
    <phoneticPr fontId="5"/>
  </si>
  <si>
    <t>Institut National de la Statistique et des Études Économiques, French Republic "Estimation de la population au 1er janvier 2021"</t>
    <phoneticPr fontId="5"/>
  </si>
  <si>
    <t>Belgische Statistiekbureau, Belgische Federale Overheidsdiensten "Densité de la population"</t>
    <phoneticPr fontId="5"/>
  </si>
  <si>
    <t>Gemeente Amsterdam "Kerncijfers Amsterdam"</t>
    <phoneticPr fontId="5"/>
  </si>
  <si>
    <t>Office Cantonal de la Statistique, République et Canton de Genève "STATISTIQUES CANTONALES"</t>
    <phoneticPr fontId="5"/>
  </si>
  <si>
    <t>Stadt Frankfurt am Main "Frankfurt Statistik Aktuell (FSA)"</t>
    <phoneticPr fontId="5"/>
  </si>
  <si>
    <t>Amt für Statistik Berlin-Brandenburg "Bevölkerungsentwicklung und Bevölkerungsstand in Berlin"</t>
    <phoneticPr fontId="5"/>
  </si>
  <si>
    <t>Comune di Milano  "Popolazione residente: classi di età, municipi e genere 2020"</t>
    <phoneticPr fontId="5"/>
  </si>
  <si>
    <t>City of Zurich "Bevölkerung - Monatsdaten "</t>
    <phoneticPr fontId="5"/>
  </si>
  <si>
    <t>Danmarks Statistik "Population at the first day of the quarter by time"</t>
    <phoneticPr fontId="5"/>
  </si>
  <si>
    <t>Statistik Austria "Bevölkerungsveränderung nach Komponenten"</t>
    <phoneticPr fontId="5"/>
  </si>
  <si>
    <t>Statistiska centralbyrån, Kingdom of Sweden "Population density per sq. km by region, sex, observations and year"</t>
    <phoneticPr fontId="5"/>
  </si>
  <si>
    <t>Türkiye İstatistik Kurumu "Population of province/district centers and towns/villages by province and sex, population density by province, 2007-2020"</t>
    <phoneticPr fontId="5"/>
  </si>
  <si>
    <t>Central Agency for Public Mobilization and Statistics, Arab Republic of Egypt "Egypt in Figures 2021"</t>
    <phoneticPr fontId="5"/>
  </si>
  <si>
    <t>Federal State Statistics Service for the Moscow Region "Оценка численности постоянного населения на 1 января 2021 г. и в среднем за 2020 г."</t>
    <phoneticPr fontId="5"/>
  </si>
  <si>
    <t>Department of Statistics, Malaysia "POPULATION QUICK INFO10"</t>
    <phoneticPr fontId="5"/>
  </si>
  <si>
    <t>The Singapore Department of Statistics (DOS), Government of Singapore "Population and Population Structure"</t>
    <phoneticPr fontId="5"/>
  </si>
  <si>
    <t>Census and Statistics Department, The Government of the Hong Kong Special Administrative Region "Hong Kong in Figures"</t>
    <phoneticPr fontId="5"/>
  </si>
  <si>
    <t>Beijing Municipal Bureau of Statistics  "Beijing Statistical Yearbook 2020"</t>
    <phoneticPr fontId="5"/>
  </si>
  <si>
    <t>Shanghai Municipal Statistics Bureau "2020年上海统计年鉴"</t>
    <phoneticPr fontId="5"/>
  </si>
  <si>
    <t>Seoul Open Data Plaza, Seoul Metropolitan Government "서울시 인구밀도 (구별) 통계"</t>
    <phoneticPr fontId="5"/>
  </si>
  <si>
    <t>Fukuoka City "福岡市推計人口"</t>
    <phoneticPr fontId="5"/>
  </si>
  <si>
    <t>Osaka City "推計人口（毎月1日現在）・人口異動"</t>
    <phoneticPr fontId="5"/>
  </si>
  <si>
    <t>Statistics Division, Bureau of General Affairs, Tokyo Metropolitan Government "東京都の人口（推計）"</t>
    <phoneticPr fontId="5"/>
  </si>
  <si>
    <t>Australian Bureau of Statistics, Government of Australia "Regional Population"</t>
    <phoneticPr fontId="5"/>
  </si>
  <si>
    <t>Government of British Columbia "British Columbia Population Estimates"</t>
    <phoneticPr fontId="5"/>
  </si>
  <si>
    <t>Census Bureau, Department of Commerce, United States "QuickFacts"</t>
    <phoneticPr fontId="5"/>
  </si>
  <si>
    <t>National Institute of Statistics, Geography and Informatics "Encuesta Nacional de Ocupación y Empleo (ENOE), población de 15 años y más de edad"</t>
    <phoneticPr fontId="5"/>
  </si>
  <si>
    <t>City of Toronto "Toronto at a Glance"</t>
    <phoneticPr fontId="5"/>
  </si>
  <si>
    <t>Instituto Brasileiro de Geografia e Estatística, Federative Republic of Brazil "População"</t>
    <phoneticPr fontId="5"/>
  </si>
  <si>
    <t>Municipalities of South Africa "Demographic Information"</t>
    <phoneticPr fontId="5"/>
  </si>
  <si>
    <t>BPS-Statistics Indonesia, Indonesia government "Population of DKI Jakarta Province by Age Group and Sex"</t>
    <phoneticPr fontId="5"/>
  </si>
  <si>
    <t>Dirección General de Estadística y Censos, City of Buenos Aires "Anuario Estadístico de la Ciudad de Buenos Aires 2019"</t>
    <phoneticPr fontId="5"/>
  </si>
  <si>
    <t>Dubai Statistics Center, Government of Dubai "Population Bulletin Emirate of Dubai - 2020"</t>
    <phoneticPr fontId="5"/>
  </si>
  <si>
    <t>Central Statistics Office, Ireland "Population Density and Area Size 2011 to 2016"</t>
    <phoneticPr fontId="5"/>
  </si>
  <si>
    <t>City of Helsinki "Helsinki facts and figures 2020"</t>
    <phoneticPr fontId="5"/>
  </si>
  <si>
    <t>Central Bureau of Statistics, State of Israel "Population - Statistical Abstract of Israel 2020 - No.71"</t>
    <phoneticPr fontId="5"/>
  </si>
  <si>
    <t>Australian Bureau of Statistics, Government of Australia "Population estimates by Statistical Area Level 2, 2018 to 2019"</t>
    <phoneticPr fontId="5"/>
  </si>
  <si>
    <t>Beijing City</t>
  </si>
  <si>
    <t>Greater London Authority "Land Area and Population Density, Ward and Borough"</t>
    <phoneticPr fontId="5"/>
  </si>
  <si>
    <t>Institut national de la statistique et des études économiques, French Republic "Comparateur de territoire"</t>
    <phoneticPr fontId="5"/>
  </si>
  <si>
    <t>Office cantonal de la statistique, République et Canton de Genève "STATISTIQUES CANTONALES"</t>
    <phoneticPr fontId="5"/>
  </si>
  <si>
    <t>Stadt Frankfurt am Main "Stadtgebiet, Flächennutzung und Klima"</t>
    <phoneticPr fontId="5"/>
  </si>
  <si>
    <t>Amt für Statistik Berlin-Brandenburg "kleine berlin-statistik 2019"</t>
    <phoneticPr fontId="5"/>
  </si>
  <si>
    <t>Comune di Milano "Milano e i suoi quartieri"</t>
    <phoneticPr fontId="5"/>
  </si>
  <si>
    <t>City of Zurich "Statistik der Schweizer Städte 2015"</t>
    <phoneticPr fontId="5"/>
  </si>
  <si>
    <t>Danmarks Statistik "Area 1. January by time and region"</t>
    <phoneticPr fontId="5"/>
  </si>
  <si>
    <t>Stadt Wien "Statistisches Jahrbuch der Stadt Wien 2020"</t>
    <phoneticPr fontId="5"/>
  </si>
  <si>
    <t>Moscow Mayor official website, Moscow Government "A glimpse into history"</t>
    <phoneticPr fontId="5"/>
  </si>
  <si>
    <t>National Statistical Office(NSO), Kingdom of Thailand "Demography Population and Housing Branch"</t>
    <phoneticPr fontId="5"/>
  </si>
  <si>
    <t>Department of Statistics, Malaysia "Malaysia @ a Glance"</t>
    <phoneticPr fontId="5"/>
  </si>
  <si>
    <t>The Singapore Department of Statistics (DOS), Government of Singapore "Latest Data"</t>
    <phoneticPr fontId="5"/>
  </si>
  <si>
    <t>Beijing Municipal Commission of Planning and Natural Resources "2018年度北京市土地利用现状汇总表"</t>
    <phoneticPr fontId="5"/>
  </si>
  <si>
    <t>Shanghai Municipal Statistics Bureau - Survey Office of the National Bureau of Statistics in Shanghai "2020年上海统计年鉴"</t>
    <phoneticPr fontId="5"/>
  </si>
  <si>
    <t>Census Bureau, United States Department of Commerce, United States "QuickFacts"</t>
    <phoneticPr fontId="5"/>
  </si>
  <si>
    <t>National Institute of Statistics, Geography and Informatics "Panorama sociodemográfico de Ciudad de México. Censo de Población y Vivienda 2020"</t>
    <phoneticPr fontId="5"/>
  </si>
  <si>
    <t>Instituto Brasileiro de Geografia e Estatística, Federative Republic of Brazil "TERRITÓRIO E AMBIENTE"</t>
    <phoneticPr fontId="5"/>
  </si>
  <si>
    <t>Municipalities of South Africa "Geography, History &amp; Economy"</t>
    <phoneticPr fontId="5"/>
  </si>
  <si>
    <t>BPS-Statistics Indonesia, Indonesia government "The Total Area by Regency/ Municipality (Km2)"</t>
    <phoneticPr fontId="5"/>
  </si>
  <si>
    <t>The United Arab Emirates' Government portal, Politics of the United Arab Emirates "About Dubai"</t>
    <phoneticPr fontId="5"/>
  </si>
  <si>
    <t>Central Bureau of Statistics, State of Israel "Geography - Statistical Abstract of Israel 2020 - No.71"</t>
    <phoneticPr fontId="5"/>
  </si>
  <si>
    <t>Département de Paris</t>
    <phoneticPr fontId="5"/>
  </si>
  <si>
    <t>Istanbul（Province and district centers）</t>
    <phoneticPr fontId="5"/>
  </si>
  <si>
    <t>United Nations "National Accounts"/United States Internal Revenue Service (IRS) "Yearly Average Currency Exchange Rates"</t>
    <phoneticPr fontId="5"/>
  </si>
  <si>
    <t>United Nations "National Accounts"/Netcials "US Dollar (USD) To Malaysian Ringgit (MYR) Yearly Average Exchange Rates"</t>
    <phoneticPr fontId="5"/>
  </si>
  <si>
    <t>National Statistics Republic of China(Taiwan） "Statistical Tables"/United States Internal Revenue Service (IRS) "Yearly Average Currency Exchange Rates"</t>
    <phoneticPr fontId="5"/>
  </si>
  <si>
    <t>United Nations "National Accounts"/Netcials "US Dollar (USD) To Rupiah (IDR) Yearly Average Exchange Rates"</t>
    <phoneticPr fontId="5"/>
  </si>
  <si>
    <t>国別/MYR</t>
    <phoneticPr fontId="5"/>
  </si>
  <si>
    <t>TWD/国別</t>
    <phoneticPr fontId="5"/>
  </si>
  <si>
    <t>国別/IDR</t>
    <phoneticPr fontId="5"/>
  </si>
  <si>
    <t>Organisation for Economic Co-operation and Development "OECD Statistics - Regions and Cities"</t>
    <phoneticPr fontId="5"/>
  </si>
  <si>
    <t>Ajuntament de Barcelona "Statistical Yearbook of the City of Barcelona 2020"</t>
    <phoneticPr fontId="5"/>
  </si>
  <si>
    <t>Stadt Frankfurt am Main "Zahlen, Daten, Fakten - Wirtschaft"</t>
    <phoneticPr fontId="5"/>
  </si>
  <si>
    <t>Amt für Statistik Berlin-Brandenburg "Kleine Berlin–Statistik 2019"</t>
    <phoneticPr fontId="5"/>
  </si>
  <si>
    <t>Stadt Zürich "Bruttoinlandprodukt der Stadt Zürich, Agglomeration und Schweiz, nach Jahr und Quartal"</t>
    <phoneticPr fontId="5"/>
  </si>
  <si>
    <t>Statistics Denmark "Production, GDP and generation of income by transaction, region, price unit and time
region, price unit and time"</t>
    <phoneticPr fontId="5"/>
  </si>
  <si>
    <t>Statistics Sweden "Gross Regional Domestic Product (GRDP), number of employed and wages and salaries (ESA2010) by region, observations and year"</t>
    <phoneticPr fontId="5"/>
  </si>
  <si>
    <t>Turkish Statistical Institute "Gross Domestic Product By Provinces (SR Level 3) (2009 base)"</t>
    <phoneticPr fontId="5"/>
  </si>
  <si>
    <t>Federal State Statistics Service, Russian Federation "Gross Regional Product:At current basic prices total (1998-2019)"</t>
    <phoneticPr fontId="5"/>
  </si>
  <si>
    <t>Directorate of Economics &amp; Statistics, Planning Department, State Government of Maharashtra "Economic Survey of Maharashtra 2020-21"</t>
    <phoneticPr fontId="5"/>
  </si>
  <si>
    <t>National Statistical Office, Kingdom of Thailand "Gross Regional and Provincial Product at Current Market Prices Year: 2010 - 2019"</t>
    <phoneticPr fontId="5"/>
  </si>
  <si>
    <t>Department of Statistics, Malaysia "State Socioeconomic Report 2019"</t>
    <phoneticPr fontId="5"/>
  </si>
  <si>
    <t>Ministry of Trade and Industry, Singapore Government "Economic Survey of Singapore 2020"</t>
    <phoneticPr fontId="5"/>
  </si>
  <si>
    <t>Shanghai Municipal Statistics Bureau , Shanghai Municipal People's Government "2020年上海市生产总值 "</t>
    <phoneticPr fontId="5"/>
  </si>
  <si>
    <t>Statistics Korea "Gross regional domestic product by economic activity"</t>
    <phoneticPr fontId="5"/>
  </si>
  <si>
    <t>Fukuoka City "平成30年度　福岡市民経済計算の概要"</t>
    <phoneticPr fontId="5"/>
  </si>
  <si>
    <t>Osaka City "平成29年度 大阪市民経済計算"</t>
    <phoneticPr fontId="5"/>
  </si>
  <si>
    <t>Statistics Division, Bureau of General Affairs, Tokyo Metropolitan Government "都民経済計算年報  平成30年度"</t>
    <phoneticPr fontId="5"/>
  </si>
  <si>
    <t>SGS Economics and Planning Pty Ltd "Economic Performance of Australia's Cities and Regions"</t>
    <phoneticPr fontId="5"/>
  </si>
  <si>
    <t>The National Institute of Statistics, Geography and Informatics "Mexico en Cifras"</t>
    <phoneticPr fontId="5"/>
  </si>
  <si>
    <t>Mayor’s Office of Management and Budget, City of New York ""Quarterly Report on Current Economic Conditions", December 2020"</t>
    <phoneticPr fontId="5"/>
  </si>
  <si>
    <t>Brazilian Institute of Geography and Statistics "CONHEÇA CIDADES E ESTADOS DO BRASIL"</t>
    <phoneticPr fontId="5"/>
  </si>
  <si>
    <t>Department Statistics South Africa, Republic of South Africa "P0441 - Gross Domestic Product (GDP), 4th Quarter 2020"</t>
    <phoneticPr fontId="5"/>
  </si>
  <si>
    <t>Badan Pusat Statistik, Provinsi DKI Jakarta "Gross Regional Domestic Product of DKI Jakarta Province by Industry 2016-2020"</t>
    <phoneticPr fontId="5"/>
  </si>
  <si>
    <t>Dirección General de Estadística y Censos, Ciudad de Buenos Aires "Anuario Estadístico de la Ciudad de Buenos Aires 2019"</t>
    <phoneticPr fontId="5"/>
  </si>
  <si>
    <t>Central Statistics Office, Ireland "County Incomes and Regional GDP"</t>
  </si>
  <si>
    <t>The Brookings Institution "Redefining Global Cities - The Seven Types of Global Metro Economics"</t>
    <phoneticPr fontId="5"/>
  </si>
  <si>
    <t>Madrid, Large regions (TL2)</t>
    <phoneticPr fontId="5"/>
  </si>
  <si>
    <t>Greater London, Large regions (TL2)</t>
    <phoneticPr fontId="5"/>
  </si>
  <si>
    <t>Paris, Small regions (TL3)</t>
    <phoneticPr fontId="5"/>
  </si>
  <si>
    <t>Brussels Capital Region, Large regions (TL2)</t>
    <phoneticPr fontId="5"/>
  </si>
  <si>
    <t>Milan, Small regions (TL3)</t>
    <phoneticPr fontId="5"/>
  </si>
  <si>
    <t>Copenhagen Province</t>
    <phoneticPr fontId="5"/>
  </si>
  <si>
    <t>Vienna, Large regions (TL2)</t>
    <phoneticPr fontId="5"/>
  </si>
  <si>
    <t>Beijing Municipal</t>
    <phoneticPr fontId="5"/>
  </si>
  <si>
    <t>Shanghai Municipal</t>
    <phoneticPr fontId="5"/>
  </si>
  <si>
    <t>British Columbia, Large regions (TL2)</t>
    <phoneticPr fontId="5"/>
  </si>
  <si>
    <t>Ontario, Large regions (TL2)</t>
    <phoneticPr fontId="5"/>
  </si>
  <si>
    <t>Helsinki-Uusimaa</t>
    <phoneticPr fontId="5"/>
  </si>
  <si>
    <t>Tel Aviv Metro Area - 国GDPを、国と都市の名目GDPで按分、為替レート換算</t>
    <phoneticPr fontId="5"/>
  </si>
  <si>
    <t>2019/2019</t>
  </si>
  <si>
    <t>National Statistical Office, Kingdom of Thailand "National Accounts - Gross Regional and Provincial Product (GPP)"</t>
  </si>
  <si>
    <t>Beijing Municipal Bureau Statistics, Survey Office of the National Bureau of Statistics in Beijing "Beijing Statistical Yearbook 2020"</t>
  </si>
  <si>
    <t>Shanghai Municipal Statistics Bureau , Shanghai Municipal People's Government "Shanghai Statistical Yearbook 2020"</t>
  </si>
  <si>
    <t>Shanghai Municipal Statistics Bureau , Shanghai Municipal People's Government "Shanghai Statistical Yearbook 2020"</t>
    <phoneticPr fontId="5"/>
  </si>
  <si>
    <t>The U.S. Bureau of Economic Analysis, The United States government "GDP and Personal Income"/United States Census Bureau., The United States government "Metropolitan Area Population Estimates"</t>
  </si>
  <si>
    <t>Badan Pusat Statistik, Provinsi DKI Jakarta "Gross Regional Domestic Product of DKI Jakarta Province by Expenditure 2016-2020"</t>
  </si>
  <si>
    <t>Bangkok（Province level city）</t>
  </si>
  <si>
    <t>San Francisco-Oakland-Berkeley, CA (Metropolitan Statistical Area)/San Francisco-Oakland-Berkeley, CA (Metropolitan Statistical Area)</t>
  </si>
  <si>
    <t>Los Angeles-Long Beach-Anaheim, CA (Metropolitan Statistical Area)/Los Angeles-Long Beach-Anaheim, CA (Metropolitan Statistical Area)</t>
  </si>
  <si>
    <t>Chicago-Naperville-Elgin, IL-IN-WI (Metropolitan Statistical Area)/Chicago-Naperville-Elgin, IL-IN-WI (Metropolitan Statistical Area)</t>
  </si>
  <si>
    <t>Boston-Cambridge-Newton, MA-NH (Metropolitan Statistical Area)/Boston-Cambridge-Newton, MA-NH (Metropolitan Statistical Area)</t>
  </si>
  <si>
    <t>Provinsi DKI Jakarta (ジャカルタ首都特別州)</t>
  </si>
  <si>
    <t>Dublin Region</t>
  </si>
  <si>
    <t>2015-2019</t>
    <phoneticPr fontId="5"/>
  </si>
  <si>
    <t>United Nations "National Accounts - Analysis of Main Aggregates, "GDP, at constant 2015 prices - US Dollars""</t>
    <phoneticPr fontId="5"/>
  </si>
  <si>
    <t>Federal State Statistics Service, Russian Federation "Volume indices of gross regional product in 1998-2019"</t>
    <phoneticPr fontId="5"/>
  </si>
  <si>
    <t>Department of Statictics, Government of Malaysia "State Socioeconomic Report 2019"</t>
    <phoneticPr fontId="5"/>
  </si>
  <si>
    <t>Beijing Municipal Bureau Statistics  "Beijing Statistical Yearbook 2020"</t>
    <phoneticPr fontId="5"/>
  </si>
  <si>
    <t>Fukuoka City "福岡市民経済計算（平成29年度）"</t>
    <phoneticPr fontId="5"/>
  </si>
  <si>
    <t>Osaka City "大阪市民経済計算（平成29年度）"</t>
    <phoneticPr fontId="5"/>
  </si>
  <si>
    <t>Statistics Division, Bureau of General Affairs, Tokyo Metropolitan Government "都民経済計算年報"</t>
    <phoneticPr fontId="5"/>
  </si>
  <si>
    <t>Badan Pusat Statistik - Statistics Indonesia, Indonesia government "Laju Pertumbuhan PDRB Atas Dasar Harga Konstan 2010 menurut Lapangan Usaha (Juta Rupiah)"</t>
    <phoneticPr fontId="5"/>
  </si>
  <si>
    <t>United Nations "National Accounts - Analysis of Main Aggregates, "GDP, at constant 2015 prices - US Dollars" &amp; "GDP, at current prices - US Dollars""</t>
    <phoneticPr fontId="5"/>
  </si>
  <si>
    <t>ES30: Madrid</t>
    <phoneticPr fontId="5"/>
  </si>
  <si>
    <t>ES511: Barcelona</t>
    <phoneticPr fontId="5"/>
  </si>
  <si>
    <t>UKI: Greater London</t>
    <phoneticPr fontId="5"/>
  </si>
  <si>
    <t>FR101: Paris</t>
    <phoneticPr fontId="5"/>
  </si>
  <si>
    <t>BE1: Brussels Capital Region</t>
    <phoneticPr fontId="5"/>
  </si>
  <si>
    <t>NL32: North Holland</t>
    <phoneticPr fontId="5"/>
  </si>
  <si>
    <t>CH013: Genève</t>
    <phoneticPr fontId="5"/>
  </si>
  <si>
    <t>DE712: Frankfurt am Main Kreisfreie Stadt</t>
    <phoneticPr fontId="5"/>
  </si>
  <si>
    <t>DE3: Berlin</t>
    <phoneticPr fontId="5"/>
  </si>
  <si>
    <t>ITC4C: Milan</t>
    <phoneticPr fontId="5"/>
  </si>
  <si>
    <t>CH040: Zürich</t>
    <phoneticPr fontId="5"/>
  </si>
  <si>
    <t>DK011: City of Copenhagen</t>
    <phoneticPr fontId="5"/>
  </si>
  <si>
    <t>AT13: Vienna</t>
    <phoneticPr fontId="5"/>
  </si>
  <si>
    <t>SE11: Stockholm</t>
    <phoneticPr fontId="5"/>
  </si>
  <si>
    <t>TR100: Istanbul</t>
    <phoneticPr fontId="5"/>
  </si>
  <si>
    <t>Federal Territory of Kuala Lumpur - 実質GDP(2015年ベース）の増加率</t>
    <phoneticPr fontId="5"/>
  </si>
  <si>
    <t>Hong Kong SAR - 実質GDP(2018年ベース)の5年間平均成長率を採用</t>
    <phoneticPr fontId="5"/>
  </si>
  <si>
    <t>KR011: Seoul</t>
    <phoneticPr fontId="5"/>
  </si>
  <si>
    <t>AU1: New South Wales</t>
    <phoneticPr fontId="5"/>
  </si>
  <si>
    <t>CA59: British Columbia</t>
    <phoneticPr fontId="5"/>
  </si>
  <si>
    <t>ME09: Mexico City</t>
    <phoneticPr fontId="5"/>
  </si>
  <si>
    <t>CA35: Ontario</t>
    <phoneticPr fontId="5"/>
  </si>
  <si>
    <t>City of São Paulo - 2018年名目GDPを国の物価変化率を用いて実質GDPに換算後、増加率を計算</t>
    <phoneticPr fontId="5"/>
  </si>
  <si>
    <t>IE061: Dublin</t>
    <phoneticPr fontId="5"/>
  </si>
  <si>
    <t>FI1B: Helsinki-Uusimaa</t>
    <phoneticPr fontId="5"/>
  </si>
  <si>
    <t>The Heritage Foundation "2021 Index of Economic Freedom"</t>
    <phoneticPr fontId="5"/>
  </si>
  <si>
    <t>The Heritage Foundation "2020 Index of Economic Freedom"</t>
    <phoneticPr fontId="5"/>
  </si>
  <si>
    <t xml:space="preserve"> The World Federation of Exchanges "2020 Annual Statistics Guide"</t>
    <phoneticPr fontId="5"/>
  </si>
  <si>
    <t>Euronext "Cash markets - Monthly reports"</t>
    <phoneticPr fontId="5"/>
  </si>
  <si>
    <t>Börse Berlin "Tradegate and Börse Berlin achieve record turnover of 401.6 billion euros in 2020"</t>
    <phoneticPr fontId="5"/>
  </si>
  <si>
    <t>Borsa Italiana "MAIN INDICATORS"</t>
    <phoneticPr fontId="5"/>
  </si>
  <si>
    <t>Nasdaq "Monthly Report - Total Equity Trading December 2020"</t>
    <phoneticPr fontId="5"/>
  </si>
  <si>
    <t>Fukuoka Stock Exchange "業種別時価総額・上場株式数"</t>
    <phoneticPr fontId="5"/>
  </si>
  <si>
    <t>Fortune "2021 Fortune Global 500"</t>
    <phoneticPr fontId="5"/>
  </si>
  <si>
    <t>Ayuntamiento de Madrid "Activos por Sector económico"</t>
    <phoneticPr fontId="5"/>
  </si>
  <si>
    <t>Barcelona City Council "Estadística i Difusió de Dades - Población ocupada"</t>
    <phoneticPr fontId="5"/>
  </si>
  <si>
    <t>Office for National Statistcs "Workforce jobs by region &amp; industry"</t>
    <phoneticPr fontId="5"/>
  </si>
  <si>
    <t>French National Institute of Statistics and Economic Studies(INSEE), French Republic "Estimations d'emploi"</t>
    <phoneticPr fontId="5"/>
  </si>
  <si>
    <t>Belgian statistical office (Statbel), Belgian Federal Government "Enquête naar de arbeidskrachten: publicatie met gedetailleerde cijfers 2020"</t>
    <phoneticPr fontId="5"/>
  </si>
  <si>
    <t>Onderzoek, Informatie en Statistiek, Gemeente Amsterdam "Kerncijfers Amsterdam 2020"</t>
    <phoneticPr fontId="5"/>
  </si>
  <si>
    <t>Stadt Frankfurt Am Main "Statistisches Jahrbuch Frankfurt am Main 2020"</t>
    <phoneticPr fontId="5"/>
  </si>
  <si>
    <t>Statistical Office for Berlin-Brandenburg, States Berlin and Brandenburg "Statistisches Jahrbuch 2020 – Berlin"</t>
    <phoneticPr fontId="5"/>
  </si>
  <si>
    <t>Comune di Milano "Sistema Statistico Integrato"</t>
    <phoneticPr fontId="5"/>
  </si>
  <si>
    <t>Statistics Demmark "Employed (end November) by region (workplace), industry (DB07), socioeconomic status, age and sex "</t>
    <phoneticPr fontId="5"/>
  </si>
  <si>
    <t>Bundesanstalt Statistik Österreich -  STATISTICS AUSTRIA "Austrian Micro census"</t>
    <phoneticPr fontId="5"/>
  </si>
  <si>
    <t>Stockholms stad "Statistik om Stockholm - Förvärvsarbetande i Stockholm 2018"</t>
    <phoneticPr fontId="5"/>
  </si>
  <si>
    <t>Turkish Statistical Institute "Regional Results of Labour Force Statistics (2014 and onwards) (M)"</t>
    <phoneticPr fontId="5"/>
  </si>
  <si>
    <t>Central Agency for Public Mobilization And Statistics, Arab Republic of Egypt "Egypt in Figures 2021"</t>
    <phoneticPr fontId="5"/>
  </si>
  <si>
    <t>National Statistical Office of Thailand, Kingdom of Thailand "Population by Labor Force Status Sex and Province: 2020"</t>
    <phoneticPr fontId="5"/>
  </si>
  <si>
    <t>The People's Government of Beijing Municipality "北京统计年鉴2020"</t>
    <phoneticPr fontId="5"/>
  </si>
  <si>
    <t>上海市统计局, Shanghai Municipal People's Government "上海市統計年鑑2020"</t>
    <phoneticPr fontId="5"/>
  </si>
  <si>
    <t>KOrean Statistical Information Service, Statistics Korea "Economically Active Population Survey"</t>
    <phoneticPr fontId="5"/>
  </si>
  <si>
    <t>Statistics Canada, Canadian Federation "Census Profile, 2016 Census"</t>
    <phoneticPr fontId="5"/>
  </si>
  <si>
    <t>the National Institute of Statistics, Geography and Informatics "Mexico en Cifras"</t>
    <phoneticPr fontId="5"/>
  </si>
  <si>
    <t>City of Toronto "Toronto’s Economy, Labour Force &amp; Demographics"</t>
    <phoneticPr fontId="5"/>
  </si>
  <si>
    <t>Instituto Brasileiro de Geografia e Estatistica "Summary of Social Indicators "</t>
    <phoneticPr fontId="5"/>
  </si>
  <si>
    <t>Badan Pusat Statistik - Statistics Indonesia "Employment Executive Summary of DKI Jakarta Province in August 2019"</t>
    <phoneticPr fontId="5"/>
  </si>
  <si>
    <t>Ciudad de Buenos Aires "Anuario Estadístico de la Ciudad de Buenos Aires 2019"</t>
    <phoneticPr fontId="5"/>
  </si>
  <si>
    <t>Central Statistics Office, Ireland "Census 2016 Sapmap Area: Settlements Dublin City And Suburbs"</t>
    <phoneticPr fontId="5"/>
  </si>
  <si>
    <t>Central Bureau of Statistics, State of Israel "Labour Force Survey, 2019"</t>
    <phoneticPr fontId="5"/>
  </si>
  <si>
    <t>Australian Bureau of Statistics, Commonwealth of Australia "2016 Census Community Profiles"</t>
    <phoneticPr fontId="5"/>
  </si>
  <si>
    <t>2018/2008</t>
  </si>
  <si>
    <t>2013/2011</t>
  </si>
  <si>
    <t>2016/2016</t>
  </si>
  <si>
    <t>City of Madrid "Ocupados de la industria, de la construcción y de los servicios por Rama de actividad (miles)"</t>
    <phoneticPr fontId="5"/>
  </si>
  <si>
    <t>Barcelona City Council "4. Evolución de la población ocupada en Barcelona por ramas de actividad (CCAE-2009)"</t>
    <phoneticPr fontId="5"/>
  </si>
  <si>
    <t>French National Institute of Statistics and Economic Studies "Estimations d'emploi"</t>
    <phoneticPr fontId="5"/>
  </si>
  <si>
    <t>Brussels Institute for Statistics and Analysis "Mini-Bru Brussels-Capital Region in figures 2021"</t>
    <phoneticPr fontId="5"/>
  </si>
  <si>
    <t>Schweizerischer Städteverband "Statistik der Schweizer Städte 2021"/Schweizerischer Städteverband "Statistik der Schweizer Städte 2013"</t>
    <phoneticPr fontId="5"/>
  </si>
  <si>
    <t>Frankfurt am Main "Statistisches Jahrbuch 2020"</t>
    <phoneticPr fontId="5"/>
  </si>
  <si>
    <t>Amt für Statistik Berlin-Brandenburg  "Die kleine Berlin-Statistik 2019"</t>
    <phoneticPr fontId="5"/>
  </si>
  <si>
    <t>Statbank Denmark "RAS301: Employed (end November) by region (workplace), industry (DB07), socioeconomic status, age and sex"</t>
    <phoneticPr fontId="5"/>
  </si>
  <si>
    <t>City of Vienna "Statistisches Jahrbuch der Stadt Wien 2020"</t>
    <phoneticPr fontId="5"/>
  </si>
  <si>
    <t>Turkish Statistical Institute "Labour Force Statistics(2014 and after)"</t>
    <phoneticPr fontId="5"/>
  </si>
  <si>
    <t xml:space="preserve"> Central Agency for Public Mobilization And Statistics, Arab Republic of Egypt "Statistical yearbook 2020"</t>
    <phoneticPr fontId="5"/>
  </si>
  <si>
    <t>Department of Statistics, International Labour Organization "Employment by sex and economic activity--ILO modelled estimates, Nov. 2019"</t>
    <phoneticPr fontId="5"/>
  </si>
  <si>
    <t>Government of Maharashtra, India "Economic Survey of Maharashtra 2015-2016"/Office of the Registrar General &amp; Census Commissioner, Ministry of Home Affairs, Government of India "Census of India 2011 - Population Enumeration Data (Final Population)"</t>
    <phoneticPr fontId="5"/>
  </si>
  <si>
    <t>National Statistical Office of Thailand, Kingdom of Thailand "Number of the formal and informal employment by industry, sex and region in 2020"</t>
    <phoneticPr fontId="5"/>
  </si>
  <si>
    <t>Department of Statistics, Malaysia "Employed persons by industry, Malaysia/states, 1982 - 2020"</t>
    <phoneticPr fontId="5"/>
  </si>
  <si>
    <t>Ministry of Manpower, Singapore Government "Labour Force In Singapore 2020"</t>
    <phoneticPr fontId="5"/>
  </si>
  <si>
    <t>Beijing Municipal Bureau of Statistics - Survey Office of the National Bureau of Statistics in Beijing "BEIJING STATISTICAL YEARBOOK 2020"</t>
    <phoneticPr fontId="5"/>
  </si>
  <si>
    <t>Shanghai Municipal Statistics Bureau "Shanghai Statistical Yearbook 2020"</t>
    <phoneticPr fontId="5"/>
  </si>
  <si>
    <t>Korean Statistical Information Service "Employed persons by industry"</t>
    <phoneticPr fontId="5"/>
  </si>
  <si>
    <t>Australian Bureau of Statistics, Government of Australia "Labour Force, Australia, Detailed"</t>
    <phoneticPr fontId="5"/>
  </si>
  <si>
    <t>United States Census Bureau, United States Department of Commerce "American Community Survey（DP03, 2019: ACS 1-Year Estimates Data Profiles）"</t>
    <phoneticPr fontId="5"/>
  </si>
  <si>
    <t>Instituto Brasileiro de Geografia e Estatística, Brazil "Summary of Social Indicators - SIS"</t>
    <phoneticPr fontId="5"/>
  </si>
  <si>
    <t>Statistics South Africa "QLFS Trends 2008-2021Q1"</t>
    <phoneticPr fontId="5"/>
  </si>
  <si>
    <t>Dubai Statistics Center, Government of Dubai "Bulletin of Labor Force Survey Results 2019"</t>
    <phoneticPr fontId="5"/>
  </si>
  <si>
    <t>Central Statistics Office "Population Aged 15 Years and Over in the Labour Force 2011 to 2016"/Central Statistics Office "Labour Force Survey Quarter 4 2017"</t>
    <phoneticPr fontId="5"/>
  </si>
  <si>
    <t>Helsinki Region Infoshare  "STATISTICAL YEARBOOK OF HELSINKI"</t>
    <phoneticPr fontId="5"/>
  </si>
  <si>
    <t>Bank of Israel "Employment (Thousand, Seasonally Adjusted, Based On Labor Force Surveys)"</t>
    <phoneticPr fontId="5"/>
  </si>
  <si>
    <t>Australian Bureau of Statistics "2016 Census Community Profiles - Working Population Profile"</t>
    <phoneticPr fontId="5"/>
  </si>
  <si>
    <t>【推計】City of Geneva（2008年のデータを用いて2018年のセクターデータを按分）/【推計用データ】City of Geneva</t>
    <phoneticPr fontId="5"/>
  </si>
  <si>
    <t>【推計】City of Zurich（2008年のデータを用いて2018年のセクターデータを按分）/【推計用データ】City of Zurich</t>
    <phoneticPr fontId="5"/>
  </si>
  <si>
    <t>【推計】Istanbul Province：トルコ（国ベースの値）×（Province/国）の値</t>
    <phoneticPr fontId="5"/>
  </si>
  <si>
    <t>【推計】City of Moscow：ロシア連邦（国ベースの値）×（都市/国）の値</t>
    <phoneticPr fontId="5"/>
  </si>
  <si>
    <t>【推計】Mumbai City/Suburban District：Maharashtra州（州ベースの値）×（都市/州）/Maharashtra州</t>
    <phoneticPr fontId="5"/>
  </si>
  <si>
    <t>Republic of Singapore（国の対事業所サービス従業者数）</t>
    <phoneticPr fontId="5"/>
  </si>
  <si>
    <t>【推計】Mexico City：メキシコ（国ベースの値）×（都市/国）</t>
    <phoneticPr fontId="5"/>
  </si>
  <si>
    <t>【推計】City of Sao Paulo：ブラジル（国ベースの値）×（都市/国）</t>
    <phoneticPr fontId="5"/>
  </si>
  <si>
    <t>【推計】City of Johannesburg：Gauteng州（州ベースの値）×（都市/州）</t>
    <phoneticPr fontId="5"/>
  </si>
  <si>
    <t>Ciudad de Buenos Aires</t>
    <phoneticPr fontId="5"/>
  </si>
  <si>
    <t>【推計】Dublin City：Dublin Region×（City/Region）の値/Dublin Regional Authority</t>
    <phoneticPr fontId="5"/>
  </si>
  <si>
    <t>UBS "Prices and earnings 2018"</t>
    <phoneticPr fontId="5"/>
  </si>
  <si>
    <t>Department of Statistics Singapore, Government of Singapore "Key Household income Trends, 2018"</t>
    <phoneticPr fontId="5"/>
  </si>
  <si>
    <t>U.S. Department of Commerce "SELECTED ECONOMIC CHARACTERISTICS  2018: ACS 5-Year Estimates Data Profiles"</t>
    <phoneticPr fontId="5"/>
  </si>
  <si>
    <t>Australian Bureau of Statistics "2016 Census QuickStats"</t>
    <phoneticPr fontId="5"/>
  </si>
  <si>
    <t>Singapore；1世帯1か月あたりの平均収入の変動率を、昨年度スコアに乗じて算出した。</t>
    <phoneticPr fontId="5"/>
  </si>
  <si>
    <t>値貼付実行：2021/11/17 16:27</t>
    <phoneticPr fontId="5"/>
  </si>
  <si>
    <t>2020/2020</t>
    <phoneticPr fontId="5"/>
  </si>
  <si>
    <t>2020/2020/2020</t>
    <phoneticPr fontId="5"/>
  </si>
  <si>
    <t>INSEAD "Global Talent Competitiveness Index 2020"/INSEAD "Global Talent Competitiveness Index 2020 - City and Regions"/EF Education First "English Proficiency Index"</t>
    <phoneticPr fontId="5"/>
  </si>
  <si>
    <t>INSEAD "Global Talent Competitiveness Index 2020"/EF Education First "English Proficiency Index"</t>
    <phoneticPr fontId="5"/>
  </si>
  <si>
    <t>INSEAD "Global Talent Competitiveness Index 2020"/INSEAD "Global Talent Competitiveness Index 2020 - City and Regions"</t>
    <phoneticPr fontId="5"/>
  </si>
  <si>
    <t>国別/都市、エリア詳細記載なし/Madrid</t>
    <phoneticPr fontId="5"/>
  </si>
  <si>
    <t>国別/都市、エリア詳細記載なし/Barcelona</t>
    <phoneticPr fontId="5"/>
  </si>
  <si>
    <t>国別/都市、エリア詳細記載なし/英語圏</t>
    <phoneticPr fontId="5"/>
  </si>
  <si>
    <t>国別/都市、エリア詳細記載なし/Paris</t>
    <phoneticPr fontId="5"/>
  </si>
  <si>
    <t>国別/都市、エリア詳細記載なし/Brussels</t>
    <phoneticPr fontId="5"/>
  </si>
  <si>
    <t>国別/都市、エリア詳細記載なし/Amsterdam</t>
    <phoneticPr fontId="5"/>
  </si>
  <si>
    <t>国別/都市、エリア詳細記載なし/Switzerland</t>
    <phoneticPr fontId="5"/>
  </si>
  <si>
    <t>国別/都市、エリア詳細記載なし/Germany</t>
    <phoneticPr fontId="5"/>
  </si>
  <si>
    <t>国別/都市、エリア詳細記載なし/Berlin</t>
    <phoneticPr fontId="5"/>
  </si>
  <si>
    <t>国別/都市、エリア詳細記載なし/Milan</t>
    <phoneticPr fontId="5"/>
  </si>
  <si>
    <t>国別/都市、エリア詳細記載なし/Copenhagen</t>
    <phoneticPr fontId="5"/>
  </si>
  <si>
    <t>国別/都市、エリア詳細記載なし/Vienna</t>
    <phoneticPr fontId="5"/>
  </si>
  <si>
    <t>国別/都市、エリア詳細記載なし/Stockholm</t>
    <phoneticPr fontId="5"/>
  </si>
  <si>
    <t>国別/都市、エリア詳細記載なし/Istanbul</t>
    <phoneticPr fontId="5"/>
  </si>
  <si>
    <t>国別/都市、エリア詳細記載なし/Cairo</t>
    <phoneticPr fontId="5"/>
  </si>
  <si>
    <t>国別/都市、エリア詳細記載なし/Moscow</t>
    <phoneticPr fontId="5"/>
  </si>
  <si>
    <t>国別/Mumbai</t>
    <phoneticPr fontId="5"/>
  </si>
  <si>
    <t>国別/都市、エリア詳細記載なし/Bangkok</t>
    <phoneticPr fontId="5"/>
  </si>
  <si>
    <t>国別/Kuala Lumpur</t>
    <phoneticPr fontId="5"/>
  </si>
  <si>
    <t>国別/都市、エリア詳細記載なし/Singapore</t>
    <phoneticPr fontId="5"/>
  </si>
  <si>
    <t>国別/都市、エリア詳細記載なし/Hong Kong</t>
    <phoneticPr fontId="5"/>
  </si>
  <si>
    <t>国別/都市、エリア詳細記載なし/Beijing</t>
    <phoneticPr fontId="5"/>
  </si>
  <si>
    <t>国別/都市、エリア詳細記載なし/Shanghai</t>
    <phoneticPr fontId="5"/>
  </si>
  <si>
    <t>国別/都市、エリア詳細記載なし/Taipei</t>
    <phoneticPr fontId="5"/>
  </si>
  <si>
    <t>国別/都市、エリア詳細記載なし/Seoul</t>
    <phoneticPr fontId="5"/>
  </si>
  <si>
    <t>国別/Japan</t>
    <phoneticPr fontId="5"/>
  </si>
  <si>
    <t>国別/都市、エリア詳細記載なし/Tokyo</t>
    <phoneticPr fontId="5"/>
  </si>
  <si>
    <t>国別/Mexico City</t>
    <phoneticPr fontId="5"/>
  </si>
  <si>
    <t>国別/都市、エリア詳細記載なし/Brazil</t>
    <phoneticPr fontId="5"/>
  </si>
  <si>
    <t>国別/都市、エリア詳細記載なし/South Africa</t>
    <phoneticPr fontId="5"/>
  </si>
  <si>
    <t>国別/Jakarta</t>
    <phoneticPr fontId="5"/>
  </si>
  <si>
    <t>国別/都市、エリア詳細記載なし/Buenos Aires</t>
    <phoneticPr fontId="5"/>
  </si>
  <si>
    <t>国別/都市、エリア詳細記載なし/Dubai</t>
    <phoneticPr fontId="5"/>
  </si>
  <si>
    <t>国別/都市、エリア詳細記載なし/Helsinki</t>
    <phoneticPr fontId="5"/>
  </si>
  <si>
    <t>国別/都市、エリア詳細記載なし</t>
    <phoneticPr fontId="5"/>
  </si>
  <si>
    <t>①2021/②2021</t>
    <phoneticPr fontId="5"/>
  </si>
  <si>
    <t>①Coworker "Find a Coworking Space"/②Ookla "Speedtest Global Index Global Speeds June 2021"</t>
    <phoneticPr fontId="5"/>
  </si>
  <si>
    <t>①都市/②国</t>
    <phoneticPr fontId="5"/>
  </si>
  <si>
    <t>2021/2021</t>
  </si>
  <si>
    <t>KPMG "Corporate Tax Rates Table"</t>
    <phoneticPr fontId="5"/>
  </si>
  <si>
    <t>KPMG "Clarity on Swiss Taxes"</t>
    <phoneticPr fontId="5"/>
  </si>
  <si>
    <t>Japan External Trade Organization "ドイツ - 税制"</t>
    <phoneticPr fontId="5"/>
  </si>
  <si>
    <t>Japan External Trade Organization "イタリア - 税制"</t>
    <phoneticPr fontId="5"/>
  </si>
  <si>
    <t>Japan External Trade Organization "韓国 - 税制"</t>
    <phoneticPr fontId="5"/>
  </si>
  <si>
    <t>National Tax Agency "法人税の税率"</t>
    <phoneticPr fontId="5"/>
  </si>
  <si>
    <t>Japan External Trade Organization "カナダ - 税制"</t>
    <phoneticPr fontId="5"/>
  </si>
  <si>
    <t>Japan External Trade Organization "米国 - 税制"</t>
    <phoneticPr fontId="5"/>
  </si>
  <si>
    <t>Japan External Trade Organization "米国 - 税制"/The Tax Foundation "State Corporate Income Tax Rates and Brackets for 2020"</t>
    <phoneticPr fontId="5"/>
  </si>
  <si>
    <t>Japan External Trade Organization "アラブ首長国連邦 - 税制"</t>
    <phoneticPr fontId="5"/>
  </si>
  <si>
    <t>国単位/都市単位</t>
    <phoneticPr fontId="5"/>
  </si>
  <si>
    <t>The World Bank "Doing Business 2020"/Moody's Investors Service, Inc. "Sovereign and Supranational rating List"</t>
    <phoneticPr fontId="5"/>
  </si>
  <si>
    <t>2017/2017</t>
  </si>
  <si>
    <t>United Nations Educational, Scientific and Cultural Organization "UNESCO UIS"</t>
    <phoneticPr fontId="5"/>
  </si>
  <si>
    <t>Organisation for Economic Co-operation and Development "OECD Statistics"</t>
    <phoneticPr fontId="5"/>
  </si>
  <si>
    <t>United Nations Educational, Scientific and Cultural Organization "UNESCO UIS"/Austrlian Bureau of Statistics "Research and Experimental Development, Government and Private Non-Profit Organisations/　Higher Education Organisations/ Business, Australia"</t>
    <phoneticPr fontId="5"/>
  </si>
  <si>
    <t>United Nations Educational, Scientific and Cultural Organization "UNESCO UIS"/The U.S. Bureau of Economic Analysis, The United States government "CAEMP25N Total Full-Time and Part-Time Employment by NAICS Industry 1/"</t>
    <phoneticPr fontId="5"/>
  </si>
  <si>
    <t>対象都市に属する国の研究者数を従業者数で按分/【推計】Australiaの研究者数を推計し、従業者数で按分</t>
    <phoneticPr fontId="5"/>
  </si>
  <si>
    <t>対象都市に属する国の研究者数を従業者数で按分/San Francisco-Oakland-Berkeley, CA (Metropolitan Statistical Area)</t>
    <phoneticPr fontId="5"/>
  </si>
  <si>
    <t>対象都市に属する国の研究者数を従業者数で按分/Los Angeles-Long Beach-Anaheim, CA (Metropolitan Statistical Area)</t>
    <phoneticPr fontId="5"/>
  </si>
  <si>
    <t>対象都市に属する国の研究者数を従業者数で按分/Chicago-Naperville-Elgin, IL-IN-WI (Metropolitan Statistical Area)</t>
    <phoneticPr fontId="5"/>
  </si>
  <si>
    <t>対象都市に属する国の研究者数を従業者数で按分/Washington-Arlington-Alexandria, DC-VA-MD-WV (Metropolitan Statistical Area) *</t>
    <phoneticPr fontId="5"/>
  </si>
  <si>
    <t>対象都市に属する国の研究者数を従業者数で按分/New York-Newark-Jersey City, NY-NJ-PA (Metropolitan Statistical Area)</t>
    <phoneticPr fontId="5"/>
  </si>
  <si>
    <t>対象都市に属する国の研究者数を従業者数で按分/Boston-Cambridge-Newton, MA-NH (Metropolitan Statistical Area)</t>
    <phoneticPr fontId="5"/>
  </si>
  <si>
    <t>United Nations Educational, Scientific and Cultural Organization "UIS Statistics"</t>
    <phoneticPr fontId="5"/>
  </si>
  <si>
    <t>Organisation for Economic Co-operation and Development "OECD Science, Technology and R&amp;D Statistics"</t>
    <phoneticPr fontId="5"/>
  </si>
  <si>
    <t>2019/2016</t>
  </si>
  <si>
    <t>Organisation for Economic Co-operation and Development "PISA 2018 Results"</t>
    <phoneticPr fontId="5"/>
  </si>
  <si>
    <t>International Association for the Evaluation of Educational Achievement "TIMSS 2019 International Results in Mathematics and Science (Grade 8)"/International Association for the Evaluation of Educational Achievement "PIRLS 2016 INTERNATIONAL RESULTS IN READING"</t>
    <phoneticPr fontId="5"/>
  </si>
  <si>
    <t>2010-2019/2019</t>
    <phoneticPr fontId="5"/>
  </si>
  <si>
    <t>World Intellectual Property Organization "WIPO Intellectual Property Statistics Data Center"</t>
    <phoneticPr fontId="5"/>
  </si>
  <si>
    <t>World Intellectual Property Organization "WIPO Intellectual Property Statistics Data Center"/The U.S. Bureau of Economic Analysis, The United States government "GDP and Personal Income"</t>
    <phoneticPr fontId="5"/>
  </si>
  <si>
    <t>国を従業者按分/San Francisco-Oakland-Berkeley, CA (Metropolitan Statistical Area)</t>
    <phoneticPr fontId="5"/>
  </si>
  <si>
    <t>国を従業者按分/Los Angeles-Long Beach-Anaheim, CA (Metropolitan Statistical Area)</t>
    <phoneticPr fontId="5"/>
  </si>
  <si>
    <t>国を従業者按分/Chicago-Naperville-Elgin, IL-IN-WI (Metropolitan Statistical Area)</t>
    <phoneticPr fontId="5"/>
  </si>
  <si>
    <t>国を従業者按分/Washington-Arlington-Alexandria, DC-VA-MD-WV (Metropolitan Statistical Area) *</t>
    <phoneticPr fontId="5"/>
  </si>
  <si>
    <t>国を従業者按分/New York-Newark-Jersey City, NY-NJ-PA (Metropolitan Statistical Area)</t>
    <phoneticPr fontId="5"/>
  </si>
  <si>
    <t>国を従業者按分/Boston-Cambridge-Newton, MA-NH (Metropolitan Statistical Area)</t>
    <phoneticPr fontId="5"/>
  </si>
  <si>
    <t>2018-2020//</t>
    <phoneticPr fontId="5"/>
  </si>
  <si>
    <t>Crunchbase "Companies | Crunchbase"/ ""/ ""</t>
    <phoneticPr fontId="5"/>
  </si>
  <si>
    <t>都市//</t>
    <phoneticPr fontId="5"/>
  </si>
  <si>
    <t>Union of International Associations (UIA). 2019."Yearbook of International Organizations 2020-2021. (vol.5)". Publisher: Brill in Leiden. ""</t>
    <phoneticPr fontId="5"/>
  </si>
  <si>
    <t>都市(詳細不明)</t>
    <phoneticPr fontId="5"/>
  </si>
  <si>
    <t>①2019-2021/②2002-2021/③2002-2021/④2002-2021</t>
    <phoneticPr fontId="5"/>
  </si>
  <si>
    <t>①Columbus Travel Media Ltd. "World Travel Guide-Madrid Events"/②International Olympic Committee "Olympic Games"/③Bureau International des Expositions "Expo Timeline"/④Fédération Internationale de Football Association "FIFA WORLD CUP HISTORY"</t>
    <phoneticPr fontId="5"/>
  </si>
  <si>
    <t>①都市/②都市/③都市/④都市</t>
    <phoneticPr fontId="5"/>
  </si>
  <si>
    <t>①2020/②2019</t>
    <phoneticPr fontId="5"/>
  </si>
  <si>
    <t>①2020/②</t>
    <phoneticPr fontId="5"/>
  </si>
  <si>
    <t>①2020</t>
  </si>
  <si>
    <t>①International Trade Center、Trade Statistics "International trade in goods - Exports 2001-2019"/②International Trade Center、Trade Statistics "International trade in services - Exports 2000-2018"</t>
    <phoneticPr fontId="5"/>
  </si>
  <si>
    <t>①International Trade Center、Trade Statistics "International trade in goods - Exports 2001-2019"/②Office for National Statistics, United Kingdom of Great Britain and Northern Ireland "International Trade in Services"</t>
    <phoneticPr fontId="5"/>
  </si>
  <si>
    <t>①International Trade Center、Trade Statistics "International trade in goods - Exports 2001-2019"/②United Nations "UN Comtrade Database"</t>
    <phoneticPr fontId="5"/>
  </si>
  <si>
    <t>①International Trade Center、Trade Statistics "International trade in goods - Exports 2001-2019"/②World Trade Organization "Statistics on trade in commercial services"</t>
    <phoneticPr fontId="5"/>
  </si>
  <si>
    <t>①International Trade Center、Trade Statistics "International trade in goods - Exports 2001-2019"</t>
    <phoneticPr fontId="5"/>
  </si>
  <si>
    <t>①International Trade Center、Trade Statistics "International trade in goods - Exports 2001-2019"/②Bureau of Economic Analysis "GROSS DOMESTIC PRODUCT (GDP) BY COUNTY AND METROPOLITAN AREA - GDP in current dollars (CAGDP2)"</t>
    <phoneticPr fontId="5"/>
  </si>
  <si>
    <t>①ITCの国データを国GDPと都市GDPの比率で按分/②国データを国GDPと都市GDPの比率で按分</t>
    <phoneticPr fontId="5"/>
  </si>
  <si>
    <t>①ITCの国データを国GDPと都市GDPの比率で按分/②国別</t>
    <phoneticPr fontId="5"/>
  </si>
  <si>
    <t>①ITCの国データを国GDPと都市GDPの比率で按分/②国データ（BRICの値からChinaを算出）を国GDPと都市GDPの比率で按分</t>
    <phoneticPr fontId="5"/>
  </si>
  <si>
    <t>①ITCの国データを国GDPと都市GDPの比率で按分</t>
    <phoneticPr fontId="5"/>
  </si>
  <si>
    <t>①ITCの国データを国GDPと都市GDPの比率で按分/②都市圏（「Audiovisual and Related Services」に関して、大都市圏と都市の従業者按分を採用）</t>
    <phoneticPr fontId="5"/>
  </si>
  <si>
    <t>①2020/②2021</t>
    <phoneticPr fontId="5"/>
  </si>
  <si>
    <t>①ARTPRICE.COM "TOP 500 ARTISTS BY FINE ART AUCTION REVENUE IN 2020"/②Artnet Worldwide Corporation "artnet galleries"</t>
    <phoneticPr fontId="5"/>
  </si>
  <si>
    <t>①都市/②都市</t>
  </si>
  <si>
    <t>United Nations Educational, Scientific and Cultural Organization "World Heritage List"</t>
    <phoneticPr fontId="5"/>
  </si>
  <si>
    <t>①Mangools "kwfinder"/②TripAdvisor LLC "Trip Advisor"</t>
    <phoneticPr fontId="5"/>
  </si>
  <si>
    <t>②2021/①2021</t>
    <phoneticPr fontId="5"/>
  </si>
  <si>
    <t>②10km圏内/①TripAdvisorの都市ページ</t>
    <phoneticPr fontId="5"/>
  </si>
  <si>
    <t>①都市別/②</t>
    <phoneticPr fontId="5"/>
  </si>
  <si>
    <t>Instituto Nacional de Estadistica "Continuous Municipal Register Statistics"</t>
    <phoneticPr fontId="5"/>
  </si>
  <si>
    <t>Institut National de la Statistique et des études économiques, French Republic "Étrangers - Immigrés en 2017"</t>
    <phoneticPr fontId="5"/>
  </si>
  <si>
    <t>The Brussels Institute of Statistics and Analysis "Mini-Bru 2021"</t>
    <phoneticPr fontId="5"/>
  </si>
  <si>
    <t>Onderzoek, Informatie en Statistiek (OIS), Gemeente Amsterdam "Amsterdam in cijfers 2019"</t>
    <phoneticPr fontId="5"/>
  </si>
  <si>
    <t>Office cantonal de la statistique (OCSTAT), Département des finances et des ressources humaines, République et Canton de Genève "Statistique cantonale de la population"</t>
    <phoneticPr fontId="5"/>
  </si>
  <si>
    <t>Amt für Statistik Berlin-Brandenburg "Die kleine Berlin-Statistik 2019"</t>
    <phoneticPr fontId="5"/>
  </si>
  <si>
    <t>Comune di Milano "Popolazione residente a Milano"</t>
    <phoneticPr fontId="5"/>
  </si>
  <si>
    <t>Stadt Zürich "Bevölkerungsbestand"</t>
    <phoneticPr fontId="5"/>
  </si>
  <si>
    <t>City of Copenhagen: Statbank, City of Copenhagen "Population by age, sex, district, time and citizenship"</t>
    <phoneticPr fontId="5"/>
  </si>
  <si>
    <t>Stadt Wien "Statistisches Jahrbuch  der Stadt Wien 2020"</t>
    <phoneticPr fontId="5"/>
  </si>
  <si>
    <t>Türkiye İstatistik Kurumu "Immigrants and emigrants by citizenship and provinces, 2018, 2019"</t>
    <phoneticPr fontId="5"/>
  </si>
  <si>
    <t>Global Migration Data Analysis Centre "Key migration statistics"</t>
    <phoneticPr fontId="5"/>
  </si>
  <si>
    <t>Federal State Statistics Service "Population by citizenship and age groups by subjects of the Russian Federation"</t>
    <phoneticPr fontId="5"/>
  </si>
  <si>
    <t>Department of statistics Malaysia "Migration and Population Distribution"</t>
    <phoneticPr fontId="5"/>
  </si>
  <si>
    <t>Department of Statistics Singapore, Government of Singapore "Population In Brief 2020"</t>
    <phoneticPr fontId="5"/>
  </si>
  <si>
    <t>Beijing Municipal Bureau of Statistics and NBS Survey Office in Beijing "北京市2010年第六次全国人口普查主要数据情况"</t>
    <phoneticPr fontId="5"/>
  </si>
  <si>
    <t>Shanghai Municipal Statistics Bureau - Survey Office of the National Bureau of Statistics in Shanghai "2019上海统计年鉴"</t>
    <phoneticPr fontId="5"/>
  </si>
  <si>
    <t>Korean Statistical Information Service (KOSIS) "Statistics of Registered Foreigners"</t>
    <phoneticPr fontId="5"/>
  </si>
  <si>
    <t>Fukuoka City "福岡市統計書"</t>
    <phoneticPr fontId="5"/>
  </si>
  <si>
    <t>City of Osaka "外国人住民国籍別人員調査表"</t>
    <phoneticPr fontId="5"/>
  </si>
  <si>
    <t>Tokyo Metropolitan Government "区市町村、国籍・地域別外国人人口"</t>
    <phoneticPr fontId="5"/>
  </si>
  <si>
    <t>Statistics Canada "Census Profile, 2016 Census"</t>
    <phoneticPr fontId="5"/>
  </si>
  <si>
    <t>United States Census Bureau "2019: ACS 1-Year Estimates Data Profiles "</t>
    <phoneticPr fontId="5"/>
  </si>
  <si>
    <t>Instituto Nacional de Estadística y Geografía, United Mexican States "International migration"</t>
    <phoneticPr fontId="5"/>
  </si>
  <si>
    <t>United States Census Bureau "2019: ACS 1-Year Estimates Data Profiles"</t>
    <phoneticPr fontId="5"/>
  </si>
  <si>
    <t>Instituto Brasileiro de Geografia e Estatística "Amostra - Migração"</t>
    <phoneticPr fontId="5"/>
  </si>
  <si>
    <t>Dirección General de Estadística y Censos, Gobierno de la Ciudad de Buenos "Statistical Yearbook of the City of Buenos Aires 2019"</t>
    <phoneticPr fontId="5"/>
  </si>
  <si>
    <t>Central Statistics Office "Census of Population 2016"</t>
    <phoneticPr fontId="5"/>
  </si>
  <si>
    <t>Helsinki Region Infoshare  "STATISTICAL YEARBOOK OF HELSINKI - 2020"</t>
    <phoneticPr fontId="5"/>
  </si>
  <si>
    <t>Municipality of Tel Aviv- Yafo "City in Numbers"</t>
    <phoneticPr fontId="5"/>
  </si>
  <si>
    <t>Madrid Municipality, Foreginers</t>
    <phoneticPr fontId="5"/>
  </si>
  <si>
    <t>Barcelona Municipality, Foreginers</t>
    <phoneticPr fontId="5"/>
  </si>
  <si>
    <t>Greater London, Non-UK</t>
    <phoneticPr fontId="5"/>
  </si>
  <si>
    <t>Department de Paris, Foreginers</t>
    <phoneticPr fontId="5"/>
  </si>
  <si>
    <t>Brussels-Capital Region, Total population of foreign nationality</t>
    <phoneticPr fontId="5"/>
  </si>
  <si>
    <t>Canton de Genève, Foreigners</t>
    <phoneticPr fontId="5"/>
  </si>
  <si>
    <t>Frankfurt am Main, 本居を持つ外国人の数</t>
    <phoneticPr fontId="5"/>
  </si>
  <si>
    <t>Comune di Milano, Foreign population</t>
    <phoneticPr fontId="5"/>
  </si>
  <si>
    <t>Stadt Zürich, Foreigners</t>
    <phoneticPr fontId="5"/>
  </si>
  <si>
    <t>Copenhagen, 市民権を有する者のうち、外国籍の人数の合計</t>
    <phoneticPr fontId="5"/>
  </si>
  <si>
    <t>Stadt Wien, Foreign citizens</t>
    <phoneticPr fontId="5"/>
  </si>
  <si>
    <t>Moscow, Foreign citizens</t>
    <phoneticPr fontId="5"/>
  </si>
  <si>
    <t>Bangkok, A Non-Thai national（Number of Population from Registration）</t>
    <phoneticPr fontId="5"/>
  </si>
  <si>
    <t>福岡市, 外国人人口（住民基本台帳）</t>
    <phoneticPr fontId="5"/>
  </si>
  <si>
    <t>23区, 外国人人口（住民基本台帳)</t>
    <phoneticPr fontId="5"/>
  </si>
  <si>
    <t>Greater Sydney, Total PopulationからAustralia出身の人口を引いた値に2006年のNot Statedの比率を加味して推定</t>
    <phoneticPr fontId="5"/>
  </si>
  <si>
    <t>Vancouver city, Not Canadian citizens</t>
    <phoneticPr fontId="5"/>
  </si>
  <si>
    <t>San Francisco city, Foreign-born population Not a U.S. citzen</t>
    <phoneticPr fontId="5"/>
  </si>
  <si>
    <t>Los Angeles city, Foreign-born population Not a U.S. citzen</t>
    <phoneticPr fontId="5"/>
  </si>
  <si>
    <t>Ciudad de Mexico, total population born in another country</t>
    <phoneticPr fontId="5"/>
  </si>
  <si>
    <t>Chicago city, Foreign-born population Not a U.S. citzen</t>
    <phoneticPr fontId="5"/>
  </si>
  <si>
    <t>Toronto city, Not Canadian citizens</t>
    <phoneticPr fontId="5"/>
  </si>
  <si>
    <t>Washington city, Foreign-born population Not a U.S. citzen</t>
    <phoneticPr fontId="5"/>
  </si>
  <si>
    <t>New York city, Foreign-born population Not a U.S. citzen</t>
    <phoneticPr fontId="5"/>
  </si>
  <si>
    <t>Boston city, Foreign-born population Not a U.S. citzen</t>
    <phoneticPr fontId="5"/>
  </si>
  <si>
    <t>Sao Paulo, Foreigners</t>
    <phoneticPr fontId="5"/>
  </si>
  <si>
    <t>Ciudad de Buenos Aires, Place of birth: Abroad</t>
    <phoneticPr fontId="5"/>
  </si>
  <si>
    <t>Greater Melbourne , Total PopulationからAustralia出身の人口を引いた値</t>
    <phoneticPr fontId="5"/>
  </si>
  <si>
    <t>①2019/③2020</t>
  </si>
  <si>
    <t>①2019/②2011/③2020</t>
  </si>
  <si>
    <t>①2018/③2020</t>
  </si>
  <si>
    <t>①2017/③2020</t>
  </si>
  <si>
    <t>①Ayuntamiento de Madrid "Estadística - Banco de Datos, "Viajeros en la ciudad de Madrid por País de residencia y Mes""</t>
    <phoneticPr fontId="5"/>
  </si>
  <si>
    <t>①The Observatori del Turisme a Barcelona, Barcelona City Council "Barcelona Tourism activity report 2020"</t>
    <phoneticPr fontId="5"/>
  </si>
  <si>
    <t>①Office for National Statistics, United Kingdom "Travel trends estimates: overseas residents in the UK"/③Airports Council International "2020 Annual Traffic Data - 74 selected airports Movements, Passengers and Cargo with available breakdowns"</t>
    <phoneticPr fontId="5"/>
  </si>
  <si>
    <t>①Paris Convention and Visitors Bureau "Tourism in Paris - Key Figures 2019"/③Airports Council International "2020 Annual Traffic Data - 74 selected airports Movements, Passengers and Cargo with available breakdowns"</t>
    <phoneticPr fontId="5"/>
  </si>
  <si>
    <t>①Brussels instituut voor statistiek en analyse "Toerisme en Cultuur"/③Airports Council International "2020 Annual Traffic Data - 74 selected airports Movements, Passengers and Cargo with available breakdowns"</t>
    <phoneticPr fontId="5"/>
  </si>
  <si>
    <t>①Statistics Netherlands (CBS), Kingdom of the Netherlands "Hotels; guests, overnight stays, country of residence, region"</t>
    <phoneticPr fontId="5"/>
  </si>
  <si>
    <t>①The Swiss Federal Statistical Office, Federal Department of Home Affairs "Hotels und Kurbetriebe: Gäste nach Inland-Ausland und nach Gemeinde (kumulierte Ergebnisse)"</t>
    <phoneticPr fontId="5"/>
  </si>
  <si>
    <t>①Stadt Frankfurt am Main "Statistisches Jahrbuch Frankfurt am Main 2020"/③Airports Council International "2020 Annual Traffic Data - 74 selected airports Movements, Passengers and Cargo with available breakdowns"</t>
    <phoneticPr fontId="5"/>
  </si>
  <si>
    <t>①Amt für Statistik Berlin-Brandenburg "Statistisches Jahrbuch 2020"/③Airports Council International "2020 Annual Traffic Data - 74 selected airports Movements, Passengers and Cargo with available breakdowns"</t>
    <phoneticPr fontId="5"/>
  </si>
  <si>
    <t>①Sistema Statistico Integrato, Comune di Milano "Movimenti Negli Esercizi Ricettivi (2000-2020) "</t>
    <phoneticPr fontId="5"/>
  </si>
  <si>
    <t>①Statistics Denmark, Denmark "TURIST: Overnight stay for all types of accommodation by type of accommodation, region, nationality and period"</t>
    <phoneticPr fontId="5"/>
  </si>
  <si>
    <t>①Wiener Tourismusverband "Ankünfte &amp; Nächtigungen / Arrivals &amp; bednights 2020"</t>
    <phoneticPr fontId="5"/>
  </si>
  <si>
    <t>①Statistics Sweden "Nights spent. All hotels, holiday villages, hostels, camping sites, commercially arranged private cottages and apartments by region/county Year 2008 - 2020"</t>
    <phoneticPr fontId="5"/>
  </si>
  <si>
    <t>①İstanbul İl Kültür ve Turizm Müdürlüğü "İstanbul Turizm İstatistikleri Raporu, Ocak 2021"</t>
    <phoneticPr fontId="5"/>
  </si>
  <si>
    <t>①Central Agency for Public Mobilization and Statistics, Arab Republic of Egypt "Egypt in figures"</t>
    <phoneticPr fontId="5"/>
  </si>
  <si>
    <t>①Federal Agency for Tourism, Russian Federation "Число въездных туристских поездок иностранных граждан в Российскую Федерацию (Росстат)"</t>
    <phoneticPr fontId="5"/>
  </si>
  <si>
    <t>①Ministry of Tourism, Government of India "India Tourism Statistics 2020"/②Office of the Registrar General &amp; Census Commissioner, Ministry of Home Affairs, Government of India "Census of India 2011 - Population Enumeration Data (Final Population)"/③Airports Council International "2020 Annual Traffic Data - 74 selected airports Movements, Passengers and Cargo with available breakdowns"</t>
    <phoneticPr fontId="5"/>
  </si>
  <si>
    <t>①Ministry of Tourism &amp; Sports, Thailand "Domestic Tourism Statistics (Classify by region and province 2020)"</t>
    <phoneticPr fontId="5"/>
  </si>
  <si>
    <t>①Tourism Malaysia "Hotel Guests by States"</t>
    <phoneticPr fontId="5"/>
  </si>
  <si>
    <t>①Singapore Tourism Analytics Network, Government of Singapore "Monthly Visitor Arrivals"</t>
    <phoneticPr fontId="5"/>
  </si>
  <si>
    <t>①Census and Statistics Department, Hong Kong Special Administrative Region "Hong Kong in Figures, 2021 Edition"</t>
    <phoneticPr fontId="5"/>
  </si>
  <si>
    <t>①Beijing Municipal Bureau of Culture and Tourism "北京入境旅游者情况"</t>
    <phoneticPr fontId="5"/>
  </si>
  <si>
    <t>①Shanghai Municipal Statistics Bureau and Survey Office of the National Bureau of Statistics in Shanghai "Shanghai Statistical Yearbook 2020"/③Airports Council International "2020 Annual Traffic Data - 74 selected airports Movements, Passengers and Cargo with available breakdowns"</t>
    <phoneticPr fontId="5"/>
  </si>
  <si>
    <t>①Tourism Bureau, Ministry of Transportation and Communications, Republic of China (Taiwan) "2020 Visitor Arrivals by Year(1956～)"</t>
    <phoneticPr fontId="5"/>
  </si>
  <si>
    <t>①Mistry of Culture, Sports and Tourism "2019 International Visitor Survey"/③Airports Council International "2020 Annual Traffic Data - 74 selected airports Movements, Passengers and Cargo with available breakdowns"</t>
    <phoneticPr fontId="5"/>
  </si>
  <si>
    <t>①Fukuoka City "福岡市の観光・MICE 2021年版（福岡市観光統計）"</t>
    <phoneticPr fontId="5"/>
  </si>
  <si>
    <t>①Osaka Prefecture "観光統計調査/大阪の延べ宿泊者数・外国人延べ宿泊者数"/③Airports Council International "2020 Annual Traffic Data - 74 selected airports Movements, Passengers and Cargo with available breakdowns"</t>
    <phoneticPr fontId="5"/>
  </si>
  <si>
    <t>①Bureau of Industrial and Labor Affairs, Tokyo Metropolitan Government "令和2年東京都観光客数等実態調査"</t>
    <phoneticPr fontId="5"/>
  </si>
  <si>
    <t>①Destination NSW, New South Wales Government "Travel to Sydney Time Series December 2020"</t>
    <phoneticPr fontId="5"/>
  </si>
  <si>
    <t>①Tourism Vancouver, The Metro Vancouver Convention and Visitors Bureau "Historical Overnight Visitors to Metro Vancouver by Geographic Origin - year-to-date"</t>
    <phoneticPr fontId="5"/>
  </si>
  <si>
    <t>①National Travel &amp; Tourism Office, U.S. Government "2019 Overseas visitation estimates to the Cities"/③Airports Council International "2020 Annual Traffic Data - 74 selected airports Movements, Passengers and Cargo with available breakdowns"</t>
    <phoneticPr fontId="5"/>
  </si>
  <si>
    <t>①Secretaría de Turismo, Ciudad de México "Actividad Turística de la Ciudad de México "</t>
    <phoneticPr fontId="5"/>
  </si>
  <si>
    <t>①Destination Toronto "Toronto’s Visitor Economy - An Economic Catalyst for the City and the Region"/③Airports Council International "2020 Annual Traffic Data - 74 selected airports Movements, Passengers and Cargo with available breakdowns"</t>
    <phoneticPr fontId="5"/>
  </si>
  <si>
    <t>①São Paulo Turismo "Relatório de Impactos da Pandemia de Covid-19 no turismo da cidade de São Paulo – 2020"</t>
    <phoneticPr fontId="5"/>
  </si>
  <si>
    <t>①Department Statistics South Africa, Republic of South Africa "Tourism, 2020"</t>
    <phoneticPr fontId="5"/>
  </si>
  <si>
    <t>①Badan Pusat Statistik, Indonesia Government "Foreign Tourists Visit to DKI Jakarta December 2020 Increasing"</t>
    <phoneticPr fontId="5"/>
  </si>
  <si>
    <t>①United Nations World Tourism Organization "Panorama del turismo internacional, edición 2020"/③Airports Council International "2020 Annual Traffic Data - 74 selected airports Movements, Passengers and Cargo with available breakdowns"</t>
    <phoneticPr fontId="5"/>
  </si>
  <si>
    <t>①Dubai Statistics Center, Government of Dubai "Visitor by Nationality"</t>
    <phoneticPr fontId="5"/>
  </si>
  <si>
    <t>①Central Statistics Office, Ireland "Overseas Trips to and from Ireland by Route of Travel, Year and Statistic"/③Airports Council International "2020 Annual Traffic Data - 74 selected airports Movements, Passengers and Cargo with available breakdowns"</t>
    <phoneticPr fontId="5"/>
  </si>
  <si>
    <t>①World Cities Culture Forum "City Data - Helsinki"/③Airports Council International "2020 Annual Traffic Data - 74 selected airports Movements, Passengers and Cargo with available breakdowns"</t>
    <phoneticPr fontId="5"/>
  </si>
  <si>
    <t>①Ministry of Tourism, Ministry of Tourism "Visitors＆Tourists Arrivals 2019"/③Airports Council International "2020 Annual Traffic Data - 74 selected airports Movements, Passengers and Cargo with available breakdowns"</t>
    <phoneticPr fontId="5"/>
  </si>
  <si>
    <t>①Tourism Research Australia, Australian Government "INTERNATIONAL VISITOR SURVEY RESULTS (IVS) YE March 2020"/③Airports Council International "2020 Annual Traffic Data - 74 selected airports Movements, Passengers and Cargo with available breakdowns"</t>
    <phoneticPr fontId="5"/>
  </si>
  <si>
    <t>①City of Madrid</t>
    <phoneticPr fontId="5"/>
  </si>
  <si>
    <t>①City of Barcelona</t>
    <phoneticPr fontId="5"/>
  </si>
  <si>
    <t>①City of London/③ロンドン・シティ空港
ロンドン・ガドウィック空港
ヒースロー空港
ロンドン・ルートン空港
ロンドン・スタンステッド空港
ロンドン・サウスエンド空港</t>
    <phoneticPr fontId="5"/>
  </si>
  <si>
    <t>①Greater Paris/③シャルル・ド・ゴール空港
オルリー空港
パリ・ボーヴェ・ティレ空港</t>
    <phoneticPr fontId="5"/>
  </si>
  <si>
    <t>①Brussel Capital Region
/③ブリュッセル国際空港
ブリュッセル・サウスシャルルロワ空港</t>
    <phoneticPr fontId="5"/>
  </si>
  <si>
    <t>①City of Amsterdam</t>
    <phoneticPr fontId="5"/>
  </si>
  <si>
    <t>①City of Geneva</t>
    <phoneticPr fontId="5"/>
  </si>
  <si>
    <t>①City of Frankfurt am Main/③フランクフルト・アム・マイン空港
フランクフルト＝ハーン空港</t>
    <phoneticPr fontId="5"/>
  </si>
  <si>
    <t>①City of Berlin/③シェーネフェルト国際空港
テーゲル国際空港</t>
    <phoneticPr fontId="5"/>
  </si>
  <si>
    <t>①Comune di Milano</t>
    <phoneticPr fontId="5"/>
  </si>
  <si>
    <t>①City of Zurich</t>
    <phoneticPr fontId="5"/>
  </si>
  <si>
    <t>①Copenhagen City</t>
    <phoneticPr fontId="5"/>
  </si>
  <si>
    <t>①City of Vienna</t>
    <phoneticPr fontId="5"/>
  </si>
  <si>
    <t>①Stockholm county</t>
    <phoneticPr fontId="5"/>
  </si>
  <si>
    <t>①Istanbul province</t>
    <phoneticPr fontId="5"/>
  </si>
  <si>
    <t>①Egypt</t>
    <phoneticPr fontId="5"/>
  </si>
  <si>
    <t>①Russia</t>
    <phoneticPr fontId="5"/>
  </si>
  <si>
    <t>①State of Maharashtra/②State of Maharashtra/③チャトラパティ・シヴァジー国際空港</t>
    <phoneticPr fontId="5"/>
  </si>
  <si>
    <t>①Bangkok（Province-level city）</t>
    <phoneticPr fontId="5"/>
  </si>
  <si>
    <t>①W.P. Kuala Lumpur</t>
    <phoneticPr fontId="5"/>
  </si>
  <si>
    <t>①Republic of Singapore</t>
    <phoneticPr fontId="5"/>
  </si>
  <si>
    <t>①Hong Kong SAR</t>
    <phoneticPr fontId="5"/>
  </si>
  <si>
    <t>①Beijing City</t>
    <phoneticPr fontId="5"/>
  </si>
  <si>
    <t>①Shanghai City/③上海浦東国際空港
上海虹橋国際空港</t>
    <phoneticPr fontId="5"/>
  </si>
  <si>
    <t>①Taiwan</t>
    <phoneticPr fontId="5"/>
  </si>
  <si>
    <t>①City of Seoul/③金浦国際空港
仁川国際空港</t>
    <phoneticPr fontId="5"/>
  </si>
  <si>
    <t>①Fukuoka City</t>
    <phoneticPr fontId="5"/>
  </si>
  <si>
    <t>①Osaka City/③関西国際空港</t>
    <phoneticPr fontId="5"/>
  </si>
  <si>
    <t>①Tokyo Metropolis</t>
    <phoneticPr fontId="5"/>
  </si>
  <si>
    <t>①Sydney and Surrounds</t>
    <phoneticPr fontId="5"/>
  </si>
  <si>
    <t>①Greater Vancouver</t>
    <phoneticPr fontId="5"/>
  </si>
  <si>
    <t>①San Francisco-San Mateo-Redwood City, CA MD /③サンフランシスコ国際空港</t>
    <phoneticPr fontId="5"/>
  </si>
  <si>
    <t>①Los Angeles-Long Beach-Glendale, CA MD/③ロサンゼルス国際空港</t>
    <phoneticPr fontId="5"/>
  </si>
  <si>
    <t>①Mexico City</t>
    <phoneticPr fontId="5"/>
  </si>
  <si>
    <t>①Chicago-Joliet-Naperville, IL MD/③オヘア国際空港</t>
    <phoneticPr fontId="5"/>
  </si>
  <si>
    <t>①City of Toronto/③トロント・ピアソン国際空港</t>
    <phoneticPr fontId="5"/>
  </si>
  <si>
    <t>①Washington (DC Metro Area), DC-MD-VA/③ワシントン・ダレス国際空港
ボルチモア・ワシントン国際空港</t>
    <phoneticPr fontId="5"/>
  </si>
  <si>
    <t>①New York-White Plains-Wayne, NY-NJ MD/③J.F.ケネディ空港
ラガーディア空港
ニューアーク・リバティー国際空港</t>
    <phoneticPr fontId="5"/>
  </si>
  <si>
    <t>①Boston-Quincy, MA MD/③ローガン国際空港</t>
    <phoneticPr fontId="5"/>
  </si>
  <si>
    <t>①City of Sao Paulo</t>
    <phoneticPr fontId="5"/>
  </si>
  <si>
    <t>①South Africa</t>
    <phoneticPr fontId="5"/>
  </si>
  <si>
    <t>①DKI Jakarta</t>
    <phoneticPr fontId="5"/>
  </si>
  <si>
    <t>①Argentina/③ミニストロ・ピスタリーニ国際空港（エセイサ国際空港）</t>
    <phoneticPr fontId="5"/>
  </si>
  <si>
    <t>①Emirate of Dubai</t>
    <phoneticPr fontId="5"/>
  </si>
  <si>
    <t>①Ireland/③ダブリン空港</t>
    <phoneticPr fontId="5"/>
  </si>
  <si>
    <t>①Helsinki City/③ヘルシンキ・ヴァンター国際空港</t>
    <phoneticPr fontId="5"/>
  </si>
  <si>
    <t>①Israel/③ベン・グリオン国際空港</t>
    <phoneticPr fontId="5"/>
  </si>
  <si>
    <t>①Melbourne Region/③メルボルン空港</t>
    <phoneticPr fontId="5"/>
  </si>
  <si>
    <t>Ayuntamiento de Madrid, Kingdom of Spain "The city in Figures"</t>
    <phoneticPr fontId="5"/>
  </si>
  <si>
    <t>Information, procedures and services, Government of Catalonia "Statistical Yearbook of Catalonia"</t>
    <phoneticPr fontId="5"/>
  </si>
  <si>
    <t>Greater London Authority, Mayor of London, London Assembly "Office for National Statistics"</t>
    <phoneticPr fontId="5"/>
  </si>
  <si>
    <t>Institut national de la statistique et des études économiques  "Unemployment rates lacalized by department - Paris"</t>
    <phoneticPr fontId="5"/>
  </si>
  <si>
    <t>Belgian statistical office, Belgian Federal Government "Statbel - Chômage et indicateurs complémentaires 2020"</t>
    <phoneticPr fontId="5"/>
  </si>
  <si>
    <t>Data en informatie, Gemeente Amsterdam "5.2.9  De Amsterdamse werkloze beroepsbevolking in procenten van de beroepsbevolking (werkloosheidspercentage) naar geslacht, leeftijdsgroepen, migratieachtergrond en opleidingsniveau, 2015-2019"</t>
    <phoneticPr fontId="5"/>
  </si>
  <si>
    <t>Office Cantonal de la Statistique, République et Canton de Genéve "STATISTIQUES CANTONALES"</t>
    <phoneticPr fontId="5"/>
  </si>
  <si>
    <t>Bundesagentur für Arbeit, Federal Republic of Germany "Statistiken nach Regionen - Frankfurt am Main, Stadt"</t>
    <phoneticPr fontId="5"/>
  </si>
  <si>
    <t>Statistisches Bundesamt, Federal Republic of Germany "Arbeitslose, Arbeitslosenquoten, Gemeldete Arbeitsstellen: Bundesländer, Jahre"</t>
    <phoneticPr fontId="5"/>
  </si>
  <si>
    <t>Istituto Nazionale di Statistica (Istat) "Unemployment rate : Provincial data"</t>
    <phoneticPr fontId="5"/>
  </si>
  <si>
    <t>Präsidialdepartements, Stadt Zürich "Arbeitslose Stadt Zürich"</t>
    <phoneticPr fontId="5"/>
  </si>
  <si>
    <t>Statistics Denmark "LABOUR, INCOME AND WEALTH"</t>
    <phoneticPr fontId="5"/>
  </si>
  <si>
    <t>Arbeitsmarktservice Österreich "Statistik - Berichte und Ausbertigen"</t>
    <phoneticPr fontId="5"/>
  </si>
  <si>
    <t>City of Stockholm "Statistisk årsbok for Stockholm 2021"</t>
    <phoneticPr fontId="5"/>
  </si>
  <si>
    <t>Turkish Statistical Institute "Regional Results of Labour Force Statistics (2014 and onwards)"</t>
    <phoneticPr fontId="5"/>
  </si>
  <si>
    <t>Federal State Statistics Service "Russian Statistical Yearbook 2020"</t>
    <phoneticPr fontId="5"/>
  </si>
  <si>
    <t>Directorate of Economics and Statistics, Planning Department, Government of Maharashtra "Economic Survey of Maharashtra 2020-2021"</t>
    <phoneticPr fontId="5"/>
  </si>
  <si>
    <t>National Statistical Office, Kingdom of Thailand "Population by Labor Force Status Sex and Province: 2020"</t>
    <phoneticPr fontId="5"/>
  </si>
  <si>
    <t>Department of Statistics Malaysia "Principal statistics of the labour force, Malaysia/states, 1982 - 2020"</t>
    <phoneticPr fontId="5"/>
  </si>
  <si>
    <t>Ministry of Manpower, Government of Singapore "Summary Table: Unemployment"</t>
    <phoneticPr fontId="5"/>
  </si>
  <si>
    <t>Census and Statistics Department, Hong Kong Special Administrative Region "Hong Kong in Figures, 2021Edition"</t>
    <phoneticPr fontId="5"/>
  </si>
  <si>
    <t>Beijing Municipal Bureau of Statistics and  Survey Office oft the National Bureau of Statistics in Beijing "北京市2020年国民经济和社会发展统计公报"</t>
    <phoneticPr fontId="5"/>
  </si>
  <si>
    <t>Shanghai Municipal Bureau of Statistics "Shanghai Statistical Yearbook 2020"</t>
    <phoneticPr fontId="5"/>
  </si>
  <si>
    <t>Statistics Korea "2020년 12월 및 연간 서울특별시 고용동향"</t>
    <phoneticPr fontId="5"/>
  </si>
  <si>
    <t>Statistics Bureau of Japan "労働力調査（基本集計）都道府県別結果"</t>
    <phoneticPr fontId="5"/>
  </si>
  <si>
    <t>Statistics Division, Bureau of General Affairs, Tokyo Metropolitan Government "東京都、南関東及び全国の完全失業率"</t>
    <phoneticPr fontId="5"/>
  </si>
  <si>
    <t>Parliament of New South Wales "Regional labour force trends and NSW electorates"</t>
    <phoneticPr fontId="5"/>
  </si>
  <si>
    <t>Government of Canada "Information on Employment Insurance (EI) Economic Regions"</t>
    <phoneticPr fontId="5"/>
  </si>
  <si>
    <t>Bureau of Labor Statistics, United States "Local Area Unemployment Statistics (LAUS)"</t>
    <phoneticPr fontId="5"/>
  </si>
  <si>
    <t>Statistics Canada "Labour force characteristics by census metropolitan area, three-month moving average, seasonally adjusted and unadjusted, last 5 months, inactive"</t>
    <phoneticPr fontId="5"/>
  </si>
  <si>
    <t>Fundação Seade "Mercado de Trabalho Paulista em 2019"</t>
    <phoneticPr fontId="5"/>
  </si>
  <si>
    <t>Statistics South Africa, Republic of South Africa "Quarterly Labour Force Survey (QLFS)"</t>
    <phoneticPr fontId="5"/>
  </si>
  <si>
    <t>Badan Pusat Statistik Provinsi DKI Jakarta "Keadaan Angkatan Kerja Provinsi DKI Jakarta Agustus 2020"</t>
    <phoneticPr fontId="5"/>
  </si>
  <si>
    <t>National Institute of Statistics and Censuses "Anuario Estadístico de la República Argentina 2019"</t>
    <phoneticPr fontId="5"/>
  </si>
  <si>
    <t>Dubai Statistics Center, Government of Dubai "Percentage Distribution of Economically Active Persons 15 Years and Over (Employment and Unemployment Rate) "</t>
    <phoneticPr fontId="5"/>
  </si>
  <si>
    <t>Central Statistics Office, Ireland "Labour Force Survey (LFS)"</t>
    <phoneticPr fontId="5"/>
  </si>
  <si>
    <t>Helsinki Region Infoshare  "Statistical Yearbook of Helsinki"</t>
    <phoneticPr fontId="5"/>
  </si>
  <si>
    <t>Bank of Israel "Employment and Wages"</t>
    <phoneticPr fontId="5"/>
  </si>
  <si>
    <t>Australian Bureau of Statistics "Labour Force, Australia, Detailed"</t>
    <phoneticPr fontId="5"/>
  </si>
  <si>
    <t>マドリッド市の2020年1月～12月平均値</t>
    <phoneticPr fontId="5"/>
  </si>
  <si>
    <t>バルセロナ市の年次データ</t>
    <phoneticPr fontId="5"/>
  </si>
  <si>
    <t>ロンドン市の2020年1月～12月平均値</t>
    <phoneticPr fontId="5"/>
  </si>
  <si>
    <t>パリ市の2020年第1～第4四半期平均値</t>
    <phoneticPr fontId="5"/>
  </si>
  <si>
    <t>ブリュッセル首都圏地域の年次データ</t>
    <phoneticPr fontId="5"/>
  </si>
  <si>
    <t>アムステルダム市の年次データ</t>
    <phoneticPr fontId="5"/>
  </si>
  <si>
    <t>ジュネーブ州（Canton de Genève）の2020年1月～12月平均値</t>
    <phoneticPr fontId="5"/>
  </si>
  <si>
    <t>フランクフルト市の2020年1月～12月平均値</t>
    <phoneticPr fontId="5"/>
  </si>
  <si>
    <t>ベルリン市の年次データ</t>
    <phoneticPr fontId="5"/>
  </si>
  <si>
    <t>ミラノ県（Province)の年次データ</t>
    <phoneticPr fontId="5"/>
  </si>
  <si>
    <t>チューリッヒ市の2020年1月～12月平均値</t>
    <phoneticPr fontId="5"/>
  </si>
  <si>
    <t>コペンハーゲン市の2020年1月～12月平均値</t>
    <phoneticPr fontId="5"/>
  </si>
  <si>
    <t>ウィーンの年次データ</t>
    <phoneticPr fontId="5"/>
  </si>
  <si>
    <t>ストックホルム市の年次データ</t>
    <phoneticPr fontId="5"/>
  </si>
  <si>
    <t>イスタンブール市の年次データ</t>
    <phoneticPr fontId="5"/>
  </si>
  <si>
    <t>カイロ市の年次データ</t>
    <phoneticPr fontId="5"/>
  </si>
  <si>
    <t>モスクワ市の年次データ</t>
    <phoneticPr fontId="5"/>
  </si>
  <si>
    <t>マハラシュトラ州都市部の年次データ</t>
    <phoneticPr fontId="5"/>
  </si>
  <si>
    <t>バンコクの年次データ</t>
    <phoneticPr fontId="5"/>
  </si>
  <si>
    <t>クアラルンプール市の年次データ</t>
    <phoneticPr fontId="5"/>
  </si>
  <si>
    <t>シンガポール市/国の年次データ</t>
    <phoneticPr fontId="5"/>
  </si>
  <si>
    <t>香港特別行政区の年次データ</t>
    <phoneticPr fontId="5"/>
  </si>
  <si>
    <t>北京市の2020年第1～第4四半期平均値（城鎮調査失業率）</t>
    <phoneticPr fontId="5"/>
  </si>
  <si>
    <t>上海市の年次データ（城鎮登記失業率）</t>
    <phoneticPr fontId="5"/>
  </si>
  <si>
    <t>台北市の年次データ</t>
    <phoneticPr fontId="5"/>
  </si>
  <si>
    <t>ソウル市の年次データ</t>
    <phoneticPr fontId="5"/>
  </si>
  <si>
    <t>福岡県の年次データ</t>
    <phoneticPr fontId="5"/>
  </si>
  <si>
    <t>大阪府の年次データ</t>
    <phoneticPr fontId="5"/>
  </si>
  <si>
    <t>東京都の年次データ</t>
    <phoneticPr fontId="5"/>
  </si>
  <si>
    <t>Greater Sydneyの2020年1月～12月平均値</t>
    <phoneticPr fontId="5"/>
  </si>
  <si>
    <t>バンクーバー地域の2020年1月12日～2021年1月9日の平均値</t>
    <phoneticPr fontId="5"/>
  </si>
  <si>
    <t>サンフランシスコ市の年次データ</t>
    <phoneticPr fontId="5"/>
  </si>
  <si>
    <t>ロサンゼルス市の年次データ</t>
    <phoneticPr fontId="5"/>
  </si>
  <si>
    <t>メキシコシティの2020年第1四半期のデータ</t>
    <phoneticPr fontId="5"/>
  </si>
  <si>
    <t>シカゴ市の年次データ</t>
    <phoneticPr fontId="5"/>
  </si>
  <si>
    <t>Tronto census metropolitan areaの2020年1月～12月平均値</t>
    <phoneticPr fontId="5"/>
  </si>
  <si>
    <t>ワシントンD・Cの年次データ</t>
    <phoneticPr fontId="5"/>
  </si>
  <si>
    <t>ニューヨーク市の年次データ</t>
    <phoneticPr fontId="5"/>
  </si>
  <si>
    <t>ボストン市の年次データ</t>
    <phoneticPr fontId="5"/>
  </si>
  <si>
    <t>サンパウロ広域都市圏の年次データ</t>
    <phoneticPr fontId="5"/>
  </si>
  <si>
    <t>ヨハネスブルグ市の2020年第1～第4四半期平均値</t>
    <phoneticPr fontId="5"/>
  </si>
  <si>
    <t>ジャカルタ首都特別州（DKI Jakarta）の2020年8月のデータ</t>
    <phoneticPr fontId="5"/>
  </si>
  <si>
    <t>Gran Buenos Airesの2019年第1～第4四半期平均値</t>
    <phoneticPr fontId="5"/>
  </si>
  <si>
    <t>ドバイ市の年次データ</t>
    <phoneticPr fontId="5"/>
  </si>
  <si>
    <t>Dublin Regionの2020年第1～第4四半期平均値</t>
    <phoneticPr fontId="5"/>
  </si>
  <si>
    <t>ヘルシンキ市の年次データ</t>
    <phoneticPr fontId="5"/>
  </si>
  <si>
    <t>イスラエルの国の年次データ</t>
    <phoneticPr fontId="5"/>
  </si>
  <si>
    <t>Greater Melbourneの年次データ</t>
    <phoneticPr fontId="5"/>
  </si>
  <si>
    <t>①2018/②2020</t>
  </si>
  <si>
    <t>①UBS "Prices and earnings 2018"/②International Labour Organization "ILOSTAT explorer - Total weekly hours worked of employed persons - ILO modelled estimates"</t>
    <phoneticPr fontId="5"/>
  </si>
  <si>
    <t>①都市別/②国別</t>
    <phoneticPr fontId="5"/>
  </si>
  <si>
    <t>Statistics of Japan, Japanese government "社会・人口統計体系 - 統計でみる都道府県のすがた2021"</t>
    <phoneticPr fontId="5"/>
  </si>
  <si>
    <t>Canada Mortgage and Housing Corporation "Rental Market Survey Data Tables"</t>
    <phoneticPr fontId="5"/>
  </si>
  <si>
    <t>Zumper "Rental Market Trends"</t>
    <phoneticPr fontId="5"/>
  </si>
  <si>
    <t>Rent.com.au "Rent.com.au rental market snapshot: December 2020"</t>
    <phoneticPr fontId="5"/>
  </si>
  <si>
    <t>都市別</t>
  </si>
  <si>
    <t>大阪府(総務省統計局のデータにおける大阪府の金額と東京都の金額との比率を、UBS東京データの値に乗じた。)</t>
    <phoneticPr fontId="5"/>
  </si>
  <si>
    <t>サンフランシスコ市。(Zumperで当該都市の家賃平均値を算出し、ロサンゼルスとの比を計算し、UBSデータに乗じた。)</t>
    <phoneticPr fontId="5"/>
  </si>
  <si>
    <t>ワシントンD.C. 。(Zumperで当該都市の家賃平均値を算出し、ニューヨークとの比を計算し、UBSデータに乗じた。)</t>
    <phoneticPr fontId="5"/>
  </si>
  <si>
    <t>ボストン市。(Zumperで当該都市の家賃平均値を算出し、ニューヨークとの比を計算し、UBSデータに乗じた。)</t>
    <phoneticPr fontId="5"/>
  </si>
  <si>
    <t>Statistics Singapore, Government of Singapore "Monthly Consumer Price Index, Singapore"</t>
    <phoneticPr fontId="5"/>
  </si>
  <si>
    <t>Bureau of Labor Statistics, U.S. government "Consumer Price Index - Regional Resources"</t>
    <phoneticPr fontId="5"/>
  </si>
  <si>
    <t>Australian Bureau of Statistics "Consumer Price Index, Australia"</t>
    <phoneticPr fontId="5"/>
  </si>
  <si>
    <t>Singapore（2009年次のUBS値からNew Yorkを基準に推計）</t>
    <phoneticPr fontId="5"/>
  </si>
  <si>
    <t>San Francisco（2020年次のCPI値からNew Yorkを基準に推計）</t>
    <phoneticPr fontId="5"/>
  </si>
  <si>
    <t>Washington, DC（2020年次のCPI値からNew Yorkを基準に推計）</t>
    <phoneticPr fontId="5"/>
  </si>
  <si>
    <t>Boston（2020年次のCPI値からNew Yorkを基準に推計）</t>
    <phoneticPr fontId="5"/>
  </si>
  <si>
    <t xml:space="preserve">Sydneyを基準に2020年の地域差を反映してUBS化。 </t>
    <phoneticPr fontId="5"/>
  </si>
  <si>
    <t xml:space="preserve"> National Statistics Institute, Spain "Convicted persons statistics: Adults. Year 2019"</t>
    <phoneticPr fontId="5"/>
  </si>
  <si>
    <t>Stadt Frankfurt am Main "Statistisches Jahrbuch Frankfurt am Main 2020"</t>
    <phoneticPr fontId="5"/>
  </si>
  <si>
    <t>Sistema Statistico Integrato, Comune di Milano "REATI DENUNCIATI ALL'AUTORITÀ GIUDIZIARIA DALLE FORZE DI POLIZIA (2004-2019)"</t>
    <phoneticPr fontId="5"/>
  </si>
  <si>
    <t>Swedish National Council for Crime Prevention "Anmälda brott, totalt och per 100 000 av medelfolkmängden, i kommunerna efter brottstyp, år"</t>
    <phoneticPr fontId="5"/>
  </si>
  <si>
    <t>Al-Ahram "338 بقعة سوداء.. السجل الكامل لجرائم القتل بالقاهرة الكبرى في «عام كورونا»| فيديو"</t>
    <phoneticPr fontId="5"/>
  </si>
  <si>
    <t>Greater Mumbai Police "Crime Statistics - Monthly Report of December 2020"</t>
    <phoneticPr fontId="5"/>
  </si>
  <si>
    <t>National Statistical Office, Kingdom of Thailand "Statistics of Crimes against Person by Type of Crimes and Province: 2017 - 2019"</t>
    <phoneticPr fontId="5"/>
  </si>
  <si>
    <t>Royal Malaysia Police "Violent Crimes Reported To Police By Type of Crime, Malaysia"</t>
    <phoneticPr fontId="5"/>
  </si>
  <si>
    <t>National Bureau of Statistics of China "China Statistical Yearbook 2020"</t>
    <phoneticPr fontId="5"/>
  </si>
  <si>
    <t>Tokyo Metropolitan Police Department "警視庁の統計　平成31年・令和元年（2019年）"</t>
    <phoneticPr fontId="5"/>
  </si>
  <si>
    <t>Bureau of Crime Statistics and Research, State of New South Wales "NSW Recorded Crime Statistics 2016 - 2020"</t>
    <phoneticPr fontId="5"/>
  </si>
  <si>
    <t>Consulate General of Japan in Sao Paulo  "サンパウロにおける安全の手引き 2021年2月"</t>
    <phoneticPr fontId="5"/>
  </si>
  <si>
    <t>Overseas Security Advisory Council "Indonesia 2020 Crime &amp; Safety Report: Jakarta"</t>
    <phoneticPr fontId="5"/>
  </si>
  <si>
    <t>Central Statistics Office, Ireland "Recorded Crime Q1 2021 - Statistics Under Reservation"</t>
    <phoneticPr fontId="5"/>
  </si>
  <si>
    <t>Crime Statistics Agency, State of Victoria "Crime Statistics, "Data Tables -  LGA Criminal Incidents Visualisation - year ending March 2021""</t>
    <phoneticPr fontId="5"/>
  </si>
  <si>
    <t>Jakarta</t>
    <phoneticPr fontId="5"/>
  </si>
  <si>
    <t>Lloyd's "Lloyd’s City Risk Index"</t>
    <phoneticPr fontId="5"/>
  </si>
  <si>
    <t>World Health Organization(WHO) "World Health Statistics 2021"</t>
    <phoneticPr fontId="5"/>
  </si>
  <si>
    <t>The World Bank "Life expectancy at birth, total (years)"</t>
    <phoneticPr fontId="5"/>
  </si>
  <si>
    <t>Ministry of the Interior, Republic of China(Taiwan) "108年簡易生命表提要分析"</t>
    <phoneticPr fontId="5"/>
  </si>
  <si>
    <t>①2020/②2021/③2020/④2021</t>
    <phoneticPr fontId="5"/>
  </si>
  <si>
    <t>①Transparency International "Corruption Perceptions Index 2020"/②Freedom House "Freedom in the World"/③Reporters Without Borders "2021 World Press Freedom Index"/④World Economic Forum "Global Gender Gap Report 2021"</t>
    <phoneticPr fontId="5"/>
  </si>
  <si>
    <t>①2003/②2019</t>
    <phoneticPr fontId="5"/>
  </si>
  <si>
    <t>①Department of Information, Evidence and Research, World Health Organization "Global health estimates: Leading causes of DALYs"/②Department of Information, Evidence and Research, World Health Organization "Suicide rate estimates, age-standardized：Estimates by country"</t>
    <phoneticPr fontId="5"/>
  </si>
  <si>
    <t>①Food and Health Bureau, The Government of the Hong Kong Special Administrative Region "Mental Health Review Report"/②Hong Kong Jockey Club Centre for Suicide Research and Prevention, HKU "1981 - 2019 Hong kong Suicide Statistics"</t>
    <phoneticPr fontId="5"/>
  </si>
  <si>
    <t>①衛生福利部統計處, Ministry of Health and Welfare "精神疾病患者門、住診人數統計"/②Taiwan Suicide Prevention Center, Republic of China (Taiwan) "2019 Annual Report of Taiwan Suicide Prevention"</t>
    <phoneticPr fontId="5"/>
  </si>
  <si>
    <t>①2019/②2010</t>
    <phoneticPr fontId="5"/>
  </si>
  <si>
    <t>①2019/②2013</t>
    <phoneticPr fontId="5"/>
  </si>
  <si>
    <t>①2018/②2014</t>
    <phoneticPr fontId="5"/>
  </si>
  <si>
    <t>①World Health Organization "Global Health Observatory data repository - Medical doctors"/②Organization for Economic Co-operation and Development "OECD Health Statistics 2020"</t>
    <phoneticPr fontId="5"/>
  </si>
  <si>
    <t>①World Health Organization "Global Health Observatory data repository - Medical doctors"</t>
    <phoneticPr fontId="5"/>
  </si>
  <si>
    <t>①Department of Health , The Government of the Hong Kong Special Administrative Reagion "Health Facts of Hong Kong 2020 Edition"</t>
    <phoneticPr fontId="5"/>
  </si>
  <si>
    <t>the Portulans Institute  "Network Readiness Index 2020"</t>
    <phoneticPr fontId="5"/>
  </si>
  <si>
    <t>the Portulans Institute  "Network Readiness Around the World Focus on Taiwan and Uzbekistan"</t>
    <phoneticPr fontId="5"/>
  </si>
  <si>
    <t>①2021/②2020</t>
    <phoneticPr fontId="5"/>
  </si>
  <si>
    <t>①2021/②2018</t>
    <phoneticPr fontId="5"/>
  </si>
  <si>
    <t>①2021/②2015</t>
    <phoneticPr fontId="5"/>
  </si>
  <si>
    <t>①2021/②</t>
    <phoneticPr fontId="5"/>
  </si>
  <si>
    <t>①2021/②2016</t>
    <phoneticPr fontId="5"/>
  </si>
  <si>
    <t>①2021</t>
    <phoneticPr fontId="5"/>
  </si>
  <si>
    <t>/②2020</t>
    <phoneticPr fontId="5"/>
  </si>
  <si>
    <t>/②2021</t>
    <phoneticPr fontId="5"/>
  </si>
  <si>
    <t>①2021/②2019</t>
  </si>
  <si>
    <t>①2021/②2019</t>
    <phoneticPr fontId="5"/>
  </si>
  <si>
    <t>①2021/②2017</t>
    <phoneticPr fontId="5"/>
  </si>
  <si>
    <t>①United Nations Framework Convention on Climate Change (UNFCCC) "The Non-state Actor Zone for Climate Action (NAZCA). "Global Climate Actions-Cities""/②Partnership by CDP and ICLEI - Local Governments for Sustainability "2020 - Cities Emission Reduction Targets"</t>
    <phoneticPr fontId="5"/>
  </si>
  <si>
    <t>①United Nations Framework Convention on Climate Change (UNFCCC) "The Non-state Actor Zone for Climate Action (NAZCA). "Global Climate Actions-Cities""/②C40 Cities Climate Leadership Group, Inc. "Paris Climate Action Plan: Towards a carbon neutral city and 100% renewable energy"</t>
    <phoneticPr fontId="5"/>
  </si>
  <si>
    <t>①United Nations Framework Convention on Climate Change (UNFCCC) "The Non-state Actor Zone for Climate Action (NAZCA). "Global Climate Actions-Cities""/②The Federal Council, Swiss Government "Switzerland's Long-Term Climate Strategy"</t>
    <phoneticPr fontId="5"/>
  </si>
  <si>
    <t>①United Nations Framework Convention on Climate Change (UNFCCC) "The Non-state Actor Zone for Climate Action (NAZCA). "Global Climate Actions-Cities""/②Energy Cities "Frankfurt-am-Main: Germany’s economic capital city aims at a 95% CO2-emission reduction by 2050"</t>
    <phoneticPr fontId="5"/>
  </si>
  <si>
    <t>①United Nations Framework Convention on Climate Change (UNFCCC) "The Non-state Actor Zone for Climate Action (NAZCA). "Global Climate Actions-Cities""/②Carbon Neutral Cities Alliance "Carbon Neutral Cities Alliance Members"</t>
    <phoneticPr fontId="5"/>
  </si>
  <si>
    <t>①United Nations Framework Convention on Climate Change (UNFCCC) "The Non-state Actor Zone for Climate Action (NAZCA). "Global Climate Actions-Cities""/②Energy Planning Department, City of Vienna "Energy Report of the the City of Vienna"</t>
    <phoneticPr fontId="5"/>
  </si>
  <si>
    <t>①United Nations Framework Convention on Climate Change (UNFCCC) "The Non-state Actor Zone for Climate Action (NAZCA). "Global Climate Actions-Cities""/②United Nations Framework Convention on Climate Change "INDIA’S INTENDED NATIONALLY DETERMINED CONTRIBUTION"</t>
    <phoneticPr fontId="5"/>
  </si>
  <si>
    <t>①United Nations Framework Convention on Climate Change (UNFCCC) "The Non-state Actor Zone for Climate Action (NAZCA). "Global Climate Actions-Cities""</t>
    <phoneticPr fontId="5"/>
  </si>
  <si>
    <t>①United Nations Framework Convention on Climate Change (UNFCCC) "The Non-state Actor Zone for Climate Action (NAZCA). "Global Climate Actions-Cities""/②Global Climate Action (NAZCA) "Singapore"</t>
    <phoneticPr fontId="5"/>
  </si>
  <si>
    <t>①United Nations Framework Convention on Climate Change (UNFCCC) "The Non-state Actor Zone for Climate Action (NAZCA). "Global Climate Actions-Cities""/②United Nations Framework Convention on Climate Change "CHINA'S INTENDED NATIONALLY DETERMINED CONTRIBUTIONS"</t>
    <phoneticPr fontId="5"/>
  </si>
  <si>
    <t>/②Partnership by CDP and ICLEI - Local Governments for Sustainability "2020 - Cities Emission Reduction Targets"</t>
    <phoneticPr fontId="5"/>
  </si>
  <si>
    <t>①United Nations Framework Convention on Climate Change (UNFCCC) "The Non-state Actor Zone for Climate Action (NAZCA). "Global Climate Actions-Cities""/②REN21 "Renewables in Cities 2021 Global Status Report"</t>
    <phoneticPr fontId="5"/>
  </si>
  <si>
    <t>①United Nations Framework Convention on Climate Change (UNFCCC) "The Non-state Actor Zone for Climate Action (NAZCA). "Global Climate Actions-Cities""/②Fukuoka City "温室効果ガス排出量について"</t>
    <phoneticPr fontId="5"/>
  </si>
  <si>
    <t>/②Osaka City "大阪市地球温暖化対策実行計画（区域施策編）"</t>
    <phoneticPr fontId="5"/>
  </si>
  <si>
    <t>①United Nations Framework Convention on Climate Change (UNFCCC) "The Non-state Actor Zone for Climate Action (NAZCA). "Global Climate Actions-Cities""/②The Los Angeles Regional Collaborative for Climate Action and Sustainability "Climate action framework"</t>
    <phoneticPr fontId="5"/>
  </si>
  <si>
    <t>①United Nations Framework Convention on Climate Change (UNFCCC) "The Non-state Actor Zone for Climate Action (NAZCA). "Global Climate Actions-Cities""/②City of Boston "CLIMATE ACTION PLAN"</t>
    <phoneticPr fontId="5"/>
  </si>
  <si>
    <t>①United Nations Framework Convention on Climate Change (UNFCCC) "The Non-state Actor Zone for Climate Action (NAZCA). "Global Climate Actions-Cities""/②Environment and Infrastructure Services Department, City of Johannesburg "City of Johannesburg, Climate Action Plan"</t>
    <phoneticPr fontId="5"/>
  </si>
  <si>
    <t>①United Nations Framework Convention on Climate Change (UNFCCC) "The Non-state Actor Zone for Climate Action (NAZCA). "Global Climate Actions-Cities""/②City of Buenos Aires "PAC 2050"</t>
    <phoneticPr fontId="5"/>
  </si>
  <si>
    <t>①United Nations Framework Convention on Climate Change (UNFCCC) "The Non-state Actor Zone for Climate Action (NAZCA). "Global Climate Actions-Cities""/②Dublin City Council "Climate Change Action Plan 2019-2024"</t>
    <phoneticPr fontId="5"/>
  </si>
  <si>
    <t>①United Nations Framework Convention on Climate Change (UNFCCC) "The Non-state Actor Zone for Climate Action (NAZCA). "Global Climate Actions-Cities""/②Global Climate Action, NAZCA "Actions taken by Actors located in Israel"</t>
    <phoneticPr fontId="5"/>
  </si>
  <si>
    <t>①United Nations Framework Convention on Climate Change (UNFCCC) "The Non-state Actor Zone for Climate Action (NAZCA). "Global Climate Actions-Cities""/②City of Melbourne "Emissions Reduction Plan"</t>
    <phoneticPr fontId="5"/>
  </si>
  <si>
    <t>①都市/②City of Paris</t>
    <phoneticPr fontId="5"/>
  </si>
  <si>
    <t>①都市/②Frankfurt am Main</t>
    <phoneticPr fontId="5"/>
  </si>
  <si>
    <t>①都市/②City of Copenhagen</t>
    <phoneticPr fontId="5"/>
  </si>
  <si>
    <t>①都市/②City of Vienna</t>
    <phoneticPr fontId="5"/>
  </si>
  <si>
    <t xml:space="preserve">①都市/②City of Stockholm </t>
    <phoneticPr fontId="5"/>
  </si>
  <si>
    <t>①都市/②Singapore</t>
    <phoneticPr fontId="5"/>
  </si>
  <si>
    <t>①都市/②Fukuoka City</t>
    <phoneticPr fontId="5"/>
  </si>
  <si>
    <t>/②Osaka City</t>
    <phoneticPr fontId="5"/>
  </si>
  <si>
    <t>①都市/②Carifornia state</t>
    <phoneticPr fontId="5"/>
  </si>
  <si>
    <t>①都市/②City of Boston</t>
    <phoneticPr fontId="5"/>
  </si>
  <si>
    <t>①都市/②City of Johannesburg</t>
    <phoneticPr fontId="5"/>
  </si>
  <si>
    <t>①都市/②City of Buenos Aires</t>
    <phoneticPr fontId="5"/>
  </si>
  <si>
    <t>①都市/②Dublin City</t>
    <phoneticPr fontId="5"/>
  </si>
  <si>
    <t>①都市/②Acre region</t>
    <phoneticPr fontId="5"/>
  </si>
  <si>
    <t>①都市/②City of Melbourne</t>
    <phoneticPr fontId="5"/>
  </si>
  <si>
    <t>International Energy Agency "IEA Atlas of Energy - Share of Renewables in Total Energy Supply"</t>
    <phoneticPr fontId="5"/>
  </si>
  <si>
    <t>2019/2016</t>
    <phoneticPr fontId="5"/>
  </si>
  <si>
    <t>2019/2015</t>
    <phoneticPr fontId="5"/>
  </si>
  <si>
    <t>2018/2012</t>
    <phoneticPr fontId="5"/>
  </si>
  <si>
    <t>Organisation for Economic Co-operation and Development "OECD.Stat - Municipal waste, Generation and Treatment"/United Nations Statistisc Division (UNSD) "Percentage of municipal waste collected which is recycled"</t>
    <phoneticPr fontId="5"/>
  </si>
  <si>
    <t>Organisation for Economic Co-operation and Development "OECD.Stat - Municipal waste, Generation and Treatment"</t>
    <phoneticPr fontId="5"/>
  </si>
  <si>
    <t>/United Nations Statistisc Division (UNSD) "Percentage of municipal waste collected which is recycled"</t>
    <phoneticPr fontId="5"/>
  </si>
  <si>
    <t>The Netherlands Enterprise Agency, Ministry of Economic Affairs and Climate Policy "Waste management in Russia"</t>
    <phoneticPr fontId="5"/>
  </si>
  <si>
    <t>Beijing Municipal Commission of Urban Management "我市召开《北京市生活垃圾管理条例》实施一周年新闻发布会"</t>
    <phoneticPr fontId="5"/>
  </si>
  <si>
    <t>University of Pittsburgh Graduate School of Public and International Affairs (GSPIA) "Energy &amp; Environment Blog, "Filling the Gaps in Buenos Aires’ Waste Reduction Strategy""</t>
    <phoneticPr fontId="5"/>
  </si>
  <si>
    <t>International Energy Agency "CO2 Emissions from Fuel Combustion - total"</t>
    <phoneticPr fontId="5"/>
  </si>
  <si>
    <t>Department for Business, Energy &amp; Industrial strategy, Government of the United Kingdom "UK local authority and regional carbon dioxide emissions national statistics: 2005 to 2019"</t>
    <phoneticPr fontId="5"/>
  </si>
  <si>
    <t>Seoul Metropolitan Government "2019 환경백서"</t>
    <phoneticPr fontId="5"/>
  </si>
  <si>
    <t>Bureau of Environment, Tokyo Metropolitan Government "都における最終エネルギー消費及び温室効果ガス排出量総合調査 - 2019年度速報値"</t>
    <phoneticPr fontId="5"/>
  </si>
  <si>
    <t>Mayor's Office of Sustainability, New York City "INVENTORY OF NEW YORK CITY GREENHOUSE GAS EMISSIONS"</t>
    <phoneticPr fontId="5"/>
  </si>
  <si>
    <t>GDP按分</t>
    <phoneticPr fontId="5"/>
  </si>
  <si>
    <t>New York City</t>
    <phoneticPr fontId="5"/>
  </si>
  <si>
    <t>IQAir "World's most polluted cities 2020 (PM2.5)"</t>
    <phoneticPr fontId="5"/>
  </si>
  <si>
    <t>2018-2020</t>
  </si>
  <si>
    <t>Berlin / Tempelhof</t>
    <phoneticPr fontId="5"/>
  </si>
  <si>
    <t>Dubendorf (airbase)</t>
    <phoneticPr fontId="5"/>
  </si>
  <si>
    <t>Kumkoy (Kilyos)</t>
    <phoneticPr fontId="5"/>
  </si>
  <si>
    <t>Sheremetyevo (airport)</t>
    <phoneticPr fontId="5"/>
  </si>
  <si>
    <t>Beijing / Peking</t>
    <phoneticPr fontId="5"/>
  </si>
  <si>
    <t>Baoshan</t>
    <phoneticPr fontId="5"/>
  </si>
  <si>
    <t>Songshan (airport)</t>
    <phoneticPr fontId="5"/>
  </si>
  <si>
    <t>Fukuoka (airport)</t>
    <phoneticPr fontId="5"/>
  </si>
  <si>
    <t>Yao (airport)</t>
    <phoneticPr fontId="5"/>
  </si>
  <si>
    <t>Tokyo (weather station)</t>
    <phoneticPr fontId="5"/>
  </si>
  <si>
    <t>Mexico (airport)</t>
    <phoneticPr fontId="5"/>
  </si>
  <si>
    <t>OR Tambo (airport)</t>
    <phoneticPr fontId="5"/>
  </si>
  <si>
    <t>①NUMBEO "Pollution"/②University of Maryland Department of Geographical Sciences "Global Forest Change 2000–2019"</t>
    <phoneticPr fontId="5"/>
  </si>
  <si>
    <t>居住者アンケート ""/トリップアドバイザー株式会社 "旅行者による世界の都市調査"</t>
    <phoneticPr fontId="5"/>
  </si>
  <si>
    <t>/都市</t>
    <phoneticPr fontId="5"/>
  </si>
  <si>
    <t>対象都市のIATAの定める都市コードに紐づく空港</t>
    <phoneticPr fontId="5"/>
  </si>
  <si>
    <t>①2017-2018/②2020</t>
    <phoneticPr fontId="5"/>
  </si>
  <si>
    <t>①2018/②2020</t>
    <phoneticPr fontId="5"/>
  </si>
  <si>
    <t>/②Airports Council International "2020 Annual Traffic Data - 74 selected airports Movements, Passengers and Cargo with available breakdowns"</t>
    <phoneticPr fontId="5"/>
  </si>
  <si>
    <t>①American Journal of Transportation "Top 100 Containerports A to Z"/②Airports Council International "2020 Annual Traffic Data - 74 selected airports Movements, Passengers and Cargo with available breakdowns"</t>
    <phoneticPr fontId="5"/>
  </si>
  <si>
    <t>①Port of Amsterdam "Port of Amsterdam - 2020 Annual Report"/②Airports Council International "2020 Annual Traffic Data - 74 selected airports Movements, Passengers and Cargo with available breakdowns"</t>
    <phoneticPr fontId="5"/>
  </si>
  <si>
    <t>①Copenhagen Malmö Port "Facts &amp; Figures"/②Airports Council International "2020 Annual Traffic Data - 74 selected airports Movements, Passengers and Cargo with available breakdowns"</t>
    <phoneticPr fontId="5"/>
  </si>
  <si>
    <t>①Ports of Stockholm "Ports of Stockholm Annual Report and Sustainability Report 2019"/②Airports Council International "2020 Annual Traffic Data - 74 selected airports Movements, Passengers and Cargo with available breakdowns"</t>
    <phoneticPr fontId="5"/>
  </si>
  <si>
    <t>①Türkiye Cumhuriyeti Devlet Demiryolları "İstatistiki Tablolar (2020 yılı Haziran Ayı)"/②Airports Council International "2020 Annual Traffic Data - 74 selected airports Movements, Passengers and Cargo with available breakdowns"</t>
    <phoneticPr fontId="5"/>
  </si>
  <si>
    <t>①Mumbai Port Trust "Administration Report 2017-18"/②Airports Council International "2020 Annual Traffic Data - 74 selected airports Movements, Passengers and Cargo with available breakdowns"</t>
    <phoneticPr fontId="5"/>
  </si>
  <si>
    <t>①ChinaRubberFender "Top 120 container throughput of global ports in 2018"/②Airports Council International "2020 Annual Traffic Data - 74 selected airports Movements, Passengers and Cargo with available breakdowns"</t>
    <phoneticPr fontId="5"/>
  </si>
  <si>
    <t>①Ministry of Land, Infrastructure, Transport and Tourism, The Government of Japan "港湾別コンテナ取扱量（TEU)ランキング（2019年速報値）"/②Airports Council International "2020 Annual Traffic Data - 74 selected airports Movements, Passengers and Cargo with available breakdowns"</t>
    <phoneticPr fontId="5"/>
  </si>
  <si>
    <t>①City and County of San Francisco "Tonnage Report for General, Bulk Cargo and Autos 2016-2020"/②Airports Council International "2020 Annual Traffic Data - 74 selected airports Movements, Passengers and Cargo with available breakdowns"</t>
    <phoneticPr fontId="5"/>
  </si>
  <si>
    <t>①American Association of Port Authorities "CY 2019 Western Hemisphere Port Cargo and Passenger Counts"/②Airports Council International "2020 Annual Traffic Data - 74 selected airports Movements, Passengers and Cargo with available breakdowns"</t>
    <phoneticPr fontId="5"/>
  </si>
  <si>
    <t>①Economic Commission for Latin America and the Caribbean "Port activity report of Latin America and the Caribbean 2018"/②Airports Council International "2020 Annual Traffic Data - 74 selected airports Movements, Passengers and Cargo with available breakdowns"</t>
    <phoneticPr fontId="5"/>
  </si>
  <si>
    <t>①Dublin Port Company "Annual Report &amp;Financial Statements 2020"/②Airports Council International "2020 Annual Traffic Data - 74 selected airports Movements, Passengers and Cargo with available breakdowns"</t>
    <phoneticPr fontId="5"/>
  </si>
  <si>
    <t>①Port of Helsinki "PORT OF HELSINKI PORT STATISTICS 2020"/②Airports Council International "2020 Annual Traffic Data - 74 selected airports Movements, Passengers and Cargo with available breakdowns"</t>
    <phoneticPr fontId="5"/>
  </si>
  <si>
    <t>/②バラハス・アドルフォ・スアレス空港</t>
    <phoneticPr fontId="5"/>
  </si>
  <si>
    <t>①Barcelona/②バルセロナ・エル・プラット国際空港</t>
    <phoneticPr fontId="5"/>
  </si>
  <si>
    <t>①London/②ロンドン・シティ空港
ロンドン・ガドウィック空港
ヒースロー空港
ロンドン・ルートン空港
ロンドン・スタンステッド空港
ロンドン・サウスエンド空港</t>
    <phoneticPr fontId="5"/>
  </si>
  <si>
    <t>/②シャルル・ド・ゴール空港
オルリー空港
パリ・ボーヴェ・ティレ空港</t>
    <phoneticPr fontId="5"/>
  </si>
  <si>
    <t>/②ブリュッセル国際空港
ブリュッセル・サウスシャルルロワ空港</t>
    <phoneticPr fontId="5"/>
  </si>
  <si>
    <t>①Port of Amsterdam/②スキポール空港</t>
    <phoneticPr fontId="5"/>
  </si>
  <si>
    <t>/②ジュネーヴ・コアントラン国際空港</t>
    <phoneticPr fontId="5"/>
  </si>
  <si>
    <t>/②フランクフルト・アム・マイン空港
フランクフルト＝ハーン空港</t>
    <phoneticPr fontId="5"/>
  </si>
  <si>
    <t>/②シェーネフェルト国際空港
テーゲル国際空港</t>
    <phoneticPr fontId="5"/>
  </si>
  <si>
    <t>/②ミラノ・マルペンサ国際空港
ミラノ・リナーテ国際空港
オーリオ・アル・セリオ国際空港</t>
    <phoneticPr fontId="5"/>
  </si>
  <si>
    <t>/②チューリッヒ国際空港</t>
    <phoneticPr fontId="5"/>
  </si>
  <si>
    <t>①Copenhagen Malmö Port/②カストルップ国際空港</t>
    <phoneticPr fontId="5"/>
  </si>
  <si>
    <t>/②ウィーン国際空港</t>
    <phoneticPr fontId="5"/>
  </si>
  <si>
    <t>①Port of Stockholm/②ストックホルム・アーランダ空港
ストックホルム・スカブスタ空港</t>
    <phoneticPr fontId="5"/>
  </si>
  <si>
    <t>①Port of Haydarpaşa/②アタテュルク国際空港（2019年4月6日に旅客便の運航を終えイスタンブール新空港へ移転）
サビハギョクチェン空港
イスタンブール新空港</t>
    <phoneticPr fontId="5"/>
  </si>
  <si>
    <t>/②カイロ国際空港</t>
    <phoneticPr fontId="5"/>
  </si>
  <si>
    <t>/②シェレメーチエヴォ国際空港
ドモジェドヴォ空港
ヴヌーコヴォ国際空港</t>
    <phoneticPr fontId="5"/>
  </si>
  <si>
    <t>①Mumbai Port Trust/②チャトラパティ・シヴァジー国際空港</t>
    <phoneticPr fontId="5"/>
  </si>
  <si>
    <t>①Bangkok/②スワンナプーム国際空港
ドンムアン空港</t>
    <phoneticPr fontId="5"/>
  </si>
  <si>
    <t>①Port Klang/②クアラルンプール国際空港</t>
    <phoneticPr fontId="5"/>
  </si>
  <si>
    <t>①Singapore/②チャンギ国際空港</t>
    <phoneticPr fontId="5"/>
  </si>
  <si>
    <t>①Hong Kong/②香港国際空港</t>
    <phoneticPr fontId="5"/>
  </si>
  <si>
    <t>/②北京首都国際空港</t>
    <phoneticPr fontId="5"/>
  </si>
  <si>
    <t>①Shanghai/②上海浦東国際空港
上海虹橋国際空港</t>
    <phoneticPr fontId="5"/>
  </si>
  <si>
    <t>①Taipei/②台湾桃園国際空港
台北松山空港</t>
    <phoneticPr fontId="5"/>
  </si>
  <si>
    <t>①Incheon/②金浦国際空港
仁川国際空港</t>
    <phoneticPr fontId="5"/>
  </si>
  <si>
    <t>①Port of Hakata/②福岡国際空港</t>
    <phoneticPr fontId="5"/>
  </si>
  <si>
    <t>①Port of Osaka/②関西国際空港</t>
    <phoneticPr fontId="5"/>
  </si>
  <si>
    <t>①Port of Tokyo/②成田国際空港
東京国際空港</t>
    <phoneticPr fontId="5"/>
  </si>
  <si>
    <t>①Sydney (Botany)/②キングスフォード・スミス国際空港</t>
    <phoneticPr fontId="5"/>
  </si>
  <si>
    <t>①Vancouver/②バンクーバー国際空港</t>
    <phoneticPr fontId="5"/>
  </si>
  <si>
    <t>①Port of San Francisco/②サンフランシスコ国際空港</t>
    <phoneticPr fontId="5"/>
  </si>
  <si>
    <t>①Los Angeles/②ロサンゼルス国際空港</t>
    <phoneticPr fontId="5"/>
  </si>
  <si>
    <t>/②メキシコシティ国際空港</t>
    <phoneticPr fontId="5"/>
  </si>
  <si>
    <t>/②オヘア国際空港</t>
    <phoneticPr fontId="5"/>
  </si>
  <si>
    <t>/②トロント・ピアソン国際空港</t>
    <phoneticPr fontId="5"/>
  </si>
  <si>
    <t>①Maryland Port Adminstration (Baltimore)/②ワシントン・ダレス国際空港
ボルチモア・ワシントン国際空港</t>
    <phoneticPr fontId="5"/>
  </si>
  <si>
    <t>①PANYNJ/②J.F.ケネディ空港
ラガーディア空港
ニューアーク・リバティー国際空港</t>
    <phoneticPr fontId="5"/>
  </si>
  <si>
    <t>①Massachusetts Port Authority (Boston)/②ローガン国際空港</t>
    <phoneticPr fontId="5"/>
  </si>
  <si>
    <t>①Santos/②グアルーリョス国際空港</t>
    <phoneticPr fontId="5"/>
  </si>
  <si>
    <t>/②O・R・タンボ国際空港（ヨハネスブルグ国際空港）</t>
    <phoneticPr fontId="5"/>
  </si>
  <si>
    <t>①Tanjung Priok/②スカルノ・ハッタ国際空港</t>
    <phoneticPr fontId="5"/>
  </si>
  <si>
    <t>①Buenos Aires (Puerto Nuevo y Dock Sud)/②ミニストロ・ピスタリーニ国際空港（エセイサ国際空港）</t>
    <phoneticPr fontId="5"/>
  </si>
  <si>
    <t>①Dubai(Port of Jebel Ali)/②ドバイ国際空港
アール・マクトゥーム国際空港</t>
    <phoneticPr fontId="5"/>
  </si>
  <si>
    <t>①Dublin Port/②ダブリン空港</t>
    <phoneticPr fontId="5"/>
  </si>
  <si>
    <t>①Port of Helsinki/②ヘルシンキ・ヴァンター国際空港</t>
    <phoneticPr fontId="5"/>
  </si>
  <si>
    <t>①Ashdod/②ベン・グリオン国際空港</t>
    <phoneticPr fontId="5"/>
  </si>
  <si>
    <t>①Melbourne/②メルボルン空港</t>
    <phoneticPr fontId="5"/>
  </si>
  <si>
    <t>Airports Council International "2020 Annual Traffic Data - 74 selected airports Movements, Passengers and Cargo with available breakdowns"</t>
    <phoneticPr fontId="5"/>
  </si>
  <si>
    <t>Numbeo "Traffic"</t>
    <phoneticPr fontId="5"/>
  </si>
  <si>
    <t>Ministry of Land, Infrastructure, Transport and Tourism, Government of Japan "平成27年全国都市交通特性調査"</t>
    <phoneticPr fontId="5"/>
  </si>
  <si>
    <t>MLITデータをNumbeo化</t>
    <phoneticPr fontId="5"/>
  </si>
  <si>
    <t>①Numbeo "Traffic"/②居住者アンケート ""</t>
    <phoneticPr fontId="5"/>
  </si>
  <si>
    <t>TomTom "Traffic Index"</t>
    <phoneticPr fontId="5"/>
  </si>
  <si>
    <t>kfzteile24 "Best and Worst Cities to Drive 2017"</t>
    <phoneticPr fontId="5"/>
  </si>
  <si>
    <t>2021/2019</t>
    <phoneticPr fontId="5"/>
  </si>
  <si>
    <t>2021/2019/2021</t>
    <phoneticPr fontId="5"/>
  </si>
  <si>
    <t>UBS "Prices and earnings 2018"/Coya "Bicycle Cities Index 2019"</t>
    <phoneticPr fontId="5"/>
  </si>
  <si>
    <t>UBS "Prices and earnings 2018"/Numbeo, － "Traffic Index 2019"</t>
    <phoneticPr fontId="5"/>
  </si>
  <si>
    <t>Taxi Singapore "Basic fare"/Coya "Bicycle Cities Index 2019"</t>
    <phoneticPr fontId="5"/>
  </si>
  <si>
    <t>福岡市タクシー協会 "タクシー料金を調べる"/Coya "Bicycle Cities Index 2019"/一般社団法人 東京ハイヤー・タクシー協会 "タクシー運賃料金表"</t>
    <phoneticPr fontId="5"/>
  </si>
  <si>
    <t>関西ハイタク事業協同組合 "関協タクシーの料金"/Coya "Bicycle Cities Index 2019"/一般社団法人 東京ハイヤー・タクシー協会 "タクシー運賃料金表"</t>
    <phoneticPr fontId="5"/>
  </si>
  <si>
    <t>Yellow Cab Company Ltd. "Taxi Fares Publish"/Coya "Bicycle Cities Index 2019"/Toronto Taxicab Co-operative Limited "What are the current rates set by the city of Toronto?"</t>
    <phoneticPr fontId="5"/>
  </si>
  <si>
    <t>NUMBEO "Taxi Fares in United States"/Coya "Bicycle Cities Index 2019"</t>
    <phoneticPr fontId="5"/>
  </si>
  <si>
    <t>Washington, DC "Taxicab Fares"/Numbeo, － "Traffic Index 2019"</t>
    <phoneticPr fontId="5"/>
  </si>
  <si>
    <t>The Boston Police Department "Taxi Rates"/Coya "Bicycle Cities Index 2019"</t>
    <phoneticPr fontId="5"/>
  </si>
  <si>
    <t>NUMBEO "Taxi Fare Calculator in Melbourne"/Coya "Bicycle Cities Index 2019"</t>
    <phoneticPr fontId="5"/>
  </si>
  <si>
    <t>福岡市/Fukuoka/Tokyo</t>
    <phoneticPr fontId="5"/>
  </si>
  <si>
    <t>大阪市/Osaka/Tokyo</t>
    <phoneticPr fontId="5"/>
  </si>
  <si>
    <t>Vancouver/Vancouver/Toronto</t>
    <phoneticPr fontId="5"/>
  </si>
  <si>
    <t>マドリード</t>
    <phoneticPr fontId="5"/>
  </si>
  <si>
    <t>政治・経済・商機のリスクの低さ</t>
    <phoneticPr fontId="9"/>
  </si>
  <si>
    <t>1人あたりのCO2排出量の少なさ</t>
    <rPh sb="9" eb="11">
      <t>ハイシュツ</t>
    </rPh>
    <rPh sb="11" eb="12">
      <t>リョウ</t>
    </rPh>
    <rPh sb="13" eb="14">
      <t>スク</t>
    </rPh>
    <phoneticPr fontId="7"/>
  </si>
  <si>
    <t>航空機の発着回数</t>
    <rPh sb="0" eb="3">
      <t>コウクウキ</t>
    </rPh>
    <rPh sb="4" eb="6">
      <t>ハッチャク</t>
    </rPh>
    <rPh sb="6" eb="8">
      <t>カイスウ</t>
    </rPh>
    <phoneticPr fontId="3"/>
  </si>
  <si>
    <t>Number of Arrivals and Departures at Airports</t>
    <phoneticPr fontId="9"/>
  </si>
  <si>
    <t>GPCI
2021</t>
  </si>
  <si>
    <t>GPCI
2022</t>
    <phoneticPr fontId="5"/>
  </si>
  <si>
    <t>GPCI-
2008</t>
  </si>
  <si>
    <t>GPCI-
2009</t>
  </si>
  <si>
    <t>GPCI-
2010</t>
  </si>
  <si>
    <t>GPCI-
2011</t>
  </si>
  <si>
    <t>GPCI-
2012</t>
  </si>
  <si>
    <t>GPCI-
2013</t>
  </si>
  <si>
    <t>GPCI-
2014</t>
  </si>
  <si>
    <t>GPCI-
2015</t>
  </si>
  <si>
    <t>GPCI-
2016</t>
  </si>
  <si>
    <t>GPCI-
2017</t>
  </si>
  <si>
    <t>GPCI-
2018</t>
  </si>
  <si>
    <t>GPCI-
2019</t>
  </si>
  <si>
    <t>GPCI-
2020</t>
  </si>
  <si>
    <t>GPCI-
2021</t>
  </si>
  <si>
    <t>GPCI-
2022</t>
  </si>
  <si>
    <t>Rank</t>
  </si>
  <si>
    <t>City</t>
  </si>
  <si>
    <t>Score</t>
  </si>
  <si>
    <t>Score</t>
    <phoneticPr fontId="8"/>
  </si>
  <si>
    <t>Highly-Skilled Worker</t>
  </si>
  <si>
    <t>▶昨年結果貼り付け用</t>
    <rPh sb="1" eb="3">
      <t>サクネン</t>
    </rPh>
    <rPh sb="3" eb="5">
      <t>ケッカ</t>
    </rPh>
    <rPh sb="5" eb="6">
      <t>ハ</t>
    </rPh>
    <rPh sb="7" eb="8">
      <t>ツ</t>
    </rPh>
    <rPh sb="9" eb="10">
      <t>ヨウ</t>
    </rPh>
    <phoneticPr fontId="5"/>
  </si>
  <si>
    <t>Rank変動</t>
    <rPh sb="4" eb="6">
      <t>ヘンドウ</t>
    </rPh>
    <phoneticPr fontId="8"/>
  </si>
  <si>
    <t>マイナス</t>
    <phoneticPr fontId="5"/>
  </si>
  <si>
    <t>db5334</t>
  </si>
  <si>
    <t>fabf1c</t>
  </si>
  <si>
    <t>237fc4</t>
  </si>
  <si>
    <t>f3981f</t>
  </si>
  <si>
    <t>bb641d</t>
  </si>
  <si>
    <t>殺人件数の少なさ</t>
    <phoneticPr fontId="9"/>
  </si>
  <si>
    <t>minutes</t>
  </si>
  <si>
    <t>Ease of working flexibly at the workplace in the target city according to the Resident Questionnaire.</t>
  </si>
  <si>
    <t>More precisely, it is an average of the cleanliness evalutated by those live in the city and those have visited the city,  but I described simply.</t>
    <phoneticPr fontId="5"/>
  </si>
  <si>
    <t>MEMO</t>
    <phoneticPr fontId="5"/>
  </si>
  <si>
    <t>More precisely, the value was estimated using UBS’s city data and International Labour Organization's country data, but I expressed it simply.</t>
    <phoneticPr fontId="5"/>
  </si>
  <si>
    <t>Airport selection criteria were removed.</t>
    <phoneticPr fontId="5"/>
  </si>
  <si>
    <t>Airport selection criteria were removed.
(2019年の国際線旅客数100万人以上)
(with over one million international passengers in 2019)</t>
    <phoneticPr fontId="5"/>
  </si>
  <si>
    <t>Since there are multiple sources of taxi fares,  I described it simply.</t>
    <phoneticPr fontId="5"/>
  </si>
  <si>
    <t>Statistiques cantonales - Portrait statistique des communes genevoises</t>
  </si>
  <si>
    <t>https://statistique.ge.ch/communes/commune.asp?commune=21</t>
  </si>
  <si>
    <t>Bevölkerungsentwicklung in Berlin</t>
  </si>
  <si>
    <t>https://www.statistik-berlin-brandenburg.de/a-i-3-j</t>
  </si>
  <si>
    <t>https://www.dst.dk/en/Statistik/emner/borgere/befolkning/befolkningstal</t>
  </si>
  <si>
    <t>https://data.tuik.gov.tr/Kategori/GetKategori?p=Population-and-Demography-109</t>
  </si>
  <si>
    <t>​​​Household Basic Information Survey 2020</t>
  </si>
  <si>
    <t>http://www.nso.go.th/sites/2014en/Pages/Household-Basic-Information-Survey-2018.aspx</t>
  </si>
  <si>
    <t>POPULATION QUICK INFO</t>
  </si>
  <si>
    <t>https://www.censtatd.gov.hk/en/EIndexbySubject.html?pcode=B1010006&amp;scode=100</t>
  </si>
  <si>
    <t>https://dbaseng.gov.taipei/Content_List.aspx?n=A47C0C44021E1F8B</t>
  </si>
  <si>
    <t>https://www.city.fukuoka.lg.jp/soki/tokeichosa/shisei/toukei/jinkou/jinnkousokuhou.html</t>
  </si>
  <si>
    <t>https://www.city.osaka.lg.jp/toshikeikaku/page/0000541634.html</t>
  </si>
  <si>
    <t>https://www.census.gov/quickfacts/fact/table/bostoncitymassachusetts,newyorkcitynewyork,washingtoncitydistrictofcolumbia,chicagocityillinois,losangelescitycalifornia,sanfranciscocitycalifornia/PST045221</t>
  </si>
  <si>
    <t>Encuesta Nacional de Ocupación y Empleo</t>
  </si>
  <si>
    <t>https://jakarta.bps.go.id/subject/12/kependudukan.html#subjekViewTab5</t>
  </si>
  <si>
    <t>Distribution of Estimated Population &amp; Population Density (person/km2) by Sector and Community</t>
  </si>
  <si>
    <t>https://www.dsc.gov.ae/en-us/Themes/Pages/Population-and-Vital-Statistics.aspx?Theme=42&amp;year=2020#DSC_Tab1</t>
  </si>
  <si>
    <t>Population - Statistical Abstract of Israel 2021 - No.72</t>
  </si>
  <si>
    <t>https://www.cbs.gov.il/en/publications/Pages/2021/Population-Statistical-Abstract-of-Israel-2021-No.72.aspx</t>
  </si>
  <si>
    <t>Census Profile, 2021 Census of Population</t>
  </si>
  <si>
    <t>Exchange Rates UK</t>
  </si>
  <si>
    <t>US Dollar (USD) to Malaysian Ringgit (MYR) exchange rate history</t>
  </si>
  <si>
    <t>https://www.exchangerates.org.uk/USD-MYR-exchange-rate-history.html</t>
  </si>
  <si>
    <t>US Dollar (USD) to Indonesian Rupiah (IDR) exchange rate history</t>
  </si>
  <si>
    <t>https://www.exchangerates.org.uk/USD-IDR-exchange-rate-history.html</t>
  </si>
  <si>
    <t>Statistical Yearbook of the City of Barcelona 2021</t>
  </si>
  <si>
    <t>https://opendata.cbs.nl/statline/#/CBS/en/dataset/84432ENG/table?ts=1651019561219</t>
  </si>
  <si>
    <t>Statistiques Cantonales - Economie nationale</t>
  </si>
  <si>
    <t>https://statistique.ge.ch/domaines/apercu.asp?dom=04_02</t>
  </si>
  <si>
    <t>Bruttoinlandsprodukt und Bruttowertschöpfung im Land Berlin und im Land Brandenburg nach Wirtschaftsbereichen</t>
  </si>
  <si>
    <t>https://www.statistik-berlin-brandenburg.de/p-i-1-j</t>
  </si>
  <si>
    <t>1-2.1.1 Production, GDP and generation of income by region, transaction, price unit and time</t>
  </si>
  <si>
    <t>Gross Regional Domestic Product (GRDP), number of employed and wages and salaries (ESA2010) by region (NUTS1-3). Year 2000 - 2020</t>
  </si>
  <si>
    <t>https://www.statistikdatabasen.scb.se/pxweb/en/ssd/START__NR__NR0105__NR0105A/NR0105ENS2010T01A/table/tableViewLayout1/</t>
  </si>
  <si>
    <t>https://data.tuik.gov.tr/Kategori/GetKategori?p=National-Accounts-113</t>
  </si>
  <si>
    <t>Gross Regional and Provincial Product at Current Market Prices Year: 2011 - 2020</t>
  </si>
  <si>
    <t>http://statbbi.nso.go.th/staticreport/Page/sector/en/10.aspx</t>
  </si>
  <si>
    <t>Economic Survey of Singapore 2021</t>
  </si>
  <si>
    <t>http://tjj.beijing.gov.cn/tjsj_31433/yjdsj_31440/gdp_31750/2021/202201/t20220119_2595276.html</t>
  </si>
  <si>
    <t xml:space="preserve">2021年上海市生产总值 </t>
  </si>
  <si>
    <t>http://tjj.sh.gov.cn/ydsj2/20220121/c36f904afc2d4fe6b805ff5888085a03.html</t>
  </si>
  <si>
    <t>https://kosis.kr/eng/statisticsList/statisticsListIndex.do?parentId=Q.1&amp;menuId=M_01_01&amp;vwcd=MT_ETITLE&amp;parmTabId=M_01_01#content-group</t>
  </si>
  <si>
    <t>都民経済計算年報  令和元年度</t>
  </si>
  <si>
    <t>https://www.toukei.metro.tokyo.lg.jp/keizaik/nenpou/kkne-index.htm</t>
  </si>
  <si>
    <t>Australia's Economic Wellbeing</t>
  </si>
  <si>
    <t>https://www.sgsep.com.au/projects/australias-economic-wellbeing</t>
  </si>
  <si>
    <t>https://www.inegi.org.mx/app/areasgeograficas/?ag=09#collapse-Resumen</t>
  </si>
  <si>
    <t>Statistiques Cantonales - Etat et évolution de la population</t>
  </si>
  <si>
    <t>https://statistique.ge.ch/domaines/apercu.asp?dom=01_01</t>
  </si>
  <si>
    <t>https://www.scb.se/en/finding-statistics/statistics-by-subject-area/population/population-composition/population-statistics/pong/tables-and-graphs/quarterly-population-statistics--municipalities-counties-and-the-whole-country/quarter-4-2020/</t>
  </si>
  <si>
    <t>東京都就業者数の予測</t>
  </si>
  <si>
    <t>https://www.toukei.metro.tokyo.lg.jp/gyosoku/gy-data.htm</t>
  </si>
  <si>
    <t>Population on 1 January by age group, sex and NUTS 3 region</t>
  </si>
  <si>
    <t>World Bank,Organisation for Economic Co-operation and Development</t>
  </si>
  <si>
    <t>World Bank national accounts data, and OECD National Accounts data files.</t>
  </si>
  <si>
    <t>https://databank.worldbank.org/source/world-development-indicators/preview/on#</t>
  </si>
  <si>
    <t>World Federation of Exchanges</t>
  </si>
  <si>
    <t>Statistisches Jahrbuch Frankfurt am Main 2021</t>
  </si>
  <si>
    <t>Erwerbstätige am Wohnort in Berlin und Brandenburg – Jahresergebnisse und Vierteljahresergebnisse</t>
  </si>
  <si>
    <t>https://www.statistik-berlin-brandenburg.de/a-vi-18-hj</t>
  </si>
  <si>
    <t>https://www.dst.dk/en/Statistik/emner/arbejde-og-indkomst/beskaeftigede/beskaeftigede-ras-register</t>
  </si>
  <si>
    <t>Egypt in Figures 2022</t>
  </si>
  <si>
    <t>Census of India 2011 - Basic Population Figures of India, States and Districts, 2011.</t>
  </si>
  <si>
    <t>https://censusindia.gov.in/census.website/data/population-finder</t>
  </si>
  <si>
    <t>https://www.censtatd.gov.hk/en/web_table.html?id=15</t>
  </si>
  <si>
    <t>https://kosis.kr/statHtml/statHtml.do?orgId=101&amp;tblId=DT_1DA7030S&amp;vw_cd=MT_ETITLE&amp;list_id=B17&amp;scrId=&amp;language=en&amp;seqNo=&amp;lang_mode=en&amp;obj_var_id=&amp;itm_id=&amp;conn_path=MT_ETITLE&amp;path=%252Feng%252FstatisticsList%252FstatisticsListIndex.do</t>
  </si>
  <si>
    <t>令和３年経済センサス‐活動調査　速報集計</t>
  </si>
  <si>
    <t>https://www.e-stat.go.jp/stat-search/files?page=1&amp;toukei=00200553</t>
  </si>
  <si>
    <t>About Toronto Economic Bulletin</t>
  </si>
  <si>
    <t>https://open.toronto.ca/dataset/toronto-economic-bulletin/</t>
  </si>
  <si>
    <t>https://www.ibge.gov.br/en/statistics/social/labor/18704-summary-of-social-indicators.html?edicao=29455&amp;t=downloads</t>
  </si>
  <si>
    <t>https://jakarta.bps.go.id/indicator/6/123/1/population-aged-15-years-and-over-of-dki-jakarta-province-by-type-of-activity-during-the-previous-week-and-sex.html</t>
  </si>
  <si>
    <t>https://bisa.brussels/mini-bru-en</t>
  </si>
  <si>
    <t>Italian National Institute of Statistics</t>
  </si>
  <si>
    <t>Enterprises and persons employed : Legal form, economic activity (Nace 3 digit) - prov.</t>
  </si>
  <si>
    <t>Statistik om Stockholm - Förvärvsarbetande i Stockholm 2020</t>
  </si>
  <si>
    <t>Statistical yearbook</t>
  </si>
  <si>
    <t>Number of employed person by formal/informal employment industry, sex and region: 2021</t>
  </si>
  <si>
    <t>Employed persons by industry, Malaysia/states, 1982 - 2021</t>
  </si>
  <si>
    <t>https://kosis.kr/statHtml/statHtml.do?orgId=101&amp;tblId=DT_1ES3B05S&amp;vw_cd=MT_ETITLE&amp;list_id=B19_EQ13_2&amp;scrId=&amp;language=en&amp;seqNo=&amp;lang_mode=en&amp;obj_var_id=&amp;itm_id=&amp;conn_path=MT_ETITLE&amp;path=%252Feng%252FstatisticsList%252FstatisticsListIndex.do</t>
  </si>
  <si>
    <t>https://www.e-stat.go.jp/stat-search/files?page=1&amp;layout=datalist&amp;toukei=00200553&amp;tstat=000001145590&amp;cycle=0&amp;tclass1=000001145646&amp;tclass2=000001145647&amp;stat_infid=000032203466&amp;tclass3val=0</t>
  </si>
  <si>
    <t>https://www.statssa.gov.za/?page_id=1854&amp;PPN=P0211</t>
  </si>
  <si>
    <t>https://data.cso.ie/#</t>
  </si>
  <si>
    <t>Basic Population Figures of India and States, 2011</t>
  </si>
  <si>
    <t>https://www.numbeo.com/cost-of-living</t>
  </si>
  <si>
    <t>https://www.abs.gov.au/census/find-census-data/quickstats/2021/2GMEL</t>
  </si>
  <si>
    <t>https://www.insead.edu/faculty-research/research/gtci</t>
  </si>
  <si>
    <t>https://www.ef.com/wwen/epi/downloads/</t>
  </si>
  <si>
    <t>https://www.jetro.go.jp/world/europe/de/invest_04/</t>
  </si>
  <si>
    <t>https://www.dihk.de/de/themen-und-positionen/wirtschaftspolitik/steuer-und-finanzpolitik/hebesaetze-56878</t>
  </si>
  <si>
    <t>OECD TAX DATABASE EXPLANATORY ANNEX</t>
  </si>
  <si>
    <t>https://www.oecd.org/ctp/tax-policy/tax-database/</t>
  </si>
  <si>
    <t>https://www.ontario.ca/document/corporations-tax/corporate-income-tax</t>
  </si>
  <si>
    <t>https://www.worldbank.org/en/programs/business-enabling-environment/doing-business-legacy</t>
  </si>
  <si>
    <t>https://stats.oecd.org/Index.aspx?DataSetCode=PERS_FUNC#</t>
  </si>
  <si>
    <t>https://www3.wipo.int/ipstats/index.htm?tab=patent</t>
  </si>
  <si>
    <t>https://intracen.org/resources/trade-statistics</t>
  </si>
  <si>
    <t>Artsy.net</t>
  </si>
  <si>
    <t>Artwork Location</t>
  </si>
  <si>
    <t>https://www.artsy.net/</t>
  </si>
  <si>
    <t>Museums of the World</t>
  </si>
  <si>
    <t>https://www.laliste.com/en/laliste/world</t>
  </si>
  <si>
    <t>https://censusindia.gov.in/census.website/data/census-tables</t>
  </si>
  <si>
    <t>Hong Kong 2021 Population Census - Summary Results</t>
  </si>
  <si>
    <t>https://www.censtatd.gov.hk/en/EIndexbySubject.html?pcode=B1120106&amp;scode=600</t>
  </si>
  <si>
    <t>中国政府网 中央人民政府门户网站</t>
  </si>
  <si>
    <t>第七次全国人口普查公报</t>
  </si>
  <si>
    <t>Tourism in Paris - Key Figures</t>
  </si>
  <si>
    <t>Daten &amp; Karten - Handel, Gastronomie, Tourismus</t>
  </si>
  <si>
    <t>https://statis.statistik-berlin-brandenburg.de/webapi/jsf/tableView/tableView.xhtml</t>
  </si>
  <si>
    <t>Overnight stay for all types of accommodation by type of accommodation, region, nationality and period</t>
  </si>
  <si>
    <t>Nights spent. All hotels, holiday villages, hostels, camping sites, commercially arranged private cottages and apartments by region/county Year 2008 - 2021</t>
  </si>
  <si>
    <t>Istanbul Directrate of Culture and Tourism</t>
  </si>
  <si>
    <t>Republic of Turkiye Ministry of Culture and Tourism</t>
  </si>
  <si>
    <t>http://mytourismdata.tourism.gov.my/?page_id=362#!from=2020&amp;to=2021&amp;destination=34MY</t>
  </si>
  <si>
    <t>Visitor Arrivals - Ad-hoc Report</t>
  </si>
  <si>
    <t>北京市接待入境旅游者情况</t>
  </si>
  <si>
    <t>Korea Tourism Organization</t>
  </si>
  <si>
    <t>한국관광공사</t>
  </si>
  <si>
    <t>https://www.destinationvancouver.com/about/research/</t>
  </si>
  <si>
    <t>International Trade Administration</t>
  </si>
  <si>
    <t>Historical “Summary &amp; Analysis” I-94 Visitor Data</t>
  </si>
  <si>
    <t>https://www.trade.gov/i-94-arrivals-historical-data</t>
  </si>
  <si>
    <t>Estadísticas de la actividad turística</t>
  </si>
  <si>
    <t>145 Key Tourism Statistics</t>
  </si>
  <si>
    <t>https://www.unwto.org/tourism-statistics/key-tourism-statistics</t>
  </si>
  <si>
    <t>Ministry of Economic Affairs and Employment of Finland</t>
  </si>
  <si>
    <t>Finnish Government</t>
  </si>
  <si>
    <t>http://visitfinland.stat.fi/PXWeb/pxweb/en/VisitFinland/VisitFinland__Majoitustilastot/visitfinland_matk_pxt_116t.px/</t>
  </si>
  <si>
    <t>Central Buraeau Statistics</t>
  </si>
  <si>
    <t>Census of 2011</t>
  </si>
  <si>
    <t>Statbel - Chômage et indicateurs complémentaires 2021</t>
  </si>
  <si>
    <t>https://statistique.ge.ch/conjoncture/graph_conj.asp#GCONJ.13</t>
  </si>
  <si>
    <t>https://www-genesis.destatis.de/genesis/online?operation=abruftabelleBearbeiten&amp;levelindex=2&amp;levelid=1656652371165&amp;auswahloperation=abruftabelleAuspraegungAuswaehlen&amp;auswahlverzeichnis=ordnungsstruktur&amp;auswahlziel=werteabruf&amp;code=13211-0007&amp;auswahltext=&amp;werteabruf=Werteabruf#abreadcrumb</t>
  </si>
  <si>
    <t>https://rosstat.gov.ru/folder/210/document/12994</t>
  </si>
  <si>
    <t>Principal statistics of the labour force, Malaysia/states, 1982 - 2021</t>
  </si>
  <si>
    <t>北京市統計年鑑</t>
  </si>
  <si>
    <t>Labour force characteristics, annual</t>
  </si>
  <si>
    <t>https://www150.statcan.gc.ca/t1/tbl1/en/tv.action?pid=1410038501</t>
  </si>
  <si>
    <t>Ministry of manpower</t>
  </si>
  <si>
    <t>Summary Table: Hours Worked</t>
  </si>
  <si>
    <t>https://stats.mom.gov.sg/Pages/Hours-Worked-Summary-Table.aspx</t>
  </si>
  <si>
    <t>Fukuoka Prefectural Government</t>
  </si>
  <si>
    <t>大阪の賃金、労働時間及び雇用の動き（年報）</t>
  </si>
  <si>
    <t>Employment, average hourly and weekly earnings (including overtime), and average weekly hours for the industrial aggregate excluding unclassified businesses, monthly, seasonally adjusted</t>
  </si>
  <si>
    <t>https://www150.statcan.gc.ca/t1/tbl1/en/cv.action?pid=1410022201</t>
  </si>
  <si>
    <t>Bureau of Labor Statistics, Department of Labor</t>
  </si>
  <si>
    <t>State and Metro Area Employment, Hours, &amp; Earnings</t>
  </si>
  <si>
    <t>https://www.bls.gov/sae/tables/annual-average/table-4-average-hours-and-earnings-of-all-employees-on-private-nonfarm-payrolls-by-state.htm</t>
  </si>
  <si>
    <t>Working Population Profile</t>
  </si>
  <si>
    <t>ILOSTAT explorer - Total weekly hours worked of employed persons, by sex - ILO modelled estimates(thousand)-Annual</t>
  </si>
  <si>
    <t>https://www.ilo.org/shinyapps/bulkexplorer26/</t>
  </si>
  <si>
    <t>Expatistan.com</t>
  </si>
  <si>
    <t>Expatistan Cost of Living Index</t>
  </si>
  <si>
    <t>https://www.expatistan.com/cost-of-living/index</t>
  </si>
  <si>
    <t>https://dataunodc.un.org/dp-intentional-homicide-city</t>
  </si>
  <si>
    <t>Crimes reported by the police forces to the judicial authority : With known offender, type and reference period of crime</t>
  </si>
  <si>
    <t>https://bra.se/statistik/kriminalstatistik/anmalda-brott.html</t>
  </si>
  <si>
    <t>Victims of intentional homicide</t>
  </si>
  <si>
    <t>https://dataunodc.un.org/dp-intentional-homicide-victims</t>
  </si>
  <si>
    <t>Statistics of Crimes against Person by Type of Crimes and Province: 2017 - 2021</t>
  </si>
  <si>
    <t>http://statbbi.nso.go.th/staticreport/Page/sector/en/09.aspx</t>
  </si>
  <si>
    <t>https://www.police.gov.hk/ppp_en/09_statistics/csc_2020_2021.html</t>
  </si>
  <si>
    <t>https://www.tps.ca/data-maps/data-analytics/homicide/</t>
  </si>
  <si>
    <t>サンパウロにおける「安全の手引き」</t>
  </si>
  <si>
    <t>DKI Jakarta Province</t>
  </si>
  <si>
    <t>Corruption Perceptions Index</t>
  </si>
  <si>
    <t>https://rsf.org/en/index</t>
  </si>
  <si>
    <t>https://www.weforum.org/reports?utf8=%E2%9C%93&amp;query=global+gender+gap</t>
  </si>
  <si>
    <t>Mortality and global health estimates | Suicide rates</t>
  </si>
  <si>
    <t>https://www.who.int/data/gho/data/themes/mental-health/suicide-rates</t>
  </si>
  <si>
    <t>Number of suicides and sui,ced rates in Hong Kong,1997-2020^</t>
  </si>
  <si>
    <t>2020 Annual Report of Taiwan Suicide Prevention</t>
  </si>
  <si>
    <t>https://networkreadinessindex.org/wp-content/uploads/2020/03/The-Network-Readiness-Index-2019-New-version-March-2020.pdf</t>
  </si>
  <si>
    <t>Cities Emission Reduction Targets</t>
  </si>
  <si>
    <t>City of Frankfurt am Main</t>
  </si>
  <si>
    <t>Frankfurt am Main hat einen Masterplan für den Klimaschutz</t>
  </si>
  <si>
    <t>https://frankfurt.de/themen/klima-und-energie/klimaschutz/masterplan</t>
  </si>
  <si>
    <t>Magistrat der Stadt Wien</t>
  </si>
  <si>
    <t>Wiener Klimafahplan</t>
  </si>
  <si>
    <t>https://www.wien.gv.at/umwelt/klimaschutz/klimafahrplan/index.html</t>
  </si>
  <si>
    <t>Sustainable Development Strategy: Egypt Vision 2030</t>
  </si>
  <si>
    <t>https://www.iea.org/policies/14823-sustainable-development-strategy-egypt-vision-2030</t>
  </si>
  <si>
    <t>https://unfccc.int/NDCREG</t>
  </si>
  <si>
    <t>Minister of Foreign Affairs</t>
  </si>
  <si>
    <t>Singapore government</t>
  </si>
  <si>
    <t>Climate Change</t>
  </si>
  <si>
    <t>https://www.mfa.gov.sg/SINGAPORES-FOREIGN-POLICY/International-Issues/Climate-Change</t>
  </si>
  <si>
    <t>Ministry of Environmental Protection</t>
  </si>
  <si>
    <t>Government of Israel</t>
  </si>
  <si>
    <t>《上海市生活垃圾管理条例》实施三周年，向广大市民致以最诚挚的感谢！ （2022年07月04日）</t>
  </si>
  <si>
    <t>https://lhsr.sh.gov.cn/ywdt/20220704/91d70fe7-9a68-4baf-bcd8-222f667e507d.html</t>
  </si>
  <si>
    <t>https://www.epa.gov.tw/ENG/513B0B39D090DE4C</t>
  </si>
  <si>
    <t>http://sawic.environment.gov.za/?menu=16</t>
  </si>
  <si>
    <t>GHG emissions from fuel combustion - Total</t>
  </si>
  <si>
    <t>https://www.iea.org/data-and-statistics/data-product/greenhouse-gas-emissions-from-energy-highlights</t>
  </si>
  <si>
    <t>2021 환경백서</t>
  </si>
  <si>
    <t>https://news.seoul.go.kr/env/archives/519441</t>
  </si>
  <si>
    <t>AJOT’s Annual Top 100 Containerports A–Z</t>
  </si>
  <si>
    <t>https://www.tcdd.gov.tr/en/organizational/port-data</t>
  </si>
  <si>
    <t>https://mumbaiport.gov.in/index2_n.asp?slid=900&amp;sublinkid=553&amp;langid=1</t>
  </si>
  <si>
    <t>2021 Port Report: Early signs of a recovery in international container shipping in Latin America and the Caribbean</t>
  </si>
  <si>
    <t>https://www.cepal.org/en/publications/48012-2021-port-report-early-signs-recovery-international-container-shipping-latin</t>
  </si>
  <si>
    <t>Ashdod Port</t>
  </si>
  <si>
    <t>Annual Sustainability Development Report</t>
  </si>
  <si>
    <t>https://www.ashdodport.co.il/about/csr/Documents/apc-csr-report-update-2020-eng.pdf</t>
  </si>
  <si>
    <t>https://www.mlit.go.jp/road/ir/ir-data/ir-data.html</t>
  </si>
  <si>
    <t>タクシー料金</t>
  </si>
  <si>
    <t>San Francisco Municipal Transportation Agency (SFMTA)</t>
  </si>
  <si>
    <t>Taxi Fares</t>
  </si>
  <si>
    <t>https://www.sfmta.com/getting-around/taxi/taxi-fares</t>
  </si>
  <si>
    <t>Boston Police Department</t>
  </si>
  <si>
    <t>Commercial Passenger Vehicles Victoria</t>
  </si>
  <si>
    <t>State Government of Victoria, Australia</t>
  </si>
  <si>
    <t>Unbooked fares - Melbourne, Dandenong, Frankston, Mornington Peninsula</t>
  </si>
  <si>
    <t>https://cpv.vic.gov.au/passengers/mptp</t>
  </si>
  <si>
    <t>Luko</t>
  </si>
  <si>
    <t>Global Bicycle Cities Index 2022</t>
  </si>
  <si>
    <t>https://de.luko.eu/en/advice/guide/bike-index/</t>
  </si>
  <si>
    <t>Total Working Hours per Capita</t>
    <phoneticPr fontId="9"/>
  </si>
  <si>
    <t>1人あたりの総労働時間の短さ</t>
    <rPh sb="6" eb="7">
      <t>ソウ</t>
    </rPh>
    <phoneticPr fontId="9"/>
  </si>
  <si>
    <t>上場株式時価総額</t>
    <phoneticPr fontId="9"/>
  </si>
  <si>
    <t>都市名</t>
  </si>
  <si>
    <t>GPCI-
2023</t>
    <phoneticPr fontId="5"/>
  </si>
  <si>
    <t>GPCI
2023</t>
    <phoneticPr fontId="5"/>
  </si>
  <si>
    <t>Memo</t>
    <phoneticPr fontId="5"/>
  </si>
  <si>
    <t>※YBではNY＝100で換算、UBSつかわなくなった</t>
    <rPh sb="12" eb="14">
      <t>カンサン</t>
    </rPh>
    <phoneticPr fontId="9"/>
  </si>
  <si>
    <t>アクター</t>
    <phoneticPr fontId="5"/>
  </si>
  <si>
    <t>結果表</t>
  </si>
  <si>
    <t>全円データを貼り付けるシートはこちら</t>
    <rPh sb="0" eb="2">
      <t>ゼンエン</t>
    </rPh>
    <rPh sb="6" eb="7">
      <t>ハ</t>
    </rPh>
    <rPh sb="8" eb="9">
      <t>ツ</t>
    </rPh>
    <phoneticPr fontId="5"/>
  </si>
  <si>
    <t>▼ここに●つけてから並び替えて使ってください</t>
    <rPh sb="10" eb="11">
      <t>ナラ</t>
    </rPh>
    <rPh sb="12" eb="13">
      <t>カ</t>
    </rPh>
    <rPh sb="15" eb="16">
      <t>ツカ</t>
    </rPh>
    <phoneticPr fontId="5"/>
  </si>
  <si>
    <t>対象都市の名目GDP（全都市を同じ年次で比較可能な年次値を採用）。</t>
  </si>
  <si>
    <t>対象都市の人口1人あたりの名目GDP（全都市を同じ年次で比較可能な年次値を採用）。</t>
  </si>
  <si>
    <t>対象都市における実質GDPの直近5年間の年平均成長率（全都市を同じ年次で比較可能な年次値を採用）。</t>
  </si>
  <si>
    <r>
      <t>World Federation of Exchangesの"Domestic Market Capitalization"における対象都市に立地する取引所の</t>
    </r>
    <r>
      <rPr>
        <sz val="9"/>
        <color rgb="FFFF0000"/>
        <rFont val="游ゴシック"/>
        <family val="3"/>
        <charset val="128"/>
      </rPr>
      <t>上場株式時価総額。</t>
    </r>
    <phoneticPr fontId="21"/>
  </si>
  <si>
    <t>対象都市におけるビジネスサポート業種(金融、保険、不動産、事務、科学技術などの各種サービス業)の従業者数の対象都市の従業者数に対する割合。</t>
  </si>
  <si>
    <t>以下のデータを指数化したものの平均値：①INSEADの"Global Talent Competitiveness Index"における対象都市が属する国の優秀な人材確保の容易性に関する8指標の平均スコア、②INSEADの"Global Talent Competitiveness Index - City and Regions"における対象都市の優秀な人材確保の容易性に関する2指標の平均スコア、③EF Education Firstの"English Proficiency Index"における対象都市の英語能力スコア。</t>
    <phoneticPr fontId="21"/>
  </si>
  <si>
    <t>以下のデータを指数化したものの平均値：①World Bankの"Doing Business"における対象都市もしくは対象都市が属する国のビジネスの容易性に関する10指標の平均スコア、②Moody'sによる対象都市が属する国の外貨建カントリーシーリングの長期格付け。</t>
  </si>
  <si>
    <t>UNESCO Institute of Statisticsの"UIS Statistics"における対象都市が属する国の研究者数を国と対象都市の従業者数の比率で按分して推計した人数。</t>
  </si>
  <si>
    <t>Times Higher Educationの"World University Rankings"で1000位以内にランクインした大学のうち、対象都市の中心点から50km圏内に所在する大学を順位に応じて点数化したスコア。</t>
  </si>
  <si>
    <t>UNESCO Institute of Statisticsの"UIS Statistics"における対象都市が属する国の研究開発費を国と対象都市の従業者数の比率で按分して推計した額。</t>
  </si>
  <si>
    <t>Times Higher Educationの"World University Rankings"で1000位以内にランクインした大学のうち、対象都市の中心点から50km圏内に所在する大学の生徒数と留学生割合から推計した対象都市における留学生数。</t>
  </si>
  <si>
    <t>OECDの"Programme for International Student Assessment (PISA)"における対象都市が属する国の全科目平均得点。</t>
  </si>
  <si>
    <t>World Intellectual Property Organizationの"WIPO IP Statistics Data Center"における対象都市が属する国の特許登録数の直近10年間の平均値を国と対象都市の従業者数の比率で按分して推計した数。</t>
  </si>
  <si>
    <t>以下のデータを指数化したものの平均値：①世界的な文化イベント(オリンピック、FIFAワールドカップ、万国博覧会)のうち、直近20年間に対象都市で開催されたイベントを規模および開催経年数に応じて点数化したスコア、②Columbus Travel Mediaの"World Travel Guide"における対象都市で開催された文化イベント数の直近3年間の平均値。</t>
  </si>
  <si>
    <t>以下のデータを指数化したものを1:2で重み付けした平均値：①International Trade Centerの"International Trade Statistics"における対象都市が属する国の書籍および光学メディアの国別輸出額を国と対象都市のGDPの比率で按分して推計した額、②International Trade Centerの"International Trade Statistics"における対象都市が属する国の視聴覚および関連サービスの国別輸出額を国と対象都市のGDPの比率で按分して推計した額。</t>
  </si>
  <si>
    <t>以下のデータを指数化したものの平均値：①Artprice.comの"Top 500 artists by auction turnover"にランクインした対象都市を活動拠点としている作家(存命)を順位に応じて点数化したスコア、②Artnet.comの"Gallery Network"に掲載されている対象都市のギャラリー数、③Artsy.netの「作品所在地」で検索された作品数</t>
  </si>
  <si>
    <t>以下のデータを指数化したものの平均値：①TripAdvisorに掲載されている対象都市の中心点から10km圏内に所在する観光スポット数(レビュー数100以上)、②居住者アンケートより、外国人訪問者が対象都市の主な観光スポットを回るのに要する日数。</t>
  </si>
  <si>
    <t>UNESCOによるユネスコ世界遺産のうち、対象都市の中心点から100km圏内に所在する世界遺産を種別および面積に応じて点数化したスコア。</t>
  </si>
  <si>
    <t>以下のデータを指数化したものの平均値：①TripAdvisorに掲載されている対象都市のナイトライフスポット数(レビュー数10以上)、②居住者アンケートより、観光客がナイトライフスポットを対象都市の訪問の目的として感じている度合い。</t>
  </si>
  <si>
    <t>以下のデータの平均値：①TripAdvisorに掲載されている対象都市の劇場・コンサートホール数、②OpenStreetMapに掲載されている対象都市の中心点から10km圏内に所在する劇場・コンサートホール数。</t>
  </si>
  <si>
    <t>De Gruyter Saurの"Museums of the World"に掲載されている対象都市の美術館・博物館数。</t>
  </si>
  <si>
    <t>Hotels.comに掲載されている対象都市の中心点から10km圏内に所在するホテルの総客室数。</t>
  </si>
  <si>
    <t>Hotels.comに掲載されている対象都市の中心点から10km圏内に所在する5つ星ホテルの総客室数。</t>
  </si>
  <si>
    <t>以下のデータを指数化したものの平均値：①TripAdvisorに掲載されている対象都市のショップ・モールの５段階評価の数字の合算値、②居住者アンケートより、観光客が買物の魅力を対象都市の訪問の目的として感じている度合い。</t>
  </si>
  <si>
    <t>以下のデータを指数化したものの平均値：①La Listeの"World's Top 1000 Restaurants"でランクインしたレストランのうち、対象都市の中心点から10km圏内に所在するレストラン数、②居住者アンケートより、観光客が食事の魅力を対象都市の訪問の目的として感じている度合い。</t>
  </si>
  <si>
    <t>対象都市の外国人居住者数もしくは市民権を持たない居住者数。</t>
  </si>
  <si>
    <t>対象都市を1年間に訪問した外国人訪問者数(全都市を同じ年次で比較可能な年次値を採用)。</t>
  </si>
  <si>
    <t>対象都市の完全失業率。</t>
  </si>
  <si>
    <t>対象都市の1人あたりの年間総労働時間。</t>
  </si>
  <si>
    <t>居住者アンケートより、対象都市における職場での働き方の柔軟性の度合い。</t>
  </si>
  <si>
    <t>Numbeoの"Cost of Living"における、対象都市の中心部と中心部以外に位置する1ベッドルームおよび3ベッドルームのアパートの平均家賃。</t>
  </si>
  <si>
    <t>対象都市の人口100万人あたりの年間殺人事件発生(認知)件数。</t>
  </si>
  <si>
    <t>Lloyd'sの"Lloyd's City Risk Index"における対象都市のGDPリスク量の対平均年間GDP比。</t>
  </si>
  <si>
    <t>World Health Organizationの"World Health Statistics"における対象都市が属する国の平均寿命。</t>
  </si>
  <si>
    <t>以下のデータを指数化したものの平均値：①Transparency Internationalの"Corruption Perceptions Index"における対象都市が属する国のスコア、②Freedom Houseの"Freedom in the World"における対象都市が属する国のスコア、③Reporter without Bordersの"World Press Freedom Index"における対象都市が属する国のスコア、④World Economic Forumの"Global Gender Gap Report"における対象都市が属する国のスコア。</t>
  </si>
  <si>
    <t>以下のデータを指数化したものの平均値：①World Health Organizationの"Global Health Estimates"における対象都市が属する国の後天的な精神疾患による障害共存年数(病的状態、障害により失われた年数)、②World Health Organizationの"Global Health Observatory"における対象都市が属する国の人口10万人あたりの自殺者数。</t>
  </si>
  <si>
    <t>OECDの"Health Statistics"およびWHOの"Global Health Observatory"における対象都市が属する国の医師数の平均値を国と対象都市の従業者数の比率で按分して推計した人口100万人あたりの医師数。</t>
  </si>
  <si>
    <t>以下のデータを指数化したものの平均値：①OpenStreetMapに掲載されている対象都市の中心点から10km圏内に所在する小売店舗数、②居住者アンケートより、対象都市で徒歩10分圏内に所在する小売店舗数。</t>
  </si>
  <si>
    <t>以下のデータを指数化したものの平均値：①OpenStreetMapに掲載されている対象都市の中心点から10km圏内に所在するレストラン数、②居住者アンケートより、対象都市で徒歩10分圏内に所在するレストラン数。</t>
  </si>
  <si>
    <t>International Energy Agencyの"CO2 Emissions from Fuel Combustion"における対象都市が属する国のCO2排出量を、国と対象都市のGDPの比率で按分し推計した、対象都市1人あたりの排出量。</t>
    <phoneticPr fontId="21"/>
  </si>
  <si>
    <t>IQAirの"World's most polluted cities (PM2.5)"における対象都市のPM2.5の年間平均濃度。</t>
  </si>
  <si>
    <t>Raspisaniye Pogodi Ltd.の"Weather in the World"に掲載されている対象都市の直近3年間の気象データから算出した体感温度の快適な温度(15～25℃)からの乖離度を集計した値。</t>
  </si>
  <si>
    <t>Numbeoの"Pollution"における対象都市の"Water Quality"のスコア。</t>
  </si>
  <si>
    <t>以下のデータを指数化したものの平均値：①Numbeoの"Pollution"における対象都市の"Quality of Green and Parks"のスコア、②衛星画像をもとに推計した対象都市における緑被率。</t>
  </si>
  <si>
    <t>OAGの"Schedule Analyser"における対象都市を出発地もしくは到着地とする航空旅客便(定期便、直行便のみ)の輸送実績を有する都市数。</t>
  </si>
  <si>
    <t>以下のデータを指数化したものの平均値：①American Journal of Transportationの"AJOT’s Top 100 Containerports A to Z"における対象都市の港湾貨物量、②Airports Council Internationalの"Annual Traffic Data"における対象都市の空港の航空国際貨物量。</t>
  </si>
  <si>
    <t>対象都市の空港の国内線・国際線の合計年間旅客数。</t>
  </si>
  <si>
    <r>
      <t>OAGの"Schedule Analyser"における対象都市の空港</t>
    </r>
    <r>
      <rPr>
        <sz val="9"/>
        <color rgb="FFFF0000"/>
        <rFont val="游ゴシック"/>
        <family val="3"/>
        <charset val="128"/>
      </rPr>
      <t>(2019年の国際線旅客数100万人以上)</t>
    </r>
    <r>
      <rPr>
        <sz val="9"/>
        <rFont val="游ゴシック"/>
        <family val="3"/>
        <charset val="128"/>
      </rPr>
      <t>における航空会社の運航計画に基づいた国内線・国際線発着回数。</t>
    </r>
    <phoneticPr fontId="21"/>
  </si>
  <si>
    <t>OpenStreetMapに掲載されている対象都市の中心点から10km圏内に所在する鉄道とトラムの駅数(トラムは駅名が重複するものを除く)を当該面積で除した密度。</t>
  </si>
  <si>
    <t>Numbeoの"Traffic"における、対象都市の通勤・通学時の公共交通機関の利用者割合を公共交通機関、自動車、バイクの利用者割合の合計で除した割合。</t>
  </si>
  <si>
    <t>対象都市の空港から対象都市の中心点までの片道最短所要時間。複数の空港が存在する場合は各空港の全旅客数で加重平均を取った。</t>
  </si>
  <si>
    <t>以下のデータを指数化した値の平均値：①Numbeoの"Traffic"における対象都市で通勤・通学にかかる片道所要時間、②居住者アンケートより、対象都市で通勤・通学にかかる片道所要時間。</t>
  </si>
  <si>
    <t>Nominal GDP of the target city (The data year selected is that in which all cities can be compared in the same year).</t>
    <phoneticPr fontId="21"/>
  </si>
  <si>
    <t>Nominal GDP per capita of the target city (The data year selected is that in which all cities can be compared in the same year).</t>
    <phoneticPr fontId="21"/>
  </si>
  <si>
    <t>Compound Annual Growth Rate (CAGR) of real GDP for the target city for the last 5 years (The data year selected is that in which all cities can be compared in the same year).</t>
    <phoneticPr fontId="21"/>
  </si>
  <si>
    <t>Percentage of employees in the target city working in industries such as finance, insurance services, real estate services, professional services, business services, and science and technology services.</t>
  </si>
  <si>
    <t>Number of researchers in the target city estimated pro rata from the number of employees in the country and target city in the UNESCO Institute of Statistics' "UIS Statistics".</t>
  </si>
  <si>
    <t>Research and development expenditure in the country of the target city estimated pro rata from the number of employees in the country and target city listed under the UNESCO Institute of Statistics' "UIS Statistics".</t>
  </si>
  <si>
    <t>Number of international students attending universities estimated from the number of students and the percentage of international students of each university located within 50km of the city center of the target city that are in the top 1000 of Times Higher Education's "World University Rankings".</t>
  </si>
  <si>
    <t>Average score of all subjects for the country of the target city in the OECD’s "Programme for International Student Assessment (PISA)".</t>
  </si>
  <si>
    <t>Number of registered patents estimated pro rata from the number of employees in the country and target city based on averages for the last 10 years from World Intellectual Property Organization's "WIPO IP Statistics Data Center".</t>
  </si>
  <si>
    <t>The average number of startups founded in the target city in the last 3 years according to Crunchbase.</t>
  </si>
  <si>
    <t>Average of the indexed values of the following data: (1) Number of points awarded to the target city for hosting global events such as the Olympics, World Expositions, and FIFA World Cups in the last 20 years according to their size and year in which they were hosted, (2) Average number of events held in the target city in the last 3 years listed in Columbus Travel Media's "World Travel Guide".</t>
  </si>
  <si>
    <t>Average of the indexed values of the following data (weighted 1:2): (1) Export value of Printed Books and Optical Media estimated pro rata from the proportion of GDP for the country and target city according to the International Trade Center's "International Trade Statistics", (2) Export value of Audiovisual and Related Services estimated pro rata from the proportion of GDP for the country and target city according to the International Trade Center's "International Trade Statistics".</t>
  </si>
  <si>
    <t>Average of the indexed values of the following data: (1) Score determined by the rank of contemporary artists based in the target city from the living artists ranked according to total sales over a period of one year in Artprice.com's "Top 500 artists by auction turnover", (2) Number of art galleries listed in Artnet.com's "Gallery Network", (3) Number of artworks seached by "Artwork Location" listed on Artsy.net</t>
  </si>
  <si>
    <t>Average of the indexed values of the following data: (1) Number of tourist attractions listed in TripAdvisor with more than 100 reviews and located within 10km of the center of the target city, (2) Number of days required for a foreign visitor to visit the major tourist attractions in the target city according to the Resident Questionnaire.</t>
  </si>
  <si>
    <t>Total points awarded based on the size and type of UNESCO World Heritage Sites located within 100km of the center of the target city.</t>
  </si>
  <si>
    <t>Average of the indexed values of the following data: (1)  Number of nightlife attractions listed in TripAdvisor with more than 10 reviews, (2) Influence level of nightlife spots as a major reason for visiting the target city according to the Resident Questionnaire.</t>
  </si>
  <si>
    <t>Average of the following values: (1) Number of theaters and concert halls listed in TripAdvisor, (2) Number of theaters and concert halls listed in OpenStreetMap located within 10km of the center of the target city.</t>
  </si>
  <si>
    <t>Number of museums listed in De Gruyter Saur's "Museums of the World".</t>
  </si>
  <si>
    <t>Number of stadiums listed in World Stadiums with a capacity of more than 10,000 people. Stadiums for universities and other educational facilities are excluded.</t>
  </si>
  <si>
    <t>Total number of hotel rooms located within 10km of the city center displayed on Hotels.com.</t>
  </si>
  <si>
    <t>Total number of 5 star hotel rooms located within 10km of the city center displayed on Hotels.com.</t>
  </si>
  <si>
    <t>Average of the indexed values of the following data: (1) The total value of ratings for all shops &amp; malls located in the target city as listed on TripAdvisor, (2) Influence level of shopping as a major reason for visiting the target city according to the Resident Questionnaire.</t>
  </si>
  <si>
    <t>Average of the indexed values of the following data: (1) Number of restaurants located within 10km from the city center in the target city in La Liste's "World's Top 1000 Restaurants", (2) Influence level of cuisine or dining as a major reason for visiting the target city according to the Resident Questionnaire.</t>
  </si>
  <si>
    <t>Number of registered foreign people or residents without citizenship in the country of the target city.</t>
  </si>
  <si>
    <t>Annual number of foreign visitors to the target city. (The data year selected is that in which all cities can be compared in the same year).</t>
  </si>
  <si>
    <t>Total unemployment rate in the target city.</t>
  </si>
  <si>
    <t xml:space="preserve">Annual working hours per person for the target city. </t>
  </si>
  <si>
    <t>Average rent for 1- and 3-bedroom apartments located in the target city center and outside of the center in Numbeo's "Cost of Living".</t>
  </si>
  <si>
    <t>Number of murders (acknowledged) per year per population of one million in the target city.</t>
  </si>
  <si>
    <t>Share of Average Annual GDP for "GDP at Risk" in Lloyd's "Lloyd's City Risk Index".</t>
  </si>
  <si>
    <t>Average life expectancy for the country of the target city listed in the World Health Organization's "World Health Statistics".</t>
  </si>
  <si>
    <t>Average of the indexed values of the following data: (1) Score for the country of the target city listed in Transparency International's "Corruption Perceptions Index", (2) Score for the country of the target city listed in Freedom House's "Freedom in the World", (3) Score for the country of the target city listed in Reporters without Borders' "World Press Freedom Index", (4) Score for the country of the target city listed in World Economic Forum's "Global Gender Gap Report".</t>
  </si>
  <si>
    <t>Average of the indexed values of the following data: (1) Total value of the indexed score for YLDs (the number of years lost due to illness or disorder) based only on acquired mental illnesses for the country of the target city listed in the World Health Organization's "Global Health Estimates", (2) Suicide rates per 100,000 population for the country of the target city in the World Health Organization's "Global Health Observatory".</t>
  </si>
  <si>
    <t>Number of medical doctors per one million people estimated pro rata from the number of employees in the country and target city based on the average number of medical doctors in the country listed in the OECD's "Health Statistics" and the WHO's "Global Health Observatory".</t>
  </si>
  <si>
    <t>Average of the indexed values of the following data: (1) Number of retail shops listed in OpenStreetMap located within 10km of the center of the target city, (2) Number of retail shops located within a 10-minute walk in the target city according to the Resident Questionnaire.</t>
  </si>
  <si>
    <t>Average of the indexed values of the following data: (1) Number of restaurants listed in OpenStreetMap located within 10km of the center of the target city, (2) Number of restaurants located within a 10-minute walk in the target city according to the Resident Questionnaire.</t>
  </si>
  <si>
    <t>Volume of CO2 emissions estimated pro rata from the proportion of GDP for the country and target city in the International Energy Agency's "CO2 Emissions from Fuel Combustion" divided by the city's population.</t>
    <phoneticPr fontId="21"/>
  </si>
  <si>
    <t>Annual mean PM2.5 concentrations in target cities from IQAir's "World's most polluted cities (PM2.5)"</t>
  </si>
  <si>
    <t>3-year average amount by which the target city’s apparent temperature, calculated from weather data from Raspisaniye Pogodi Ltd.'s "Weather in the World", deviates from the ideal temperature range (15-25℃).</t>
  </si>
  <si>
    <t>Score of "Water Quality" for the target city in Numbeo's "Pollution".</t>
  </si>
  <si>
    <t>Average of the indexed values of the following data: (1) Score of "Quality of Green and Parks" for the target city in Numbeo's "Pollution", (2) Green Coverage Proportion for the target city according to estimates based on values obtained from satelite imagery.</t>
  </si>
  <si>
    <t>Number of cities from which direct, regular service passenger flights depart or arrive at the target city's airports cited in the OAG's "Schedule Analyser".</t>
  </si>
  <si>
    <t>Average of the indexed values of the following data: (1) Port freight of the target city cited in the American Journal of Transportation's "AJOT’s Top 100 Containerports A to Z", (2) Amount of international air freight moving through the target city's airports cited in the Airports Council International's "Annual Traffic Data".</t>
  </si>
  <si>
    <t>Total annual number of arriving/departing passengers at the target city's airports.</t>
  </si>
  <si>
    <t>Density of train and tram stations listed in OpenStreetMap located within 10km of the center of the target city.</t>
  </si>
  <si>
    <t>Ratio of public transportation use in the target city according to Numbeo's "Traffic".</t>
  </si>
  <si>
    <t>Minimum time required to travel from the target city's airports to the city center. If more than one airport exists, a weighted average is calculated according to the number of passengers of each airport.</t>
  </si>
  <si>
    <t>Average of the indexed values of the following data: (1) Time required for a one-way trip to work or school in the target city according to Numbeo's "Traffic", (2) Time required for a one-way trip to work or school in the target city according to the Resident Questionnaire.</t>
  </si>
  <si>
    <t>Research and Development Expenditure</t>
    <phoneticPr fontId="9"/>
  </si>
  <si>
    <t>Air Transport Capacity</t>
    <phoneticPr fontId="9"/>
  </si>
  <si>
    <t>ワークプレイス充実度</t>
    <phoneticPr fontId="9"/>
  </si>
  <si>
    <t>住宅賃料水準の低さ</t>
    <phoneticPr fontId="9"/>
  </si>
  <si>
    <t>Numbeoの"Cost of Living"における対象都市の平均月給（税引後）。</t>
    <phoneticPr fontId="5"/>
  </si>
  <si>
    <t>Value of "Average Monthly Net Salary (After Tax)" for the target city in Numbeo's "Cost of Living".</t>
    <phoneticPr fontId="5"/>
  </si>
  <si>
    <t>NUMBEOのみとなったの</t>
    <phoneticPr fontId="9"/>
  </si>
  <si>
    <t>指標名変更</t>
    <rPh sb="0" eb="2">
      <t>シヒョウ</t>
    </rPh>
    <rPh sb="2" eb="3">
      <t>メイ</t>
    </rPh>
    <rPh sb="3" eb="5">
      <t>ヘンコウ</t>
    </rPh>
    <phoneticPr fontId="9"/>
  </si>
  <si>
    <t>Average of the indexed values of the following data: (1) Average of the 8 indicators of the country of the target city related to the ease of securing human resources in INSEAD's "Global Talent Competitiveness Index", (2) Average of the 2 indicators of the target city related to the ease of securing human resources in INSEAD's "Global Talent Competitiveness Index - City and Regions", (3) Score of the target city in EF Education First's "English Proficiency Index".</t>
    <phoneticPr fontId="21"/>
  </si>
  <si>
    <t>以下のデータを指数化したものの平均値：①Coworker.comに掲載されている対象都市のコワーキング施設数、②Ooklaが提供するSpeedtest.net に掲載されている対象都市の固定ブロードバンドの通信回線速度。</t>
    <phoneticPr fontId="21"/>
  </si>
  <si>
    <t>Average of the indexed values of the following data: (1) Number of coworking facilities located in target cities according to Coworker.com, (2) Fixed broadband speeds of the target city produced by Speedtest.net by Ookla.</t>
    <phoneticPr fontId="21"/>
  </si>
  <si>
    <t>PwCの"Corporate income tax (CIT) rates"における対象都市もしくは対象都市が属する国の最高法人税率。</t>
    <phoneticPr fontId="5"/>
  </si>
  <si>
    <t>Headline corporate tax rate for the target city or the country of the target city in PwC's "Corporate income tax (CIT) rates".</t>
    <phoneticPr fontId="5"/>
  </si>
  <si>
    <t>主要科学技術賞(ノーベル賞、バルザン賞、クラフォード賞、アバカス・メダル賞、フィールズ賞)の直近20年間の受賞者のうち、受賞当時の在籍機関が対象都市の中心点から50km圏内に所在する受賞者を受賞経年数に応じて点数化したスコア。</t>
    <phoneticPr fontId="21"/>
  </si>
  <si>
    <t>Total points awarded to the target city for number of recipients within the last 20 years of the major science and technology-related awards (Nobel Prize, Balzan Prize, Crafoord Prize, Abacus Medal, and Fields Medal) based on the university or research institute (located within 50km of the city center) with which they were affiliated at the time of receiving the award. Points are weighted based on the year in which the prize was awarded.</t>
    <phoneticPr fontId="21"/>
  </si>
  <si>
    <r>
      <t>Union of International Associationsの</t>
    </r>
    <r>
      <rPr>
        <sz val="9"/>
        <color rgb="FFFF0000"/>
        <rFont val="游ゴシック"/>
        <family val="3"/>
        <charset val="128"/>
      </rPr>
      <t>"International Meetings Statistics Report"</t>
    </r>
    <r>
      <rPr>
        <sz val="9"/>
        <rFont val="游ゴシック"/>
        <family val="2"/>
        <charset val="128"/>
      </rPr>
      <t>における対象都市で開催された国際会議件数。</t>
    </r>
    <phoneticPr fontId="5"/>
  </si>
  <si>
    <t>プラス</t>
    <phoneticPr fontId="5"/>
  </si>
  <si>
    <t>自動車の移動速度</t>
    <rPh sb="0" eb="3">
      <t>ジドウシャ</t>
    </rPh>
    <rPh sb="4" eb="6">
      <t>イドウ</t>
    </rPh>
    <rPh sb="6" eb="8">
      <t>ソクド</t>
    </rPh>
    <phoneticPr fontId="9"/>
  </si>
  <si>
    <t>Average Driving Speed</t>
    <phoneticPr fontId="9"/>
  </si>
  <si>
    <t>km/h</t>
    <phoneticPr fontId="9"/>
  </si>
  <si>
    <r>
      <t>Expatistan.comにおける</t>
    </r>
    <r>
      <rPr>
        <sz val="9"/>
        <color rgb="FFFF0000"/>
        <rFont val="游ゴシック"/>
        <family val="3"/>
        <charset val="128"/>
      </rPr>
      <t>5項目（食料品、衣類、交通、日用品、娯楽）</t>
    </r>
    <r>
      <rPr>
        <sz val="9"/>
        <rFont val="游ゴシック"/>
        <family val="3"/>
        <charset val="128"/>
      </rPr>
      <t>の価格をもとに算出したスコア</t>
    </r>
    <rPh sb="36" eb="38">
      <t>ゴラク</t>
    </rPh>
    <rPh sb="40" eb="42">
      <t>カカク</t>
    </rPh>
    <rPh sb="46" eb="48">
      <t>サンシュツ</t>
    </rPh>
    <phoneticPr fontId="5"/>
  </si>
  <si>
    <r>
      <t>Portulans Instituteの"N</t>
    </r>
    <r>
      <rPr>
        <sz val="9"/>
        <rFont val="游ゴシック"/>
        <family val="2"/>
        <charset val="128"/>
      </rPr>
      <t>etworked Readiness Index"における対象都市が属する国の個人、ビジネス、行政サービスにおけるICT環境に関する</t>
    </r>
    <r>
      <rPr>
        <sz val="9"/>
        <color rgb="FFFF0000"/>
        <rFont val="游ゴシック"/>
        <family val="3"/>
        <charset val="128"/>
      </rPr>
      <t>29指標</t>
    </r>
    <r>
      <rPr>
        <sz val="9"/>
        <rFont val="游ゴシック"/>
        <family val="2"/>
        <charset val="128"/>
      </rPr>
      <t>を同調査と同じ方法で指数化した値。</t>
    </r>
    <phoneticPr fontId="5"/>
  </si>
  <si>
    <r>
      <t>以下のデータを指数化したものの平均値：①United Nations Framework Convention on Climate Change (気候変動に関する国際連合枠組条約)による"Non-state Actor Zone for Climate Action (NAZCA)"に掲載されている対象都市の</t>
    </r>
    <r>
      <rPr>
        <sz val="9"/>
        <color rgb="FFFF0000"/>
        <rFont val="游ゴシック"/>
        <family val="3"/>
        <charset val="128"/>
      </rPr>
      <t>主体的参加（Initiative Participation）数</t>
    </r>
    <r>
      <rPr>
        <sz val="9"/>
        <rFont val="游ゴシック"/>
        <family val="3"/>
        <charset val="128"/>
      </rPr>
      <t>、②対象都市の温室効果ガス排出削減目標を基準年から目標年までの年数で除した1年あたりの削減目標率。</t>
    </r>
    <phoneticPr fontId="5"/>
  </si>
  <si>
    <t xml:space="preserve">Organisation for Economic Co-operation and Development（OECD）の”Renewable energy”における対象都市が属する国の総1次エネルギー供給量に対する再生可能エネルギーの供給量の比率 </t>
    <phoneticPr fontId="5"/>
  </si>
  <si>
    <r>
      <rPr>
        <sz val="9"/>
        <rFont val="游ゴシック"/>
        <family val="3"/>
        <charset val="128"/>
      </rPr>
      <t>居住者</t>
    </r>
    <r>
      <rPr>
        <sz val="9"/>
        <color rgb="FFFF0000"/>
        <rFont val="游ゴシック"/>
        <family val="3"/>
        <charset val="128"/>
      </rPr>
      <t>および訪問経験者</t>
    </r>
    <r>
      <rPr>
        <sz val="9"/>
        <rFont val="游ゴシック"/>
        <family val="3"/>
        <charset val="128"/>
      </rPr>
      <t>のアンケートより、対象都市の街路や屋外空間が清潔に保たれているかどうかの度合い。</t>
    </r>
    <rPh sb="6" eb="8">
      <t>ホウモン</t>
    </rPh>
    <rPh sb="8" eb="10">
      <t>ケイケン</t>
    </rPh>
    <rPh sb="10" eb="11">
      <t>シャ</t>
    </rPh>
    <rPh sb="47" eb="49">
      <t>ドア</t>
    </rPh>
    <phoneticPr fontId="41"/>
  </si>
  <si>
    <t>以下のデータを指数化したものの平均値：①対象都市を5km走行した場合のタクシー運賃、②Lukoの"Bicycle Cities Index"のTotal scoreの値。</t>
    <phoneticPr fontId="21"/>
  </si>
  <si>
    <t xml:space="preserve">Average of the indexed values of the following data: (1) Taxi fare for a 5km ride in the target city, (2)Total score for the target city listed in Luko's "Bicycle Cities Index". </t>
    <phoneticPr fontId="21"/>
  </si>
  <si>
    <r>
      <t>Fortuneの"Fortune Global 500"でランクインした企業のうち、</t>
    </r>
    <r>
      <rPr>
        <sz val="9"/>
        <color rgb="FFFF0000"/>
        <rFont val="游ゴシック"/>
        <family val="3"/>
        <charset val="128"/>
      </rPr>
      <t>対象都市の中心点から20km圏内に所在する</t>
    </r>
    <r>
      <rPr>
        <sz val="9"/>
        <rFont val="游ゴシック"/>
        <family val="3"/>
        <charset val="128"/>
      </rPr>
      <t>企業を総売上高に応じて点数化したスコア。</t>
    </r>
    <rPh sb="63" eb="65">
      <t>キギョウ</t>
    </rPh>
    <rPh sb="76" eb="77">
      <t>ソウ</t>
    </rPh>
    <rPh sb="77" eb="78">
      <t>ウ</t>
    </rPh>
    <rPh sb="78" eb="79">
      <t>ア</t>
    </rPh>
    <rPh sb="79" eb="80">
      <t>タカ</t>
    </rPh>
    <phoneticPr fontId="5"/>
  </si>
  <si>
    <t>通勤・通学時間の短さ</t>
    <phoneticPr fontId="9"/>
  </si>
  <si>
    <t>タクシー・自転車での移動のしやすさ</t>
    <phoneticPr fontId="9"/>
  </si>
  <si>
    <t>Commuting Time</t>
    <phoneticPr fontId="9"/>
  </si>
  <si>
    <t>Inner-City Transportation</t>
    <phoneticPr fontId="9"/>
  </si>
  <si>
    <t>Travel Time to Airports</t>
    <phoneticPr fontId="9"/>
  </si>
  <si>
    <t>Percentage of renewable energy supply used versus the total primary energy supply for the country of the target city listed in theOrganisation for Economic Co-operation and Development (OECD)'s "Renewable energy".</t>
    <phoneticPr fontId="5"/>
  </si>
  <si>
    <t>TomTomの "Traffic Index "に基づき算出された10kmあたりの自動車の平均速度。</t>
    <rPh sb="41" eb="44">
      <t>ジドウシャ</t>
    </rPh>
    <phoneticPr fontId="5"/>
  </si>
  <si>
    <t>Average driving speed per 10 km calculated based on TomTom's "Traffic Index".</t>
    <phoneticPr fontId="5"/>
  </si>
  <si>
    <t>GPCI-2023 Result</t>
    <phoneticPr fontId="5"/>
  </si>
  <si>
    <t>* "Q" mark indicates that the indicator uses data from a survey of 200 residents of the target city.</t>
    <phoneticPr fontId="5"/>
  </si>
  <si>
    <t>Stock market capitalization for the stock exchanges located in the target city from World Federation of Exchanges' "Domestic Market Capitalization".</t>
    <phoneticPr fontId="21"/>
  </si>
  <si>
    <t>Total score (determined by Revenue) of companies located within 20km of the center of the target city that feature in Fortune's "Fortune Global 500".</t>
    <phoneticPr fontId="5"/>
  </si>
  <si>
    <t>Number of international conferences held in the target city listed in the Union of International Associations' "International Meetings Statistics Report".</t>
    <phoneticPr fontId="5"/>
  </si>
  <si>
    <t>Indexed scores based on the prices of 5 items (Food , Clothes, Transportation, Personal Care, Entertainment)  in Expatistan.com</t>
    <phoneticPr fontId="5"/>
  </si>
  <si>
    <t>Indexed score of the 29 indicators of the country of the target city related to ICT infrastructure for resident, business, and government services in the Portulans Institute's "Networked Readiness Index".</t>
    <phoneticPr fontId="5"/>
  </si>
  <si>
    <t>Average of the indexed values of the following data: (1) Number of Initiative Participations for the target city based on data from the United Nations Framework Convention on Climate Change's "Non-state Actor Zone for Climate Action (NAZCA)", (2) Percentage of GHG emissions reduction target of the target city divided by the number of years from the baseline year to the target year.</t>
    <phoneticPr fontId="21"/>
  </si>
  <si>
    <t>Cleanliness of streets and outdoor spaces in the target city according to the Questionnaire survey by residents and visitors.</t>
    <phoneticPr fontId="5"/>
  </si>
  <si>
    <t>Total number of international and domestic arrivals and departures based on airline schedules at the target city's airports (with over one million international passengers in 2019) according to OAG's "Schedule Analyser".</t>
    <phoneticPr fontId="21"/>
  </si>
  <si>
    <t>https://gestiona.comunidad.madrid/desvan/almudena/servlet/AccionDatosUnMunicipio.icm?municipio=0796&amp;listaTemas=201007</t>
  </si>
  <si>
    <t>https://www.idescat.cat/indicadors/?id=aec&amp;n=15903</t>
  </si>
  <si>
    <t>Estimation de la population au 1er janvier 2023</t>
  </si>
  <si>
    <t>Popolazione residente: classi di età, municipi e genere 2022</t>
  </si>
  <si>
    <t>https://www.stadt-zuerich.ch/prd/de/index/statistik/themen/bevoelkerung/bevoelkerungsentwicklung/aktueller-bevoelkerungsbestand.html</t>
  </si>
  <si>
    <t>Population at the first day of the quarter by time and region</t>
  </si>
  <si>
    <t xml:space="preserve">Bevölkerung zu Jahres und Quartalsbeginn 01.01.2018–01.01.2023 nach Bundesland (Tabelle)  </t>
  </si>
  <si>
    <t>https://www.statistik.at/statistiken/bevoelkerung-und-soziales/bevoelkerung/bevoelkerungsstand/bevoelkerung-zu-jahres-/-quartalsanfang</t>
  </si>
  <si>
    <t>Population of province/district centers and towns/villages by province and sex, population density by province, 2007-2022</t>
  </si>
  <si>
    <t>Оценка численности постоянного населения на 1 января 2023 г. и в среднем за 2022 г. и компоненты ее изменения (с учётом итогов Всероссийской переписи населения 2020 г.)</t>
  </si>
  <si>
    <t>https://censusindia.gov.in/census.website/data/census-tables#</t>
  </si>
  <si>
    <t>https://pqi.stats.gov.my/searchBI.php?tahun=2022&amp;kodData=2&amp;kodJadual=1&amp;kodCiri=2&amp;kodNegeri=14</t>
  </si>
  <si>
    <t>Beijing Statistical Yearbook 2022</t>
  </si>
  <si>
    <t>https://nj.tjj.beijing.gov.cn/nj/main/2022-tjnj/zk/indexeh.htm</t>
  </si>
  <si>
    <t>2022年上海统计年鉴</t>
  </si>
  <si>
    <t>https://tjj.sh.gov.cn/tjnj/nj22.htm?d1=2022tjnj/C0201.htm</t>
  </si>
  <si>
    <t xml:space="preserve">서울시 인구밀도 (동별) 통계 </t>
  </si>
  <si>
    <t>https://data.seoul.go.kr/dataList/10584/S/2/datasetView.do</t>
  </si>
  <si>
    <t>Population estimates and components by SA2, 2021 to 2022</t>
  </si>
  <si>
    <t>https://www.abs.gov.au/statistics/people/population/regional-population/2021-22#data-downloads</t>
  </si>
  <si>
    <t>https://www.inegi.org.mx/sistemas/olap/proyectos/bd/encuestas/hogares/enoe/2010_pe_ed15/pt.asp?s=est&amp;proy=enoe_pe_ed15_pt&amp;p=enoe_pe_ed15</t>
  </si>
  <si>
    <t>Anuario Estadístico de la Ciudad de Buenos Aires 2021</t>
  </si>
  <si>
    <t>https://www.estadisticaciudad.gob.ar/eyc/?p=132766</t>
  </si>
  <si>
    <t>Population - Statistical Abstract of Israel 2022 - No.73</t>
  </si>
  <si>
    <t>https://www.cbs.gov.il/en/publications/Pages/2022/Population-Statistical-Abstract-of-Israel-2022-No.73.aspx</t>
  </si>
  <si>
    <t>https://www.statbank.dk/statbank5a/selectvarval/saveselections.asp</t>
  </si>
  <si>
    <t>Economic Survey of Maharashtra 2022-23</t>
  </si>
  <si>
    <t>State Socioeconomic Report 2021</t>
  </si>
  <si>
    <t>https://www.dosm.gov.my/portal-main/release-content/state-socioeconomic-report-2021</t>
  </si>
  <si>
    <t>https://www.mti.gov.sg/Resources/Economic-Survey-of-Singapore/2023/Economic-Survey-of-Singapore-First-Quarter-2023</t>
  </si>
  <si>
    <t>Statistical Tables,Principal Figures</t>
  </si>
  <si>
    <t>https://eng.stat.gov.tw/cp.aspx?n=2334</t>
  </si>
  <si>
    <t>令和元年度　福岡市民経済計算の概要</t>
  </si>
  <si>
    <t>令和元年度　大阪市民経済計算</t>
  </si>
  <si>
    <t>NYC Open Data</t>
  </si>
  <si>
    <t>New York City Forecasts of Selected Economic Indicators</t>
  </si>
  <si>
    <t>https://data.cityofnewyork.us/City-Government/New-York-City-Forecasts-of-Selected-Economic-Indic/xatq-cxeq</t>
  </si>
  <si>
    <t>P0441 - Gross Domestic Product (GDP), 4th Quarter 2022</t>
  </si>
  <si>
    <t>https://www.statssa.gov.za/?page_id=1854&amp;PPN=P0441&amp;SCH=73562</t>
  </si>
  <si>
    <t>Gross Regional Domestic Product of DKI Jakarta Province by Industry 2018-2022</t>
  </si>
  <si>
    <t>https://jakarta.bps.go.id/publication/2023/04/05/4212b85dd6f9095ed08d95e0/produk-domestik-regional-bruto-provinsi-dki-jakarta-menurut-lapangan-usaha-2018--2022.html</t>
  </si>
  <si>
    <t>https://www.cso.ie/en/releasesandpublications/ep/p-cirgdp/countyincomesandregionalgdp2020/data/</t>
  </si>
  <si>
    <t>https://ec.europa.eu/eurostat/web/main/data/database</t>
  </si>
  <si>
    <t>Population and Migration Estimates, April 2022</t>
  </si>
  <si>
    <t>https://www.cso.ie/en/releasesandpublications/ep/p-pme/populationandmigrationestimatesapril2022/data/</t>
  </si>
  <si>
    <t>https://opendata.cbs.nl/statline/#/CBS/en/dataset/84432ENG/table?ts=1688693553117</t>
  </si>
  <si>
    <t>https://www.censtatd.gov.hk/en/web_table.html?id=310-31001</t>
  </si>
  <si>
    <t>ВРП с 1998 года</t>
  </si>
  <si>
    <t>https://rosstat.gov.ru/statistics/accounts</t>
  </si>
  <si>
    <t>Shanghai Statistical Yearbook 2022</t>
  </si>
  <si>
    <t>https://tjj.sh.gov.cn/tjnj/20230206/804acea250d44d2187f2e37d2e5d36ba.html</t>
  </si>
  <si>
    <t>福岡市民経済計算（令和元年度）</t>
  </si>
  <si>
    <t>大阪市民経済計算（令和元年度）</t>
  </si>
  <si>
    <t>Anuario Estadístico de la Ciudad de Buenos Aires 2022</t>
  </si>
  <si>
    <t>https://www.estadisticaciudad.gob.ar/eyc/?p=140859</t>
  </si>
  <si>
    <t>https://www.dsc.gov.ae/en-us/Themes/Pages/National-Accounts.aspx?Theme=24&amp;year=2021#DSC_Tab1</t>
  </si>
  <si>
    <t>2023 Index of Economic Freedom</t>
  </si>
  <si>
    <t>Statistics Portal - Report Generator</t>
  </si>
  <si>
    <t>https://statistics.world-exchanges.org/ReportGenerator/Generator</t>
  </si>
  <si>
    <t>Monthly Report - Total Equity Trading December 2022</t>
  </si>
  <si>
    <t>2023 Fortune Global 500</t>
  </si>
  <si>
    <t>Población activa según Sector de actividad económica. Ciudad de Madrid</t>
  </si>
  <si>
    <t>https://ajuntament.barcelona.cat/estadistica/angles/Estadistiques_per_temes/Treball_i_teixit_productiu/Treball/EPA/epa/pocu/evocsc.htm</t>
  </si>
  <si>
    <t>https://www.insee.fr/fr/statistiques/4981513</t>
  </si>
  <si>
    <t>Enquête naar de arbeidskrachten 1999-2021</t>
  </si>
  <si>
    <t>https://statbel.fgov.be/nl/themas/werk-opleiding/arbeidsmarkt/werkgelegenheid-en-werkloosheid/plus</t>
  </si>
  <si>
    <t>https://onderzoek.amsterdam.nl/publicatie/kerncijfers-amsterdam-2020</t>
  </si>
  <si>
    <t>Regional Results of Labour Force Statistics</t>
  </si>
  <si>
    <t>Трудовые ресурсы, занятость и безработица</t>
  </si>
  <si>
    <t>Population by Labor Force Status Sex and Province: 2022</t>
  </si>
  <si>
    <t>Labour Force Survey (LFS) Time Series Statistics by State, 1982 - 2021</t>
  </si>
  <si>
    <t>https://www.dosm.gov.my/portal-main/time-series</t>
  </si>
  <si>
    <t>Employed persons by hours of work of all employment and sex</t>
  </si>
  <si>
    <t>北京统计年鉴2022</t>
  </si>
  <si>
    <t>https://nj.tjj.beijing.gov.cn/nj/main/2022-tjnj/zk/indexch.htm</t>
  </si>
  <si>
    <t>2021 Census All persons QuickStats</t>
  </si>
  <si>
    <t>https://www.abs.gov.au/census/find-census-data/quickstats/2021/1GSYD</t>
  </si>
  <si>
    <t>https://www12.statcan.gc.ca/census-recensement/2021/dp-pd/prof/details/page.cfm?LANG=E&amp;GENDERlist=1&amp;STATISTIClist=1&amp;DGUIDlist=2021A00055915022,2021A000011124,2021S0503933&amp;HEADERlist=40&amp;SearchText=Vancouver</t>
  </si>
  <si>
    <t>https://www.inegi.org.mx/app/areasgeograficas/?ag=07000009#collapse-Tabulados</t>
  </si>
  <si>
    <t>P0211 - Quarterly Labour Force Survey (QLFS),4th Quarter 2022</t>
  </si>
  <si>
    <t>https://www.statssa.gov.za/?page_id=1854&amp;PPN=P0211&amp;SCH=73292</t>
  </si>
  <si>
    <t>Population Aged 15 Years and Over of DKI Jakarta Province by Type of Activity During The Previous Week and Sex 2020-2022</t>
  </si>
  <si>
    <t>Census 2016 Sapmap Area: Local Authorities (County Councils) DUBLIN CITY COUNCIL</t>
  </si>
  <si>
    <t>https://visual.cso.ie/?body=entity/ima/cop/2016&amp;boundary=C03849V04599&amp;guid=2ae19629-1433-13a3-e055-000000000001</t>
  </si>
  <si>
    <t>Helsinki facts and figures 2022</t>
  </si>
  <si>
    <t>https://kaupunkitieto.hel.fi/fi/tilastotietoja-helsingista</t>
  </si>
  <si>
    <t>Labour Force Survey 2020</t>
  </si>
  <si>
    <t>https://www.cbs.gov.il/en/publications/Pages/2022/Labour-Force-Survey-2020.aspx</t>
  </si>
  <si>
    <t>City and Town Population Totals: 2020-2022</t>
  </si>
  <si>
    <t>https://www.census.gov/data/tables/time-series/demo/popest/2020s-total-cities-and-towns.html</t>
  </si>
  <si>
    <t>Evolución de la población ocupada en Barcelona por ramas de actividad (CCAE-2009)</t>
  </si>
  <si>
    <t>https://www.insee.fr/fr/statistiques/6682598?sommaire=4981513</t>
  </si>
  <si>
    <t>Mini-Bru Brussels-Capital Region in figures 2023</t>
  </si>
  <si>
    <t>Dashboard kerncijfers</t>
  </si>
  <si>
    <t>https://onderzoek.amsterdam.nl/interactief/dashboard-kerncijfers?tab=indicator&amp;thema=economiesectie&amp;indicator=BHWPK&amp;indeling=ggwgebieden&amp;jaar=2021&amp;gebied=GA01&amp;taal=nl</t>
  </si>
  <si>
    <t>Statistik der Schweizer Städte 2023</t>
  </si>
  <si>
    <t>https://staedteverband.ch/1103/de/statistik-der-schweizer-stadte-2023-arbeit-und-erwerb?share=1</t>
  </si>
  <si>
    <t>Erwerbstätige am Arbeitsort in Berlin und Brandenburg – Jahresergebnisse</t>
  </si>
  <si>
    <t>https://www.statistik-berlin-brandenburg.de/a-vi-9-hj</t>
  </si>
  <si>
    <t>http://dati.istat.it/Index.aspx?lang=en&amp;SubSessionId=d104278a-334a-4832-a1f0-7e966b0e0cdb#</t>
  </si>
  <si>
    <t>Statistisches Jahrbuch der Stadt Wien 2022</t>
  </si>
  <si>
    <t>Employment by sex and economic activity--ILO modelled estimates, Nov. 2022</t>
  </si>
  <si>
    <t>https://www.ilo.org/shinyapps/bulkexplorer2/?lang=en&amp;id=EMP_2EMP_SEX_ECO_NB_A</t>
  </si>
  <si>
    <t>https://www.dosm.gov.my/portal-main/searching-time-series?kategori=34</t>
  </si>
  <si>
    <t>Labour Force In Singapore 2022</t>
  </si>
  <si>
    <t>https://stats.mom.gov.sg/Pages/Labour-Force-In-Singapore-2022.aspx</t>
  </si>
  <si>
    <t>BEIJING STATISTICAL YEARBOOK 2022</t>
  </si>
  <si>
    <t>令和３年経済センサス‐活動調査</t>
  </si>
  <si>
    <t>https://www.abs.gov.au/statistics/labour/employment-and-unemployment/labour-force-australia-detailed/apr-2023#industry-occupation-and-sector</t>
  </si>
  <si>
    <t>https://www12.statcan.gc.ca/census-recensement/2021/dp-pd/prof/details/page.cfm?LANG=E&amp;GENDERlist=1&amp;STATISTIClist=1,4&amp;DGUIDlist=2021A00055915022&amp;HEADERlist=44&amp;SearchText=Vancouver</t>
  </si>
  <si>
    <t>American Community Survey（DP03, 2021: ACS 5-Year Estimates Data Profiles）</t>
  </si>
  <si>
    <t>https://data.census.gov/table?q=selected+economic+characteristics&amp;g=160XX00US0644000,0667000,1150000,1714000,2507000,3651000&amp;tid=ACSDP5Y2021.DP03</t>
  </si>
  <si>
    <t>https://www12.statcan.gc.ca/census-recensement/2021/dp-pd/prof/details/download-telecharger.cfm?Lang=E&amp;SearchText=Toronto&amp;DGUIDlist=2021A00053520005&amp;GENDERlist=1&amp;STATISTIClist=1,4&amp;HEADERlist=44</t>
  </si>
  <si>
    <t>QLFS Trends 2008-2023Q1</t>
  </si>
  <si>
    <t>Labor Force Situation in DKI Jakarta Province 2021</t>
  </si>
  <si>
    <t>https://jakarta.bps.go.id/publication/2022/04/28/15da262e48e25ae7242c2bbf/keadaan-angkatan-kerja-provinsi-dki-jakarta-2021.html</t>
  </si>
  <si>
    <t>https://www.boi.org.il/en/economic-roles/statistics/real-economic-activity/labor-market-and-demography/#mainContent</t>
  </si>
  <si>
    <t>Statistik der Schweizer Städte 2013</t>
  </si>
  <si>
    <t>Global Talent Competitiveness Index 2022</t>
  </si>
  <si>
    <t>Global Talent Competitiveness Index 2022- City and Regions</t>
  </si>
  <si>
    <t>coworker.com</t>
  </si>
  <si>
    <t>Median City Speeds June 2023</t>
  </si>
  <si>
    <t>PricewaterhouseCoopers</t>
  </si>
  <si>
    <t>Corporate income tax (CIT) rates</t>
  </si>
  <si>
    <t>https://taxsummaries.pwc.com/quick-charts/corporate-income-tax-cit-rates</t>
  </si>
  <si>
    <t>https://kpmg.com/ch/en/home/services/tax/swiss-taxes.html</t>
  </si>
  <si>
    <t>Realsteuer-Hebesätze 2022 nach Bundesländern</t>
  </si>
  <si>
    <t>https://www.britishcolumbia.ca/about-british-columbia-canada/competitive-business-costs/</t>
  </si>
  <si>
    <t>State Corporate Income Tax Rates and Brackets for 2023</t>
  </si>
  <si>
    <t>https://taxfoundation.org/state-corporate-income-tax-rates-brackets-2023/</t>
  </si>
  <si>
    <t>TSB-M-22(2)C: 2023 MTA Surcharge Rate and Deriving Receipts Thresholds</t>
  </si>
  <si>
    <t>https://www.tax.ny.gov/pdf/memos/corporation/m22-2c.pdf</t>
  </si>
  <si>
    <t>Science-Technology-and-Communications-Statistical-Abstract-of-Israel-2022-No.73</t>
  </si>
  <si>
    <t>https://www.cbs.gov.il/en/publications/Pages/2022/Science-Technology-and-Communications-Statistical-Abstract-of-Israel-2022-No.73.aspx</t>
  </si>
  <si>
    <t>World University Rankings 2023</t>
  </si>
  <si>
    <t>https://www.timeshighereducation.com/world-university-rankings/2023/world-ranking</t>
  </si>
  <si>
    <t>The UNESCO Institute for Statistics</t>
  </si>
  <si>
    <t>Science,technology and innovation</t>
  </si>
  <si>
    <t>http://data.uis.unesco.org/Index.aspx?DataSetCode=SCN_DS#</t>
  </si>
  <si>
    <t>Dépenses de recherche et développement expérimental en France : résultats détaillés pour 2020 et premières estimations pour 2021</t>
  </si>
  <si>
    <t>https://www.enseignementsup-recherche.gouv.fr/fr/depenses-recherche-et-developpement-experimental-en-france-resultats-2020-et-estimations-2021-88624</t>
  </si>
  <si>
    <t>OECD Science, Technology and Patents</t>
  </si>
  <si>
    <t>PIRLS 2021 International Results in Reading</t>
  </si>
  <si>
    <t>https://pirls2021.org/results/achievement/</t>
  </si>
  <si>
    <t>Union of International Associations (UIA)</t>
  </si>
  <si>
    <t>International trade in goods statistics by product Exports 2001-2022</t>
  </si>
  <si>
    <t>International trade in services - Exports 2000-2021</t>
  </si>
  <si>
    <t>https://apps.bea.gov/itable/?ReqID=70&amp;step=1</t>
  </si>
  <si>
    <t>Top 500 artists by auction turnover (2022)</t>
  </si>
  <si>
    <t>https://www.artprice.com/artprice-reports/the-art-market-in-2022</t>
  </si>
  <si>
    <t>De Gruyter</t>
  </si>
  <si>
    <t>https://doi.org/10.1515/mow</t>
  </si>
  <si>
    <t>World of Stadiums</t>
  </si>
  <si>
    <t>http://www.worldofstadiums.com/</t>
  </si>
  <si>
    <t>World's Top 1000 Restaurants 2023</t>
  </si>
  <si>
    <t>Population by country of birth and nationality</t>
  </si>
  <si>
    <t>https://www.ons.gov.uk/peoplepopulationandcommunity/populationandmigration/internationalmigration/datasets/populationoftheunitedkingdombycountryofbirthandnationality</t>
  </si>
  <si>
    <t>Étrangers - Immigrés en 2019</t>
  </si>
  <si>
    <t>https://www.insee.fr/fr/statistiques/6455286?geo=DEP-75</t>
  </si>
  <si>
    <t>Mini-Bru 2023</t>
  </si>
  <si>
    <t>Dataset Stand van de bevolking Amsterdam</t>
  </si>
  <si>
    <t>https://onderzoek.amsterdam.nl/dataset/stand-van-de-bevolking-amsterdam</t>
  </si>
  <si>
    <t>Etat et évolution de la population</t>
  </si>
  <si>
    <t>Einwohnerbestand 2011 bis 2022 - Melderechtlich registrierte Einwohner am Ort der Hauptwohnung in Berlin</t>
  </si>
  <si>
    <t>https://www.statistik-berlin-brandenburg.de/kommunalstatistik/einwohnerbestand-berlin</t>
  </si>
  <si>
    <t>Statistisches Jahrbuch  der Stadt Wien 2022</t>
  </si>
  <si>
    <t>Statistikmyndigheten</t>
  </si>
  <si>
    <t>Foreign citizens by region and year</t>
  </si>
  <si>
    <t>Immigrants and emigrants by citizenship and provinces, 2020, 2021</t>
  </si>
  <si>
    <t>https://data.tuik.gov.tr/Bulten/Index?p=International-Migration-Statistics-2021-45814</t>
  </si>
  <si>
    <t>Итоги Всероссийской переписи населения 2020 года - Население по гражданству и месту рождения по субъектам Российской Федерации</t>
  </si>
  <si>
    <t>https://rosstat.gov.ru/vpn_popul#</t>
  </si>
  <si>
    <t>PENERBITAN ANGGARAN PENDUDUK SEMASA 2022</t>
  </si>
  <si>
    <t>https://newss.statistics.gov.my/newss-portalx/ep/epFreeDownloadContentSearch.seam?cid=14010</t>
  </si>
  <si>
    <t>Population In Brief 2022</t>
  </si>
  <si>
    <t>The State Council of the People’s Republic of China</t>
  </si>
  <si>
    <t>The Peoples's Republic of China</t>
  </si>
  <si>
    <t>http://www.gov.cn/guoqing/2021-05/13/content_5606149.htm</t>
  </si>
  <si>
    <t>https://www.city.fukuoka.lg.jp/soki/tokeichosa/shisei/toukei/toukeisyo/2022/toukeisyo2022-index.html</t>
  </si>
  <si>
    <t>住民基本台帳人口・外国人人口</t>
  </si>
  <si>
    <t>https://www.city.osaka.lg.jp/shimin/page/0000006893.html#05_03</t>
  </si>
  <si>
    <t>https://www.toukei.metro.tokyo.lg.jp/gaikoku/2023/ga23010000.htm</t>
  </si>
  <si>
    <t>https://www12.statcan.gc.ca/census-recensement/2021/dp-pd/prof/details/page.cfm?Lang=E&amp;GENDERlist=1,2,3&amp;STATISTIClist=1,4&amp;HEADERlist=0&amp;DGUIDlist=2021A00055915022&amp;SearchText=Vancouver</t>
  </si>
  <si>
    <t>2021: ACS 1-Year Estimates Data Profiles</t>
  </si>
  <si>
    <t>https://data.census.gov/table?text=DP02&amp;g=160XX00US0644000,0667000,1150000,1714000,2507000,3651000&amp;y=2021&amp;tid=ACSDP1Y2021.DP02</t>
  </si>
  <si>
    <t>https://www12.statcan.gc.ca/census-recensement/2021/dp-pd/prof/details/page.cfm?Lang=E&amp;GENDERlist=1,2,3&amp;STATISTIClist=1,4&amp;HEADERlist=0&amp;DGUIDlist=2021A00053520005&amp;SearchText=Toronto</t>
  </si>
  <si>
    <t>Polícia Federal</t>
  </si>
  <si>
    <t>SISMIGRA</t>
  </si>
  <si>
    <t>https://dados.gov.br/dados/conjuntos-dados/sismigra</t>
  </si>
  <si>
    <t>2021/2022 Integrated Annual Report</t>
  </si>
  <si>
    <t>https://www.joburg.org.za/documents_/Pages/Key%20Documents/Annual%20Report/Annual-Report-1219-9922.aspx</t>
  </si>
  <si>
    <t>Data Statistik Sektoral - Pemerintah Provinsi DKI Jakarta 2022 - Volume 4 Tahun 2022</t>
  </si>
  <si>
    <t>https://statistik.jakarta.go.id/laporan-kategori/produk-statistik/</t>
  </si>
  <si>
    <t>Number of Population Estimated by Nationality</t>
  </si>
  <si>
    <t>STATISTICAL YEARBOOK OF HELSINKI - 2022</t>
  </si>
  <si>
    <t>https://www-s.madrid.es/CSEBD_WBINTER/seleccionSerie.html?numSerie=1601010100112</t>
  </si>
  <si>
    <t>Barcelona Tourism activity report 2022</t>
  </si>
  <si>
    <t>https://press.parisinfo.com/key-figures/Tourism-in-Paris-Key-Figures2</t>
  </si>
  <si>
    <t>https://opendata.cbs.nl/statline/#/CBS/en/dataset/82061ENG/table?ts=1684211644338</t>
  </si>
  <si>
    <t>https://www.bfs.admin.ch/bfs/de/home/statistiken/kataloge-datenbanken/tabellen.assetdetail.25265179.html</t>
  </si>
  <si>
    <t>Ankünfte &amp; Nächtigungen / Arrivals &amp; bednights 2022</t>
  </si>
  <si>
    <t>https://b2b.wien.info/de/statistik/daten/ankuenfte-naechtigungen-2022-420612#</t>
  </si>
  <si>
    <t>İstanbul Turizm İstatistikleri - 2023</t>
  </si>
  <si>
    <t>https://istanbul.ktb.gov.tr/TR-338436/istanbul-turizm-istatistikleri---2023.html</t>
  </si>
  <si>
    <t>Statistical Yearbook</t>
  </si>
  <si>
    <t>https://www.capmas.gov.eg/Pages/StaticPages.aspx?page_id=5034</t>
  </si>
  <si>
    <t>Въездные и выездные туристские поездки (с 2014 г.)</t>
  </si>
  <si>
    <t>https://rosstat.gov.ru/statistics/turizm</t>
  </si>
  <si>
    <t>India Tourism Statistics 2022</t>
  </si>
  <si>
    <t>Domestic Tourism Statistics (Classify by region and province 2022)</t>
  </si>
  <si>
    <t>https://www.mots.go.th/news/category/657</t>
  </si>
  <si>
    <t>Hong Kong in Figures, 2023 Edition</t>
  </si>
  <si>
    <t>http://whlyj.beijing.gov.cn/zwgk/zxgs/tjxx/history/2022/rjlyqk/202302/t20230210_2949345.html</t>
  </si>
  <si>
    <t>2022 Visitor Arrivals by Year(1956～)</t>
  </si>
  <si>
    <t>https://admin.taiwan.net.tw/english/info/FilePage?a=18095</t>
  </si>
  <si>
    <t>2022 International Visitor Survey</t>
  </si>
  <si>
    <t>https://datalab.visitkorea.or.kr/site/portal/ex/bbs/View.do?cbIdx=1127&amp;bcIdx=304593&amp;pageIndex=1&amp;tgtTypeCd=CATE_CONT&amp;searchKey=&amp;searchKey2=spt05&amp;tabFlag=N&amp;subFlag=N&amp;cateCont=spt05</t>
  </si>
  <si>
    <t>福岡市の観光・MICE　2023年版（福岡市観光統計）</t>
  </si>
  <si>
    <t>https://www.city.fukuoka.lg.jp/keizai/kankou-s/shisei/kankoutoukei2022_2.html</t>
  </si>
  <si>
    <t>https://www.pref.osaka.lg.jp/kanko/toukei/index.html</t>
  </si>
  <si>
    <t>Travel to Sydney Time Series December 2022</t>
  </si>
  <si>
    <t>Destination Toronto Annual Report 2022</t>
  </si>
  <si>
    <t>https://toronto.visme.co/view/ojv3ywv1-g8nlq7o6ezkd2m9d#s1</t>
  </si>
  <si>
    <t>Ministério do Turismo</t>
  </si>
  <si>
    <t>Presidência da República</t>
  </si>
  <si>
    <t>Anuário Estatístico de Turismo 2022 - Ano Base 2021</t>
  </si>
  <si>
    <t>https://www.gov.br/turismo/pt-br/acesso-a-informacao/acoes-e-programas/observatorio/anuario-estatistico</t>
  </si>
  <si>
    <t>Tourism, 2022</t>
  </si>
  <si>
    <t>https://www.statssa.gov.za/?page_id=1854&amp;PPN=Report-03-51-02&amp;SCH=73614</t>
  </si>
  <si>
    <t xml:space="preserve">At The End of The Year, Jakarta Foreign Tourists Rise </t>
  </si>
  <si>
    <t>https://jakarta.bps.go.id/pressrelease/2023/02/01/1055/di-penghujung-tahun--jumlah-kunjungan-wisman-ke-jakarta-kembali-naik.html</t>
  </si>
  <si>
    <t>Number of overseas trips to Ireland by non-residents classified by mode of travel, type of trip, route of travel, area of residence and reason for journey, 2017 - Quarter 4 2019</t>
  </si>
  <si>
    <t>https://www.cso.ie/en/releasesandpublications/er/tt/tourismandtravelquarter42019/</t>
  </si>
  <si>
    <t>Visit Finland - Yearly nights spent and arrivals by country of residence, 1995-2023</t>
  </si>
  <si>
    <t>Statistical Abstract of Israel 2022</t>
  </si>
  <si>
    <t>https://www.cbs.gov.il/en/publications/Pages/2022/Tourism-and-Accomodation-Services-Statistical-Abstract-of-Israel-2022-No.73.aspx</t>
  </si>
  <si>
    <t>International Visitor Survey year ending December 2022 - 2021 comparison</t>
  </si>
  <si>
    <t>2022 Annual Traffic Data</t>
  </si>
  <si>
    <t>https://www.idescat.cat/indicadors/?id=aec&amp;n=15296&amp;tema=treba&amp;lang=en</t>
  </si>
  <si>
    <t>Onderzoek en Statistiek</t>
  </si>
  <si>
    <t>Dataset Arbeid en arbeidsmarkt</t>
  </si>
  <si>
    <t>https://onderzoek.amsterdam.nl/dataset/arbeid-en-arbeidsmarkt</t>
  </si>
  <si>
    <t>https://statistik.arbeitsagentur.de/Auswahl/raeumlicher-Geltungsbereich/Politische-Gebietsstruktur/Kreise/Hessen/06412-Frankfurt-am-Main-Stadt.html?nn=25856&amp;year_month=202304</t>
  </si>
  <si>
    <t>https://esploradati.istat.it/databrowser/#/en/dw/categories/IT1,Z0500LAB,1.0/LAB_OFFER/LAB_OFF_UNEMPLOY/DCCV_TAXDISOCCU1/IT1,151_914_DF_DCCV_TAXDISOCCU1_8,1.0</t>
  </si>
  <si>
    <t>Statistisk årsbok for Stockholm 2023</t>
  </si>
  <si>
    <t>Russian Statistical Yearbook 2022</t>
  </si>
  <si>
    <t>Ministry of Statistics and Program Implementation</t>
  </si>
  <si>
    <t>Annual Report PLFS 2021-22</t>
  </si>
  <si>
    <t>https://www.mospi.gov.in/download-reports</t>
  </si>
  <si>
    <t>Hong Kong in Figures, 2023Edition</t>
  </si>
  <si>
    <t>2022년 12월 및 연간 서울특별시 고용동향</t>
  </si>
  <si>
    <t>https://kostat.go.kr/board.es?mid=a30301010200&amp;bid=5106&amp;act=view&amp;list_no=422967</t>
  </si>
  <si>
    <t>https://www.stat.go.jp/data/roudou/pref/index.html</t>
  </si>
  <si>
    <t>https://www.toukei.metro.tokyo.lg.jp/roudou/2022/rd22qd1000.htm</t>
  </si>
  <si>
    <t>https://www.bls.gov/lau/lacilg22.htm</t>
  </si>
  <si>
    <t>Government of Mexico</t>
  </si>
  <si>
    <t>Gobierno de México</t>
  </si>
  <si>
    <t>Población Económicamente Activa (PEA)</t>
  </si>
  <si>
    <t>https://datamexico.org/es/profile/geo/ciudad-de-mexico-cx</t>
  </si>
  <si>
    <t>Keadaan Angkatan Kerja Provinsi DKI Jakarta 2022</t>
  </si>
  <si>
    <t>https://jakarta.bps.go.id/publication.html?Publikasi%5BtahunJudul%5D=&amp;Publikasi%5BkataKunci%5D=Keadaan+Angkatan+Kerja+&amp;Publikasi%5BcekJudul%5D=0&amp;yt0=Tampilkan</t>
  </si>
  <si>
    <t>Anuario Estadístico de la República Argentina 2021</t>
  </si>
  <si>
    <t>Percentage Distribution of Economically Active Persons 15 Years and Over (Employment and Unemployment Rate)</t>
  </si>
  <si>
    <t>Labor market and demography</t>
  </si>
  <si>
    <t>https://www.abs.gov.au/statistics/labour/employment-and-unemployment/labour-force-australia-detailed/may-2023#data-downloads</t>
  </si>
  <si>
    <t>毎月勤労統計調査地方調査年報（令和4年）</t>
  </si>
  <si>
    <t>https://ckan.open-governmentdata.org/dataset/401000_kinroutoukeichihou-yearreiwa04</t>
  </si>
  <si>
    <t>https://www.pref.osaka.lg.jp/toukei/maikin_n/maikin_ne.html</t>
  </si>
  <si>
    <t>https://www.abs.gov.au/census/find-census-data/community-profiles/2021/2GMEL</t>
  </si>
  <si>
    <t>https://ec.europa.eu/eurostat/databrowser/view/CRIM_HOM_OCIT/default/table?lang=en</t>
  </si>
  <si>
    <t>Convicted persons statistics: Adults. Year 2021</t>
  </si>
  <si>
    <t>Crime in England and Wales: Police Force Area data tables</t>
  </si>
  <si>
    <t>https://www.ons.gov.uk/peoplepopulationandcommunity/crimeandjustice/datalist?filter=datasets</t>
  </si>
  <si>
    <t>https://esploradati.istat.it/databrowser/#/en</t>
  </si>
  <si>
    <t>Anmälda brott, efter brottstyp, totalt och per 100 000 invånare, i kommunerna i  region Stockholm, 2022.</t>
  </si>
  <si>
    <t>Crime Statistics - Monthly Crime Statistical Report Of Month</t>
  </si>
  <si>
    <t>China Statistical Yearbook 2022</t>
  </si>
  <si>
    <t>http://www.stats.gov.cn/sj/ndsj/</t>
  </si>
  <si>
    <t>Shanghai Municipal Bureau of  Statistics</t>
  </si>
  <si>
    <t>Korean Police Crime Statistics in 2021</t>
  </si>
  <si>
    <t>https://www.police.go.kr/user/bbs/BD_selectBbsList.do?q_bbsCode=1115&amp;estnColumn2=%EB%85%84%EB%8F%84&amp;q_searchKeyTy=estnColumn1___1001&amp;q_searchVal=2021%EB%85%84</t>
  </si>
  <si>
    <t>https://www.police.pref.osaka.lg.jp/cgi-bin/inquiry.php/7?page_no=893</t>
  </si>
  <si>
    <t>警視庁の統計（令和3年）</t>
  </si>
  <si>
    <t>https://www.keishicho.metro.tokyo.lg.jp/about_mpd/jokyo_tokei/tokei/k_tokei03.html</t>
  </si>
  <si>
    <t>NSW Recorded Crime Statistics 2018 - 2022</t>
  </si>
  <si>
    <t>https://cde.ucr.cjis.gov/LATEST/webapp/#/pages/downloads</t>
  </si>
  <si>
    <t>Crime Statistics of DKI Jakarta Province 2021</t>
  </si>
  <si>
    <t>https://jakarta.bps.go.id/publication/2022/10/10/78c5fb2c0930642850b4d9d1/crime-statistics-of-dki-jakarta-province-2021.html</t>
  </si>
  <si>
    <t>Recorded Crime Q1 2023 - Statistics Under Reservation</t>
  </si>
  <si>
    <t>https://www.cso.ie/en/releasesandpublications/ep/p-rc/recordedcrimeq12023/</t>
  </si>
  <si>
    <t>Crime Statistics, Data Tables LGA Criminal Incidents Year Ending December 2023</t>
  </si>
  <si>
    <t>Mid-year population estimates 2022</t>
  </si>
  <si>
    <t>https://www.statssa.gov.za/?page_id=1854&amp;PPN=P0302</t>
  </si>
  <si>
    <t>World Health Statistics 2023</t>
  </si>
  <si>
    <t>https://data.worldbank.org/indicator/SP.DYN.LE00.IN</t>
  </si>
  <si>
    <t>110年簡易生命表提要分析</t>
  </si>
  <si>
    <t>https://www.moi.gov.tw/cl.aspx?n=15944</t>
  </si>
  <si>
    <t>https://www.transparency.org/en/cpi/2022</t>
  </si>
  <si>
    <t>2023 World Press Freedom Index</t>
  </si>
  <si>
    <t>Global Gender Gap Report 2023</t>
  </si>
  <si>
    <t>Census and Statistics Department, The Government of the Hong Kong Special Administrative Region</t>
  </si>
  <si>
    <t>Persons with disabilities and chronic diseases</t>
  </si>
  <si>
    <t>https://www.censtatd.gov.hk/en/EIndexbySubject.html?pcode=C0000055&amp;scode=380</t>
  </si>
  <si>
    <t>Health Facts of Hong Kong 2022 Edition</t>
  </si>
  <si>
    <t>OECD Health Statistics 2023</t>
  </si>
  <si>
    <t>Network Readiness Index 2022</t>
  </si>
  <si>
    <t>https://climateaction.unfccc.int/Actors</t>
  </si>
  <si>
    <t>https://data.cdp.net/Mitigation-Actions/2022-Cities-Emissions-Reduction-Targets/2gh3-fgad</t>
  </si>
  <si>
    <t>City of Moscow</t>
  </si>
  <si>
    <t>CLIMATE ACTION PLAN</t>
  </si>
  <si>
    <t>https://www.ci.moscow.id.us/1002/Climate-Action-Plan</t>
  </si>
  <si>
    <t>Ministry of External Affairs, Government of India</t>
  </si>
  <si>
    <t>National Action Plan on Climate Change 2022-2026</t>
  </si>
  <si>
    <t>https://indbiz.gov.in/mumbai-plans-to-achieve-net-zero-carbon-emissions-by-2050/</t>
  </si>
  <si>
    <t>中国落实国家自主贡献成效和新目标新举措</t>
  </si>
  <si>
    <t>https://www.city.osaka.lg.jp/kankyo/page/0000119515.html</t>
  </si>
  <si>
    <t>Department of Regional Planning</t>
  </si>
  <si>
    <t>Los Angeles County</t>
  </si>
  <si>
    <t>Climate Action Plan</t>
  </si>
  <si>
    <t>https://planning.lacounty.gov/long-range-planning/climate-action-plan/documents/</t>
  </si>
  <si>
    <t>https://www.joburg.org.za/about_/government/Pages/Senior%20Management/EISD/EISD.aspx</t>
  </si>
  <si>
    <t>Carbon Neutral Helsinki Action Plan</t>
  </si>
  <si>
    <t>https://helsinginilmastoteot.fi/en/city-act/helsinki-climate-objectives-monitoring/</t>
  </si>
  <si>
    <t>https://www.gov.il/en/departments/publications/reports/implementation-plan</t>
  </si>
  <si>
    <t>Renewable energy</t>
  </si>
  <si>
    <t>https://data.oecd.org/energy/renewable-energy.htm#indicator-chart</t>
  </si>
  <si>
    <t>Primary energy supply</t>
  </si>
  <si>
    <t>https://data.oecd.org/energy/primary-energy-supply.htm#indicator-chart</t>
  </si>
  <si>
    <t>FinExpertiza</t>
  </si>
  <si>
    <t>Sorting of household waste in Russia reached 50%</t>
  </si>
  <si>
    <t>https://finexpertiza.ru/press-service/researches/2022/sort-byt-musor/?YEAR=2022&amp;ELEMENT_CODE=sort-byt-musor</t>
  </si>
  <si>
    <t xml:space="preserve">Maharashtra Pollution Control Board </t>
  </si>
  <si>
    <t>Waste Management - Waste Generation &amp; Composition</t>
  </si>
  <si>
    <t>https://cpcb.nic.in/waste-generation-composition/</t>
  </si>
  <si>
    <t>The Department of Statistics, Malaysia</t>
  </si>
  <si>
    <t>Compendium of Environment Statistics, Malaysia, 2022</t>
  </si>
  <si>
    <t>https://newss.statistics.gov.my/newss-portalx/ep/epFreeDownloadContentSearch.seam?cid=58914</t>
  </si>
  <si>
    <t>北京市城市管理委员会2023年度部门预算信息</t>
  </si>
  <si>
    <t>http://csglw.beijing.gov.cn/zwxx/cwgk/202302/t20230221_2921116.html</t>
  </si>
  <si>
    <t>東京都区市町村清掃事業年報（令和3年度実績）</t>
  </si>
  <si>
    <t>Holland Circular Hotspot</t>
  </si>
  <si>
    <t>Waste Management Country Report: Mexico</t>
  </si>
  <si>
    <t>https://www.google.com/url?sa=t&amp;rct=j&amp;q=&amp;esrc=s&amp;source=web&amp;cd=&amp;ved=2ahUKEwjQ5_jh9fb_AhWI7GEKHfejDCQQFnoECA4QAw&amp;url=https%3A%2F%2Fhollandcircularhotspot.nl%2Fwp-content%2Fuploads%2F2021%2F04%2FReport_Waste_Management_Mexico_20210322.pdf&amp;usg=AOvVaw01Pbg7ALkA0O-bpiHJbc1J&amp;opi=89978449</t>
  </si>
  <si>
    <t>https://unstats.un.org/UNSDWebsite/</t>
  </si>
  <si>
    <t>UK local authority and regional greenhouse gas emissions national statistics, 2005 to 2021</t>
  </si>
  <si>
    <t>https://www.gov.uk/government/statistics/uk-local-authority-and-regional-greenhouse-gas-emissions-national-statistics-2005-to-2021</t>
  </si>
  <si>
    <t>都における最終エネルギー消費及び温室効果ガス排出量総合調査 - 2021年度速報値</t>
  </si>
  <si>
    <t>NYC Greenhouse Gas Inventories</t>
  </si>
  <si>
    <t>https://climate.cityofnewyork.us/initiatives/nyc-greenhouse-gas-inventories/</t>
  </si>
  <si>
    <t>World's most polluted cities 2022 (PM2.5)</t>
  </si>
  <si>
    <t>https://data.globalforestwatch.org/documents/a400422d410b4c158f499b5dbf7a7c66</t>
  </si>
  <si>
    <t>https://www.ajot.com/premium/ajot-commentary-ajots-top-100-container-ports?utm_source=hootsuite&amp;utm_medium=twitter_linkedin_facebook&amp;utm_term=ajot&amp;utm_content=2bb5c9dd-3848-4f84-b2c6-8bfcab6b9388&amp;utm_campaign=</t>
  </si>
  <si>
    <t>SKIB49:Throughput of containers and ro-ro units in major Danish ports by seaport, direction, unit of cargo and unit</t>
  </si>
  <si>
    <t>Transport Analysis</t>
  </si>
  <si>
    <t>Shipping goods 2022</t>
  </si>
  <si>
    <t>https://www.trafa.se/en/maritime-transport/shipping-goods/</t>
  </si>
  <si>
    <t>Port Data - Container Traffic</t>
  </si>
  <si>
    <t>Administration Report 2021-22</t>
  </si>
  <si>
    <t>名古屋港管理組合</t>
  </si>
  <si>
    <t>タイ港湾公社 - 港湾概要</t>
  </si>
  <si>
    <t>https://www.port-of-nagoya.jp/shokai/international/1001123.html</t>
  </si>
  <si>
    <t>港湾別コンテナ取扱量（TEU)ランキング（2021年速報値）</t>
  </si>
  <si>
    <t>2023 Port Performance Freight Statistics Program: Annual Report to Congress</t>
  </si>
  <si>
    <t>https://rosap.ntl.bts.gov/view/dot/65990</t>
  </si>
  <si>
    <t>Annual Report &amp;Financial Statements 2022</t>
  </si>
  <si>
    <t>Annual Report 2022</t>
  </si>
  <si>
    <t>https://vuosikertomus2022.portofhelsinki.fi/en/cargo/</t>
  </si>
  <si>
    <t>Rome2Rio Pty Ltd</t>
  </si>
  <si>
    <t>Rome2Rio</t>
  </si>
  <si>
    <t>https://www.rome2rio.com/</t>
  </si>
  <si>
    <t>平成30年住宅・土地統計調査　住宅及び世帯に関する基本集計</t>
  </si>
  <si>
    <t>https://www.e-stat.go.jp/stat-search/files?page=1&amp;layout=datalist&amp;toukei=00200522&amp;tstat=000001127155&amp;cycle=0&amp;year=20180&amp;month=0&amp;tclass1=000001129435&amp;tclass2=000001129436</t>
  </si>
  <si>
    <t>https://www.tomtom.com/traffic-index/ranking/</t>
  </si>
  <si>
    <t>SanFrancisco</t>
  </si>
  <si>
    <t>Washington</t>
  </si>
  <si>
    <t>NewYork</t>
  </si>
  <si>
    <t xml:space="preserve">Price of Travel </t>
  </si>
  <si>
    <t>PRICE GUIDE</t>
  </si>
  <si>
    <t>https://www.priceoftravel.com/</t>
  </si>
  <si>
    <t>Bettertaxi.com</t>
  </si>
  <si>
    <t>Taxi fares are based on the current taxi tariffs of Geneva</t>
  </si>
  <si>
    <t>https://www.bettertaxi.com/taxi-fare-calculator/geneva/</t>
  </si>
  <si>
    <t>Taxi fares are based on the current taxi tariffs of Frankfurt am Main</t>
  </si>
  <si>
    <t>https://www.bettertaxi.com/taxi-fare-calculator/frankfurt/</t>
  </si>
  <si>
    <t>一般社団法人 東京ハイヤー・タクシー協会</t>
  </si>
  <si>
    <t>タクシー運賃料金表</t>
  </si>
  <si>
    <t>https://www.taxi-tokyo.or.jp/call/pricelist.html</t>
  </si>
  <si>
    <t>Beck Taxi Ltd.</t>
  </si>
  <si>
    <t>What are the current rates set by the city of Toronto?</t>
  </si>
  <si>
    <t>https://becktaxi.com/pages/faq</t>
  </si>
  <si>
    <t>NYC Taxi &amp; Limousine Commission</t>
  </si>
  <si>
    <t>Taxi Fare</t>
  </si>
  <si>
    <t>https://www1.nyc.gov/site/tlc/passengers/taxi-fare.page</t>
  </si>
  <si>
    <t>Taxigator.net</t>
  </si>
  <si>
    <t>Taxi fares in Johannesburg 2023. STANDARD Class</t>
  </si>
  <si>
    <t>https://taxi-johannesburg-za.taxigator.net/</t>
  </si>
  <si>
    <t>要チェック▶</t>
    <rPh sb="0" eb="1">
      <t>ヨウ</t>
    </rPh>
    <phoneticPr fontId="5"/>
  </si>
  <si>
    <t>Crunchbaseに掲載されている対象都市で起業されたスタートアップ数の直近3年間の平均値。</t>
    <phoneticPr fontId="5"/>
  </si>
  <si>
    <t>World Stadiumsに掲載されている対象都市に所在するスタジアム数(収容人数10,000人以上、大学など教育施設構内のスタジアムは除く)。</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</si>
</sst>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76" formatCode="&quot;¥&quot;#,##0_);[Red]\(&quot;¥&quot;#,##0\)"/>
    <numFmt numFmtId="177" formatCode="&quot;¥&quot;#,##0.00_);[Red]\(&quot;¥&quot;#,##0.00\)"/>
    <numFmt numFmtId="178" formatCode="#,##0_ "/>
    <numFmt numFmtId="179" formatCode="0.0%"/>
    <numFmt numFmtId="180" formatCode="#,##0.0_ "/>
    <numFmt numFmtId="181" formatCode="#,##0.00_ "/>
    <numFmt numFmtId="182" formatCode="0.0;&quot;▲ &quot;0.0"/>
    <numFmt numFmtId="183" formatCode="0;&quot;▲ &quot;0"/>
    <numFmt numFmtId="184" formatCode="#,##0.0"/>
    <numFmt numFmtId="185" formatCode="0.0_);[Red]\(0.0\)"/>
    <numFmt numFmtId="186" formatCode="0.00_);[Red]\(0.00\)"/>
    <numFmt numFmtId="187" formatCode="0.0"/>
    <numFmt numFmtId="188" formatCode="0_);[Red]\(0\)"/>
    <numFmt numFmtId="189" formatCode="&quot;#&quot;0"/>
    <numFmt numFmtId="190" formatCode="\△0;\▼0;&quot;&quot;"/>
    <numFmt numFmtId="191" formatCode="\+0;\-0;0"/>
    <numFmt numFmtId="192" formatCode="0.0_ "/>
    <numFmt numFmtId="193" formatCode="#,##0.0000_ "/>
    <numFmt numFmtId="194" formatCode="_-* #,##0.00_-;\-* #,##0.00_-;_-* &quot;-&quot;??_-;_-@_-"/>
    <numFmt numFmtId="195" formatCode="General_)"/>
    <numFmt numFmtId="196" formatCode="\+0.0;\-0.0;0.0"/>
  </numFmts>
  <fonts count="66">
    <font>
      <sz val="9"/>
      <name val="游ゴシック"/>
      <family val="2"/>
      <charset val="128"/>
    </font>
    <font>
      <sz val="11"/>
      <color theme="1"/>
      <name val="游ゴシック"/>
      <family val="2"/>
      <charset val="128"/>
      <scheme val="minor"/>
    </font>
    <font>
      <sz val="9"/>
      <color theme="1"/>
      <name val="游ゴシック"/>
      <family val="2"/>
      <charset val="128"/>
    </font>
    <font>
      <sz val="9"/>
      <color theme="1"/>
      <name val="游ゴシック"/>
      <family val="2"/>
      <charset val="128"/>
    </font>
    <font>
      <sz val="9"/>
      <color theme="1"/>
      <name val="游ゴシック"/>
      <family val="2"/>
      <charset val="128"/>
    </font>
    <font>
      <sz val="6"/>
      <name val="游ゴシック"/>
      <family val="2"/>
      <charset val="128"/>
    </font>
    <font>
      <sz val="9"/>
      <color theme="1"/>
      <name val="游ゴシック"/>
      <family val="2"/>
      <charset val="128"/>
    </font>
    <font>
      <sz val="18"/>
      <color theme="3"/>
      <name val="游ゴシック Light"/>
      <family val="2"/>
      <charset val="128"/>
      <scheme val="major"/>
    </font>
    <font>
      <sz val="9"/>
      <color theme="1"/>
      <name val="游ゴシック"/>
      <family val="3"/>
      <charset val="128"/>
    </font>
    <font>
      <sz val="6"/>
      <name val="游ゴシック"/>
      <family val="2"/>
      <charset val="128"/>
      <scheme val="minor"/>
    </font>
    <font>
      <sz val="9"/>
      <color rgb="FF000000"/>
      <name val="游ゴシック"/>
      <family val="3"/>
      <charset val="128"/>
    </font>
    <font>
      <sz val="9"/>
      <name val="游ゴシック"/>
      <family val="3"/>
      <charset val="128"/>
    </font>
    <font>
      <b/>
      <sz val="9"/>
      <color indexed="81"/>
      <name val="ＭＳ Ｐゴシック"/>
      <family val="3"/>
      <charset val="128"/>
    </font>
    <font>
      <sz val="9"/>
      <color rgb="FFFF0000"/>
      <name val="游ゴシック"/>
      <family val="3"/>
      <charset val="128"/>
    </font>
    <font>
      <sz val="9"/>
      <name val="游ゴシック"/>
      <family val="2"/>
      <charset val="128"/>
    </font>
    <font>
      <sz val="9"/>
      <color theme="0" tint="-0.34998626667073579"/>
      <name val="游ゴシック"/>
      <family val="3"/>
      <charset val="128"/>
    </font>
    <font>
      <b/>
      <sz val="9"/>
      <color theme="1"/>
      <name val="游ゴシック"/>
      <family val="3"/>
      <charset val="128"/>
    </font>
    <font>
      <b/>
      <sz val="8"/>
      <name val="游ゴシック"/>
      <family val="3"/>
      <charset val="128"/>
    </font>
    <font>
      <b/>
      <sz val="9"/>
      <name val="游ゴシック"/>
      <family val="3"/>
      <charset val="128"/>
    </font>
    <font>
      <sz val="8"/>
      <name val="游ゴシック"/>
      <family val="3"/>
      <charset val="128"/>
    </font>
    <font>
      <b/>
      <sz val="9"/>
      <color rgb="FFFF0000"/>
      <name val="游ゴシック"/>
      <family val="3"/>
      <charset val="128"/>
    </font>
    <font>
      <sz val="6"/>
      <name val="游ゴシック"/>
      <family val="3"/>
      <charset val="128"/>
      <scheme val="minor"/>
    </font>
    <font>
      <b/>
      <sz val="15"/>
      <color theme="3"/>
      <name val="游ゴシック"/>
      <family val="2"/>
      <charset val="128"/>
    </font>
    <font>
      <b/>
      <sz val="13"/>
      <color theme="3"/>
      <name val="游ゴシック"/>
      <family val="2"/>
      <charset val="128"/>
    </font>
    <font>
      <b/>
      <sz val="11"/>
      <color theme="3"/>
      <name val="游ゴシック"/>
      <family val="2"/>
      <charset val="128"/>
    </font>
    <font>
      <sz val="9"/>
      <color rgb="FF006100"/>
      <name val="游ゴシック"/>
      <family val="2"/>
      <charset val="128"/>
    </font>
    <font>
      <sz val="9"/>
      <color rgb="FF9C0006"/>
      <name val="游ゴシック"/>
      <family val="2"/>
      <charset val="128"/>
    </font>
    <font>
      <sz val="9"/>
      <color rgb="FF9C5700"/>
      <name val="游ゴシック"/>
      <family val="2"/>
      <charset val="128"/>
    </font>
    <font>
      <sz val="9"/>
      <color rgb="FF3F3F76"/>
      <name val="游ゴシック"/>
      <family val="2"/>
      <charset val="128"/>
    </font>
    <font>
      <b/>
      <sz val="9"/>
      <color rgb="FF3F3F3F"/>
      <name val="游ゴシック"/>
      <family val="2"/>
      <charset val="128"/>
    </font>
    <font>
      <b/>
      <sz val="9"/>
      <color rgb="FFFA7D00"/>
      <name val="游ゴシック"/>
      <family val="2"/>
      <charset val="128"/>
    </font>
    <font>
      <sz val="9"/>
      <color rgb="FFFA7D00"/>
      <name val="游ゴシック"/>
      <family val="2"/>
      <charset val="128"/>
    </font>
    <font>
      <b/>
      <sz val="9"/>
      <color theme="0"/>
      <name val="游ゴシック"/>
      <family val="2"/>
      <charset val="128"/>
    </font>
    <font>
      <sz val="9"/>
      <color rgb="FFFF0000"/>
      <name val="游ゴシック"/>
      <family val="2"/>
      <charset val="128"/>
    </font>
    <font>
      <i/>
      <sz val="9"/>
      <color rgb="FF7F7F7F"/>
      <name val="游ゴシック"/>
      <family val="2"/>
      <charset val="128"/>
    </font>
    <font>
      <b/>
      <sz val="9"/>
      <color theme="1"/>
      <name val="游ゴシック"/>
      <family val="2"/>
      <charset val="128"/>
    </font>
    <font>
      <sz val="9"/>
      <color theme="0"/>
      <name val="游ゴシック"/>
      <family val="2"/>
      <charset val="128"/>
    </font>
    <font>
      <b/>
      <sz val="9"/>
      <color theme="0"/>
      <name val="游ゴシック"/>
      <family val="3"/>
      <charset val="128"/>
    </font>
    <font>
      <sz val="8"/>
      <color theme="1"/>
      <name val="游ゴシック"/>
      <family val="3"/>
      <charset val="128"/>
    </font>
    <font>
      <u/>
      <sz val="11"/>
      <color indexed="12"/>
      <name val="ＭＳ Ｐゴシック"/>
      <family val="3"/>
      <charset val="128"/>
    </font>
    <font>
      <sz val="9"/>
      <color theme="4"/>
      <name val="游ゴシック"/>
      <family val="3"/>
      <charset val="128"/>
    </font>
    <font>
      <b/>
      <u/>
      <sz val="11"/>
      <color rgb="FF0000FF"/>
      <name val="HGS創英角ｺﾞｼｯｸUB"/>
      <family val="3"/>
      <charset val="128"/>
    </font>
    <font>
      <u/>
      <sz val="9"/>
      <name val="游ゴシック"/>
      <family val="3"/>
      <charset val="128"/>
    </font>
    <font>
      <b/>
      <sz val="8"/>
      <color rgb="FFFF0000"/>
      <name val="游ゴシック"/>
      <family val="3"/>
      <charset val="128"/>
    </font>
    <font>
      <sz val="9"/>
      <color rgb="FF0070C0"/>
      <name val="游ゴシック"/>
      <family val="3"/>
      <charset val="128"/>
    </font>
    <font>
      <b/>
      <sz val="9"/>
      <color theme="8"/>
      <name val="游ゴシック"/>
      <family val="3"/>
      <charset val="128"/>
    </font>
    <font>
      <b/>
      <sz val="8"/>
      <color theme="1"/>
      <name val="Yu Gothic UI"/>
      <family val="3"/>
      <charset val="128"/>
    </font>
    <font>
      <sz val="11"/>
      <color theme="1"/>
      <name val="游ゴシック"/>
      <family val="2"/>
      <scheme val="minor"/>
    </font>
    <font>
      <sz val="11"/>
      <name val="Arial"/>
      <family val="2"/>
    </font>
    <font>
      <sz val="10"/>
      <name val="Arial"/>
      <family val="2"/>
    </font>
    <font>
      <u/>
      <sz val="6.75"/>
      <color indexed="12"/>
      <name val="Tms Rmn"/>
    </font>
    <font>
      <sz val="9"/>
      <name val="Times"/>
      <family val="1"/>
    </font>
    <font>
      <b/>
      <sz val="10"/>
      <name val="Arial"/>
      <family val="2"/>
    </font>
    <font>
      <b/>
      <sz val="8"/>
      <name val="Arial"/>
      <family val="2"/>
    </font>
    <font>
      <sz val="10"/>
      <name val="MS Sans Serif"/>
      <family val="2"/>
    </font>
    <font>
      <sz val="10"/>
      <color indexed="0"/>
      <name val="Helv"/>
    </font>
    <font>
      <u/>
      <sz val="11"/>
      <color theme="10"/>
      <name val="游ゴシック"/>
      <family val="2"/>
      <scheme val="minor"/>
    </font>
    <font>
      <sz val="11"/>
      <color rgb="FF000000"/>
      <name val="Calibri"/>
      <family val="2"/>
    </font>
    <font>
      <b/>
      <sz val="9"/>
      <name val="Arial"/>
      <family val="2"/>
      <charset val="177"/>
    </font>
    <font>
      <b/>
      <sz val="6"/>
      <name val="Arial"/>
      <family val="2"/>
      <charset val="177"/>
    </font>
    <font>
      <b/>
      <sz val="7"/>
      <name val="Switzerland"/>
      <family val="2"/>
      <charset val="177"/>
    </font>
    <font>
      <b/>
      <sz val="9"/>
      <name val="Switzerland"/>
      <family val="2"/>
      <charset val="177"/>
    </font>
    <font>
      <sz val="7"/>
      <name val="Switzerland"/>
      <family val="2"/>
      <charset val="177"/>
    </font>
    <font>
      <sz val="6"/>
      <name val="Switzerland"/>
      <family val="2"/>
      <charset val="177"/>
    </font>
    <font>
      <b/>
      <sz val="9"/>
      <color indexed="81"/>
      <name val="MS P ゴシック"/>
      <family val="3"/>
      <charset val="128"/>
    </font>
    <font>
      <sz val="9"/>
      <color indexed="81"/>
      <name val="MS P ゴシック"/>
      <family val="3"/>
      <charset val="128"/>
    </font>
  </fonts>
  <fills count="71">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837D9C"/>
        <bgColor indexed="64"/>
      </patternFill>
    </fill>
    <fill>
      <patternFill patternType="solid">
        <fgColor rgb="FF8091A9"/>
        <bgColor indexed="64"/>
      </patternFill>
    </fill>
    <fill>
      <patternFill patternType="solid">
        <fgColor rgb="FFB07994"/>
        <bgColor indexed="64"/>
      </patternFill>
    </fill>
    <fill>
      <patternFill patternType="solid">
        <fgColor rgb="FF549AA3"/>
        <bgColor indexed="64"/>
      </patternFill>
    </fill>
    <fill>
      <patternFill patternType="solid">
        <fgColor rgb="FF9BA168"/>
        <bgColor indexed="64"/>
      </patternFill>
    </fill>
    <fill>
      <patternFill patternType="solid">
        <fgColor rgb="FFD78E55"/>
        <bgColor indexed="64"/>
      </patternFill>
    </fill>
    <fill>
      <patternFill patternType="solid">
        <fgColor rgb="FFDCDBE5"/>
        <bgColor indexed="64"/>
      </patternFill>
    </fill>
    <fill>
      <patternFill patternType="solid">
        <fgColor rgb="FFE1E4EB"/>
        <bgColor indexed="64"/>
      </patternFill>
    </fill>
    <fill>
      <patternFill patternType="solid">
        <fgColor rgb="FFE9DBE2"/>
        <bgColor indexed="64"/>
      </patternFill>
    </fill>
    <fill>
      <patternFill patternType="solid">
        <fgColor rgb="FFD8E4E8"/>
        <bgColor indexed="64"/>
      </patternFill>
    </fill>
    <fill>
      <patternFill patternType="solid">
        <fgColor rgb="FFE2E6D2"/>
        <bgColor indexed="64"/>
      </patternFill>
    </fill>
    <fill>
      <patternFill patternType="solid">
        <fgColor rgb="FFF5E1CF"/>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8"/>
        <bgColor indexed="64"/>
      </patternFill>
    </fill>
    <fill>
      <patternFill patternType="solid">
        <fgColor theme="7"/>
        <bgColor indexed="64"/>
      </patternFill>
    </fill>
    <fill>
      <patternFill patternType="solid">
        <fgColor rgb="FFFFF4D5"/>
        <bgColor indexed="64"/>
      </patternFill>
    </fill>
    <fill>
      <patternFill patternType="solid">
        <fgColor theme="2"/>
        <bgColor indexed="64"/>
      </patternFill>
    </fill>
    <fill>
      <patternFill patternType="solid">
        <fgColor rgb="FFDB5334"/>
        <bgColor indexed="64"/>
      </patternFill>
    </fill>
    <fill>
      <patternFill patternType="solid">
        <fgColor rgb="FFFABF1C"/>
        <bgColor indexed="64"/>
      </patternFill>
    </fill>
    <fill>
      <patternFill patternType="solid">
        <fgColor rgb="FF237FC4"/>
        <bgColor indexed="64"/>
      </patternFill>
    </fill>
    <fill>
      <patternFill patternType="solid">
        <fgColor rgb="FF90C31F"/>
        <bgColor indexed="64"/>
      </patternFill>
    </fill>
    <fill>
      <patternFill patternType="solid">
        <fgColor rgb="FF9170AF"/>
        <bgColor indexed="64"/>
      </patternFill>
    </fill>
    <fill>
      <patternFill patternType="solid">
        <fgColor rgb="FFB83465"/>
        <bgColor indexed="64"/>
      </patternFill>
    </fill>
    <fill>
      <patternFill patternType="solid">
        <fgColor rgb="FF7A882E"/>
        <bgColor indexed="64"/>
      </patternFill>
    </fill>
    <fill>
      <patternFill patternType="solid">
        <fgColor rgb="FF009E96"/>
        <bgColor indexed="64"/>
      </patternFill>
    </fill>
    <fill>
      <patternFill patternType="solid">
        <fgColor rgb="FFF3981F"/>
        <bgColor indexed="64"/>
      </patternFill>
    </fill>
    <fill>
      <patternFill patternType="solid">
        <fgColor rgb="FFBB641D"/>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D186FA"/>
        <bgColor indexed="64"/>
      </patternFill>
    </fill>
    <fill>
      <patternFill patternType="solid">
        <fgColor theme="9" tint="0.59999389629810485"/>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style="thin">
        <color indexed="64"/>
      </right>
      <top style="thin">
        <color rgb="FF000000"/>
      </top>
      <bottom style="thin">
        <color indexed="64"/>
      </bottom>
      <diagonal/>
    </border>
    <border>
      <left style="thin">
        <color rgb="FF000000"/>
      </left>
      <right style="thin">
        <color indexed="64"/>
      </right>
      <top style="thin">
        <color indexed="64"/>
      </top>
      <bottom style="thin">
        <color indexed="64"/>
      </bottom>
      <diagonal/>
    </border>
    <border>
      <left style="thin">
        <color rgb="FF000000"/>
      </left>
      <right style="thin">
        <color indexed="64"/>
      </right>
      <top style="thin">
        <color indexed="64"/>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90">
    <xf numFmtId="0" fontId="0" fillId="0" borderId="0">
      <alignment vertical="center"/>
    </xf>
    <xf numFmtId="9" fontId="6" fillId="0" borderId="0" applyFont="0" applyFill="0" applyBorder="0" applyAlignment="0" applyProtection="0">
      <alignment vertical="center"/>
    </xf>
    <xf numFmtId="38" fontId="6" fillId="0" borderId="0" applyFont="0" applyFill="0" applyBorder="0" applyAlignment="0" applyProtection="0">
      <alignment vertical="center"/>
    </xf>
    <xf numFmtId="40" fontId="6" fillId="0" borderId="0" applyFont="0" applyFill="0" applyBorder="0" applyAlignment="0" applyProtection="0">
      <alignment vertical="center"/>
    </xf>
    <xf numFmtId="177" fontId="6" fillId="0" borderId="0" applyFont="0" applyFill="0" applyBorder="0" applyAlignment="0" applyProtection="0">
      <alignment vertical="center"/>
    </xf>
    <xf numFmtId="176" fontId="6" fillId="0" borderId="0" applyFont="0" applyFill="0" applyBorder="0" applyAlignment="0" applyProtection="0">
      <alignment vertical="center"/>
    </xf>
    <xf numFmtId="0" fontId="7" fillId="0" borderId="0" applyNumberFormat="0" applyFill="0" applyBorder="0" applyAlignment="0" applyProtection="0">
      <alignment vertical="center"/>
    </xf>
    <xf numFmtId="0" fontId="22" fillId="0" borderId="9" applyNumberFormat="0" applyFill="0" applyAlignment="0" applyProtection="0">
      <alignment vertical="center"/>
    </xf>
    <xf numFmtId="0" fontId="23" fillId="0" borderId="10" applyNumberFormat="0" applyFill="0" applyAlignment="0" applyProtection="0">
      <alignment vertical="center"/>
    </xf>
    <xf numFmtId="0" fontId="24" fillId="0" borderId="11" applyNumberFormat="0" applyFill="0" applyAlignment="0" applyProtection="0">
      <alignment vertical="center"/>
    </xf>
    <xf numFmtId="0" fontId="24" fillId="0" borderId="0" applyNumberFormat="0" applyFill="0" applyBorder="0" applyAlignment="0" applyProtection="0">
      <alignment vertical="center"/>
    </xf>
    <xf numFmtId="0" fontId="25" fillId="6" borderId="0" applyNumberFormat="0" applyBorder="0" applyAlignment="0" applyProtection="0">
      <alignment vertical="center"/>
    </xf>
    <xf numFmtId="0" fontId="26" fillId="7" borderId="0" applyNumberFormat="0" applyBorder="0" applyAlignment="0" applyProtection="0">
      <alignment vertical="center"/>
    </xf>
    <xf numFmtId="0" fontId="27" fillId="8" borderId="0" applyNumberFormat="0" applyBorder="0" applyAlignment="0" applyProtection="0">
      <alignment vertical="center"/>
    </xf>
    <xf numFmtId="0" fontId="28" fillId="9" borderId="12" applyNumberFormat="0" applyAlignment="0" applyProtection="0">
      <alignment vertical="center"/>
    </xf>
    <xf numFmtId="0" fontId="29" fillId="10" borderId="13" applyNumberFormat="0" applyAlignment="0" applyProtection="0">
      <alignment vertical="center"/>
    </xf>
    <xf numFmtId="0" fontId="30" fillId="10" borderId="12" applyNumberFormat="0" applyAlignment="0" applyProtection="0">
      <alignment vertical="center"/>
    </xf>
    <xf numFmtId="0" fontId="31" fillId="0" borderId="14" applyNumberFormat="0" applyFill="0" applyAlignment="0" applyProtection="0">
      <alignment vertical="center"/>
    </xf>
    <xf numFmtId="0" fontId="32" fillId="11" borderId="15" applyNumberFormat="0" applyAlignment="0" applyProtection="0">
      <alignment vertical="center"/>
    </xf>
    <xf numFmtId="0" fontId="33" fillId="0" borderId="0" applyNumberFormat="0" applyFill="0" applyBorder="0" applyAlignment="0" applyProtection="0">
      <alignment vertical="center"/>
    </xf>
    <xf numFmtId="0" fontId="6" fillId="12" borderId="16" applyNumberFormat="0" applyFont="0" applyAlignment="0" applyProtection="0">
      <alignment vertical="center"/>
    </xf>
    <xf numFmtId="0" fontId="34" fillId="0" borderId="0" applyNumberFormat="0" applyFill="0" applyBorder="0" applyAlignment="0" applyProtection="0">
      <alignment vertical="center"/>
    </xf>
    <xf numFmtId="0" fontId="35" fillId="0" borderId="17" applyNumberFormat="0" applyFill="0" applyAlignment="0" applyProtection="0">
      <alignment vertical="center"/>
    </xf>
    <xf numFmtId="0" fontId="3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36" fillId="17"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36" fillId="21"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4" borderId="0" applyNumberFormat="0" applyBorder="0" applyAlignment="0" applyProtection="0">
      <alignment vertical="center"/>
    </xf>
    <xf numFmtId="0" fontId="36" fillId="25"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28" borderId="0" applyNumberFormat="0" applyBorder="0" applyAlignment="0" applyProtection="0">
      <alignment vertical="center"/>
    </xf>
    <xf numFmtId="0" fontId="36" fillId="29"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32" borderId="0" applyNumberFormat="0" applyBorder="0" applyAlignment="0" applyProtection="0">
      <alignment vertical="center"/>
    </xf>
    <xf numFmtId="0" fontId="36" fillId="33" borderId="0" applyNumberFormat="0" applyBorder="0" applyAlignment="0" applyProtection="0">
      <alignment vertical="center"/>
    </xf>
    <xf numFmtId="0" fontId="6" fillId="34" borderId="0" applyNumberFormat="0" applyBorder="0" applyAlignment="0" applyProtection="0">
      <alignment vertical="center"/>
    </xf>
    <xf numFmtId="0" fontId="6" fillId="35" borderId="0" applyNumberFormat="0" applyBorder="0" applyAlignment="0" applyProtection="0">
      <alignment vertical="center"/>
    </xf>
    <xf numFmtId="0" fontId="6" fillId="36" borderId="0" applyNumberFormat="0" applyBorder="0" applyAlignment="0" applyProtection="0">
      <alignment vertical="center"/>
    </xf>
    <xf numFmtId="0" fontId="3" fillId="0" borderId="0">
      <alignment vertical="center"/>
    </xf>
    <xf numFmtId="0" fontId="14" fillId="0" borderId="0">
      <alignment vertical="center"/>
    </xf>
    <xf numFmtId="0" fontId="2" fillId="0" borderId="0">
      <alignment vertical="center"/>
    </xf>
    <xf numFmtId="9" fontId="2" fillId="0" borderId="0" applyFont="0" applyFill="0" applyBorder="0" applyAlignment="0" applyProtection="0">
      <alignment vertical="center"/>
    </xf>
    <xf numFmtId="0" fontId="14" fillId="0" borderId="0">
      <alignment vertical="center"/>
    </xf>
    <xf numFmtId="0" fontId="14" fillId="0" borderId="0">
      <alignment vertical="center"/>
    </xf>
    <xf numFmtId="38" fontId="2" fillId="0" borderId="0" applyFont="0" applyFill="0" applyBorder="0" applyAlignment="0" applyProtection="0">
      <alignment vertical="center"/>
    </xf>
    <xf numFmtId="0" fontId="48" fillId="0" borderId="0">
      <alignment vertical="center"/>
    </xf>
    <xf numFmtId="0" fontId="47" fillId="0" borderId="0"/>
    <xf numFmtId="0" fontId="49" fillId="0" borderId="0"/>
    <xf numFmtId="0" fontId="2" fillId="0" borderId="0">
      <alignment vertical="center"/>
    </xf>
    <xf numFmtId="0" fontId="50" fillId="0" borderId="0" applyNumberFormat="0" applyFill="0" applyBorder="0" applyAlignment="0" applyProtection="0">
      <alignment vertical="top"/>
      <protection locked="0"/>
    </xf>
    <xf numFmtId="0" fontId="51" fillId="0" borderId="0"/>
    <xf numFmtId="0" fontId="49" fillId="0" borderId="0"/>
    <xf numFmtId="0" fontId="52" fillId="0" borderId="0" applyNumberFormat="0" applyFill="0" applyBorder="0" applyProtection="0"/>
    <xf numFmtId="0" fontId="53" fillId="0" borderId="0" applyNumberFormat="0" applyFill="0" applyBorder="0" applyProtection="0"/>
    <xf numFmtId="0" fontId="39" fillId="0" borderId="0" applyNumberFormat="0" applyFill="0" applyBorder="0" applyAlignment="0" applyProtection="0">
      <alignment vertical="top"/>
      <protection locked="0"/>
    </xf>
    <xf numFmtId="0" fontId="49" fillId="0" borderId="0"/>
    <xf numFmtId="0" fontId="54" fillId="0" borderId="0"/>
    <xf numFmtId="194" fontId="47" fillId="0" borderId="0" applyFont="0" applyFill="0" applyBorder="0" applyAlignment="0" applyProtection="0"/>
    <xf numFmtId="38" fontId="2" fillId="0" borderId="0" applyFont="0" applyFill="0" applyBorder="0" applyAlignment="0" applyProtection="0">
      <alignment vertical="center"/>
    </xf>
    <xf numFmtId="0" fontId="1" fillId="0" borderId="0">
      <alignment vertical="center"/>
    </xf>
    <xf numFmtId="9" fontId="47" fillId="0" borderId="0" applyFont="0" applyFill="0" applyBorder="0" applyAlignment="0" applyProtection="0"/>
    <xf numFmtId="9" fontId="14" fillId="0" borderId="0" applyFont="0" applyFill="0" applyBorder="0" applyAlignment="0" applyProtection="0">
      <alignment vertical="center"/>
    </xf>
    <xf numFmtId="0" fontId="49" fillId="0" borderId="0"/>
    <xf numFmtId="9" fontId="2" fillId="0" borderId="0" applyFont="0" applyFill="0" applyBorder="0" applyAlignment="0" applyProtection="0">
      <alignment vertical="center"/>
    </xf>
    <xf numFmtId="0" fontId="49" fillId="0" borderId="0"/>
    <xf numFmtId="40" fontId="2" fillId="0" borderId="0" applyFont="0" applyFill="0" applyBorder="0" applyAlignment="0" applyProtection="0">
      <alignment vertical="center"/>
    </xf>
    <xf numFmtId="0" fontId="47" fillId="0" borderId="0"/>
    <xf numFmtId="0" fontId="55" fillId="0" borderId="0"/>
    <xf numFmtId="0" fontId="56" fillId="0" borderId="0" applyNumberFormat="0" applyFill="0" applyBorder="0" applyAlignment="0" applyProtection="0"/>
    <xf numFmtId="0" fontId="57" fillId="0" borderId="0" applyNumberFormat="0" applyBorder="0" applyAlignment="0"/>
    <xf numFmtId="0" fontId="47" fillId="0" borderId="0"/>
    <xf numFmtId="194" fontId="47" fillId="0" borderId="0" applyFont="0" applyFill="0" applyBorder="0" applyAlignment="0" applyProtection="0"/>
    <xf numFmtId="0" fontId="49" fillId="0" borderId="0" applyNumberFormat="0" applyFill="0" applyBorder="0" applyAlignment="0" applyProtection="0"/>
    <xf numFmtId="195" fontId="60" fillId="0" borderId="0" applyNumberFormat="0" applyFill="0" applyBorder="0" applyProtection="0">
      <alignment horizontal="center" vertical="center"/>
    </xf>
    <xf numFmtId="195" fontId="59" fillId="0" borderId="0" applyNumberFormat="0" applyBorder="0" applyAlignment="0">
      <alignment horizontal="left" readingOrder="1"/>
    </xf>
    <xf numFmtId="195" fontId="61" fillId="0" borderId="0" applyNumberFormat="0" applyFill="0" applyBorder="0" applyProtection="0"/>
    <xf numFmtId="195" fontId="58" fillId="0" borderId="0" applyNumberFormat="0" applyBorder="0" applyAlignment="0">
      <alignment horizontal="centerContinuous"/>
    </xf>
    <xf numFmtId="195" fontId="62" fillId="0" borderId="0" applyNumberFormat="0" applyFill="0" applyBorder="0" applyProtection="0">
      <alignment horizontal="center"/>
    </xf>
    <xf numFmtId="0" fontId="49" fillId="0" borderId="0"/>
    <xf numFmtId="195" fontId="63" fillId="0" borderId="0" applyNumberFormat="0" applyFill="0" applyBorder="0" applyProtection="0">
      <alignment horizontal="center" vertical="center"/>
    </xf>
    <xf numFmtId="0" fontId="1" fillId="0" borderId="0">
      <alignment vertical="center"/>
    </xf>
  </cellStyleXfs>
  <cellXfs count="469">
    <xf numFmtId="0" fontId="0" fillId="0" borderId="0" xfId="0">
      <alignment vertical="center"/>
    </xf>
    <xf numFmtId="0" fontId="0" fillId="2" borderId="1" xfId="0" applyFill="1" applyBorder="1">
      <alignment vertical="center"/>
    </xf>
    <xf numFmtId="0" fontId="0" fillId="0" borderId="0" xfId="0" applyAlignment="1">
      <alignment horizontal="center" vertical="center"/>
    </xf>
    <xf numFmtId="0" fontId="0" fillId="2" borderId="1" xfId="0" applyFill="1" applyBorder="1" applyAlignment="1">
      <alignment horizontal="center" vertical="center"/>
    </xf>
    <xf numFmtId="182" fontId="0" fillId="0" borderId="1" xfId="0" applyNumberFormat="1" applyBorder="1" applyAlignment="1">
      <alignment horizontal="center" vertical="center"/>
    </xf>
    <xf numFmtId="178" fontId="0" fillId="0" borderId="1" xfId="0" applyNumberFormat="1" applyBorder="1">
      <alignment vertical="center"/>
    </xf>
    <xf numFmtId="179" fontId="0" fillId="0" borderId="1" xfId="0" applyNumberFormat="1" applyBorder="1">
      <alignment vertical="center"/>
    </xf>
    <xf numFmtId="180" fontId="0" fillId="0" borderId="1" xfId="0" applyNumberFormat="1" applyBorder="1">
      <alignment vertical="center"/>
    </xf>
    <xf numFmtId="181" fontId="0" fillId="0" borderId="1" xfId="0" applyNumberFormat="1" applyBorder="1">
      <alignment vertical="center"/>
    </xf>
    <xf numFmtId="9" fontId="0" fillId="0" borderId="1" xfId="0" applyNumberFormat="1" applyBorder="1">
      <alignment vertical="center"/>
    </xf>
    <xf numFmtId="10" fontId="0" fillId="0" borderId="1" xfId="0" applyNumberFormat="1" applyBorder="1">
      <alignment vertical="center"/>
    </xf>
    <xf numFmtId="0" fontId="0" fillId="0" borderId="1" xfId="0" applyBorder="1" applyAlignment="1">
      <alignment horizontal="center" vertical="center"/>
    </xf>
    <xf numFmtId="183" fontId="0" fillId="0" borderId="1" xfId="0" applyNumberFormat="1" applyBorder="1" applyAlignment="1">
      <alignment horizontal="center" vertical="center"/>
    </xf>
    <xf numFmtId="0" fontId="0" fillId="0" borderId="1" xfId="0" applyBorder="1">
      <alignment vertical="center"/>
    </xf>
    <xf numFmtId="0" fontId="6" fillId="0" borderId="1" xfId="0" applyFont="1" applyBorder="1">
      <alignment vertical="center"/>
    </xf>
    <xf numFmtId="180" fontId="0" fillId="0" borderId="0" xfId="0" applyNumberFormat="1">
      <alignment vertical="center"/>
    </xf>
    <xf numFmtId="184" fontId="0" fillId="0" borderId="1" xfId="0" applyNumberFormat="1" applyBorder="1">
      <alignment vertical="center"/>
    </xf>
    <xf numFmtId="185" fontId="0" fillId="0" borderId="1" xfId="0" applyNumberFormat="1" applyBorder="1">
      <alignment vertical="center"/>
    </xf>
    <xf numFmtId="186" fontId="0" fillId="0" borderId="1" xfId="0" applyNumberFormat="1" applyBorder="1">
      <alignment vertical="center"/>
    </xf>
    <xf numFmtId="187" fontId="0" fillId="0" borderId="1" xfId="0" applyNumberFormat="1" applyBorder="1">
      <alignment vertical="center"/>
    </xf>
    <xf numFmtId="0" fontId="15" fillId="0" borderId="0" xfId="0" applyFont="1" applyAlignment="1">
      <alignment horizontal="center" vertical="center"/>
    </xf>
    <xf numFmtId="182" fontId="0" fillId="0" borderId="0" xfId="0" applyNumberFormat="1">
      <alignment vertical="center"/>
    </xf>
    <xf numFmtId="0" fontId="8" fillId="0" borderId="0" xfId="0" applyFont="1" applyAlignment="1">
      <alignment horizontal="center" vertical="center"/>
    </xf>
    <xf numFmtId="182" fontId="8" fillId="0" borderId="1" xfId="0" applyNumberFormat="1" applyFont="1" applyBorder="1" applyAlignment="1">
      <alignment horizontal="center" vertical="center"/>
    </xf>
    <xf numFmtId="0" fontId="11" fillId="0" borderId="0" xfId="0" applyFont="1" applyAlignment="1">
      <alignment horizontal="center" vertical="center"/>
    </xf>
    <xf numFmtId="178" fontId="0" fillId="3" borderId="1" xfId="0" applyNumberFormat="1" applyFill="1" applyBorder="1">
      <alignment vertical="center"/>
    </xf>
    <xf numFmtId="185" fontId="8" fillId="0" borderId="0" xfId="0" applyNumberFormat="1" applyFont="1" applyAlignment="1">
      <alignment horizontal="center" vertical="center"/>
    </xf>
    <xf numFmtId="0" fontId="11" fillId="0" borderId="0" xfId="0" applyFont="1">
      <alignment vertical="center"/>
    </xf>
    <xf numFmtId="0" fontId="16" fillId="0" borderId="0" xfId="0" applyFont="1">
      <alignment vertical="center"/>
    </xf>
    <xf numFmtId="182" fontId="15" fillId="0" borderId="1" xfId="0" applyNumberFormat="1" applyFont="1" applyBorder="1" applyAlignment="1">
      <alignment horizontal="center" vertical="center"/>
    </xf>
    <xf numFmtId="182" fontId="8" fillId="0" borderId="7" xfId="0" applyNumberFormat="1" applyFont="1" applyBorder="1" applyAlignment="1">
      <alignment horizontal="center" vertical="center"/>
    </xf>
    <xf numFmtId="182" fontId="15" fillId="0" borderId="7" xfId="0" applyNumberFormat="1" applyFont="1" applyBorder="1" applyAlignment="1">
      <alignment horizontal="center" vertical="center"/>
    </xf>
    <xf numFmtId="182" fontId="8" fillId="0" borderId="6" xfId="0" applyNumberFormat="1" applyFont="1" applyBorder="1" applyAlignment="1">
      <alignment horizontal="center" vertical="center"/>
    </xf>
    <xf numFmtId="182" fontId="15" fillId="0" borderId="6" xfId="0" applyNumberFormat="1" applyFont="1" applyBorder="1" applyAlignment="1">
      <alignment horizontal="center" vertical="center"/>
    </xf>
    <xf numFmtId="182" fontId="8" fillId="0" borderId="0" xfId="0" applyNumberFormat="1" applyFont="1" applyAlignment="1">
      <alignment horizontal="center" vertical="center"/>
    </xf>
    <xf numFmtId="0" fontId="0" fillId="4" borderId="1" xfId="0" applyFill="1" applyBorder="1" applyAlignment="1">
      <alignment horizontal="center" vertical="center"/>
    </xf>
    <xf numFmtId="0" fontId="0" fillId="4" borderId="1" xfId="0" applyFill="1" applyBorder="1">
      <alignment vertical="center"/>
    </xf>
    <xf numFmtId="0" fontId="0" fillId="0" borderId="1" xfId="0" quotePrefix="1" applyBorder="1">
      <alignment vertical="center"/>
    </xf>
    <xf numFmtId="3" fontId="0" fillId="0" borderId="0" xfId="0" applyNumberFormat="1">
      <alignment vertical="center"/>
    </xf>
    <xf numFmtId="0" fontId="10" fillId="2" borderId="1" xfId="0" applyFont="1" applyFill="1" applyBorder="1">
      <alignment vertical="center"/>
    </xf>
    <xf numFmtId="0" fontId="11" fillId="2" borderId="1" xfId="0" applyFont="1" applyFill="1" applyBorder="1">
      <alignment vertical="center"/>
    </xf>
    <xf numFmtId="0" fontId="11" fillId="2" borderId="1" xfId="0" applyFont="1" applyFill="1" applyBorder="1" applyAlignment="1">
      <alignment horizontal="center" vertical="center"/>
    </xf>
    <xf numFmtId="0" fontId="8" fillId="2" borderId="2" xfId="0" applyFont="1" applyFill="1" applyBorder="1">
      <alignment vertical="center"/>
    </xf>
    <xf numFmtId="0" fontId="8" fillId="2" borderId="1" xfId="0" applyFont="1" applyFill="1" applyBorder="1">
      <alignment vertical="center"/>
    </xf>
    <xf numFmtId="0" fontId="0" fillId="2" borderId="2" xfId="0" applyFill="1" applyBorder="1" applyAlignment="1">
      <alignment horizontal="center" vertical="center"/>
    </xf>
    <xf numFmtId="0" fontId="0" fillId="0" borderId="3" xfId="0" applyBorder="1">
      <alignment vertical="center"/>
    </xf>
    <xf numFmtId="0" fontId="6" fillId="0" borderId="3" xfId="0" applyFont="1" applyBorder="1">
      <alignment vertical="center"/>
    </xf>
    <xf numFmtId="0" fontId="0" fillId="2" borderId="20" xfId="0" applyFill="1" applyBorder="1" applyAlignment="1">
      <alignment horizontal="center" vertical="center"/>
    </xf>
    <xf numFmtId="0" fontId="4" fillId="0" borderId="5" xfId="0" applyFont="1" applyBorder="1">
      <alignment vertical="center"/>
    </xf>
    <xf numFmtId="0" fontId="4" fillId="0" borderId="21" xfId="0" applyFont="1" applyBorder="1">
      <alignment vertical="center"/>
    </xf>
    <xf numFmtId="0" fontId="0" fillId="4" borderId="18" xfId="0" applyFill="1" applyBorder="1" applyAlignment="1">
      <alignment horizontal="center" vertical="center"/>
    </xf>
    <xf numFmtId="0" fontId="0" fillId="4" borderId="6" xfId="0" applyFill="1" applyBorder="1" applyAlignment="1">
      <alignment horizontal="center" vertical="center"/>
    </xf>
    <xf numFmtId="0" fontId="0" fillId="4" borderId="6" xfId="0" applyFill="1" applyBorder="1">
      <alignment vertical="center"/>
    </xf>
    <xf numFmtId="0" fontId="0" fillId="4" borderId="19" xfId="0" applyFill="1" applyBorder="1">
      <alignment vertical="center"/>
    </xf>
    <xf numFmtId="0" fontId="10" fillId="5" borderId="1" xfId="0" applyFont="1" applyFill="1" applyBorder="1" applyAlignment="1">
      <alignment horizontal="center" vertical="center"/>
    </xf>
    <xf numFmtId="189" fontId="0" fillId="2" borderId="1" xfId="0" applyNumberFormat="1" applyFill="1" applyBorder="1">
      <alignment vertical="center"/>
    </xf>
    <xf numFmtId="0" fontId="10" fillId="5" borderId="6" xfId="0" applyFont="1" applyFill="1" applyBorder="1" applyAlignment="1">
      <alignment horizontal="center" vertical="center"/>
    </xf>
    <xf numFmtId="179" fontId="0" fillId="0" borderId="0" xfId="0" applyNumberFormat="1">
      <alignment vertical="center"/>
    </xf>
    <xf numFmtId="189" fontId="0" fillId="2" borderId="2" xfId="0" applyNumberFormat="1" applyFill="1" applyBorder="1">
      <alignment vertical="center"/>
    </xf>
    <xf numFmtId="180" fontId="0" fillId="0" borderId="3" xfId="0" applyNumberFormat="1" applyBorder="1">
      <alignment vertical="center"/>
    </xf>
    <xf numFmtId="0" fontId="0" fillId="4" borderId="18" xfId="0" applyFill="1" applyBorder="1">
      <alignment vertical="center"/>
    </xf>
    <xf numFmtId="189" fontId="0" fillId="2" borderId="20" xfId="0" applyNumberFormat="1" applyFill="1" applyBorder="1">
      <alignment vertical="center"/>
    </xf>
    <xf numFmtId="0" fontId="0" fillId="2" borderId="5" xfId="0" applyFill="1" applyBorder="1" applyAlignment="1">
      <alignment horizontal="center" vertical="center"/>
    </xf>
    <xf numFmtId="0" fontId="0" fillId="2" borderId="5" xfId="0" applyFill="1" applyBorder="1">
      <alignment vertical="center"/>
    </xf>
    <xf numFmtId="178" fontId="0" fillId="0" borderId="5" xfId="0" applyNumberFormat="1" applyBorder="1">
      <alignment vertical="center"/>
    </xf>
    <xf numFmtId="179" fontId="0" fillId="0" borderId="5" xfId="0" applyNumberFormat="1" applyBorder="1">
      <alignment vertical="center"/>
    </xf>
    <xf numFmtId="0" fontId="8" fillId="2" borderId="20" xfId="0" applyFont="1" applyFill="1" applyBorder="1">
      <alignment vertical="center"/>
    </xf>
    <xf numFmtId="180" fontId="0" fillId="0" borderId="21" xfId="0" applyNumberFormat="1" applyBorder="1">
      <alignment vertical="center"/>
    </xf>
    <xf numFmtId="9" fontId="0" fillId="0" borderId="5" xfId="0" applyNumberFormat="1" applyBorder="1">
      <alignment vertical="center"/>
    </xf>
    <xf numFmtId="180" fontId="0" fillId="0" borderId="5" xfId="0" applyNumberFormat="1" applyBorder="1">
      <alignment vertical="center"/>
    </xf>
    <xf numFmtId="181" fontId="0" fillId="0" borderId="5" xfId="0" applyNumberFormat="1" applyBorder="1">
      <alignment vertical="center"/>
    </xf>
    <xf numFmtId="10" fontId="0" fillId="0" borderId="5" xfId="0" applyNumberFormat="1" applyBorder="1">
      <alignment vertical="center"/>
    </xf>
    <xf numFmtId="185" fontId="0" fillId="0" borderId="5" xfId="0" applyNumberFormat="1" applyBorder="1">
      <alignment vertical="center"/>
    </xf>
    <xf numFmtId="184" fontId="0" fillId="0" borderId="5" xfId="0" applyNumberFormat="1" applyBorder="1">
      <alignment vertical="center"/>
    </xf>
    <xf numFmtId="0" fontId="8" fillId="2" borderId="5" xfId="0" applyFont="1" applyFill="1" applyBorder="1">
      <alignment vertical="center"/>
    </xf>
    <xf numFmtId="0" fontId="0" fillId="4" borderId="5" xfId="0" applyFill="1" applyBorder="1">
      <alignment vertical="center"/>
    </xf>
    <xf numFmtId="182" fontId="0" fillId="0" borderId="3" xfId="0" applyNumberFormat="1" applyBorder="1" applyAlignment="1">
      <alignment horizontal="center" vertical="center"/>
    </xf>
    <xf numFmtId="182" fontId="0" fillId="0" borderId="5" xfId="0" applyNumberFormat="1" applyBorder="1" applyAlignment="1">
      <alignment horizontal="center" vertical="center"/>
    </xf>
    <xf numFmtId="182" fontId="0" fillId="0" borderId="21" xfId="0" applyNumberFormat="1" applyBorder="1" applyAlignment="1">
      <alignment horizontal="center" vertical="center"/>
    </xf>
    <xf numFmtId="188" fontId="0" fillId="0" borderId="1" xfId="0" applyNumberFormat="1" applyBorder="1" applyAlignment="1">
      <alignment horizontal="center" vertical="center"/>
    </xf>
    <xf numFmtId="188" fontId="0" fillId="0" borderId="5" xfId="0" applyNumberFormat="1" applyBorder="1" applyAlignment="1">
      <alignment horizontal="center" vertical="center"/>
    </xf>
    <xf numFmtId="188" fontId="0" fillId="0" borderId="3" xfId="0" applyNumberFormat="1" applyBorder="1" applyAlignment="1">
      <alignment horizontal="center" vertical="center"/>
    </xf>
    <xf numFmtId="188" fontId="0" fillId="0" borderId="21" xfId="0" applyNumberFormat="1" applyBorder="1" applyAlignment="1">
      <alignment horizontal="center" vertical="center"/>
    </xf>
    <xf numFmtId="189" fontId="0" fillId="2" borderId="23" xfId="0" applyNumberFormat="1" applyFill="1" applyBorder="1">
      <alignment vertical="center"/>
    </xf>
    <xf numFmtId="0" fontId="0" fillId="4" borderId="22" xfId="0" applyFill="1" applyBorder="1">
      <alignment vertical="center"/>
    </xf>
    <xf numFmtId="189" fontId="0" fillId="2" borderId="24" xfId="0" applyNumberFormat="1" applyFill="1" applyBorder="1">
      <alignment vertical="center"/>
    </xf>
    <xf numFmtId="14" fontId="0" fillId="0" borderId="0" xfId="0" applyNumberFormat="1">
      <alignment vertical="center"/>
    </xf>
    <xf numFmtId="0" fontId="0" fillId="0" borderId="0" xfId="0" applyAlignment="1">
      <alignment horizontal="left" vertical="center"/>
    </xf>
    <xf numFmtId="0" fontId="0" fillId="4" borderId="1" xfId="0" applyFill="1" applyBorder="1" applyAlignment="1">
      <alignment horizontal="left" vertical="center"/>
    </xf>
    <xf numFmtId="0" fontId="0" fillId="0" borderId="1" xfId="0" quotePrefix="1" applyBorder="1" applyAlignment="1">
      <alignment horizontal="left" vertical="center"/>
    </xf>
    <xf numFmtId="0" fontId="0" fillId="0" borderId="1" xfId="0" applyBorder="1" applyAlignment="1">
      <alignment horizontal="left" vertical="center"/>
    </xf>
    <xf numFmtId="187" fontId="0" fillId="0" borderId="1" xfId="0" applyNumberFormat="1" applyBorder="1" applyAlignment="1">
      <alignment horizontal="left" vertical="center"/>
    </xf>
    <xf numFmtId="0" fontId="14" fillId="0" borderId="1" xfId="0" applyFont="1" applyBorder="1">
      <alignment vertical="center"/>
    </xf>
    <xf numFmtId="0" fontId="8" fillId="0" borderId="0" xfId="0" applyFont="1">
      <alignment vertical="center"/>
    </xf>
    <xf numFmtId="0" fontId="8" fillId="2" borderId="7" xfId="0" applyFont="1" applyFill="1" applyBorder="1">
      <alignment vertical="center"/>
    </xf>
    <xf numFmtId="0" fontId="8" fillId="2" borderId="6" xfId="0" applyFont="1" applyFill="1" applyBorder="1">
      <alignment vertical="center"/>
    </xf>
    <xf numFmtId="0" fontId="11" fillId="0" borderId="1" xfId="0" applyFont="1" applyBorder="1">
      <alignment vertical="center"/>
    </xf>
    <xf numFmtId="187" fontId="11" fillId="0" borderId="1" xfId="0" applyNumberFormat="1" applyFont="1" applyBorder="1">
      <alignment vertical="center"/>
    </xf>
    <xf numFmtId="0" fontId="8" fillId="4" borderId="1" xfId="0" applyFont="1" applyFill="1" applyBorder="1">
      <alignment vertical="center"/>
    </xf>
    <xf numFmtId="0" fontId="11" fillId="2" borderId="2" xfId="0" applyFont="1" applyFill="1" applyBorder="1">
      <alignment vertical="center"/>
    </xf>
    <xf numFmtId="0" fontId="11" fillId="0" borderId="3" xfId="0" applyFont="1" applyBorder="1">
      <alignment vertical="center"/>
    </xf>
    <xf numFmtId="0" fontId="8" fillId="4" borderId="18" xfId="0" applyFont="1" applyFill="1" applyBorder="1">
      <alignment vertical="center"/>
    </xf>
    <xf numFmtId="0" fontId="8" fillId="4" borderId="6" xfId="0" applyFont="1" applyFill="1" applyBorder="1">
      <alignment vertical="center"/>
    </xf>
    <xf numFmtId="0" fontId="8" fillId="4" borderId="19" xfId="0" applyFont="1" applyFill="1" applyBorder="1">
      <alignment vertical="center"/>
    </xf>
    <xf numFmtId="187" fontId="11" fillId="0" borderId="5" xfId="0" applyNumberFormat="1" applyFont="1" applyBorder="1">
      <alignment vertical="center"/>
    </xf>
    <xf numFmtId="0" fontId="11" fillId="0" borderId="5" xfId="0" applyFont="1" applyBorder="1">
      <alignment vertical="center"/>
    </xf>
    <xf numFmtId="0" fontId="11" fillId="0" borderId="21" xfId="0" applyFont="1" applyBorder="1">
      <alignment vertical="center"/>
    </xf>
    <xf numFmtId="190" fontId="15" fillId="0" borderId="1" xfId="0" applyNumberFormat="1" applyFont="1" applyBorder="1" applyAlignment="1">
      <alignment horizontal="center" vertical="center"/>
    </xf>
    <xf numFmtId="190" fontId="15" fillId="0" borderId="7" xfId="0" applyNumberFormat="1" applyFont="1" applyBorder="1" applyAlignment="1">
      <alignment horizontal="center" vertical="center"/>
    </xf>
    <xf numFmtId="190" fontId="15" fillId="0" borderId="6" xfId="0" applyNumberFormat="1" applyFont="1" applyBorder="1" applyAlignment="1">
      <alignment horizontal="center" vertical="center"/>
    </xf>
    <xf numFmtId="191" fontId="15" fillId="0" borderId="1" xfId="0" applyNumberFormat="1" applyFont="1" applyBorder="1" applyAlignment="1">
      <alignment horizontal="center" vertical="center"/>
    </xf>
    <xf numFmtId="191" fontId="15" fillId="0" borderId="7" xfId="0" applyNumberFormat="1" applyFont="1" applyBorder="1" applyAlignment="1">
      <alignment horizontal="center" vertical="center"/>
    </xf>
    <xf numFmtId="191" fontId="15" fillId="0" borderId="6" xfId="0" applyNumberFormat="1" applyFont="1" applyBorder="1" applyAlignment="1">
      <alignment horizontal="center" vertical="center"/>
    </xf>
    <xf numFmtId="0" fontId="11" fillId="2" borderId="6" xfId="0" applyFont="1" applyFill="1" applyBorder="1">
      <alignment vertical="center"/>
    </xf>
    <xf numFmtId="0" fontId="11" fillId="2" borderId="5" xfId="0" applyFont="1" applyFill="1" applyBorder="1">
      <alignment vertical="center"/>
    </xf>
    <xf numFmtId="14" fontId="8" fillId="0" borderId="0" xfId="0" applyNumberFormat="1" applyFont="1">
      <alignment vertical="center"/>
    </xf>
    <xf numFmtId="189" fontId="8" fillId="0" borderId="0" xfId="0" applyNumberFormat="1" applyFont="1" applyAlignment="1">
      <alignment horizontal="center" vertical="center"/>
    </xf>
    <xf numFmtId="189" fontId="8" fillId="0" borderId="1" xfId="0" applyNumberFormat="1" applyFont="1" applyBorder="1" applyAlignment="1">
      <alignment horizontal="center" vertical="center"/>
    </xf>
    <xf numFmtId="189" fontId="8" fillId="0" borderId="7" xfId="0" applyNumberFormat="1" applyFont="1" applyBorder="1" applyAlignment="1">
      <alignment horizontal="center" vertical="center"/>
    </xf>
    <xf numFmtId="189" fontId="8" fillId="0" borderId="6" xfId="0" applyNumberFormat="1" applyFont="1" applyBorder="1" applyAlignment="1">
      <alignment horizontal="center" vertical="center"/>
    </xf>
    <xf numFmtId="189" fontId="15" fillId="0" borderId="0" xfId="0" applyNumberFormat="1" applyFont="1" applyAlignment="1">
      <alignment horizontal="center" vertical="center"/>
    </xf>
    <xf numFmtId="189" fontId="15" fillId="0" borderId="1" xfId="0" applyNumberFormat="1" applyFont="1" applyBorder="1" applyAlignment="1">
      <alignment horizontal="center" vertical="center"/>
    </xf>
    <xf numFmtId="189" fontId="15" fillId="0" borderId="7" xfId="0" applyNumberFormat="1" applyFont="1" applyBorder="1" applyAlignment="1">
      <alignment horizontal="center" vertical="center"/>
    </xf>
    <xf numFmtId="189" fontId="15" fillId="0" borderId="6" xfId="0" applyNumberFormat="1" applyFont="1" applyBorder="1" applyAlignment="1">
      <alignment horizontal="center" vertical="center"/>
    </xf>
    <xf numFmtId="0" fontId="11" fillId="4" borderId="1" xfId="0" applyFont="1" applyFill="1" applyBorder="1" applyAlignment="1">
      <alignment vertical="center" wrapText="1"/>
    </xf>
    <xf numFmtId="187" fontId="0" fillId="0" borderId="1" xfId="0" applyNumberFormat="1" applyBorder="1" applyAlignment="1">
      <alignment horizontal="center" vertical="center"/>
    </xf>
    <xf numFmtId="0" fontId="18" fillId="5" borderId="3" xfId="0" applyFont="1" applyFill="1" applyBorder="1">
      <alignment vertical="center"/>
    </xf>
    <xf numFmtId="189" fontId="17" fillId="5" borderId="1" xfId="0" applyNumberFormat="1" applyFont="1" applyFill="1" applyBorder="1" applyAlignment="1">
      <alignment horizontal="center" vertical="center"/>
    </xf>
    <xf numFmtId="0" fontId="17" fillId="5" borderId="1" xfId="0" applyFont="1" applyFill="1" applyBorder="1" applyAlignment="1">
      <alignment horizontal="center" vertical="center"/>
    </xf>
    <xf numFmtId="189" fontId="19" fillId="5" borderId="2" xfId="0" applyNumberFormat="1" applyFont="1" applyFill="1" applyBorder="1" applyAlignment="1">
      <alignment horizontal="center" vertical="center"/>
    </xf>
    <xf numFmtId="0" fontId="19" fillId="5" borderId="1" xfId="0" applyFont="1" applyFill="1" applyBorder="1" applyAlignment="1">
      <alignment horizontal="center" vertical="center"/>
    </xf>
    <xf numFmtId="0" fontId="19" fillId="5" borderId="2" xfId="0" applyFont="1" applyFill="1" applyBorder="1" applyAlignment="1">
      <alignment horizontal="center" vertical="center"/>
    </xf>
    <xf numFmtId="0" fontId="10" fillId="37" borderId="6" xfId="0" quotePrefix="1" applyFont="1" applyFill="1" applyBorder="1" applyAlignment="1">
      <alignment horizontal="center" vertical="center"/>
    </xf>
    <xf numFmtId="0" fontId="10" fillId="37" borderId="1" xfId="0" applyFont="1" applyFill="1" applyBorder="1" applyAlignment="1">
      <alignment horizontal="center" vertical="center"/>
    </xf>
    <xf numFmtId="0" fontId="10" fillId="37" borderId="6" xfId="0" applyFont="1" applyFill="1" applyBorder="1" applyAlignment="1">
      <alignment horizontal="center" vertical="center"/>
    </xf>
    <xf numFmtId="0" fontId="10" fillId="37" borderId="1" xfId="0" quotePrefix="1" applyFont="1" applyFill="1" applyBorder="1" applyAlignment="1">
      <alignment horizontal="center" vertical="center"/>
    </xf>
    <xf numFmtId="0" fontId="18" fillId="37" borderId="1" xfId="0" quotePrefix="1" applyFont="1" applyFill="1" applyBorder="1">
      <alignment vertical="center"/>
    </xf>
    <xf numFmtId="189" fontId="17" fillId="37" borderId="1" xfId="0" quotePrefix="1" applyNumberFormat="1" applyFont="1" applyFill="1" applyBorder="1" applyAlignment="1">
      <alignment horizontal="center" vertical="center"/>
    </xf>
    <xf numFmtId="0" fontId="17" fillId="37" borderId="1" xfId="0" quotePrefix="1" applyFont="1" applyFill="1" applyBorder="1" applyAlignment="1">
      <alignment horizontal="center" vertical="center"/>
    </xf>
    <xf numFmtId="189" fontId="19" fillId="37" borderId="1" xfId="0" quotePrefix="1" applyNumberFormat="1" applyFont="1" applyFill="1" applyBorder="1" applyAlignment="1">
      <alignment horizontal="center" vertical="center"/>
    </xf>
    <xf numFmtId="0" fontId="19" fillId="37" borderId="1" xfId="0" quotePrefix="1" applyFont="1" applyFill="1" applyBorder="1" applyAlignment="1">
      <alignment horizontal="center" vertical="center"/>
    </xf>
    <xf numFmtId="0" fontId="10" fillId="37" borderId="1" xfId="0" quotePrefix="1" applyFont="1" applyFill="1" applyBorder="1">
      <alignment vertical="center"/>
    </xf>
    <xf numFmtId="0" fontId="10" fillId="38" borderId="6" xfId="0" applyFont="1" applyFill="1" applyBorder="1" applyAlignment="1">
      <alignment horizontal="center" vertical="center"/>
    </xf>
    <xf numFmtId="0" fontId="10" fillId="38" borderId="1" xfId="0" applyFont="1" applyFill="1" applyBorder="1" applyAlignment="1">
      <alignment horizontal="center" vertical="center"/>
    </xf>
    <xf numFmtId="0" fontId="18" fillId="38" borderId="1" xfId="0" applyFont="1" applyFill="1" applyBorder="1">
      <alignment vertical="center"/>
    </xf>
    <xf numFmtId="189" fontId="17" fillId="38" borderId="1" xfId="0" applyNumberFormat="1" applyFont="1" applyFill="1" applyBorder="1" applyAlignment="1">
      <alignment horizontal="center" vertical="center"/>
    </xf>
    <xf numFmtId="0" fontId="17" fillId="38" borderId="1" xfId="0" applyFont="1" applyFill="1" applyBorder="1" applyAlignment="1">
      <alignment horizontal="center" vertical="center"/>
    </xf>
    <xf numFmtId="189" fontId="19" fillId="38" borderId="1" xfId="0" applyNumberFormat="1" applyFont="1" applyFill="1" applyBorder="1" applyAlignment="1">
      <alignment horizontal="center" vertical="center"/>
    </xf>
    <xf numFmtId="0" fontId="19" fillId="38" borderId="1" xfId="0" applyFont="1" applyFill="1" applyBorder="1" applyAlignment="1">
      <alignment horizontal="center" vertical="center"/>
    </xf>
    <xf numFmtId="0" fontId="10" fillId="38" borderId="1" xfId="0" applyFont="1" applyFill="1" applyBorder="1">
      <alignment vertical="center"/>
    </xf>
    <xf numFmtId="0" fontId="10" fillId="39" borderId="6" xfId="0" applyFont="1" applyFill="1" applyBorder="1" applyAlignment="1">
      <alignment horizontal="center" vertical="center"/>
    </xf>
    <xf numFmtId="0" fontId="10" fillId="39" borderId="1" xfId="0" applyFont="1" applyFill="1" applyBorder="1" applyAlignment="1">
      <alignment horizontal="center" vertical="center"/>
    </xf>
    <xf numFmtId="189" fontId="17" fillId="39" borderId="1" xfId="0" applyNumberFormat="1" applyFont="1" applyFill="1" applyBorder="1" applyAlignment="1">
      <alignment horizontal="center" vertical="center"/>
    </xf>
    <xf numFmtId="0" fontId="17" fillId="39" borderId="1" xfId="0" applyFont="1" applyFill="1" applyBorder="1" applyAlignment="1">
      <alignment horizontal="center" vertical="center"/>
    </xf>
    <xf numFmtId="189" fontId="19" fillId="39" borderId="1" xfId="0" applyNumberFormat="1" applyFont="1" applyFill="1" applyBorder="1" applyAlignment="1">
      <alignment horizontal="center" vertical="center"/>
    </xf>
    <xf numFmtId="0" fontId="19" fillId="39" borderId="1" xfId="0" applyFont="1" applyFill="1" applyBorder="1" applyAlignment="1">
      <alignment horizontal="center" vertical="center"/>
    </xf>
    <xf numFmtId="0" fontId="10" fillId="39" borderId="1" xfId="0" applyFont="1" applyFill="1" applyBorder="1">
      <alignment vertical="center"/>
    </xf>
    <xf numFmtId="0" fontId="10" fillId="40" borderId="6" xfId="0" applyFont="1" applyFill="1" applyBorder="1" applyAlignment="1">
      <alignment horizontal="center" vertical="center"/>
    </xf>
    <xf numFmtId="0" fontId="10" fillId="40" borderId="1" xfId="0" applyFont="1" applyFill="1" applyBorder="1" applyAlignment="1">
      <alignment horizontal="center" vertical="center"/>
    </xf>
    <xf numFmtId="0" fontId="18" fillId="40" borderId="1" xfId="0" applyFont="1" applyFill="1" applyBorder="1">
      <alignment vertical="center"/>
    </xf>
    <xf numFmtId="189" fontId="17" fillId="40" borderId="1" xfId="0" applyNumberFormat="1" applyFont="1" applyFill="1" applyBorder="1" applyAlignment="1">
      <alignment horizontal="center" vertical="center"/>
    </xf>
    <xf numFmtId="0" fontId="17" fillId="40" borderId="1" xfId="0" applyFont="1" applyFill="1" applyBorder="1" applyAlignment="1">
      <alignment horizontal="center" vertical="center"/>
    </xf>
    <xf numFmtId="189" fontId="19" fillId="40" borderId="1" xfId="0" applyNumberFormat="1" applyFont="1" applyFill="1" applyBorder="1" applyAlignment="1">
      <alignment horizontal="center" vertical="center"/>
    </xf>
    <xf numFmtId="0" fontId="19" fillId="40" borderId="1" xfId="0" applyFont="1" applyFill="1" applyBorder="1" applyAlignment="1">
      <alignment horizontal="center" vertical="center"/>
    </xf>
    <xf numFmtId="0" fontId="10" fillId="40" borderId="1" xfId="0" applyFont="1" applyFill="1" applyBorder="1">
      <alignment vertical="center"/>
    </xf>
    <xf numFmtId="0" fontId="10" fillId="41" borderId="6" xfId="0" applyFont="1" applyFill="1" applyBorder="1" applyAlignment="1">
      <alignment horizontal="center" vertical="center"/>
    </xf>
    <xf numFmtId="0" fontId="10" fillId="41" borderId="1" xfId="0" applyFont="1" applyFill="1" applyBorder="1" applyAlignment="1">
      <alignment horizontal="center" vertical="center"/>
    </xf>
    <xf numFmtId="0" fontId="18" fillId="41" borderId="1" xfId="0" applyFont="1" applyFill="1" applyBorder="1">
      <alignment vertical="center"/>
    </xf>
    <xf numFmtId="189" fontId="17" fillId="41" borderId="1" xfId="0" applyNumberFormat="1" applyFont="1" applyFill="1" applyBorder="1" applyAlignment="1">
      <alignment horizontal="center" vertical="center"/>
    </xf>
    <xf numFmtId="0" fontId="17" fillId="41" borderId="1" xfId="0" applyFont="1" applyFill="1" applyBorder="1" applyAlignment="1">
      <alignment horizontal="center" vertical="center"/>
    </xf>
    <xf numFmtId="189" fontId="19" fillId="41" borderId="1" xfId="0" applyNumberFormat="1" applyFont="1" applyFill="1" applyBorder="1" applyAlignment="1">
      <alignment horizontal="center" vertical="center"/>
    </xf>
    <xf numFmtId="0" fontId="19" fillId="41" borderId="1" xfId="0" applyFont="1" applyFill="1" applyBorder="1" applyAlignment="1">
      <alignment horizontal="center" vertical="center"/>
    </xf>
    <xf numFmtId="0" fontId="10" fillId="41" borderId="1" xfId="0" applyFont="1" applyFill="1" applyBorder="1">
      <alignment vertical="center"/>
    </xf>
    <xf numFmtId="0" fontId="10" fillId="42" borderId="6" xfId="0" applyFont="1" applyFill="1" applyBorder="1" applyAlignment="1">
      <alignment horizontal="center" vertical="center"/>
    </xf>
    <xf numFmtId="0" fontId="10" fillId="42" borderId="1" xfId="0" applyFont="1" applyFill="1" applyBorder="1" applyAlignment="1">
      <alignment horizontal="center" vertical="center"/>
    </xf>
    <xf numFmtId="0" fontId="10" fillId="42" borderId="19" xfId="0" applyFont="1" applyFill="1" applyBorder="1" applyAlignment="1">
      <alignment horizontal="center" vertical="center"/>
    </xf>
    <xf numFmtId="0" fontId="10" fillId="42" borderId="5" xfId="0" applyFont="1" applyFill="1" applyBorder="1" applyAlignment="1">
      <alignment horizontal="center" vertical="center"/>
    </xf>
    <xf numFmtId="0" fontId="18" fillId="42" borderId="1" xfId="0" applyFont="1" applyFill="1" applyBorder="1">
      <alignment vertical="center"/>
    </xf>
    <xf numFmtId="189" fontId="17" fillId="42" borderId="1" xfId="0" applyNumberFormat="1" applyFont="1" applyFill="1" applyBorder="1" applyAlignment="1">
      <alignment horizontal="center" vertical="center"/>
    </xf>
    <xf numFmtId="0" fontId="17" fillId="42" borderId="1" xfId="0" applyFont="1" applyFill="1" applyBorder="1" applyAlignment="1">
      <alignment horizontal="center" vertical="center"/>
    </xf>
    <xf numFmtId="189" fontId="19" fillId="42" borderId="1" xfId="0" applyNumberFormat="1" applyFont="1" applyFill="1" applyBorder="1" applyAlignment="1">
      <alignment horizontal="center" vertical="center"/>
    </xf>
    <xf numFmtId="0" fontId="19" fillId="42" borderId="1" xfId="0" applyFont="1" applyFill="1" applyBorder="1" applyAlignment="1">
      <alignment horizontal="center" vertical="center"/>
    </xf>
    <xf numFmtId="0" fontId="10" fillId="42" borderId="1" xfId="0" applyFont="1" applyFill="1" applyBorder="1">
      <alignment vertical="center"/>
    </xf>
    <xf numFmtId="0" fontId="8" fillId="43" borderId="1" xfId="0" applyFont="1" applyFill="1" applyBorder="1">
      <alignment vertical="center"/>
    </xf>
    <xf numFmtId="0" fontId="11" fillId="43" borderId="1" xfId="0" applyFont="1" applyFill="1" applyBorder="1">
      <alignment vertical="center"/>
    </xf>
    <xf numFmtId="0" fontId="11" fillId="43" borderId="1" xfId="0" applyFont="1" applyFill="1" applyBorder="1" applyAlignment="1">
      <alignment horizontal="center" vertical="center"/>
    </xf>
    <xf numFmtId="0" fontId="8" fillId="43" borderId="5" xfId="0" applyFont="1" applyFill="1" applyBorder="1">
      <alignment vertical="center"/>
    </xf>
    <xf numFmtId="0" fontId="8" fillId="44" borderId="1" xfId="0" applyFont="1" applyFill="1" applyBorder="1">
      <alignment vertical="center"/>
    </xf>
    <xf numFmtId="0" fontId="11" fillId="44" borderId="1" xfId="0" applyFont="1" applyFill="1" applyBorder="1">
      <alignment vertical="center"/>
    </xf>
    <xf numFmtId="0" fontId="11" fillId="44" borderId="1" xfId="0" applyFont="1" applyFill="1" applyBorder="1" applyAlignment="1">
      <alignment horizontal="center" vertical="center"/>
    </xf>
    <xf numFmtId="0" fontId="11" fillId="44" borderId="3" xfId="0" applyFont="1" applyFill="1" applyBorder="1">
      <alignment vertical="center"/>
    </xf>
    <xf numFmtId="0" fontId="11" fillId="44" borderId="3" xfId="0" applyFont="1" applyFill="1" applyBorder="1" applyAlignment="1">
      <alignment horizontal="center" vertical="center"/>
    </xf>
    <xf numFmtId="0" fontId="8" fillId="44" borderId="5" xfId="0" applyFont="1" applyFill="1" applyBorder="1">
      <alignment vertical="center"/>
    </xf>
    <xf numFmtId="0" fontId="8" fillId="45" borderId="1" xfId="0" applyFont="1" applyFill="1" applyBorder="1">
      <alignment vertical="center"/>
    </xf>
    <xf numFmtId="0" fontId="11" fillId="45" borderId="1" xfId="0" applyFont="1" applyFill="1" applyBorder="1">
      <alignment vertical="center"/>
    </xf>
    <xf numFmtId="0" fontId="11" fillId="45" borderId="3" xfId="0" applyFont="1" applyFill="1" applyBorder="1">
      <alignment vertical="center"/>
    </xf>
    <xf numFmtId="0" fontId="11" fillId="45" borderId="3" xfId="0" applyFont="1" applyFill="1" applyBorder="1" applyAlignment="1">
      <alignment horizontal="center" vertical="center"/>
    </xf>
    <xf numFmtId="0" fontId="11" fillId="45" borderId="6" xfId="0" applyFont="1" applyFill="1" applyBorder="1">
      <alignment vertical="center"/>
    </xf>
    <xf numFmtId="0" fontId="8" fillId="45" borderId="5" xfId="0" applyFont="1" applyFill="1" applyBorder="1">
      <alignment vertical="center"/>
    </xf>
    <xf numFmtId="0" fontId="8" fillId="46" borderId="1" xfId="0" applyFont="1" applyFill="1" applyBorder="1">
      <alignment vertical="center"/>
    </xf>
    <xf numFmtId="0" fontId="11" fillId="46" borderId="1" xfId="0" applyFont="1" applyFill="1" applyBorder="1">
      <alignment vertical="center"/>
    </xf>
    <xf numFmtId="0" fontId="11" fillId="46" borderId="3" xfId="0" applyFont="1" applyFill="1" applyBorder="1">
      <alignment vertical="center"/>
    </xf>
    <xf numFmtId="0" fontId="11" fillId="46" borderId="3" xfId="0" applyFont="1" applyFill="1" applyBorder="1" applyAlignment="1">
      <alignment horizontal="center" vertical="center"/>
    </xf>
    <xf numFmtId="0" fontId="8" fillId="46" borderId="5" xfId="0" applyFont="1" applyFill="1" applyBorder="1">
      <alignment vertical="center"/>
    </xf>
    <xf numFmtId="0" fontId="8" fillId="47" borderId="1" xfId="0" applyFont="1" applyFill="1" applyBorder="1">
      <alignment vertical="center"/>
    </xf>
    <xf numFmtId="0" fontId="11" fillId="47" borderId="1" xfId="0" applyFont="1" applyFill="1" applyBorder="1">
      <alignment vertical="center"/>
    </xf>
    <xf numFmtId="0" fontId="11" fillId="47" borderId="3" xfId="0" applyFont="1" applyFill="1" applyBorder="1">
      <alignment vertical="center"/>
    </xf>
    <xf numFmtId="0" fontId="11" fillId="47" borderId="3" xfId="0" applyFont="1" applyFill="1" applyBorder="1" applyAlignment="1">
      <alignment horizontal="center" vertical="center"/>
    </xf>
    <xf numFmtId="0" fontId="8" fillId="47" borderId="5" xfId="0" applyFont="1" applyFill="1" applyBorder="1">
      <alignment vertical="center"/>
    </xf>
    <xf numFmtId="0" fontId="8" fillId="48" borderId="1" xfId="0" applyFont="1" applyFill="1" applyBorder="1">
      <alignment vertical="center"/>
    </xf>
    <xf numFmtId="0" fontId="11" fillId="48" borderId="1" xfId="0" applyFont="1" applyFill="1" applyBorder="1">
      <alignment vertical="center"/>
    </xf>
    <xf numFmtId="0" fontId="11" fillId="48" borderId="3" xfId="0" applyFont="1" applyFill="1" applyBorder="1">
      <alignment vertical="center"/>
    </xf>
    <xf numFmtId="0" fontId="11" fillId="48" borderId="3" xfId="0" applyFont="1" applyFill="1" applyBorder="1" applyAlignment="1">
      <alignment horizontal="center" vertical="center"/>
    </xf>
    <xf numFmtId="0" fontId="8" fillId="48" borderId="5" xfId="0" applyFont="1" applyFill="1" applyBorder="1">
      <alignment vertical="center"/>
    </xf>
    <xf numFmtId="0" fontId="11" fillId="48" borderId="5" xfId="0" applyFont="1" applyFill="1" applyBorder="1">
      <alignment vertical="center"/>
    </xf>
    <xf numFmtId="0" fontId="8" fillId="43" borderId="7" xfId="0" applyFont="1" applyFill="1" applyBorder="1">
      <alignment vertical="center"/>
    </xf>
    <xf numFmtId="0" fontId="8" fillId="43" borderId="6" xfId="0" applyFont="1" applyFill="1" applyBorder="1">
      <alignment vertical="center"/>
    </xf>
    <xf numFmtId="0" fontId="8" fillId="44" borderId="7" xfId="0" applyFont="1" applyFill="1" applyBorder="1">
      <alignment vertical="center"/>
    </xf>
    <xf numFmtId="0" fontId="8" fillId="44" borderId="6" xfId="0" applyFont="1" applyFill="1" applyBorder="1">
      <alignment vertical="center"/>
    </xf>
    <xf numFmtId="0" fontId="8" fillId="45" borderId="7" xfId="0" applyFont="1" applyFill="1" applyBorder="1">
      <alignment vertical="center"/>
    </xf>
    <xf numFmtId="0" fontId="8" fillId="45" borderId="6" xfId="0" applyFont="1" applyFill="1" applyBorder="1">
      <alignment vertical="center"/>
    </xf>
    <xf numFmtId="0" fontId="8" fillId="46" borderId="7" xfId="0" applyFont="1" applyFill="1" applyBorder="1">
      <alignment vertical="center"/>
    </xf>
    <xf numFmtId="0" fontId="8" fillId="46" borderId="6" xfId="0" applyFont="1" applyFill="1" applyBorder="1">
      <alignment vertical="center"/>
    </xf>
    <xf numFmtId="0" fontId="8" fillId="47" borderId="7" xfId="0" applyFont="1" applyFill="1" applyBorder="1">
      <alignment vertical="center"/>
    </xf>
    <xf numFmtId="0" fontId="8" fillId="47" borderId="6" xfId="0" applyFont="1" applyFill="1" applyBorder="1">
      <alignment vertical="center"/>
    </xf>
    <xf numFmtId="0" fontId="8" fillId="48" borderId="7" xfId="0" applyFont="1" applyFill="1" applyBorder="1">
      <alignment vertical="center"/>
    </xf>
    <xf numFmtId="0" fontId="8" fillId="48" borderId="6" xfId="0" applyFont="1" applyFill="1" applyBorder="1">
      <alignment vertical="center"/>
    </xf>
    <xf numFmtId="0" fontId="10" fillId="5" borderId="8"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2" xfId="0" applyFont="1" applyFill="1" applyBorder="1">
      <alignment vertical="center"/>
    </xf>
    <xf numFmtId="0" fontId="10" fillId="4" borderId="1" xfId="0" quotePrefix="1" applyFont="1" applyFill="1" applyBorder="1" applyAlignment="1">
      <alignment horizontal="center" vertical="center" shrinkToFit="1"/>
    </xf>
    <xf numFmtId="1" fontId="0" fillId="0" borderId="1" xfId="0" applyNumberFormat="1" applyBorder="1">
      <alignment vertical="center"/>
    </xf>
    <xf numFmtId="0" fontId="0" fillId="3" borderId="1" xfId="0" quotePrefix="1" applyFill="1" applyBorder="1">
      <alignment vertical="center"/>
    </xf>
    <xf numFmtId="0" fontId="0" fillId="4" borderId="0" xfId="0" applyFill="1">
      <alignment vertical="center"/>
    </xf>
    <xf numFmtId="0" fontId="14" fillId="2" borderId="1" xfId="0" applyFont="1" applyFill="1" applyBorder="1">
      <alignment vertical="center"/>
    </xf>
    <xf numFmtId="0" fontId="0" fillId="0" borderId="1" xfId="0" applyBorder="1" applyAlignment="1">
      <alignment vertical="center" shrinkToFit="1"/>
    </xf>
    <xf numFmtId="192" fontId="0" fillId="0" borderId="1" xfId="0" applyNumberFormat="1" applyBorder="1">
      <alignment vertical="center"/>
    </xf>
    <xf numFmtId="0" fontId="10" fillId="4" borderId="1" xfId="0" applyFont="1" applyFill="1" applyBorder="1">
      <alignment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0" borderId="0" xfId="0" applyFont="1">
      <alignment vertical="center"/>
    </xf>
    <xf numFmtId="0" fontId="37" fillId="0" borderId="0" xfId="0" applyFont="1" applyAlignment="1">
      <alignment horizontal="center" vertical="center"/>
    </xf>
    <xf numFmtId="0" fontId="19" fillId="0" borderId="0" xfId="0" applyFont="1">
      <alignment vertical="center"/>
    </xf>
    <xf numFmtId="185" fontId="38" fillId="0" borderId="0" xfId="0" applyNumberFormat="1" applyFont="1" applyAlignment="1">
      <alignment horizontal="center" vertical="center"/>
    </xf>
    <xf numFmtId="185" fontId="38" fillId="0" borderId="0" xfId="0" applyNumberFormat="1" applyFont="1">
      <alignment vertical="center"/>
    </xf>
    <xf numFmtId="0" fontId="11" fillId="0" borderId="25" xfId="0" applyFont="1" applyBorder="1">
      <alignment vertical="center"/>
    </xf>
    <xf numFmtId="0" fontId="11" fillId="0" borderId="26" xfId="0" applyFont="1" applyBorder="1">
      <alignment vertical="center"/>
    </xf>
    <xf numFmtId="0" fontId="19" fillId="0" borderId="26" xfId="0" applyFont="1" applyBorder="1">
      <alignment vertical="center"/>
    </xf>
    <xf numFmtId="0" fontId="18" fillId="0" borderId="26" xfId="0" applyFont="1" applyBorder="1" applyAlignment="1">
      <alignment horizontal="center" vertical="center"/>
    </xf>
    <xf numFmtId="0" fontId="18" fillId="0" borderId="26" xfId="0" applyFont="1" applyBorder="1">
      <alignment vertical="center"/>
    </xf>
    <xf numFmtId="0" fontId="11" fillId="0" borderId="27" xfId="0" applyFont="1" applyBorder="1">
      <alignment vertical="center"/>
    </xf>
    <xf numFmtId="0" fontId="37" fillId="0" borderId="28" xfId="0" applyFont="1" applyBorder="1" applyAlignment="1">
      <alignment horizontal="center" vertical="center"/>
    </xf>
    <xf numFmtId="0" fontId="37" fillId="0" borderId="29" xfId="0" applyFont="1" applyBorder="1" applyAlignment="1">
      <alignment horizontal="center" vertical="center"/>
    </xf>
    <xf numFmtId="0" fontId="11" fillId="0" borderId="28" xfId="0" applyFont="1" applyBorder="1">
      <alignment vertical="center"/>
    </xf>
    <xf numFmtId="0" fontId="8" fillId="0" borderId="29" xfId="0" applyFont="1" applyBorder="1" applyAlignment="1">
      <alignment horizontal="center" vertical="center"/>
    </xf>
    <xf numFmtId="0" fontId="8" fillId="0" borderId="29" xfId="0" applyFont="1" applyBorder="1">
      <alignment vertical="center"/>
    </xf>
    <xf numFmtId="0" fontId="11" fillId="0" borderId="30" xfId="0" applyFont="1" applyBorder="1">
      <alignment vertical="center"/>
    </xf>
    <xf numFmtId="0" fontId="8" fillId="0" borderId="31" xfId="0" applyFont="1" applyBorder="1">
      <alignment vertical="center"/>
    </xf>
    <xf numFmtId="0" fontId="16" fillId="0" borderId="31" xfId="0" applyFont="1" applyBorder="1">
      <alignment vertical="center"/>
    </xf>
    <xf numFmtId="185" fontId="38" fillId="0" borderId="31" xfId="0" applyNumberFormat="1" applyFont="1" applyBorder="1">
      <alignment vertical="center"/>
    </xf>
    <xf numFmtId="0" fontId="18" fillId="0" borderId="31" xfId="0" applyFont="1" applyBorder="1" applyAlignment="1">
      <alignment horizontal="center" vertical="center"/>
    </xf>
    <xf numFmtId="0" fontId="18" fillId="0" borderId="31" xfId="0" applyFont="1" applyBorder="1">
      <alignment vertical="center"/>
    </xf>
    <xf numFmtId="0" fontId="19" fillId="0" borderId="31" xfId="0" applyFont="1" applyBorder="1">
      <alignment vertical="center"/>
    </xf>
    <xf numFmtId="0" fontId="8" fillId="0" borderId="31" xfId="0" applyFont="1" applyBorder="1" applyAlignment="1">
      <alignment horizontal="center" vertical="center"/>
    </xf>
    <xf numFmtId="0" fontId="11" fillId="0" borderId="31" xfId="0" applyFont="1" applyBorder="1">
      <alignment vertical="center"/>
    </xf>
    <xf numFmtId="0" fontId="11" fillId="0" borderId="32" xfId="0" applyFont="1" applyBorder="1">
      <alignment vertical="center"/>
    </xf>
    <xf numFmtId="0" fontId="0" fillId="3" borderId="1" xfId="0" applyFill="1" applyBorder="1" applyAlignment="1">
      <alignment horizontal="center" vertical="center"/>
    </xf>
    <xf numFmtId="187" fontId="0" fillId="3" borderId="1" xfId="0" applyNumberFormat="1" applyFill="1" applyBorder="1">
      <alignment vertical="center"/>
    </xf>
    <xf numFmtId="0" fontId="0" fillId="3" borderId="1" xfId="0" applyFill="1" applyBorder="1">
      <alignment vertical="center"/>
    </xf>
    <xf numFmtId="188" fontId="8" fillId="3" borderId="1" xfId="0" applyNumberFormat="1" applyFont="1" applyFill="1" applyBorder="1" applyAlignment="1">
      <alignment horizontal="center" vertical="center"/>
    </xf>
    <xf numFmtId="187" fontId="8" fillId="3" borderId="1" xfId="0" applyNumberFormat="1" applyFont="1" applyFill="1" applyBorder="1" applyAlignment="1">
      <alignment horizontal="center" vertical="center"/>
    </xf>
    <xf numFmtId="0" fontId="0" fillId="2" borderId="34" xfId="0" applyFill="1" applyBorder="1" applyAlignment="1">
      <alignment horizontal="center" vertical="center"/>
    </xf>
    <xf numFmtId="0" fontId="10" fillId="42" borderId="36" xfId="0" applyFont="1" applyFill="1" applyBorder="1" applyAlignment="1">
      <alignment horizontal="center" vertical="center"/>
    </xf>
    <xf numFmtId="0" fontId="10" fillId="42" borderId="37" xfId="0" applyFont="1" applyFill="1" applyBorder="1" applyAlignment="1">
      <alignment horizontal="center" vertical="center"/>
    </xf>
    <xf numFmtId="0" fontId="10" fillId="41" borderId="37" xfId="0" applyFont="1" applyFill="1" applyBorder="1" applyAlignment="1">
      <alignment horizontal="center" vertical="center"/>
    </xf>
    <xf numFmtId="0" fontId="10" fillId="40" borderId="37" xfId="0" applyFont="1" applyFill="1" applyBorder="1" applyAlignment="1">
      <alignment horizontal="center" vertical="center"/>
    </xf>
    <xf numFmtId="0" fontId="10" fillId="39" borderId="37" xfId="0" applyFont="1" applyFill="1" applyBorder="1" applyAlignment="1">
      <alignment horizontal="center" vertical="center"/>
    </xf>
    <xf numFmtId="0" fontId="10" fillId="38" borderId="37" xfId="0" applyFont="1" applyFill="1" applyBorder="1" applyAlignment="1">
      <alignment horizontal="center" vertical="center"/>
    </xf>
    <xf numFmtId="0" fontId="10" fillId="37" borderId="37" xfId="0" applyFont="1" applyFill="1" applyBorder="1" applyAlignment="1">
      <alignment horizontal="center" vertical="center"/>
    </xf>
    <xf numFmtId="0" fontId="10" fillId="37" borderId="37" xfId="0" quotePrefix="1" applyFont="1" applyFill="1" applyBorder="1" applyAlignment="1">
      <alignment horizontal="center" vertical="center"/>
    </xf>
    <xf numFmtId="0" fontId="10" fillId="5" borderId="37" xfId="0" applyFont="1" applyFill="1" applyBorder="1" applyAlignment="1">
      <alignment horizontal="center" vertical="center"/>
    </xf>
    <xf numFmtId="0" fontId="0" fillId="4" borderId="37" xfId="0" applyFill="1" applyBorder="1" applyAlignment="1">
      <alignment horizontal="center" vertical="center"/>
    </xf>
    <xf numFmtId="0" fontId="0" fillId="0" borderId="0" xfId="0" applyAlignment="1">
      <alignment horizontal="right" vertical="center"/>
    </xf>
    <xf numFmtId="0" fontId="0" fillId="49" borderId="1" xfId="0" applyFill="1" applyBorder="1">
      <alignment vertical="center"/>
    </xf>
    <xf numFmtId="14" fontId="0" fillId="0" borderId="1" xfId="0" applyNumberFormat="1" applyBorder="1">
      <alignment vertical="center"/>
    </xf>
    <xf numFmtId="0" fontId="0" fillId="50" borderId="1" xfId="0" applyFill="1" applyBorder="1">
      <alignment vertical="center"/>
    </xf>
    <xf numFmtId="0" fontId="0" fillId="51" borderId="1" xfId="0" applyFill="1" applyBorder="1">
      <alignment vertical="center"/>
    </xf>
    <xf numFmtId="0" fontId="0" fillId="52" borderId="1" xfId="0" applyFill="1" applyBorder="1">
      <alignment vertical="center"/>
    </xf>
    <xf numFmtId="0" fontId="11" fillId="0" borderId="0" xfId="0" applyFont="1" applyAlignment="1">
      <alignment vertical="top" wrapText="1"/>
    </xf>
    <xf numFmtId="0" fontId="11" fillId="0" borderId="1" xfId="0" applyFont="1" applyBorder="1" applyAlignment="1">
      <alignment vertical="top" wrapText="1"/>
    </xf>
    <xf numFmtId="0" fontId="11" fillId="0" borderId="1" xfId="0" quotePrefix="1" applyFont="1" applyBorder="1" applyAlignment="1">
      <alignment vertical="top" wrapText="1"/>
    </xf>
    <xf numFmtId="0" fontId="11" fillId="4" borderId="1" xfId="0" applyFont="1" applyFill="1" applyBorder="1" applyAlignment="1">
      <alignment vertical="top" wrapText="1"/>
    </xf>
    <xf numFmtId="185" fontId="8" fillId="0" borderId="0" xfId="0" applyNumberFormat="1" applyFont="1">
      <alignment vertical="center"/>
    </xf>
    <xf numFmtId="0" fontId="11" fillId="45" borderId="4" xfId="0" applyFont="1" applyFill="1" applyBorder="1">
      <alignment vertical="center"/>
    </xf>
    <xf numFmtId="0" fontId="11" fillId="45" borderId="2" xfId="0" applyFont="1" applyFill="1" applyBorder="1">
      <alignment vertical="center"/>
    </xf>
    <xf numFmtId="0" fontId="8" fillId="45" borderId="3" xfId="0" applyFont="1" applyFill="1" applyBorder="1">
      <alignment vertical="center"/>
    </xf>
    <xf numFmtId="0" fontId="8" fillId="45" borderId="4" xfId="0" applyFont="1" applyFill="1" applyBorder="1">
      <alignment vertical="center"/>
    </xf>
    <xf numFmtId="0" fontId="8" fillId="45" borderId="2" xfId="0" applyFont="1" applyFill="1" applyBorder="1">
      <alignment vertical="center"/>
    </xf>
    <xf numFmtId="0" fontId="18" fillId="0" borderId="0" xfId="0" applyFont="1" applyAlignment="1">
      <alignment horizontal="right" vertical="center"/>
    </xf>
    <xf numFmtId="0" fontId="0" fillId="3" borderId="0" xfId="0" applyFill="1" applyAlignment="1">
      <alignment horizontal="center" vertical="center"/>
    </xf>
    <xf numFmtId="0" fontId="10" fillId="0" borderId="1" xfId="49" quotePrefix="1" applyFont="1" applyBorder="1" applyAlignment="1">
      <alignment horizontal="center" vertical="center"/>
    </xf>
    <xf numFmtId="192" fontId="14" fillId="0" borderId="1" xfId="48" applyNumberFormat="1" applyBorder="1">
      <alignment vertical="center"/>
    </xf>
    <xf numFmtId="0" fontId="14" fillId="0" borderId="1" xfId="48" applyBorder="1">
      <alignment vertical="center"/>
    </xf>
    <xf numFmtId="0" fontId="11" fillId="0" borderId="1" xfId="49" applyFont="1" applyBorder="1">
      <alignment vertical="center"/>
    </xf>
    <xf numFmtId="0" fontId="10" fillId="0" borderId="1" xfId="49" applyFont="1" applyBorder="1" applyAlignment="1">
      <alignment horizontal="center" vertical="center"/>
    </xf>
    <xf numFmtId="0" fontId="2" fillId="0" borderId="1" xfId="49" applyBorder="1">
      <alignment vertical="center"/>
    </xf>
    <xf numFmtId="0" fontId="2" fillId="4" borderId="1" xfId="49" applyFill="1" applyBorder="1">
      <alignment vertical="center"/>
    </xf>
    <xf numFmtId="0" fontId="2" fillId="4" borderId="1" xfId="49" applyFill="1" applyBorder="1" applyAlignment="1">
      <alignment horizontal="center" vertical="center"/>
    </xf>
    <xf numFmtId="181" fontId="8" fillId="0" borderId="1" xfId="0" applyNumberFormat="1" applyFont="1" applyBorder="1">
      <alignment vertical="center"/>
    </xf>
    <xf numFmtId="181" fontId="8" fillId="0" borderId="5" xfId="0" applyNumberFormat="1" applyFont="1" applyBorder="1">
      <alignment vertical="center"/>
    </xf>
    <xf numFmtId="0" fontId="0" fillId="4" borderId="37" xfId="0" applyFill="1" applyBorder="1">
      <alignment vertical="center"/>
    </xf>
    <xf numFmtId="0" fontId="0" fillId="0" borderId="35" xfId="0" applyBorder="1">
      <alignment vertical="center"/>
    </xf>
    <xf numFmtId="0" fontId="0" fillId="0" borderId="34" xfId="0" applyBorder="1">
      <alignment vertical="center"/>
    </xf>
    <xf numFmtId="0" fontId="0" fillId="0" borderId="33" xfId="0" applyBorder="1">
      <alignment vertical="center"/>
    </xf>
    <xf numFmtId="0" fontId="0" fillId="0" borderId="1" xfId="0" applyBorder="1" applyAlignment="1">
      <alignment vertical="top" wrapText="1"/>
    </xf>
    <xf numFmtId="0" fontId="14" fillId="0" borderId="1" xfId="0" applyFont="1" applyBorder="1" applyAlignment="1">
      <alignment vertical="top" wrapText="1"/>
    </xf>
    <xf numFmtId="0" fontId="0" fillId="0" borderId="1" xfId="0" applyBorder="1" applyAlignment="1">
      <alignment vertical="center" wrapText="1"/>
    </xf>
    <xf numFmtId="0" fontId="33" fillId="0" borderId="1" xfId="0" applyFont="1" applyBorder="1" applyAlignment="1">
      <alignment vertical="top" wrapText="1"/>
    </xf>
    <xf numFmtId="0" fontId="11" fillId="55" borderId="1" xfId="0" applyFont="1" applyFill="1" applyBorder="1" applyAlignment="1">
      <alignment vertical="top" wrapText="1"/>
    </xf>
    <xf numFmtId="0" fontId="11" fillId="0" borderId="5" xfId="0" applyFont="1" applyBorder="1" applyAlignment="1">
      <alignment vertical="top" wrapText="1"/>
    </xf>
    <xf numFmtId="0" fontId="19" fillId="0" borderId="1" xfId="0" applyFont="1" applyBorder="1" applyAlignment="1">
      <alignment vertical="top" wrapText="1"/>
    </xf>
    <xf numFmtId="0" fontId="13" fillId="0" borderId="1" xfId="0" applyFont="1" applyBorder="1" applyAlignment="1">
      <alignment vertical="top" wrapText="1"/>
    </xf>
    <xf numFmtId="0" fontId="18" fillId="0" borderId="1" xfId="0" applyFont="1" applyBorder="1">
      <alignment vertical="center"/>
    </xf>
    <xf numFmtId="0" fontId="20" fillId="0" borderId="1" xfId="0" applyFont="1" applyBorder="1">
      <alignment vertical="center"/>
    </xf>
    <xf numFmtId="182" fontId="0" fillId="0" borderId="6" xfId="0" applyNumberFormat="1" applyBorder="1" applyAlignment="1">
      <alignment horizontal="center" vertical="center"/>
    </xf>
    <xf numFmtId="0" fontId="11" fillId="48" borderId="21" xfId="0" applyFont="1" applyFill="1" applyBorder="1">
      <alignment vertical="center"/>
    </xf>
    <xf numFmtId="0" fontId="11" fillId="48" borderId="21" xfId="0" applyFont="1" applyFill="1" applyBorder="1" applyAlignment="1">
      <alignment horizontal="center" vertical="center"/>
    </xf>
    <xf numFmtId="9" fontId="0" fillId="0" borderId="1" xfId="50" applyFont="1" applyBorder="1">
      <alignment vertical="center"/>
    </xf>
    <xf numFmtId="179" fontId="0" fillId="0" borderId="1" xfId="50" applyNumberFormat="1" applyFont="1" applyBorder="1">
      <alignment vertical="center"/>
    </xf>
    <xf numFmtId="193" fontId="0" fillId="0" borderId="1" xfId="0" applyNumberFormat="1" applyBorder="1">
      <alignment vertical="center"/>
    </xf>
    <xf numFmtId="0" fontId="11" fillId="0" borderId="1" xfId="0" applyFont="1" applyBorder="1" applyAlignment="1">
      <alignment horizontal="center" vertical="center"/>
    </xf>
    <xf numFmtId="11" fontId="11" fillId="0" borderId="1" xfId="0" applyNumberFormat="1" applyFont="1" applyBorder="1">
      <alignment vertical="center"/>
    </xf>
    <xf numFmtId="0" fontId="11" fillId="56" borderId="1" xfId="0" applyFont="1" applyFill="1" applyBorder="1">
      <alignment vertical="center"/>
    </xf>
    <xf numFmtId="0" fontId="0" fillId="57" borderId="1" xfId="0" applyFill="1" applyBorder="1">
      <alignment vertical="center"/>
    </xf>
    <xf numFmtId="0" fontId="0" fillId="58" borderId="1" xfId="0" applyFill="1" applyBorder="1">
      <alignment vertical="center"/>
    </xf>
    <xf numFmtId="0" fontId="0" fillId="59" borderId="1" xfId="0" applyFill="1" applyBorder="1">
      <alignment vertical="center"/>
    </xf>
    <xf numFmtId="0" fontId="0" fillId="60" borderId="1" xfId="0" applyFill="1" applyBorder="1">
      <alignment vertical="center"/>
    </xf>
    <xf numFmtId="0" fontId="0" fillId="61" borderId="1" xfId="0" applyFill="1" applyBorder="1">
      <alignment vertical="center"/>
    </xf>
    <xf numFmtId="0" fontId="0" fillId="62" borderId="1" xfId="0" applyFill="1" applyBorder="1">
      <alignment vertical="center"/>
    </xf>
    <xf numFmtId="0" fontId="0" fillId="63" borderId="1" xfId="0" applyFill="1" applyBorder="1">
      <alignment vertical="center"/>
    </xf>
    <xf numFmtId="0" fontId="0" fillId="64" borderId="1" xfId="0" applyFill="1" applyBorder="1">
      <alignment vertical="center"/>
    </xf>
    <xf numFmtId="0" fontId="0" fillId="65" borderId="1" xfId="0" applyFill="1" applyBorder="1">
      <alignment vertical="center"/>
    </xf>
    <xf numFmtId="0" fontId="0" fillId="66" borderId="1" xfId="0" applyFill="1" applyBorder="1">
      <alignment vertical="center"/>
    </xf>
    <xf numFmtId="0" fontId="46" fillId="67" borderId="1" xfId="49" applyFont="1" applyFill="1" applyBorder="1" applyAlignment="1">
      <alignment horizontal="left" vertical="center"/>
    </xf>
    <xf numFmtId="185" fontId="46" fillId="67" borderId="1" xfId="0" applyNumberFormat="1" applyFont="1" applyFill="1" applyBorder="1" applyAlignment="1">
      <alignment horizontal="left" vertical="center"/>
    </xf>
    <xf numFmtId="0" fontId="46" fillId="68" borderId="1" xfId="49" applyFont="1" applyFill="1" applyBorder="1" applyAlignment="1">
      <alignment horizontal="left" vertical="center"/>
    </xf>
    <xf numFmtId="185" fontId="46" fillId="68" borderId="1" xfId="0" applyNumberFormat="1" applyFont="1" applyFill="1" applyBorder="1" applyAlignment="1">
      <alignment horizontal="left" vertical="center"/>
    </xf>
    <xf numFmtId="0" fontId="46" fillId="69" borderId="1" xfId="49" applyFont="1" applyFill="1" applyBorder="1" applyAlignment="1">
      <alignment horizontal="left" vertical="center"/>
    </xf>
    <xf numFmtId="185" fontId="46" fillId="69" borderId="1" xfId="0" applyNumberFormat="1" applyFont="1" applyFill="1" applyBorder="1" applyAlignment="1">
      <alignment horizontal="left" vertical="center"/>
    </xf>
    <xf numFmtId="0" fontId="46" fillId="70" borderId="1" xfId="49" applyFont="1" applyFill="1" applyBorder="1" applyAlignment="1">
      <alignment horizontal="left" vertical="center"/>
    </xf>
    <xf numFmtId="185" fontId="46" fillId="70" borderId="1" xfId="0" applyNumberFormat="1" applyFont="1" applyFill="1" applyBorder="1" applyAlignment="1">
      <alignment horizontal="left" vertical="center"/>
    </xf>
    <xf numFmtId="0" fontId="38" fillId="0" borderId="1" xfId="0" applyFont="1" applyBorder="1">
      <alignment vertical="center"/>
    </xf>
    <xf numFmtId="182" fontId="38" fillId="0" borderId="1" xfId="0" applyNumberFormat="1" applyFont="1" applyBorder="1">
      <alignment vertical="center"/>
    </xf>
    <xf numFmtId="185" fontId="38" fillId="0" borderId="1" xfId="0" applyNumberFormat="1" applyFont="1" applyBorder="1" applyAlignment="1">
      <alignment horizontal="center" vertical="center"/>
    </xf>
    <xf numFmtId="190" fontId="38" fillId="0" borderId="1" xfId="0" applyNumberFormat="1" applyFont="1" applyBorder="1" applyAlignment="1">
      <alignment horizontal="center" vertical="center"/>
    </xf>
    <xf numFmtId="0" fontId="13" fillId="43" borderId="1" xfId="0" applyFont="1" applyFill="1" applyBorder="1">
      <alignment vertical="center"/>
    </xf>
    <xf numFmtId="0" fontId="11" fillId="0" borderId="38" xfId="0" applyFont="1" applyBorder="1" applyAlignment="1">
      <alignment vertical="center" wrapText="1"/>
    </xf>
    <xf numFmtId="0" fontId="0" fillId="4" borderId="38" xfId="0" applyFill="1" applyBorder="1">
      <alignment vertical="center"/>
    </xf>
    <xf numFmtId="0" fontId="0" fillId="0" borderId="38" xfId="0" applyBorder="1">
      <alignment vertical="center"/>
    </xf>
    <xf numFmtId="0" fontId="33" fillId="0" borderId="0" xfId="0" applyFont="1">
      <alignment vertical="center"/>
    </xf>
    <xf numFmtId="0" fontId="13" fillId="46" borderId="1" xfId="0" applyFont="1" applyFill="1" applyBorder="1">
      <alignment vertical="center"/>
    </xf>
    <xf numFmtId="187" fontId="0" fillId="0" borderId="38" xfId="0" applyNumberFormat="1" applyBorder="1" applyAlignment="1">
      <alignment horizontal="center" vertical="center"/>
    </xf>
    <xf numFmtId="0" fontId="0" fillId="0" borderId="38" xfId="0" applyBorder="1" applyAlignment="1">
      <alignment horizontal="center" vertical="center"/>
    </xf>
    <xf numFmtId="196" fontId="15" fillId="0" borderId="1" xfId="0" applyNumberFormat="1" applyFont="1" applyBorder="1" applyAlignment="1">
      <alignment horizontal="center" vertical="center"/>
    </xf>
    <xf numFmtId="0" fontId="33" fillId="0" borderId="38" xfId="0" applyFont="1" applyBorder="1">
      <alignment vertical="center"/>
    </xf>
    <xf numFmtId="0" fontId="0" fillId="3" borderId="0" xfId="0" applyFill="1" applyAlignment="1">
      <alignment horizontal="left" vertical="center"/>
    </xf>
    <xf numFmtId="0" fontId="0" fillId="3" borderId="0" xfId="0" applyFill="1">
      <alignment vertical="center"/>
    </xf>
    <xf numFmtId="187" fontId="0" fillId="0" borderId="38" xfId="0" applyNumberFormat="1" applyBorder="1">
      <alignment vertical="center"/>
    </xf>
    <xf numFmtId="0" fontId="11" fillId="0" borderId="38" xfId="0" applyFont="1" applyBorder="1">
      <alignment vertical="center"/>
    </xf>
    <xf numFmtId="0" fontId="11" fillId="0" borderId="2" xfId="48" applyFont="1" applyBorder="1" applyAlignment="1">
      <alignment horizontal="left" vertical="top" wrapText="1"/>
    </xf>
    <xf numFmtId="0" fontId="11" fillId="0" borderId="20" xfId="48" applyFont="1" applyBorder="1" applyAlignment="1">
      <alignment horizontal="left" vertical="top" wrapText="1"/>
    </xf>
    <xf numFmtId="0" fontId="11" fillId="0" borderId="38" xfId="48" applyFont="1" applyBorder="1" applyAlignment="1">
      <alignment horizontal="left" vertical="top" wrapText="1"/>
    </xf>
    <xf numFmtId="0" fontId="11" fillId="0" borderId="38" xfId="48" quotePrefix="1" applyFont="1" applyBorder="1" applyAlignment="1">
      <alignment horizontal="left" vertical="top" wrapText="1"/>
    </xf>
    <xf numFmtId="0" fontId="11" fillId="0" borderId="5" xfId="48" applyFont="1" applyBorder="1" applyAlignment="1">
      <alignment horizontal="left" vertical="top" wrapText="1"/>
    </xf>
    <xf numFmtId="0" fontId="11" fillId="0" borderId="38" xfId="0" applyFont="1" applyBorder="1" applyAlignment="1">
      <alignment vertical="top" wrapText="1"/>
    </xf>
    <xf numFmtId="0" fontId="13" fillId="0" borderId="38" xfId="0" applyFont="1" applyBorder="1" applyAlignment="1">
      <alignment vertical="top" wrapText="1"/>
    </xf>
    <xf numFmtId="0" fontId="33" fillId="0" borderId="38" xfId="0" applyFont="1" applyBorder="1" applyAlignment="1">
      <alignment vertical="top" wrapText="1"/>
    </xf>
    <xf numFmtId="0" fontId="0" fillId="0" borderId="38" xfId="0" applyBorder="1" applyAlignment="1">
      <alignment vertical="top" wrapText="1"/>
    </xf>
    <xf numFmtId="0" fontId="13" fillId="48" borderId="1" xfId="0" applyFont="1" applyFill="1" applyBorder="1">
      <alignment vertical="center"/>
    </xf>
    <xf numFmtId="0" fontId="13" fillId="48" borderId="3" xfId="0" applyFont="1" applyFill="1" applyBorder="1">
      <alignment vertical="center"/>
    </xf>
    <xf numFmtId="0" fontId="11" fillId="0" borderId="38" xfId="49" applyFont="1" applyBorder="1" applyAlignment="1">
      <alignment vertical="top" wrapText="1"/>
    </xf>
    <xf numFmtId="0" fontId="17" fillId="39" borderId="1" xfId="0" applyFont="1" applyFill="1" applyBorder="1">
      <alignment vertical="center"/>
    </xf>
    <xf numFmtId="184" fontId="0" fillId="0" borderId="1" xfId="50" applyNumberFormat="1" applyFont="1" applyBorder="1">
      <alignment vertical="center"/>
    </xf>
    <xf numFmtId="192" fontId="0" fillId="3" borderId="1" xfId="0" applyNumberFormat="1" applyFill="1" applyBorder="1">
      <alignment vertical="center"/>
    </xf>
    <xf numFmtId="0" fontId="8" fillId="43" borderId="39" xfId="0" applyFont="1" applyFill="1" applyBorder="1">
      <alignment vertical="center"/>
    </xf>
    <xf numFmtId="0" fontId="8" fillId="44" borderId="39" xfId="0" applyFont="1" applyFill="1" applyBorder="1">
      <alignment vertical="center"/>
    </xf>
    <xf numFmtId="0" fontId="8" fillId="45" borderId="39" xfId="0" applyFont="1" applyFill="1" applyBorder="1">
      <alignment vertical="center"/>
    </xf>
    <xf numFmtId="0" fontId="8" fillId="46" borderId="39" xfId="0" applyFont="1" applyFill="1" applyBorder="1">
      <alignment vertical="center"/>
    </xf>
    <xf numFmtId="0" fontId="8" fillId="47" borderId="5" xfId="0" applyFont="1" applyFill="1" applyBorder="1" applyAlignment="1">
      <alignment vertical="top"/>
    </xf>
    <xf numFmtId="0" fontId="8" fillId="47" borderId="39" xfId="0" applyFont="1" applyFill="1" applyBorder="1" applyAlignment="1">
      <alignment vertical="top"/>
    </xf>
    <xf numFmtId="0" fontId="8" fillId="47" borderId="6" xfId="0" applyFont="1" applyFill="1" applyBorder="1" applyAlignment="1">
      <alignment vertical="top"/>
    </xf>
    <xf numFmtId="0" fontId="11" fillId="43" borderId="5" xfId="0" applyFont="1" applyFill="1" applyBorder="1" applyAlignment="1">
      <alignment vertical="top"/>
    </xf>
    <xf numFmtId="0" fontId="11" fillId="43" borderId="1" xfId="0" applyFont="1" applyFill="1" applyBorder="1" applyAlignment="1">
      <alignment vertical="top"/>
    </xf>
    <xf numFmtId="0" fontId="11" fillId="43" borderId="1" xfId="0" applyFont="1" applyFill="1" applyBorder="1" applyAlignment="1">
      <alignment horizontal="center" vertical="top"/>
    </xf>
    <xf numFmtId="0" fontId="11" fillId="43" borderId="6" xfId="0" applyFont="1" applyFill="1" applyBorder="1" applyAlignment="1">
      <alignment vertical="top"/>
    </xf>
    <xf numFmtId="0" fontId="11" fillId="43" borderId="39" xfId="0" applyFont="1" applyFill="1" applyBorder="1" applyAlignment="1">
      <alignment vertical="top"/>
    </xf>
    <xf numFmtId="0" fontId="11" fillId="44" borderId="5" xfId="0" applyFont="1" applyFill="1" applyBorder="1" applyAlignment="1">
      <alignment vertical="top"/>
    </xf>
    <xf numFmtId="0" fontId="11" fillId="44" borderId="1" xfId="0" applyFont="1" applyFill="1" applyBorder="1" applyAlignment="1">
      <alignment vertical="top"/>
    </xf>
    <xf numFmtId="0" fontId="11" fillId="44" borderId="1" xfId="0" applyFont="1" applyFill="1" applyBorder="1" applyAlignment="1">
      <alignment horizontal="center" vertical="top"/>
    </xf>
    <xf numFmtId="0" fontId="11" fillId="44" borderId="6" xfId="0" applyFont="1" applyFill="1" applyBorder="1" applyAlignment="1">
      <alignment vertical="top"/>
    </xf>
    <xf numFmtId="0" fontId="11" fillId="44" borderId="39" xfId="0" applyFont="1" applyFill="1" applyBorder="1" applyAlignment="1">
      <alignment vertical="top"/>
    </xf>
    <xf numFmtId="0" fontId="11" fillId="44" borderId="1" xfId="0" quotePrefix="1" applyFont="1" applyFill="1" applyBorder="1" applyAlignment="1">
      <alignment horizontal="center" vertical="top"/>
    </xf>
    <xf numFmtId="0" fontId="11" fillId="45" borderId="5" xfId="0" applyFont="1" applyFill="1" applyBorder="1" applyAlignment="1">
      <alignment vertical="top"/>
    </xf>
    <xf numFmtId="0" fontId="11" fillId="45" borderId="1" xfId="0" applyFont="1" applyFill="1" applyBorder="1" applyAlignment="1">
      <alignment vertical="top"/>
    </xf>
    <xf numFmtId="0" fontId="11" fillId="45" borderId="1" xfId="0" applyFont="1" applyFill="1" applyBorder="1" applyAlignment="1">
      <alignment horizontal="center" vertical="top"/>
    </xf>
    <xf numFmtId="0" fontId="11" fillId="45" borderId="39" xfId="0" applyFont="1" applyFill="1" applyBorder="1" applyAlignment="1">
      <alignment vertical="top"/>
    </xf>
    <xf numFmtId="0" fontId="11" fillId="45" borderId="6" xfId="0" applyFont="1" applyFill="1" applyBorder="1" applyAlignment="1">
      <alignment vertical="top"/>
    </xf>
    <xf numFmtId="0" fontId="11" fillId="45" borderId="1" xfId="0" quotePrefix="1" applyFont="1" applyFill="1" applyBorder="1" applyAlignment="1">
      <alignment horizontal="center" vertical="top"/>
    </xf>
    <xf numFmtId="0" fontId="11" fillId="46" borderId="5" xfId="0" applyFont="1" applyFill="1" applyBorder="1" applyAlignment="1">
      <alignment vertical="top"/>
    </xf>
    <xf numFmtId="0" fontId="11" fillId="46" borderId="1" xfId="0" applyFont="1" applyFill="1" applyBorder="1" applyAlignment="1">
      <alignment vertical="top"/>
    </xf>
    <xf numFmtId="0" fontId="11" fillId="46" borderId="1" xfId="0" applyFont="1" applyFill="1" applyBorder="1" applyAlignment="1">
      <alignment horizontal="center" vertical="top"/>
    </xf>
    <xf numFmtId="0" fontId="11" fillId="46" borderId="39" xfId="0" applyFont="1" applyFill="1" applyBorder="1" applyAlignment="1">
      <alignment vertical="top"/>
    </xf>
    <xf numFmtId="0" fontId="11" fillId="46" borderId="6" xfId="0" applyFont="1" applyFill="1" applyBorder="1" applyAlignment="1">
      <alignment vertical="top"/>
    </xf>
    <xf numFmtId="0" fontId="11" fillId="46" borderId="1" xfId="0" quotePrefix="1" applyFont="1" applyFill="1" applyBorder="1" applyAlignment="1">
      <alignment horizontal="center" vertical="top"/>
    </xf>
    <xf numFmtId="0" fontId="11" fillId="47" borderId="5" xfId="0" applyFont="1" applyFill="1" applyBorder="1" applyAlignment="1">
      <alignment vertical="top"/>
    </xf>
    <xf numFmtId="0" fontId="11" fillId="47" borderId="1" xfId="0" applyFont="1" applyFill="1" applyBorder="1" applyAlignment="1">
      <alignment vertical="top"/>
    </xf>
    <xf numFmtId="0" fontId="11" fillId="47" borderId="1" xfId="0" applyFont="1" applyFill="1" applyBorder="1" applyAlignment="1">
      <alignment horizontal="center" vertical="top"/>
    </xf>
    <xf numFmtId="0" fontId="11" fillId="47" borderId="39" xfId="0" applyFont="1" applyFill="1" applyBorder="1" applyAlignment="1">
      <alignment vertical="top"/>
    </xf>
    <xf numFmtId="0" fontId="11" fillId="47" borderId="6" xfId="0" applyFont="1" applyFill="1" applyBorder="1" applyAlignment="1">
      <alignment vertical="top"/>
    </xf>
    <xf numFmtId="0" fontId="11" fillId="48" borderId="1" xfId="0" applyFont="1" applyFill="1" applyBorder="1" applyAlignment="1">
      <alignment vertical="top"/>
    </xf>
    <xf numFmtId="0" fontId="11" fillId="48" borderId="1" xfId="0" applyFont="1" applyFill="1" applyBorder="1" applyAlignment="1">
      <alignment horizontal="center" vertical="top"/>
    </xf>
    <xf numFmtId="0" fontId="11" fillId="48" borderId="1" xfId="0" quotePrefix="1" applyFont="1" applyFill="1" applyBorder="1" applyAlignment="1">
      <alignment horizontal="center" vertical="top"/>
    </xf>
    <xf numFmtId="0" fontId="11" fillId="48" borderId="5" xfId="0" applyFont="1" applyFill="1" applyBorder="1" applyAlignment="1">
      <alignment vertical="top"/>
    </xf>
    <xf numFmtId="0" fontId="11" fillId="48" borderId="6" xfId="0" applyFont="1" applyFill="1" applyBorder="1" applyAlignment="1">
      <alignment vertical="top"/>
    </xf>
    <xf numFmtId="0" fontId="11" fillId="48" borderId="39" xfId="0" applyFont="1" applyFill="1" applyBorder="1" applyAlignment="1">
      <alignment vertical="top"/>
    </xf>
    <xf numFmtId="0" fontId="8" fillId="48" borderId="39" xfId="0" applyFont="1" applyFill="1" applyBorder="1">
      <alignment vertical="center"/>
    </xf>
    <xf numFmtId="178" fontId="8" fillId="0" borderId="38" xfId="0" applyNumberFormat="1" applyFont="1" applyBorder="1">
      <alignment vertical="center"/>
    </xf>
    <xf numFmtId="0" fontId="0" fillId="3" borderId="0" xfId="0" applyFill="1" applyAlignment="1">
      <alignment horizontal="right" vertical="center"/>
    </xf>
    <xf numFmtId="0" fontId="8" fillId="3" borderId="5" xfId="0" applyFont="1" applyFill="1" applyBorder="1">
      <alignment vertical="center"/>
    </xf>
    <xf numFmtId="0" fontId="20" fillId="0" borderId="8" xfId="0" applyFont="1" applyBorder="1">
      <alignment vertical="center"/>
    </xf>
    <xf numFmtId="0" fontId="0" fillId="5" borderId="3" xfId="0" applyFill="1" applyBorder="1">
      <alignment vertical="center"/>
    </xf>
    <xf numFmtId="0" fontId="0" fillId="5" borderId="4" xfId="0" applyFill="1" applyBorder="1">
      <alignment vertical="center"/>
    </xf>
    <xf numFmtId="0" fontId="0" fillId="5" borderId="2" xfId="0" applyFill="1" applyBorder="1">
      <alignment vertical="center"/>
    </xf>
    <xf numFmtId="0" fontId="0" fillId="5" borderId="1" xfId="0" applyFill="1" applyBorder="1">
      <alignment vertical="center"/>
    </xf>
    <xf numFmtId="0" fontId="0" fillId="4" borderId="3" xfId="0" applyFill="1" applyBorder="1">
      <alignment vertical="center"/>
    </xf>
    <xf numFmtId="0" fontId="0" fillId="4" borderId="4" xfId="0" applyFill="1" applyBorder="1">
      <alignment vertical="center"/>
    </xf>
    <xf numFmtId="0" fontId="0" fillId="4" borderId="2" xfId="0" applyFill="1" applyBorder="1">
      <alignment vertical="center"/>
    </xf>
    <xf numFmtId="0" fontId="15" fillId="0" borderId="3" xfId="0" applyFont="1" applyBorder="1" applyAlignment="1">
      <alignment horizontal="center" vertical="center"/>
    </xf>
    <xf numFmtId="0" fontId="15" fillId="0" borderId="2" xfId="0" applyFont="1" applyBorder="1" applyAlignment="1">
      <alignment horizontal="center" vertical="center"/>
    </xf>
    <xf numFmtId="0" fontId="16" fillId="0" borderId="3" xfId="0" applyFont="1" applyBorder="1" applyAlignment="1">
      <alignment horizontal="center" vertical="center"/>
    </xf>
    <xf numFmtId="0" fontId="16" fillId="0" borderId="2" xfId="0" applyFont="1" applyBorder="1" applyAlignment="1">
      <alignment horizontal="center" vertical="center"/>
    </xf>
    <xf numFmtId="0" fontId="11" fillId="5" borderId="3" xfId="0" applyFont="1" applyFill="1" applyBorder="1">
      <alignment vertical="center"/>
    </xf>
    <xf numFmtId="0" fontId="11" fillId="5" borderId="4" xfId="0" applyFont="1" applyFill="1" applyBorder="1">
      <alignment vertical="center"/>
    </xf>
    <xf numFmtId="0" fontId="11" fillId="5" borderId="2" xfId="0" applyFont="1" applyFill="1" applyBorder="1">
      <alignment vertical="center"/>
    </xf>
    <xf numFmtId="0" fontId="11" fillId="5" borderId="1" xfId="0" applyFont="1" applyFill="1" applyBorder="1">
      <alignment vertical="center"/>
    </xf>
    <xf numFmtId="14" fontId="0" fillId="0" borderId="0" xfId="0" applyNumberFormat="1" applyAlignment="1">
      <alignment horizontal="right" vertical="center"/>
    </xf>
    <xf numFmtId="14" fontId="0" fillId="0" borderId="31" xfId="0" applyNumberFormat="1" applyBorder="1" applyAlignment="1">
      <alignment horizontal="right" vertical="center"/>
    </xf>
    <xf numFmtId="0" fontId="37" fillId="37" borderId="0" xfId="0" quotePrefix="1" applyFont="1" applyFill="1" applyAlignment="1">
      <alignment horizontal="center" vertical="center"/>
    </xf>
    <xf numFmtId="0" fontId="37" fillId="42" borderId="0" xfId="0" applyFont="1" applyFill="1" applyAlignment="1">
      <alignment horizontal="center" vertical="center"/>
    </xf>
    <xf numFmtId="0" fontId="37" fillId="41" borderId="0" xfId="0" applyFont="1" applyFill="1" applyAlignment="1">
      <alignment horizontal="center" vertical="center"/>
    </xf>
    <xf numFmtId="0" fontId="37" fillId="40" borderId="0" xfId="0" applyFont="1" applyFill="1" applyAlignment="1">
      <alignment horizontal="center" vertical="center"/>
    </xf>
    <xf numFmtId="0" fontId="37" fillId="39" borderId="0" xfId="0" applyFont="1" applyFill="1" applyAlignment="1">
      <alignment horizontal="center" vertical="center"/>
    </xf>
    <xf numFmtId="0" fontId="37" fillId="38" borderId="0" xfId="0" applyFont="1" applyFill="1" applyAlignment="1">
      <alignment horizontal="center" vertical="center"/>
    </xf>
    <xf numFmtId="0" fontId="0" fillId="5" borderId="38" xfId="0" applyFill="1" applyBorder="1">
      <alignment vertical="center"/>
    </xf>
    <xf numFmtId="0" fontId="10" fillId="39" borderId="1" xfId="0" applyFont="1" applyFill="1" applyBorder="1">
      <alignment vertical="center"/>
    </xf>
    <xf numFmtId="0" fontId="10" fillId="39" borderId="38" xfId="0" applyFont="1" applyFill="1" applyBorder="1">
      <alignment vertical="center"/>
    </xf>
    <xf numFmtId="0" fontId="10" fillId="40" borderId="1" xfId="0" applyFont="1" applyFill="1" applyBorder="1">
      <alignment vertical="center"/>
    </xf>
    <xf numFmtId="0" fontId="10" fillId="40" borderId="38" xfId="0" applyFont="1" applyFill="1" applyBorder="1">
      <alignment vertical="center"/>
    </xf>
    <xf numFmtId="0" fontId="10" fillId="41" borderId="1" xfId="0" applyFont="1" applyFill="1" applyBorder="1">
      <alignment vertical="center"/>
    </xf>
    <xf numFmtId="0" fontId="10" fillId="41" borderId="38" xfId="0" applyFont="1" applyFill="1" applyBorder="1">
      <alignment vertical="center"/>
    </xf>
    <xf numFmtId="0" fontId="10" fillId="42" borderId="1" xfId="0" applyFont="1" applyFill="1" applyBorder="1">
      <alignment vertical="center"/>
    </xf>
    <xf numFmtId="0" fontId="10" fillId="42" borderId="38" xfId="0" applyFont="1" applyFill="1" applyBorder="1">
      <alignment vertical="center"/>
    </xf>
    <xf numFmtId="0" fontId="10" fillId="37" borderId="1" xfId="0" quotePrefix="1" applyFont="1" applyFill="1" applyBorder="1">
      <alignment vertical="center"/>
    </xf>
    <xf numFmtId="0" fontId="10" fillId="37" borderId="38" xfId="0" quotePrefix="1" applyFont="1" applyFill="1" applyBorder="1">
      <alignment vertical="center"/>
    </xf>
    <xf numFmtId="0" fontId="10" fillId="38" borderId="1" xfId="0" applyFont="1" applyFill="1" applyBorder="1">
      <alignment vertical="center"/>
    </xf>
    <xf numFmtId="0" fontId="10" fillId="38" borderId="38" xfId="0" applyFont="1" applyFill="1" applyBorder="1">
      <alignment vertical="center"/>
    </xf>
    <xf numFmtId="0" fontId="0" fillId="4" borderId="0" xfId="0" applyFill="1">
      <alignment vertical="center"/>
    </xf>
    <xf numFmtId="0" fontId="0" fillId="54" borderId="1" xfId="0" applyFill="1" applyBorder="1">
      <alignment vertical="center"/>
    </xf>
    <xf numFmtId="0" fontId="0" fillId="53" borderId="1" xfId="0" applyFill="1" applyBorder="1">
      <alignment vertical="center"/>
    </xf>
  </cellXfs>
  <cellStyles count="90">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ANCLAS,REZONES Y SUS PARTES,DE FUNDICION,DE HIERRO O DE ACERO" xfId="81" xr:uid="{B7207D77-77C4-47E2-B05C-80A56563D008}"/>
    <cellStyle name="Base_e" xfId="85" xr:uid="{769EBD62-3FD8-47D9-81FA-192056192A14}"/>
    <cellStyle name="Col_head" xfId="86" xr:uid="{83BB31AE-566D-429C-AF89-6A9018970ABB}"/>
    <cellStyle name="Header" xfId="62" xr:uid="{6FE5210C-5AC7-45D7-A39C-4B0B31B5E961}"/>
    <cellStyle name="Komma 2" xfId="80" xr:uid="{A14443E8-8E34-4F69-ADC7-8A6049C4D996}"/>
    <cellStyle name="Name" xfId="84" xr:uid="{787BE9A0-5E02-4913-B337-D3000BF0247B}"/>
    <cellStyle name="Normal 2" xfId="56" xr:uid="{265839F9-1735-4909-A424-65E6344475B5}"/>
    <cellStyle name="Normal 2 11" xfId="76" xr:uid="{01CFFC0F-9A4C-4E67-9471-FD830CA9909A}"/>
    <cellStyle name="Normal 2 2 2 2" xfId="87" xr:uid="{014809E9-D25B-4DDF-B159-6C8599835847}"/>
    <cellStyle name="Normal 2 2 2 3" xfId="71" xr:uid="{ACDA555C-AFCB-449F-8F12-DFFA148336C8}"/>
    <cellStyle name="Normal 2 3" xfId="60" xr:uid="{2EDEAC80-3389-4E08-9A9D-2A9AC0D4C5A8}"/>
    <cellStyle name="Normal 3" xfId="73" xr:uid="{9444E4C8-B3E7-4111-8CB8-7636A741A546}"/>
    <cellStyle name="Normal_1.10.4  is_2009_population_active_independants" xfId="59" xr:uid="{DC07A06E-B64A-4A09-9073-BD09660F0EA0}"/>
    <cellStyle name="Standard 2 2" xfId="64" xr:uid="{731FE5AA-987D-4698-A82A-C1E0661EB845}"/>
    <cellStyle name="Standard 3" xfId="79" xr:uid="{621CF3E1-C990-4EC8-A939-F2A6B1DE6DEB}"/>
    <cellStyle name="Standard_Abfrage" xfId="65" xr:uid="{B7C56BB0-3FC3-4BD3-B536-80AC5B92BEB8}"/>
    <cellStyle name="Sub_head" xfId="82" xr:uid="{93F3A0A2-29F0-4850-9706-4A109FD8F584}"/>
    <cellStyle name="Text" xfId="88" xr:uid="{E7AAD5E1-4636-4179-A540-3EDA57657076}"/>
    <cellStyle name="Title" xfId="61" xr:uid="{AFD22C72-5E1D-422F-A4B9-9DE4E1BA3711}"/>
    <cellStyle name="Total_e" xfId="83" xr:uid="{2EF34801-356F-4546-9E93-8FA7135F4C1E}"/>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1" builtinId="5" hidden="1"/>
    <cellStyle name="パーセント" xfId="50" builtinId="5"/>
    <cellStyle name="パーセント 2" xfId="72" xr:uid="{17AA1458-31E7-4B48-8AF9-80A6252B70B3}"/>
    <cellStyle name="パーセント 3" xfId="70" xr:uid="{22C45322-3556-4574-919C-BF05D8544F77}"/>
    <cellStyle name="ハイパーリンク 2" xfId="63" xr:uid="{0AF46A21-E352-4CD1-8A87-F384D8B77BD3}"/>
    <cellStyle name="ハイパーリンク 5" xfId="77" xr:uid="{4058C981-F53E-4DC8-B566-673EB896CC4A}"/>
    <cellStyle name="ハイパーリンク 6" xfId="58" xr:uid="{8ED4B01E-EC4F-435B-A6C8-7F5B1ECDF509}"/>
    <cellStyle name="メモ" xfId="20" builtinId="10" hidden="1"/>
    <cellStyle name="リンク セル" xfId="17" builtinId="24" hidden="1"/>
    <cellStyle name="เปอร์เซ็นต์ 2" xfId="69" xr:uid="{CC60444D-3423-4226-A2C4-224C0BB226E2}"/>
    <cellStyle name="悪い" xfId="12" builtinId="27" hidden="1"/>
    <cellStyle name="計算" xfId="16" builtinId="22" hidden="1"/>
    <cellStyle name="警告文" xfId="19" builtinId="11" hidden="1"/>
    <cellStyle name="桁区切り" xfId="2" builtinId="6" hidden="1"/>
    <cellStyle name="桁区切り [0.00]" xfId="3" builtinId="3" hidden="1"/>
    <cellStyle name="桁区切り [0.00] 2" xfId="74" xr:uid="{F0482707-C619-4D9A-B9A8-BE3EEEB226C7}"/>
    <cellStyle name="桁区切り [0.00] 6" xfId="66" xr:uid="{8F6CCE1E-CEE0-4E55-A365-77B560C142EA}"/>
    <cellStyle name="桁区切り 2" xfId="53" xr:uid="{A9A4ACDE-CF21-42BF-92BA-10B5816E03C2}"/>
    <cellStyle name="桁区切り 2 4" xfId="67" xr:uid="{B9135F3A-CEA8-4090-8312-7A9D31A51E62}"/>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説明文" xfId="21" builtinId="53" hidden="1"/>
    <cellStyle name="通貨" xfId="5" builtinId="7" hidden="1"/>
    <cellStyle name="通貨 [0.00]" xfId="4" builtinId="4" hidden="1"/>
    <cellStyle name="入力" xfId="14" builtinId="20" hidden="1"/>
    <cellStyle name="標準" xfId="0" builtinId="0" customBuiltin="1"/>
    <cellStyle name="標準 19 3 5 2" xfId="68" xr:uid="{C22FD3C4-D7EA-47C9-A35E-A6A3877235F8}"/>
    <cellStyle name="標準 2" xfId="47" xr:uid="{00000000-0005-0000-0000-00002E000000}"/>
    <cellStyle name="標準 2 2" xfId="48" xr:uid="{00000000-0005-0000-0000-00002F000000}"/>
    <cellStyle name="標準 2 2 2" xfId="75" xr:uid="{0A0DD73E-E70D-49B8-B3F2-02EA718AB39C}"/>
    <cellStyle name="標準 2 3" xfId="49" xr:uid="{00000000-0005-0000-0000-000030000000}"/>
    <cellStyle name="標準 2 5" xfId="57" xr:uid="{72E91EFC-51C6-4F32-9F81-116042CB0585}"/>
    <cellStyle name="標準 3" xfId="51" xr:uid="{C5C8C299-683E-4A36-A64C-5702F199B476}"/>
    <cellStyle name="標準 3 2" xfId="55" xr:uid="{9E8B305F-08AA-4D30-B32B-6773F149578E}"/>
    <cellStyle name="標準 3 4" xfId="52" xr:uid="{FD6F2893-6062-4AF8-B1D4-9ED9D64D9464}"/>
    <cellStyle name="標準 4" xfId="78" xr:uid="{715F4D63-6391-4558-9C99-6381F17596A2}"/>
    <cellStyle name="標準 4 2" xfId="89" xr:uid="{AE6364A0-295E-4C68-860F-E1F1653BC40E}"/>
    <cellStyle name="標準 7" xfId="54" xr:uid="{54A61777-FEFF-4F5C-B78C-52455ADAA3A9}"/>
    <cellStyle name="良い" xfId="11" builtinId="26" hidden="1"/>
  </cellStyles>
  <dxfs count="702">
    <dxf>
      <fill>
        <patternFill>
          <bgColor rgb="FFFFFF00"/>
        </patternFill>
      </fill>
    </dxf>
    <dxf>
      <fill>
        <patternFill>
          <bgColor rgb="FFFFFF00"/>
        </patternFill>
      </fill>
    </dxf>
    <dxf>
      <fill>
        <patternFill>
          <bgColor rgb="FFFFFF00"/>
        </patternFill>
      </fill>
    </dxf>
    <dxf>
      <font>
        <b/>
        <i val="0"/>
      </font>
    </dxf>
    <dxf>
      <font>
        <b/>
        <i val="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7"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7"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7"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7"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7"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7"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7"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fill>
        <patternFill patternType="solid">
          <fgColor indexed="64"/>
          <bgColor theme="0" tint="-4.9989318521683403E-2"/>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alignment horizontal="general"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9"/>
        <color theme="1"/>
        <name val="游ゴシック"/>
        <scheme val="none"/>
      </font>
      <fill>
        <patternFill patternType="solid">
          <fgColor indexed="64"/>
          <bgColor theme="0" tint="-0.14999847407452621"/>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ont>
        <b/>
        <i val="0"/>
      </font>
    </dxf>
    <dxf>
      <font>
        <b/>
        <i val="0"/>
      </font>
      <fill>
        <patternFill>
          <bgColor rgb="FFFFFF00"/>
        </patternFill>
      </fill>
    </dxf>
    <dxf>
      <fill>
        <patternFill>
          <bgColor rgb="FF9170AF"/>
        </patternFill>
      </fill>
    </dxf>
    <dxf>
      <fill>
        <patternFill>
          <bgColor rgb="FF90C31F"/>
        </patternFill>
      </fill>
    </dxf>
    <dxf>
      <fill>
        <patternFill>
          <bgColor rgb="FF237FC4"/>
        </patternFill>
      </fill>
    </dxf>
    <dxf>
      <fill>
        <patternFill>
          <bgColor rgb="FFFABF1C"/>
        </patternFill>
      </fill>
    </dxf>
    <dxf>
      <fill>
        <patternFill>
          <bgColor rgb="FFDB5334"/>
        </patternFill>
      </fill>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9" formatCode="&quot;#&quot;0"/>
      <fill>
        <patternFill patternType="solid">
          <fgColor indexed="64"/>
          <bgColor theme="0" tint="-4.9989318521683403E-2"/>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8"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9" formatCode="&quot;#&quot;0"/>
      <fill>
        <patternFill patternType="solid">
          <fgColor indexed="64"/>
          <bgColor theme="0" tint="-4.9989318521683403E-2"/>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numFmt numFmtId="182" formatCode="0.0;&quot;▲ &quot;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fill>
        <patternFill patternType="solid">
          <fgColor indexed="64"/>
          <bgColor theme="0" tint="-4.9989318521683403E-2"/>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numFmt numFmtId="182" formatCode="0.0;&quot;▲ &quot;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2" formatCode="0.0;&quot;▲ &quot;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9" formatCode="&quot;#&quot;0"/>
      <fill>
        <patternFill patternType="solid">
          <fgColor indexed="64"/>
          <bgColor theme="0" tint="-4.9989318521683403E-2"/>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1" formatCode="#,##0.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1" formatCode="#,##0.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6" formatCode="0.00_);[Red]\(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7"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1" formatCode="#,##0.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4" formatCode="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5" formatCode="0.0_);[Red]\(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4"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1" formatCode="#,##0.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fill>
        <patternFill patternType="solid">
          <fgColor indexed="64"/>
          <bgColor theme="0" tint="-4.9989318521683403E-2"/>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游ゴシック"/>
        <scheme val="none"/>
      </font>
    </dxf>
    <dxf>
      <border outline="0">
        <bottom style="thin">
          <color indexed="64"/>
        </bottom>
      </border>
    </dxf>
    <dxf>
      <font>
        <b val="0"/>
        <i val="0"/>
        <strike val="0"/>
        <condense val="0"/>
        <extend val="0"/>
        <outline val="0"/>
        <shadow val="0"/>
        <u val="none"/>
        <vertAlign val="baseline"/>
        <sz val="9"/>
        <color rgb="FF000000"/>
        <name val="游ゴシック"/>
        <scheme val="none"/>
      </font>
      <fill>
        <patternFill patternType="solid">
          <fgColor indexed="64"/>
          <bgColor rgb="FFEEAA3D"/>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游ゴシック"/>
        <scheme val="none"/>
      </font>
      <numFmt numFmtId="178" formatCode="#,##0_ "/>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numFmt numFmtId="184" formatCode="#,##0.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numFmt numFmtId="178" formatCode="#,##0_ "/>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numFmt numFmtId="178" formatCode="#,##0_ "/>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1" formatCode="#,##0.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1" formatCode="#,##0.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93" formatCode="#,##0.00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80" formatCode="#,##0.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178" formatCode="#,##0_ "/>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9" formatCode="&quot;#&quot;0"/>
      <fill>
        <patternFill patternType="solid">
          <fgColor indexed="64"/>
          <bgColor theme="0" tint="-4.9989318521683403E-2"/>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dxf>
    <dxf>
      <border outline="0">
        <bottom style="thin">
          <color indexed="64"/>
        </bottom>
      </border>
    </dxf>
    <dxf>
      <font>
        <b val="0"/>
        <i val="0"/>
        <strike val="0"/>
        <condense val="0"/>
        <extend val="0"/>
        <outline val="0"/>
        <shadow val="0"/>
        <u val="none"/>
        <vertAlign val="baseline"/>
        <sz val="9"/>
        <color rgb="FF000000"/>
        <name val="游ゴシック"/>
        <scheme val="none"/>
      </font>
      <fill>
        <patternFill patternType="solid">
          <fgColor indexed="64"/>
          <bgColor rgb="FFEEAA3D"/>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ont>
        <b val="0"/>
        <i val="0"/>
        <strike val="0"/>
        <condense val="0"/>
        <extend val="0"/>
        <outline val="0"/>
        <shadow val="0"/>
        <u val="none"/>
        <vertAlign val="baseline"/>
        <sz val="9"/>
        <color auto="1"/>
        <name val="游ゴシック"/>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游ゴシック"/>
        <scheme val="none"/>
      </font>
      <fill>
        <patternFill patternType="solid">
          <fgColor indexed="64"/>
          <bgColor rgb="FFFCEED8"/>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auto="1"/>
        <name val="游ゴシック"/>
        <scheme val="none"/>
      </font>
      <fill>
        <patternFill patternType="solid">
          <fgColor indexed="64"/>
          <bgColor rgb="FFFCEED8"/>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fill>
        <patternFill patternType="solid">
          <fgColor indexed="64"/>
          <bgColor rgb="FFFCEED8"/>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fill>
        <patternFill patternType="solid">
          <fgColor indexed="64"/>
          <bgColor rgb="FFFCEED8"/>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fill>
        <patternFill patternType="solid">
          <fgColor indexed="64"/>
          <bgColor rgb="FFFCEED8"/>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fill>
        <patternFill patternType="solid">
          <fgColor indexed="64"/>
          <bgColor rgb="FFFCEED8"/>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游ゴシック"/>
        <scheme val="none"/>
      </font>
      <fill>
        <patternFill patternType="solid">
          <fgColor indexed="64"/>
          <bgColor rgb="FFFCEED8"/>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游ゴシック"/>
        <scheme val="none"/>
      </font>
      <fill>
        <patternFill patternType="solid">
          <fgColor indexed="64"/>
          <bgColor rgb="FFEEAA3D"/>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游ゴシック"/>
        <scheme val="none"/>
      </font>
      <fill>
        <patternFill patternType="solid">
          <fgColor indexed="64"/>
          <bgColor rgb="FFEEAA3D"/>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游ゴシック"/>
        <scheme val="none"/>
      </font>
      <fill>
        <patternFill patternType="solid">
          <fgColor indexed="64"/>
          <bgColor rgb="FFFCEED8"/>
        </patternFill>
      </fill>
      <alignment horizontal="general" vertical="center" textRotation="0" wrapText="0" indent="0" justifyLastLine="0" shrinkToFit="0" readingOrder="0"/>
    </dxf>
    <dxf>
      <border outline="0">
        <bottom style="thin">
          <color indexed="64"/>
        </bottom>
      </border>
    </dxf>
    <dxf>
      <fill>
        <patternFill patternType="solid">
          <fgColor indexed="64"/>
          <bgColor theme="0" tint="-0.14999847407452621"/>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游ゴシック"/>
        <scheme val="none"/>
      </font>
      <fill>
        <patternFill patternType="none">
          <fgColor indexed="64"/>
          <bgColor indexed="65"/>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游ゴシック"/>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游ゴシック"/>
        <scheme val="none"/>
      </font>
      <fill>
        <patternFill patternType="none">
          <fgColor indexed="64"/>
          <bgColor indexed="65"/>
        </patternFill>
      </fill>
    </dxf>
    <dxf>
      <border outline="0">
        <bottom style="thin">
          <color indexed="64"/>
        </bottom>
      </border>
    </dxf>
    <dxf>
      <fill>
        <patternFill patternType="solid">
          <fgColor indexed="64"/>
          <bgColor theme="0" tint="-0.14999847407452621"/>
        </patternFill>
      </fill>
      <alignment horizontal="general" vertical="center" textRotation="0" wrapText="0" indent="0" justifyLastLine="0" shrinkToFit="0" readingOrder="0"/>
      <border diagonalUp="0" diagonalDown="0" outline="0">
        <left style="thin">
          <color indexed="64"/>
        </left>
        <right style="thin">
          <color indexed="64"/>
        </right>
        <top/>
        <bottom/>
      </border>
    </dxf>
  </dxfs>
  <tableStyles count="0" defaultPivotStyle="PivotStyleLight16"/>
  <colors>
    <mruColors>
      <color rgb="FFDB5334"/>
      <color rgb="FFFABF1C"/>
      <color rgb="FF237FC4"/>
      <color rgb="FF000000"/>
      <color rgb="FFF49D28"/>
      <color rgb="FF9170AF"/>
      <color rgb="FF90C31F"/>
      <color rgb="FFF5E1CF"/>
      <color rgb="FFE2E6D2"/>
      <color rgb="FFD8E4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2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レーダー!$D$4</c:f>
              <c:strCache>
                <c:ptCount val="1"/>
                <c:pt idx="0">
                  <c:v>ロンドン</c:v>
                </c:pt>
              </c:strCache>
            </c:strRef>
          </c:tx>
          <c:spPr>
            <a:ln w="28575" cap="rnd">
              <a:solidFill>
                <a:srgbClr val="DB5334"/>
              </a:solidFill>
              <a:round/>
            </a:ln>
            <a:effectLst/>
          </c:spPr>
          <c:marker>
            <c:symbol val="none"/>
          </c:marker>
          <c:cat>
            <c:strRef>
              <c:f>レーダー!$E$3:$J$3</c:f>
              <c:strCache>
                <c:ptCount val="6"/>
                <c:pt idx="0">
                  <c:v>経済</c:v>
                </c:pt>
                <c:pt idx="1">
                  <c:v>研究・開発</c:v>
                </c:pt>
                <c:pt idx="2">
                  <c:v>文化・交流</c:v>
                </c:pt>
                <c:pt idx="3">
                  <c:v>居住</c:v>
                </c:pt>
                <c:pt idx="4">
                  <c:v>環境</c:v>
                </c:pt>
                <c:pt idx="5">
                  <c:v>交通・アクセス</c:v>
                </c:pt>
              </c:strCache>
            </c:strRef>
          </c:cat>
          <c:val>
            <c:numRef>
              <c:f>レーダー!$E$4:$J$4</c:f>
              <c:numCache>
                <c:formatCode>0.0;"▲ "0.0</c:formatCode>
                <c:ptCount val="6"/>
                <c:pt idx="0">
                  <c:v>67.884213669604364</c:v>
                </c:pt>
                <c:pt idx="1">
                  <c:v>74.597208583595972</c:v>
                </c:pt>
                <c:pt idx="2">
                  <c:v>86.772741769308922</c:v>
                </c:pt>
                <c:pt idx="3">
                  <c:v>58.944552322499028</c:v>
                </c:pt>
                <c:pt idx="4">
                  <c:v>58.292712639616084</c:v>
                </c:pt>
                <c:pt idx="5">
                  <c:v>69.671428944015361</c:v>
                </c:pt>
              </c:numCache>
            </c:numRef>
          </c:val>
          <c:extLst>
            <c:ext xmlns:c16="http://schemas.microsoft.com/office/drawing/2014/chart" uri="{C3380CC4-5D6E-409C-BE32-E72D297353CC}">
              <c16:uniqueId val="{00000000-AF2E-4C33-819F-E98FADA7E075}"/>
            </c:ext>
          </c:extLst>
        </c:ser>
        <c:ser>
          <c:idx val="1"/>
          <c:order val="1"/>
          <c:tx>
            <c:strRef>
              <c:f>レーダー!$D$5</c:f>
              <c:strCache>
                <c:ptCount val="1"/>
                <c:pt idx="0">
                  <c:v>パリ</c:v>
                </c:pt>
              </c:strCache>
            </c:strRef>
          </c:tx>
          <c:spPr>
            <a:ln w="28575" cap="rnd">
              <a:solidFill>
                <a:srgbClr val="90C31F"/>
              </a:solidFill>
              <a:round/>
            </a:ln>
            <a:effectLst/>
          </c:spPr>
          <c:marker>
            <c:symbol val="none"/>
          </c:marker>
          <c:cat>
            <c:strRef>
              <c:f>レーダー!$E$3:$J$3</c:f>
              <c:strCache>
                <c:ptCount val="6"/>
                <c:pt idx="0">
                  <c:v>経済</c:v>
                </c:pt>
                <c:pt idx="1">
                  <c:v>研究・開発</c:v>
                </c:pt>
                <c:pt idx="2">
                  <c:v>文化・交流</c:v>
                </c:pt>
                <c:pt idx="3">
                  <c:v>居住</c:v>
                </c:pt>
                <c:pt idx="4">
                  <c:v>環境</c:v>
                </c:pt>
                <c:pt idx="5">
                  <c:v>交通・アクセス</c:v>
                </c:pt>
              </c:strCache>
            </c:strRef>
          </c:cat>
          <c:val>
            <c:numRef>
              <c:f>レーダー!$E$5:$J$5</c:f>
              <c:numCache>
                <c:formatCode>0.0;"▲ "0.0</c:formatCode>
                <c:ptCount val="6"/>
                <c:pt idx="0">
                  <c:v>54.901087600679375</c:v>
                </c:pt>
                <c:pt idx="1">
                  <c:v>59.136671559332513</c:v>
                </c:pt>
                <c:pt idx="2">
                  <c:v>68.580133781243646</c:v>
                </c:pt>
                <c:pt idx="3">
                  <c:v>69.847064135478533</c:v>
                </c:pt>
                <c:pt idx="4">
                  <c:v>47.598828969527517</c:v>
                </c:pt>
                <c:pt idx="5">
                  <c:v>68.236925219534584</c:v>
                </c:pt>
              </c:numCache>
            </c:numRef>
          </c:val>
          <c:extLst>
            <c:ext xmlns:c16="http://schemas.microsoft.com/office/drawing/2014/chart" uri="{C3380CC4-5D6E-409C-BE32-E72D297353CC}">
              <c16:uniqueId val="{00000001-AF2E-4C33-819F-E98FADA7E075}"/>
            </c:ext>
          </c:extLst>
        </c:ser>
        <c:ser>
          <c:idx val="2"/>
          <c:order val="2"/>
          <c:tx>
            <c:strRef>
              <c:f>レーダー!$D$6</c:f>
              <c:strCache>
                <c:ptCount val="1"/>
                <c:pt idx="0">
                  <c:v>東京</c:v>
                </c:pt>
              </c:strCache>
            </c:strRef>
          </c:tx>
          <c:spPr>
            <a:ln w="28575" cap="rnd">
              <a:solidFill>
                <a:srgbClr val="237FC4"/>
              </a:solidFill>
              <a:round/>
            </a:ln>
            <a:effectLst/>
          </c:spPr>
          <c:marker>
            <c:symbol val="none"/>
          </c:marker>
          <c:cat>
            <c:strRef>
              <c:f>レーダー!$E$3:$J$3</c:f>
              <c:strCache>
                <c:ptCount val="6"/>
                <c:pt idx="0">
                  <c:v>経済</c:v>
                </c:pt>
                <c:pt idx="1">
                  <c:v>研究・開発</c:v>
                </c:pt>
                <c:pt idx="2">
                  <c:v>文化・交流</c:v>
                </c:pt>
                <c:pt idx="3">
                  <c:v>居住</c:v>
                </c:pt>
                <c:pt idx="4">
                  <c:v>環境</c:v>
                </c:pt>
                <c:pt idx="5">
                  <c:v>交通・アクセス</c:v>
                </c:pt>
              </c:strCache>
            </c:strRef>
          </c:cat>
          <c:val>
            <c:numRef>
              <c:f>レーダー!$E$6:$J$6</c:f>
              <c:numCache>
                <c:formatCode>0.0;"▲ "0.0</c:formatCode>
                <c:ptCount val="6"/>
                <c:pt idx="0">
                  <c:v>57.558812416740885</c:v>
                </c:pt>
                <c:pt idx="1">
                  <c:v>66.568352075318003</c:v>
                </c:pt>
                <c:pt idx="2">
                  <c:v>66.521135561544682</c:v>
                </c:pt>
                <c:pt idx="3">
                  <c:v>62.277623623236067</c:v>
                </c:pt>
                <c:pt idx="4">
                  <c:v>54.219545203639861</c:v>
                </c:pt>
                <c:pt idx="5">
                  <c:v>61.227202107823388</c:v>
                </c:pt>
              </c:numCache>
            </c:numRef>
          </c:val>
          <c:extLst>
            <c:ext xmlns:c16="http://schemas.microsoft.com/office/drawing/2014/chart" uri="{C3380CC4-5D6E-409C-BE32-E72D297353CC}">
              <c16:uniqueId val="{00000002-AF2E-4C33-819F-E98FADA7E075}"/>
            </c:ext>
          </c:extLst>
        </c:ser>
        <c:ser>
          <c:idx val="3"/>
          <c:order val="3"/>
          <c:tx>
            <c:strRef>
              <c:f>レーダー!$D$7</c:f>
              <c:strCache>
                <c:ptCount val="1"/>
                <c:pt idx="0">
                  <c:v>ニューヨーク</c:v>
                </c:pt>
              </c:strCache>
            </c:strRef>
          </c:tx>
          <c:spPr>
            <a:ln w="28575" cap="rnd">
              <a:solidFill>
                <a:srgbClr val="FABF1C"/>
              </a:solidFill>
              <a:round/>
            </a:ln>
            <a:effectLst/>
          </c:spPr>
          <c:marker>
            <c:symbol val="none"/>
          </c:marker>
          <c:cat>
            <c:strRef>
              <c:f>レーダー!$E$3:$J$3</c:f>
              <c:strCache>
                <c:ptCount val="6"/>
                <c:pt idx="0">
                  <c:v>経済</c:v>
                </c:pt>
                <c:pt idx="1">
                  <c:v>研究・開発</c:v>
                </c:pt>
                <c:pt idx="2">
                  <c:v>文化・交流</c:v>
                </c:pt>
                <c:pt idx="3">
                  <c:v>居住</c:v>
                </c:pt>
                <c:pt idx="4">
                  <c:v>環境</c:v>
                </c:pt>
                <c:pt idx="5">
                  <c:v>交通・アクセス</c:v>
                </c:pt>
              </c:strCache>
            </c:strRef>
          </c:cat>
          <c:val>
            <c:numRef>
              <c:f>レーダー!$E$7:$J$7</c:f>
              <c:numCache>
                <c:formatCode>0.0;"▲ "0.0</c:formatCode>
                <c:ptCount val="6"/>
                <c:pt idx="0">
                  <c:v>73.331497303580832</c:v>
                </c:pt>
                <c:pt idx="1">
                  <c:v>79.884047502502668</c:v>
                </c:pt>
                <c:pt idx="2">
                  <c:v>69.930598531255939</c:v>
                </c:pt>
                <c:pt idx="3">
                  <c:v>40.15755177617558</c:v>
                </c:pt>
                <c:pt idx="4">
                  <c:v>47.45671002646835</c:v>
                </c:pt>
                <c:pt idx="5">
                  <c:v>69.712434438204852</c:v>
                </c:pt>
              </c:numCache>
            </c:numRef>
          </c:val>
          <c:extLst>
            <c:ext xmlns:c16="http://schemas.microsoft.com/office/drawing/2014/chart" uri="{C3380CC4-5D6E-409C-BE32-E72D297353CC}">
              <c16:uniqueId val="{00000001-6E8A-461D-8A7A-A5BD24AA30FC}"/>
            </c:ext>
          </c:extLst>
        </c:ser>
        <c:dLbls>
          <c:showLegendKey val="0"/>
          <c:showVal val="0"/>
          <c:showCatName val="0"/>
          <c:showSerName val="0"/>
          <c:showPercent val="0"/>
          <c:showBubbleSize val="0"/>
        </c:dLbls>
        <c:axId val="497587264"/>
        <c:axId val="497590008"/>
      </c:radarChart>
      <c:catAx>
        <c:axId val="497587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497590008"/>
        <c:crosses val="autoZero"/>
        <c:auto val="1"/>
        <c:lblAlgn val="ctr"/>
        <c:lblOffset val="100"/>
        <c:noMultiLvlLbl val="0"/>
      </c:catAx>
      <c:valAx>
        <c:axId val="49759000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quot;&quot;" sourceLinked="0"/>
        <c:majorTickMark val="none"/>
        <c:minorTickMark val="none"/>
        <c:tickLblPos val="nextTo"/>
        <c:spPr>
          <a:noFill/>
          <a:ln>
            <a:noFill/>
          </a:ln>
          <a:effectLst/>
        </c:spPr>
        <c:txPr>
          <a:bodyPr rot="-1800000" spcFirstLastPara="1" vertOverflow="ellipsis" wrap="square" anchor="ctr" anchorCtr="1"/>
          <a:lstStyle/>
          <a:p>
            <a:pPr>
              <a:defRPr sz="8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497587264"/>
        <c:crosses val="autoZero"/>
        <c:crossBetween val="between"/>
        <c:majorUnit val="50"/>
      </c:valAx>
      <c:spPr>
        <a:noFill/>
        <a:ln>
          <a:noFill/>
        </a:ln>
        <a:effectLst/>
      </c:spPr>
    </c:plotArea>
    <c:legend>
      <c:legendPos val="r"/>
      <c:layout>
        <c:manualLayout>
          <c:xMode val="edge"/>
          <c:yMode val="edge"/>
          <c:x val="0.73960079380321364"/>
          <c:y val="1.9311518644439127E-2"/>
          <c:w val="0.16910569105691056"/>
          <c:h val="0.13865749927326501"/>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758169238894637"/>
          <c:y val="8.6231364360606078E-3"/>
          <c:w val="0.82199118928817705"/>
          <c:h val="0.98275372712787878"/>
        </c:manualLayout>
      </c:layout>
      <c:barChart>
        <c:barDir val="bar"/>
        <c:grouping val="stacked"/>
        <c:varyColors val="0"/>
        <c:ser>
          <c:idx val="0"/>
          <c:order val="0"/>
          <c:tx>
            <c:strRef>
              <c:f>総合横棒!$F$3</c:f>
              <c:strCache>
                <c:ptCount val="1"/>
                <c:pt idx="0">
                  <c:v>経済</c:v>
                </c:pt>
              </c:strCache>
            </c:strRef>
          </c:tx>
          <c:spPr>
            <a:solidFill>
              <a:srgbClr val="917099"/>
            </a:solidFill>
            <a:ln>
              <a:noFill/>
            </a:ln>
            <a:effectLst/>
          </c:spPr>
          <c:invertIfNegative val="0"/>
          <c:cat>
            <c:strRef>
              <c:f>総合横棒!$E$4:$E$51</c:f>
              <c:strCache>
                <c:ptCount val="48"/>
                <c:pt idx="0">
                  <c:v>ロンドン 1</c:v>
                </c:pt>
                <c:pt idx="1">
                  <c:v>ニューヨーク 2</c:v>
                </c:pt>
                <c:pt idx="2">
                  <c:v>東京 3</c:v>
                </c:pt>
                <c:pt idx="3">
                  <c:v>パリ 4</c:v>
                </c:pt>
                <c:pt idx="4">
                  <c:v>シンガポール 5</c:v>
                </c:pt>
                <c:pt idx="5">
                  <c:v>アムステルダム 6</c:v>
                </c:pt>
                <c:pt idx="6">
                  <c:v>ソウル 7</c:v>
                </c:pt>
                <c:pt idx="7">
                  <c:v>ドバイ 8</c:v>
                </c:pt>
                <c:pt idx="8">
                  <c:v>メルボルン 9</c:v>
                </c:pt>
                <c:pt idx="9">
                  <c:v>ベルリン 10</c:v>
                </c:pt>
                <c:pt idx="10">
                  <c:v>コペンハーゲン 11</c:v>
                </c:pt>
                <c:pt idx="11">
                  <c:v>シドニー 12</c:v>
                </c:pt>
                <c:pt idx="12">
                  <c:v>ウィーン 13</c:v>
                </c:pt>
                <c:pt idx="13">
                  <c:v>マドリード 14</c:v>
                </c:pt>
                <c:pt idx="14">
                  <c:v>上海 15</c:v>
                </c:pt>
                <c:pt idx="15">
                  <c:v>ストックホルム 16</c:v>
                </c:pt>
                <c:pt idx="16">
                  <c:v>北京 17</c:v>
                </c:pt>
                <c:pt idx="17">
                  <c:v>香港 18</c:v>
                </c:pt>
                <c:pt idx="18">
                  <c:v>チューリッヒ 19</c:v>
                </c:pt>
                <c:pt idx="19">
                  <c:v>フランクフルト 20</c:v>
                </c:pt>
                <c:pt idx="20">
                  <c:v>ロサンゼルス 21</c:v>
                </c:pt>
                <c:pt idx="21">
                  <c:v>バルセロナ 22</c:v>
                </c:pt>
                <c:pt idx="22">
                  <c:v>トロント 23</c:v>
                </c:pt>
                <c:pt idx="23">
                  <c:v>ブリュッセル 24</c:v>
                </c:pt>
                <c:pt idx="24">
                  <c:v>シカゴ 25</c:v>
                </c:pt>
                <c:pt idx="25">
                  <c:v>ジュネーブ 26</c:v>
                </c:pt>
                <c:pt idx="26">
                  <c:v>サンフランシスコ 27</c:v>
                </c:pt>
                <c:pt idx="27">
                  <c:v>ダブリン 28</c:v>
                </c:pt>
                <c:pt idx="28">
                  <c:v>ボストン 29</c:v>
                </c:pt>
                <c:pt idx="29">
                  <c:v>イスタンブール 30</c:v>
                </c:pt>
                <c:pt idx="30">
                  <c:v>ヘルシンキ 31</c:v>
                </c:pt>
                <c:pt idx="31">
                  <c:v>バンクーバー 32</c:v>
                </c:pt>
                <c:pt idx="32">
                  <c:v>ミラノ 33</c:v>
                </c:pt>
                <c:pt idx="33">
                  <c:v>モスクワ 34</c:v>
                </c:pt>
                <c:pt idx="34">
                  <c:v>台北 35</c:v>
                </c:pt>
                <c:pt idx="35">
                  <c:v>ワシントンDC 36</c:v>
                </c:pt>
                <c:pt idx="36">
                  <c:v>大阪 37</c:v>
                </c:pt>
                <c:pt idx="37">
                  <c:v>バンコク 38</c:v>
                </c:pt>
                <c:pt idx="38">
                  <c:v>サンパウロ 39</c:v>
                </c:pt>
                <c:pt idx="39">
                  <c:v>テルアビブ 40</c:v>
                </c:pt>
                <c:pt idx="40">
                  <c:v>クアラルンプール 41</c:v>
                </c:pt>
                <c:pt idx="41">
                  <c:v>福岡 42</c:v>
                </c:pt>
                <c:pt idx="42">
                  <c:v>メキシコシティ 43</c:v>
                </c:pt>
                <c:pt idx="43">
                  <c:v>ブエノスアイレス 44</c:v>
                </c:pt>
                <c:pt idx="44">
                  <c:v>ジャカルタ 45</c:v>
                </c:pt>
                <c:pt idx="45">
                  <c:v>ヨハネスブルグ 46</c:v>
                </c:pt>
                <c:pt idx="46">
                  <c:v>カイロ 47</c:v>
                </c:pt>
                <c:pt idx="47">
                  <c:v>ムンバイ 48</c:v>
                </c:pt>
              </c:strCache>
            </c:strRef>
          </c:cat>
          <c:val>
            <c:numRef>
              <c:f>総合横棒!$F$4:$F$51</c:f>
              <c:numCache>
                <c:formatCode>0.0;"▲ "0.0</c:formatCode>
                <c:ptCount val="48"/>
                <c:pt idx="0">
                  <c:v>336.21002005771663</c:v>
                </c:pt>
                <c:pt idx="1">
                  <c:v>371.09627417245002</c:v>
                </c:pt>
                <c:pt idx="2">
                  <c:v>270.08264425940001</c:v>
                </c:pt>
                <c:pt idx="3">
                  <c:v>253.06167205926667</c:v>
                </c:pt>
                <c:pt idx="4">
                  <c:v>308.34638328295</c:v>
                </c:pt>
                <c:pt idx="5">
                  <c:v>259.12536548775</c:v>
                </c:pt>
                <c:pt idx="6">
                  <c:v>254.78722377273331</c:v>
                </c:pt>
                <c:pt idx="7">
                  <c:v>237.42102465489998</c:v>
                </c:pt>
                <c:pt idx="8">
                  <c:v>238.55335216521669</c:v>
                </c:pt>
                <c:pt idx="9">
                  <c:v>211.15544511301667</c:v>
                </c:pt>
                <c:pt idx="10">
                  <c:v>249.19358759459999</c:v>
                </c:pt>
                <c:pt idx="11">
                  <c:v>257.99135417716667</c:v>
                </c:pt>
                <c:pt idx="12">
                  <c:v>201.36065564746667</c:v>
                </c:pt>
                <c:pt idx="13">
                  <c:v>202.24436269698333</c:v>
                </c:pt>
                <c:pt idx="14">
                  <c:v>268.73581818538332</c:v>
                </c:pt>
                <c:pt idx="15">
                  <c:v>246.61526664266665</c:v>
                </c:pt>
                <c:pt idx="16">
                  <c:v>309.44809679429994</c:v>
                </c:pt>
                <c:pt idx="17">
                  <c:v>232.99952635881667</c:v>
                </c:pt>
                <c:pt idx="18">
                  <c:v>302.71871872881661</c:v>
                </c:pt>
                <c:pt idx="19">
                  <c:v>218.70707196824998</c:v>
                </c:pt>
                <c:pt idx="20">
                  <c:v>252.60758015683336</c:v>
                </c:pt>
                <c:pt idx="21">
                  <c:v>192.53505439593334</c:v>
                </c:pt>
                <c:pt idx="22">
                  <c:v>249.23434588983332</c:v>
                </c:pt>
                <c:pt idx="23">
                  <c:v>202.19444606638331</c:v>
                </c:pt>
                <c:pt idx="24">
                  <c:v>239.27971636906668</c:v>
                </c:pt>
                <c:pt idx="25">
                  <c:v>274.56096232340002</c:v>
                </c:pt>
                <c:pt idx="26">
                  <c:v>291.40429790600001</c:v>
                </c:pt>
                <c:pt idx="27">
                  <c:v>298.66435348588334</c:v>
                </c:pt>
                <c:pt idx="28">
                  <c:v>258.98806631218332</c:v>
                </c:pt>
                <c:pt idx="29">
                  <c:v>164.43973531143331</c:v>
                </c:pt>
                <c:pt idx="30">
                  <c:v>233.61209151846666</c:v>
                </c:pt>
                <c:pt idx="31">
                  <c:v>239.31243879453334</c:v>
                </c:pt>
                <c:pt idx="32">
                  <c:v>179.40573422365003</c:v>
                </c:pt>
                <c:pt idx="33">
                  <c:v>153.05028841806666</c:v>
                </c:pt>
                <c:pt idx="34">
                  <c:v>226.85065072763337</c:v>
                </c:pt>
                <c:pt idx="35">
                  <c:v>271.34976814340001</c:v>
                </c:pt>
                <c:pt idx="36">
                  <c:v>174.38519870419998</c:v>
                </c:pt>
                <c:pt idx="37">
                  <c:v>181.73380725140001</c:v>
                </c:pt>
                <c:pt idx="38">
                  <c:v>132.82510399154998</c:v>
                </c:pt>
                <c:pt idx="39">
                  <c:v>201.14434310958333</c:v>
                </c:pt>
                <c:pt idx="40">
                  <c:v>177.33707975233332</c:v>
                </c:pt>
                <c:pt idx="41">
                  <c:v>142.63656968998333</c:v>
                </c:pt>
                <c:pt idx="42">
                  <c:v>130.43638943946667</c:v>
                </c:pt>
                <c:pt idx="43">
                  <c:v>96.232952059400006</c:v>
                </c:pt>
                <c:pt idx="44">
                  <c:v>156.99941221283336</c:v>
                </c:pt>
                <c:pt idx="45">
                  <c:v>117.59803928888333</c:v>
                </c:pt>
                <c:pt idx="46">
                  <c:v>81.585996675550007</c:v>
                </c:pt>
                <c:pt idx="47">
                  <c:v>90.066968958250001</c:v>
                </c:pt>
              </c:numCache>
            </c:numRef>
          </c:val>
          <c:extLst>
            <c:ext xmlns:c16="http://schemas.microsoft.com/office/drawing/2014/chart" uri="{C3380CC4-5D6E-409C-BE32-E72D297353CC}">
              <c16:uniqueId val="{00000000-B466-492F-8E23-D3BE0EF3CAE9}"/>
            </c:ext>
          </c:extLst>
        </c:ser>
        <c:ser>
          <c:idx val="1"/>
          <c:order val="1"/>
          <c:tx>
            <c:strRef>
              <c:f>総合横棒!$G$3</c:f>
              <c:strCache>
                <c:ptCount val="1"/>
                <c:pt idx="0">
                  <c:v>研究・開発</c:v>
                </c:pt>
              </c:strCache>
            </c:strRef>
          </c:tx>
          <c:spPr>
            <a:solidFill>
              <a:srgbClr val="738CAC"/>
            </a:solidFill>
            <a:ln>
              <a:noFill/>
            </a:ln>
            <a:effectLst/>
          </c:spPr>
          <c:invertIfNegative val="0"/>
          <c:cat>
            <c:strRef>
              <c:f>総合横棒!$E$4:$E$51</c:f>
              <c:strCache>
                <c:ptCount val="48"/>
                <c:pt idx="0">
                  <c:v>ロンドン 1</c:v>
                </c:pt>
                <c:pt idx="1">
                  <c:v>ニューヨーク 2</c:v>
                </c:pt>
                <c:pt idx="2">
                  <c:v>東京 3</c:v>
                </c:pt>
                <c:pt idx="3">
                  <c:v>パリ 4</c:v>
                </c:pt>
                <c:pt idx="4">
                  <c:v>シンガポール 5</c:v>
                </c:pt>
                <c:pt idx="5">
                  <c:v>アムステルダム 6</c:v>
                </c:pt>
                <c:pt idx="6">
                  <c:v>ソウル 7</c:v>
                </c:pt>
                <c:pt idx="7">
                  <c:v>ドバイ 8</c:v>
                </c:pt>
                <c:pt idx="8">
                  <c:v>メルボルン 9</c:v>
                </c:pt>
                <c:pt idx="9">
                  <c:v>ベルリン 10</c:v>
                </c:pt>
                <c:pt idx="10">
                  <c:v>コペンハーゲン 11</c:v>
                </c:pt>
                <c:pt idx="11">
                  <c:v>シドニー 12</c:v>
                </c:pt>
                <c:pt idx="12">
                  <c:v>ウィーン 13</c:v>
                </c:pt>
                <c:pt idx="13">
                  <c:v>マドリード 14</c:v>
                </c:pt>
                <c:pt idx="14">
                  <c:v>上海 15</c:v>
                </c:pt>
                <c:pt idx="15">
                  <c:v>ストックホルム 16</c:v>
                </c:pt>
                <c:pt idx="16">
                  <c:v>北京 17</c:v>
                </c:pt>
                <c:pt idx="17">
                  <c:v>香港 18</c:v>
                </c:pt>
                <c:pt idx="18">
                  <c:v>チューリッヒ 19</c:v>
                </c:pt>
                <c:pt idx="19">
                  <c:v>フランクフルト 20</c:v>
                </c:pt>
                <c:pt idx="20">
                  <c:v>ロサンゼルス 21</c:v>
                </c:pt>
                <c:pt idx="21">
                  <c:v>バルセロナ 22</c:v>
                </c:pt>
                <c:pt idx="22">
                  <c:v>トロント 23</c:v>
                </c:pt>
                <c:pt idx="23">
                  <c:v>ブリュッセル 24</c:v>
                </c:pt>
                <c:pt idx="24">
                  <c:v>シカゴ 25</c:v>
                </c:pt>
                <c:pt idx="25">
                  <c:v>ジュネーブ 26</c:v>
                </c:pt>
                <c:pt idx="26">
                  <c:v>サンフランシスコ 27</c:v>
                </c:pt>
                <c:pt idx="27">
                  <c:v>ダブリン 28</c:v>
                </c:pt>
                <c:pt idx="28">
                  <c:v>ボストン 29</c:v>
                </c:pt>
                <c:pt idx="29">
                  <c:v>イスタンブール 30</c:v>
                </c:pt>
                <c:pt idx="30">
                  <c:v>ヘルシンキ 31</c:v>
                </c:pt>
                <c:pt idx="31">
                  <c:v>バンクーバー 32</c:v>
                </c:pt>
                <c:pt idx="32">
                  <c:v>ミラノ 33</c:v>
                </c:pt>
                <c:pt idx="33">
                  <c:v>モスクワ 34</c:v>
                </c:pt>
                <c:pt idx="34">
                  <c:v>台北 35</c:v>
                </c:pt>
                <c:pt idx="35">
                  <c:v>ワシントンDC 36</c:v>
                </c:pt>
                <c:pt idx="36">
                  <c:v>大阪 37</c:v>
                </c:pt>
                <c:pt idx="37">
                  <c:v>バンコク 38</c:v>
                </c:pt>
                <c:pt idx="38">
                  <c:v>サンパウロ 39</c:v>
                </c:pt>
                <c:pt idx="39">
                  <c:v>テルアビブ 40</c:v>
                </c:pt>
                <c:pt idx="40">
                  <c:v>クアラルンプール 41</c:v>
                </c:pt>
                <c:pt idx="41">
                  <c:v>福岡 42</c:v>
                </c:pt>
                <c:pt idx="42">
                  <c:v>メキシコシティ 43</c:v>
                </c:pt>
                <c:pt idx="43">
                  <c:v>ブエノスアイレス 44</c:v>
                </c:pt>
                <c:pt idx="44">
                  <c:v>ジャカルタ 45</c:v>
                </c:pt>
                <c:pt idx="45">
                  <c:v>ヨハネスブルグ 46</c:v>
                </c:pt>
                <c:pt idx="46">
                  <c:v>カイロ 47</c:v>
                </c:pt>
                <c:pt idx="47">
                  <c:v>ムンバイ 48</c:v>
                </c:pt>
              </c:strCache>
            </c:strRef>
          </c:cat>
          <c:val>
            <c:numRef>
              <c:f>総合横棒!$G$4:$G$51</c:f>
              <c:numCache>
                <c:formatCode>0.0;"▲ "0.0</c:formatCode>
                <c:ptCount val="48"/>
                <c:pt idx="0">
                  <c:v>181.4404473276</c:v>
                </c:pt>
                <c:pt idx="1">
                  <c:v>206.45811885533334</c:v>
                </c:pt>
                <c:pt idx="2">
                  <c:v>143.44736716223332</c:v>
                </c:pt>
                <c:pt idx="3">
                  <c:v>108.2801633</c:v>
                </c:pt>
                <c:pt idx="4">
                  <c:v>97.665057527800002</c:v>
                </c:pt>
                <c:pt idx="5">
                  <c:v>67.816852836549998</c:v>
                </c:pt>
                <c:pt idx="6">
                  <c:v>136.38505214888332</c:v>
                </c:pt>
                <c:pt idx="7">
                  <c:v>27.321585583099996</c:v>
                </c:pt>
                <c:pt idx="8">
                  <c:v>83.101767128933346</c:v>
                </c:pt>
                <c:pt idx="9">
                  <c:v>78.449940740066666</c:v>
                </c:pt>
                <c:pt idx="10">
                  <c:v>42.95872735255</c:v>
                </c:pt>
                <c:pt idx="11">
                  <c:v>84.050380918950012</c:v>
                </c:pt>
                <c:pt idx="12">
                  <c:v>40.886056146500003</c:v>
                </c:pt>
                <c:pt idx="13">
                  <c:v>31.220074970150002</c:v>
                </c:pt>
                <c:pt idx="14">
                  <c:v>89.991983247633343</c:v>
                </c:pt>
                <c:pt idx="15">
                  <c:v>49.509286558200003</c:v>
                </c:pt>
                <c:pt idx="16">
                  <c:v>93.194093893383339</c:v>
                </c:pt>
                <c:pt idx="17">
                  <c:v>107.40907506731666</c:v>
                </c:pt>
                <c:pt idx="18">
                  <c:v>51.960791640283333</c:v>
                </c:pt>
                <c:pt idx="19">
                  <c:v>30.426488445583331</c:v>
                </c:pt>
                <c:pt idx="20">
                  <c:v>154.91435305271668</c:v>
                </c:pt>
                <c:pt idx="21">
                  <c:v>32.955386379316664</c:v>
                </c:pt>
                <c:pt idx="22">
                  <c:v>61.575585908999997</c:v>
                </c:pt>
                <c:pt idx="23">
                  <c:v>61.119406507283337</c:v>
                </c:pt>
                <c:pt idx="24">
                  <c:v>113.03958124431666</c:v>
                </c:pt>
                <c:pt idx="25">
                  <c:v>52.834182982099996</c:v>
                </c:pt>
                <c:pt idx="26">
                  <c:v>117.70197243871664</c:v>
                </c:pt>
                <c:pt idx="27">
                  <c:v>32.708980225316658</c:v>
                </c:pt>
                <c:pt idx="28">
                  <c:v>137.66717395626668</c:v>
                </c:pt>
                <c:pt idx="29">
                  <c:v>37.722778462400001</c:v>
                </c:pt>
                <c:pt idx="30">
                  <c:v>36.222474991583333</c:v>
                </c:pt>
                <c:pt idx="31">
                  <c:v>46.275708734033337</c:v>
                </c:pt>
                <c:pt idx="32">
                  <c:v>31.474418270549997</c:v>
                </c:pt>
                <c:pt idx="33">
                  <c:v>56.490130057016671</c:v>
                </c:pt>
                <c:pt idx="34">
                  <c:v>46.843823348116665</c:v>
                </c:pt>
                <c:pt idx="35">
                  <c:v>87.409370761916662</c:v>
                </c:pt>
                <c:pt idx="36">
                  <c:v>69.695671346483337</c:v>
                </c:pt>
                <c:pt idx="37">
                  <c:v>21.267990652566667</c:v>
                </c:pt>
                <c:pt idx="38">
                  <c:v>23.2293984075</c:v>
                </c:pt>
                <c:pt idx="39">
                  <c:v>31.247781842616668</c:v>
                </c:pt>
                <c:pt idx="40">
                  <c:v>16.9446929478</c:v>
                </c:pt>
                <c:pt idx="41">
                  <c:v>36.15231950575</c:v>
                </c:pt>
                <c:pt idx="42">
                  <c:v>13.987699207650001</c:v>
                </c:pt>
                <c:pt idx="43">
                  <c:v>10.379929740866666</c:v>
                </c:pt>
                <c:pt idx="44">
                  <c:v>9.4096349131166672</c:v>
                </c:pt>
                <c:pt idx="45">
                  <c:v>3.7728619893999999</c:v>
                </c:pt>
                <c:pt idx="46">
                  <c:v>19.618156192800001</c:v>
                </c:pt>
                <c:pt idx="47">
                  <c:v>7.5170181804833334</c:v>
                </c:pt>
              </c:numCache>
            </c:numRef>
          </c:val>
          <c:extLst>
            <c:ext xmlns:c16="http://schemas.microsoft.com/office/drawing/2014/chart" uri="{C3380CC4-5D6E-409C-BE32-E72D297353CC}">
              <c16:uniqueId val="{00000001-B466-492F-8E23-D3BE0EF3CAE9}"/>
            </c:ext>
          </c:extLst>
        </c:ser>
        <c:ser>
          <c:idx val="2"/>
          <c:order val="2"/>
          <c:tx>
            <c:strRef>
              <c:f>総合横棒!$H$3</c:f>
              <c:strCache>
                <c:ptCount val="1"/>
                <c:pt idx="0">
                  <c:v>文化・交流</c:v>
                </c:pt>
              </c:strCache>
            </c:strRef>
          </c:tx>
          <c:spPr>
            <a:solidFill>
              <a:srgbClr val="DE819A"/>
            </a:solidFill>
            <a:ln>
              <a:noFill/>
            </a:ln>
            <a:effectLst/>
          </c:spPr>
          <c:invertIfNegative val="0"/>
          <c:cat>
            <c:strRef>
              <c:f>総合横棒!$E$4:$E$51</c:f>
              <c:strCache>
                <c:ptCount val="48"/>
                <c:pt idx="0">
                  <c:v>ロンドン 1</c:v>
                </c:pt>
                <c:pt idx="1">
                  <c:v>ニューヨーク 2</c:v>
                </c:pt>
                <c:pt idx="2">
                  <c:v>東京 3</c:v>
                </c:pt>
                <c:pt idx="3">
                  <c:v>パリ 4</c:v>
                </c:pt>
                <c:pt idx="4">
                  <c:v>シンガポール 5</c:v>
                </c:pt>
                <c:pt idx="5">
                  <c:v>アムステルダム 6</c:v>
                </c:pt>
                <c:pt idx="6">
                  <c:v>ソウル 7</c:v>
                </c:pt>
                <c:pt idx="7">
                  <c:v>ドバイ 8</c:v>
                </c:pt>
                <c:pt idx="8">
                  <c:v>メルボルン 9</c:v>
                </c:pt>
                <c:pt idx="9">
                  <c:v>ベルリン 10</c:v>
                </c:pt>
                <c:pt idx="10">
                  <c:v>コペンハーゲン 11</c:v>
                </c:pt>
                <c:pt idx="11">
                  <c:v>シドニー 12</c:v>
                </c:pt>
                <c:pt idx="12">
                  <c:v>ウィーン 13</c:v>
                </c:pt>
                <c:pt idx="13">
                  <c:v>マドリード 14</c:v>
                </c:pt>
                <c:pt idx="14">
                  <c:v>上海 15</c:v>
                </c:pt>
                <c:pt idx="15">
                  <c:v>ストックホルム 16</c:v>
                </c:pt>
                <c:pt idx="16">
                  <c:v>北京 17</c:v>
                </c:pt>
                <c:pt idx="17">
                  <c:v>香港 18</c:v>
                </c:pt>
                <c:pt idx="18">
                  <c:v>チューリッヒ 19</c:v>
                </c:pt>
                <c:pt idx="19">
                  <c:v>フランクフルト 20</c:v>
                </c:pt>
                <c:pt idx="20">
                  <c:v>ロサンゼルス 21</c:v>
                </c:pt>
                <c:pt idx="21">
                  <c:v>バルセロナ 22</c:v>
                </c:pt>
                <c:pt idx="22">
                  <c:v>トロント 23</c:v>
                </c:pt>
                <c:pt idx="23">
                  <c:v>ブリュッセル 24</c:v>
                </c:pt>
                <c:pt idx="24">
                  <c:v>シカゴ 25</c:v>
                </c:pt>
                <c:pt idx="25">
                  <c:v>ジュネーブ 26</c:v>
                </c:pt>
                <c:pt idx="26">
                  <c:v>サンフランシスコ 27</c:v>
                </c:pt>
                <c:pt idx="27">
                  <c:v>ダブリン 28</c:v>
                </c:pt>
                <c:pt idx="28">
                  <c:v>ボストン 29</c:v>
                </c:pt>
                <c:pt idx="29">
                  <c:v>イスタンブール 30</c:v>
                </c:pt>
                <c:pt idx="30">
                  <c:v>ヘルシンキ 31</c:v>
                </c:pt>
                <c:pt idx="31">
                  <c:v>バンクーバー 32</c:v>
                </c:pt>
                <c:pt idx="32">
                  <c:v>ミラノ 33</c:v>
                </c:pt>
                <c:pt idx="33">
                  <c:v>モスクワ 34</c:v>
                </c:pt>
                <c:pt idx="34">
                  <c:v>台北 35</c:v>
                </c:pt>
                <c:pt idx="35">
                  <c:v>ワシントンDC 36</c:v>
                </c:pt>
                <c:pt idx="36">
                  <c:v>大阪 37</c:v>
                </c:pt>
                <c:pt idx="37">
                  <c:v>バンコク 38</c:v>
                </c:pt>
                <c:pt idx="38">
                  <c:v>サンパウロ 39</c:v>
                </c:pt>
                <c:pt idx="39">
                  <c:v>テルアビブ 40</c:v>
                </c:pt>
                <c:pt idx="40">
                  <c:v>クアラルンプール 41</c:v>
                </c:pt>
                <c:pt idx="41">
                  <c:v>福岡 42</c:v>
                </c:pt>
                <c:pt idx="42">
                  <c:v>メキシコシティ 43</c:v>
                </c:pt>
                <c:pt idx="43">
                  <c:v>ブエノスアイレス 44</c:v>
                </c:pt>
                <c:pt idx="44">
                  <c:v>ジャカルタ 45</c:v>
                </c:pt>
                <c:pt idx="45">
                  <c:v>ヨハネスブルグ 46</c:v>
                </c:pt>
                <c:pt idx="46">
                  <c:v>カイロ 47</c:v>
                </c:pt>
                <c:pt idx="47">
                  <c:v>ムンバイ 48</c:v>
                </c:pt>
              </c:strCache>
            </c:strRef>
          </c:cat>
          <c:val>
            <c:numRef>
              <c:f>総合横棒!$H$4:$H$51</c:f>
              <c:numCache>
                <c:formatCode>0.0;"▲ "0.0</c:formatCode>
                <c:ptCount val="48"/>
                <c:pt idx="0">
                  <c:v>367.57992580267501</c:v>
                </c:pt>
                <c:pt idx="1">
                  <c:v>259.40999462157504</c:v>
                </c:pt>
                <c:pt idx="2">
                  <c:v>237.5124623666</c:v>
                </c:pt>
                <c:pt idx="3">
                  <c:v>250.73653323328332</c:v>
                </c:pt>
                <c:pt idx="4">
                  <c:v>174.90516273540001</c:v>
                </c:pt>
                <c:pt idx="5">
                  <c:v>158.55208624714999</c:v>
                </c:pt>
                <c:pt idx="6">
                  <c:v>167.78642442442498</c:v>
                </c:pt>
                <c:pt idx="7">
                  <c:v>237.54820990479999</c:v>
                </c:pt>
                <c:pt idx="8">
                  <c:v>132.76780949810001</c:v>
                </c:pt>
                <c:pt idx="9">
                  <c:v>173.39383899745832</c:v>
                </c:pt>
                <c:pt idx="10">
                  <c:v>96.024288290724996</c:v>
                </c:pt>
                <c:pt idx="11">
                  <c:v>133.65813081677501</c:v>
                </c:pt>
                <c:pt idx="12">
                  <c:v>148.87896228123333</c:v>
                </c:pt>
                <c:pt idx="13">
                  <c:v>183.86445457120834</c:v>
                </c:pt>
                <c:pt idx="14">
                  <c:v>125.78612884451667</c:v>
                </c:pt>
                <c:pt idx="15">
                  <c:v>97.688684539891668</c:v>
                </c:pt>
                <c:pt idx="16">
                  <c:v>143.31729230814167</c:v>
                </c:pt>
                <c:pt idx="17">
                  <c:v>109.10331852386668</c:v>
                </c:pt>
                <c:pt idx="18">
                  <c:v>57.66907930024167</c:v>
                </c:pt>
                <c:pt idx="19">
                  <c:v>80.538707356266656</c:v>
                </c:pt>
                <c:pt idx="20">
                  <c:v>108.08762189085833</c:v>
                </c:pt>
                <c:pt idx="21">
                  <c:v>163.77309441727502</c:v>
                </c:pt>
                <c:pt idx="22">
                  <c:v>101.933662100975</c:v>
                </c:pt>
                <c:pt idx="23">
                  <c:v>133.485916217425</c:v>
                </c:pt>
                <c:pt idx="24">
                  <c:v>107.0395607313</c:v>
                </c:pt>
                <c:pt idx="25">
                  <c:v>50.841719823391664</c:v>
                </c:pt>
                <c:pt idx="26">
                  <c:v>79.878672191475005</c:v>
                </c:pt>
                <c:pt idx="27">
                  <c:v>84.067293458133335</c:v>
                </c:pt>
                <c:pt idx="28">
                  <c:v>62.170123586433341</c:v>
                </c:pt>
                <c:pt idx="29">
                  <c:v>207.21040014800832</c:v>
                </c:pt>
                <c:pt idx="30">
                  <c:v>43.338953521625008</c:v>
                </c:pt>
                <c:pt idx="31">
                  <c:v>76.770779177408329</c:v>
                </c:pt>
                <c:pt idx="32">
                  <c:v>124.59289058831666</c:v>
                </c:pt>
                <c:pt idx="33">
                  <c:v>176.50947350084999</c:v>
                </c:pt>
                <c:pt idx="34">
                  <c:v>59.161857841424997</c:v>
                </c:pt>
                <c:pt idx="35">
                  <c:v>71.437545558866674</c:v>
                </c:pt>
                <c:pt idx="36">
                  <c:v>109.97396532317499</c:v>
                </c:pt>
                <c:pt idx="37">
                  <c:v>165.30715117054166</c:v>
                </c:pt>
                <c:pt idx="38">
                  <c:v>151.76444242485834</c:v>
                </c:pt>
                <c:pt idx="39">
                  <c:v>95.008459927091664</c:v>
                </c:pt>
                <c:pt idx="40">
                  <c:v>98.871465849708329</c:v>
                </c:pt>
                <c:pt idx="41">
                  <c:v>48.990002428691668</c:v>
                </c:pt>
                <c:pt idx="42">
                  <c:v>156.15263772029169</c:v>
                </c:pt>
                <c:pt idx="43">
                  <c:v>162.40185278249166</c:v>
                </c:pt>
                <c:pt idx="44">
                  <c:v>73.890516478708349</c:v>
                </c:pt>
                <c:pt idx="45">
                  <c:v>86.291310336808337</c:v>
                </c:pt>
                <c:pt idx="46">
                  <c:v>98.53528549313333</c:v>
                </c:pt>
                <c:pt idx="47">
                  <c:v>73.194752504291671</c:v>
                </c:pt>
              </c:numCache>
            </c:numRef>
          </c:val>
          <c:extLst>
            <c:ext xmlns:c16="http://schemas.microsoft.com/office/drawing/2014/chart" uri="{C3380CC4-5D6E-409C-BE32-E72D297353CC}">
              <c16:uniqueId val="{00000002-B466-492F-8E23-D3BE0EF3CAE9}"/>
            </c:ext>
          </c:extLst>
        </c:ser>
        <c:ser>
          <c:idx val="3"/>
          <c:order val="3"/>
          <c:tx>
            <c:strRef>
              <c:f>総合横棒!$I$3</c:f>
              <c:strCache>
                <c:ptCount val="1"/>
                <c:pt idx="0">
                  <c:v>居住</c:v>
                </c:pt>
              </c:strCache>
            </c:strRef>
          </c:tx>
          <c:spPr>
            <a:solidFill>
              <a:srgbClr val="71C2DE"/>
            </a:solidFill>
            <a:ln>
              <a:noFill/>
            </a:ln>
            <a:effectLst/>
          </c:spPr>
          <c:invertIfNegative val="0"/>
          <c:cat>
            <c:strRef>
              <c:f>総合横棒!$E$4:$E$51</c:f>
              <c:strCache>
                <c:ptCount val="48"/>
                <c:pt idx="0">
                  <c:v>ロンドン 1</c:v>
                </c:pt>
                <c:pt idx="1">
                  <c:v>ニューヨーク 2</c:v>
                </c:pt>
                <c:pt idx="2">
                  <c:v>東京 3</c:v>
                </c:pt>
                <c:pt idx="3">
                  <c:v>パリ 4</c:v>
                </c:pt>
                <c:pt idx="4">
                  <c:v>シンガポール 5</c:v>
                </c:pt>
                <c:pt idx="5">
                  <c:v>アムステルダム 6</c:v>
                </c:pt>
                <c:pt idx="6">
                  <c:v>ソウル 7</c:v>
                </c:pt>
                <c:pt idx="7">
                  <c:v>ドバイ 8</c:v>
                </c:pt>
                <c:pt idx="8">
                  <c:v>メルボルン 9</c:v>
                </c:pt>
                <c:pt idx="9">
                  <c:v>ベルリン 10</c:v>
                </c:pt>
                <c:pt idx="10">
                  <c:v>コペンハーゲン 11</c:v>
                </c:pt>
                <c:pt idx="11">
                  <c:v>シドニー 12</c:v>
                </c:pt>
                <c:pt idx="12">
                  <c:v>ウィーン 13</c:v>
                </c:pt>
                <c:pt idx="13">
                  <c:v>マドリード 14</c:v>
                </c:pt>
                <c:pt idx="14">
                  <c:v>上海 15</c:v>
                </c:pt>
                <c:pt idx="15">
                  <c:v>ストックホルム 16</c:v>
                </c:pt>
                <c:pt idx="16">
                  <c:v>北京 17</c:v>
                </c:pt>
                <c:pt idx="17">
                  <c:v>香港 18</c:v>
                </c:pt>
                <c:pt idx="18">
                  <c:v>チューリッヒ 19</c:v>
                </c:pt>
                <c:pt idx="19">
                  <c:v>フランクフルト 20</c:v>
                </c:pt>
                <c:pt idx="20">
                  <c:v>ロサンゼルス 21</c:v>
                </c:pt>
                <c:pt idx="21">
                  <c:v>バルセロナ 22</c:v>
                </c:pt>
                <c:pt idx="22">
                  <c:v>トロント 23</c:v>
                </c:pt>
                <c:pt idx="23">
                  <c:v>ブリュッセル 24</c:v>
                </c:pt>
                <c:pt idx="24">
                  <c:v>シカゴ 25</c:v>
                </c:pt>
                <c:pt idx="25">
                  <c:v>ジュネーブ 26</c:v>
                </c:pt>
                <c:pt idx="26">
                  <c:v>サンフランシスコ 27</c:v>
                </c:pt>
                <c:pt idx="27">
                  <c:v>ダブリン 28</c:v>
                </c:pt>
                <c:pt idx="28">
                  <c:v>ボストン 29</c:v>
                </c:pt>
                <c:pt idx="29">
                  <c:v>イスタンブール 30</c:v>
                </c:pt>
                <c:pt idx="30">
                  <c:v>ヘルシンキ 31</c:v>
                </c:pt>
                <c:pt idx="31">
                  <c:v>バンクーバー 32</c:v>
                </c:pt>
                <c:pt idx="32">
                  <c:v>ミラノ 33</c:v>
                </c:pt>
                <c:pt idx="33">
                  <c:v>モスクワ 34</c:v>
                </c:pt>
                <c:pt idx="34">
                  <c:v>台北 35</c:v>
                </c:pt>
                <c:pt idx="35">
                  <c:v>ワシントンDC 36</c:v>
                </c:pt>
                <c:pt idx="36">
                  <c:v>大阪 37</c:v>
                </c:pt>
                <c:pt idx="37">
                  <c:v>バンコク 38</c:v>
                </c:pt>
                <c:pt idx="38">
                  <c:v>サンパウロ 39</c:v>
                </c:pt>
                <c:pt idx="39">
                  <c:v>テルアビブ 40</c:v>
                </c:pt>
                <c:pt idx="40">
                  <c:v>クアラルンプール 41</c:v>
                </c:pt>
                <c:pt idx="41">
                  <c:v>福岡 42</c:v>
                </c:pt>
                <c:pt idx="42">
                  <c:v>メキシコシティ 43</c:v>
                </c:pt>
                <c:pt idx="43">
                  <c:v>ブエノスアイレス 44</c:v>
                </c:pt>
                <c:pt idx="44">
                  <c:v>ジャカルタ 45</c:v>
                </c:pt>
                <c:pt idx="45">
                  <c:v>ヨハネスブルグ 46</c:v>
                </c:pt>
                <c:pt idx="46">
                  <c:v>カイロ 47</c:v>
                </c:pt>
                <c:pt idx="47">
                  <c:v>ムンバイ 48</c:v>
                </c:pt>
              </c:strCache>
            </c:strRef>
          </c:cat>
          <c:val>
            <c:numRef>
              <c:f>総合横棒!$I$4:$I$51</c:f>
              <c:numCache>
                <c:formatCode>0.0;"▲ "0.0</c:formatCode>
                <c:ptCount val="48"/>
                <c:pt idx="0">
                  <c:v>357.87296612675834</c:v>
                </c:pt>
                <c:pt idx="1">
                  <c:v>302.53650310557498</c:v>
                </c:pt>
                <c:pt idx="2">
                  <c:v>367.69041284080004</c:v>
                </c:pt>
                <c:pt idx="3">
                  <c:v>389.98593915240826</c:v>
                </c:pt>
                <c:pt idx="4">
                  <c:v>319.08116522104996</c:v>
                </c:pt>
                <c:pt idx="5">
                  <c:v>357.92366671079168</c:v>
                </c:pt>
                <c:pt idx="6">
                  <c:v>318.66566469665003</c:v>
                </c:pt>
                <c:pt idx="7">
                  <c:v>343.99385869043334</c:v>
                </c:pt>
                <c:pt idx="8">
                  <c:v>347.44773969160832</c:v>
                </c:pt>
                <c:pt idx="9">
                  <c:v>359.26697375449999</c:v>
                </c:pt>
                <c:pt idx="10">
                  <c:v>352.06148367974163</c:v>
                </c:pt>
                <c:pt idx="11">
                  <c:v>335.00167264933333</c:v>
                </c:pt>
                <c:pt idx="12">
                  <c:v>359.96691426207502</c:v>
                </c:pt>
                <c:pt idx="13">
                  <c:v>380.90916702499993</c:v>
                </c:pt>
                <c:pt idx="14">
                  <c:v>328.93331938342499</c:v>
                </c:pt>
                <c:pt idx="15">
                  <c:v>357.31986454819167</c:v>
                </c:pt>
                <c:pt idx="16">
                  <c:v>328.40215423599165</c:v>
                </c:pt>
                <c:pt idx="17">
                  <c:v>331.95758318512503</c:v>
                </c:pt>
                <c:pt idx="18">
                  <c:v>325.89432186751674</c:v>
                </c:pt>
                <c:pt idx="19">
                  <c:v>358.10326910957502</c:v>
                </c:pt>
                <c:pt idx="20">
                  <c:v>290.94787185634164</c:v>
                </c:pt>
                <c:pt idx="21">
                  <c:v>365.61221548564998</c:v>
                </c:pt>
                <c:pt idx="22">
                  <c:v>346.31321916076672</c:v>
                </c:pt>
                <c:pt idx="23">
                  <c:v>356.09987632535001</c:v>
                </c:pt>
                <c:pt idx="24">
                  <c:v>286.26469909770003</c:v>
                </c:pt>
                <c:pt idx="25">
                  <c:v>325.05298387905003</c:v>
                </c:pt>
                <c:pt idx="26">
                  <c:v>300.82821733924169</c:v>
                </c:pt>
                <c:pt idx="27">
                  <c:v>330.66872145493335</c:v>
                </c:pt>
                <c:pt idx="28">
                  <c:v>300.05970905992501</c:v>
                </c:pt>
                <c:pt idx="29">
                  <c:v>294.60303425718331</c:v>
                </c:pt>
                <c:pt idx="30">
                  <c:v>352.18511970200001</c:v>
                </c:pt>
                <c:pt idx="31">
                  <c:v>331.82663624334168</c:v>
                </c:pt>
                <c:pt idx="32">
                  <c:v>353.04079527141664</c:v>
                </c:pt>
                <c:pt idx="33">
                  <c:v>332.19352261568332</c:v>
                </c:pt>
                <c:pt idx="34">
                  <c:v>337.24346412906664</c:v>
                </c:pt>
                <c:pt idx="35">
                  <c:v>284.30176071891668</c:v>
                </c:pt>
                <c:pt idx="36">
                  <c:v>354.77381186194168</c:v>
                </c:pt>
                <c:pt idx="37">
                  <c:v>341.53625088005833</c:v>
                </c:pt>
                <c:pt idx="38">
                  <c:v>338.73781291609998</c:v>
                </c:pt>
                <c:pt idx="39">
                  <c:v>315.73654902729999</c:v>
                </c:pt>
                <c:pt idx="40">
                  <c:v>349.91813941975835</c:v>
                </c:pt>
                <c:pt idx="41">
                  <c:v>336.62590518253336</c:v>
                </c:pt>
                <c:pt idx="42">
                  <c:v>296.44565516474165</c:v>
                </c:pt>
                <c:pt idx="43">
                  <c:v>322.99950585885</c:v>
                </c:pt>
                <c:pt idx="44">
                  <c:v>333.10605340002496</c:v>
                </c:pt>
                <c:pt idx="45">
                  <c:v>231.67150434173334</c:v>
                </c:pt>
                <c:pt idx="46">
                  <c:v>292.57281975244996</c:v>
                </c:pt>
                <c:pt idx="47">
                  <c:v>288.9200820559667</c:v>
                </c:pt>
              </c:numCache>
            </c:numRef>
          </c:val>
          <c:extLst>
            <c:ext xmlns:c16="http://schemas.microsoft.com/office/drawing/2014/chart" uri="{C3380CC4-5D6E-409C-BE32-E72D297353CC}">
              <c16:uniqueId val="{00000003-B466-492F-8E23-D3BE0EF3CAE9}"/>
            </c:ext>
          </c:extLst>
        </c:ser>
        <c:ser>
          <c:idx val="4"/>
          <c:order val="4"/>
          <c:tx>
            <c:strRef>
              <c:f>総合横棒!$J$3</c:f>
              <c:strCache>
                <c:ptCount val="1"/>
                <c:pt idx="0">
                  <c:v>環境</c:v>
                </c:pt>
              </c:strCache>
            </c:strRef>
          </c:tx>
          <c:spPr>
            <a:solidFill>
              <a:srgbClr val="9CB866"/>
            </a:solidFill>
            <a:ln>
              <a:noFill/>
            </a:ln>
            <a:effectLst/>
          </c:spPr>
          <c:invertIfNegative val="0"/>
          <c:cat>
            <c:strRef>
              <c:f>総合横棒!$E$4:$E$51</c:f>
              <c:strCache>
                <c:ptCount val="48"/>
                <c:pt idx="0">
                  <c:v>ロンドン 1</c:v>
                </c:pt>
                <c:pt idx="1">
                  <c:v>ニューヨーク 2</c:v>
                </c:pt>
                <c:pt idx="2">
                  <c:v>東京 3</c:v>
                </c:pt>
                <c:pt idx="3">
                  <c:v>パリ 4</c:v>
                </c:pt>
                <c:pt idx="4">
                  <c:v>シンガポール 5</c:v>
                </c:pt>
                <c:pt idx="5">
                  <c:v>アムステルダム 6</c:v>
                </c:pt>
                <c:pt idx="6">
                  <c:v>ソウル 7</c:v>
                </c:pt>
                <c:pt idx="7">
                  <c:v>ドバイ 8</c:v>
                </c:pt>
                <c:pt idx="8">
                  <c:v>メルボルン 9</c:v>
                </c:pt>
                <c:pt idx="9">
                  <c:v>ベルリン 10</c:v>
                </c:pt>
                <c:pt idx="10">
                  <c:v>コペンハーゲン 11</c:v>
                </c:pt>
                <c:pt idx="11">
                  <c:v>シドニー 12</c:v>
                </c:pt>
                <c:pt idx="12">
                  <c:v>ウィーン 13</c:v>
                </c:pt>
                <c:pt idx="13">
                  <c:v>マドリード 14</c:v>
                </c:pt>
                <c:pt idx="14">
                  <c:v>上海 15</c:v>
                </c:pt>
                <c:pt idx="15">
                  <c:v>ストックホルム 16</c:v>
                </c:pt>
                <c:pt idx="16">
                  <c:v>北京 17</c:v>
                </c:pt>
                <c:pt idx="17">
                  <c:v>香港 18</c:v>
                </c:pt>
                <c:pt idx="18">
                  <c:v>チューリッヒ 19</c:v>
                </c:pt>
                <c:pt idx="19">
                  <c:v>フランクフルト 20</c:v>
                </c:pt>
                <c:pt idx="20">
                  <c:v>ロサンゼルス 21</c:v>
                </c:pt>
                <c:pt idx="21">
                  <c:v>バルセロナ 22</c:v>
                </c:pt>
                <c:pt idx="22">
                  <c:v>トロント 23</c:v>
                </c:pt>
                <c:pt idx="23">
                  <c:v>ブリュッセル 24</c:v>
                </c:pt>
                <c:pt idx="24">
                  <c:v>シカゴ 25</c:v>
                </c:pt>
                <c:pt idx="25">
                  <c:v>ジュネーブ 26</c:v>
                </c:pt>
                <c:pt idx="26">
                  <c:v>サンフランシスコ 27</c:v>
                </c:pt>
                <c:pt idx="27">
                  <c:v>ダブリン 28</c:v>
                </c:pt>
                <c:pt idx="28">
                  <c:v>ボストン 29</c:v>
                </c:pt>
                <c:pt idx="29">
                  <c:v>イスタンブール 30</c:v>
                </c:pt>
                <c:pt idx="30">
                  <c:v>ヘルシンキ 31</c:v>
                </c:pt>
                <c:pt idx="31">
                  <c:v>バンクーバー 32</c:v>
                </c:pt>
                <c:pt idx="32">
                  <c:v>ミラノ 33</c:v>
                </c:pt>
                <c:pt idx="33">
                  <c:v>モスクワ 34</c:v>
                </c:pt>
                <c:pt idx="34">
                  <c:v>台北 35</c:v>
                </c:pt>
                <c:pt idx="35">
                  <c:v>ワシントンDC 36</c:v>
                </c:pt>
                <c:pt idx="36">
                  <c:v>大阪 37</c:v>
                </c:pt>
                <c:pt idx="37">
                  <c:v>バンコク 38</c:v>
                </c:pt>
                <c:pt idx="38">
                  <c:v>サンパウロ 39</c:v>
                </c:pt>
                <c:pt idx="39">
                  <c:v>テルアビブ 40</c:v>
                </c:pt>
                <c:pt idx="40">
                  <c:v>クアラルンプール 41</c:v>
                </c:pt>
                <c:pt idx="41">
                  <c:v>福岡 42</c:v>
                </c:pt>
                <c:pt idx="42">
                  <c:v>メキシコシティ 43</c:v>
                </c:pt>
                <c:pt idx="43">
                  <c:v>ブエノスアイレス 44</c:v>
                </c:pt>
                <c:pt idx="44">
                  <c:v>ジャカルタ 45</c:v>
                </c:pt>
                <c:pt idx="45">
                  <c:v>ヨハネスブルグ 46</c:v>
                </c:pt>
                <c:pt idx="46">
                  <c:v>カイロ 47</c:v>
                </c:pt>
                <c:pt idx="47">
                  <c:v>ムンバイ 48</c:v>
                </c:pt>
              </c:strCache>
            </c:strRef>
          </c:cat>
          <c:val>
            <c:numRef>
              <c:f>総合横棒!$J$4:$J$51</c:f>
              <c:numCache>
                <c:formatCode>0.0;"▲ "0.0</c:formatCode>
                <c:ptCount val="48"/>
                <c:pt idx="0">
                  <c:v>187.68486004223331</c:v>
                </c:pt>
                <c:pt idx="1">
                  <c:v>150.76468786286665</c:v>
                </c:pt>
                <c:pt idx="2">
                  <c:v>173.80686015423333</c:v>
                </c:pt>
                <c:pt idx="3">
                  <c:v>151.24891216909998</c:v>
                </c:pt>
                <c:pt idx="4">
                  <c:v>180.88697292876668</c:v>
                </c:pt>
                <c:pt idx="5">
                  <c:v>173.73424353196665</c:v>
                </c:pt>
                <c:pt idx="6">
                  <c:v>178.14045167766668</c:v>
                </c:pt>
                <c:pt idx="7">
                  <c:v>123.8738976157</c:v>
                </c:pt>
                <c:pt idx="8">
                  <c:v>203.12582147590001</c:v>
                </c:pt>
                <c:pt idx="9">
                  <c:v>192.19428406303334</c:v>
                </c:pt>
                <c:pt idx="10">
                  <c:v>224.16844593323333</c:v>
                </c:pt>
                <c:pt idx="11">
                  <c:v>202.1467375758333</c:v>
                </c:pt>
                <c:pt idx="12">
                  <c:v>210.4710449698</c:v>
                </c:pt>
                <c:pt idx="13">
                  <c:v>176.67238687836664</c:v>
                </c:pt>
                <c:pt idx="14">
                  <c:v>142.54885907453331</c:v>
                </c:pt>
                <c:pt idx="15">
                  <c:v>228.73709255586664</c:v>
                </c:pt>
                <c:pt idx="16">
                  <c:v>137.31976928129998</c:v>
                </c:pt>
                <c:pt idx="17">
                  <c:v>157.70191422106669</c:v>
                </c:pt>
                <c:pt idx="18">
                  <c:v>201.45625802520001</c:v>
                </c:pt>
                <c:pt idx="19">
                  <c:v>180.77300000066668</c:v>
                </c:pt>
                <c:pt idx="20">
                  <c:v>140.01359719346667</c:v>
                </c:pt>
                <c:pt idx="21">
                  <c:v>149.1157190239</c:v>
                </c:pt>
                <c:pt idx="22">
                  <c:v>168.96266920406669</c:v>
                </c:pt>
                <c:pt idx="23">
                  <c:v>155.38219232986665</c:v>
                </c:pt>
                <c:pt idx="24">
                  <c:v>142.318380773</c:v>
                </c:pt>
                <c:pt idx="25">
                  <c:v>217.61196032589999</c:v>
                </c:pt>
                <c:pt idx="26">
                  <c:v>124.97070741093333</c:v>
                </c:pt>
                <c:pt idx="27">
                  <c:v>160.4762149785</c:v>
                </c:pt>
                <c:pt idx="28">
                  <c:v>152.50704226403334</c:v>
                </c:pt>
                <c:pt idx="29">
                  <c:v>146.93879805366666</c:v>
                </c:pt>
                <c:pt idx="30">
                  <c:v>210.67987394316665</c:v>
                </c:pt>
                <c:pt idx="31">
                  <c:v>189.76686276836665</c:v>
                </c:pt>
                <c:pt idx="32">
                  <c:v>153.54269096716669</c:v>
                </c:pt>
                <c:pt idx="33">
                  <c:v>142.85680834266668</c:v>
                </c:pt>
                <c:pt idx="34">
                  <c:v>168.57477855163333</c:v>
                </c:pt>
                <c:pt idx="35">
                  <c:v>139.93912915533335</c:v>
                </c:pt>
                <c:pt idx="36">
                  <c:v>129.60248399810001</c:v>
                </c:pt>
                <c:pt idx="37">
                  <c:v>122.29754939166666</c:v>
                </c:pt>
                <c:pt idx="38">
                  <c:v>161.61664153583337</c:v>
                </c:pt>
                <c:pt idx="39">
                  <c:v>141.49436515193332</c:v>
                </c:pt>
                <c:pt idx="40">
                  <c:v>125.87804651483333</c:v>
                </c:pt>
                <c:pt idx="41">
                  <c:v>163.21906107770002</c:v>
                </c:pt>
                <c:pt idx="42">
                  <c:v>138.28290825516666</c:v>
                </c:pt>
                <c:pt idx="43">
                  <c:v>144.02149435916667</c:v>
                </c:pt>
                <c:pt idx="44">
                  <c:v>91.384468461466668</c:v>
                </c:pt>
                <c:pt idx="45">
                  <c:v>133.41888550339999</c:v>
                </c:pt>
                <c:pt idx="46">
                  <c:v>67.555458495300002</c:v>
                </c:pt>
                <c:pt idx="47">
                  <c:v>92.760730815266669</c:v>
                </c:pt>
              </c:numCache>
            </c:numRef>
          </c:val>
          <c:extLst>
            <c:ext xmlns:c16="http://schemas.microsoft.com/office/drawing/2014/chart" uri="{C3380CC4-5D6E-409C-BE32-E72D297353CC}">
              <c16:uniqueId val="{00000004-B466-492F-8E23-D3BE0EF3CAE9}"/>
            </c:ext>
          </c:extLst>
        </c:ser>
        <c:ser>
          <c:idx val="5"/>
          <c:order val="5"/>
          <c:tx>
            <c:strRef>
              <c:f>総合横棒!$K$3</c:f>
              <c:strCache>
                <c:ptCount val="1"/>
                <c:pt idx="0">
                  <c:v>交通・アクセス</c:v>
                </c:pt>
              </c:strCache>
            </c:strRef>
          </c:tx>
          <c:spPr>
            <a:solidFill>
              <a:srgbClr val="EEAA3D"/>
            </a:solidFill>
            <a:ln>
              <a:noFill/>
            </a:ln>
            <a:effectLst/>
          </c:spPr>
          <c:invertIfNegative val="0"/>
          <c:cat>
            <c:strRef>
              <c:f>総合横棒!$E$4:$E$51</c:f>
              <c:strCache>
                <c:ptCount val="48"/>
                <c:pt idx="0">
                  <c:v>ロンドン 1</c:v>
                </c:pt>
                <c:pt idx="1">
                  <c:v>ニューヨーク 2</c:v>
                </c:pt>
                <c:pt idx="2">
                  <c:v>東京 3</c:v>
                </c:pt>
                <c:pt idx="3">
                  <c:v>パリ 4</c:v>
                </c:pt>
                <c:pt idx="4">
                  <c:v>シンガポール 5</c:v>
                </c:pt>
                <c:pt idx="5">
                  <c:v>アムステルダム 6</c:v>
                </c:pt>
                <c:pt idx="6">
                  <c:v>ソウル 7</c:v>
                </c:pt>
                <c:pt idx="7">
                  <c:v>ドバイ 8</c:v>
                </c:pt>
                <c:pt idx="8">
                  <c:v>メルボルン 9</c:v>
                </c:pt>
                <c:pt idx="9">
                  <c:v>ベルリン 10</c:v>
                </c:pt>
                <c:pt idx="10">
                  <c:v>コペンハーゲン 11</c:v>
                </c:pt>
                <c:pt idx="11">
                  <c:v>シドニー 12</c:v>
                </c:pt>
                <c:pt idx="12">
                  <c:v>ウィーン 13</c:v>
                </c:pt>
                <c:pt idx="13">
                  <c:v>マドリード 14</c:v>
                </c:pt>
                <c:pt idx="14">
                  <c:v>上海 15</c:v>
                </c:pt>
                <c:pt idx="15">
                  <c:v>ストックホルム 16</c:v>
                </c:pt>
                <c:pt idx="16">
                  <c:v>北京 17</c:v>
                </c:pt>
                <c:pt idx="17">
                  <c:v>香港 18</c:v>
                </c:pt>
                <c:pt idx="18">
                  <c:v>チューリッヒ 19</c:v>
                </c:pt>
                <c:pt idx="19">
                  <c:v>フランクフルト 20</c:v>
                </c:pt>
                <c:pt idx="20">
                  <c:v>ロサンゼルス 21</c:v>
                </c:pt>
                <c:pt idx="21">
                  <c:v>バルセロナ 22</c:v>
                </c:pt>
                <c:pt idx="22">
                  <c:v>トロント 23</c:v>
                </c:pt>
                <c:pt idx="23">
                  <c:v>ブリュッセル 24</c:v>
                </c:pt>
                <c:pt idx="24">
                  <c:v>シカゴ 25</c:v>
                </c:pt>
                <c:pt idx="25">
                  <c:v>ジュネーブ 26</c:v>
                </c:pt>
                <c:pt idx="26">
                  <c:v>サンフランシスコ 27</c:v>
                </c:pt>
                <c:pt idx="27">
                  <c:v>ダブリン 28</c:v>
                </c:pt>
                <c:pt idx="28">
                  <c:v>ボストン 29</c:v>
                </c:pt>
                <c:pt idx="29">
                  <c:v>イスタンブール 30</c:v>
                </c:pt>
                <c:pt idx="30">
                  <c:v>ヘルシンキ 31</c:v>
                </c:pt>
                <c:pt idx="31">
                  <c:v>バンクーバー 32</c:v>
                </c:pt>
                <c:pt idx="32">
                  <c:v>ミラノ 33</c:v>
                </c:pt>
                <c:pt idx="33">
                  <c:v>モスクワ 34</c:v>
                </c:pt>
                <c:pt idx="34">
                  <c:v>台北 35</c:v>
                </c:pt>
                <c:pt idx="35">
                  <c:v>ワシントンDC 36</c:v>
                </c:pt>
                <c:pt idx="36">
                  <c:v>大阪 37</c:v>
                </c:pt>
                <c:pt idx="37">
                  <c:v>バンコク 38</c:v>
                </c:pt>
                <c:pt idx="38">
                  <c:v>サンパウロ 39</c:v>
                </c:pt>
                <c:pt idx="39">
                  <c:v>テルアビブ 40</c:v>
                </c:pt>
                <c:pt idx="40">
                  <c:v>クアラルンプール 41</c:v>
                </c:pt>
                <c:pt idx="41">
                  <c:v>福岡 42</c:v>
                </c:pt>
                <c:pt idx="42">
                  <c:v>メキシコシティ 43</c:v>
                </c:pt>
                <c:pt idx="43">
                  <c:v>ブエノスアイレス 44</c:v>
                </c:pt>
                <c:pt idx="44">
                  <c:v>ジャカルタ 45</c:v>
                </c:pt>
                <c:pt idx="45">
                  <c:v>ヨハネスブルグ 46</c:v>
                </c:pt>
                <c:pt idx="46">
                  <c:v>カイロ 47</c:v>
                </c:pt>
                <c:pt idx="47">
                  <c:v>ムンバイ 48</c:v>
                </c:pt>
              </c:strCache>
            </c:strRef>
          </c:cat>
          <c:val>
            <c:numRef>
              <c:f>総合横棒!$K$4:$K$51</c:f>
              <c:numCache>
                <c:formatCode>0.0;"▲ "0.0</c:formatCode>
                <c:ptCount val="48"/>
                <c:pt idx="0">
                  <c:v>215.94210663439998</c:v>
                </c:pt>
                <c:pt idx="1">
                  <c:v>216.10079665688338</c:v>
                </c:pt>
                <c:pt idx="2">
                  <c:v>183.26320413665002</c:v>
                </c:pt>
                <c:pt idx="3">
                  <c:v>210.39062060088332</c:v>
                </c:pt>
                <c:pt idx="4">
                  <c:v>183.81839168318334</c:v>
                </c:pt>
                <c:pt idx="5">
                  <c:v>229.1637569953333</c:v>
                </c:pt>
                <c:pt idx="6">
                  <c:v>146.30409057438334</c:v>
                </c:pt>
                <c:pt idx="7">
                  <c:v>192.50675426359999</c:v>
                </c:pt>
                <c:pt idx="8">
                  <c:v>150.42809517981667</c:v>
                </c:pt>
                <c:pt idx="9">
                  <c:v>137.2835364108</c:v>
                </c:pt>
                <c:pt idx="10">
                  <c:v>174.47820119616665</c:v>
                </c:pt>
                <c:pt idx="11">
                  <c:v>120.58527060935</c:v>
                </c:pt>
                <c:pt idx="12">
                  <c:v>171.65412223314999</c:v>
                </c:pt>
                <c:pt idx="13">
                  <c:v>156.62284250756667</c:v>
                </c:pt>
                <c:pt idx="14">
                  <c:v>175.50802941770002</c:v>
                </c:pt>
                <c:pt idx="15">
                  <c:v>137.92510163825</c:v>
                </c:pt>
                <c:pt idx="16">
                  <c:v>103.65450184653335</c:v>
                </c:pt>
                <c:pt idx="17">
                  <c:v>152.62185347708333</c:v>
                </c:pt>
                <c:pt idx="18">
                  <c:v>148.82630711370001</c:v>
                </c:pt>
                <c:pt idx="19">
                  <c:v>217.64777296725003</c:v>
                </c:pt>
                <c:pt idx="20">
                  <c:v>125.12403586828333</c:v>
                </c:pt>
                <c:pt idx="21">
                  <c:v>163.56888879408334</c:v>
                </c:pt>
                <c:pt idx="22">
                  <c:v>137.21991882633333</c:v>
                </c:pt>
                <c:pt idx="23">
                  <c:v>141.01090217941669</c:v>
                </c:pt>
                <c:pt idx="24">
                  <c:v>156.24671246469998</c:v>
                </c:pt>
                <c:pt idx="25">
                  <c:v>122.00617048738334</c:v>
                </c:pt>
                <c:pt idx="26">
                  <c:v>120.29584821248332</c:v>
                </c:pt>
                <c:pt idx="27">
                  <c:v>124.97767436390001</c:v>
                </c:pt>
                <c:pt idx="28">
                  <c:v>114.94115346680002</c:v>
                </c:pt>
                <c:pt idx="29">
                  <c:v>166.25057830344997</c:v>
                </c:pt>
                <c:pt idx="30">
                  <c:v>131.89178263905001</c:v>
                </c:pt>
                <c:pt idx="31">
                  <c:v>108.67400833945</c:v>
                </c:pt>
                <c:pt idx="32">
                  <c:v>148.59930861045001</c:v>
                </c:pt>
                <c:pt idx="33">
                  <c:v>115.3891266875</c:v>
                </c:pt>
                <c:pt idx="34">
                  <c:v>119.81697818631665</c:v>
                </c:pt>
                <c:pt idx="35">
                  <c:v>101.06410018313333</c:v>
                </c:pt>
                <c:pt idx="36">
                  <c:v>109.32603530741667</c:v>
                </c:pt>
                <c:pt idx="37">
                  <c:v>113.15560744948334</c:v>
                </c:pt>
                <c:pt idx="38">
                  <c:v>90.181285020066667</c:v>
                </c:pt>
                <c:pt idx="39">
                  <c:v>107.81051049308334</c:v>
                </c:pt>
                <c:pt idx="40">
                  <c:v>109.72828635431668</c:v>
                </c:pt>
                <c:pt idx="41">
                  <c:v>117.16783978646666</c:v>
                </c:pt>
                <c:pt idx="42">
                  <c:v>102.63712299423332</c:v>
                </c:pt>
                <c:pt idx="43">
                  <c:v>76.789037432650005</c:v>
                </c:pt>
                <c:pt idx="44">
                  <c:v>76.94312260671667</c:v>
                </c:pt>
                <c:pt idx="45">
                  <c:v>91.2491304582</c:v>
                </c:pt>
                <c:pt idx="46">
                  <c:v>101.40892959515</c:v>
                </c:pt>
                <c:pt idx="47">
                  <c:v>92.885580577433331</c:v>
                </c:pt>
              </c:numCache>
            </c:numRef>
          </c:val>
          <c:extLst>
            <c:ext xmlns:c16="http://schemas.microsoft.com/office/drawing/2014/chart" uri="{C3380CC4-5D6E-409C-BE32-E72D297353CC}">
              <c16:uniqueId val="{00000005-B466-492F-8E23-D3BE0EF3CAE9}"/>
            </c:ext>
          </c:extLst>
        </c:ser>
        <c:ser>
          <c:idx val="6"/>
          <c:order val="6"/>
          <c:tx>
            <c:strRef>
              <c:f>総合横棒!$L$3</c:f>
              <c:strCache>
                <c:ptCount val="1"/>
                <c:pt idx="0">
                  <c:v>総合</c:v>
                </c:pt>
              </c:strCache>
            </c:strRef>
          </c:tx>
          <c:spPr>
            <a:no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ja-JP"/>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総合横棒!$E$4:$E$51</c:f>
              <c:strCache>
                <c:ptCount val="48"/>
                <c:pt idx="0">
                  <c:v>ロンドン 1</c:v>
                </c:pt>
                <c:pt idx="1">
                  <c:v>ニューヨーク 2</c:v>
                </c:pt>
                <c:pt idx="2">
                  <c:v>東京 3</c:v>
                </c:pt>
                <c:pt idx="3">
                  <c:v>パリ 4</c:v>
                </c:pt>
                <c:pt idx="4">
                  <c:v>シンガポール 5</c:v>
                </c:pt>
                <c:pt idx="5">
                  <c:v>アムステルダム 6</c:v>
                </c:pt>
                <c:pt idx="6">
                  <c:v>ソウル 7</c:v>
                </c:pt>
                <c:pt idx="7">
                  <c:v>ドバイ 8</c:v>
                </c:pt>
                <c:pt idx="8">
                  <c:v>メルボルン 9</c:v>
                </c:pt>
                <c:pt idx="9">
                  <c:v>ベルリン 10</c:v>
                </c:pt>
                <c:pt idx="10">
                  <c:v>コペンハーゲン 11</c:v>
                </c:pt>
                <c:pt idx="11">
                  <c:v>シドニー 12</c:v>
                </c:pt>
                <c:pt idx="12">
                  <c:v>ウィーン 13</c:v>
                </c:pt>
                <c:pt idx="13">
                  <c:v>マドリード 14</c:v>
                </c:pt>
                <c:pt idx="14">
                  <c:v>上海 15</c:v>
                </c:pt>
                <c:pt idx="15">
                  <c:v>ストックホルム 16</c:v>
                </c:pt>
                <c:pt idx="16">
                  <c:v>北京 17</c:v>
                </c:pt>
                <c:pt idx="17">
                  <c:v>香港 18</c:v>
                </c:pt>
                <c:pt idx="18">
                  <c:v>チューリッヒ 19</c:v>
                </c:pt>
                <c:pt idx="19">
                  <c:v>フランクフルト 20</c:v>
                </c:pt>
                <c:pt idx="20">
                  <c:v>ロサンゼルス 21</c:v>
                </c:pt>
                <c:pt idx="21">
                  <c:v>バルセロナ 22</c:v>
                </c:pt>
                <c:pt idx="22">
                  <c:v>トロント 23</c:v>
                </c:pt>
                <c:pt idx="23">
                  <c:v>ブリュッセル 24</c:v>
                </c:pt>
                <c:pt idx="24">
                  <c:v>シカゴ 25</c:v>
                </c:pt>
                <c:pt idx="25">
                  <c:v>ジュネーブ 26</c:v>
                </c:pt>
                <c:pt idx="26">
                  <c:v>サンフランシスコ 27</c:v>
                </c:pt>
                <c:pt idx="27">
                  <c:v>ダブリン 28</c:v>
                </c:pt>
                <c:pt idx="28">
                  <c:v>ボストン 29</c:v>
                </c:pt>
                <c:pt idx="29">
                  <c:v>イスタンブール 30</c:v>
                </c:pt>
                <c:pt idx="30">
                  <c:v>ヘルシンキ 31</c:v>
                </c:pt>
                <c:pt idx="31">
                  <c:v>バンクーバー 32</c:v>
                </c:pt>
                <c:pt idx="32">
                  <c:v>ミラノ 33</c:v>
                </c:pt>
                <c:pt idx="33">
                  <c:v>モスクワ 34</c:v>
                </c:pt>
                <c:pt idx="34">
                  <c:v>台北 35</c:v>
                </c:pt>
                <c:pt idx="35">
                  <c:v>ワシントンDC 36</c:v>
                </c:pt>
                <c:pt idx="36">
                  <c:v>大阪 37</c:v>
                </c:pt>
                <c:pt idx="37">
                  <c:v>バンコク 38</c:v>
                </c:pt>
                <c:pt idx="38">
                  <c:v>サンパウロ 39</c:v>
                </c:pt>
                <c:pt idx="39">
                  <c:v>テルアビブ 40</c:v>
                </c:pt>
                <c:pt idx="40">
                  <c:v>クアラルンプール 41</c:v>
                </c:pt>
                <c:pt idx="41">
                  <c:v>福岡 42</c:v>
                </c:pt>
                <c:pt idx="42">
                  <c:v>メキシコシティ 43</c:v>
                </c:pt>
                <c:pt idx="43">
                  <c:v>ブエノスアイレス 44</c:v>
                </c:pt>
                <c:pt idx="44">
                  <c:v>ジャカルタ 45</c:v>
                </c:pt>
                <c:pt idx="45">
                  <c:v>ヨハネスブルグ 46</c:v>
                </c:pt>
                <c:pt idx="46">
                  <c:v>カイロ 47</c:v>
                </c:pt>
                <c:pt idx="47">
                  <c:v>ムンバイ 48</c:v>
                </c:pt>
              </c:strCache>
            </c:strRef>
          </c:cat>
          <c:val>
            <c:numRef>
              <c:f>総合横棒!$L$4:$L$51</c:f>
              <c:numCache>
                <c:formatCode>0.0;"▲ "0.0</c:formatCode>
                <c:ptCount val="48"/>
                <c:pt idx="0">
                  <c:v>1646.7303259913833</c:v>
                </c:pt>
                <c:pt idx="1">
                  <c:v>1506.3663752746834</c:v>
                </c:pt>
                <c:pt idx="2">
                  <c:v>1375.8029509199168</c:v>
                </c:pt>
                <c:pt idx="3">
                  <c:v>1363.7038405149415</c:v>
                </c:pt>
                <c:pt idx="4">
                  <c:v>1264.7031333791499</c:v>
                </c:pt>
                <c:pt idx="5">
                  <c:v>1246.3159718095417</c:v>
                </c:pt>
                <c:pt idx="6">
                  <c:v>1202.0689072947416</c:v>
                </c:pt>
                <c:pt idx="7">
                  <c:v>1162.6653307125334</c:v>
                </c:pt>
                <c:pt idx="8">
                  <c:v>1155.4245851395751</c:v>
                </c:pt>
                <c:pt idx="9">
                  <c:v>1151.744019078875</c:v>
                </c:pt>
                <c:pt idx="10">
                  <c:v>1138.8847340470165</c:v>
                </c:pt>
                <c:pt idx="11">
                  <c:v>1133.4335467474084</c:v>
                </c:pt>
                <c:pt idx="12">
                  <c:v>1133.217755540225</c:v>
                </c:pt>
                <c:pt idx="13">
                  <c:v>1131.5332886492749</c:v>
                </c:pt>
                <c:pt idx="14">
                  <c:v>1131.5041381531917</c:v>
                </c:pt>
                <c:pt idx="15">
                  <c:v>1117.7952964830665</c:v>
                </c:pt>
                <c:pt idx="16">
                  <c:v>1115.3359083596499</c:v>
                </c:pt>
                <c:pt idx="17">
                  <c:v>1091.7932708332751</c:v>
                </c:pt>
                <c:pt idx="18">
                  <c:v>1088.5254766757585</c:v>
                </c:pt>
                <c:pt idx="19">
                  <c:v>1086.1963098475917</c:v>
                </c:pt>
                <c:pt idx="20">
                  <c:v>1071.6950600185</c:v>
                </c:pt>
                <c:pt idx="21">
                  <c:v>1067.5603584961584</c:v>
                </c:pt>
                <c:pt idx="22">
                  <c:v>1065.239401090975</c:v>
                </c:pt>
                <c:pt idx="23">
                  <c:v>1049.2927396257251</c:v>
                </c:pt>
                <c:pt idx="24">
                  <c:v>1044.1886506800834</c:v>
                </c:pt>
                <c:pt idx="25">
                  <c:v>1042.9079798212251</c:v>
                </c:pt>
                <c:pt idx="26">
                  <c:v>1035.07971549885</c:v>
                </c:pt>
                <c:pt idx="27">
                  <c:v>1031.5632379666667</c:v>
                </c:pt>
                <c:pt idx="28">
                  <c:v>1026.3332686456417</c:v>
                </c:pt>
                <c:pt idx="29">
                  <c:v>1017.1653245361416</c:v>
                </c:pt>
                <c:pt idx="30">
                  <c:v>1007.9302963158916</c:v>
                </c:pt>
                <c:pt idx="31">
                  <c:v>992.62643405713322</c:v>
                </c:pt>
                <c:pt idx="32">
                  <c:v>990.65583793154997</c:v>
                </c:pt>
                <c:pt idx="33">
                  <c:v>976.48934962178328</c:v>
                </c:pt>
                <c:pt idx="34">
                  <c:v>958.49155278419164</c:v>
                </c:pt>
                <c:pt idx="35">
                  <c:v>955.50167452156677</c:v>
                </c:pt>
                <c:pt idx="36">
                  <c:v>947.75716654131668</c:v>
                </c:pt>
                <c:pt idx="37">
                  <c:v>945.29835679571659</c:v>
                </c:pt>
                <c:pt idx="38">
                  <c:v>898.35468429590821</c:v>
                </c:pt>
                <c:pt idx="39">
                  <c:v>892.44200955160829</c:v>
                </c:pt>
                <c:pt idx="40">
                  <c:v>878.67771083875004</c:v>
                </c:pt>
                <c:pt idx="41">
                  <c:v>844.79169767112489</c:v>
                </c:pt>
                <c:pt idx="42">
                  <c:v>837.94241278155005</c:v>
                </c:pt>
                <c:pt idx="43">
                  <c:v>812.82477223342505</c:v>
                </c:pt>
                <c:pt idx="44">
                  <c:v>741.73320807286666</c:v>
                </c:pt>
                <c:pt idx="45">
                  <c:v>664.00173191842509</c:v>
                </c:pt>
                <c:pt idx="46">
                  <c:v>661.27664620438327</c:v>
                </c:pt>
                <c:pt idx="47">
                  <c:v>645.34513309169165</c:v>
                </c:pt>
              </c:numCache>
            </c:numRef>
          </c:val>
          <c:extLst>
            <c:ext xmlns:c16="http://schemas.microsoft.com/office/drawing/2014/chart" uri="{C3380CC4-5D6E-409C-BE32-E72D297353CC}">
              <c16:uniqueId val="{00000006-B466-492F-8E23-D3BE0EF3CAE9}"/>
            </c:ext>
          </c:extLst>
        </c:ser>
        <c:dLbls>
          <c:showLegendKey val="0"/>
          <c:showVal val="0"/>
          <c:showCatName val="0"/>
          <c:showSerName val="0"/>
          <c:showPercent val="0"/>
          <c:showBubbleSize val="0"/>
        </c:dLbls>
        <c:gapWidth val="150"/>
        <c:overlap val="100"/>
        <c:axId val="497586480"/>
        <c:axId val="497591184"/>
      </c:barChart>
      <c:catAx>
        <c:axId val="4975864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ja-JP"/>
          </a:p>
        </c:txPr>
        <c:crossAx val="497591184"/>
        <c:crosses val="autoZero"/>
        <c:auto val="1"/>
        <c:lblAlgn val="ctr"/>
        <c:lblOffset val="100"/>
        <c:noMultiLvlLbl val="0"/>
      </c:catAx>
      <c:valAx>
        <c:axId val="497591184"/>
        <c:scaling>
          <c:orientation val="minMax"/>
          <c:max val="2000"/>
          <c:min val="0"/>
        </c:scaling>
        <c:delete val="1"/>
        <c:axPos val="t"/>
        <c:numFmt formatCode="0.0;&quot;▲ &quot;0.0" sourceLinked="1"/>
        <c:majorTickMark val="none"/>
        <c:minorTickMark val="none"/>
        <c:tickLblPos val="nextTo"/>
        <c:crossAx val="497586480"/>
        <c:crosses val="autoZero"/>
        <c:crossBetween val="between"/>
      </c:valAx>
      <c:spPr>
        <a:noFill/>
        <a:ln>
          <a:noFill/>
        </a:ln>
        <a:effectLst/>
      </c:spPr>
    </c:plotArea>
    <c:legend>
      <c:legendPos val="b"/>
      <c:legendEntry>
        <c:idx val="6"/>
        <c:delete val="1"/>
      </c:legendEntry>
      <c:layout>
        <c:manualLayout>
          <c:xMode val="edge"/>
          <c:yMode val="edge"/>
          <c:x val="0.69215016974955024"/>
          <c:y val="0.73419082714532025"/>
          <c:w val="0.22758690371677048"/>
          <c:h val="0.23358380725364641"/>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noFill/>
      <a:round/>
    </a:ln>
    <a:effectLst/>
  </c:spPr>
  <c:txPr>
    <a:bodyPr/>
    <a:lstStyle/>
    <a:p>
      <a:pPr>
        <a:defRPr b="1"/>
      </a:pPr>
      <a:endParaRPr lang="ja-JP"/>
    </a:p>
  </c:txPr>
  <c:printSettings>
    <c:headerFooter/>
    <c:pageMargins b="0.75" l="0.25" r="0.25" t="0.75" header="0.3" footer="0.3"/>
    <c:pageSetup paperSize="9"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順位経年!$D$4</c:f>
              <c:strCache>
                <c:ptCount val="1"/>
                <c:pt idx="0">
                  <c:v>ロンドン</c:v>
                </c:pt>
              </c:strCache>
            </c:strRef>
          </c:tx>
          <c:spPr>
            <a:ln w="28575" cap="rnd">
              <a:solidFill>
                <a:srgbClr val="DB5334"/>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順位経年!$E$4:$T$4</c:f>
              <c:numCache>
                <c:formatCode>General</c:formatCode>
                <c:ptCount val="16"/>
                <c:pt idx="0">
                  <c:v>2</c:v>
                </c:pt>
                <c:pt idx="1">
                  <c:v>2</c:v>
                </c:pt>
                <c:pt idx="2">
                  <c:v>2</c:v>
                </c:pt>
                <c:pt idx="3">
                  <c:v>2</c:v>
                </c:pt>
                <c:pt idx="4">
                  <c:v>1</c:v>
                </c:pt>
                <c:pt idx="5">
                  <c:v>1</c:v>
                </c:pt>
                <c:pt idx="6">
                  <c:v>1</c:v>
                </c:pt>
                <c:pt idx="7">
                  <c:v>1</c:v>
                </c:pt>
                <c:pt idx="8">
                  <c:v>1</c:v>
                </c:pt>
                <c:pt idx="9">
                  <c:v>1</c:v>
                </c:pt>
                <c:pt idx="10">
                  <c:v>1</c:v>
                </c:pt>
                <c:pt idx="11">
                  <c:v>1</c:v>
                </c:pt>
                <c:pt idx="12">
                  <c:v>1</c:v>
                </c:pt>
                <c:pt idx="13">
                  <c:v>1</c:v>
                </c:pt>
                <c:pt idx="14">
                  <c:v>1</c:v>
                </c:pt>
                <c:pt idx="15" formatCode="0_);[Red]\(0\)">
                  <c:v>1</c:v>
                </c:pt>
              </c:numCache>
            </c:numRef>
          </c:val>
          <c:smooth val="0"/>
          <c:extLst>
            <c:ext xmlns:c16="http://schemas.microsoft.com/office/drawing/2014/chart" uri="{C3380CC4-5D6E-409C-BE32-E72D297353CC}">
              <c16:uniqueId val="{00000000-F7F7-48B6-9C02-86ABD9782F54}"/>
            </c:ext>
          </c:extLst>
        </c:ser>
        <c:ser>
          <c:idx val="1"/>
          <c:order val="1"/>
          <c:tx>
            <c:strRef>
              <c:f>順位経年!$D$5</c:f>
              <c:strCache>
                <c:ptCount val="1"/>
                <c:pt idx="0">
                  <c:v>ニューヨーク</c:v>
                </c:pt>
              </c:strCache>
            </c:strRef>
          </c:tx>
          <c:spPr>
            <a:ln w="28575" cap="rnd">
              <a:solidFill>
                <a:srgbClr val="FABF1C"/>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順位経年!$E$5:$T$5</c:f>
              <c:numCache>
                <c:formatCode>General</c:formatCode>
                <c:ptCount val="16"/>
                <c:pt idx="0">
                  <c:v>1</c:v>
                </c:pt>
                <c:pt idx="1">
                  <c:v>1</c:v>
                </c:pt>
                <c:pt idx="2">
                  <c:v>1</c:v>
                </c:pt>
                <c:pt idx="3">
                  <c:v>1</c:v>
                </c:pt>
                <c:pt idx="4">
                  <c:v>2</c:v>
                </c:pt>
                <c:pt idx="5">
                  <c:v>2</c:v>
                </c:pt>
                <c:pt idx="6">
                  <c:v>2</c:v>
                </c:pt>
                <c:pt idx="7">
                  <c:v>2</c:v>
                </c:pt>
                <c:pt idx="8">
                  <c:v>2</c:v>
                </c:pt>
                <c:pt idx="9">
                  <c:v>2</c:v>
                </c:pt>
                <c:pt idx="10">
                  <c:v>2</c:v>
                </c:pt>
                <c:pt idx="11">
                  <c:v>2</c:v>
                </c:pt>
                <c:pt idx="12">
                  <c:v>2</c:v>
                </c:pt>
                <c:pt idx="13">
                  <c:v>2</c:v>
                </c:pt>
                <c:pt idx="14">
                  <c:v>2</c:v>
                </c:pt>
                <c:pt idx="15" formatCode="0_);[Red]\(0\)">
                  <c:v>2</c:v>
                </c:pt>
              </c:numCache>
            </c:numRef>
          </c:val>
          <c:smooth val="0"/>
          <c:extLst>
            <c:ext xmlns:c16="http://schemas.microsoft.com/office/drawing/2014/chart" uri="{C3380CC4-5D6E-409C-BE32-E72D297353CC}">
              <c16:uniqueId val="{00000001-F7F7-48B6-9C02-86ABD9782F54}"/>
            </c:ext>
          </c:extLst>
        </c:ser>
        <c:ser>
          <c:idx val="2"/>
          <c:order val="2"/>
          <c:tx>
            <c:strRef>
              <c:f>順位経年!$D$6</c:f>
              <c:strCache>
                <c:ptCount val="1"/>
                <c:pt idx="0">
                  <c:v>東京</c:v>
                </c:pt>
              </c:strCache>
            </c:strRef>
          </c:tx>
          <c:spPr>
            <a:ln w="28575" cap="rnd">
              <a:solidFill>
                <a:srgbClr val="237FC4"/>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順位経年!$E$6:$T$6</c:f>
              <c:numCache>
                <c:formatCode>General</c:formatCode>
                <c:ptCount val="16"/>
                <c:pt idx="0">
                  <c:v>4</c:v>
                </c:pt>
                <c:pt idx="1">
                  <c:v>4</c:v>
                </c:pt>
                <c:pt idx="2">
                  <c:v>4</c:v>
                </c:pt>
                <c:pt idx="3">
                  <c:v>4</c:v>
                </c:pt>
                <c:pt idx="4">
                  <c:v>4</c:v>
                </c:pt>
                <c:pt idx="5">
                  <c:v>4</c:v>
                </c:pt>
                <c:pt idx="6">
                  <c:v>4</c:v>
                </c:pt>
                <c:pt idx="7">
                  <c:v>4</c:v>
                </c:pt>
                <c:pt idx="8">
                  <c:v>3</c:v>
                </c:pt>
                <c:pt idx="9">
                  <c:v>3</c:v>
                </c:pt>
                <c:pt idx="10">
                  <c:v>3</c:v>
                </c:pt>
                <c:pt idx="11">
                  <c:v>3</c:v>
                </c:pt>
                <c:pt idx="12">
                  <c:v>3</c:v>
                </c:pt>
                <c:pt idx="13">
                  <c:v>3</c:v>
                </c:pt>
                <c:pt idx="14">
                  <c:v>3</c:v>
                </c:pt>
                <c:pt idx="15" formatCode="0_);[Red]\(0\)">
                  <c:v>3</c:v>
                </c:pt>
              </c:numCache>
            </c:numRef>
          </c:val>
          <c:smooth val="0"/>
          <c:extLst>
            <c:ext xmlns:c16="http://schemas.microsoft.com/office/drawing/2014/chart" uri="{C3380CC4-5D6E-409C-BE32-E72D297353CC}">
              <c16:uniqueId val="{00000002-F7F7-48B6-9C02-86ABD9782F54}"/>
            </c:ext>
          </c:extLst>
        </c:ser>
        <c:ser>
          <c:idx val="3"/>
          <c:order val="3"/>
          <c:tx>
            <c:strRef>
              <c:f>順位経年!$D$7</c:f>
              <c:strCache>
                <c:ptCount val="1"/>
                <c:pt idx="0">
                  <c:v>パリ</c:v>
                </c:pt>
              </c:strCache>
            </c:strRef>
          </c:tx>
          <c:spPr>
            <a:ln w="28575" cap="rnd">
              <a:solidFill>
                <a:srgbClr val="90C31F"/>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順位経年!$E$7:$T$7</c:f>
              <c:numCache>
                <c:formatCode>General</c:formatCode>
                <c:ptCount val="16"/>
                <c:pt idx="0">
                  <c:v>3</c:v>
                </c:pt>
                <c:pt idx="1">
                  <c:v>3</c:v>
                </c:pt>
                <c:pt idx="2">
                  <c:v>3</c:v>
                </c:pt>
                <c:pt idx="3">
                  <c:v>3</c:v>
                </c:pt>
                <c:pt idx="4">
                  <c:v>3</c:v>
                </c:pt>
                <c:pt idx="5">
                  <c:v>3</c:v>
                </c:pt>
                <c:pt idx="6">
                  <c:v>3</c:v>
                </c:pt>
                <c:pt idx="7">
                  <c:v>3</c:v>
                </c:pt>
                <c:pt idx="8">
                  <c:v>4</c:v>
                </c:pt>
                <c:pt idx="9">
                  <c:v>4</c:v>
                </c:pt>
                <c:pt idx="10">
                  <c:v>4</c:v>
                </c:pt>
                <c:pt idx="11">
                  <c:v>4</c:v>
                </c:pt>
                <c:pt idx="12">
                  <c:v>4</c:v>
                </c:pt>
                <c:pt idx="13">
                  <c:v>4</c:v>
                </c:pt>
                <c:pt idx="14">
                  <c:v>4</c:v>
                </c:pt>
                <c:pt idx="15" formatCode="0_);[Red]\(0\)">
                  <c:v>4</c:v>
                </c:pt>
              </c:numCache>
            </c:numRef>
          </c:val>
          <c:smooth val="0"/>
          <c:extLst>
            <c:ext xmlns:c16="http://schemas.microsoft.com/office/drawing/2014/chart" uri="{C3380CC4-5D6E-409C-BE32-E72D297353CC}">
              <c16:uniqueId val="{00000003-F7F7-48B6-9C02-86ABD9782F54}"/>
            </c:ext>
          </c:extLst>
        </c:ser>
        <c:ser>
          <c:idx val="4"/>
          <c:order val="4"/>
          <c:tx>
            <c:strRef>
              <c:f>順位経年!$D$8</c:f>
              <c:strCache>
                <c:ptCount val="1"/>
                <c:pt idx="0">
                  <c:v>シンガポール</c:v>
                </c:pt>
              </c:strCache>
            </c:strRef>
          </c:tx>
          <c:spPr>
            <a:ln w="28575" cap="rnd">
              <a:solidFill>
                <a:srgbClr val="9170AF"/>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順位経年!$E$8:$T$8</c:f>
              <c:numCache>
                <c:formatCode>General</c:formatCode>
                <c:ptCount val="16"/>
                <c:pt idx="0">
                  <c:v>11</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formatCode="0_);[Red]\(0\)">
                  <c:v>5</c:v>
                </c:pt>
              </c:numCache>
            </c:numRef>
          </c:val>
          <c:smooth val="0"/>
          <c:extLst>
            <c:ext xmlns:c16="http://schemas.microsoft.com/office/drawing/2014/chart" uri="{C3380CC4-5D6E-409C-BE32-E72D297353CC}">
              <c16:uniqueId val="{00000004-F7F7-48B6-9C02-86ABD9782F54}"/>
            </c:ext>
          </c:extLst>
        </c:ser>
        <c:ser>
          <c:idx val="5"/>
          <c:order val="5"/>
          <c:tx>
            <c:strRef>
              <c:f>順位経年!$D$9</c:f>
              <c:strCache>
                <c:ptCount val="1"/>
                <c:pt idx="0">
                  <c:v>アムステルダム</c:v>
                </c:pt>
              </c:strCache>
            </c:strRef>
          </c:tx>
          <c:spPr>
            <a:ln w="28575" cap="rnd">
              <a:solidFill>
                <a:schemeClr val="accent6"/>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順位経年!$E$9:$T$9</c:f>
              <c:numCache>
                <c:formatCode>General</c:formatCode>
                <c:ptCount val="16"/>
                <c:pt idx="0">
                  <c:v>7</c:v>
                </c:pt>
                <c:pt idx="1">
                  <c:v>8</c:v>
                </c:pt>
                <c:pt idx="2">
                  <c:v>7</c:v>
                </c:pt>
                <c:pt idx="3">
                  <c:v>9</c:v>
                </c:pt>
                <c:pt idx="4">
                  <c:v>7</c:v>
                </c:pt>
                <c:pt idx="5">
                  <c:v>7</c:v>
                </c:pt>
                <c:pt idx="6">
                  <c:v>7</c:v>
                </c:pt>
                <c:pt idx="7">
                  <c:v>9</c:v>
                </c:pt>
                <c:pt idx="8">
                  <c:v>8</c:v>
                </c:pt>
                <c:pt idx="9">
                  <c:v>7</c:v>
                </c:pt>
                <c:pt idx="10">
                  <c:v>6</c:v>
                </c:pt>
                <c:pt idx="11">
                  <c:v>6</c:v>
                </c:pt>
                <c:pt idx="12">
                  <c:v>6</c:v>
                </c:pt>
                <c:pt idx="13">
                  <c:v>6</c:v>
                </c:pt>
                <c:pt idx="14">
                  <c:v>6</c:v>
                </c:pt>
                <c:pt idx="15" formatCode="0_);[Red]\(0\)">
                  <c:v>6</c:v>
                </c:pt>
              </c:numCache>
            </c:numRef>
          </c:val>
          <c:smooth val="0"/>
          <c:extLst>
            <c:ext xmlns:c16="http://schemas.microsoft.com/office/drawing/2014/chart" uri="{C3380CC4-5D6E-409C-BE32-E72D297353CC}">
              <c16:uniqueId val="{00000005-F7F7-48B6-9C02-86ABD9782F54}"/>
            </c:ext>
          </c:extLst>
        </c:ser>
        <c:ser>
          <c:idx val="6"/>
          <c:order val="6"/>
          <c:tx>
            <c:strRef>
              <c:f>順位経年!$D$10</c:f>
              <c:strCache>
                <c:ptCount val="1"/>
                <c:pt idx="0">
                  <c:v>ソウル</c:v>
                </c:pt>
              </c:strCache>
            </c:strRef>
          </c:tx>
          <c:spPr>
            <a:ln w="28575" cap="rnd">
              <a:solidFill>
                <a:schemeClr val="accent1">
                  <a:lumMod val="6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順位経年!$E$10:$T$10</c:f>
              <c:numCache>
                <c:formatCode>General</c:formatCode>
                <c:ptCount val="16"/>
                <c:pt idx="0">
                  <c:v>13</c:v>
                </c:pt>
                <c:pt idx="1">
                  <c:v>12</c:v>
                </c:pt>
                <c:pt idx="2">
                  <c:v>8</c:v>
                </c:pt>
                <c:pt idx="3">
                  <c:v>7</c:v>
                </c:pt>
                <c:pt idx="4">
                  <c:v>6</c:v>
                </c:pt>
                <c:pt idx="5">
                  <c:v>6</c:v>
                </c:pt>
                <c:pt idx="6">
                  <c:v>6</c:v>
                </c:pt>
                <c:pt idx="7">
                  <c:v>6</c:v>
                </c:pt>
                <c:pt idx="8">
                  <c:v>6</c:v>
                </c:pt>
                <c:pt idx="9">
                  <c:v>6</c:v>
                </c:pt>
                <c:pt idx="10">
                  <c:v>7</c:v>
                </c:pt>
                <c:pt idx="11">
                  <c:v>7</c:v>
                </c:pt>
                <c:pt idx="12">
                  <c:v>8</c:v>
                </c:pt>
                <c:pt idx="13">
                  <c:v>8</c:v>
                </c:pt>
                <c:pt idx="14">
                  <c:v>7</c:v>
                </c:pt>
                <c:pt idx="15" formatCode="0_);[Red]\(0\)">
                  <c:v>7</c:v>
                </c:pt>
              </c:numCache>
            </c:numRef>
          </c:val>
          <c:smooth val="0"/>
          <c:extLst>
            <c:ext xmlns:c16="http://schemas.microsoft.com/office/drawing/2014/chart" uri="{C3380CC4-5D6E-409C-BE32-E72D297353CC}">
              <c16:uniqueId val="{00000006-F7F7-48B6-9C02-86ABD9782F54}"/>
            </c:ext>
          </c:extLst>
        </c:ser>
        <c:ser>
          <c:idx val="7"/>
          <c:order val="7"/>
          <c:tx>
            <c:strRef>
              <c:f>順位経年!$D$11</c:f>
              <c:strCache>
                <c:ptCount val="1"/>
                <c:pt idx="0">
                  <c:v>ドバイ</c:v>
                </c:pt>
              </c:strCache>
            </c:strRef>
          </c:tx>
          <c:spPr>
            <a:ln w="28575" cap="rnd">
              <a:solidFill>
                <a:schemeClr val="accent2">
                  <a:lumMod val="6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順位経年!$E$11:$T$11</c:f>
              <c:numCache>
                <c:formatCode>General</c:formatCode>
                <c:ptCount val="16"/>
                <c:pt idx="1">
                  <c:v>0</c:v>
                </c:pt>
                <c:pt idx="9">
                  <c:v>23</c:v>
                </c:pt>
                <c:pt idx="10">
                  <c:v>29</c:v>
                </c:pt>
                <c:pt idx="11">
                  <c:v>19</c:v>
                </c:pt>
                <c:pt idx="12">
                  <c:v>17</c:v>
                </c:pt>
                <c:pt idx="13">
                  <c:v>14</c:v>
                </c:pt>
                <c:pt idx="14">
                  <c:v>11</c:v>
                </c:pt>
                <c:pt idx="15" formatCode="0_);[Red]\(0\)">
                  <c:v>8</c:v>
                </c:pt>
              </c:numCache>
            </c:numRef>
          </c:val>
          <c:smooth val="0"/>
          <c:extLst>
            <c:ext xmlns:c16="http://schemas.microsoft.com/office/drawing/2014/chart" uri="{C3380CC4-5D6E-409C-BE32-E72D297353CC}">
              <c16:uniqueId val="{00000007-F7F7-48B6-9C02-86ABD9782F54}"/>
            </c:ext>
          </c:extLst>
        </c:ser>
        <c:ser>
          <c:idx val="8"/>
          <c:order val="8"/>
          <c:tx>
            <c:strRef>
              <c:f>順位経年!$D$12</c:f>
              <c:strCache>
                <c:ptCount val="1"/>
                <c:pt idx="0">
                  <c:v>メルボルン</c:v>
                </c:pt>
              </c:strCache>
            </c:strRef>
          </c:tx>
          <c:spPr>
            <a:ln w="28575" cap="rnd">
              <a:solidFill>
                <a:schemeClr val="accent3">
                  <a:lumMod val="6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順位経年!$E$12:$T$12</c:f>
              <c:numCache>
                <c:formatCode>General</c:formatCode>
                <c:ptCount val="16"/>
                <c:pt idx="1">
                  <c:v>0</c:v>
                </c:pt>
                <c:pt idx="11">
                  <c:v>11</c:v>
                </c:pt>
                <c:pt idx="12">
                  <c:v>14</c:v>
                </c:pt>
                <c:pt idx="13">
                  <c:v>11</c:v>
                </c:pt>
                <c:pt idx="14">
                  <c:v>9</c:v>
                </c:pt>
                <c:pt idx="15" formatCode="0_);[Red]\(0\)">
                  <c:v>9</c:v>
                </c:pt>
              </c:numCache>
            </c:numRef>
          </c:val>
          <c:smooth val="0"/>
          <c:extLst>
            <c:ext xmlns:c16="http://schemas.microsoft.com/office/drawing/2014/chart" uri="{C3380CC4-5D6E-409C-BE32-E72D297353CC}">
              <c16:uniqueId val="{00000008-F7F7-48B6-9C02-86ABD9782F54}"/>
            </c:ext>
          </c:extLst>
        </c:ser>
        <c:ser>
          <c:idx val="9"/>
          <c:order val="9"/>
          <c:tx>
            <c:strRef>
              <c:f>順位経年!$D$13</c:f>
              <c:strCache>
                <c:ptCount val="1"/>
                <c:pt idx="0">
                  <c:v>ベルリン</c:v>
                </c:pt>
              </c:strCache>
            </c:strRef>
          </c:tx>
          <c:spPr>
            <a:ln w="28575" cap="rnd">
              <a:solidFill>
                <a:schemeClr val="accent4">
                  <a:lumMod val="6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順位経年!$E$13:$T$13</c:f>
              <c:numCache>
                <c:formatCode>General</c:formatCode>
                <c:ptCount val="16"/>
                <c:pt idx="0">
                  <c:v>6</c:v>
                </c:pt>
                <c:pt idx="1">
                  <c:v>6</c:v>
                </c:pt>
                <c:pt idx="2">
                  <c:v>6</c:v>
                </c:pt>
                <c:pt idx="3">
                  <c:v>6</c:v>
                </c:pt>
                <c:pt idx="4">
                  <c:v>8</c:v>
                </c:pt>
                <c:pt idx="5">
                  <c:v>8</c:v>
                </c:pt>
                <c:pt idx="6">
                  <c:v>8</c:v>
                </c:pt>
                <c:pt idx="7">
                  <c:v>8</c:v>
                </c:pt>
                <c:pt idx="8">
                  <c:v>9</c:v>
                </c:pt>
                <c:pt idx="9">
                  <c:v>8</c:v>
                </c:pt>
                <c:pt idx="10">
                  <c:v>8</c:v>
                </c:pt>
                <c:pt idx="11">
                  <c:v>8</c:v>
                </c:pt>
                <c:pt idx="12">
                  <c:v>7</c:v>
                </c:pt>
                <c:pt idx="13">
                  <c:v>7</c:v>
                </c:pt>
                <c:pt idx="14">
                  <c:v>8</c:v>
                </c:pt>
                <c:pt idx="15" formatCode="0_);[Red]\(0\)">
                  <c:v>10</c:v>
                </c:pt>
              </c:numCache>
            </c:numRef>
          </c:val>
          <c:smooth val="0"/>
          <c:extLst>
            <c:ext xmlns:c16="http://schemas.microsoft.com/office/drawing/2014/chart" uri="{C3380CC4-5D6E-409C-BE32-E72D297353CC}">
              <c16:uniqueId val="{00000009-F7F7-48B6-9C02-86ABD9782F54}"/>
            </c:ext>
          </c:extLst>
        </c:ser>
        <c:ser>
          <c:idx val="10"/>
          <c:order val="10"/>
          <c:tx>
            <c:strRef>
              <c:f>順位経年!$D$14</c:f>
              <c:strCache>
                <c:ptCount val="1"/>
                <c:pt idx="0">
                  <c:v>コペンハーゲン</c:v>
                </c:pt>
              </c:strCache>
            </c:strRef>
          </c:tx>
          <c:spPr>
            <a:ln w="28575" cap="rnd">
              <a:solidFill>
                <a:schemeClr val="accent5">
                  <a:lumMod val="6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順位経年!$E$14:$T$14</c:f>
              <c:numCache>
                <c:formatCode>General</c:formatCode>
                <c:ptCount val="16"/>
                <c:pt idx="0">
                  <c:v>18</c:v>
                </c:pt>
                <c:pt idx="1">
                  <c:v>17</c:v>
                </c:pt>
                <c:pt idx="2">
                  <c:v>17</c:v>
                </c:pt>
                <c:pt idx="3">
                  <c:v>19</c:v>
                </c:pt>
                <c:pt idx="4">
                  <c:v>20</c:v>
                </c:pt>
                <c:pt idx="5">
                  <c:v>20</c:v>
                </c:pt>
                <c:pt idx="6">
                  <c:v>18</c:v>
                </c:pt>
                <c:pt idx="7">
                  <c:v>19</c:v>
                </c:pt>
                <c:pt idx="8">
                  <c:v>19</c:v>
                </c:pt>
                <c:pt idx="9">
                  <c:v>20</c:v>
                </c:pt>
                <c:pt idx="10">
                  <c:v>18</c:v>
                </c:pt>
                <c:pt idx="11">
                  <c:v>20</c:v>
                </c:pt>
                <c:pt idx="12">
                  <c:v>19</c:v>
                </c:pt>
                <c:pt idx="13">
                  <c:v>15</c:v>
                </c:pt>
                <c:pt idx="14">
                  <c:v>14</c:v>
                </c:pt>
                <c:pt idx="15" formatCode="0_);[Red]\(0\)">
                  <c:v>11</c:v>
                </c:pt>
              </c:numCache>
            </c:numRef>
          </c:val>
          <c:smooth val="0"/>
          <c:extLst>
            <c:ext xmlns:c16="http://schemas.microsoft.com/office/drawing/2014/chart" uri="{C3380CC4-5D6E-409C-BE32-E72D297353CC}">
              <c16:uniqueId val="{0000000A-F7F7-48B6-9C02-86ABD9782F54}"/>
            </c:ext>
          </c:extLst>
        </c:ser>
        <c:ser>
          <c:idx val="11"/>
          <c:order val="11"/>
          <c:tx>
            <c:strRef>
              <c:f>順位経年!$D$15</c:f>
              <c:strCache>
                <c:ptCount val="1"/>
                <c:pt idx="0">
                  <c:v>シドニー</c:v>
                </c:pt>
              </c:strCache>
            </c:strRef>
          </c:tx>
          <c:spPr>
            <a:ln w="28575" cap="rnd">
              <a:solidFill>
                <a:schemeClr val="accent6">
                  <a:lumMod val="6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順位経年!$E$15:$T$15</c:f>
              <c:numCache>
                <c:formatCode>General</c:formatCode>
                <c:ptCount val="16"/>
                <c:pt idx="0">
                  <c:v>12</c:v>
                </c:pt>
                <c:pt idx="1">
                  <c:v>14</c:v>
                </c:pt>
                <c:pt idx="2">
                  <c:v>10</c:v>
                </c:pt>
                <c:pt idx="3">
                  <c:v>11</c:v>
                </c:pt>
                <c:pt idx="4">
                  <c:v>15</c:v>
                </c:pt>
                <c:pt idx="5">
                  <c:v>13</c:v>
                </c:pt>
                <c:pt idx="6">
                  <c:v>13</c:v>
                </c:pt>
                <c:pt idx="7">
                  <c:v>12</c:v>
                </c:pt>
                <c:pt idx="8">
                  <c:v>14</c:v>
                </c:pt>
                <c:pt idx="9">
                  <c:v>10</c:v>
                </c:pt>
                <c:pt idx="10">
                  <c:v>10</c:v>
                </c:pt>
                <c:pt idx="11">
                  <c:v>10</c:v>
                </c:pt>
                <c:pt idx="12">
                  <c:v>11</c:v>
                </c:pt>
                <c:pt idx="13">
                  <c:v>12</c:v>
                </c:pt>
                <c:pt idx="14">
                  <c:v>13</c:v>
                </c:pt>
                <c:pt idx="15" formatCode="0_);[Red]\(0\)">
                  <c:v>12</c:v>
                </c:pt>
              </c:numCache>
            </c:numRef>
          </c:val>
          <c:smooth val="0"/>
          <c:extLst>
            <c:ext xmlns:c16="http://schemas.microsoft.com/office/drawing/2014/chart" uri="{C3380CC4-5D6E-409C-BE32-E72D297353CC}">
              <c16:uniqueId val="{0000000B-F7F7-48B6-9C02-86ABD9782F54}"/>
            </c:ext>
          </c:extLst>
        </c:ser>
        <c:ser>
          <c:idx val="12"/>
          <c:order val="12"/>
          <c:tx>
            <c:strRef>
              <c:f>順位経年!$D$16</c:f>
              <c:strCache>
                <c:ptCount val="1"/>
                <c:pt idx="0">
                  <c:v>ウィーン</c:v>
                </c:pt>
              </c:strCache>
            </c:strRef>
          </c:tx>
          <c:spPr>
            <a:ln w="28575" cap="rnd">
              <a:solidFill>
                <a:schemeClr val="accent1">
                  <a:lumMod val="80000"/>
                  <a:lumOff val="2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順位経年!$E$16:$T$16</c:f>
              <c:numCache>
                <c:formatCode>General</c:formatCode>
                <c:ptCount val="16"/>
                <c:pt idx="0">
                  <c:v>5</c:v>
                </c:pt>
                <c:pt idx="1">
                  <c:v>7</c:v>
                </c:pt>
                <c:pt idx="2">
                  <c:v>11</c:v>
                </c:pt>
                <c:pt idx="3">
                  <c:v>12</c:v>
                </c:pt>
                <c:pt idx="4">
                  <c:v>10</c:v>
                </c:pt>
                <c:pt idx="5">
                  <c:v>9</c:v>
                </c:pt>
                <c:pt idx="6">
                  <c:v>10</c:v>
                </c:pt>
                <c:pt idx="7">
                  <c:v>10</c:v>
                </c:pt>
                <c:pt idx="8">
                  <c:v>10</c:v>
                </c:pt>
                <c:pt idx="9">
                  <c:v>14</c:v>
                </c:pt>
                <c:pt idx="10">
                  <c:v>17</c:v>
                </c:pt>
                <c:pt idx="11">
                  <c:v>21</c:v>
                </c:pt>
                <c:pt idx="12">
                  <c:v>16</c:v>
                </c:pt>
                <c:pt idx="13">
                  <c:v>19</c:v>
                </c:pt>
                <c:pt idx="14">
                  <c:v>15</c:v>
                </c:pt>
                <c:pt idx="15" formatCode="0_);[Red]\(0\)">
                  <c:v>13</c:v>
                </c:pt>
              </c:numCache>
            </c:numRef>
          </c:val>
          <c:smooth val="0"/>
          <c:extLst>
            <c:ext xmlns:c16="http://schemas.microsoft.com/office/drawing/2014/chart" uri="{C3380CC4-5D6E-409C-BE32-E72D297353CC}">
              <c16:uniqueId val="{0000000C-F7F7-48B6-9C02-86ABD9782F54}"/>
            </c:ext>
          </c:extLst>
        </c:ser>
        <c:ser>
          <c:idx val="13"/>
          <c:order val="13"/>
          <c:tx>
            <c:strRef>
              <c:f>順位経年!$D$17</c:f>
              <c:strCache>
                <c:ptCount val="1"/>
                <c:pt idx="0">
                  <c:v>マドリード</c:v>
                </c:pt>
              </c:strCache>
            </c:strRef>
          </c:tx>
          <c:spPr>
            <a:ln w="28575" cap="rnd">
              <a:solidFill>
                <a:schemeClr val="accent2">
                  <a:lumMod val="80000"/>
                  <a:lumOff val="2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順位経年!$E$17:$T$17</c:f>
              <c:numCache>
                <c:formatCode>General</c:formatCode>
                <c:ptCount val="16"/>
                <c:pt idx="0">
                  <c:v>19</c:v>
                </c:pt>
                <c:pt idx="1">
                  <c:v>11</c:v>
                </c:pt>
                <c:pt idx="2">
                  <c:v>15</c:v>
                </c:pt>
                <c:pt idx="3">
                  <c:v>20</c:v>
                </c:pt>
                <c:pt idx="4">
                  <c:v>22</c:v>
                </c:pt>
                <c:pt idx="5">
                  <c:v>17</c:v>
                </c:pt>
                <c:pt idx="6">
                  <c:v>19</c:v>
                </c:pt>
                <c:pt idx="7">
                  <c:v>22</c:v>
                </c:pt>
                <c:pt idx="8">
                  <c:v>26</c:v>
                </c:pt>
                <c:pt idx="9">
                  <c:v>27</c:v>
                </c:pt>
                <c:pt idx="10">
                  <c:v>22</c:v>
                </c:pt>
                <c:pt idx="11">
                  <c:v>13</c:v>
                </c:pt>
                <c:pt idx="12">
                  <c:v>13</c:v>
                </c:pt>
                <c:pt idx="13">
                  <c:v>9</c:v>
                </c:pt>
                <c:pt idx="14">
                  <c:v>12</c:v>
                </c:pt>
                <c:pt idx="15" formatCode="0_);[Red]\(0\)">
                  <c:v>14</c:v>
                </c:pt>
              </c:numCache>
            </c:numRef>
          </c:val>
          <c:smooth val="0"/>
          <c:extLst>
            <c:ext xmlns:c16="http://schemas.microsoft.com/office/drawing/2014/chart" uri="{C3380CC4-5D6E-409C-BE32-E72D297353CC}">
              <c16:uniqueId val="{0000000D-F7F7-48B6-9C02-86ABD9782F54}"/>
            </c:ext>
          </c:extLst>
        </c:ser>
        <c:ser>
          <c:idx val="14"/>
          <c:order val="14"/>
          <c:tx>
            <c:strRef>
              <c:f>順位経年!$D$18</c:f>
              <c:strCache>
                <c:ptCount val="1"/>
                <c:pt idx="0">
                  <c:v>上海</c:v>
                </c:pt>
              </c:strCache>
            </c:strRef>
          </c:tx>
          <c:spPr>
            <a:ln w="28575" cap="rnd">
              <a:solidFill>
                <a:schemeClr val="accent3">
                  <a:lumMod val="80000"/>
                  <a:lumOff val="2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順位経年!$E$18:$T$18</c:f>
              <c:numCache>
                <c:formatCode>General</c:formatCode>
                <c:ptCount val="16"/>
                <c:pt idx="0">
                  <c:v>25</c:v>
                </c:pt>
                <c:pt idx="1">
                  <c:v>21</c:v>
                </c:pt>
                <c:pt idx="2">
                  <c:v>26</c:v>
                </c:pt>
                <c:pt idx="3">
                  <c:v>23</c:v>
                </c:pt>
                <c:pt idx="4">
                  <c:v>14</c:v>
                </c:pt>
                <c:pt idx="5">
                  <c:v>12</c:v>
                </c:pt>
                <c:pt idx="6">
                  <c:v>15</c:v>
                </c:pt>
                <c:pt idx="7">
                  <c:v>17</c:v>
                </c:pt>
                <c:pt idx="8">
                  <c:v>12</c:v>
                </c:pt>
                <c:pt idx="9">
                  <c:v>15</c:v>
                </c:pt>
                <c:pt idx="10">
                  <c:v>26</c:v>
                </c:pt>
                <c:pt idx="11">
                  <c:v>30</c:v>
                </c:pt>
                <c:pt idx="12">
                  <c:v>10</c:v>
                </c:pt>
                <c:pt idx="13">
                  <c:v>10</c:v>
                </c:pt>
                <c:pt idx="14">
                  <c:v>10</c:v>
                </c:pt>
                <c:pt idx="15" formatCode="0_);[Red]\(0\)">
                  <c:v>15</c:v>
                </c:pt>
              </c:numCache>
            </c:numRef>
          </c:val>
          <c:smooth val="0"/>
          <c:extLst>
            <c:ext xmlns:c16="http://schemas.microsoft.com/office/drawing/2014/chart" uri="{C3380CC4-5D6E-409C-BE32-E72D297353CC}">
              <c16:uniqueId val="{0000000E-F7F7-48B6-9C02-86ABD9782F54}"/>
            </c:ext>
          </c:extLst>
        </c:ser>
        <c:ser>
          <c:idx val="15"/>
          <c:order val="15"/>
          <c:tx>
            <c:strRef>
              <c:f>順位経年!$D$19</c:f>
              <c:strCache>
                <c:ptCount val="1"/>
                <c:pt idx="0">
                  <c:v>ストックホルム</c:v>
                </c:pt>
              </c:strCache>
            </c:strRef>
          </c:tx>
          <c:spPr>
            <a:ln w="28575" cap="rnd">
              <a:solidFill>
                <a:schemeClr val="accent4">
                  <a:lumMod val="80000"/>
                  <a:lumOff val="2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順位経年!$E$19:$T$19</c:f>
              <c:numCache>
                <c:formatCode>General</c:formatCode>
                <c:ptCount val="16"/>
                <c:pt idx="1">
                  <c:v>0</c:v>
                </c:pt>
                <c:pt idx="4">
                  <c:v>16</c:v>
                </c:pt>
                <c:pt idx="5">
                  <c:v>16</c:v>
                </c:pt>
                <c:pt idx="6">
                  <c:v>16</c:v>
                </c:pt>
                <c:pt idx="7">
                  <c:v>15</c:v>
                </c:pt>
                <c:pt idx="8">
                  <c:v>15</c:v>
                </c:pt>
                <c:pt idx="9">
                  <c:v>16</c:v>
                </c:pt>
                <c:pt idx="10">
                  <c:v>11</c:v>
                </c:pt>
                <c:pt idx="11">
                  <c:v>14</c:v>
                </c:pt>
                <c:pt idx="12">
                  <c:v>22</c:v>
                </c:pt>
                <c:pt idx="13">
                  <c:v>22</c:v>
                </c:pt>
                <c:pt idx="14">
                  <c:v>19</c:v>
                </c:pt>
                <c:pt idx="15" formatCode="0_);[Red]\(0\)">
                  <c:v>16</c:v>
                </c:pt>
              </c:numCache>
            </c:numRef>
          </c:val>
          <c:smooth val="0"/>
          <c:extLst>
            <c:ext xmlns:c16="http://schemas.microsoft.com/office/drawing/2014/chart" uri="{C3380CC4-5D6E-409C-BE32-E72D297353CC}">
              <c16:uniqueId val="{0000000F-F7F7-48B6-9C02-86ABD9782F54}"/>
            </c:ext>
          </c:extLst>
        </c:ser>
        <c:ser>
          <c:idx val="16"/>
          <c:order val="16"/>
          <c:tx>
            <c:strRef>
              <c:f>順位経年!$D$20</c:f>
              <c:strCache>
                <c:ptCount val="1"/>
                <c:pt idx="0">
                  <c:v>北京</c:v>
                </c:pt>
              </c:strCache>
            </c:strRef>
          </c:tx>
          <c:spPr>
            <a:ln w="28575" cap="rnd">
              <a:solidFill>
                <a:schemeClr val="accent5">
                  <a:lumMod val="80000"/>
                  <a:lumOff val="2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順位経年!$E$20:$T$20</c:f>
              <c:numCache>
                <c:formatCode>General</c:formatCode>
                <c:ptCount val="16"/>
                <c:pt idx="0">
                  <c:v>28</c:v>
                </c:pt>
                <c:pt idx="1">
                  <c:v>26</c:v>
                </c:pt>
                <c:pt idx="2">
                  <c:v>24</c:v>
                </c:pt>
                <c:pt idx="3">
                  <c:v>18</c:v>
                </c:pt>
                <c:pt idx="4">
                  <c:v>11</c:v>
                </c:pt>
                <c:pt idx="5">
                  <c:v>14</c:v>
                </c:pt>
                <c:pt idx="6">
                  <c:v>14</c:v>
                </c:pt>
                <c:pt idx="7">
                  <c:v>18</c:v>
                </c:pt>
                <c:pt idx="8">
                  <c:v>17</c:v>
                </c:pt>
                <c:pt idx="9">
                  <c:v>13</c:v>
                </c:pt>
                <c:pt idx="10">
                  <c:v>23</c:v>
                </c:pt>
                <c:pt idx="11">
                  <c:v>24</c:v>
                </c:pt>
                <c:pt idx="12">
                  <c:v>15</c:v>
                </c:pt>
                <c:pt idx="13">
                  <c:v>17</c:v>
                </c:pt>
                <c:pt idx="14">
                  <c:v>17</c:v>
                </c:pt>
                <c:pt idx="15" formatCode="0_);[Red]\(0\)">
                  <c:v>17</c:v>
                </c:pt>
              </c:numCache>
            </c:numRef>
          </c:val>
          <c:smooth val="0"/>
          <c:extLst>
            <c:ext xmlns:c16="http://schemas.microsoft.com/office/drawing/2014/chart" uri="{C3380CC4-5D6E-409C-BE32-E72D297353CC}">
              <c16:uniqueId val="{00000010-F7F7-48B6-9C02-86ABD9782F54}"/>
            </c:ext>
          </c:extLst>
        </c:ser>
        <c:ser>
          <c:idx val="17"/>
          <c:order val="17"/>
          <c:tx>
            <c:strRef>
              <c:f>順位経年!$D$21</c:f>
              <c:strCache>
                <c:ptCount val="1"/>
                <c:pt idx="0">
                  <c:v>香港</c:v>
                </c:pt>
              </c:strCache>
            </c:strRef>
          </c:tx>
          <c:spPr>
            <a:ln w="28575" cap="rnd">
              <a:solidFill>
                <a:schemeClr val="accent6">
                  <a:lumMod val="80000"/>
                  <a:lumOff val="2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順位経年!$E$21:$T$21</c:f>
              <c:numCache>
                <c:formatCode>General</c:formatCode>
                <c:ptCount val="16"/>
                <c:pt idx="0">
                  <c:v>17</c:v>
                </c:pt>
                <c:pt idx="1">
                  <c:v>10</c:v>
                </c:pt>
                <c:pt idx="2">
                  <c:v>9</c:v>
                </c:pt>
                <c:pt idx="3">
                  <c:v>8</c:v>
                </c:pt>
                <c:pt idx="4">
                  <c:v>9</c:v>
                </c:pt>
                <c:pt idx="5">
                  <c:v>11</c:v>
                </c:pt>
                <c:pt idx="6">
                  <c:v>9</c:v>
                </c:pt>
                <c:pt idx="7">
                  <c:v>7</c:v>
                </c:pt>
                <c:pt idx="8">
                  <c:v>7</c:v>
                </c:pt>
                <c:pt idx="9">
                  <c:v>9</c:v>
                </c:pt>
                <c:pt idx="10">
                  <c:v>9</c:v>
                </c:pt>
                <c:pt idx="11">
                  <c:v>9</c:v>
                </c:pt>
                <c:pt idx="12">
                  <c:v>9</c:v>
                </c:pt>
                <c:pt idx="13">
                  <c:v>13</c:v>
                </c:pt>
                <c:pt idx="14">
                  <c:v>23</c:v>
                </c:pt>
                <c:pt idx="15" formatCode="0_);[Red]\(0\)">
                  <c:v>18</c:v>
                </c:pt>
              </c:numCache>
            </c:numRef>
          </c:val>
          <c:smooth val="0"/>
          <c:extLst>
            <c:ext xmlns:c16="http://schemas.microsoft.com/office/drawing/2014/chart" uri="{C3380CC4-5D6E-409C-BE32-E72D297353CC}">
              <c16:uniqueId val="{00000011-F7F7-48B6-9C02-86ABD9782F54}"/>
            </c:ext>
          </c:extLst>
        </c:ser>
        <c:ser>
          <c:idx val="18"/>
          <c:order val="18"/>
          <c:tx>
            <c:strRef>
              <c:f>順位経年!$D$22</c:f>
              <c:strCache>
                <c:ptCount val="1"/>
                <c:pt idx="0">
                  <c:v>チューリッヒ</c:v>
                </c:pt>
              </c:strCache>
            </c:strRef>
          </c:tx>
          <c:spPr>
            <a:ln w="28575" cap="rnd">
              <a:solidFill>
                <a:schemeClr val="accent1">
                  <a:lumMod val="8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順位経年!$E$22:$T$22</c:f>
              <c:numCache>
                <c:formatCode>General</c:formatCode>
                <c:ptCount val="16"/>
                <c:pt idx="0">
                  <c:v>15</c:v>
                </c:pt>
                <c:pt idx="1">
                  <c:v>9</c:v>
                </c:pt>
                <c:pt idx="2">
                  <c:v>12</c:v>
                </c:pt>
                <c:pt idx="3">
                  <c:v>14</c:v>
                </c:pt>
                <c:pt idx="4">
                  <c:v>18</c:v>
                </c:pt>
                <c:pt idx="5">
                  <c:v>15</c:v>
                </c:pt>
                <c:pt idx="6">
                  <c:v>12</c:v>
                </c:pt>
                <c:pt idx="7">
                  <c:v>13</c:v>
                </c:pt>
                <c:pt idx="8">
                  <c:v>16</c:v>
                </c:pt>
                <c:pt idx="9">
                  <c:v>18</c:v>
                </c:pt>
                <c:pt idx="10">
                  <c:v>16</c:v>
                </c:pt>
                <c:pt idx="11">
                  <c:v>15</c:v>
                </c:pt>
                <c:pt idx="12">
                  <c:v>20</c:v>
                </c:pt>
                <c:pt idx="13">
                  <c:v>21</c:v>
                </c:pt>
                <c:pt idx="14">
                  <c:v>18</c:v>
                </c:pt>
                <c:pt idx="15" formatCode="0_);[Red]\(0\)">
                  <c:v>19</c:v>
                </c:pt>
              </c:numCache>
            </c:numRef>
          </c:val>
          <c:smooth val="0"/>
          <c:extLst>
            <c:ext xmlns:c16="http://schemas.microsoft.com/office/drawing/2014/chart" uri="{C3380CC4-5D6E-409C-BE32-E72D297353CC}">
              <c16:uniqueId val="{00000012-F7F7-48B6-9C02-86ABD9782F54}"/>
            </c:ext>
          </c:extLst>
        </c:ser>
        <c:ser>
          <c:idx val="19"/>
          <c:order val="19"/>
          <c:tx>
            <c:strRef>
              <c:f>順位経年!$D$23</c:f>
              <c:strCache>
                <c:ptCount val="1"/>
                <c:pt idx="0">
                  <c:v>フランクフルト</c:v>
                </c:pt>
              </c:strCache>
            </c:strRef>
          </c:tx>
          <c:spPr>
            <a:ln w="28575" cap="rnd">
              <a:solidFill>
                <a:schemeClr val="accent2">
                  <a:lumMod val="8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順位経年!$E$23:$T$23</c:f>
              <c:numCache>
                <c:formatCode>General</c:formatCode>
                <c:ptCount val="16"/>
                <c:pt idx="0">
                  <c:v>16</c:v>
                </c:pt>
                <c:pt idx="1">
                  <c:v>16</c:v>
                </c:pt>
                <c:pt idx="2">
                  <c:v>13</c:v>
                </c:pt>
                <c:pt idx="3">
                  <c:v>10</c:v>
                </c:pt>
                <c:pt idx="4">
                  <c:v>12</c:v>
                </c:pt>
                <c:pt idx="5">
                  <c:v>10</c:v>
                </c:pt>
                <c:pt idx="6">
                  <c:v>11</c:v>
                </c:pt>
                <c:pt idx="7">
                  <c:v>11</c:v>
                </c:pt>
                <c:pt idx="8">
                  <c:v>11</c:v>
                </c:pt>
                <c:pt idx="9">
                  <c:v>12</c:v>
                </c:pt>
                <c:pt idx="10">
                  <c:v>15</c:v>
                </c:pt>
                <c:pt idx="11">
                  <c:v>17</c:v>
                </c:pt>
                <c:pt idx="12">
                  <c:v>23</c:v>
                </c:pt>
                <c:pt idx="13">
                  <c:v>25</c:v>
                </c:pt>
                <c:pt idx="14">
                  <c:v>21</c:v>
                </c:pt>
                <c:pt idx="15" formatCode="0_);[Red]\(0\)">
                  <c:v>20</c:v>
                </c:pt>
              </c:numCache>
            </c:numRef>
          </c:val>
          <c:smooth val="0"/>
          <c:extLst>
            <c:ext xmlns:c16="http://schemas.microsoft.com/office/drawing/2014/chart" uri="{C3380CC4-5D6E-409C-BE32-E72D297353CC}">
              <c16:uniqueId val="{00000013-F7F7-48B6-9C02-86ABD9782F54}"/>
            </c:ext>
          </c:extLst>
        </c:ser>
        <c:ser>
          <c:idx val="20"/>
          <c:order val="20"/>
          <c:tx>
            <c:strRef>
              <c:f>順位経年!$D$24</c:f>
              <c:strCache>
                <c:ptCount val="1"/>
                <c:pt idx="0">
                  <c:v>ロサンゼルス</c:v>
                </c:pt>
              </c:strCache>
            </c:strRef>
          </c:tx>
          <c:spPr>
            <a:ln w="28575" cap="rnd">
              <a:solidFill>
                <a:schemeClr val="accent3">
                  <a:lumMod val="8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順位経年!$E$24:$T$24</c:f>
              <c:numCache>
                <c:formatCode>General</c:formatCode>
                <c:ptCount val="16"/>
                <c:pt idx="0">
                  <c:v>9</c:v>
                </c:pt>
                <c:pt idx="1">
                  <c:v>13</c:v>
                </c:pt>
                <c:pt idx="2">
                  <c:v>14</c:v>
                </c:pt>
                <c:pt idx="3">
                  <c:v>13</c:v>
                </c:pt>
                <c:pt idx="4">
                  <c:v>23</c:v>
                </c:pt>
                <c:pt idx="5">
                  <c:v>22</c:v>
                </c:pt>
                <c:pt idx="6">
                  <c:v>20</c:v>
                </c:pt>
                <c:pt idx="7">
                  <c:v>14</c:v>
                </c:pt>
                <c:pt idx="8">
                  <c:v>13</c:v>
                </c:pt>
                <c:pt idx="9">
                  <c:v>11</c:v>
                </c:pt>
                <c:pt idx="10">
                  <c:v>12</c:v>
                </c:pt>
                <c:pt idx="11">
                  <c:v>12</c:v>
                </c:pt>
                <c:pt idx="12">
                  <c:v>12</c:v>
                </c:pt>
                <c:pt idx="13">
                  <c:v>16</c:v>
                </c:pt>
                <c:pt idx="14">
                  <c:v>16</c:v>
                </c:pt>
                <c:pt idx="15" formatCode="0_);[Red]\(0\)">
                  <c:v>21</c:v>
                </c:pt>
              </c:numCache>
            </c:numRef>
          </c:val>
          <c:smooth val="0"/>
          <c:extLst>
            <c:ext xmlns:c16="http://schemas.microsoft.com/office/drawing/2014/chart" uri="{C3380CC4-5D6E-409C-BE32-E72D297353CC}">
              <c16:uniqueId val="{00000014-F7F7-48B6-9C02-86ABD9782F54}"/>
            </c:ext>
          </c:extLst>
        </c:ser>
        <c:ser>
          <c:idx val="21"/>
          <c:order val="21"/>
          <c:tx>
            <c:strRef>
              <c:f>順位経年!$D$25</c:f>
              <c:strCache>
                <c:ptCount val="1"/>
                <c:pt idx="0">
                  <c:v>バルセロナ</c:v>
                </c:pt>
              </c:strCache>
            </c:strRef>
          </c:tx>
          <c:spPr>
            <a:ln w="28575" cap="rnd">
              <a:solidFill>
                <a:schemeClr val="accent4">
                  <a:lumMod val="8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順位経年!$E$25:$T$25</c:f>
              <c:numCache>
                <c:formatCode>General</c:formatCode>
                <c:ptCount val="16"/>
                <c:pt idx="1">
                  <c:v>0</c:v>
                </c:pt>
                <c:pt idx="4">
                  <c:v>13</c:v>
                </c:pt>
                <c:pt idx="5">
                  <c:v>19</c:v>
                </c:pt>
                <c:pt idx="6">
                  <c:v>27</c:v>
                </c:pt>
                <c:pt idx="7">
                  <c:v>26</c:v>
                </c:pt>
                <c:pt idx="8">
                  <c:v>20</c:v>
                </c:pt>
                <c:pt idx="9">
                  <c:v>24</c:v>
                </c:pt>
                <c:pt idx="10">
                  <c:v>24</c:v>
                </c:pt>
                <c:pt idx="11">
                  <c:v>22</c:v>
                </c:pt>
                <c:pt idx="12">
                  <c:v>21</c:v>
                </c:pt>
                <c:pt idx="13">
                  <c:v>18</c:v>
                </c:pt>
                <c:pt idx="14">
                  <c:v>20</c:v>
                </c:pt>
                <c:pt idx="15" formatCode="0_);[Red]\(0\)">
                  <c:v>22</c:v>
                </c:pt>
              </c:numCache>
            </c:numRef>
          </c:val>
          <c:smooth val="0"/>
          <c:extLst>
            <c:ext xmlns:c16="http://schemas.microsoft.com/office/drawing/2014/chart" uri="{C3380CC4-5D6E-409C-BE32-E72D297353CC}">
              <c16:uniqueId val="{00000015-F7F7-48B6-9C02-86ABD9782F54}"/>
            </c:ext>
          </c:extLst>
        </c:ser>
        <c:ser>
          <c:idx val="22"/>
          <c:order val="22"/>
          <c:tx>
            <c:strRef>
              <c:f>順位経年!$D$26</c:f>
              <c:strCache>
                <c:ptCount val="1"/>
                <c:pt idx="0">
                  <c:v>トロント</c:v>
                </c:pt>
              </c:strCache>
            </c:strRef>
          </c:tx>
          <c:spPr>
            <a:ln w="28575" cap="rnd">
              <a:solidFill>
                <a:schemeClr val="accent5">
                  <a:lumMod val="8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順位経年!$E$26:$T$26</c:f>
              <c:numCache>
                <c:formatCode>General</c:formatCode>
                <c:ptCount val="16"/>
                <c:pt idx="0">
                  <c:v>10</c:v>
                </c:pt>
                <c:pt idx="1">
                  <c:v>15</c:v>
                </c:pt>
                <c:pt idx="2">
                  <c:v>23</c:v>
                </c:pt>
                <c:pt idx="3">
                  <c:v>25</c:v>
                </c:pt>
                <c:pt idx="4">
                  <c:v>21</c:v>
                </c:pt>
                <c:pt idx="5">
                  <c:v>18</c:v>
                </c:pt>
                <c:pt idx="6">
                  <c:v>17</c:v>
                </c:pt>
                <c:pt idx="7">
                  <c:v>16</c:v>
                </c:pt>
                <c:pt idx="8">
                  <c:v>18</c:v>
                </c:pt>
                <c:pt idx="9">
                  <c:v>19</c:v>
                </c:pt>
                <c:pt idx="10">
                  <c:v>14</c:v>
                </c:pt>
                <c:pt idx="11">
                  <c:v>16</c:v>
                </c:pt>
                <c:pt idx="12">
                  <c:v>18</c:v>
                </c:pt>
                <c:pt idx="13">
                  <c:v>20</c:v>
                </c:pt>
                <c:pt idx="14">
                  <c:v>22</c:v>
                </c:pt>
                <c:pt idx="15" formatCode="0_);[Red]\(0\)">
                  <c:v>23</c:v>
                </c:pt>
              </c:numCache>
            </c:numRef>
          </c:val>
          <c:smooth val="0"/>
          <c:extLst>
            <c:ext xmlns:c16="http://schemas.microsoft.com/office/drawing/2014/chart" uri="{C3380CC4-5D6E-409C-BE32-E72D297353CC}">
              <c16:uniqueId val="{00000016-F7F7-48B6-9C02-86ABD9782F54}"/>
            </c:ext>
          </c:extLst>
        </c:ser>
        <c:ser>
          <c:idx val="23"/>
          <c:order val="23"/>
          <c:tx>
            <c:strRef>
              <c:f>順位経年!$D$27</c:f>
              <c:strCache>
                <c:ptCount val="1"/>
                <c:pt idx="0">
                  <c:v>ブリュッセル</c:v>
                </c:pt>
              </c:strCache>
            </c:strRef>
          </c:tx>
          <c:spPr>
            <a:ln w="28575" cap="rnd">
              <a:solidFill>
                <a:schemeClr val="accent6">
                  <a:lumMod val="8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順位経年!$E$27:$T$27</c:f>
              <c:numCache>
                <c:formatCode>General</c:formatCode>
                <c:ptCount val="16"/>
                <c:pt idx="0">
                  <c:v>21</c:v>
                </c:pt>
                <c:pt idx="1">
                  <c:v>18</c:v>
                </c:pt>
                <c:pt idx="2">
                  <c:v>21</c:v>
                </c:pt>
                <c:pt idx="3">
                  <c:v>24</c:v>
                </c:pt>
                <c:pt idx="4">
                  <c:v>19</c:v>
                </c:pt>
                <c:pt idx="5">
                  <c:v>21</c:v>
                </c:pt>
                <c:pt idx="6">
                  <c:v>23</c:v>
                </c:pt>
                <c:pt idx="7">
                  <c:v>25</c:v>
                </c:pt>
                <c:pt idx="8">
                  <c:v>23</c:v>
                </c:pt>
                <c:pt idx="9">
                  <c:v>21</c:v>
                </c:pt>
                <c:pt idx="10">
                  <c:v>25</c:v>
                </c:pt>
                <c:pt idx="11">
                  <c:v>27</c:v>
                </c:pt>
                <c:pt idx="12">
                  <c:v>28</c:v>
                </c:pt>
                <c:pt idx="13">
                  <c:v>24</c:v>
                </c:pt>
                <c:pt idx="14">
                  <c:v>26</c:v>
                </c:pt>
                <c:pt idx="15" formatCode="0_);[Red]\(0\)">
                  <c:v>24</c:v>
                </c:pt>
              </c:numCache>
            </c:numRef>
          </c:val>
          <c:smooth val="0"/>
          <c:extLst>
            <c:ext xmlns:c16="http://schemas.microsoft.com/office/drawing/2014/chart" uri="{C3380CC4-5D6E-409C-BE32-E72D297353CC}">
              <c16:uniqueId val="{00000017-F7F7-48B6-9C02-86ABD9782F54}"/>
            </c:ext>
          </c:extLst>
        </c:ser>
        <c:ser>
          <c:idx val="24"/>
          <c:order val="24"/>
          <c:tx>
            <c:strRef>
              <c:f>順位経年!$D$28</c:f>
              <c:strCache>
                <c:ptCount val="1"/>
                <c:pt idx="0">
                  <c:v>シカゴ</c:v>
                </c:pt>
              </c:strCache>
            </c:strRef>
          </c:tx>
          <c:spPr>
            <a:ln w="28575" cap="rnd">
              <a:solidFill>
                <a:schemeClr val="accent1">
                  <a:lumMod val="60000"/>
                  <a:lumOff val="4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順位経年!$E$28:$T$28</c:f>
              <c:numCache>
                <c:formatCode>General</c:formatCode>
                <c:ptCount val="16"/>
                <c:pt idx="0">
                  <c:v>14</c:v>
                </c:pt>
                <c:pt idx="1">
                  <c:v>22</c:v>
                </c:pt>
                <c:pt idx="2">
                  <c:v>25</c:v>
                </c:pt>
                <c:pt idx="3">
                  <c:v>26</c:v>
                </c:pt>
                <c:pt idx="4">
                  <c:v>28</c:v>
                </c:pt>
                <c:pt idx="5">
                  <c:v>29</c:v>
                </c:pt>
                <c:pt idx="6">
                  <c:v>31</c:v>
                </c:pt>
                <c:pt idx="7">
                  <c:v>27</c:v>
                </c:pt>
                <c:pt idx="8">
                  <c:v>25</c:v>
                </c:pt>
                <c:pt idx="9">
                  <c:v>22</c:v>
                </c:pt>
                <c:pt idx="10">
                  <c:v>19</c:v>
                </c:pt>
                <c:pt idx="11">
                  <c:v>26</c:v>
                </c:pt>
                <c:pt idx="12">
                  <c:v>25</c:v>
                </c:pt>
                <c:pt idx="13">
                  <c:v>26</c:v>
                </c:pt>
                <c:pt idx="14">
                  <c:v>25</c:v>
                </c:pt>
                <c:pt idx="15" formatCode="0_);[Red]\(0\)">
                  <c:v>25</c:v>
                </c:pt>
              </c:numCache>
            </c:numRef>
          </c:val>
          <c:smooth val="0"/>
          <c:extLst>
            <c:ext xmlns:c16="http://schemas.microsoft.com/office/drawing/2014/chart" uri="{C3380CC4-5D6E-409C-BE32-E72D297353CC}">
              <c16:uniqueId val="{00000018-F7F7-48B6-9C02-86ABD9782F54}"/>
            </c:ext>
          </c:extLst>
        </c:ser>
        <c:ser>
          <c:idx val="25"/>
          <c:order val="25"/>
          <c:tx>
            <c:strRef>
              <c:f>順位経年!$D$29</c:f>
              <c:strCache>
                <c:ptCount val="1"/>
                <c:pt idx="0">
                  <c:v>ジュネーブ</c:v>
                </c:pt>
              </c:strCache>
            </c:strRef>
          </c:tx>
          <c:spPr>
            <a:ln w="28575" cap="rnd">
              <a:solidFill>
                <a:schemeClr val="accent2">
                  <a:lumMod val="60000"/>
                  <a:lumOff val="4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順位経年!$E$29:$T$29</c:f>
              <c:numCache>
                <c:formatCode>General</c:formatCode>
                <c:ptCount val="16"/>
                <c:pt idx="0">
                  <c:v>22</c:v>
                </c:pt>
                <c:pt idx="1">
                  <c:v>19</c:v>
                </c:pt>
                <c:pt idx="2">
                  <c:v>19</c:v>
                </c:pt>
                <c:pt idx="3">
                  <c:v>17</c:v>
                </c:pt>
                <c:pt idx="4">
                  <c:v>26</c:v>
                </c:pt>
                <c:pt idx="5">
                  <c:v>25</c:v>
                </c:pt>
                <c:pt idx="6">
                  <c:v>28</c:v>
                </c:pt>
                <c:pt idx="7">
                  <c:v>28</c:v>
                </c:pt>
                <c:pt idx="8">
                  <c:v>30</c:v>
                </c:pt>
                <c:pt idx="9">
                  <c:v>34</c:v>
                </c:pt>
                <c:pt idx="10">
                  <c:v>30</c:v>
                </c:pt>
                <c:pt idx="11">
                  <c:v>34</c:v>
                </c:pt>
                <c:pt idx="12">
                  <c:v>29</c:v>
                </c:pt>
                <c:pt idx="13">
                  <c:v>31</c:v>
                </c:pt>
                <c:pt idx="14">
                  <c:v>31</c:v>
                </c:pt>
                <c:pt idx="15" formatCode="0_);[Red]\(0\)">
                  <c:v>26</c:v>
                </c:pt>
              </c:numCache>
            </c:numRef>
          </c:val>
          <c:smooth val="0"/>
          <c:extLst>
            <c:ext xmlns:c16="http://schemas.microsoft.com/office/drawing/2014/chart" uri="{C3380CC4-5D6E-409C-BE32-E72D297353CC}">
              <c16:uniqueId val="{00000019-F7F7-48B6-9C02-86ABD9782F54}"/>
            </c:ext>
          </c:extLst>
        </c:ser>
        <c:ser>
          <c:idx val="26"/>
          <c:order val="26"/>
          <c:tx>
            <c:strRef>
              <c:f>順位経年!$D$30</c:f>
              <c:strCache>
                <c:ptCount val="1"/>
                <c:pt idx="0">
                  <c:v>サンフランシスコ</c:v>
                </c:pt>
              </c:strCache>
            </c:strRef>
          </c:tx>
          <c:spPr>
            <a:ln w="28575" cap="rnd">
              <a:solidFill>
                <a:schemeClr val="accent3">
                  <a:lumMod val="60000"/>
                  <a:lumOff val="4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順位経年!$E$30:$T$30</c:f>
              <c:numCache>
                <c:formatCode>General</c:formatCode>
                <c:ptCount val="16"/>
                <c:pt idx="0">
                  <c:v>20</c:v>
                </c:pt>
                <c:pt idx="1">
                  <c:v>24</c:v>
                </c:pt>
                <c:pt idx="2">
                  <c:v>22</c:v>
                </c:pt>
                <c:pt idx="3">
                  <c:v>21</c:v>
                </c:pt>
                <c:pt idx="4">
                  <c:v>31</c:v>
                </c:pt>
                <c:pt idx="5">
                  <c:v>28</c:v>
                </c:pt>
                <c:pt idx="6">
                  <c:v>32</c:v>
                </c:pt>
                <c:pt idx="7">
                  <c:v>21</c:v>
                </c:pt>
                <c:pt idx="8">
                  <c:v>24</c:v>
                </c:pt>
                <c:pt idx="9">
                  <c:v>17</c:v>
                </c:pt>
                <c:pt idx="10">
                  <c:v>13</c:v>
                </c:pt>
                <c:pt idx="11">
                  <c:v>18</c:v>
                </c:pt>
                <c:pt idx="12">
                  <c:v>24</c:v>
                </c:pt>
                <c:pt idx="13">
                  <c:v>23</c:v>
                </c:pt>
                <c:pt idx="14">
                  <c:v>24</c:v>
                </c:pt>
                <c:pt idx="15" formatCode="0_);[Red]\(0\)">
                  <c:v>27</c:v>
                </c:pt>
              </c:numCache>
            </c:numRef>
          </c:val>
          <c:smooth val="0"/>
          <c:extLst>
            <c:ext xmlns:c16="http://schemas.microsoft.com/office/drawing/2014/chart" uri="{C3380CC4-5D6E-409C-BE32-E72D297353CC}">
              <c16:uniqueId val="{0000001A-F7F7-48B6-9C02-86ABD9782F54}"/>
            </c:ext>
          </c:extLst>
        </c:ser>
        <c:ser>
          <c:idx val="27"/>
          <c:order val="27"/>
          <c:tx>
            <c:strRef>
              <c:f>順位経年!$D$31</c:f>
              <c:strCache>
                <c:ptCount val="1"/>
                <c:pt idx="0">
                  <c:v>ダブリン</c:v>
                </c:pt>
              </c:strCache>
            </c:strRef>
          </c:tx>
          <c:spPr>
            <a:ln w="28575" cap="rnd">
              <a:solidFill>
                <a:schemeClr val="accent4">
                  <a:lumMod val="60000"/>
                  <a:lumOff val="4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順位経年!$E$31:$T$31</c:f>
              <c:numCache>
                <c:formatCode>General</c:formatCode>
                <c:ptCount val="16"/>
                <c:pt idx="1">
                  <c:v>0</c:v>
                </c:pt>
                <c:pt idx="11">
                  <c:v>33</c:v>
                </c:pt>
                <c:pt idx="12">
                  <c:v>31</c:v>
                </c:pt>
                <c:pt idx="13">
                  <c:v>28</c:v>
                </c:pt>
                <c:pt idx="14">
                  <c:v>30</c:v>
                </c:pt>
                <c:pt idx="15" formatCode="0_);[Red]\(0\)">
                  <c:v>28</c:v>
                </c:pt>
              </c:numCache>
            </c:numRef>
          </c:val>
          <c:smooth val="0"/>
          <c:extLst>
            <c:ext xmlns:c16="http://schemas.microsoft.com/office/drawing/2014/chart" uri="{C3380CC4-5D6E-409C-BE32-E72D297353CC}">
              <c16:uniqueId val="{0000001B-F7F7-48B6-9C02-86ABD9782F54}"/>
            </c:ext>
          </c:extLst>
        </c:ser>
        <c:ser>
          <c:idx val="28"/>
          <c:order val="28"/>
          <c:tx>
            <c:strRef>
              <c:f>順位経年!$D$32</c:f>
              <c:strCache>
                <c:ptCount val="1"/>
                <c:pt idx="0">
                  <c:v>ボストン</c:v>
                </c:pt>
              </c:strCache>
            </c:strRef>
          </c:tx>
          <c:spPr>
            <a:ln w="28575" cap="rnd">
              <a:solidFill>
                <a:schemeClr val="accent5">
                  <a:lumMod val="60000"/>
                  <a:lumOff val="4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順位経年!$E$32:$T$32</c:f>
              <c:numCache>
                <c:formatCode>General</c:formatCode>
                <c:ptCount val="16"/>
                <c:pt idx="0">
                  <c:v>8</c:v>
                </c:pt>
                <c:pt idx="1">
                  <c:v>20</c:v>
                </c:pt>
                <c:pt idx="2">
                  <c:v>20</c:v>
                </c:pt>
                <c:pt idx="3">
                  <c:v>16</c:v>
                </c:pt>
                <c:pt idx="4">
                  <c:v>27</c:v>
                </c:pt>
                <c:pt idx="5">
                  <c:v>31</c:v>
                </c:pt>
                <c:pt idx="6">
                  <c:v>30</c:v>
                </c:pt>
                <c:pt idx="7">
                  <c:v>23</c:v>
                </c:pt>
                <c:pt idx="8">
                  <c:v>27</c:v>
                </c:pt>
                <c:pt idx="9">
                  <c:v>25</c:v>
                </c:pt>
                <c:pt idx="10">
                  <c:v>20</c:v>
                </c:pt>
                <c:pt idx="11">
                  <c:v>25</c:v>
                </c:pt>
                <c:pt idx="12">
                  <c:v>27</c:v>
                </c:pt>
                <c:pt idx="13">
                  <c:v>27</c:v>
                </c:pt>
                <c:pt idx="14">
                  <c:v>27</c:v>
                </c:pt>
                <c:pt idx="15" formatCode="0_);[Red]\(0\)">
                  <c:v>29</c:v>
                </c:pt>
              </c:numCache>
            </c:numRef>
          </c:val>
          <c:smooth val="0"/>
          <c:extLst>
            <c:ext xmlns:c16="http://schemas.microsoft.com/office/drawing/2014/chart" uri="{C3380CC4-5D6E-409C-BE32-E72D297353CC}">
              <c16:uniqueId val="{0000001C-F7F7-48B6-9C02-86ABD9782F54}"/>
            </c:ext>
          </c:extLst>
        </c:ser>
        <c:ser>
          <c:idx val="29"/>
          <c:order val="29"/>
          <c:tx>
            <c:strRef>
              <c:f>順位経年!$D$33</c:f>
              <c:strCache>
                <c:ptCount val="1"/>
                <c:pt idx="0">
                  <c:v>イスタンブール</c:v>
                </c:pt>
              </c:strCache>
            </c:strRef>
          </c:tx>
          <c:spPr>
            <a:ln w="28575" cap="rnd">
              <a:solidFill>
                <a:schemeClr val="accent6">
                  <a:lumMod val="60000"/>
                  <a:lumOff val="4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順位経年!$E$33:$T$33</c:f>
              <c:numCache>
                <c:formatCode>General</c:formatCode>
                <c:ptCount val="16"/>
                <c:pt idx="1">
                  <c:v>0</c:v>
                </c:pt>
                <c:pt idx="4">
                  <c:v>25</c:v>
                </c:pt>
                <c:pt idx="5">
                  <c:v>27</c:v>
                </c:pt>
                <c:pt idx="6">
                  <c:v>21</c:v>
                </c:pt>
                <c:pt idx="7">
                  <c:v>31</c:v>
                </c:pt>
                <c:pt idx="8">
                  <c:v>21</c:v>
                </c:pt>
                <c:pt idx="9">
                  <c:v>30</c:v>
                </c:pt>
                <c:pt idx="10">
                  <c:v>34</c:v>
                </c:pt>
                <c:pt idx="11">
                  <c:v>37</c:v>
                </c:pt>
                <c:pt idx="12">
                  <c:v>34</c:v>
                </c:pt>
                <c:pt idx="13">
                  <c:v>34</c:v>
                </c:pt>
                <c:pt idx="14">
                  <c:v>32</c:v>
                </c:pt>
                <c:pt idx="15" formatCode="0_);[Red]\(0\)">
                  <c:v>30</c:v>
                </c:pt>
              </c:numCache>
            </c:numRef>
          </c:val>
          <c:smooth val="0"/>
          <c:extLst>
            <c:ext xmlns:c16="http://schemas.microsoft.com/office/drawing/2014/chart" uri="{C3380CC4-5D6E-409C-BE32-E72D297353CC}">
              <c16:uniqueId val="{0000001D-F7F7-48B6-9C02-86ABD9782F54}"/>
            </c:ext>
          </c:extLst>
        </c:ser>
        <c:ser>
          <c:idx val="30"/>
          <c:order val="30"/>
          <c:tx>
            <c:strRef>
              <c:f>順位経年!$D$34</c:f>
              <c:strCache>
                <c:ptCount val="1"/>
                <c:pt idx="0">
                  <c:v>ヘルシンキ</c:v>
                </c:pt>
              </c:strCache>
            </c:strRef>
          </c:tx>
          <c:spPr>
            <a:ln w="28575" cap="rnd">
              <a:solidFill>
                <a:schemeClr val="accent1">
                  <a:lumMod val="5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順位経年!$E$34:$T$34</c:f>
              <c:numCache>
                <c:formatCode>General</c:formatCode>
                <c:ptCount val="16"/>
                <c:pt idx="1">
                  <c:v>0</c:v>
                </c:pt>
                <c:pt idx="11">
                  <c:v>28</c:v>
                </c:pt>
                <c:pt idx="12">
                  <c:v>32</c:v>
                </c:pt>
                <c:pt idx="13">
                  <c:v>30</c:v>
                </c:pt>
                <c:pt idx="14">
                  <c:v>28</c:v>
                </c:pt>
                <c:pt idx="15" formatCode="0_);[Red]\(0\)">
                  <c:v>31</c:v>
                </c:pt>
              </c:numCache>
            </c:numRef>
          </c:val>
          <c:smooth val="0"/>
          <c:extLst>
            <c:ext xmlns:c16="http://schemas.microsoft.com/office/drawing/2014/chart" uri="{C3380CC4-5D6E-409C-BE32-E72D297353CC}">
              <c16:uniqueId val="{0000001E-F7F7-48B6-9C02-86ABD9782F54}"/>
            </c:ext>
          </c:extLst>
        </c:ser>
        <c:ser>
          <c:idx val="31"/>
          <c:order val="31"/>
          <c:tx>
            <c:strRef>
              <c:f>順位経年!$D$35</c:f>
              <c:strCache>
                <c:ptCount val="1"/>
                <c:pt idx="0">
                  <c:v>バンクーバー</c:v>
                </c:pt>
              </c:strCache>
            </c:strRef>
          </c:tx>
          <c:spPr>
            <a:ln w="28575" cap="rnd">
              <a:solidFill>
                <a:schemeClr val="accent2">
                  <a:lumMod val="5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順位経年!$E$35:$T$35</c:f>
              <c:numCache>
                <c:formatCode>General</c:formatCode>
                <c:ptCount val="16"/>
                <c:pt idx="1">
                  <c:v>23</c:v>
                </c:pt>
                <c:pt idx="2">
                  <c:v>16</c:v>
                </c:pt>
                <c:pt idx="3">
                  <c:v>22</c:v>
                </c:pt>
                <c:pt idx="4">
                  <c:v>24</c:v>
                </c:pt>
                <c:pt idx="5">
                  <c:v>24</c:v>
                </c:pt>
                <c:pt idx="6">
                  <c:v>22</c:v>
                </c:pt>
                <c:pt idx="7">
                  <c:v>20</c:v>
                </c:pt>
                <c:pt idx="8">
                  <c:v>28</c:v>
                </c:pt>
                <c:pt idx="9">
                  <c:v>28</c:v>
                </c:pt>
                <c:pt idx="10">
                  <c:v>21</c:v>
                </c:pt>
                <c:pt idx="11">
                  <c:v>23</c:v>
                </c:pt>
                <c:pt idx="12">
                  <c:v>26</c:v>
                </c:pt>
                <c:pt idx="13">
                  <c:v>29</c:v>
                </c:pt>
                <c:pt idx="14">
                  <c:v>34</c:v>
                </c:pt>
                <c:pt idx="15" formatCode="0_);[Red]\(0\)">
                  <c:v>32</c:v>
                </c:pt>
              </c:numCache>
            </c:numRef>
          </c:val>
          <c:smooth val="0"/>
          <c:extLst>
            <c:ext xmlns:c16="http://schemas.microsoft.com/office/drawing/2014/chart" uri="{C3380CC4-5D6E-409C-BE32-E72D297353CC}">
              <c16:uniqueId val="{0000001F-F7F7-48B6-9C02-86ABD9782F54}"/>
            </c:ext>
          </c:extLst>
        </c:ser>
        <c:ser>
          <c:idx val="32"/>
          <c:order val="32"/>
          <c:tx>
            <c:strRef>
              <c:f>順位経年!$D$36</c:f>
              <c:strCache>
                <c:ptCount val="1"/>
                <c:pt idx="0">
                  <c:v>ミラノ</c:v>
                </c:pt>
              </c:strCache>
            </c:strRef>
          </c:tx>
          <c:spPr>
            <a:ln w="28575" cap="rnd">
              <a:solidFill>
                <a:schemeClr val="accent3">
                  <a:lumMod val="5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順位経年!$E$36:$T$36</c:f>
              <c:numCache>
                <c:formatCode>General</c:formatCode>
                <c:ptCount val="16"/>
                <c:pt idx="0">
                  <c:v>27</c:v>
                </c:pt>
                <c:pt idx="1">
                  <c:v>28</c:v>
                </c:pt>
                <c:pt idx="2">
                  <c:v>27</c:v>
                </c:pt>
                <c:pt idx="3">
                  <c:v>27</c:v>
                </c:pt>
                <c:pt idx="4">
                  <c:v>29</c:v>
                </c:pt>
                <c:pt idx="5">
                  <c:v>30</c:v>
                </c:pt>
                <c:pt idx="6">
                  <c:v>25</c:v>
                </c:pt>
                <c:pt idx="7">
                  <c:v>29</c:v>
                </c:pt>
                <c:pt idx="8">
                  <c:v>31</c:v>
                </c:pt>
                <c:pt idx="9">
                  <c:v>32</c:v>
                </c:pt>
                <c:pt idx="10">
                  <c:v>31</c:v>
                </c:pt>
                <c:pt idx="11">
                  <c:v>36</c:v>
                </c:pt>
                <c:pt idx="12">
                  <c:v>39</c:v>
                </c:pt>
                <c:pt idx="13">
                  <c:v>33</c:v>
                </c:pt>
                <c:pt idx="14">
                  <c:v>29</c:v>
                </c:pt>
                <c:pt idx="15" formatCode="0_);[Red]\(0\)">
                  <c:v>33</c:v>
                </c:pt>
              </c:numCache>
            </c:numRef>
          </c:val>
          <c:smooth val="0"/>
          <c:extLst>
            <c:ext xmlns:c16="http://schemas.microsoft.com/office/drawing/2014/chart" uri="{C3380CC4-5D6E-409C-BE32-E72D297353CC}">
              <c16:uniqueId val="{00000020-F7F7-48B6-9C02-86ABD9782F54}"/>
            </c:ext>
          </c:extLst>
        </c:ser>
        <c:ser>
          <c:idx val="33"/>
          <c:order val="33"/>
          <c:tx>
            <c:strRef>
              <c:f>順位経年!$D$37</c:f>
              <c:strCache>
                <c:ptCount val="1"/>
                <c:pt idx="0">
                  <c:v>モスクワ</c:v>
                </c:pt>
              </c:strCache>
            </c:strRef>
          </c:tx>
          <c:spPr>
            <a:ln w="28575" cap="rnd">
              <a:solidFill>
                <a:schemeClr val="accent4">
                  <a:lumMod val="5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順位経年!$E$37:$T$37</c:f>
              <c:numCache>
                <c:formatCode>General</c:formatCode>
                <c:ptCount val="16"/>
                <c:pt idx="0">
                  <c:v>23</c:v>
                </c:pt>
                <c:pt idx="1">
                  <c:v>32</c:v>
                </c:pt>
                <c:pt idx="2">
                  <c:v>32</c:v>
                </c:pt>
                <c:pt idx="3">
                  <c:v>33</c:v>
                </c:pt>
                <c:pt idx="4">
                  <c:v>37</c:v>
                </c:pt>
                <c:pt idx="5">
                  <c:v>36</c:v>
                </c:pt>
                <c:pt idx="6">
                  <c:v>35</c:v>
                </c:pt>
                <c:pt idx="7">
                  <c:v>36</c:v>
                </c:pt>
                <c:pt idx="8">
                  <c:v>35</c:v>
                </c:pt>
                <c:pt idx="9">
                  <c:v>35</c:v>
                </c:pt>
                <c:pt idx="10">
                  <c:v>33</c:v>
                </c:pt>
                <c:pt idx="11">
                  <c:v>32</c:v>
                </c:pt>
                <c:pt idx="12">
                  <c:v>30</c:v>
                </c:pt>
                <c:pt idx="13">
                  <c:v>32</c:v>
                </c:pt>
                <c:pt idx="14">
                  <c:v>33</c:v>
                </c:pt>
                <c:pt idx="15" formatCode="0_);[Red]\(0\)">
                  <c:v>34</c:v>
                </c:pt>
              </c:numCache>
            </c:numRef>
          </c:val>
          <c:smooth val="0"/>
          <c:extLst>
            <c:ext xmlns:c16="http://schemas.microsoft.com/office/drawing/2014/chart" uri="{C3380CC4-5D6E-409C-BE32-E72D297353CC}">
              <c16:uniqueId val="{00000021-F7F7-48B6-9C02-86ABD9782F54}"/>
            </c:ext>
          </c:extLst>
        </c:ser>
        <c:ser>
          <c:idx val="34"/>
          <c:order val="34"/>
          <c:tx>
            <c:strRef>
              <c:f>順位経年!$D$38</c:f>
              <c:strCache>
                <c:ptCount val="1"/>
                <c:pt idx="0">
                  <c:v>台北</c:v>
                </c:pt>
              </c:strCache>
            </c:strRef>
          </c:tx>
          <c:spPr>
            <a:ln w="28575" cap="rnd">
              <a:solidFill>
                <a:schemeClr val="accent5">
                  <a:lumMod val="5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順位経年!$E$38:$T$38</c:f>
              <c:numCache>
                <c:formatCode>General</c:formatCode>
                <c:ptCount val="16"/>
                <c:pt idx="0">
                  <c:v>26</c:v>
                </c:pt>
                <c:pt idx="1">
                  <c:v>31</c:v>
                </c:pt>
                <c:pt idx="2">
                  <c:v>29</c:v>
                </c:pt>
                <c:pt idx="3">
                  <c:v>29</c:v>
                </c:pt>
                <c:pt idx="4">
                  <c:v>32</c:v>
                </c:pt>
                <c:pt idx="5">
                  <c:v>33</c:v>
                </c:pt>
                <c:pt idx="6">
                  <c:v>33</c:v>
                </c:pt>
                <c:pt idx="7">
                  <c:v>32</c:v>
                </c:pt>
                <c:pt idx="8">
                  <c:v>33</c:v>
                </c:pt>
                <c:pt idx="9">
                  <c:v>36</c:v>
                </c:pt>
                <c:pt idx="10">
                  <c:v>35</c:v>
                </c:pt>
                <c:pt idx="11">
                  <c:v>39</c:v>
                </c:pt>
                <c:pt idx="12">
                  <c:v>37</c:v>
                </c:pt>
                <c:pt idx="13">
                  <c:v>38</c:v>
                </c:pt>
                <c:pt idx="14">
                  <c:v>36</c:v>
                </c:pt>
                <c:pt idx="15" formatCode="0_);[Red]\(0\)">
                  <c:v>35</c:v>
                </c:pt>
              </c:numCache>
            </c:numRef>
          </c:val>
          <c:smooth val="0"/>
          <c:extLst>
            <c:ext xmlns:c16="http://schemas.microsoft.com/office/drawing/2014/chart" uri="{C3380CC4-5D6E-409C-BE32-E72D297353CC}">
              <c16:uniqueId val="{00000022-F7F7-48B6-9C02-86ABD9782F54}"/>
            </c:ext>
          </c:extLst>
        </c:ser>
        <c:ser>
          <c:idx val="35"/>
          <c:order val="35"/>
          <c:tx>
            <c:strRef>
              <c:f>順位経年!$D$39</c:f>
              <c:strCache>
                <c:ptCount val="1"/>
                <c:pt idx="0">
                  <c:v>ワシントンDC</c:v>
                </c:pt>
              </c:strCache>
            </c:strRef>
          </c:tx>
          <c:spPr>
            <a:ln w="28575" cap="rnd">
              <a:solidFill>
                <a:schemeClr val="accent6">
                  <a:lumMod val="5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順位経年!$E$39:$T$39</c:f>
              <c:numCache>
                <c:formatCode>General</c:formatCode>
                <c:ptCount val="16"/>
                <c:pt idx="1">
                  <c:v>0</c:v>
                </c:pt>
                <c:pt idx="4">
                  <c:v>30</c:v>
                </c:pt>
                <c:pt idx="5">
                  <c:v>26</c:v>
                </c:pt>
                <c:pt idx="6">
                  <c:v>24</c:v>
                </c:pt>
                <c:pt idx="7">
                  <c:v>30</c:v>
                </c:pt>
                <c:pt idx="8">
                  <c:v>29</c:v>
                </c:pt>
                <c:pt idx="9">
                  <c:v>29</c:v>
                </c:pt>
                <c:pt idx="10">
                  <c:v>27</c:v>
                </c:pt>
                <c:pt idx="11">
                  <c:v>31</c:v>
                </c:pt>
                <c:pt idx="12">
                  <c:v>36</c:v>
                </c:pt>
                <c:pt idx="13">
                  <c:v>37</c:v>
                </c:pt>
                <c:pt idx="14">
                  <c:v>35</c:v>
                </c:pt>
                <c:pt idx="15" formatCode="0_);[Red]\(0\)">
                  <c:v>36</c:v>
                </c:pt>
              </c:numCache>
            </c:numRef>
          </c:val>
          <c:smooth val="0"/>
          <c:extLst>
            <c:ext xmlns:c16="http://schemas.microsoft.com/office/drawing/2014/chart" uri="{C3380CC4-5D6E-409C-BE32-E72D297353CC}">
              <c16:uniqueId val="{00000023-F7F7-48B6-9C02-86ABD9782F54}"/>
            </c:ext>
          </c:extLst>
        </c:ser>
        <c:ser>
          <c:idx val="36"/>
          <c:order val="36"/>
          <c:tx>
            <c:strRef>
              <c:f>順位経年!$D$40</c:f>
              <c:strCache>
                <c:ptCount val="1"/>
                <c:pt idx="0">
                  <c:v>大阪</c:v>
                </c:pt>
              </c:strCache>
            </c:strRef>
          </c:tx>
          <c:spPr>
            <a:ln w="28575" cap="rnd">
              <a:solidFill>
                <a:schemeClr val="accent1">
                  <a:lumMod val="70000"/>
                  <a:lumOff val="3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順位経年!$E$40:$T$40</c:f>
              <c:numCache>
                <c:formatCode>General</c:formatCode>
                <c:ptCount val="16"/>
                <c:pt idx="1">
                  <c:v>25</c:v>
                </c:pt>
                <c:pt idx="2">
                  <c:v>18</c:v>
                </c:pt>
                <c:pt idx="3">
                  <c:v>15</c:v>
                </c:pt>
                <c:pt idx="4">
                  <c:v>17</c:v>
                </c:pt>
                <c:pt idx="5">
                  <c:v>23</c:v>
                </c:pt>
                <c:pt idx="6">
                  <c:v>26</c:v>
                </c:pt>
                <c:pt idx="7">
                  <c:v>24</c:v>
                </c:pt>
                <c:pt idx="8">
                  <c:v>22</c:v>
                </c:pt>
                <c:pt idx="9">
                  <c:v>26</c:v>
                </c:pt>
                <c:pt idx="10">
                  <c:v>28</c:v>
                </c:pt>
                <c:pt idx="11">
                  <c:v>29</c:v>
                </c:pt>
                <c:pt idx="12">
                  <c:v>33</c:v>
                </c:pt>
                <c:pt idx="13">
                  <c:v>36</c:v>
                </c:pt>
                <c:pt idx="14">
                  <c:v>37</c:v>
                </c:pt>
                <c:pt idx="15" formatCode="0_);[Red]\(0\)">
                  <c:v>37</c:v>
                </c:pt>
              </c:numCache>
            </c:numRef>
          </c:val>
          <c:smooth val="0"/>
          <c:extLst>
            <c:ext xmlns:c16="http://schemas.microsoft.com/office/drawing/2014/chart" uri="{C3380CC4-5D6E-409C-BE32-E72D297353CC}">
              <c16:uniqueId val="{00000024-F7F7-48B6-9C02-86ABD9782F54}"/>
            </c:ext>
          </c:extLst>
        </c:ser>
        <c:ser>
          <c:idx val="37"/>
          <c:order val="37"/>
          <c:tx>
            <c:strRef>
              <c:f>順位経年!$D$41</c:f>
              <c:strCache>
                <c:ptCount val="1"/>
                <c:pt idx="0">
                  <c:v>バンコク</c:v>
                </c:pt>
              </c:strCache>
            </c:strRef>
          </c:tx>
          <c:spPr>
            <a:ln w="28575" cap="rnd">
              <a:solidFill>
                <a:schemeClr val="accent2">
                  <a:lumMod val="70000"/>
                  <a:lumOff val="3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順位経年!$E$41:$T$41</c:f>
              <c:numCache>
                <c:formatCode>General</c:formatCode>
                <c:ptCount val="16"/>
                <c:pt idx="0">
                  <c:v>29</c:v>
                </c:pt>
                <c:pt idx="1">
                  <c:v>29</c:v>
                </c:pt>
                <c:pt idx="2">
                  <c:v>31</c:v>
                </c:pt>
                <c:pt idx="3">
                  <c:v>30</c:v>
                </c:pt>
                <c:pt idx="4">
                  <c:v>35</c:v>
                </c:pt>
                <c:pt idx="5">
                  <c:v>32</c:v>
                </c:pt>
                <c:pt idx="6">
                  <c:v>29</c:v>
                </c:pt>
                <c:pt idx="7">
                  <c:v>33</c:v>
                </c:pt>
                <c:pt idx="8">
                  <c:v>34</c:v>
                </c:pt>
                <c:pt idx="9">
                  <c:v>33</c:v>
                </c:pt>
                <c:pt idx="10">
                  <c:v>36</c:v>
                </c:pt>
                <c:pt idx="11">
                  <c:v>40</c:v>
                </c:pt>
                <c:pt idx="12">
                  <c:v>35</c:v>
                </c:pt>
                <c:pt idx="13">
                  <c:v>35</c:v>
                </c:pt>
                <c:pt idx="14">
                  <c:v>40</c:v>
                </c:pt>
                <c:pt idx="15" formatCode="0_);[Red]\(0\)">
                  <c:v>38</c:v>
                </c:pt>
              </c:numCache>
            </c:numRef>
          </c:val>
          <c:smooth val="0"/>
          <c:extLst>
            <c:ext xmlns:c16="http://schemas.microsoft.com/office/drawing/2014/chart" uri="{C3380CC4-5D6E-409C-BE32-E72D297353CC}">
              <c16:uniqueId val="{00000025-F7F7-48B6-9C02-86ABD9782F54}"/>
            </c:ext>
          </c:extLst>
        </c:ser>
        <c:ser>
          <c:idx val="38"/>
          <c:order val="38"/>
          <c:tx>
            <c:strRef>
              <c:f>順位経年!$D$42</c:f>
              <c:strCache>
                <c:ptCount val="1"/>
                <c:pt idx="0">
                  <c:v>サンパウロ</c:v>
                </c:pt>
              </c:strCache>
            </c:strRef>
          </c:tx>
          <c:spPr>
            <a:ln w="28575" cap="rnd">
              <a:solidFill>
                <a:schemeClr val="accent3">
                  <a:lumMod val="70000"/>
                  <a:lumOff val="3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順位経年!$E$42:$T$42</c:f>
              <c:numCache>
                <c:formatCode>General</c:formatCode>
                <c:ptCount val="16"/>
                <c:pt idx="1">
                  <c:v>33</c:v>
                </c:pt>
                <c:pt idx="2">
                  <c:v>33</c:v>
                </c:pt>
                <c:pt idx="3">
                  <c:v>32</c:v>
                </c:pt>
                <c:pt idx="4">
                  <c:v>38</c:v>
                </c:pt>
                <c:pt idx="5">
                  <c:v>38</c:v>
                </c:pt>
                <c:pt idx="6">
                  <c:v>38</c:v>
                </c:pt>
                <c:pt idx="7">
                  <c:v>38</c:v>
                </c:pt>
                <c:pt idx="8">
                  <c:v>38</c:v>
                </c:pt>
                <c:pt idx="9">
                  <c:v>39</c:v>
                </c:pt>
                <c:pt idx="10">
                  <c:v>40</c:v>
                </c:pt>
                <c:pt idx="11">
                  <c:v>43</c:v>
                </c:pt>
                <c:pt idx="12">
                  <c:v>42</c:v>
                </c:pt>
                <c:pt idx="13">
                  <c:v>43</c:v>
                </c:pt>
                <c:pt idx="14">
                  <c:v>38</c:v>
                </c:pt>
                <c:pt idx="15" formatCode="0_);[Red]\(0\)">
                  <c:v>39</c:v>
                </c:pt>
              </c:numCache>
            </c:numRef>
          </c:val>
          <c:smooth val="0"/>
          <c:extLst>
            <c:ext xmlns:c16="http://schemas.microsoft.com/office/drawing/2014/chart" uri="{C3380CC4-5D6E-409C-BE32-E72D297353CC}">
              <c16:uniqueId val="{00000026-F7F7-48B6-9C02-86ABD9782F54}"/>
            </c:ext>
          </c:extLst>
        </c:ser>
        <c:ser>
          <c:idx val="39"/>
          <c:order val="39"/>
          <c:tx>
            <c:strRef>
              <c:f>順位経年!$D$43</c:f>
              <c:strCache>
                <c:ptCount val="1"/>
                <c:pt idx="0">
                  <c:v>テルアビブ</c:v>
                </c:pt>
              </c:strCache>
            </c:strRef>
          </c:tx>
          <c:spPr>
            <a:ln w="28575" cap="rnd">
              <a:solidFill>
                <a:schemeClr val="accent4">
                  <a:lumMod val="70000"/>
                  <a:lumOff val="3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順位経年!$E$43:$T$43</c:f>
              <c:numCache>
                <c:formatCode>General</c:formatCode>
                <c:ptCount val="16"/>
                <c:pt idx="1">
                  <c:v>0</c:v>
                </c:pt>
                <c:pt idx="11">
                  <c:v>38</c:v>
                </c:pt>
                <c:pt idx="12">
                  <c:v>41</c:v>
                </c:pt>
                <c:pt idx="13">
                  <c:v>41</c:v>
                </c:pt>
                <c:pt idx="14">
                  <c:v>39</c:v>
                </c:pt>
                <c:pt idx="15" formatCode="0_);[Red]\(0\)">
                  <c:v>40</c:v>
                </c:pt>
              </c:numCache>
            </c:numRef>
          </c:val>
          <c:smooth val="0"/>
          <c:extLst>
            <c:ext xmlns:c16="http://schemas.microsoft.com/office/drawing/2014/chart" uri="{C3380CC4-5D6E-409C-BE32-E72D297353CC}">
              <c16:uniqueId val="{00000027-F7F7-48B6-9C02-86ABD9782F54}"/>
            </c:ext>
          </c:extLst>
        </c:ser>
        <c:ser>
          <c:idx val="40"/>
          <c:order val="40"/>
          <c:tx>
            <c:strRef>
              <c:f>順位経年!$D$44</c:f>
              <c:strCache>
                <c:ptCount val="1"/>
                <c:pt idx="0">
                  <c:v>クアラルンプール</c:v>
                </c:pt>
              </c:strCache>
            </c:strRef>
          </c:tx>
          <c:spPr>
            <a:ln w="28575" cap="rnd">
              <a:solidFill>
                <a:schemeClr val="accent5">
                  <a:lumMod val="70000"/>
                  <a:lumOff val="3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順位経年!$E$44:$T$44</c:f>
              <c:numCache>
                <c:formatCode>General</c:formatCode>
                <c:ptCount val="16"/>
                <c:pt idx="0">
                  <c:v>24</c:v>
                </c:pt>
                <c:pt idx="1">
                  <c:v>27</c:v>
                </c:pt>
                <c:pt idx="2">
                  <c:v>30</c:v>
                </c:pt>
                <c:pt idx="3">
                  <c:v>31</c:v>
                </c:pt>
                <c:pt idx="4">
                  <c:v>34</c:v>
                </c:pt>
                <c:pt idx="5">
                  <c:v>34</c:v>
                </c:pt>
                <c:pt idx="6">
                  <c:v>34</c:v>
                </c:pt>
                <c:pt idx="7">
                  <c:v>34</c:v>
                </c:pt>
                <c:pt idx="8">
                  <c:v>32</c:v>
                </c:pt>
                <c:pt idx="9">
                  <c:v>31</c:v>
                </c:pt>
                <c:pt idx="10">
                  <c:v>32</c:v>
                </c:pt>
                <c:pt idx="11">
                  <c:v>35</c:v>
                </c:pt>
                <c:pt idx="12">
                  <c:v>38</c:v>
                </c:pt>
                <c:pt idx="13">
                  <c:v>39</c:v>
                </c:pt>
                <c:pt idx="14">
                  <c:v>41</c:v>
                </c:pt>
                <c:pt idx="15" formatCode="0_);[Red]\(0\)">
                  <c:v>41</c:v>
                </c:pt>
              </c:numCache>
            </c:numRef>
          </c:val>
          <c:smooth val="0"/>
          <c:extLst>
            <c:ext xmlns:c16="http://schemas.microsoft.com/office/drawing/2014/chart" uri="{C3380CC4-5D6E-409C-BE32-E72D297353CC}">
              <c16:uniqueId val="{00000028-F7F7-48B6-9C02-86ABD9782F54}"/>
            </c:ext>
          </c:extLst>
        </c:ser>
        <c:ser>
          <c:idx val="41"/>
          <c:order val="41"/>
          <c:tx>
            <c:strRef>
              <c:f>順位経年!$D$45</c:f>
              <c:strCache>
                <c:ptCount val="1"/>
                <c:pt idx="0">
                  <c:v>福岡</c:v>
                </c:pt>
              </c:strCache>
            </c:strRef>
          </c:tx>
          <c:spPr>
            <a:ln w="28575" cap="rnd">
              <a:solidFill>
                <a:schemeClr val="accent6">
                  <a:lumMod val="70000"/>
                  <a:lumOff val="3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順位経年!$E$45:$T$45</c:f>
              <c:numCache>
                <c:formatCode>General</c:formatCode>
                <c:ptCount val="16"/>
                <c:pt idx="1">
                  <c:v>30</c:v>
                </c:pt>
                <c:pt idx="2">
                  <c:v>28</c:v>
                </c:pt>
                <c:pt idx="3">
                  <c:v>28</c:v>
                </c:pt>
                <c:pt idx="4">
                  <c:v>33</c:v>
                </c:pt>
                <c:pt idx="5">
                  <c:v>35</c:v>
                </c:pt>
                <c:pt idx="6">
                  <c:v>36</c:v>
                </c:pt>
                <c:pt idx="7">
                  <c:v>35</c:v>
                </c:pt>
                <c:pt idx="8">
                  <c:v>36</c:v>
                </c:pt>
                <c:pt idx="9">
                  <c:v>37</c:v>
                </c:pt>
                <c:pt idx="10">
                  <c:v>37</c:v>
                </c:pt>
                <c:pt idx="11">
                  <c:v>42</c:v>
                </c:pt>
                <c:pt idx="12">
                  <c:v>43</c:v>
                </c:pt>
                <c:pt idx="13">
                  <c:v>42</c:v>
                </c:pt>
                <c:pt idx="14">
                  <c:v>42</c:v>
                </c:pt>
                <c:pt idx="15" formatCode="0_);[Red]\(0\)">
                  <c:v>42</c:v>
                </c:pt>
              </c:numCache>
            </c:numRef>
          </c:val>
          <c:smooth val="0"/>
          <c:extLst>
            <c:ext xmlns:c16="http://schemas.microsoft.com/office/drawing/2014/chart" uri="{C3380CC4-5D6E-409C-BE32-E72D297353CC}">
              <c16:uniqueId val="{00000029-F7F7-48B6-9C02-86ABD9782F54}"/>
            </c:ext>
          </c:extLst>
        </c:ser>
        <c:ser>
          <c:idx val="42"/>
          <c:order val="42"/>
          <c:tx>
            <c:strRef>
              <c:f>順位経年!$D$46</c:f>
              <c:strCache>
                <c:ptCount val="1"/>
                <c:pt idx="0">
                  <c:v>メキシコシティ</c:v>
                </c:pt>
              </c:strCache>
            </c:strRef>
          </c:tx>
          <c:spPr>
            <a:ln w="28575" cap="rnd">
              <a:solidFill>
                <a:schemeClr val="accent1">
                  <a:lumMod val="7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順位経年!$E$46:$T$46</c:f>
              <c:numCache>
                <c:formatCode>General</c:formatCode>
                <c:ptCount val="16"/>
                <c:pt idx="1">
                  <c:v>0</c:v>
                </c:pt>
                <c:pt idx="4">
                  <c:v>36</c:v>
                </c:pt>
                <c:pt idx="5">
                  <c:v>37</c:v>
                </c:pt>
                <c:pt idx="6">
                  <c:v>37</c:v>
                </c:pt>
                <c:pt idx="7">
                  <c:v>37</c:v>
                </c:pt>
                <c:pt idx="8">
                  <c:v>37</c:v>
                </c:pt>
                <c:pt idx="9">
                  <c:v>38</c:v>
                </c:pt>
                <c:pt idx="10">
                  <c:v>39</c:v>
                </c:pt>
                <c:pt idx="11">
                  <c:v>44</c:v>
                </c:pt>
                <c:pt idx="12">
                  <c:v>44</c:v>
                </c:pt>
                <c:pt idx="13">
                  <c:v>44</c:v>
                </c:pt>
                <c:pt idx="14">
                  <c:v>44</c:v>
                </c:pt>
                <c:pt idx="15" formatCode="0_);[Red]\(0\)">
                  <c:v>43</c:v>
                </c:pt>
              </c:numCache>
            </c:numRef>
          </c:val>
          <c:smooth val="0"/>
          <c:extLst>
            <c:ext xmlns:c16="http://schemas.microsoft.com/office/drawing/2014/chart" uri="{C3380CC4-5D6E-409C-BE32-E72D297353CC}">
              <c16:uniqueId val="{0000002A-F7F7-48B6-9C02-86ABD9782F54}"/>
            </c:ext>
          </c:extLst>
        </c:ser>
        <c:ser>
          <c:idx val="43"/>
          <c:order val="43"/>
          <c:tx>
            <c:strRef>
              <c:f>順位経年!$D$47</c:f>
              <c:strCache>
                <c:ptCount val="1"/>
                <c:pt idx="0">
                  <c:v>ブエノスアイレス</c:v>
                </c:pt>
              </c:strCache>
            </c:strRef>
          </c:tx>
          <c:spPr>
            <a:ln w="28575" cap="rnd">
              <a:solidFill>
                <a:schemeClr val="accent2">
                  <a:lumMod val="7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順位経年!$E$47:$T$47</c:f>
              <c:numCache>
                <c:formatCode>General</c:formatCode>
                <c:ptCount val="16"/>
                <c:pt idx="1">
                  <c:v>0</c:v>
                </c:pt>
                <c:pt idx="9">
                  <c:v>40</c:v>
                </c:pt>
                <c:pt idx="10">
                  <c:v>38</c:v>
                </c:pt>
                <c:pt idx="11">
                  <c:v>41</c:v>
                </c:pt>
                <c:pt idx="12">
                  <c:v>40</c:v>
                </c:pt>
                <c:pt idx="13">
                  <c:v>40</c:v>
                </c:pt>
                <c:pt idx="14">
                  <c:v>43</c:v>
                </c:pt>
                <c:pt idx="15" formatCode="0_);[Red]\(0\)">
                  <c:v>44</c:v>
                </c:pt>
              </c:numCache>
            </c:numRef>
          </c:val>
          <c:smooth val="0"/>
          <c:extLst>
            <c:ext xmlns:c16="http://schemas.microsoft.com/office/drawing/2014/chart" uri="{C3380CC4-5D6E-409C-BE32-E72D297353CC}">
              <c16:uniqueId val="{0000002B-F7F7-48B6-9C02-86ABD9782F54}"/>
            </c:ext>
          </c:extLst>
        </c:ser>
        <c:ser>
          <c:idx val="44"/>
          <c:order val="44"/>
          <c:tx>
            <c:strRef>
              <c:f>順位経年!$D$48</c:f>
              <c:strCache>
                <c:ptCount val="1"/>
                <c:pt idx="0">
                  <c:v>ジャカルタ</c:v>
                </c:pt>
              </c:strCache>
            </c:strRef>
          </c:tx>
          <c:spPr>
            <a:ln w="28575" cap="rnd">
              <a:solidFill>
                <a:schemeClr val="accent3">
                  <a:lumMod val="7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順位経年!$E$48:$T$48</c:f>
              <c:numCache>
                <c:formatCode>General</c:formatCode>
                <c:ptCount val="16"/>
                <c:pt idx="1">
                  <c:v>0</c:v>
                </c:pt>
                <c:pt idx="8">
                  <c:v>40</c:v>
                </c:pt>
                <c:pt idx="9">
                  <c:v>41</c:v>
                </c:pt>
                <c:pt idx="10">
                  <c:v>41</c:v>
                </c:pt>
                <c:pt idx="11">
                  <c:v>45</c:v>
                </c:pt>
                <c:pt idx="12">
                  <c:v>45</c:v>
                </c:pt>
                <c:pt idx="13">
                  <c:v>45</c:v>
                </c:pt>
                <c:pt idx="14">
                  <c:v>45</c:v>
                </c:pt>
                <c:pt idx="15" formatCode="0_);[Red]\(0\)">
                  <c:v>45</c:v>
                </c:pt>
              </c:numCache>
            </c:numRef>
          </c:val>
          <c:smooth val="0"/>
          <c:extLst>
            <c:ext xmlns:c16="http://schemas.microsoft.com/office/drawing/2014/chart" uri="{C3380CC4-5D6E-409C-BE32-E72D297353CC}">
              <c16:uniqueId val="{0000002C-F7F7-48B6-9C02-86ABD9782F54}"/>
            </c:ext>
          </c:extLst>
        </c:ser>
        <c:ser>
          <c:idx val="45"/>
          <c:order val="45"/>
          <c:tx>
            <c:strRef>
              <c:f>順位経年!$D$49</c:f>
              <c:strCache>
                <c:ptCount val="1"/>
                <c:pt idx="0">
                  <c:v>ヨハネスブルグ</c:v>
                </c:pt>
              </c:strCache>
            </c:strRef>
          </c:tx>
          <c:spPr>
            <a:ln w="28575" cap="rnd">
              <a:solidFill>
                <a:schemeClr val="accent4">
                  <a:lumMod val="7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順位経年!$E$49:$T$49</c:f>
              <c:numCache>
                <c:formatCode>General</c:formatCode>
                <c:ptCount val="16"/>
                <c:pt idx="1">
                  <c:v>0</c:v>
                </c:pt>
                <c:pt idx="8">
                  <c:v>42</c:v>
                </c:pt>
                <c:pt idx="9">
                  <c:v>44</c:v>
                </c:pt>
                <c:pt idx="10">
                  <c:v>42</c:v>
                </c:pt>
                <c:pt idx="11">
                  <c:v>47</c:v>
                </c:pt>
                <c:pt idx="12">
                  <c:v>47</c:v>
                </c:pt>
                <c:pt idx="13">
                  <c:v>47</c:v>
                </c:pt>
                <c:pt idx="14">
                  <c:v>47</c:v>
                </c:pt>
                <c:pt idx="15" formatCode="0_);[Red]\(0\)">
                  <c:v>46</c:v>
                </c:pt>
              </c:numCache>
            </c:numRef>
          </c:val>
          <c:smooth val="0"/>
          <c:extLst>
            <c:ext xmlns:c16="http://schemas.microsoft.com/office/drawing/2014/chart" uri="{C3380CC4-5D6E-409C-BE32-E72D297353CC}">
              <c16:uniqueId val="{0000002D-F7F7-48B6-9C02-86ABD9782F54}"/>
            </c:ext>
          </c:extLst>
        </c:ser>
        <c:ser>
          <c:idx val="46"/>
          <c:order val="46"/>
          <c:tx>
            <c:strRef>
              <c:f>順位経年!$D$50</c:f>
              <c:strCache>
                <c:ptCount val="1"/>
                <c:pt idx="0">
                  <c:v>カイロ</c:v>
                </c:pt>
              </c:strCache>
            </c:strRef>
          </c:tx>
          <c:spPr>
            <a:ln w="28575" cap="rnd">
              <a:solidFill>
                <a:schemeClr val="accent5">
                  <a:lumMod val="7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順位経年!$E$50:$T$50</c:f>
              <c:numCache>
                <c:formatCode>General</c:formatCode>
                <c:ptCount val="16"/>
                <c:pt idx="1">
                  <c:v>35</c:v>
                </c:pt>
                <c:pt idx="2">
                  <c:v>35</c:v>
                </c:pt>
                <c:pt idx="3">
                  <c:v>35</c:v>
                </c:pt>
                <c:pt idx="4">
                  <c:v>40</c:v>
                </c:pt>
                <c:pt idx="5">
                  <c:v>40</c:v>
                </c:pt>
                <c:pt idx="6">
                  <c:v>40</c:v>
                </c:pt>
                <c:pt idx="7">
                  <c:v>40</c:v>
                </c:pt>
                <c:pt idx="8">
                  <c:v>41</c:v>
                </c:pt>
                <c:pt idx="9">
                  <c:v>43</c:v>
                </c:pt>
                <c:pt idx="10">
                  <c:v>44</c:v>
                </c:pt>
                <c:pt idx="11">
                  <c:v>46</c:v>
                </c:pt>
                <c:pt idx="12">
                  <c:v>46</c:v>
                </c:pt>
                <c:pt idx="13">
                  <c:v>46</c:v>
                </c:pt>
                <c:pt idx="14">
                  <c:v>46</c:v>
                </c:pt>
                <c:pt idx="15" formatCode="0_);[Red]\(0\)">
                  <c:v>47</c:v>
                </c:pt>
              </c:numCache>
            </c:numRef>
          </c:val>
          <c:smooth val="0"/>
          <c:extLst>
            <c:ext xmlns:c16="http://schemas.microsoft.com/office/drawing/2014/chart" uri="{C3380CC4-5D6E-409C-BE32-E72D297353CC}">
              <c16:uniqueId val="{0000002E-F7F7-48B6-9C02-86ABD9782F54}"/>
            </c:ext>
          </c:extLst>
        </c:ser>
        <c:ser>
          <c:idx val="47"/>
          <c:order val="47"/>
          <c:tx>
            <c:strRef>
              <c:f>順位経年!$D$51</c:f>
              <c:strCache>
                <c:ptCount val="1"/>
                <c:pt idx="0">
                  <c:v>ムンバイ</c:v>
                </c:pt>
              </c:strCache>
            </c:strRef>
          </c:tx>
          <c:spPr>
            <a:ln w="28575" cap="rnd">
              <a:solidFill>
                <a:schemeClr val="accent6">
                  <a:lumMod val="70000"/>
                </a:schemeClr>
              </a:solidFill>
              <a:round/>
            </a:ln>
            <a:effectLst/>
          </c:spPr>
          <c:marker>
            <c:symbol val="none"/>
          </c:marker>
          <c:cat>
            <c:strRef>
              <c:f>順位経年!$E$3:$T$3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順位経年!$E$51:$T$51</c:f>
              <c:numCache>
                <c:formatCode>General</c:formatCode>
                <c:ptCount val="16"/>
                <c:pt idx="0">
                  <c:v>30</c:v>
                </c:pt>
                <c:pt idx="1">
                  <c:v>34</c:v>
                </c:pt>
                <c:pt idx="2">
                  <c:v>34</c:v>
                </c:pt>
                <c:pt idx="3">
                  <c:v>34</c:v>
                </c:pt>
                <c:pt idx="4">
                  <c:v>39</c:v>
                </c:pt>
                <c:pt idx="5">
                  <c:v>39</c:v>
                </c:pt>
                <c:pt idx="6">
                  <c:v>39</c:v>
                </c:pt>
                <c:pt idx="7">
                  <c:v>39</c:v>
                </c:pt>
                <c:pt idx="8">
                  <c:v>39</c:v>
                </c:pt>
                <c:pt idx="9">
                  <c:v>42</c:v>
                </c:pt>
                <c:pt idx="10">
                  <c:v>43</c:v>
                </c:pt>
                <c:pt idx="11">
                  <c:v>48</c:v>
                </c:pt>
                <c:pt idx="12">
                  <c:v>48</c:v>
                </c:pt>
                <c:pt idx="13">
                  <c:v>48</c:v>
                </c:pt>
                <c:pt idx="14">
                  <c:v>48</c:v>
                </c:pt>
                <c:pt idx="15" formatCode="0_);[Red]\(0\)">
                  <c:v>48</c:v>
                </c:pt>
              </c:numCache>
            </c:numRef>
          </c:val>
          <c:smooth val="0"/>
          <c:extLst>
            <c:ext xmlns:c16="http://schemas.microsoft.com/office/drawing/2014/chart" uri="{C3380CC4-5D6E-409C-BE32-E72D297353CC}">
              <c16:uniqueId val="{0000002F-F7F7-48B6-9C02-86ABD9782F54}"/>
            </c:ext>
          </c:extLst>
        </c:ser>
        <c:dLbls>
          <c:showLegendKey val="0"/>
          <c:showVal val="0"/>
          <c:showCatName val="0"/>
          <c:showSerName val="0"/>
          <c:showPercent val="0"/>
          <c:showBubbleSize val="0"/>
        </c:dLbls>
        <c:smooth val="0"/>
        <c:axId val="757365184"/>
        <c:axId val="757368320"/>
      </c:lineChart>
      <c:catAx>
        <c:axId val="757365184"/>
        <c:scaling>
          <c:orientation val="minMax"/>
        </c:scaling>
        <c:delete val="0"/>
        <c:axPos val="t"/>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8320"/>
        <c:crosses val="autoZero"/>
        <c:auto val="1"/>
        <c:lblAlgn val="ctr"/>
        <c:lblOffset val="100"/>
        <c:noMultiLvlLbl val="0"/>
      </c:catAx>
      <c:valAx>
        <c:axId val="757368320"/>
        <c:scaling>
          <c:orientation val="maxMin"/>
          <c:max val="48"/>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5184"/>
        <c:crosses val="autoZero"/>
        <c:crossBetween val="between"/>
        <c:majorUnit val="1"/>
      </c:valAx>
      <c:spPr>
        <a:noFill/>
        <a:ln>
          <a:noFill/>
        </a:ln>
        <a:effectLst/>
      </c:spPr>
    </c:plotArea>
    <c:legend>
      <c:legendPos val="r"/>
      <c:layout>
        <c:manualLayout>
          <c:xMode val="edge"/>
          <c:yMode val="edge"/>
          <c:x val="0.8217870652469984"/>
          <c:y val="3.9005956232688162E-2"/>
          <c:w val="0.17028603499969666"/>
          <c:h val="0.9558908828422484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287039702674365E-2"/>
          <c:y val="5.5618393160222504E-2"/>
          <c:w val="0.79037629416904343"/>
          <c:h val="0.93750968405742929"/>
        </c:manualLayout>
      </c:layout>
      <c:lineChart>
        <c:grouping val="standard"/>
        <c:varyColors val="0"/>
        <c:ser>
          <c:idx val="0"/>
          <c:order val="0"/>
          <c:tx>
            <c:strRef>
              <c:f>偏差値経年!$D$4</c:f>
              <c:strCache>
                <c:ptCount val="1"/>
                <c:pt idx="0">
                  <c:v>ロンドン</c:v>
                </c:pt>
              </c:strCache>
            </c:strRef>
          </c:tx>
          <c:spPr>
            <a:ln w="28575" cap="rnd">
              <a:solidFill>
                <a:srgbClr val="DB5334"/>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偏差値経年!$J$4:$T$4</c:f>
              <c:numCache>
                <c:formatCode>0.0</c:formatCode>
                <c:ptCount val="11"/>
                <c:pt idx="0">
                  <c:v>78.784940952488043</c:v>
                </c:pt>
                <c:pt idx="1">
                  <c:v>79.655018113467023</c:v>
                </c:pt>
                <c:pt idx="2">
                  <c:v>79.711637343756621</c:v>
                </c:pt>
                <c:pt idx="3">
                  <c:v>77.945471378263761</c:v>
                </c:pt>
                <c:pt idx="4">
                  <c:v>80.170654186379778</c:v>
                </c:pt>
                <c:pt idx="5">
                  <c:v>77.911043665248883</c:v>
                </c:pt>
                <c:pt idx="6">
                  <c:v>80.382590927088529</c:v>
                </c:pt>
                <c:pt idx="7">
                  <c:v>82.2</c:v>
                </c:pt>
                <c:pt idx="8">
                  <c:v>81.33185402316721</c:v>
                </c:pt>
                <c:pt idx="9">
                  <c:v>79.275394020867481</c:v>
                </c:pt>
                <c:pt idx="10">
                  <c:v>80.918178715655742</c:v>
                </c:pt>
              </c:numCache>
            </c:numRef>
          </c:val>
          <c:smooth val="0"/>
          <c:extLst>
            <c:ext xmlns:c16="http://schemas.microsoft.com/office/drawing/2014/chart" uri="{C3380CC4-5D6E-409C-BE32-E72D297353CC}">
              <c16:uniqueId val="{00000000-0BB0-48F8-857F-78E0260F1A4E}"/>
            </c:ext>
          </c:extLst>
        </c:ser>
        <c:ser>
          <c:idx val="1"/>
          <c:order val="1"/>
          <c:tx>
            <c:strRef>
              <c:f>偏差値経年!$D$5</c:f>
              <c:strCache>
                <c:ptCount val="1"/>
                <c:pt idx="0">
                  <c:v>ニューヨーク</c:v>
                </c:pt>
              </c:strCache>
            </c:strRef>
          </c:tx>
          <c:spPr>
            <a:ln w="28575" cap="rnd">
              <a:solidFill>
                <a:srgbClr val="FABF1C"/>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偏差値経年!$J$5:$T$5</c:f>
              <c:numCache>
                <c:formatCode>0.0</c:formatCode>
                <c:ptCount val="11"/>
                <c:pt idx="0">
                  <c:v>73.642044736840901</c:v>
                </c:pt>
                <c:pt idx="1">
                  <c:v>73.043470195200314</c:v>
                </c:pt>
                <c:pt idx="2">
                  <c:v>72.669330280027964</c:v>
                </c:pt>
                <c:pt idx="3">
                  <c:v>71.473987678116941</c:v>
                </c:pt>
                <c:pt idx="4">
                  <c:v>71.10112903297906</c:v>
                </c:pt>
                <c:pt idx="5">
                  <c:v>72.167292784660091</c:v>
                </c:pt>
                <c:pt idx="6">
                  <c:v>74.155766677280511</c:v>
                </c:pt>
                <c:pt idx="7">
                  <c:v>74.8</c:v>
                </c:pt>
                <c:pt idx="8">
                  <c:v>73.11776176246272</c:v>
                </c:pt>
                <c:pt idx="9">
                  <c:v>74.65105229280168</c:v>
                </c:pt>
                <c:pt idx="10">
                  <c:v>73.65900515785043</c:v>
                </c:pt>
              </c:numCache>
            </c:numRef>
          </c:val>
          <c:smooth val="0"/>
          <c:extLst>
            <c:ext xmlns:c16="http://schemas.microsoft.com/office/drawing/2014/chart" uri="{C3380CC4-5D6E-409C-BE32-E72D297353CC}">
              <c16:uniqueId val="{00000001-0BB0-48F8-857F-78E0260F1A4E}"/>
            </c:ext>
          </c:extLst>
        </c:ser>
        <c:ser>
          <c:idx val="2"/>
          <c:order val="2"/>
          <c:tx>
            <c:strRef>
              <c:f>偏差値経年!$D$6</c:f>
              <c:strCache>
                <c:ptCount val="1"/>
                <c:pt idx="0">
                  <c:v>東京</c:v>
                </c:pt>
              </c:strCache>
            </c:strRef>
          </c:tx>
          <c:spPr>
            <a:ln w="28575" cap="rnd">
              <a:solidFill>
                <a:srgbClr val="237FC4"/>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偏差値経年!$J$6:$T$6</c:f>
              <c:numCache>
                <c:formatCode>0.0</c:formatCode>
                <c:ptCount val="11"/>
                <c:pt idx="0">
                  <c:v>68.901622924362414</c:v>
                </c:pt>
                <c:pt idx="1">
                  <c:v>68.378420531155172</c:v>
                </c:pt>
                <c:pt idx="2">
                  <c:v>67.808367647607554</c:v>
                </c:pt>
                <c:pt idx="3">
                  <c:v>69.113415468705938</c:v>
                </c:pt>
                <c:pt idx="4">
                  <c:v>69.453272073799667</c:v>
                </c:pt>
                <c:pt idx="5">
                  <c:v>67.491864818468628</c:v>
                </c:pt>
                <c:pt idx="6">
                  <c:v>68.179126919832953</c:v>
                </c:pt>
                <c:pt idx="7">
                  <c:v>68.3</c:v>
                </c:pt>
                <c:pt idx="8">
                  <c:v>69.455660880362004</c:v>
                </c:pt>
                <c:pt idx="9">
                  <c:v>67.227495673945711</c:v>
                </c:pt>
                <c:pt idx="10">
                  <c:v>66.906683405340274</c:v>
                </c:pt>
              </c:numCache>
            </c:numRef>
          </c:val>
          <c:smooth val="0"/>
          <c:extLst>
            <c:ext xmlns:c16="http://schemas.microsoft.com/office/drawing/2014/chart" uri="{C3380CC4-5D6E-409C-BE32-E72D297353CC}">
              <c16:uniqueId val="{00000002-0BB0-48F8-857F-78E0260F1A4E}"/>
            </c:ext>
          </c:extLst>
        </c:ser>
        <c:ser>
          <c:idx val="3"/>
          <c:order val="3"/>
          <c:tx>
            <c:strRef>
              <c:f>偏差値経年!$D$7</c:f>
              <c:strCache>
                <c:ptCount val="1"/>
                <c:pt idx="0">
                  <c:v>パリ</c:v>
                </c:pt>
              </c:strCache>
            </c:strRef>
          </c:tx>
          <c:spPr>
            <a:ln w="28575" cap="rnd">
              <a:solidFill>
                <a:srgbClr val="90C31F"/>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偏差値経年!$J$7:$T$7</c:f>
              <c:numCache>
                <c:formatCode>0.0</c:formatCode>
                <c:ptCount val="11"/>
                <c:pt idx="0">
                  <c:v>69.789858189839975</c:v>
                </c:pt>
                <c:pt idx="1">
                  <c:v>69.25701237275932</c:v>
                </c:pt>
                <c:pt idx="2">
                  <c:v>68.714302676659329</c:v>
                </c:pt>
                <c:pt idx="3">
                  <c:v>66.622351264089843</c:v>
                </c:pt>
                <c:pt idx="4">
                  <c:v>65.66556880127618</c:v>
                </c:pt>
                <c:pt idx="5">
                  <c:v>64.411243489690378</c:v>
                </c:pt>
                <c:pt idx="6">
                  <c:v>66.470894444576203</c:v>
                </c:pt>
                <c:pt idx="7">
                  <c:v>65.2</c:v>
                </c:pt>
                <c:pt idx="8">
                  <c:v>66.383622006253546</c:v>
                </c:pt>
                <c:pt idx="9">
                  <c:v>66.67490216680207</c:v>
                </c:pt>
                <c:pt idx="10">
                  <c:v>66.280956202049794</c:v>
                </c:pt>
              </c:numCache>
            </c:numRef>
          </c:val>
          <c:smooth val="0"/>
          <c:extLst>
            <c:ext xmlns:c16="http://schemas.microsoft.com/office/drawing/2014/chart" uri="{C3380CC4-5D6E-409C-BE32-E72D297353CC}">
              <c16:uniqueId val="{00000003-0BB0-48F8-857F-78E0260F1A4E}"/>
            </c:ext>
          </c:extLst>
        </c:ser>
        <c:ser>
          <c:idx val="4"/>
          <c:order val="4"/>
          <c:tx>
            <c:strRef>
              <c:f>偏差値経年!$D$8</c:f>
              <c:strCache>
                <c:ptCount val="1"/>
                <c:pt idx="0">
                  <c:v>シンガポール</c:v>
                </c:pt>
              </c:strCache>
            </c:strRef>
          </c:tx>
          <c:spPr>
            <a:ln w="28575" cap="rnd">
              <a:solidFill>
                <a:srgbClr val="9170AF"/>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偏差値経年!$J$8:$T$8</c:f>
              <c:numCache>
                <c:formatCode>0.0</c:formatCode>
                <c:ptCount val="11"/>
                <c:pt idx="0">
                  <c:v>60.124297505153379</c:v>
                </c:pt>
                <c:pt idx="1">
                  <c:v>60.985617588531532</c:v>
                </c:pt>
                <c:pt idx="2">
                  <c:v>63.501219810053506</c:v>
                </c:pt>
                <c:pt idx="3">
                  <c:v>61.891832376376399</c:v>
                </c:pt>
                <c:pt idx="4">
                  <c:v>62.662136003288637</c:v>
                </c:pt>
                <c:pt idx="5">
                  <c:v>60.639074829022185</c:v>
                </c:pt>
                <c:pt idx="6">
                  <c:v>60.30393311223709</c:v>
                </c:pt>
                <c:pt idx="7">
                  <c:v>61.9</c:v>
                </c:pt>
                <c:pt idx="8">
                  <c:v>60.370986466128784</c:v>
                </c:pt>
                <c:pt idx="9">
                  <c:v>60.086348274666157</c:v>
                </c:pt>
                <c:pt idx="10">
                  <c:v>61.16095700158084</c:v>
                </c:pt>
              </c:numCache>
            </c:numRef>
          </c:val>
          <c:smooth val="0"/>
          <c:extLst>
            <c:ext xmlns:c16="http://schemas.microsoft.com/office/drawing/2014/chart" uri="{C3380CC4-5D6E-409C-BE32-E72D297353CC}">
              <c16:uniqueId val="{00000004-0BB0-48F8-857F-78E0260F1A4E}"/>
            </c:ext>
          </c:extLst>
        </c:ser>
        <c:ser>
          <c:idx val="5"/>
          <c:order val="5"/>
          <c:tx>
            <c:strRef>
              <c:f>偏差値経年!$D$9</c:f>
              <c:strCache>
                <c:ptCount val="1"/>
                <c:pt idx="0">
                  <c:v>アムステルダム</c:v>
                </c:pt>
              </c:strCache>
            </c:strRef>
          </c:tx>
          <c:spPr>
            <a:ln w="28575" cap="rnd">
              <a:solidFill>
                <a:schemeClr val="accent6"/>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偏差値経年!$J$9:$T$9</c:f>
              <c:numCache>
                <c:formatCode>0.0</c:formatCode>
                <c:ptCount val="11"/>
                <c:pt idx="0">
                  <c:v>57.332023461818565</c:v>
                </c:pt>
                <c:pt idx="1">
                  <c:v>56.519498073011746</c:v>
                </c:pt>
                <c:pt idx="2">
                  <c:v>55.960054654544756</c:v>
                </c:pt>
                <c:pt idx="3">
                  <c:v>56.214426992054641</c:v>
                </c:pt>
                <c:pt idx="4">
                  <c:v>57.716518889136275</c:v>
                </c:pt>
                <c:pt idx="5">
                  <c:v>58.618112460630549</c:v>
                </c:pt>
                <c:pt idx="6">
                  <c:v>58.976981525777603</c:v>
                </c:pt>
                <c:pt idx="7">
                  <c:v>58.1</c:v>
                </c:pt>
                <c:pt idx="8">
                  <c:v>59.351852254432707</c:v>
                </c:pt>
                <c:pt idx="9">
                  <c:v>59.807780184385379</c:v>
                </c:pt>
                <c:pt idx="10">
                  <c:v>60.210031950043991</c:v>
                </c:pt>
              </c:numCache>
            </c:numRef>
          </c:val>
          <c:smooth val="0"/>
          <c:extLst>
            <c:ext xmlns:c16="http://schemas.microsoft.com/office/drawing/2014/chart" uri="{C3380CC4-5D6E-409C-BE32-E72D297353CC}">
              <c16:uniqueId val="{00000005-0BB0-48F8-857F-78E0260F1A4E}"/>
            </c:ext>
          </c:extLst>
        </c:ser>
        <c:ser>
          <c:idx val="6"/>
          <c:order val="6"/>
          <c:tx>
            <c:strRef>
              <c:f>偏差値経年!$D$10</c:f>
              <c:strCache>
                <c:ptCount val="1"/>
                <c:pt idx="0">
                  <c:v>ソウル</c:v>
                </c:pt>
              </c:strCache>
            </c:strRef>
          </c:tx>
          <c:spPr>
            <a:ln w="28575" cap="rnd">
              <a:solidFill>
                <a:schemeClr val="accent1">
                  <a:lumMod val="60000"/>
                </a:schemeClr>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偏差値経年!$J$10:$T$10</c:f>
              <c:numCache>
                <c:formatCode>0.0</c:formatCode>
                <c:ptCount val="11"/>
                <c:pt idx="0">
                  <c:v>59.640438656406637</c:v>
                </c:pt>
                <c:pt idx="1">
                  <c:v>59.86916928435123</c:v>
                </c:pt>
                <c:pt idx="2">
                  <c:v>57.35164912293849</c:v>
                </c:pt>
                <c:pt idx="3">
                  <c:v>58.640317098699803</c:v>
                </c:pt>
                <c:pt idx="4">
                  <c:v>58.428987508329683</c:v>
                </c:pt>
                <c:pt idx="5">
                  <c:v>57.333624568470725</c:v>
                </c:pt>
                <c:pt idx="6">
                  <c:v>57.473573813948846</c:v>
                </c:pt>
                <c:pt idx="7">
                  <c:v>56.9</c:v>
                </c:pt>
                <c:pt idx="8">
                  <c:v>56.703495162321175</c:v>
                </c:pt>
                <c:pt idx="9">
                  <c:v>57.696339564827902</c:v>
                </c:pt>
                <c:pt idx="10">
                  <c:v>57.921715618847081</c:v>
                </c:pt>
              </c:numCache>
            </c:numRef>
          </c:val>
          <c:smooth val="0"/>
          <c:extLst>
            <c:ext xmlns:c16="http://schemas.microsoft.com/office/drawing/2014/chart" uri="{C3380CC4-5D6E-409C-BE32-E72D297353CC}">
              <c16:uniqueId val="{00000006-0BB0-48F8-857F-78E0260F1A4E}"/>
            </c:ext>
          </c:extLst>
        </c:ser>
        <c:ser>
          <c:idx val="7"/>
          <c:order val="7"/>
          <c:tx>
            <c:strRef>
              <c:f>偏差値経年!$D$11</c:f>
              <c:strCache>
                <c:ptCount val="1"/>
                <c:pt idx="0">
                  <c:v>ドバイ</c:v>
                </c:pt>
              </c:strCache>
            </c:strRef>
          </c:tx>
          <c:spPr>
            <a:ln w="28575" cap="rnd">
              <a:solidFill>
                <a:schemeClr val="accent2">
                  <a:lumMod val="60000"/>
                </a:schemeClr>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偏差値経年!$J$11:$T$11</c:f>
              <c:numCache>
                <c:formatCode>0.0</c:formatCode>
                <c:ptCount val="11"/>
                <c:pt idx="4">
                  <c:v>49.358446610370734</c:v>
                </c:pt>
                <c:pt idx="5">
                  <c:v>48.392405632487211</c:v>
                </c:pt>
                <c:pt idx="6">
                  <c:v>51.839323901882892</c:v>
                </c:pt>
                <c:pt idx="7">
                  <c:v>52.9</c:v>
                </c:pt>
                <c:pt idx="8">
                  <c:v>54.233895370399743</c:v>
                </c:pt>
                <c:pt idx="9">
                  <c:v>54.41431994965334</c:v>
                </c:pt>
                <c:pt idx="10">
                  <c:v>55.883888956459678</c:v>
                </c:pt>
              </c:numCache>
            </c:numRef>
          </c:val>
          <c:smooth val="0"/>
          <c:extLst>
            <c:ext xmlns:c16="http://schemas.microsoft.com/office/drawing/2014/chart" uri="{C3380CC4-5D6E-409C-BE32-E72D297353CC}">
              <c16:uniqueId val="{00000007-0BB0-48F8-857F-78E0260F1A4E}"/>
            </c:ext>
          </c:extLst>
        </c:ser>
        <c:ser>
          <c:idx val="8"/>
          <c:order val="8"/>
          <c:tx>
            <c:strRef>
              <c:f>偏差値経年!$D$12</c:f>
              <c:strCache>
                <c:ptCount val="1"/>
                <c:pt idx="0">
                  <c:v>メルボルン</c:v>
                </c:pt>
              </c:strCache>
            </c:strRef>
          </c:tx>
          <c:spPr>
            <a:ln w="28575" cap="rnd">
              <a:solidFill>
                <a:schemeClr val="accent3">
                  <a:lumMod val="60000"/>
                </a:schemeClr>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偏差値経年!$J$12:$T$12</c:f>
              <c:numCache>
                <c:formatCode>0.0</c:formatCode>
                <c:ptCount val="11"/>
                <c:pt idx="6">
                  <c:v>55.322980077342741</c:v>
                </c:pt>
                <c:pt idx="7">
                  <c:v>53.3</c:v>
                </c:pt>
                <c:pt idx="8">
                  <c:v>54.873977063584178</c:v>
                </c:pt>
                <c:pt idx="9">
                  <c:v>55.991796723418055</c:v>
                </c:pt>
                <c:pt idx="10">
                  <c:v>55.509420807525188</c:v>
                </c:pt>
              </c:numCache>
            </c:numRef>
          </c:val>
          <c:smooth val="0"/>
          <c:extLst>
            <c:ext xmlns:c16="http://schemas.microsoft.com/office/drawing/2014/chart" uri="{C3380CC4-5D6E-409C-BE32-E72D297353CC}">
              <c16:uniqueId val="{00000008-0BB0-48F8-857F-78E0260F1A4E}"/>
            </c:ext>
          </c:extLst>
        </c:ser>
        <c:ser>
          <c:idx val="9"/>
          <c:order val="9"/>
          <c:tx>
            <c:strRef>
              <c:f>偏差値経年!$D$13</c:f>
              <c:strCache>
                <c:ptCount val="1"/>
                <c:pt idx="0">
                  <c:v>ベルリン</c:v>
                </c:pt>
              </c:strCache>
            </c:strRef>
          </c:tx>
          <c:spPr>
            <a:ln w="28575" cap="rnd">
              <a:solidFill>
                <a:schemeClr val="accent4">
                  <a:lumMod val="60000"/>
                </a:schemeClr>
              </a:solidFill>
              <a:round/>
            </a:ln>
            <a:effectLst/>
          </c:spPr>
          <c:marker>
            <c:symbol val="none"/>
          </c:marker>
          <c:cat>
            <c:strRef>
              <c:f>偏差値経年!$J$3:$T$3</c:f>
              <c:strCache>
                <c:ptCount val="11"/>
                <c:pt idx="0">
                  <c:v>GPCI-
2013</c:v>
                </c:pt>
                <c:pt idx="1">
                  <c:v>GPCI-
2014</c:v>
                </c:pt>
                <c:pt idx="2">
                  <c:v>GPCI-
2015</c:v>
                </c:pt>
                <c:pt idx="3">
                  <c:v>GPCI-
2016</c:v>
                </c:pt>
                <c:pt idx="4">
                  <c:v>GPCI-
2017</c:v>
                </c:pt>
                <c:pt idx="5">
                  <c:v>GPCI-
2018</c:v>
                </c:pt>
                <c:pt idx="6">
                  <c:v>GPCI-
2019</c:v>
                </c:pt>
                <c:pt idx="7">
                  <c:v>GPCI-
2020</c:v>
                </c:pt>
                <c:pt idx="8">
                  <c:v>GPCI-
2021</c:v>
                </c:pt>
                <c:pt idx="9">
                  <c:v>GPCI-
2022</c:v>
                </c:pt>
                <c:pt idx="10">
                  <c:v>GPCI-
2023</c:v>
                </c:pt>
              </c:strCache>
            </c:strRef>
          </c:cat>
          <c:val>
            <c:numRef>
              <c:f>偏差値経年!$J$13:$T$13</c:f>
              <c:numCache>
                <c:formatCode>0.0</c:formatCode>
                <c:ptCount val="11"/>
                <c:pt idx="0">
                  <c:v>56.13068970374681</c:v>
                </c:pt>
                <c:pt idx="1">
                  <c:v>56.488418873077876</c:v>
                </c:pt>
                <c:pt idx="2">
                  <c:v>56.519924127629309</c:v>
                </c:pt>
                <c:pt idx="3">
                  <c:v>55.959947108437355</c:v>
                </c:pt>
                <c:pt idx="4">
                  <c:v>56.568346474194712</c:v>
                </c:pt>
                <c:pt idx="5">
                  <c:v>57.095881510855236</c:v>
                </c:pt>
                <c:pt idx="6">
                  <c:v>57.280813255945816</c:v>
                </c:pt>
                <c:pt idx="7">
                  <c:v>58</c:v>
                </c:pt>
                <c:pt idx="8">
                  <c:v>57.320884250991057</c:v>
                </c:pt>
                <c:pt idx="9">
                  <c:v>57.366394408227528</c:v>
                </c:pt>
                <c:pt idx="10">
                  <c:v>55.319073729880479</c:v>
                </c:pt>
              </c:numCache>
            </c:numRef>
          </c:val>
          <c:smooth val="0"/>
          <c:extLst>
            <c:ext xmlns:c16="http://schemas.microsoft.com/office/drawing/2014/chart" uri="{C3380CC4-5D6E-409C-BE32-E72D297353CC}">
              <c16:uniqueId val="{00000000-F3D5-4FE2-B4FD-54D6CD3C5B22}"/>
            </c:ext>
          </c:extLst>
        </c:ser>
        <c:dLbls>
          <c:showLegendKey val="0"/>
          <c:showVal val="0"/>
          <c:showCatName val="0"/>
          <c:showSerName val="0"/>
          <c:showPercent val="0"/>
          <c:showBubbleSize val="0"/>
        </c:dLbls>
        <c:smooth val="0"/>
        <c:axId val="757369888"/>
        <c:axId val="757368712"/>
      </c:lineChart>
      <c:catAx>
        <c:axId val="757369888"/>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8712"/>
        <c:crosses val="autoZero"/>
        <c:auto val="1"/>
        <c:lblAlgn val="ctr"/>
        <c:lblOffset val="100"/>
        <c:noMultiLvlLbl val="0"/>
      </c:catAx>
      <c:valAx>
        <c:axId val="757368712"/>
        <c:scaling>
          <c:orientation val="minMax"/>
          <c:max val="85"/>
          <c:min val="25"/>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9888"/>
        <c:crosses val="autoZero"/>
        <c:crossBetween val="between"/>
      </c:valAx>
      <c:spPr>
        <a:noFill/>
        <a:ln>
          <a:noFill/>
        </a:ln>
        <a:effectLst/>
      </c:spPr>
    </c:plotArea>
    <c:legend>
      <c:legendPos val="r"/>
      <c:layout>
        <c:manualLayout>
          <c:xMode val="edge"/>
          <c:yMode val="edge"/>
          <c:x val="0.82687515519329391"/>
          <c:y val="8.2829647507691576E-2"/>
          <c:w val="0.15873460348232524"/>
          <c:h val="0.4838658594837075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noFill/>
      <a:round/>
    </a:ln>
    <a:effectLst/>
  </c:spPr>
  <c:txPr>
    <a:bodyPr/>
    <a:lstStyle/>
    <a:p>
      <a:pPr>
        <a:defRPr/>
      </a:pPr>
      <a:endParaRPr lang="ja-JP"/>
    </a:p>
  </c:txPr>
  <c:printSettings>
    <c:headerFooter/>
    <c:pageMargins b="0.75" l="0.25" r="0.25" t="0.75" header="0.3" footer="0.3"/>
    <c:pageSetup paperSize="8"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スコア経年!$D$4</c:f>
              <c:strCache>
                <c:ptCount val="1"/>
                <c:pt idx="0">
                  <c:v>マドリード</c:v>
                </c:pt>
              </c:strCache>
            </c:strRef>
          </c:tx>
          <c:spPr>
            <a:ln w="28575" cap="rnd">
              <a:solidFill>
                <a:schemeClr val="accent1"/>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スコア経年!$E$4:$T$4</c:f>
              <c:numCache>
                <c:formatCode>0.0</c:formatCode>
                <c:ptCount val="16"/>
                <c:pt idx="0">
                  <c:v>1101.9247079602371</c:v>
                </c:pt>
                <c:pt idx="1">
                  <c:v>1152.2175110359169</c:v>
                </c:pt>
                <c:pt idx="2">
                  <c:v>1001.4051948413723</c:v>
                </c:pt>
                <c:pt idx="3">
                  <c:v>972.25220266354188</c:v>
                </c:pt>
                <c:pt idx="4">
                  <c:v>977.5531107073449</c:v>
                </c:pt>
                <c:pt idx="5">
                  <c:v>993.74281141593985</c:v>
                </c:pt>
                <c:pt idx="6">
                  <c:v>984.20063246364782</c:v>
                </c:pt>
                <c:pt idx="7">
                  <c:v>966.14798309360378</c:v>
                </c:pt>
                <c:pt idx="8">
                  <c:v>997.97972147364169</c:v>
                </c:pt>
                <c:pt idx="9">
                  <c:v>1010.4263573629732</c:v>
                </c:pt>
                <c:pt idx="10">
                  <c:v>1088.9283127969009</c:v>
                </c:pt>
                <c:pt idx="11">
                  <c:v>1124.9565874032833</c:v>
                </c:pt>
                <c:pt idx="12">
                  <c:v>1097</c:v>
                </c:pt>
                <c:pt idx="13">
                  <c:v>1126.1585298414584</c:v>
                </c:pt>
                <c:pt idx="14">
                  <c:v>1121.9891103921418</c:v>
                </c:pt>
                <c:pt idx="15">
                  <c:v>1131.5332886492749</c:v>
                </c:pt>
              </c:numCache>
            </c:numRef>
          </c:val>
          <c:smooth val="0"/>
          <c:extLst>
            <c:ext xmlns:c16="http://schemas.microsoft.com/office/drawing/2014/chart" uri="{C3380CC4-5D6E-409C-BE32-E72D297353CC}">
              <c16:uniqueId val="{00000000-4C9A-455F-85E7-4A36BEFCDA84}"/>
            </c:ext>
          </c:extLst>
        </c:ser>
        <c:ser>
          <c:idx val="1"/>
          <c:order val="1"/>
          <c:tx>
            <c:strRef>
              <c:f>スコア経年!$D$5</c:f>
              <c:strCache>
                <c:ptCount val="1"/>
                <c:pt idx="0">
                  <c:v>バルセロナ</c:v>
                </c:pt>
              </c:strCache>
            </c:strRef>
          </c:tx>
          <c:spPr>
            <a:ln w="28575" cap="rnd">
              <a:solidFill>
                <a:schemeClr val="accent2"/>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スコア経年!$E$5:$T$5</c:f>
              <c:numCache>
                <c:formatCode>0.0</c:formatCode>
                <c:ptCount val="16"/>
                <c:pt idx="4">
                  <c:v>1037.7516068359225</c:v>
                </c:pt>
                <c:pt idx="5">
                  <c:v>989.61828681338432</c:v>
                </c:pt>
                <c:pt idx="6">
                  <c:v>935.2541927779688</c:v>
                </c:pt>
                <c:pt idx="7">
                  <c:v>954.96180848283416</c:v>
                </c:pt>
                <c:pt idx="8">
                  <c:v>1035.3042128782872</c:v>
                </c:pt>
                <c:pt idx="9">
                  <c:v>1033.2898597256869</c:v>
                </c:pt>
                <c:pt idx="10">
                  <c:v>1083.4771670706834</c:v>
                </c:pt>
                <c:pt idx="11">
                  <c:v>1076.8136642654249</c:v>
                </c:pt>
                <c:pt idx="12">
                  <c:v>1072.3</c:v>
                </c:pt>
                <c:pt idx="13">
                  <c:v>1077.58746057605</c:v>
                </c:pt>
                <c:pt idx="14">
                  <c:v>1088.1318142698833</c:v>
                </c:pt>
                <c:pt idx="15">
                  <c:v>1067.5603584961584</c:v>
                </c:pt>
              </c:numCache>
            </c:numRef>
          </c:val>
          <c:smooth val="0"/>
          <c:extLst>
            <c:ext xmlns:c16="http://schemas.microsoft.com/office/drawing/2014/chart" uri="{C3380CC4-5D6E-409C-BE32-E72D297353CC}">
              <c16:uniqueId val="{00000001-4C9A-455F-85E7-4A36BEFCDA84}"/>
            </c:ext>
          </c:extLst>
        </c:ser>
        <c:ser>
          <c:idx val="2"/>
          <c:order val="2"/>
          <c:tx>
            <c:strRef>
              <c:f>スコア経年!$D$6</c:f>
              <c:strCache>
                <c:ptCount val="1"/>
                <c:pt idx="0">
                  <c:v>ロンドン</c:v>
                </c:pt>
              </c:strCache>
            </c:strRef>
          </c:tx>
          <c:spPr>
            <a:ln w="28575" cap="rnd">
              <a:solidFill>
                <a:srgbClr val="DB5334"/>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スコア経年!$E$6:$T$6</c:f>
              <c:numCache>
                <c:formatCode>0.0</c:formatCode>
                <c:ptCount val="16"/>
                <c:pt idx="0">
                  <c:v>1598.5391764325204</c:v>
                </c:pt>
                <c:pt idx="1">
                  <c:v>1531.1641861369289</c:v>
                </c:pt>
                <c:pt idx="2">
                  <c:v>1503.7313778857824</c:v>
                </c:pt>
                <c:pt idx="3">
                  <c:v>1537.1473041029617</c:v>
                </c:pt>
                <c:pt idx="4">
                  <c:v>1562.642836355526</c:v>
                </c:pt>
                <c:pt idx="5">
                  <c:v>1568.451032114278</c:v>
                </c:pt>
                <c:pt idx="6">
                  <c:v>1598.5202165353248</c:v>
                </c:pt>
                <c:pt idx="7">
                  <c:v>1623.9295309361985</c:v>
                </c:pt>
                <c:pt idx="8">
                  <c:v>1614.9799452461964</c:v>
                </c:pt>
                <c:pt idx="9">
                  <c:v>1666.9572697773926</c:v>
                </c:pt>
                <c:pt idx="10">
                  <c:v>1692.2862327649866</c:v>
                </c:pt>
                <c:pt idx="11">
                  <c:v>1669.1422798054998</c:v>
                </c:pt>
                <c:pt idx="12">
                  <c:v>1661.1</c:v>
                </c:pt>
                <c:pt idx="13">
                  <c:v>1644.0566730753167</c:v>
                </c:pt>
                <c:pt idx="14">
                  <c:v>1592.3605192160085</c:v>
                </c:pt>
                <c:pt idx="15">
                  <c:v>1646.7303259913833</c:v>
                </c:pt>
              </c:numCache>
            </c:numRef>
          </c:val>
          <c:smooth val="0"/>
          <c:extLst>
            <c:ext xmlns:c16="http://schemas.microsoft.com/office/drawing/2014/chart" uri="{C3380CC4-5D6E-409C-BE32-E72D297353CC}">
              <c16:uniqueId val="{00000002-4C9A-455F-85E7-4A36BEFCDA84}"/>
            </c:ext>
          </c:extLst>
        </c:ser>
        <c:ser>
          <c:idx val="3"/>
          <c:order val="3"/>
          <c:tx>
            <c:strRef>
              <c:f>スコア経年!$D$7</c:f>
              <c:strCache>
                <c:ptCount val="1"/>
                <c:pt idx="0">
                  <c:v>パリ</c:v>
                </c:pt>
              </c:strCache>
            </c:strRef>
          </c:tx>
          <c:spPr>
            <a:ln w="28575" cap="rnd">
              <a:solidFill>
                <a:srgbClr val="90C31F"/>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スコア経年!$E$7:$T$7</c:f>
              <c:numCache>
                <c:formatCode>0.0</c:formatCode>
                <c:ptCount val="16"/>
                <c:pt idx="0">
                  <c:v>1487.6686963229367</c:v>
                </c:pt>
                <c:pt idx="1">
                  <c:v>1510.0719929514607</c:v>
                </c:pt>
                <c:pt idx="2">
                  <c:v>1453.2201837332152</c:v>
                </c:pt>
                <c:pt idx="3">
                  <c:v>1480.3515054931429</c:v>
                </c:pt>
                <c:pt idx="4">
                  <c:v>1451.9528370791486</c:v>
                </c:pt>
                <c:pt idx="5">
                  <c:v>1389.7889356189107</c:v>
                </c:pt>
                <c:pt idx="6">
                  <c:v>1390.4629466251251</c:v>
                </c:pt>
                <c:pt idx="7">
                  <c:v>1397.4456692916367</c:v>
                </c:pt>
                <c:pt idx="8">
                  <c:v>1378.0001497837422</c:v>
                </c:pt>
                <c:pt idx="9">
                  <c:v>1369.9566429192471</c:v>
                </c:pt>
                <c:pt idx="10">
                  <c:v>1393.9261439279549</c:v>
                </c:pt>
                <c:pt idx="11">
                  <c:v>1387.6681457178418</c:v>
                </c:pt>
                <c:pt idx="12">
                  <c:v>1325.4</c:v>
                </c:pt>
                <c:pt idx="13">
                  <c:v>1350.7584270593247</c:v>
                </c:pt>
                <c:pt idx="14">
                  <c:v>1356.881205476275</c:v>
                </c:pt>
                <c:pt idx="15">
                  <c:v>1363.7038405149415</c:v>
                </c:pt>
              </c:numCache>
            </c:numRef>
          </c:val>
          <c:smooth val="0"/>
          <c:extLst>
            <c:ext xmlns:c16="http://schemas.microsoft.com/office/drawing/2014/chart" uri="{C3380CC4-5D6E-409C-BE32-E72D297353CC}">
              <c16:uniqueId val="{00000003-4C9A-455F-85E7-4A36BEFCDA84}"/>
            </c:ext>
          </c:extLst>
        </c:ser>
        <c:ser>
          <c:idx val="4"/>
          <c:order val="4"/>
          <c:tx>
            <c:strRef>
              <c:f>スコア経年!$D$8</c:f>
              <c:strCache>
                <c:ptCount val="1"/>
                <c:pt idx="0">
                  <c:v>ブリュッセル</c:v>
                </c:pt>
              </c:strCache>
            </c:strRef>
          </c:tx>
          <c:spPr>
            <a:ln w="28575" cap="rnd">
              <a:solidFill>
                <a:schemeClr val="accent5"/>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スコア経年!$E$8:$T$8</c:f>
              <c:numCache>
                <c:formatCode>0.0</c:formatCode>
                <c:ptCount val="16"/>
                <c:pt idx="0">
                  <c:v>1086.1368833480738</c:v>
                </c:pt>
                <c:pt idx="1">
                  <c:v>1092.2508390811981</c:v>
                </c:pt>
                <c:pt idx="2">
                  <c:v>972.97579071774931</c:v>
                </c:pt>
                <c:pt idx="3">
                  <c:v>954.95379310527289</c:v>
                </c:pt>
                <c:pt idx="4">
                  <c:v>1001.9455677334907</c:v>
                </c:pt>
                <c:pt idx="5">
                  <c:v>974.62847910343226</c:v>
                </c:pt>
                <c:pt idx="6">
                  <c:v>951.69258545306911</c:v>
                </c:pt>
                <c:pt idx="7">
                  <c:v>958.06245976067737</c:v>
                </c:pt>
                <c:pt idx="8">
                  <c:v>1023.1546837200937</c:v>
                </c:pt>
                <c:pt idx="9">
                  <c:v>1045.5021673840361</c:v>
                </c:pt>
                <c:pt idx="10">
                  <c:v>1078.0454740951939</c:v>
                </c:pt>
                <c:pt idx="11">
                  <c:v>1044.2784751233917</c:v>
                </c:pt>
                <c:pt idx="12">
                  <c:v>993.4</c:v>
                </c:pt>
                <c:pt idx="13">
                  <c:v>1023.2249518985501</c:v>
                </c:pt>
                <c:pt idx="14">
                  <c:v>1049.7332054061499</c:v>
                </c:pt>
                <c:pt idx="15">
                  <c:v>1049.2927396257251</c:v>
                </c:pt>
              </c:numCache>
            </c:numRef>
          </c:val>
          <c:smooth val="0"/>
          <c:extLst>
            <c:ext xmlns:c16="http://schemas.microsoft.com/office/drawing/2014/chart" uri="{C3380CC4-5D6E-409C-BE32-E72D297353CC}">
              <c16:uniqueId val="{00000004-4C9A-455F-85E7-4A36BEFCDA84}"/>
            </c:ext>
          </c:extLst>
        </c:ser>
        <c:ser>
          <c:idx val="5"/>
          <c:order val="5"/>
          <c:tx>
            <c:strRef>
              <c:f>スコア経年!$D$9</c:f>
              <c:strCache>
                <c:ptCount val="1"/>
                <c:pt idx="0">
                  <c:v>アムステルダム</c:v>
                </c:pt>
              </c:strCache>
            </c:strRef>
          </c:tx>
          <c:spPr>
            <a:ln w="28575" cap="rnd">
              <a:solidFill>
                <a:schemeClr val="accent6"/>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スコア経年!$E$9:$T$9</c:f>
              <c:numCache>
                <c:formatCode>0.0</c:formatCode>
                <c:ptCount val="16"/>
                <c:pt idx="0">
                  <c:v>1233.6552089173426</c:v>
                </c:pt>
                <c:pt idx="1">
                  <c:v>1190.3223324553803</c:v>
                </c:pt>
                <c:pt idx="2">
                  <c:v>1106.5064558158028</c:v>
                </c:pt>
                <c:pt idx="3">
                  <c:v>1086.5041882790049</c:v>
                </c:pt>
                <c:pt idx="4">
                  <c:v>1149.3309253978641</c:v>
                </c:pt>
                <c:pt idx="5">
                  <c:v>1142.3489810313383</c:v>
                </c:pt>
                <c:pt idx="6">
                  <c:v>1135.5936460367955</c:v>
                </c:pt>
                <c:pt idx="7">
                  <c:v>1134.7791749215542</c:v>
                </c:pt>
                <c:pt idx="8">
                  <c:v>1160.1743437951466</c:v>
                </c:pt>
                <c:pt idx="9">
                  <c:v>1207.1949118330722</c:v>
                </c:pt>
                <c:pt idx="10">
                  <c:v>1265.8917237145204</c:v>
                </c:pt>
                <c:pt idx="11">
                  <c:v>1236.0444632720169</c:v>
                </c:pt>
                <c:pt idx="12">
                  <c:v>1187.4000000000001</c:v>
                </c:pt>
                <c:pt idx="13">
                  <c:v>1212.7885499351416</c:v>
                </c:pt>
                <c:pt idx="14">
                  <c:v>1228.5477094100249</c:v>
                </c:pt>
                <c:pt idx="15">
                  <c:v>1246.3159718095417</c:v>
                </c:pt>
              </c:numCache>
            </c:numRef>
          </c:val>
          <c:smooth val="0"/>
          <c:extLst>
            <c:ext xmlns:c16="http://schemas.microsoft.com/office/drawing/2014/chart" uri="{C3380CC4-5D6E-409C-BE32-E72D297353CC}">
              <c16:uniqueId val="{00000005-4C9A-455F-85E7-4A36BEFCDA84}"/>
            </c:ext>
          </c:extLst>
        </c:ser>
        <c:ser>
          <c:idx val="6"/>
          <c:order val="6"/>
          <c:tx>
            <c:strRef>
              <c:f>スコア経年!$D$10</c:f>
              <c:strCache>
                <c:ptCount val="1"/>
                <c:pt idx="0">
                  <c:v>ジュネーブ</c:v>
                </c:pt>
              </c:strCache>
            </c:strRef>
          </c:tx>
          <c:spPr>
            <a:ln w="28575" cap="rnd">
              <a:solidFill>
                <a:schemeClr val="accent1">
                  <a:lumMod val="6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スコア経年!$E$10:$T$10</c:f>
              <c:numCache>
                <c:formatCode>0.0</c:formatCode>
                <c:ptCount val="16"/>
                <c:pt idx="0">
                  <c:v>1070.4702348929623</c:v>
                </c:pt>
                <c:pt idx="1">
                  <c:v>1091.388286542955</c:v>
                </c:pt>
                <c:pt idx="2">
                  <c:v>985.04891766189996</c:v>
                </c:pt>
                <c:pt idx="3">
                  <c:v>984.00162453195048</c:v>
                </c:pt>
                <c:pt idx="4">
                  <c:v>933.60954637476948</c:v>
                </c:pt>
                <c:pt idx="5">
                  <c:v>938.69650595390533</c:v>
                </c:pt>
                <c:pt idx="6">
                  <c:v>925.62702568733675</c:v>
                </c:pt>
                <c:pt idx="7">
                  <c:v>942.66689922834894</c:v>
                </c:pt>
                <c:pt idx="8">
                  <c:v>960.23807125876374</c:v>
                </c:pt>
                <c:pt idx="9">
                  <c:v>963.55787687046245</c:v>
                </c:pt>
                <c:pt idx="10">
                  <c:v>999.39818681040435</c:v>
                </c:pt>
                <c:pt idx="11">
                  <c:v>986.29085835359183</c:v>
                </c:pt>
                <c:pt idx="12">
                  <c:v>964.9</c:v>
                </c:pt>
                <c:pt idx="13">
                  <c:v>981.26934422457498</c:v>
                </c:pt>
                <c:pt idx="14">
                  <c:v>1007.9869169406834</c:v>
                </c:pt>
                <c:pt idx="15">
                  <c:v>1042.9079798212251</c:v>
                </c:pt>
              </c:numCache>
            </c:numRef>
          </c:val>
          <c:smooth val="0"/>
          <c:extLst>
            <c:ext xmlns:c16="http://schemas.microsoft.com/office/drawing/2014/chart" uri="{C3380CC4-5D6E-409C-BE32-E72D297353CC}">
              <c16:uniqueId val="{00000006-4C9A-455F-85E7-4A36BEFCDA84}"/>
            </c:ext>
          </c:extLst>
        </c:ser>
        <c:ser>
          <c:idx val="7"/>
          <c:order val="7"/>
          <c:tx>
            <c:strRef>
              <c:f>スコア経年!$D$11</c:f>
              <c:strCache>
                <c:ptCount val="1"/>
                <c:pt idx="0">
                  <c:v>フランクフルト</c:v>
                </c:pt>
              </c:strCache>
            </c:strRef>
          </c:tx>
          <c:spPr>
            <a:ln w="28575" cap="rnd">
              <a:solidFill>
                <a:schemeClr val="accent2">
                  <a:lumMod val="6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スコア経年!$E$11:$T$11</c:f>
              <c:numCache>
                <c:formatCode>0.0</c:formatCode>
                <c:ptCount val="16"/>
                <c:pt idx="0">
                  <c:v>1144.4690839782288</c:v>
                </c:pt>
                <c:pt idx="1">
                  <c:v>1106.3450344998321</c:v>
                </c:pt>
                <c:pt idx="2">
                  <c:v>1018.0677857464474</c:v>
                </c:pt>
                <c:pt idx="3">
                  <c:v>1079.5295057375686</c:v>
                </c:pt>
                <c:pt idx="4">
                  <c:v>1040.0626945259075</c:v>
                </c:pt>
                <c:pt idx="5">
                  <c:v>1070.7868473856847</c:v>
                </c:pt>
                <c:pt idx="6">
                  <c:v>1063.1060337117319</c:v>
                </c:pt>
                <c:pt idx="7">
                  <c:v>1057.3698057476338</c:v>
                </c:pt>
                <c:pt idx="8">
                  <c:v>1103.6313733278971</c:v>
                </c:pt>
                <c:pt idx="9">
                  <c:v>1132.4289416585982</c:v>
                </c:pt>
                <c:pt idx="10">
                  <c:v>1140.3793390686187</c:v>
                </c:pt>
                <c:pt idx="11">
                  <c:v>1100.8584433543083</c:v>
                </c:pt>
                <c:pt idx="12">
                  <c:v>1043</c:v>
                </c:pt>
                <c:pt idx="13">
                  <c:v>1014.2436670975751</c:v>
                </c:pt>
                <c:pt idx="14">
                  <c:v>1073.5710320743833</c:v>
                </c:pt>
                <c:pt idx="15">
                  <c:v>1086.1963098475917</c:v>
                </c:pt>
              </c:numCache>
            </c:numRef>
          </c:val>
          <c:smooth val="0"/>
          <c:extLst>
            <c:ext xmlns:c16="http://schemas.microsoft.com/office/drawing/2014/chart" uri="{C3380CC4-5D6E-409C-BE32-E72D297353CC}">
              <c16:uniqueId val="{00000007-4C9A-455F-85E7-4A36BEFCDA84}"/>
            </c:ext>
          </c:extLst>
        </c:ser>
        <c:ser>
          <c:idx val="8"/>
          <c:order val="8"/>
          <c:tx>
            <c:strRef>
              <c:f>スコア経年!$D$12</c:f>
              <c:strCache>
                <c:ptCount val="1"/>
                <c:pt idx="0">
                  <c:v>ベルリン</c:v>
                </c:pt>
              </c:strCache>
            </c:strRef>
          </c:tx>
          <c:spPr>
            <a:ln w="28575" cap="rnd">
              <a:solidFill>
                <a:schemeClr val="accent3">
                  <a:lumMod val="6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スコア経年!$E$12:$T$12</c:f>
              <c:numCache>
                <c:formatCode>0.0</c:formatCode>
                <c:ptCount val="16"/>
                <c:pt idx="0">
                  <c:v>1261.2737348933774</c:v>
                </c:pt>
                <c:pt idx="1">
                  <c:v>1231.9329790841207</c:v>
                </c:pt>
                <c:pt idx="2">
                  <c:v>1116.6507848087265</c:v>
                </c:pt>
                <c:pt idx="3">
                  <c:v>1125.64154787041</c:v>
                </c:pt>
                <c:pt idx="4">
                  <c:v>1126.7092543982478</c:v>
                </c:pt>
                <c:pt idx="5">
                  <c:v>1118.487854516859</c:v>
                </c:pt>
                <c:pt idx="6">
                  <c:v>1134.97177164564</c:v>
                </c:pt>
                <c:pt idx="7">
                  <c:v>1146.3093687475609</c:v>
                </c:pt>
                <c:pt idx="8">
                  <c:v>1154.8483744368029</c:v>
                </c:pt>
                <c:pt idx="9">
                  <c:v>1183.6853689434397</c:v>
                </c:pt>
                <c:pt idx="10">
                  <c:v>1232.2487841525167</c:v>
                </c:pt>
                <c:pt idx="11">
                  <c:v>1201.7260395184501</c:v>
                </c:pt>
                <c:pt idx="12">
                  <c:v>1185.4000000000001</c:v>
                </c:pt>
                <c:pt idx="13">
                  <c:v>1172.9390645612168</c:v>
                </c:pt>
                <c:pt idx="14">
                  <c:v>1182.9228358890668</c:v>
                </c:pt>
                <c:pt idx="15">
                  <c:v>1151.744019078875</c:v>
                </c:pt>
              </c:numCache>
            </c:numRef>
          </c:val>
          <c:smooth val="0"/>
          <c:extLst>
            <c:ext xmlns:c16="http://schemas.microsoft.com/office/drawing/2014/chart" uri="{C3380CC4-5D6E-409C-BE32-E72D297353CC}">
              <c16:uniqueId val="{00000008-4C9A-455F-85E7-4A36BEFCDA84}"/>
            </c:ext>
          </c:extLst>
        </c:ser>
        <c:ser>
          <c:idx val="9"/>
          <c:order val="9"/>
          <c:tx>
            <c:strRef>
              <c:f>スコア経年!$D$13</c:f>
              <c:strCache>
                <c:ptCount val="1"/>
                <c:pt idx="0">
                  <c:v>ミラノ</c:v>
                </c:pt>
              </c:strCache>
            </c:strRef>
          </c:tx>
          <c:spPr>
            <a:ln w="28575" cap="rnd">
              <a:solidFill>
                <a:schemeClr val="accent4">
                  <a:lumMod val="6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スコア経年!$E$13:$T$13</c:f>
              <c:numCache>
                <c:formatCode>0.0</c:formatCode>
                <c:ptCount val="16"/>
                <c:pt idx="0">
                  <c:v>919.68892893018722</c:v>
                </c:pt>
                <c:pt idx="1">
                  <c:v>966.9223672957296</c:v>
                </c:pt>
                <c:pt idx="2">
                  <c:v>883.42436155193514</c:v>
                </c:pt>
                <c:pt idx="3">
                  <c:v>880.41186500545575</c:v>
                </c:pt>
                <c:pt idx="4">
                  <c:v>914.99461532901307</c:v>
                </c:pt>
                <c:pt idx="5">
                  <c:v>893.32826678849233</c:v>
                </c:pt>
                <c:pt idx="6">
                  <c:v>940.57617664765019</c:v>
                </c:pt>
                <c:pt idx="7">
                  <c:v>927.32293024094645</c:v>
                </c:pt>
                <c:pt idx="8">
                  <c:v>941.41761921393072</c:v>
                </c:pt>
                <c:pt idx="9">
                  <c:v>976.00472269156455</c:v>
                </c:pt>
                <c:pt idx="10">
                  <c:v>987.30377883899314</c:v>
                </c:pt>
                <c:pt idx="11">
                  <c:v>980.50120822565827</c:v>
                </c:pt>
                <c:pt idx="12">
                  <c:v>922</c:v>
                </c:pt>
                <c:pt idx="13">
                  <c:v>962.67570823050835</c:v>
                </c:pt>
                <c:pt idx="14">
                  <c:v>1017.0641342225333</c:v>
                </c:pt>
                <c:pt idx="15">
                  <c:v>990.65583793154997</c:v>
                </c:pt>
              </c:numCache>
            </c:numRef>
          </c:val>
          <c:smooth val="0"/>
          <c:extLst>
            <c:ext xmlns:c16="http://schemas.microsoft.com/office/drawing/2014/chart" uri="{C3380CC4-5D6E-409C-BE32-E72D297353CC}">
              <c16:uniqueId val="{00000009-4C9A-455F-85E7-4A36BEFCDA84}"/>
            </c:ext>
          </c:extLst>
        </c:ser>
        <c:ser>
          <c:idx val="10"/>
          <c:order val="10"/>
          <c:tx>
            <c:strRef>
              <c:f>スコア経年!$D$14</c:f>
              <c:strCache>
                <c:ptCount val="1"/>
                <c:pt idx="0">
                  <c:v>チューリッヒ</c:v>
                </c:pt>
              </c:strCache>
            </c:strRef>
          </c:tx>
          <c:spPr>
            <a:ln w="28575" cap="rnd">
              <a:solidFill>
                <a:schemeClr val="accent5">
                  <a:lumMod val="6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スコア経年!$E$14:$T$14</c:f>
              <c:numCache>
                <c:formatCode>0.0</c:formatCode>
                <c:ptCount val="16"/>
                <c:pt idx="0">
                  <c:v>1151.5038420019296</c:v>
                </c:pt>
                <c:pt idx="1">
                  <c:v>1152.320804834291</c:v>
                </c:pt>
                <c:pt idx="2">
                  <c:v>1030.9987610272678</c:v>
                </c:pt>
                <c:pt idx="3">
                  <c:v>1013.8045233383062</c:v>
                </c:pt>
                <c:pt idx="4">
                  <c:v>1009.0700998027842</c:v>
                </c:pt>
                <c:pt idx="5">
                  <c:v>1038.0296263450448</c:v>
                </c:pt>
                <c:pt idx="6">
                  <c:v>1047.6579627299852</c:v>
                </c:pt>
                <c:pt idx="7">
                  <c:v>1033.5603729393074</c:v>
                </c:pt>
                <c:pt idx="8">
                  <c:v>1051.4686558911264</c:v>
                </c:pt>
                <c:pt idx="9">
                  <c:v>1065.2168299150655</c:v>
                </c:pt>
                <c:pt idx="10">
                  <c:v>1132.8640049656935</c:v>
                </c:pt>
                <c:pt idx="11">
                  <c:v>1117.2704574621082</c:v>
                </c:pt>
                <c:pt idx="12">
                  <c:v>1073.5</c:v>
                </c:pt>
                <c:pt idx="13">
                  <c:v>1069.28793876755</c:v>
                </c:pt>
                <c:pt idx="14">
                  <c:v>1098.949982262375</c:v>
                </c:pt>
                <c:pt idx="15">
                  <c:v>1088.5254766757585</c:v>
                </c:pt>
              </c:numCache>
            </c:numRef>
          </c:val>
          <c:smooth val="0"/>
          <c:extLst>
            <c:ext xmlns:c16="http://schemas.microsoft.com/office/drawing/2014/chart" uri="{C3380CC4-5D6E-409C-BE32-E72D297353CC}">
              <c16:uniqueId val="{0000000A-4C9A-455F-85E7-4A36BEFCDA84}"/>
            </c:ext>
          </c:extLst>
        </c:ser>
        <c:ser>
          <c:idx val="11"/>
          <c:order val="11"/>
          <c:tx>
            <c:strRef>
              <c:f>スコア経年!$D$15</c:f>
              <c:strCache>
                <c:ptCount val="1"/>
                <c:pt idx="0">
                  <c:v>コペンハーゲン</c:v>
                </c:pt>
              </c:strCache>
            </c:strRef>
          </c:tx>
          <c:spPr>
            <a:ln w="28575" cap="rnd">
              <a:solidFill>
                <a:schemeClr val="accent6">
                  <a:lumMod val="6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スコア経年!$E$15:$T$15</c:f>
              <c:numCache>
                <c:formatCode>0.0</c:formatCode>
                <c:ptCount val="16"/>
                <c:pt idx="0">
                  <c:v>1129.511326815498</c:v>
                </c:pt>
                <c:pt idx="1">
                  <c:v>1101.0580391700319</c:v>
                </c:pt>
                <c:pt idx="2">
                  <c:v>989.13746194319356</c:v>
                </c:pt>
                <c:pt idx="3">
                  <c:v>974.42235839863815</c:v>
                </c:pt>
                <c:pt idx="4">
                  <c:v>1000.1898323956416</c:v>
                </c:pt>
                <c:pt idx="5">
                  <c:v>989.27499813956649</c:v>
                </c:pt>
                <c:pt idx="6">
                  <c:v>991.59667139680823</c:v>
                </c:pt>
                <c:pt idx="7">
                  <c:v>994.12902445085217</c:v>
                </c:pt>
                <c:pt idx="8">
                  <c:v>1038.0773882755464</c:v>
                </c:pt>
                <c:pt idx="9">
                  <c:v>1051.4983422120492</c:v>
                </c:pt>
                <c:pt idx="10">
                  <c:v>1125.5187106020423</c:v>
                </c:pt>
                <c:pt idx="11">
                  <c:v>1087.354994984375</c:v>
                </c:pt>
                <c:pt idx="12">
                  <c:v>1080.5</c:v>
                </c:pt>
                <c:pt idx="13">
                  <c:v>1094.3558590052</c:v>
                </c:pt>
                <c:pt idx="14">
                  <c:v>1112.8502467529834</c:v>
                </c:pt>
                <c:pt idx="15">
                  <c:v>1138.8847340470165</c:v>
                </c:pt>
              </c:numCache>
            </c:numRef>
          </c:val>
          <c:smooth val="0"/>
          <c:extLst>
            <c:ext xmlns:c16="http://schemas.microsoft.com/office/drawing/2014/chart" uri="{C3380CC4-5D6E-409C-BE32-E72D297353CC}">
              <c16:uniqueId val="{0000000B-4C9A-455F-85E7-4A36BEFCDA84}"/>
            </c:ext>
          </c:extLst>
        </c:ser>
        <c:ser>
          <c:idx val="12"/>
          <c:order val="12"/>
          <c:tx>
            <c:strRef>
              <c:f>スコア経年!$D$16</c:f>
              <c:strCache>
                <c:ptCount val="1"/>
                <c:pt idx="0">
                  <c:v>ウィーン</c:v>
                </c:pt>
              </c:strCache>
            </c:strRef>
          </c:tx>
          <c:spPr>
            <a:ln w="28575" cap="rnd">
              <a:solidFill>
                <a:schemeClr val="accent1">
                  <a:lumMod val="80000"/>
                  <a:lumOff val="2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スコア経年!$E$16:$T$16</c:f>
              <c:numCache>
                <c:formatCode>0.0</c:formatCode>
                <c:ptCount val="16"/>
                <c:pt idx="0">
                  <c:v>1300.7691305443559</c:v>
                </c:pt>
                <c:pt idx="1">
                  <c:v>1212.2112552230351</c:v>
                </c:pt>
                <c:pt idx="2">
                  <c:v>1042.4821777285711</c:v>
                </c:pt>
                <c:pt idx="3">
                  <c:v>1032.4093127954336</c:v>
                </c:pt>
                <c:pt idx="4">
                  <c:v>1093.8377440895117</c:v>
                </c:pt>
                <c:pt idx="5">
                  <c:v>1092.0320538905503</c:v>
                </c:pt>
                <c:pt idx="6">
                  <c:v>1080.4904704492562</c:v>
                </c:pt>
                <c:pt idx="7">
                  <c:v>1080.3693483781319</c:v>
                </c:pt>
                <c:pt idx="8">
                  <c:v>1125.1368107492433</c:v>
                </c:pt>
                <c:pt idx="9">
                  <c:v>1117.5974394952593</c:v>
                </c:pt>
                <c:pt idx="10">
                  <c:v>1125.6993281602743</c:v>
                </c:pt>
                <c:pt idx="11">
                  <c:v>1085.9361172051749</c:v>
                </c:pt>
                <c:pt idx="12">
                  <c:v>1085</c:v>
                </c:pt>
                <c:pt idx="13">
                  <c:v>1076.3055956640085</c:v>
                </c:pt>
                <c:pt idx="14">
                  <c:v>1102.9400135056917</c:v>
                </c:pt>
                <c:pt idx="15">
                  <c:v>1133.217755540225</c:v>
                </c:pt>
              </c:numCache>
            </c:numRef>
          </c:val>
          <c:smooth val="0"/>
          <c:extLst>
            <c:ext xmlns:c16="http://schemas.microsoft.com/office/drawing/2014/chart" uri="{C3380CC4-5D6E-409C-BE32-E72D297353CC}">
              <c16:uniqueId val="{0000000C-4C9A-455F-85E7-4A36BEFCDA84}"/>
            </c:ext>
          </c:extLst>
        </c:ser>
        <c:ser>
          <c:idx val="13"/>
          <c:order val="13"/>
          <c:tx>
            <c:strRef>
              <c:f>スコア経年!$D$17</c:f>
              <c:strCache>
                <c:ptCount val="1"/>
                <c:pt idx="0">
                  <c:v>ストックホルム</c:v>
                </c:pt>
              </c:strCache>
            </c:strRef>
          </c:tx>
          <c:spPr>
            <a:ln w="28575" cap="rnd">
              <a:solidFill>
                <a:schemeClr val="accent2">
                  <a:lumMod val="80000"/>
                  <a:lumOff val="2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スコア経年!$E$17:$T$17</c:f>
              <c:numCache>
                <c:formatCode>0.0</c:formatCode>
                <c:ptCount val="16"/>
                <c:pt idx="4">
                  <c:v>1034.1155267252216</c:v>
                </c:pt>
                <c:pt idx="5">
                  <c:v>1020.3301758648837</c:v>
                </c:pt>
                <c:pt idx="6">
                  <c:v>1026.7457059419858</c:v>
                </c:pt>
                <c:pt idx="7">
                  <c:v>1026.0239779065755</c:v>
                </c:pt>
                <c:pt idx="8">
                  <c:v>1060.8472988053861</c:v>
                </c:pt>
                <c:pt idx="9">
                  <c:v>1097.7413056564656</c:v>
                </c:pt>
                <c:pt idx="10">
                  <c:v>1179.1831259993692</c:v>
                </c:pt>
                <c:pt idx="11">
                  <c:v>1117.2972706059418</c:v>
                </c:pt>
                <c:pt idx="12">
                  <c:v>1050</c:v>
                </c:pt>
                <c:pt idx="13">
                  <c:v>1056.7778019126333</c:v>
                </c:pt>
                <c:pt idx="14">
                  <c:v>1095.207243999025</c:v>
                </c:pt>
                <c:pt idx="15">
                  <c:v>1117.7952964830665</c:v>
                </c:pt>
              </c:numCache>
            </c:numRef>
          </c:val>
          <c:smooth val="0"/>
          <c:extLst>
            <c:ext xmlns:c16="http://schemas.microsoft.com/office/drawing/2014/chart" uri="{C3380CC4-5D6E-409C-BE32-E72D297353CC}">
              <c16:uniqueId val="{0000000D-4C9A-455F-85E7-4A36BEFCDA84}"/>
            </c:ext>
          </c:extLst>
        </c:ser>
        <c:ser>
          <c:idx val="14"/>
          <c:order val="14"/>
          <c:tx>
            <c:strRef>
              <c:f>スコア経年!$D$18</c:f>
              <c:strCache>
                <c:ptCount val="1"/>
                <c:pt idx="0">
                  <c:v>イスタンブール</c:v>
                </c:pt>
              </c:strCache>
            </c:strRef>
          </c:tx>
          <c:spPr>
            <a:ln w="28575" cap="rnd">
              <a:solidFill>
                <a:schemeClr val="accent3">
                  <a:lumMod val="80000"/>
                  <a:lumOff val="2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スコア経年!$E$18:$T$18</c:f>
              <c:numCache>
                <c:formatCode>0.0</c:formatCode>
                <c:ptCount val="16"/>
                <c:pt idx="4">
                  <c:v>941.80723431283161</c:v>
                </c:pt>
                <c:pt idx="5">
                  <c:v>905.42751590895773</c:v>
                </c:pt>
                <c:pt idx="6">
                  <c:v>969.52037259951294</c:v>
                </c:pt>
                <c:pt idx="7">
                  <c:v>918.99783750684367</c:v>
                </c:pt>
                <c:pt idx="8">
                  <c:v>1025.1017873281087</c:v>
                </c:pt>
                <c:pt idx="9">
                  <c:v>989.59424918751688</c:v>
                </c:pt>
                <c:pt idx="10">
                  <c:v>951.64828423512563</c:v>
                </c:pt>
                <c:pt idx="11">
                  <c:v>951.91141708405848</c:v>
                </c:pt>
                <c:pt idx="12">
                  <c:v>951.1</c:v>
                </c:pt>
                <c:pt idx="13">
                  <c:v>953.37819845617503</c:v>
                </c:pt>
                <c:pt idx="14">
                  <c:v>997.29662320337502</c:v>
                </c:pt>
                <c:pt idx="15">
                  <c:v>1017.1653245361416</c:v>
                </c:pt>
              </c:numCache>
            </c:numRef>
          </c:val>
          <c:smooth val="0"/>
          <c:extLst>
            <c:ext xmlns:c16="http://schemas.microsoft.com/office/drawing/2014/chart" uri="{C3380CC4-5D6E-409C-BE32-E72D297353CC}">
              <c16:uniqueId val="{0000000E-4C9A-455F-85E7-4A36BEFCDA84}"/>
            </c:ext>
          </c:extLst>
        </c:ser>
        <c:ser>
          <c:idx val="15"/>
          <c:order val="15"/>
          <c:tx>
            <c:strRef>
              <c:f>スコア経年!$D$19</c:f>
              <c:strCache>
                <c:ptCount val="1"/>
                <c:pt idx="0">
                  <c:v>カイロ</c:v>
                </c:pt>
              </c:strCache>
            </c:strRef>
          </c:tx>
          <c:spPr>
            <a:ln w="28575" cap="rnd">
              <a:solidFill>
                <a:schemeClr val="accent4">
                  <a:lumMod val="80000"/>
                  <a:lumOff val="2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スコア経年!$E$19:$T$19</c:f>
              <c:numCache>
                <c:formatCode>0.0</c:formatCode>
                <c:ptCount val="16"/>
                <c:pt idx="1">
                  <c:v>628.16133061273717</c:v>
                </c:pt>
                <c:pt idx="2">
                  <c:v>659.94384611890689</c:v>
                </c:pt>
                <c:pt idx="3">
                  <c:v>667.02952563145584</c:v>
                </c:pt>
                <c:pt idx="4">
                  <c:v>646.60830698224493</c:v>
                </c:pt>
                <c:pt idx="5">
                  <c:v>623.92004583401274</c:v>
                </c:pt>
                <c:pt idx="6">
                  <c:v>578.24983564301112</c:v>
                </c:pt>
                <c:pt idx="7">
                  <c:v>580.17602750166077</c:v>
                </c:pt>
                <c:pt idx="8">
                  <c:v>622.36883813650809</c:v>
                </c:pt>
                <c:pt idx="9">
                  <c:v>645.32181711911676</c:v>
                </c:pt>
                <c:pt idx="10">
                  <c:v>604.93030870039843</c:v>
                </c:pt>
                <c:pt idx="11">
                  <c:v>648.49877275297501</c:v>
                </c:pt>
                <c:pt idx="12">
                  <c:v>657.4</c:v>
                </c:pt>
                <c:pt idx="13">
                  <c:v>698.03767921405006</c:v>
                </c:pt>
                <c:pt idx="14">
                  <c:v>697.38332535459165</c:v>
                </c:pt>
                <c:pt idx="15">
                  <c:v>661.27664620438327</c:v>
                </c:pt>
              </c:numCache>
            </c:numRef>
          </c:val>
          <c:smooth val="0"/>
          <c:extLst>
            <c:ext xmlns:c16="http://schemas.microsoft.com/office/drawing/2014/chart" uri="{C3380CC4-5D6E-409C-BE32-E72D297353CC}">
              <c16:uniqueId val="{0000000F-4C9A-455F-85E7-4A36BEFCDA84}"/>
            </c:ext>
          </c:extLst>
        </c:ser>
        <c:ser>
          <c:idx val="16"/>
          <c:order val="16"/>
          <c:tx>
            <c:strRef>
              <c:f>スコア経年!$D$20</c:f>
              <c:strCache>
                <c:ptCount val="1"/>
                <c:pt idx="0">
                  <c:v>モスクワ</c:v>
                </c:pt>
              </c:strCache>
            </c:strRef>
          </c:tx>
          <c:spPr>
            <a:ln w="28575" cap="rnd">
              <a:solidFill>
                <a:schemeClr val="accent5">
                  <a:lumMod val="80000"/>
                  <a:lumOff val="2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スコア経年!$E$20:$T$20</c:f>
              <c:numCache>
                <c:formatCode>0.0</c:formatCode>
                <c:ptCount val="16"/>
                <c:pt idx="0">
                  <c:v>1018.8846971116651</c:v>
                </c:pt>
                <c:pt idx="1">
                  <c:v>852.7247824713977</c:v>
                </c:pt>
                <c:pt idx="2">
                  <c:v>763.84297014264371</c:v>
                </c:pt>
                <c:pt idx="3">
                  <c:v>771.12947461059878</c:v>
                </c:pt>
                <c:pt idx="4">
                  <c:v>817.83164556407303</c:v>
                </c:pt>
                <c:pt idx="5">
                  <c:v>781.3083546980256</c:v>
                </c:pt>
                <c:pt idx="6">
                  <c:v>817.92930164961774</c:v>
                </c:pt>
                <c:pt idx="7">
                  <c:v>792.16352745627557</c:v>
                </c:pt>
                <c:pt idx="8">
                  <c:v>884.12936278071288</c:v>
                </c:pt>
                <c:pt idx="9">
                  <c:v>916.4412205879521</c:v>
                </c:pt>
                <c:pt idx="10">
                  <c:v>953.875056550875</c:v>
                </c:pt>
                <c:pt idx="11">
                  <c:v>1018.6276610168918</c:v>
                </c:pt>
                <c:pt idx="12">
                  <c:v>963</c:v>
                </c:pt>
                <c:pt idx="13">
                  <c:v>966.25089067225008</c:v>
                </c:pt>
                <c:pt idx="14">
                  <c:v>991.94908179807487</c:v>
                </c:pt>
                <c:pt idx="15">
                  <c:v>976.48934962178328</c:v>
                </c:pt>
              </c:numCache>
            </c:numRef>
          </c:val>
          <c:smooth val="0"/>
          <c:extLst>
            <c:ext xmlns:c16="http://schemas.microsoft.com/office/drawing/2014/chart" uri="{C3380CC4-5D6E-409C-BE32-E72D297353CC}">
              <c16:uniqueId val="{00000010-4C9A-455F-85E7-4A36BEFCDA84}"/>
            </c:ext>
          </c:extLst>
        </c:ser>
        <c:ser>
          <c:idx val="17"/>
          <c:order val="17"/>
          <c:tx>
            <c:strRef>
              <c:f>スコア経年!$D$21</c:f>
              <c:strCache>
                <c:ptCount val="1"/>
                <c:pt idx="0">
                  <c:v>ムンバイ</c:v>
                </c:pt>
              </c:strCache>
            </c:strRef>
          </c:tx>
          <c:spPr>
            <a:ln w="28575" cap="rnd">
              <a:solidFill>
                <a:schemeClr val="accent6">
                  <a:lumMod val="80000"/>
                  <a:lumOff val="2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スコア経年!$E$21:$T$21</c:f>
              <c:numCache>
                <c:formatCode>0.0</c:formatCode>
                <c:ptCount val="16"/>
                <c:pt idx="0">
                  <c:v>792.1969464944051</c:v>
                </c:pt>
                <c:pt idx="1">
                  <c:v>786.21557837411683</c:v>
                </c:pt>
                <c:pt idx="2">
                  <c:v>696.77530499294858</c:v>
                </c:pt>
                <c:pt idx="3">
                  <c:v>683.02319586177259</c:v>
                </c:pt>
                <c:pt idx="4">
                  <c:v>654.23391178710961</c:v>
                </c:pt>
                <c:pt idx="5">
                  <c:v>682.02374086838108</c:v>
                </c:pt>
                <c:pt idx="6">
                  <c:v>661.98164529246014</c:v>
                </c:pt>
                <c:pt idx="7">
                  <c:v>630.58785861876777</c:v>
                </c:pt>
                <c:pt idx="8">
                  <c:v>702.3112457616578</c:v>
                </c:pt>
                <c:pt idx="9">
                  <c:v>712.78387120704906</c:v>
                </c:pt>
                <c:pt idx="10">
                  <c:v>613.5184113545929</c:v>
                </c:pt>
                <c:pt idx="11">
                  <c:v>605.09450145068331</c:v>
                </c:pt>
                <c:pt idx="12">
                  <c:v>612.6</c:v>
                </c:pt>
                <c:pt idx="13">
                  <c:v>605.72490615890001</c:v>
                </c:pt>
                <c:pt idx="14">
                  <c:v>627.69220192448324</c:v>
                </c:pt>
                <c:pt idx="15">
                  <c:v>645.34513309169165</c:v>
                </c:pt>
              </c:numCache>
            </c:numRef>
          </c:val>
          <c:smooth val="0"/>
          <c:extLst>
            <c:ext xmlns:c16="http://schemas.microsoft.com/office/drawing/2014/chart" uri="{C3380CC4-5D6E-409C-BE32-E72D297353CC}">
              <c16:uniqueId val="{00000011-4C9A-455F-85E7-4A36BEFCDA84}"/>
            </c:ext>
          </c:extLst>
        </c:ser>
        <c:ser>
          <c:idx val="18"/>
          <c:order val="18"/>
          <c:tx>
            <c:strRef>
              <c:f>スコア経年!$D$22</c:f>
              <c:strCache>
                <c:ptCount val="1"/>
                <c:pt idx="0">
                  <c:v>バンコク</c:v>
                </c:pt>
              </c:strCache>
            </c:strRef>
          </c:tx>
          <c:spPr>
            <a:ln w="28575" cap="rnd">
              <a:solidFill>
                <a:schemeClr val="accent1">
                  <a:lumMod val="8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スコア経年!$E$22:$T$22</c:f>
              <c:numCache>
                <c:formatCode>0.0</c:formatCode>
                <c:ptCount val="16"/>
                <c:pt idx="0">
                  <c:v>833.23067361476467</c:v>
                </c:pt>
                <c:pt idx="1">
                  <c:v>945.78221576566125</c:v>
                </c:pt>
                <c:pt idx="2">
                  <c:v>813.22997146637726</c:v>
                </c:pt>
                <c:pt idx="3">
                  <c:v>823.82318206607113</c:v>
                </c:pt>
                <c:pt idx="4">
                  <c:v>840.62936932006801</c:v>
                </c:pt>
                <c:pt idx="5">
                  <c:v>872.14602325504643</c:v>
                </c:pt>
                <c:pt idx="6">
                  <c:v>915.53169943800583</c:v>
                </c:pt>
                <c:pt idx="7">
                  <c:v>895.82593990846442</c:v>
                </c:pt>
                <c:pt idx="8">
                  <c:v>934.14501791788825</c:v>
                </c:pt>
                <c:pt idx="9">
                  <c:v>971.07218399136252</c:v>
                </c:pt>
                <c:pt idx="10">
                  <c:v>915.41882227049098</c:v>
                </c:pt>
                <c:pt idx="11">
                  <c:v>909.28907414339164</c:v>
                </c:pt>
                <c:pt idx="12">
                  <c:v>945.9</c:v>
                </c:pt>
                <c:pt idx="13">
                  <c:v>947.01273425335</c:v>
                </c:pt>
                <c:pt idx="14">
                  <c:v>883.32933284235844</c:v>
                </c:pt>
                <c:pt idx="15">
                  <c:v>945.29835679571659</c:v>
                </c:pt>
              </c:numCache>
            </c:numRef>
          </c:val>
          <c:smooth val="0"/>
          <c:extLst>
            <c:ext xmlns:c16="http://schemas.microsoft.com/office/drawing/2014/chart" uri="{C3380CC4-5D6E-409C-BE32-E72D297353CC}">
              <c16:uniqueId val="{00000012-4C9A-455F-85E7-4A36BEFCDA84}"/>
            </c:ext>
          </c:extLst>
        </c:ser>
        <c:ser>
          <c:idx val="19"/>
          <c:order val="19"/>
          <c:tx>
            <c:strRef>
              <c:f>スコア経年!$D$23</c:f>
              <c:strCache>
                <c:ptCount val="1"/>
                <c:pt idx="0">
                  <c:v>クアラルンプール</c:v>
                </c:pt>
              </c:strCache>
            </c:strRef>
          </c:tx>
          <c:spPr>
            <a:ln w="28575" cap="rnd">
              <a:solidFill>
                <a:schemeClr val="accent2">
                  <a:lumMod val="8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スコア経年!$E$23:$T$23</c:f>
              <c:numCache>
                <c:formatCode>0.0</c:formatCode>
                <c:ptCount val="16"/>
                <c:pt idx="0">
                  <c:v>994.67599492699458</c:v>
                </c:pt>
                <c:pt idx="1">
                  <c:v>969.72553487805226</c:v>
                </c:pt>
                <c:pt idx="2">
                  <c:v>814.67713053379384</c:v>
                </c:pt>
                <c:pt idx="3">
                  <c:v>801.8293219066453</c:v>
                </c:pt>
                <c:pt idx="4">
                  <c:v>847.85378366008752</c:v>
                </c:pt>
                <c:pt idx="5">
                  <c:v>806.70552987615508</c:v>
                </c:pt>
                <c:pt idx="6">
                  <c:v>846.39970763262238</c:v>
                </c:pt>
                <c:pt idx="7">
                  <c:v>889.31530338495907</c:v>
                </c:pt>
                <c:pt idx="8">
                  <c:v>938.85614450061564</c:v>
                </c:pt>
                <c:pt idx="9">
                  <c:v>982.23079545660369</c:v>
                </c:pt>
                <c:pt idx="10">
                  <c:v>984.90820777910847</c:v>
                </c:pt>
                <c:pt idx="11">
                  <c:v>981.84738182255819</c:v>
                </c:pt>
                <c:pt idx="12">
                  <c:v>927</c:v>
                </c:pt>
                <c:pt idx="13">
                  <c:v>898.49713013658334</c:v>
                </c:pt>
                <c:pt idx="14">
                  <c:v>875.11146180028345</c:v>
                </c:pt>
                <c:pt idx="15">
                  <c:v>878.67771083875004</c:v>
                </c:pt>
              </c:numCache>
            </c:numRef>
          </c:val>
          <c:smooth val="0"/>
          <c:extLst>
            <c:ext xmlns:c16="http://schemas.microsoft.com/office/drawing/2014/chart" uri="{C3380CC4-5D6E-409C-BE32-E72D297353CC}">
              <c16:uniqueId val="{00000013-4C9A-455F-85E7-4A36BEFCDA84}"/>
            </c:ext>
          </c:extLst>
        </c:ser>
        <c:ser>
          <c:idx val="20"/>
          <c:order val="20"/>
          <c:tx>
            <c:strRef>
              <c:f>スコア経年!$D$24</c:f>
              <c:strCache>
                <c:ptCount val="1"/>
                <c:pt idx="0">
                  <c:v>シンガポール</c:v>
                </c:pt>
              </c:strCache>
            </c:strRef>
          </c:tx>
          <c:spPr>
            <a:ln w="28575" cap="rnd">
              <a:solidFill>
                <a:srgbClr val="9170AF"/>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スコア経年!$E$24:$T$24</c:f>
              <c:numCache>
                <c:formatCode>0.0</c:formatCode>
                <c:ptCount val="16"/>
                <c:pt idx="0">
                  <c:v>1184.427021442081</c:v>
                </c:pt>
                <c:pt idx="1">
                  <c:v>1303.8257973329696</c:v>
                </c:pt>
                <c:pt idx="2">
                  <c:v>1170.8891418171463</c:v>
                </c:pt>
                <c:pt idx="3">
                  <c:v>1224.2404090040293</c:v>
                </c:pt>
                <c:pt idx="4">
                  <c:v>1203.4559015613681</c:v>
                </c:pt>
                <c:pt idx="5">
                  <c:v>1197.8096752501126</c:v>
                </c:pt>
                <c:pt idx="6">
                  <c:v>1224.9577661058875</c:v>
                </c:pt>
                <c:pt idx="7">
                  <c:v>1290.0851883712514</c:v>
                </c:pt>
                <c:pt idx="8">
                  <c:v>1278.9958658816111</c:v>
                </c:pt>
                <c:pt idx="9">
                  <c:v>1308.4594920893251</c:v>
                </c:pt>
                <c:pt idx="10">
                  <c:v>1310.557163493497</c:v>
                </c:pt>
                <c:pt idx="11">
                  <c:v>1262.8925582721083</c:v>
                </c:pt>
                <c:pt idx="12">
                  <c:v>1262.0999999999999</c:v>
                </c:pt>
                <c:pt idx="13">
                  <c:v>1232.7849131443249</c:v>
                </c:pt>
                <c:pt idx="14">
                  <c:v>1233.7536191069501</c:v>
                </c:pt>
                <c:pt idx="15">
                  <c:v>1264.7031333791499</c:v>
                </c:pt>
              </c:numCache>
            </c:numRef>
          </c:val>
          <c:smooth val="0"/>
          <c:extLst>
            <c:ext xmlns:c16="http://schemas.microsoft.com/office/drawing/2014/chart" uri="{C3380CC4-5D6E-409C-BE32-E72D297353CC}">
              <c16:uniqueId val="{00000014-4C9A-455F-85E7-4A36BEFCDA84}"/>
            </c:ext>
          </c:extLst>
        </c:ser>
        <c:ser>
          <c:idx val="21"/>
          <c:order val="21"/>
          <c:tx>
            <c:strRef>
              <c:f>スコア経年!$D$25</c:f>
              <c:strCache>
                <c:ptCount val="1"/>
                <c:pt idx="0">
                  <c:v>香港</c:v>
                </c:pt>
              </c:strCache>
            </c:strRef>
          </c:tx>
          <c:spPr>
            <a:ln w="28575" cap="rnd">
              <a:solidFill>
                <a:schemeClr val="accent4">
                  <a:lumMod val="8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スコア経年!$E$25:$T$25</c:f>
              <c:numCache>
                <c:formatCode>0.0</c:formatCode>
                <c:ptCount val="16"/>
                <c:pt idx="0">
                  <c:v>1136.1511382016361</c:v>
                </c:pt>
                <c:pt idx="1">
                  <c:v>1152.2456598983049</c:v>
                </c:pt>
                <c:pt idx="2">
                  <c:v>1073.1476330452704</c:v>
                </c:pt>
                <c:pt idx="3">
                  <c:v>1107.8816131281844</c:v>
                </c:pt>
                <c:pt idx="4">
                  <c:v>1116.92317334984</c:v>
                </c:pt>
                <c:pt idx="5">
                  <c:v>1060.594279269045</c:v>
                </c:pt>
                <c:pt idx="6">
                  <c:v>1089.6080352919764</c:v>
                </c:pt>
                <c:pt idx="7">
                  <c:v>1158.8743824924891</c:v>
                </c:pt>
                <c:pt idx="8">
                  <c:v>1173.6942944907753</c:v>
                </c:pt>
                <c:pt idx="9">
                  <c:v>1164.7706168416009</c:v>
                </c:pt>
                <c:pt idx="10">
                  <c:v>1204.8932361019517</c:v>
                </c:pt>
                <c:pt idx="11">
                  <c:v>1170.4019419224915</c:v>
                </c:pt>
                <c:pt idx="12">
                  <c:v>1149.7</c:v>
                </c:pt>
                <c:pt idx="13">
                  <c:v>1120.2263363939251</c:v>
                </c:pt>
                <c:pt idx="14">
                  <c:v>1068.3110359949833</c:v>
                </c:pt>
                <c:pt idx="15">
                  <c:v>1091.7932708332751</c:v>
                </c:pt>
              </c:numCache>
            </c:numRef>
          </c:val>
          <c:smooth val="0"/>
          <c:extLst>
            <c:ext xmlns:c16="http://schemas.microsoft.com/office/drawing/2014/chart" uri="{C3380CC4-5D6E-409C-BE32-E72D297353CC}">
              <c16:uniqueId val="{00000015-4C9A-455F-85E7-4A36BEFCDA84}"/>
            </c:ext>
          </c:extLst>
        </c:ser>
        <c:ser>
          <c:idx val="22"/>
          <c:order val="22"/>
          <c:tx>
            <c:strRef>
              <c:f>スコア経年!$D$26</c:f>
              <c:strCache>
                <c:ptCount val="1"/>
                <c:pt idx="0">
                  <c:v>北京</c:v>
                </c:pt>
              </c:strCache>
            </c:strRef>
          </c:tx>
          <c:spPr>
            <a:ln w="28575" cap="rnd">
              <a:solidFill>
                <a:schemeClr val="accent5">
                  <a:lumMod val="8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スコア経年!$E$26:$T$26</c:f>
              <c:numCache>
                <c:formatCode>0.0</c:formatCode>
                <c:ptCount val="16"/>
                <c:pt idx="0">
                  <c:v>902.3302271168734</c:v>
                </c:pt>
                <c:pt idx="1">
                  <c:v>1004.4609641573132</c:v>
                </c:pt>
                <c:pt idx="2">
                  <c:v>955.37967956598925</c:v>
                </c:pt>
                <c:pt idx="3">
                  <c:v>979.23294522924618</c:v>
                </c:pt>
                <c:pt idx="4">
                  <c:v>1052.5611588949498</c:v>
                </c:pt>
                <c:pt idx="5">
                  <c:v>1038.1579997688978</c:v>
                </c:pt>
                <c:pt idx="6">
                  <c:v>1033.1989480760392</c:v>
                </c:pt>
                <c:pt idx="7">
                  <c:v>1001.8960950161171</c:v>
                </c:pt>
                <c:pt idx="8">
                  <c:v>1048.1768364139609</c:v>
                </c:pt>
                <c:pt idx="9">
                  <c:v>1123.6164268951168</c:v>
                </c:pt>
                <c:pt idx="10">
                  <c:v>1088.5427518340559</c:v>
                </c:pt>
                <c:pt idx="11">
                  <c:v>1050.9253577647501</c:v>
                </c:pt>
                <c:pt idx="12">
                  <c:v>1091.9000000000001</c:v>
                </c:pt>
                <c:pt idx="13">
                  <c:v>1078.7489343952584</c:v>
                </c:pt>
                <c:pt idx="14">
                  <c:v>1099.7884698795335</c:v>
                </c:pt>
                <c:pt idx="15">
                  <c:v>1115.3359083596499</c:v>
                </c:pt>
              </c:numCache>
            </c:numRef>
          </c:val>
          <c:smooth val="0"/>
          <c:extLst>
            <c:ext xmlns:c16="http://schemas.microsoft.com/office/drawing/2014/chart" uri="{C3380CC4-5D6E-409C-BE32-E72D297353CC}">
              <c16:uniqueId val="{00000016-4C9A-455F-85E7-4A36BEFCDA84}"/>
            </c:ext>
          </c:extLst>
        </c:ser>
        <c:ser>
          <c:idx val="23"/>
          <c:order val="23"/>
          <c:tx>
            <c:strRef>
              <c:f>スコア経年!$D$27</c:f>
              <c:strCache>
                <c:ptCount val="1"/>
                <c:pt idx="0">
                  <c:v>上海</c:v>
                </c:pt>
              </c:strCache>
            </c:strRef>
          </c:tx>
          <c:spPr>
            <a:ln w="28575" cap="rnd">
              <a:solidFill>
                <a:schemeClr val="accent6">
                  <a:lumMod val="8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スコア経年!$E$27:$T$27</c:f>
              <c:numCache>
                <c:formatCode>0.0</c:formatCode>
                <c:ptCount val="16"/>
                <c:pt idx="0">
                  <c:v>957.63978130612043</c:v>
                </c:pt>
                <c:pt idx="1">
                  <c:v>1064.5548680718337</c:v>
                </c:pt>
                <c:pt idx="2">
                  <c:v>944.17751844271186</c:v>
                </c:pt>
                <c:pt idx="3">
                  <c:v>955.71590093559746</c:v>
                </c:pt>
                <c:pt idx="4">
                  <c:v>1037.6629160273112</c:v>
                </c:pt>
                <c:pt idx="5">
                  <c:v>1049.1324854373438</c:v>
                </c:pt>
                <c:pt idx="6">
                  <c:v>1030.9570771469976</c:v>
                </c:pt>
                <c:pt idx="7">
                  <c:v>1008.432902190406</c:v>
                </c:pt>
                <c:pt idx="8">
                  <c:v>1083.926657484729</c:v>
                </c:pt>
                <c:pt idx="9">
                  <c:v>1103.636998226033</c:v>
                </c:pt>
                <c:pt idx="10">
                  <c:v>1071.9622516974691</c:v>
                </c:pt>
                <c:pt idx="11">
                  <c:v>1023.1790851424332</c:v>
                </c:pt>
                <c:pt idx="12">
                  <c:v>1108.9000000000001</c:v>
                </c:pt>
                <c:pt idx="13">
                  <c:v>1125.3453543854666</c:v>
                </c:pt>
                <c:pt idx="14">
                  <c:v>1133.8470213643166</c:v>
                </c:pt>
                <c:pt idx="15">
                  <c:v>1131.5041381531917</c:v>
                </c:pt>
              </c:numCache>
            </c:numRef>
          </c:val>
          <c:smooth val="0"/>
          <c:extLst>
            <c:ext xmlns:c16="http://schemas.microsoft.com/office/drawing/2014/chart" uri="{C3380CC4-5D6E-409C-BE32-E72D297353CC}">
              <c16:uniqueId val="{00000017-4C9A-455F-85E7-4A36BEFCDA84}"/>
            </c:ext>
          </c:extLst>
        </c:ser>
        <c:ser>
          <c:idx val="24"/>
          <c:order val="24"/>
          <c:tx>
            <c:strRef>
              <c:f>スコア経年!$D$28</c:f>
              <c:strCache>
                <c:ptCount val="1"/>
                <c:pt idx="0">
                  <c:v>台北</c:v>
                </c:pt>
              </c:strCache>
            </c:strRef>
          </c:tx>
          <c:spPr>
            <a:ln w="28575" cap="rnd">
              <a:solidFill>
                <a:schemeClr val="accent1">
                  <a:lumMod val="60000"/>
                  <a:lumOff val="4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スコア経年!$E$28:$T$28</c:f>
              <c:numCache>
                <c:formatCode>0.0</c:formatCode>
                <c:ptCount val="16"/>
                <c:pt idx="0">
                  <c:v>943.1544848027271</c:v>
                </c:pt>
                <c:pt idx="1">
                  <c:v>930.8153018397403</c:v>
                </c:pt>
                <c:pt idx="2">
                  <c:v>846.84961915972667</c:v>
                </c:pt>
                <c:pt idx="3">
                  <c:v>840.24899467704745</c:v>
                </c:pt>
                <c:pt idx="4">
                  <c:v>869.18308833718322</c:v>
                </c:pt>
                <c:pt idx="5">
                  <c:v>813.12170984264878</c:v>
                </c:pt>
                <c:pt idx="6">
                  <c:v>878.26312470161088</c:v>
                </c:pt>
                <c:pt idx="7">
                  <c:v>914.57613172801007</c:v>
                </c:pt>
                <c:pt idx="8">
                  <c:v>936.34765661443203</c:v>
                </c:pt>
                <c:pt idx="9">
                  <c:v>906.22869559342121</c:v>
                </c:pt>
                <c:pt idx="10">
                  <c:v>950.87665570215086</c:v>
                </c:pt>
                <c:pt idx="11">
                  <c:v>917.87666094745828</c:v>
                </c:pt>
                <c:pt idx="12">
                  <c:v>934.1</c:v>
                </c:pt>
                <c:pt idx="13">
                  <c:v>921.24772143132486</c:v>
                </c:pt>
                <c:pt idx="14">
                  <c:v>963.11684945809156</c:v>
                </c:pt>
                <c:pt idx="15">
                  <c:v>958.49155278419164</c:v>
                </c:pt>
              </c:numCache>
            </c:numRef>
          </c:val>
          <c:smooth val="0"/>
          <c:extLst>
            <c:ext xmlns:c16="http://schemas.microsoft.com/office/drawing/2014/chart" uri="{C3380CC4-5D6E-409C-BE32-E72D297353CC}">
              <c16:uniqueId val="{00000018-4C9A-455F-85E7-4A36BEFCDA84}"/>
            </c:ext>
          </c:extLst>
        </c:ser>
        <c:ser>
          <c:idx val="25"/>
          <c:order val="25"/>
          <c:tx>
            <c:strRef>
              <c:f>スコア経年!$D$29</c:f>
              <c:strCache>
                <c:ptCount val="1"/>
                <c:pt idx="0">
                  <c:v>ソウル</c:v>
                </c:pt>
              </c:strCache>
            </c:strRef>
          </c:tx>
          <c:spPr>
            <a:ln w="28575" cap="rnd">
              <a:solidFill>
                <a:schemeClr val="accent2">
                  <a:lumMod val="60000"/>
                  <a:lumOff val="4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スコア経年!$E$29:$T$29</c:f>
              <c:numCache>
                <c:formatCode>0.0</c:formatCode>
                <c:ptCount val="16"/>
                <c:pt idx="0">
                  <c:v>1170.1355717728038</c:v>
                </c:pt>
                <c:pt idx="1">
                  <c:v>1145.7063739527416</c:v>
                </c:pt>
                <c:pt idx="2">
                  <c:v>1095.4521558343156</c:v>
                </c:pt>
                <c:pt idx="3">
                  <c:v>1119.0937047890434</c:v>
                </c:pt>
                <c:pt idx="4">
                  <c:v>1163.091118981092</c:v>
                </c:pt>
                <c:pt idx="5">
                  <c:v>1188.1991759800117</c:v>
                </c:pt>
                <c:pt idx="6">
                  <c:v>1202.618368344811</c:v>
                </c:pt>
                <c:pt idx="7">
                  <c:v>1163.4382726562067</c:v>
                </c:pt>
                <c:pt idx="8">
                  <c:v>1210.945415327589</c:v>
                </c:pt>
                <c:pt idx="9">
                  <c:v>1221.7831490546546</c:v>
                </c:pt>
                <c:pt idx="10">
                  <c:v>1237.5031611705535</c:v>
                </c:pt>
                <c:pt idx="11">
                  <c:v>1205.6261469725166</c:v>
                </c:pt>
                <c:pt idx="12">
                  <c:v>1163.0999999999999</c:v>
                </c:pt>
                <c:pt idx="13">
                  <c:v>1160.8253151484835</c:v>
                </c:pt>
                <c:pt idx="14">
                  <c:v>1189.0888855915582</c:v>
                </c:pt>
                <c:pt idx="15">
                  <c:v>1202.0689072947416</c:v>
                </c:pt>
              </c:numCache>
            </c:numRef>
          </c:val>
          <c:smooth val="0"/>
          <c:extLst>
            <c:ext xmlns:c16="http://schemas.microsoft.com/office/drawing/2014/chart" uri="{C3380CC4-5D6E-409C-BE32-E72D297353CC}">
              <c16:uniqueId val="{00000019-4C9A-455F-85E7-4A36BEFCDA84}"/>
            </c:ext>
          </c:extLst>
        </c:ser>
        <c:ser>
          <c:idx val="26"/>
          <c:order val="26"/>
          <c:tx>
            <c:strRef>
              <c:f>スコア経年!$D$30</c:f>
              <c:strCache>
                <c:ptCount val="1"/>
                <c:pt idx="0">
                  <c:v>福岡</c:v>
                </c:pt>
              </c:strCache>
            </c:strRef>
          </c:tx>
          <c:spPr>
            <a:ln w="28575" cap="rnd">
              <a:solidFill>
                <a:schemeClr val="accent3">
                  <a:lumMod val="60000"/>
                  <a:lumOff val="4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スコア経年!$E$30:$T$30</c:f>
              <c:numCache>
                <c:formatCode>0.0</c:formatCode>
                <c:ptCount val="16"/>
                <c:pt idx="1">
                  <c:v>933.47077396603936</c:v>
                </c:pt>
                <c:pt idx="2">
                  <c:v>872.17208411120623</c:v>
                </c:pt>
                <c:pt idx="3">
                  <c:v>848.52259764243922</c:v>
                </c:pt>
                <c:pt idx="4">
                  <c:v>850.24952267873414</c:v>
                </c:pt>
                <c:pt idx="5">
                  <c:v>791.3823138988439</c:v>
                </c:pt>
                <c:pt idx="6">
                  <c:v>804.06016800581676</c:v>
                </c:pt>
                <c:pt idx="7">
                  <c:v>830.90883477277737</c:v>
                </c:pt>
                <c:pt idx="8">
                  <c:v>882.9833286467541</c:v>
                </c:pt>
                <c:pt idx="9">
                  <c:v>898.48837736967164</c:v>
                </c:pt>
                <c:pt idx="10">
                  <c:v>910.96856297800207</c:v>
                </c:pt>
                <c:pt idx="11">
                  <c:v>870.3487406431417</c:v>
                </c:pt>
                <c:pt idx="12">
                  <c:v>834</c:v>
                </c:pt>
                <c:pt idx="13">
                  <c:v>848.49353095965</c:v>
                </c:pt>
                <c:pt idx="14">
                  <c:v>871.92027281760011</c:v>
                </c:pt>
                <c:pt idx="15">
                  <c:v>844.79169767112489</c:v>
                </c:pt>
              </c:numCache>
            </c:numRef>
          </c:val>
          <c:smooth val="0"/>
          <c:extLst>
            <c:ext xmlns:c16="http://schemas.microsoft.com/office/drawing/2014/chart" uri="{C3380CC4-5D6E-409C-BE32-E72D297353CC}">
              <c16:uniqueId val="{0000001A-4C9A-455F-85E7-4A36BEFCDA84}"/>
            </c:ext>
          </c:extLst>
        </c:ser>
        <c:ser>
          <c:idx val="27"/>
          <c:order val="27"/>
          <c:tx>
            <c:strRef>
              <c:f>スコア経年!$D$31</c:f>
              <c:strCache>
                <c:ptCount val="1"/>
                <c:pt idx="0">
                  <c:v>大阪</c:v>
                </c:pt>
              </c:strCache>
            </c:strRef>
          </c:tx>
          <c:spPr>
            <a:ln w="28575" cap="rnd">
              <a:solidFill>
                <a:schemeClr val="accent4">
                  <a:lumMod val="60000"/>
                  <a:lumOff val="4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スコア経年!$E$31:$T$31</c:f>
              <c:numCache>
                <c:formatCode>0.0</c:formatCode>
                <c:ptCount val="16"/>
                <c:pt idx="1">
                  <c:v>1022.0761663025706</c:v>
                </c:pt>
                <c:pt idx="2">
                  <c:v>985.63898268207254</c:v>
                </c:pt>
                <c:pt idx="3">
                  <c:v>986.81523902943832</c:v>
                </c:pt>
                <c:pt idx="4">
                  <c:v>1013.5483578253209</c:v>
                </c:pt>
                <c:pt idx="5">
                  <c:v>946.50730079545849</c:v>
                </c:pt>
                <c:pt idx="6">
                  <c:v>938.69616317000987</c:v>
                </c:pt>
                <c:pt idx="7">
                  <c:v>958.91974057304026</c:v>
                </c:pt>
                <c:pt idx="8">
                  <c:v>1024.7903765963899</c:v>
                </c:pt>
                <c:pt idx="9">
                  <c:v>1024.3374303868525</c:v>
                </c:pt>
                <c:pt idx="10">
                  <c:v>1055.5298640192968</c:v>
                </c:pt>
                <c:pt idx="11">
                  <c:v>1024.5039393182833</c:v>
                </c:pt>
                <c:pt idx="12">
                  <c:v>954</c:v>
                </c:pt>
                <c:pt idx="13">
                  <c:v>941.69150901854982</c:v>
                </c:pt>
                <c:pt idx="14">
                  <c:v>947.32062039151674</c:v>
                </c:pt>
                <c:pt idx="15">
                  <c:v>947.75716654131668</c:v>
                </c:pt>
              </c:numCache>
            </c:numRef>
          </c:val>
          <c:smooth val="0"/>
          <c:extLst>
            <c:ext xmlns:c16="http://schemas.microsoft.com/office/drawing/2014/chart" uri="{C3380CC4-5D6E-409C-BE32-E72D297353CC}">
              <c16:uniqueId val="{0000001B-4C9A-455F-85E7-4A36BEFCDA84}"/>
            </c:ext>
          </c:extLst>
        </c:ser>
        <c:ser>
          <c:idx val="28"/>
          <c:order val="28"/>
          <c:tx>
            <c:strRef>
              <c:f>スコア経年!$D$32</c:f>
              <c:strCache>
                <c:ptCount val="1"/>
                <c:pt idx="0">
                  <c:v>東京</c:v>
                </c:pt>
              </c:strCache>
            </c:strRef>
          </c:tx>
          <c:spPr>
            <a:ln w="28575" cap="rnd">
              <a:solidFill>
                <a:srgbClr val="237FC4"/>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スコア経年!$E$32:$T$32</c:f>
              <c:numCache>
                <c:formatCode>0.0</c:formatCode>
                <c:ptCount val="16"/>
                <c:pt idx="0">
                  <c:v>1359.0576319795946</c:v>
                </c:pt>
                <c:pt idx="1">
                  <c:v>1452.1545539707549</c:v>
                </c:pt>
                <c:pt idx="2">
                  <c:v>1440.0837237825451</c:v>
                </c:pt>
                <c:pt idx="3">
                  <c:v>1458.9344316493471</c:v>
                </c:pt>
                <c:pt idx="4">
                  <c:v>1425.4165723595256</c:v>
                </c:pt>
                <c:pt idx="5">
                  <c:v>1372.1466327186736</c:v>
                </c:pt>
                <c:pt idx="6">
                  <c:v>1372.8829005578402</c:v>
                </c:pt>
                <c:pt idx="7">
                  <c:v>1378.7884518848957</c:v>
                </c:pt>
                <c:pt idx="8">
                  <c:v>1430.1352397360963</c:v>
                </c:pt>
                <c:pt idx="9">
                  <c:v>1447.5122185277453</c:v>
                </c:pt>
                <c:pt idx="10">
                  <c:v>1462.0111852896509</c:v>
                </c:pt>
                <c:pt idx="11">
                  <c:v>1422.2306634810584</c:v>
                </c:pt>
                <c:pt idx="12">
                  <c:v>1386.5</c:v>
                </c:pt>
                <c:pt idx="13">
                  <c:v>1411.0346933394749</c:v>
                </c:pt>
                <c:pt idx="14">
                  <c:v>1367.2081309127002</c:v>
                </c:pt>
                <c:pt idx="15">
                  <c:v>1375.8029509199168</c:v>
                </c:pt>
              </c:numCache>
            </c:numRef>
          </c:val>
          <c:smooth val="0"/>
          <c:extLst>
            <c:ext xmlns:c16="http://schemas.microsoft.com/office/drawing/2014/chart" uri="{C3380CC4-5D6E-409C-BE32-E72D297353CC}">
              <c16:uniqueId val="{0000001C-4C9A-455F-85E7-4A36BEFCDA84}"/>
            </c:ext>
          </c:extLst>
        </c:ser>
        <c:ser>
          <c:idx val="29"/>
          <c:order val="29"/>
          <c:tx>
            <c:strRef>
              <c:f>スコア経年!$D$33</c:f>
              <c:strCache>
                <c:ptCount val="1"/>
                <c:pt idx="0">
                  <c:v>シドニー</c:v>
                </c:pt>
              </c:strCache>
            </c:strRef>
          </c:tx>
          <c:spPr>
            <a:ln w="28575" cap="rnd">
              <a:solidFill>
                <a:schemeClr val="accent6">
                  <a:lumMod val="60000"/>
                  <a:lumOff val="4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スコア経年!$E$33:$T$33</c:f>
              <c:numCache>
                <c:formatCode>0.0</c:formatCode>
                <c:ptCount val="16"/>
                <c:pt idx="0">
                  <c:v>1178.7491020378577</c:v>
                </c:pt>
                <c:pt idx="1">
                  <c:v>1127.2755982562044</c:v>
                </c:pt>
                <c:pt idx="2">
                  <c:v>1050.1320872495012</c:v>
                </c:pt>
                <c:pt idx="3">
                  <c:v>1034.8009420853709</c:v>
                </c:pt>
                <c:pt idx="4">
                  <c:v>1035.7901597843818</c:v>
                </c:pt>
                <c:pt idx="5">
                  <c:v>1038.2170837745318</c:v>
                </c:pt>
                <c:pt idx="6">
                  <c:v>1042.2153110956183</c:v>
                </c:pt>
                <c:pt idx="7">
                  <c:v>1036.5779542140892</c:v>
                </c:pt>
                <c:pt idx="8">
                  <c:v>1079.0730132805038</c:v>
                </c:pt>
                <c:pt idx="9">
                  <c:v>1151.8732709801868</c:v>
                </c:pt>
                <c:pt idx="10">
                  <c:v>1200.6729078642388</c:v>
                </c:pt>
                <c:pt idx="11">
                  <c:v>1162.8716907392081</c:v>
                </c:pt>
                <c:pt idx="12">
                  <c:v>1101.7</c:v>
                </c:pt>
                <c:pt idx="13">
                  <c:v>1121.2577153702666</c:v>
                </c:pt>
                <c:pt idx="14">
                  <c:v>1115.1387947430583</c:v>
                </c:pt>
                <c:pt idx="15">
                  <c:v>1133.4335467474084</c:v>
                </c:pt>
              </c:numCache>
            </c:numRef>
          </c:val>
          <c:smooth val="0"/>
          <c:extLst>
            <c:ext xmlns:c16="http://schemas.microsoft.com/office/drawing/2014/chart" uri="{C3380CC4-5D6E-409C-BE32-E72D297353CC}">
              <c16:uniqueId val="{0000001D-4C9A-455F-85E7-4A36BEFCDA84}"/>
            </c:ext>
          </c:extLst>
        </c:ser>
        <c:ser>
          <c:idx val="30"/>
          <c:order val="30"/>
          <c:tx>
            <c:strRef>
              <c:f>スコア経年!$D$34</c:f>
              <c:strCache>
                <c:ptCount val="1"/>
                <c:pt idx="0">
                  <c:v>バンクーバー</c:v>
                </c:pt>
              </c:strCache>
            </c:strRef>
          </c:tx>
          <c:spPr>
            <a:ln w="28575" cap="rnd">
              <a:solidFill>
                <a:schemeClr val="accent1">
                  <a:lumMod val="5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スコア経年!$E$34:$T$34</c:f>
              <c:numCache>
                <c:formatCode>0.0</c:formatCode>
                <c:ptCount val="16"/>
                <c:pt idx="1">
                  <c:v>1041.1810014866187</c:v>
                </c:pt>
                <c:pt idx="2">
                  <c:v>999.11931316763753</c:v>
                </c:pt>
                <c:pt idx="3">
                  <c:v>964.99963589606546</c:v>
                </c:pt>
                <c:pt idx="4">
                  <c:v>957.58223904978149</c:v>
                </c:pt>
                <c:pt idx="5">
                  <c:v>945.71392137876796</c:v>
                </c:pt>
                <c:pt idx="6">
                  <c:v>961.89186449450324</c:v>
                </c:pt>
                <c:pt idx="7">
                  <c:v>983.75379838331401</c:v>
                </c:pt>
                <c:pt idx="8">
                  <c:v>985.69120269139773</c:v>
                </c:pt>
                <c:pt idx="9">
                  <c:v>1009.3379304452749</c:v>
                </c:pt>
                <c:pt idx="10">
                  <c:v>1093.298281914417</c:v>
                </c:pt>
                <c:pt idx="11">
                  <c:v>1055.9360177947417</c:v>
                </c:pt>
                <c:pt idx="12">
                  <c:v>1007.6</c:v>
                </c:pt>
                <c:pt idx="13">
                  <c:v>988.03927723220841</c:v>
                </c:pt>
                <c:pt idx="14">
                  <c:v>976.57839038170846</c:v>
                </c:pt>
                <c:pt idx="15">
                  <c:v>992.62643405713322</c:v>
                </c:pt>
              </c:numCache>
            </c:numRef>
          </c:val>
          <c:smooth val="0"/>
          <c:extLst>
            <c:ext xmlns:c16="http://schemas.microsoft.com/office/drawing/2014/chart" uri="{C3380CC4-5D6E-409C-BE32-E72D297353CC}">
              <c16:uniqueId val="{0000001E-4C9A-455F-85E7-4A36BEFCDA84}"/>
            </c:ext>
          </c:extLst>
        </c:ser>
        <c:ser>
          <c:idx val="31"/>
          <c:order val="31"/>
          <c:tx>
            <c:strRef>
              <c:f>スコア経年!$D$35</c:f>
              <c:strCache>
                <c:ptCount val="1"/>
                <c:pt idx="0">
                  <c:v>サンフランシスコ</c:v>
                </c:pt>
              </c:strCache>
            </c:strRef>
          </c:tx>
          <c:spPr>
            <a:ln w="28575" cap="rnd">
              <a:solidFill>
                <a:schemeClr val="accent2">
                  <a:lumMod val="5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スコア経年!$E$35:$T$35</c:f>
              <c:numCache>
                <c:formatCode>0.0</c:formatCode>
                <c:ptCount val="16"/>
                <c:pt idx="0">
                  <c:v>1100.4317733565529</c:v>
                </c:pt>
                <c:pt idx="1">
                  <c:v>1036.0486552593684</c:v>
                </c:pt>
                <c:pt idx="2">
                  <c:v>970.48387698986119</c:v>
                </c:pt>
                <c:pt idx="3">
                  <c:v>966.14064750397893</c:v>
                </c:pt>
                <c:pt idx="4">
                  <c:v>896.56347170440756</c:v>
                </c:pt>
                <c:pt idx="5">
                  <c:v>902.98542099671499</c:v>
                </c:pt>
                <c:pt idx="6">
                  <c:v>895.15661665922937</c:v>
                </c:pt>
                <c:pt idx="7">
                  <c:v>979.30433376689211</c:v>
                </c:pt>
                <c:pt idx="8">
                  <c:v>1019.7774666885936</c:v>
                </c:pt>
                <c:pt idx="9">
                  <c:v>1074.8709899309763</c:v>
                </c:pt>
                <c:pt idx="10">
                  <c:v>1156.8052765485577</c:v>
                </c:pt>
                <c:pt idx="11">
                  <c:v>1099.2582018241001</c:v>
                </c:pt>
                <c:pt idx="12">
                  <c:v>1040.0999999999999</c:v>
                </c:pt>
                <c:pt idx="13">
                  <c:v>1056.1645026859499</c:v>
                </c:pt>
                <c:pt idx="14">
                  <c:v>1066.2011899094916</c:v>
                </c:pt>
                <c:pt idx="15">
                  <c:v>1035.07971549885</c:v>
                </c:pt>
              </c:numCache>
            </c:numRef>
          </c:val>
          <c:smooth val="0"/>
          <c:extLst>
            <c:ext xmlns:c16="http://schemas.microsoft.com/office/drawing/2014/chart" uri="{C3380CC4-5D6E-409C-BE32-E72D297353CC}">
              <c16:uniqueId val="{0000001F-4C9A-455F-85E7-4A36BEFCDA84}"/>
            </c:ext>
          </c:extLst>
        </c:ser>
        <c:ser>
          <c:idx val="32"/>
          <c:order val="32"/>
          <c:tx>
            <c:strRef>
              <c:f>スコア経年!$D$36</c:f>
              <c:strCache>
                <c:ptCount val="1"/>
                <c:pt idx="0">
                  <c:v>ロサンゼルス</c:v>
                </c:pt>
              </c:strCache>
            </c:strRef>
          </c:tx>
          <c:spPr>
            <a:ln w="28575" cap="rnd">
              <a:solidFill>
                <a:schemeClr val="accent3">
                  <a:lumMod val="5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スコア経年!$E$36:$T$36</c:f>
              <c:numCache>
                <c:formatCode>0.0</c:formatCode>
                <c:ptCount val="16"/>
                <c:pt idx="0">
                  <c:v>1192.4005324422694</c:v>
                </c:pt>
                <c:pt idx="1">
                  <c:v>1140.260766670576</c:v>
                </c:pt>
                <c:pt idx="2">
                  <c:v>1010.163749169478</c:v>
                </c:pt>
                <c:pt idx="3">
                  <c:v>1017.3515992187849</c:v>
                </c:pt>
                <c:pt idx="4">
                  <c:v>958.30471085260456</c:v>
                </c:pt>
                <c:pt idx="5">
                  <c:v>969.09997638810898</c:v>
                </c:pt>
                <c:pt idx="6">
                  <c:v>981.18016883416453</c:v>
                </c:pt>
                <c:pt idx="7">
                  <c:v>1028.145680678263</c:v>
                </c:pt>
                <c:pt idx="8">
                  <c:v>1081.8804892956223</c:v>
                </c:pt>
                <c:pt idx="9">
                  <c:v>1147.0595886208223</c:v>
                </c:pt>
                <c:pt idx="10">
                  <c:v>1176.793741346183</c:v>
                </c:pt>
                <c:pt idx="11">
                  <c:v>1130.3371522043999</c:v>
                </c:pt>
                <c:pt idx="12">
                  <c:v>1099</c:v>
                </c:pt>
                <c:pt idx="13">
                  <c:v>1085.1904602022585</c:v>
                </c:pt>
                <c:pt idx="14">
                  <c:v>1101.5395997693167</c:v>
                </c:pt>
                <c:pt idx="15">
                  <c:v>1071.6950600185</c:v>
                </c:pt>
              </c:numCache>
            </c:numRef>
          </c:val>
          <c:smooth val="0"/>
          <c:extLst>
            <c:ext xmlns:c16="http://schemas.microsoft.com/office/drawing/2014/chart" uri="{C3380CC4-5D6E-409C-BE32-E72D297353CC}">
              <c16:uniqueId val="{00000020-4C9A-455F-85E7-4A36BEFCDA84}"/>
            </c:ext>
          </c:extLst>
        </c:ser>
        <c:ser>
          <c:idx val="33"/>
          <c:order val="33"/>
          <c:tx>
            <c:strRef>
              <c:f>スコア経年!$D$37</c:f>
              <c:strCache>
                <c:ptCount val="1"/>
                <c:pt idx="0">
                  <c:v>メキシコシティ</c:v>
                </c:pt>
              </c:strCache>
            </c:strRef>
          </c:tx>
          <c:spPr>
            <a:ln w="28575" cap="rnd">
              <a:solidFill>
                <a:schemeClr val="accent4">
                  <a:lumMod val="5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スコア経年!$E$37:$T$37</c:f>
              <c:numCache>
                <c:formatCode>0.0</c:formatCode>
                <c:ptCount val="16"/>
                <c:pt idx="4">
                  <c:v>840.26776633102168</c:v>
                </c:pt>
                <c:pt idx="5">
                  <c:v>770.30001387782147</c:v>
                </c:pt>
                <c:pt idx="6">
                  <c:v>765.66093271934017</c:v>
                </c:pt>
                <c:pt idx="7">
                  <c:v>744.54552497156783</c:v>
                </c:pt>
                <c:pt idx="8">
                  <c:v>802.65855977664717</c:v>
                </c:pt>
                <c:pt idx="9">
                  <c:v>837.40314055778947</c:v>
                </c:pt>
                <c:pt idx="10">
                  <c:v>824.99498761382995</c:v>
                </c:pt>
                <c:pt idx="11">
                  <c:v>807.56120747299997</c:v>
                </c:pt>
                <c:pt idx="12">
                  <c:v>788.9</c:v>
                </c:pt>
                <c:pt idx="13">
                  <c:v>787.58052154412508</c:v>
                </c:pt>
                <c:pt idx="14">
                  <c:v>817.11334977901663</c:v>
                </c:pt>
                <c:pt idx="15">
                  <c:v>837.94241278155005</c:v>
                </c:pt>
              </c:numCache>
            </c:numRef>
          </c:val>
          <c:smooth val="0"/>
          <c:extLst>
            <c:ext xmlns:c16="http://schemas.microsoft.com/office/drawing/2014/chart" uri="{C3380CC4-5D6E-409C-BE32-E72D297353CC}">
              <c16:uniqueId val="{00000021-4C9A-455F-85E7-4A36BEFCDA84}"/>
            </c:ext>
          </c:extLst>
        </c:ser>
        <c:ser>
          <c:idx val="34"/>
          <c:order val="34"/>
          <c:tx>
            <c:strRef>
              <c:f>スコア経年!$D$38</c:f>
              <c:strCache>
                <c:ptCount val="1"/>
                <c:pt idx="0">
                  <c:v>シカゴ</c:v>
                </c:pt>
              </c:strCache>
            </c:strRef>
          </c:tx>
          <c:spPr>
            <a:ln w="28575" cap="rnd">
              <a:solidFill>
                <a:schemeClr val="accent5">
                  <a:lumMod val="5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スコア経年!$E$38:$T$38</c:f>
              <c:numCache>
                <c:formatCode>0.0</c:formatCode>
                <c:ptCount val="16"/>
                <c:pt idx="0">
                  <c:v>1155.094164361027</c:v>
                </c:pt>
                <c:pt idx="1">
                  <c:v>1050.6216388423666</c:v>
                </c:pt>
                <c:pt idx="2">
                  <c:v>946.08113342213142</c:v>
                </c:pt>
                <c:pt idx="3">
                  <c:v>908.0166264907815</c:v>
                </c:pt>
                <c:pt idx="4">
                  <c:v>918.85503324446745</c:v>
                </c:pt>
                <c:pt idx="5">
                  <c:v>896.92304905032472</c:v>
                </c:pt>
                <c:pt idx="6">
                  <c:v>904.68156048298783</c:v>
                </c:pt>
                <c:pt idx="7">
                  <c:v>947.50326216234293</c:v>
                </c:pt>
                <c:pt idx="8">
                  <c:v>1001.249894392808</c:v>
                </c:pt>
                <c:pt idx="9">
                  <c:v>1042.4687054163926</c:v>
                </c:pt>
                <c:pt idx="10">
                  <c:v>1101.3494468608747</c:v>
                </c:pt>
                <c:pt idx="11">
                  <c:v>1046.1084068976249</c:v>
                </c:pt>
                <c:pt idx="12">
                  <c:v>1013.7</c:v>
                </c:pt>
                <c:pt idx="13">
                  <c:v>1009.0898187737832</c:v>
                </c:pt>
                <c:pt idx="14">
                  <c:v>1058.3679818409166</c:v>
                </c:pt>
                <c:pt idx="15">
                  <c:v>1044.1886506800834</c:v>
                </c:pt>
              </c:numCache>
            </c:numRef>
          </c:val>
          <c:smooth val="0"/>
          <c:extLst>
            <c:ext xmlns:c16="http://schemas.microsoft.com/office/drawing/2014/chart" uri="{C3380CC4-5D6E-409C-BE32-E72D297353CC}">
              <c16:uniqueId val="{00000022-4C9A-455F-85E7-4A36BEFCDA84}"/>
            </c:ext>
          </c:extLst>
        </c:ser>
        <c:ser>
          <c:idx val="35"/>
          <c:order val="35"/>
          <c:tx>
            <c:strRef>
              <c:f>スコア経年!$D$39</c:f>
              <c:strCache>
                <c:ptCount val="1"/>
                <c:pt idx="0">
                  <c:v>トロント</c:v>
                </c:pt>
              </c:strCache>
            </c:strRef>
          </c:tx>
          <c:spPr>
            <a:ln w="28575" cap="rnd">
              <a:solidFill>
                <a:schemeClr val="accent6">
                  <a:lumMod val="5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スコア経年!$E$39:$T$39</c:f>
              <c:numCache>
                <c:formatCode>0.0</c:formatCode>
                <c:ptCount val="16"/>
                <c:pt idx="0">
                  <c:v>1187.9304459107691</c:v>
                </c:pt>
                <c:pt idx="1">
                  <c:v>1114.529395310361</c:v>
                </c:pt>
                <c:pt idx="2">
                  <c:v>956.65748672173663</c:v>
                </c:pt>
                <c:pt idx="3">
                  <c:v>932.888424027322</c:v>
                </c:pt>
                <c:pt idx="4">
                  <c:v>995.85625087432231</c:v>
                </c:pt>
                <c:pt idx="5">
                  <c:v>991.41186070928097</c:v>
                </c:pt>
                <c:pt idx="6">
                  <c:v>1009.7019382521423</c:v>
                </c:pt>
                <c:pt idx="7">
                  <c:v>1020.915729364988</c:v>
                </c:pt>
                <c:pt idx="8">
                  <c:v>1038.907704494487</c:v>
                </c:pt>
                <c:pt idx="9">
                  <c:v>1060.3194645087494</c:v>
                </c:pt>
                <c:pt idx="10">
                  <c:v>1144.9614834821994</c:v>
                </c:pt>
                <c:pt idx="11">
                  <c:v>1113.1675609786917</c:v>
                </c:pt>
                <c:pt idx="12">
                  <c:v>1082.0999999999999</c:v>
                </c:pt>
                <c:pt idx="13">
                  <c:v>1072.8097112338583</c:v>
                </c:pt>
                <c:pt idx="14">
                  <c:v>1073.0298733206332</c:v>
                </c:pt>
                <c:pt idx="15">
                  <c:v>1065.239401090975</c:v>
                </c:pt>
              </c:numCache>
            </c:numRef>
          </c:val>
          <c:smooth val="0"/>
          <c:extLst>
            <c:ext xmlns:c16="http://schemas.microsoft.com/office/drawing/2014/chart" uri="{C3380CC4-5D6E-409C-BE32-E72D297353CC}">
              <c16:uniqueId val="{00000023-4C9A-455F-85E7-4A36BEFCDA84}"/>
            </c:ext>
          </c:extLst>
        </c:ser>
        <c:ser>
          <c:idx val="36"/>
          <c:order val="36"/>
          <c:tx>
            <c:strRef>
              <c:f>スコア経年!$D$40</c:f>
              <c:strCache>
                <c:ptCount val="1"/>
                <c:pt idx="0">
                  <c:v>ワシントンDC</c:v>
                </c:pt>
              </c:strCache>
            </c:strRef>
          </c:tx>
          <c:spPr>
            <a:ln w="28575" cap="rnd">
              <a:solidFill>
                <a:schemeClr val="accent1">
                  <a:lumMod val="70000"/>
                  <a:lumOff val="3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スコア経年!$E$40:$T$40</c:f>
              <c:numCache>
                <c:formatCode>0.0</c:formatCode>
                <c:ptCount val="16"/>
                <c:pt idx="4">
                  <c:v>899.90559511083791</c:v>
                </c:pt>
                <c:pt idx="5">
                  <c:v>907.51223729704805</c:v>
                </c:pt>
                <c:pt idx="6">
                  <c:v>951.44801581389879</c:v>
                </c:pt>
                <c:pt idx="7">
                  <c:v>924.74381200369078</c:v>
                </c:pt>
                <c:pt idx="8">
                  <c:v>968.48217186338491</c:v>
                </c:pt>
                <c:pt idx="9">
                  <c:v>991.90077878038301</c:v>
                </c:pt>
                <c:pt idx="10">
                  <c:v>1063.1813259139046</c:v>
                </c:pt>
                <c:pt idx="11">
                  <c:v>1022.5539929641334</c:v>
                </c:pt>
                <c:pt idx="12">
                  <c:v>936.3</c:v>
                </c:pt>
                <c:pt idx="13">
                  <c:v>940.90716050794174</c:v>
                </c:pt>
                <c:pt idx="14">
                  <c:v>975.12393300888334</c:v>
                </c:pt>
                <c:pt idx="15">
                  <c:v>955.50167452156677</c:v>
                </c:pt>
              </c:numCache>
            </c:numRef>
          </c:val>
          <c:smooth val="0"/>
          <c:extLst>
            <c:ext xmlns:c16="http://schemas.microsoft.com/office/drawing/2014/chart" uri="{C3380CC4-5D6E-409C-BE32-E72D297353CC}">
              <c16:uniqueId val="{00000024-4C9A-455F-85E7-4A36BEFCDA84}"/>
            </c:ext>
          </c:extLst>
        </c:ser>
        <c:ser>
          <c:idx val="37"/>
          <c:order val="37"/>
          <c:tx>
            <c:strRef>
              <c:f>スコア経年!$D$41</c:f>
              <c:strCache>
                <c:ptCount val="1"/>
                <c:pt idx="0">
                  <c:v>ニューヨーク</c:v>
                </c:pt>
              </c:strCache>
            </c:strRef>
          </c:tx>
          <c:spPr>
            <a:ln w="28575" cap="rnd">
              <a:solidFill>
                <a:srgbClr val="FABF1C"/>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スコア経年!$E$41:$T$41</c:f>
              <c:numCache>
                <c:formatCode>0.0</c:formatCode>
                <c:ptCount val="16"/>
                <c:pt idx="0">
                  <c:v>1634.1510539242242</c:v>
                </c:pt>
                <c:pt idx="1">
                  <c:v>1569.8915764512658</c:v>
                </c:pt>
                <c:pt idx="2">
                  <c:v>1546.6402540521824</c:v>
                </c:pt>
                <c:pt idx="3">
                  <c:v>1538.5377570500027</c:v>
                </c:pt>
                <c:pt idx="4">
                  <c:v>1481.0058095261745</c:v>
                </c:pt>
                <c:pt idx="5">
                  <c:v>1466.3018196844514</c:v>
                </c:pt>
                <c:pt idx="6">
                  <c:v>1466.2274823267157</c:v>
                </c:pt>
                <c:pt idx="7">
                  <c:v>1478.8972165653361</c:v>
                </c:pt>
                <c:pt idx="8">
                  <c:v>1479.539283296521</c:v>
                </c:pt>
                <c:pt idx="9">
                  <c:v>1481.2531126248912</c:v>
                </c:pt>
                <c:pt idx="10">
                  <c:v>1565.3431668896169</c:v>
                </c:pt>
                <c:pt idx="11">
                  <c:v>1543.1554912039833</c:v>
                </c:pt>
                <c:pt idx="12">
                  <c:v>1514.9</c:v>
                </c:pt>
                <c:pt idx="13">
                  <c:v>1482.8885262367999</c:v>
                </c:pt>
                <c:pt idx="14">
                  <c:v>1505.9403358426416</c:v>
                </c:pt>
                <c:pt idx="15">
                  <c:v>1506.3663752746834</c:v>
                </c:pt>
              </c:numCache>
            </c:numRef>
          </c:val>
          <c:smooth val="0"/>
          <c:extLst>
            <c:ext xmlns:c16="http://schemas.microsoft.com/office/drawing/2014/chart" uri="{C3380CC4-5D6E-409C-BE32-E72D297353CC}">
              <c16:uniqueId val="{00000025-4C9A-455F-85E7-4A36BEFCDA84}"/>
            </c:ext>
          </c:extLst>
        </c:ser>
        <c:ser>
          <c:idx val="38"/>
          <c:order val="38"/>
          <c:tx>
            <c:strRef>
              <c:f>スコア経年!$D$42</c:f>
              <c:strCache>
                <c:ptCount val="1"/>
                <c:pt idx="0">
                  <c:v>ボストン</c:v>
                </c:pt>
              </c:strCache>
            </c:strRef>
          </c:tx>
          <c:spPr>
            <a:ln w="28575" cap="rnd">
              <a:solidFill>
                <a:schemeClr val="accent3">
                  <a:lumMod val="70000"/>
                  <a:lumOff val="3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スコア経年!$E$42:$T$42</c:f>
              <c:numCache>
                <c:formatCode>0.0</c:formatCode>
                <c:ptCount val="16"/>
                <c:pt idx="0">
                  <c:v>1203.7397210896709</c:v>
                </c:pt>
                <c:pt idx="1">
                  <c:v>1074.7706761333418</c:v>
                </c:pt>
                <c:pt idx="2">
                  <c:v>974.80374576624001</c:v>
                </c:pt>
                <c:pt idx="3">
                  <c:v>986.47517100752361</c:v>
                </c:pt>
                <c:pt idx="4">
                  <c:v>923.56463789913914</c:v>
                </c:pt>
                <c:pt idx="5">
                  <c:v>889.93583056096634</c:v>
                </c:pt>
                <c:pt idx="6">
                  <c:v>910.88190607927504</c:v>
                </c:pt>
                <c:pt idx="7">
                  <c:v>963.801296777689</c:v>
                </c:pt>
                <c:pt idx="8">
                  <c:v>991.44142700677344</c:v>
                </c:pt>
                <c:pt idx="9">
                  <c:v>1030.7357431244848</c:v>
                </c:pt>
                <c:pt idx="10">
                  <c:v>1100.0899441664944</c:v>
                </c:pt>
                <c:pt idx="11">
                  <c:v>1047.6969683720749</c:v>
                </c:pt>
                <c:pt idx="12">
                  <c:v>1005.2</c:v>
                </c:pt>
                <c:pt idx="13">
                  <c:v>1005.3347944707418</c:v>
                </c:pt>
                <c:pt idx="14">
                  <c:v>1033.4092588165333</c:v>
                </c:pt>
                <c:pt idx="15">
                  <c:v>1026.3332686456417</c:v>
                </c:pt>
              </c:numCache>
            </c:numRef>
          </c:val>
          <c:smooth val="0"/>
          <c:extLst>
            <c:ext xmlns:c16="http://schemas.microsoft.com/office/drawing/2014/chart" uri="{C3380CC4-5D6E-409C-BE32-E72D297353CC}">
              <c16:uniqueId val="{00000026-4C9A-455F-85E7-4A36BEFCDA84}"/>
            </c:ext>
          </c:extLst>
        </c:ser>
        <c:ser>
          <c:idx val="39"/>
          <c:order val="39"/>
          <c:tx>
            <c:strRef>
              <c:f>スコア経年!$D$43</c:f>
              <c:strCache>
                <c:ptCount val="1"/>
                <c:pt idx="0">
                  <c:v>サンパウロ</c:v>
                </c:pt>
              </c:strCache>
            </c:strRef>
          </c:tx>
          <c:spPr>
            <a:ln w="28575" cap="rnd">
              <a:solidFill>
                <a:schemeClr val="accent4">
                  <a:lumMod val="70000"/>
                  <a:lumOff val="3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スコア経年!$E$43:$T$43</c:f>
              <c:numCache>
                <c:formatCode>0.0</c:formatCode>
                <c:ptCount val="16"/>
                <c:pt idx="1">
                  <c:v>844.12696244839651</c:v>
                </c:pt>
                <c:pt idx="2">
                  <c:v>763.47702013154014</c:v>
                </c:pt>
                <c:pt idx="3">
                  <c:v>774.40315258782118</c:v>
                </c:pt>
                <c:pt idx="4">
                  <c:v>718.40498016988249</c:v>
                </c:pt>
                <c:pt idx="5">
                  <c:v>742.22691828956965</c:v>
                </c:pt>
                <c:pt idx="6">
                  <c:v>745.31380399492627</c:v>
                </c:pt>
                <c:pt idx="7">
                  <c:v>717.15591346747601</c:v>
                </c:pt>
                <c:pt idx="8">
                  <c:v>787.73772547422504</c:v>
                </c:pt>
                <c:pt idx="9">
                  <c:v>830.38501062370005</c:v>
                </c:pt>
                <c:pt idx="10">
                  <c:v>808.42390605715639</c:v>
                </c:pt>
                <c:pt idx="11">
                  <c:v>852.04476794671655</c:v>
                </c:pt>
                <c:pt idx="12">
                  <c:v>846.4</c:v>
                </c:pt>
                <c:pt idx="13">
                  <c:v>820.78851449010835</c:v>
                </c:pt>
                <c:pt idx="14">
                  <c:v>904.33155404245827</c:v>
                </c:pt>
                <c:pt idx="15">
                  <c:v>898.35468429590821</c:v>
                </c:pt>
              </c:numCache>
            </c:numRef>
          </c:val>
          <c:smooth val="0"/>
          <c:extLst>
            <c:ext xmlns:c16="http://schemas.microsoft.com/office/drawing/2014/chart" uri="{C3380CC4-5D6E-409C-BE32-E72D297353CC}">
              <c16:uniqueId val="{00000027-4C9A-455F-85E7-4A36BEFCDA84}"/>
            </c:ext>
          </c:extLst>
        </c:ser>
        <c:ser>
          <c:idx val="40"/>
          <c:order val="40"/>
          <c:tx>
            <c:strRef>
              <c:f>スコア経年!$D$44</c:f>
              <c:strCache>
                <c:ptCount val="1"/>
                <c:pt idx="0">
                  <c:v>ヨハネスブルグ</c:v>
                </c:pt>
              </c:strCache>
            </c:strRef>
          </c:tx>
          <c:spPr>
            <a:ln w="28575" cap="rnd">
              <a:solidFill>
                <a:schemeClr val="accent5">
                  <a:lumMod val="70000"/>
                  <a:lumOff val="3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スコア経年!$E$44:$T$44</c:f>
              <c:numCache>
                <c:formatCode>0.0</c:formatCode>
                <c:ptCount val="16"/>
                <c:pt idx="8">
                  <c:v>569.48745600374707</c:v>
                </c:pt>
                <c:pt idx="9">
                  <c:v>633.59233476088582</c:v>
                </c:pt>
                <c:pt idx="10">
                  <c:v>668.48159094808841</c:v>
                </c:pt>
                <c:pt idx="11">
                  <c:v>630.18577578625002</c:v>
                </c:pt>
                <c:pt idx="12">
                  <c:v>618.1</c:v>
                </c:pt>
                <c:pt idx="13">
                  <c:v>606.05423203600003</c:v>
                </c:pt>
                <c:pt idx="14">
                  <c:v>639.80703681084992</c:v>
                </c:pt>
                <c:pt idx="15">
                  <c:v>664.00173191842509</c:v>
                </c:pt>
              </c:numCache>
            </c:numRef>
          </c:val>
          <c:smooth val="0"/>
          <c:extLst>
            <c:ext xmlns:c16="http://schemas.microsoft.com/office/drawing/2014/chart" uri="{C3380CC4-5D6E-409C-BE32-E72D297353CC}">
              <c16:uniqueId val="{00000028-4C9A-455F-85E7-4A36BEFCDA84}"/>
            </c:ext>
          </c:extLst>
        </c:ser>
        <c:ser>
          <c:idx val="41"/>
          <c:order val="41"/>
          <c:tx>
            <c:strRef>
              <c:f>スコア経年!$D$45</c:f>
              <c:strCache>
                <c:ptCount val="1"/>
                <c:pt idx="0">
                  <c:v>ジャカルタ</c:v>
                </c:pt>
              </c:strCache>
            </c:strRef>
          </c:tx>
          <c:spPr>
            <a:ln w="28575" cap="rnd">
              <a:solidFill>
                <a:schemeClr val="accent6">
                  <a:lumMod val="70000"/>
                  <a:lumOff val="3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スコア経年!$E$45:$T$45</c:f>
              <c:numCache>
                <c:formatCode>0.0</c:formatCode>
                <c:ptCount val="16"/>
                <c:pt idx="8">
                  <c:v>636.67729785319489</c:v>
                </c:pt>
                <c:pt idx="9">
                  <c:v>721.84967664955855</c:v>
                </c:pt>
                <c:pt idx="10">
                  <c:v>702.00760865169968</c:v>
                </c:pt>
                <c:pt idx="11">
                  <c:v>720.07317570548332</c:v>
                </c:pt>
                <c:pt idx="12">
                  <c:v>737.3</c:v>
                </c:pt>
                <c:pt idx="13">
                  <c:v>714.44196906208333</c:v>
                </c:pt>
                <c:pt idx="14">
                  <c:v>756.79036659585825</c:v>
                </c:pt>
                <c:pt idx="15">
                  <c:v>741.73320807286666</c:v>
                </c:pt>
              </c:numCache>
            </c:numRef>
          </c:val>
          <c:smooth val="0"/>
          <c:extLst>
            <c:ext xmlns:c16="http://schemas.microsoft.com/office/drawing/2014/chart" uri="{C3380CC4-5D6E-409C-BE32-E72D297353CC}">
              <c16:uniqueId val="{00000029-4C9A-455F-85E7-4A36BEFCDA84}"/>
            </c:ext>
          </c:extLst>
        </c:ser>
        <c:ser>
          <c:idx val="42"/>
          <c:order val="42"/>
          <c:tx>
            <c:strRef>
              <c:f>スコア経年!$D$46</c:f>
              <c:strCache>
                <c:ptCount val="1"/>
                <c:pt idx="0">
                  <c:v>ブエノスアイレス</c:v>
                </c:pt>
              </c:strCache>
            </c:strRef>
          </c:tx>
          <c:spPr>
            <a:ln w="28575" cap="rnd">
              <a:solidFill>
                <a:schemeClr val="accent1">
                  <a:lumMod val="7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スコア経年!$E$46:$T$46</c:f>
              <c:numCache>
                <c:formatCode>0.0</c:formatCode>
                <c:ptCount val="16"/>
                <c:pt idx="9">
                  <c:v>778.1099823961739</c:v>
                </c:pt>
                <c:pt idx="10">
                  <c:v>829.98533570805193</c:v>
                </c:pt>
                <c:pt idx="11">
                  <c:v>874.62570809227509</c:v>
                </c:pt>
                <c:pt idx="12">
                  <c:v>861.2</c:v>
                </c:pt>
                <c:pt idx="13">
                  <c:v>871.89029707149177</c:v>
                </c:pt>
                <c:pt idx="14">
                  <c:v>864.57033548046672</c:v>
                </c:pt>
                <c:pt idx="15">
                  <c:v>812.82477223342505</c:v>
                </c:pt>
              </c:numCache>
            </c:numRef>
          </c:val>
          <c:smooth val="0"/>
          <c:extLst>
            <c:ext xmlns:c16="http://schemas.microsoft.com/office/drawing/2014/chart" uri="{C3380CC4-5D6E-409C-BE32-E72D297353CC}">
              <c16:uniqueId val="{0000002A-4C9A-455F-85E7-4A36BEFCDA84}"/>
            </c:ext>
          </c:extLst>
        </c:ser>
        <c:ser>
          <c:idx val="43"/>
          <c:order val="43"/>
          <c:tx>
            <c:strRef>
              <c:f>スコア経年!$D$47</c:f>
              <c:strCache>
                <c:ptCount val="1"/>
                <c:pt idx="0">
                  <c:v>ドバイ</c:v>
                </c:pt>
              </c:strCache>
            </c:strRef>
          </c:tx>
          <c:spPr>
            <a:ln w="28575" cap="rnd">
              <a:solidFill>
                <a:schemeClr val="accent2">
                  <a:lumMod val="7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スコア経年!$E$47:$T$47</c:f>
              <c:numCache>
                <c:formatCode>0.0</c:formatCode>
                <c:ptCount val="16"/>
                <c:pt idx="9">
                  <c:v>1036.0581939018302</c:v>
                </c:pt>
                <c:pt idx="10">
                  <c:v>1039.8926157284595</c:v>
                </c:pt>
                <c:pt idx="11">
                  <c:v>1091.6288629442333</c:v>
                </c:pt>
                <c:pt idx="12">
                  <c:v>1084.9000000000001</c:v>
                </c:pt>
                <c:pt idx="13">
                  <c:v>1112.3694652183749</c:v>
                </c:pt>
                <c:pt idx="14">
                  <c:v>1127.7541586926</c:v>
                </c:pt>
                <c:pt idx="15">
                  <c:v>1162.6653307125334</c:v>
                </c:pt>
              </c:numCache>
            </c:numRef>
          </c:val>
          <c:smooth val="0"/>
          <c:extLst>
            <c:ext xmlns:c16="http://schemas.microsoft.com/office/drawing/2014/chart" uri="{C3380CC4-5D6E-409C-BE32-E72D297353CC}">
              <c16:uniqueId val="{0000002B-4C9A-455F-85E7-4A36BEFCDA84}"/>
            </c:ext>
          </c:extLst>
        </c:ser>
        <c:ser>
          <c:idx val="44"/>
          <c:order val="44"/>
          <c:tx>
            <c:strRef>
              <c:f>スコア経年!$D$48</c:f>
              <c:strCache>
                <c:ptCount val="1"/>
                <c:pt idx="0">
                  <c:v>ダブリン</c:v>
                </c:pt>
              </c:strCache>
            </c:strRef>
          </c:tx>
          <c:spPr>
            <a:ln w="28575" cap="rnd">
              <a:solidFill>
                <a:schemeClr val="accent3">
                  <a:lumMod val="7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スコア経年!$E$48:$T$48</c:f>
              <c:numCache>
                <c:formatCode>0.0</c:formatCode>
                <c:ptCount val="16"/>
                <c:pt idx="11">
                  <c:v>1016.2847949731749</c:v>
                </c:pt>
                <c:pt idx="12">
                  <c:v>962.3</c:v>
                </c:pt>
                <c:pt idx="13">
                  <c:v>1000.0829235512583</c:v>
                </c:pt>
                <c:pt idx="14">
                  <c:v>1012.7125359326001</c:v>
                </c:pt>
                <c:pt idx="15">
                  <c:v>1031.5632379666667</c:v>
                </c:pt>
              </c:numCache>
            </c:numRef>
          </c:val>
          <c:smooth val="0"/>
          <c:extLst>
            <c:ext xmlns:c16="http://schemas.microsoft.com/office/drawing/2014/chart" uri="{C3380CC4-5D6E-409C-BE32-E72D297353CC}">
              <c16:uniqueId val="{0000002C-4C9A-455F-85E7-4A36BEFCDA84}"/>
            </c:ext>
          </c:extLst>
        </c:ser>
        <c:ser>
          <c:idx val="45"/>
          <c:order val="45"/>
          <c:tx>
            <c:strRef>
              <c:f>スコア経年!$D$49</c:f>
              <c:strCache>
                <c:ptCount val="1"/>
                <c:pt idx="0">
                  <c:v>ヘルシンキ</c:v>
                </c:pt>
              </c:strCache>
            </c:strRef>
          </c:tx>
          <c:spPr>
            <a:ln w="28575" cap="rnd">
              <a:solidFill>
                <a:schemeClr val="accent4">
                  <a:lumMod val="7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スコア経年!$E$49:$T$49</c:f>
              <c:numCache>
                <c:formatCode>0.0</c:formatCode>
                <c:ptCount val="16"/>
                <c:pt idx="11">
                  <c:v>1024.9626758228915</c:v>
                </c:pt>
                <c:pt idx="12">
                  <c:v>958.7</c:v>
                </c:pt>
                <c:pt idx="13">
                  <c:v>981.73548629816673</c:v>
                </c:pt>
                <c:pt idx="14">
                  <c:v>1025.6088240803001</c:v>
                </c:pt>
                <c:pt idx="15">
                  <c:v>1007.9302963158916</c:v>
                </c:pt>
              </c:numCache>
            </c:numRef>
          </c:val>
          <c:smooth val="0"/>
          <c:extLst>
            <c:ext xmlns:c16="http://schemas.microsoft.com/office/drawing/2014/chart" uri="{C3380CC4-5D6E-409C-BE32-E72D297353CC}">
              <c16:uniqueId val="{0000002D-4C9A-455F-85E7-4A36BEFCDA84}"/>
            </c:ext>
          </c:extLst>
        </c:ser>
        <c:ser>
          <c:idx val="46"/>
          <c:order val="46"/>
          <c:tx>
            <c:strRef>
              <c:f>スコア経年!$D$50</c:f>
              <c:strCache>
                <c:ptCount val="1"/>
                <c:pt idx="0">
                  <c:v>テルアビブ</c:v>
                </c:pt>
              </c:strCache>
            </c:strRef>
          </c:tx>
          <c:spPr>
            <a:ln w="28575" cap="rnd">
              <a:solidFill>
                <a:schemeClr val="accent5">
                  <a:lumMod val="7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スコア経年!$E$50:$T$50</c:f>
              <c:numCache>
                <c:formatCode>0.0</c:formatCode>
                <c:ptCount val="16"/>
                <c:pt idx="11">
                  <c:v>931.91249242747506</c:v>
                </c:pt>
                <c:pt idx="12">
                  <c:v>856.7</c:v>
                </c:pt>
                <c:pt idx="13">
                  <c:v>852.94833084411653</c:v>
                </c:pt>
                <c:pt idx="14">
                  <c:v>884.92181728154162</c:v>
                </c:pt>
                <c:pt idx="15">
                  <c:v>892.44200955160829</c:v>
                </c:pt>
              </c:numCache>
            </c:numRef>
          </c:val>
          <c:smooth val="0"/>
          <c:extLst>
            <c:ext xmlns:c16="http://schemas.microsoft.com/office/drawing/2014/chart" uri="{C3380CC4-5D6E-409C-BE32-E72D297353CC}">
              <c16:uniqueId val="{0000002E-4C9A-455F-85E7-4A36BEFCDA84}"/>
            </c:ext>
          </c:extLst>
        </c:ser>
        <c:ser>
          <c:idx val="47"/>
          <c:order val="47"/>
          <c:tx>
            <c:strRef>
              <c:f>スコア経年!$D$51</c:f>
              <c:strCache>
                <c:ptCount val="1"/>
                <c:pt idx="0">
                  <c:v>メルボルン</c:v>
                </c:pt>
              </c:strCache>
            </c:strRef>
          </c:tx>
          <c:spPr>
            <a:ln w="28575" cap="rnd">
              <a:solidFill>
                <a:schemeClr val="accent6">
                  <a:lumMod val="70000"/>
                </a:schemeClr>
              </a:solidFill>
              <a:round/>
            </a:ln>
            <a:effectLst/>
          </c:spPr>
          <c:marker>
            <c:symbol val="none"/>
          </c:marker>
          <c:cat>
            <c:strRef>
              <c:f>スコア経年!$E$3:$T$3</c:f>
              <c:strCache>
                <c:ptCount val="16"/>
                <c:pt idx="0">
                  <c:v>GPCI
2008</c:v>
                </c:pt>
                <c:pt idx="1">
                  <c:v>GPCI
2009</c:v>
                </c:pt>
                <c:pt idx="2">
                  <c:v>GPCI
2010</c:v>
                </c:pt>
                <c:pt idx="3">
                  <c:v>GPCI
2011</c:v>
                </c:pt>
                <c:pt idx="4">
                  <c:v>GPCI
2012</c:v>
                </c:pt>
                <c:pt idx="5">
                  <c:v>GPCI
2013</c:v>
                </c:pt>
                <c:pt idx="6">
                  <c:v>GPCI
2014</c:v>
                </c:pt>
                <c:pt idx="7">
                  <c:v>GPCI
2015</c:v>
                </c:pt>
                <c:pt idx="8">
                  <c:v>GPCI
2016</c:v>
                </c:pt>
                <c:pt idx="9">
                  <c:v>GPCI
2017</c:v>
                </c:pt>
                <c:pt idx="10">
                  <c:v>GPCI
2018</c:v>
                </c:pt>
                <c:pt idx="11">
                  <c:v>GPCI
2019</c:v>
                </c:pt>
                <c:pt idx="12">
                  <c:v>GPCI
2020</c:v>
                </c:pt>
                <c:pt idx="13">
                  <c:v>GPCI
2021</c:v>
                </c:pt>
                <c:pt idx="14">
                  <c:v>GPCI
2022</c:v>
                </c:pt>
                <c:pt idx="15">
                  <c:v>GPCI
2023</c:v>
                </c:pt>
              </c:strCache>
            </c:strRef>
          </c:cat>
          <c:val>
            <c:numRef>
              <c:f>スコア経年!$E$51:$T$51</c:f>
              <c:numCache>
                <c:formatCode>0.0</c:formatCode>
                <c:ptCount val="16"/>
                <c:pt idx="11">
                  <c:v>1162.1133726285334</c:v>
                </c:pt>
                <c:pt idx="12">
                  <c:v>1092</c:v>
                </c:pt>
                <c:pt idx="13">
                  <c:v>1124.9284646843666</c:v>
                </c:pt>
                <c:pt idx="14">
                  <c:v>1157.2342101404834</c:v>
                </c:pt>
                <c:pt idx="15">
                  <c:v>1155.4245851395751</c:v>
                </c:pt>
              </c:numCache>
            </c:numRef>
          </c:val>
          <c:smooth val="0"/>
          <c:extLst>
            <c:ext xmlns:c16="http://schemas.microsoft.com/office/drawing/2014/chart" uri="{C3380CC4-5D6E-409C-BE32-E72D297353CC}">
              <c16:uniqueId val="{0000002F-4C9A-455F-85E7-4A36BEFCDA84}"/>
            </c:ext>
          </c:extLst>
        </c:ser>
        <c:dLbls>
          <c:showLegendKey val="0"/>
          <c:showVal val="0"/>
          <c:showCatName val="0"/>
          <c:showSerName val="0"/>
          <c:showPercent val="0"/>
          <c:showBubbleSize val="0"/>
        </c:dLbls>
        <c:smooth val="0"/>
        <c:axId val="757363616"/>
        <c:axId val="757365968"/>
      </c:lineChart>
      <c:catAx>
        <c:axId val="757363616"/>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5968"/>
        <c:crosses val="autoZero"/>
        <c:auto val="1"/>
        <c:lblAlgn val="ctr"/>
        <c:lblOffset val="100"/>
        <c:noMultiLvlLbl val="0"/>
      </c:catAx>
      <c:valAx>
        <c:axId val="757365968"/>
        <c:scaling>
          <c:orientation val="minMax"/>
          <c:max val="1700"/>
          <c:min val="50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3616"/>
        <c:crosses val="autoZero"/>
        <c:crossBetween val="between"/>
        <c:majorUnit val="100"/>
      </c:valAx>
      <c:spPr>
        <a:noFill/>
        <a:ln>
          <a:noFill/>
        </a:ln>
        <a:effectLst/>
      </c:spPr>
    </c:plotArea>
    <c:legend>
      <c:legendPos val="r"/>
      <c:layout>
        <c:manualLayout>
          <c:xMode val="edge"/>
          <c:yMode val="edge"/>
          <c:x val="0.82337244519765929"/>
          <c:y val="3.9005956232688162E-2"/>
          <c:w val="0.1671152750983747"/>
          <c:h val="0.9558908828422484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分野経年!$D$2</c:f>
          <c:strCache>
            <c:ptCount val="1"/>
            <c:pt idx="0">
              <c:v>総合</c:v>
            </c:pt>
          </c:strCache>
        </c:strRef>
      </c:tx>
      <c:layout>
        <c:manualLayout>
          <c:xMode val="edge"/>
          <c:yMode val="edge"/>
          <c:x val="8.1236914239913721E-2"/>
          <c:y val="2.0100502512562814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分野経年!$C$4</c:f>
              <c:strCache>
                <c:ptCount val="1"/>
                <c:pt idx="0">
                  <c:v>ロンドン</c:v>
                </c:pt>
              </c:strCache>
            </c:strRef>
          </c:tx>
          <c:spPr>
            <a:ln w="28575" cap="rnd">
              <a:solidFill>
                <a:srgbClr val="DB5334"/>
              </a:solidFill>
              <a:round/>
            </a:ln>
            <a:effectLst/>
          </c:spPr>
          <c:marker>
            <c:symbol val="none"/>
          </c:marker>
          <c:cat>
            <c:numRef>
              <c:f>分野経年!$I$3:$R$3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分野経年!$I$4:$R$4</c:f>
              <c:numCache>
                <c:formatCode>0.0</c:formatCode>
                <c:ptCount val="10"/>
                <c:pt idx="0">
                  <c:v>79.655018113466909</c:v>
                </c:pt>
                <c:pt idx="1">
                  <c:v>79.711637343756877</c:v>
                </c:pt>
                <c:pt idx="2">
                  <c:v>77.945471378263832</c:v>
                </c:pt>
                <c:pt idx="3">
                  <c:v>80.170654186379636</c:v>
                </c:pt>
                <c:pt idx="4">
                  <c:v>77.911043665249082</c:v>
                </c:pt>
                <c:pt idx="5">
                  <c:v>80.382590927088529</c:v>
                </c:pt>
                <c:pt idx="6">
                  <c:v>82.2</c:v>
                </c:pt>
                <c:pt idx="7">
                  <c:v>81.33185402316721</c:v>
                </c:pt>
                <c:pt idx="8">
                  <c:v>79.275394020867481</c:v>
                </c:pt>
                <c:pt idx="9">
                  <c:v>80.918178715655742</c:v>
                </c:pt>
              </c:numCache>
            </c:numRef>
          </c:val>
          <c:smooth val="0"/>
          <c:extLst>
            <c:ext xmlns:c16="http://schemas.microsoft.com/office/drawing/2014/chart" uri="{C3380CC4-5D6E-409C-BE32-E72D297353CC}">
              <c16:uniqueId val="{00000009-131D-4F3E-BDAC-2B8E52BD3752}"/>
            </c:ext>
          </c:extLst>
        </c:ser>
        <c:ser>
          <c:idx val="1"/>
          <c:order val="1"/>
          <c:tx>
            <c:strRef>
              <c:f>分野経年!$C$5</c:f>
              <c:strCache>
                <c:ptCount val="1"/>
                <c:pt idx="0">
                  <c:v>ニューヨーク</c:v>
                </c:pt>
              </c:strCache>
            </c:strRef>
          </c:tx>
          <c:spPr>
            <a:ln w="28575" cap="rnd">
              <a:solidFill>
                <a:srgbClr val="FABF1C"/>
              </a:solidFill>
              <a:round/>
            </a:ln>
            <a:effectLst/>
          </c:spPr>
          <c:marker>
            <c:symbol val="none"/>
          </c:marker>
          <c:cat>
            <c:numRef>
              <c:f>分野経年!$I$3:$R$3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分野経年!$I$5:$R$5</c:f>
              <c:numCache>
                <c:formatCode>0.0</c:formatCode>
                <c:ptCount val="10"/>
                <c:pt idx="0">
                  <c:v>73.043470195200229</c:v>
                </c:pt>
                <c:pt idx="1">
                  <c:v>72.669330280028177</c:v>
                </c:pt>
                <c:pt idx="2">
                  <c:v>71.473987678116998</c:v>
                </c:pt>
                <c:pt idx="3">
                  <c:v>71.101129032978946</c:v>
                </c:pt>
                <c:pt idx="4">
                  <c:v>72.167292784660248</c:v>
                </c:pt>
                <c:pt idx="5">
                  <c:v>74.155766677280511</c:v>
                </c:pt>
                <c:pt idx="6">
                  <c:v>74.8</c:v>
                </c:pt>
                <c:pt idx="7">
                  <c:v>73.11776176246272</c:v>
                </c:pt>
                <c:pt idx="8">
                  <c:v>74.65105229280168</c:v>
                </c:pt>
                <c:pt idx="9">
                  <c:v>73.65900515785043</c:v>
                </c:pt>
              </c:numCache>
            </c:numRef>
          </c:val>
          <c:smooth val="0"/>
          <c:extLst>
            <c:ext xmlns:c16="http://schemas.microsoft.com/office/drawing/2014/chart" uri="{C3380CC4-5D6E-409C-BE32-E72D297353CC}">
              <c16:uniqueId val="{0000000B-131D-4F3E-BDAC-2B8E52BD3752}"/>
            </c:ext>
          </c:extLst>
        </c:ser>
        <c:ser>
          <c:idx val="2"/>
          <c:order val="2"/>
          <c:tx>
            <c:strRef>
              <c:f>分野経年!$C$6</c:f>
              <c:strCache>
                <c:ptCount val="1"/>
                <c:pt idx="0">
                  <c:v>東京</c:v>
                </c:pt>
              </c:strCache>
            </c:strRef>
          </c:tx>
          <c:spPr>
            <a:ln w="28575" cap="rnd">
              <a:solidFill>
                <a:srgbClr val="237FC4"/>
              </a:solidFill>
              <a:round/>
            </a:ln>
            <a:effectLst/>
          </c:spPr>
          <c:marker>
            <c:symbol val="none"/>
          </c:marker>
          <c:cat>
            <c:numRef>
              <c:f>分野経年!$I$3:$R$3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分野経年!$I$6:$R$6</c:f>
              <c:numCache>
                <c:formatCode>0.0</c:formatCode>
                <c:ptCount val="10"/>
                <c:pt idx="0">
                  <c:v>68.378420531155086</c:v>
                </c:pt>
                <c:pt idx="1">
                  <c:v>67.808367647607724</c:v>
                </c:pt>
                <c:pt idx="2">
                  <c:v>69.113415468706009</c:v>
                </c:pt>
                <c:pt idx="3">
                  <c:v>69.453272073799567</c:v>
                </c:pt>
                <c:pt idx="4">
                  <c:v>67.491864818468741</c:v>
                </c:pt>
                <c:pt idx="5">
                  <c:v>68.179126919832953</c:v>
                </c:pt>
                <c:pt idx="6">
                  <c:v>68.3</c:v>
                </c:pt>
                <c:pt idx="7">
                  <c:v>69.455660880362004</c:v>
                </c:pt>
                <c:pt idx="8">
                  <c:v>67.227495673945711</c:v>
                </c:pt>
                <c:pt idx="9">
                  <c:v>66.906683405340274</c:v>
                </c:pt>
              </c:numCache>
            </c:numRef>
          </c:val>
          <c:smooth val="0"/>
          <c:extLst>
            <c:ext xmlns:c16="http://schemas.microsoft.com/office/drawing/2014/chart" uri="{C3380CC4-5D6E-409C-BE32-E72D297353CC}">
              <c16:uniqueId val="{0000000D-131D-4F3E-BDAC-2B8E52BD3752}"/>
            </c:ext>
          </c:extLst>
        </c:ser>
        <c:ser>
          <c:idx val="3"/>
          <c:order val="3"/>
          <c:tx>
            <c:strRef>
              <c:f>分野経年!$C$7</c:f>
              <c:strCache>
                <c:ptCount val="1"/>
                <c:pt idx="0">
                  <c:v>パリ</c:v>
                </c:pt>
              </c:strCache>
            </c:strRef>
          </c:tx>
          <c:spPr>
            <a:ln w="28575" cap="rnd">
              <a:solidFill>
                <a:srgbClr val="90C31F"/>
              </a:solidFill>
              <a:round/>
            </a:ln>
            <a:effectLst/>
          </c:spPr>
          <c:marker>
            <c:symbol val="none"/>
          </c:marker>
          <c:cat>
            <c:numRef>
              <c:f>分野経年!$I$3:$R$3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分野経年!$I$7:$R$7</c:f>
              <c:numCache>
                <c:formatCode>0.0</c:formatCode>
                <c:ptCount val="10"/>
                <c:pt idx="0">
                  <c:v>69.257012372759249</c:v>
                </c:pt>
                <c:pt idx="1">
                  <c:v>68.714302676659486</c:v>
                </c:pt>
                <c:pt idx="2">
                  <c:v>66.622351264089872</c:v>
                </c:pt>
                <c:pt idx="3">
                  <c:v>65.665568801276109</c:v>
                </c:pt>
                <c:pt idx="4">
                  <c:v>64.411243489690463</c:v>
                </c:pt>
                <c:pt idx="5">
                  <c:v>66.470894444576203</c:v>
                </c:pt>
                <c:pt idx="6">
                  <c:v>65.2</c:v>
                </c:pt>
                <c:pt idx="7">
                  <c:v>66.383622006253546</c:v>
                </c:pt>
                <c:pt idx="8">
                  <c:v>66.67490216680207</c:v>
                </c:pt>
                <c:pt idx="9">
                  <c:v>66.280956202049794</c:v>
                </c:pt>
              </c:numCache>
            </c:numRef>
          </c:val>
          <c:smooth val="0"/>
          <c:extLst>
            <c:ext xmlns:c16="http://schemas.microsoft.com/office/drawing/2014/chart" uri="{C3380CC4-5D6E-409C-BE32-E72D297353CC}">
              <c16:uniqueId val="{0000000F-131D-4F3E-BDAC-2B8E52BD3752}"/>
            </c:ext>
          </c:extLst>
        </c:ser>
        <c:ser>
          <c:idx val="4"/>
          <c:order val="4"/>
          <c:tx>
            <c:strRef>
              <c:f>分野経年!$C$8</c:f>
              <c:strCache>
                <c:ptCount val="1"/>
                <c:pt idx="0">
                  <c:v>シンガポール</c:v>
                </c:pt>
              </c:strCache>
            </c:strRef>
          </c:tx>
          <c:spPr>
            <a:ln w="28575" cap="rnd">
              <a:solidFill>
                <a:srgbClr val="9170AF"/>
              </a:solidFill>
              <a:round/>
            </a:ln>
            <a:effectLst/>
          </c:spPr>
          <c:marker>
            <c:symbol val="none"/>
          </c:marker>
          <c:cat>
            <c:numRef>
              <c:f>分野経年!$I$3:$R$3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分野経年!$I$8:$R$8</c:f>
              <c:numCache>
                <c:formatCode>0.0</c:formatCode>
                <c:ptCount val="10"/>
                <c:pt idx="0">
                  <c:v>60.985617588531497</c:v>
                </c:pt>
                <c:pt idx="1">
                  <c:v>63.501219810053612</c:v>
                </c:pt>
                <c:pt idx="2">
                  <c:v>61.891832376376428</c:v>
                </c:pt>
                <c:pt idx="3">
                  <c:v>62.662136003288573</c:v>
                </c:pt>
                <c:pt idx="4">
                  <c:v>60.639074829022256</c:v>
                </c:pt>
                <c:pt idx="5">
                  <c:v>60.30393311223709</c:v>
                </c:pt>
                <c:pt idx="6">
                  <c:v>61.9</c:v>
                </c:pt>
                <c:pt idx="7">
                  <c:v>60.370986466128784</c:v>
                </c:pt>
                <c:pt idx="8">
                  <c:v>60.086348274666157</c:v>
                </c:pt>
                <c:pt idx="9">
                  <c:v>61.16095700158084</c:v>
                </c:pt>
              </c:numCache>
            </c:numRef>
          </c:val>
          <c:smooth val="0"/>
          <c:extLst>
            <c:ext xmlns:c16="http://schemas.microsoft.com/office/drawing/2014/chart" uri="{C3380CC4-5D6E-409C-BE32-E72D297353CC}">
              <c16:uniqueId val="{00000011-131D-4F3E-BDAC-2B8E52BD3752}"/>
            </c:ext>
          </c:extLst>
        </c:ser>
        <c:ser>
          <c:idx val="5"/>
          <c:order val="5"/>
          <c:tx>
            <c:strRef>
              <c:f>分野経年!$C$9</c:f>
              <c:strCache>
                <c:ptCount val="1"/>
                <c:pt idx="0">
                  <c:v>香港</c:v>
                </c:pt>
              </c:strCache>
            </c:strRef>
          </c:tx>
          <c:spPr>
            <a:ln w="28575" cap="rnd">
              <a:solidFill>
                <a:srgbClr val="F49D28"/>
              </a:solidFill>
              <a:round/>
            </a:ln>
            <a:effectLst/>
          </c:spPr>
          <c:marker>
            <c:symbol val="none"/>
          </c:marker>
          <c:cat>
            <c:numRef>
              <c:f>分野経年!$I$3:$R$3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分野経年!$I$9:$R$9</c:f>
              <c:numCache>
                <c:formatCode>0.0</c:formatCode>
                <c:ptCount val="10"/>
                <c:pt idx="0">
                  <c:v>54.221291215251092</c:v>
                </c:pt>
                <c:pt idx="1">
                  <c:v>57.130041158689671</c:v>
                </c:pt>
                <c:pt idx="2">
                  <c:v>56.860423100564965</c:v>
                </c:pt>
                <c:pt idx="3">
                  <c:v>55.644577062737248</c:v>
                </c:pt>
                <c:pt idx="4">
                  <c:v>55.858134083526849</c:v>
                </c:pt>
                <c:pt idx="5">
                  <c:v>55.732637826768155</c:v>
                </c:pt>
                <c:pt idx="6">
                  <c:v>56.2</c:v>
                </c:pt>
                <c:pt idx="7">
                  <c:v>54.63432849556996</c:v>
                </c:pt>
                <c:pt idx="8">
                  <c:v>51.233520025294013</c:v>
                </c:pt>
                <c:pt idx="9">
                  <c:v>52.218613218381606</c:v>
                </c:pt>
              </c:numCache>
            </c:numRef>
          </c:val>
          <c:smooth val="0"/>
          <c:extLst>
            <c:ext xmlns:c16="http://schemas.microsoft.com/office/drawing/2014/chart" uri="{C3380CC4-5D6E-409C-BE32-E72D297353CC}">
              <c16:uniqueId val="{00000013-131D-4F3E-BDAC-2B8E52BD3752}"/>
            </c:ext>
          </c:extLst>
        </c:ser>
        <c:ser>
          <c:idx val="6"/>
          <c:order val="6"/>
          <c:tx>
            <c:strRef>
              <c:f>分野経年!$C$10</c:f>
              <c:strCache>
                <c:ptCount val="1"/>
                <c:pt idx="0">
                  <c:v>北京</c:v>
                </c:pt>
              </c:strCache>
            </c:strRef>
          </c:tx>
          <c:spPr>
            <a:ln w="28575" cap="rnd">
              <a:solidFill>
                <a:schemeClr val="bg1">
                  <a:lumMod val="75000"/>
                </a:schemeClr>
              </a:solidFill>
              <a:round/>
            </a:ln>
            <a:effectLst/>
          </c:spPr>
          <c:marker>
            <c:symbol val="none"/>
          </c:marker>
          <c:cat>
            <c:numRef>
              <c:f>分野経年!$I$3:$R$3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分野経年!$I$10:$R$10</c:f>
              <c:numCache>
                <c:formatCode>0.0</c:formatCode>
                <c:ptCount val="10"/>
                <c:pt idx="0">
                  <c:v>51.402153902949756</c:v>
                </c:pt>
                <c:pt idx="1">
                  <c:v>49.507675704877478</c:v>
                </c:pt>
                <c:pt idx="2">
                  <c:v>50.863079523421327</c:v>
                </c:pt>
                <c:pt idx="3">
                  <c:v>53.63466534826253</c:v>
                </c:pt>
                <c:pt idx="4">
                  <c:v>50.593662236543288</c:v>
                </c:pt>
                <c:pt idx="5">
                  <c:v>49.827576670945525</c:v>
                </c:pt>
                <c:pt idx="6">
                  <c:v>53.3</c:v>
                </c:pt>
                <c:pt idx="7">
                  <c:v>52.520392128896077</c:v>
                </c:pt>
                <c:pt idx="8">
                  <c:v>52.917876680450313</c:v>
                </c:pt>
                <c:pt idx="9">
                  <c:v>53.436162959179278</c:v>
                </c:pt>
              </c:numCache>
            </c:numRef>
          </c:val>
          <c:smooth val="0"/>
          <c:extLst>
            <c:ext xmlns:c16="http://schemas.microsoft.com/office/drawing/2014/chart" uri="{C3380CC4-5D6E-409C-BE32-E72D297353CC}">
              <c16:uniqueId val="{00000015-131D-4F3E-BDAC-2B8E52BD3752}"/>
            </c:ext>
          </c:extLst>
        </c:ser>
        <c:ser>
          <c:idx val="7"/>
          <c:order val="7"/>
          <c:tx>
            <c:strRef>
              <c:f>分野経年!$C$11</c:f>
              <c:strCache>
                <c:ptCount val="1"/>
                <c:pt idx="0">
                  <c:v>上海</c:v>
                </c:pt>
              </c:strCache>
            </c:strRef>
          </c:tx>
          <c:spPr>
            <a:ln w="28575" cap="rnd">
              <a:solidFill>
                <a:schemeClr val="bg1">
                  <a:lumMod val="50000"/>
                </a:schemeClr>
              </a:solidFill>
              <a:round/>
            </a:ln>
            <a:effectLst/>
          </c:spPr>
          <c:marker>
            <c:symbol val="none"/>
          </c:marker>
          <c:cat>
            <c:numRef>
              <c:f>分野経年!$I$3:$R$3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分野経年!$I$11:$R$11</c:f>
              <c:numCache>
                <c:formatCode>0.0</c:formatCode>
                <c:ptCount val="10"/>
                <c:pt idx="0">
                  <c:v>51.290112700062856</c:v>
                </c:pt>
                <c:pt idx="1">
                  <c:v>49.825082232777291</c:v>
                </c:pt>
                <c:pt idx="2">
                  <c:v>52.571239990243342</c:v>
                </c:pt>
                <c:pt idx="3">
                  <c:v>52.658898657611523</c:v>
                </c:pt>
                <c:pt idx="4">
                  <c:v>49.843449835389976</c:v>
                </c:pt>
                <c:pt idx="5">
                  <c:v>48.456233174343794</c:v>
                </c:pt>
                <c:pt idx="6">
                  <c:v>54.2</c:v>
                </c:pt>
                <c:pt idx="7">
                  <c:v>54.895224255008443</c:v>
                </c:pt>
                <c:pt idx="8">
                  <c:v>54.740348870171424</c:v>
                </c:pt>
                <c:pt idx="9">
                  <c:v>54.272331972622659</c:v>
                </c:pt>
              </c:numCache>
            </c:numRef>
          </c:val>
          <c:smooth val="0"/>
          <c:extLst>
            <c:ext xmlns:c16="http://schemas.microsoft.com/office/drawing/2014/chart" uri="{C3380CC4-5D6E-409C-BE32-E72D297353CC}">
              <c16:uniqueId val="{00000017-131D-4F3E-BDAC-2B8E52BD3752}"/>
            </c:ext>
          </c:extLst>
        </c:ser>
        <c:dLbls>
          <c:showLegendKey val="0"/>
          <c:showVal val="0"/>
          <c:showCatName val="0"/>
          <c:showSerName val="0"/>
          <c:showPercent val="0"/>
          <c:showBubbleSize val="0"/>
        </c:dLbls>
        <c:smooth val="0"/>
        <c:axId val="757366752"/>
        <c:axId val="757364400"/>
      </c:lineChart>
      <c:catAx>
        <c:axId val="757366752"/>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4400"/>
        <c:crosses val="autoZero"/>
        <c:auto val="1"/>
        <c:lblAlgn val="ctr"/>
        <c:lblOffset val="100"/>
        <c:noMultiLvlLbl val="0"/>
      </c:catAx>
      <c:valAx>
        <c:axId val="757364400"/>
        <c:scaling>
          <c:orientation val="minMax"/>
          <c:max val="85"/>
          <c:min val="45"/>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6752"/>
        <c:crosses val="autoZero"/>
        <c:crossBetween val="between"/>
        <c:majorUnit val="5"/>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分野経年!$D$15</c:f>
          <c:strCache>
            <c:ptCount val="1"/>
            <c:pt idx="0">
              <c:v>総合</c:v>
            </c:pt>
          </c:strCache>
        </c:strRef>
      </c:tx>
      <c:layout>
        <c:manualLayout>
          <c:xMode val="edge"/>
          <c:yMode val="edge"/>
          <c:x val="8.1133268081126683E-2"/>
          <c:y val="2.2857142857142857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分野経年!$C$17</c:f>
              <c:strCache>
                <c:ptCount val="1"/>
                <c:pt idx="0">
                  <c:v>ロンドン</c:v>
                </c:pt>
              </c:strCache>
            </c:strRef>
          </c:tx>
          <c:spPr>
            <a:ln w="28575" cap="rnd">
              <a:solidFill>
                <a:srgbClr val="DB5334"/>
              </a:solidFill>
              <a:round/>
            </a:ln>
            <a:effectLst/>
          </c:spPr>
          <c:marker>
            <c:symbol val="none"/>
          </c:marker>
          <c:cat>
            <c:numRef>
              <c:f>分野経年!$I$16:$R$16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分野経年!$I$17:$R$17</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0-1850-42FB-8D2D-231B9F41027E}"/>
            </c:ext>
          </c:extLst>
        </c:ser>
        <c:ser>
          <c:idx val="1"/>
          <c:order val="1"/>
          <c:tx>
            <c:strRef>
              <c:f>分野経年!$C$18</c:f>
              <c:strCache>
                <c:ptCount val="1"/>
                <c:pt idx="0">
                  <c:v>ニューヨーク</c:v>
                </c:pt>
              </c:strCache>
            </c:strRef>
          </c:tx>
          <c:spPr>
            <a:ln w="28575" cap="rnd">
              <a:solidFill>
                <a:srgbClr val="FABF1C"/>
              </a:solidFill>
              <a:round/>
            </a:ln>
            <a:effectLst/>
          </c:spPr>
          <c:marker>
            <c:symbol val="none"/>
          </c:marker>
          <c:cat>
            <c:numRef>
              <c:f>分野経年!$I$16:$R$16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分野経年!$I$18:$R$18</c:f>
              <c:numCache>
                <c:formatCode>General</c:formatCode>
                <c:ptCount val="10"/>
                <c:pt idx="0">
                  <c:v>2</c:v>
                </c:pt>
                <c:pt idx="1">
                  <c:v>2</c:v>
                </c:pt>
                <c:pt idx="2">
                  <c:v>2</c:v>
                </c:pt>
                <c:pt idx="3">
                  <c:v>2</c:v>
                </c:pt>
                <c:pt idx="4">
                  <c:v>2</c:v>
                </c:pt>
                <c:pt idx="5">
                  <c:v>2</c:v>
                </c:pt>
                <c:pt idx="6">
                  <c:v>2</c:v>
                </c:pt>
                <c:pt idx="7">
                  <c:v>2</c:v>
                </c:pt>
                <c:pt idx="8">
                  <c:v>2</c:v>
                </c:pt>
                <c:pt idx="9">
                  <c:v>2</c:v>
                </c:pt>
              </c:numCache>
            </c:numRef>
          </c:val>
          <c:smooth val="0"/>
          <c:extLst>
            <c:ext xmlns:c16="http://schemas.microsoft.com/office/drawing/2014/chart" uri="{C3380CC4-5D6E-409C-BE32-E72D297353CC}">
              <c16:uniqueId val="{00000001-1850-42FB-8D2D-231B9F41027E}"/>
            </c:ext>
          </c:extLst>
        </c:ser>
        <c:ser>
          <c:idx val="2"/>
          <c:order val="2"/>
          <c:tx>
            <c:strRef>
              <c:f>分野経年!$C$19</c:f>
              <c:strCache>
                <c:ptCount val="1"/>
                <c:pt idx="0">
                  <c:v>東京</c:v>
                </c:pt>
              </c:strCache>
            </c:strRef>
          </c:tx>
          <c:spPr>
            <a:ln w="28575" cap="rnd">
              <a:solidFill>
                <a:srgbClr val="237FC4"/>
              </a:solidFill>
              <a:round/>
            </a:ln>
            <a:effectLst/>
          </c:spPr>
          <c:marker>
            <c:symbol val="none"/>
          </c:marker>
          <c:cat>
            <c:numRef>
              <c:f>分野経年!$I$16:$R$16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分野経年!$I$19:$R$19</c:f>
              <c:numCache>
                <c:formatCode>General</c:formatCode>
                <c:ptCount val="10"/>
                <c:pt idx="0">
                  <c:v>4</c:v>
                </c:pt>
                <c:pt idx="1">
                  <c:v>4</c:v>
                </c:pt>
                <c:pt idx="2">
                  <c:v>3</c:v>
                </c:pt>
                <c:pt idx="3">
                  <c:v>3</c:v>
                </c:pt>
                <c:pt idx="4">
                  <c:v>3</c:v>
                </c:pt>
                <c:pt idx="5">
                  <c:v>3</c:v>
                </c:pt>
                <c:pt idx="6">
                  <c:v>3</c:v>
                </c:pt>
                <c:pt idx="7">
                  <c:v>3</c:v>
                </c:pt>
                <c:pt idx="8">
                  <c:v>3</c:v>
                </c:pt>
                <c:pt idx="9">
                  <c:v>3</c:v>
                </c:pt>
              </c:numCache>
            </c:numRef>
          </c:val>
          <c:smooth val="0"/>
          <c:extLst>
            <c:ext xmlns:c16="http://schemas.microsoft.com/office/drawing/2014/chart" uri="{C3380CC4-5D6E-409C-BE32-E72D297353CC}">
              <c16:uniqueId val="{00000002-1850-42FB-8D2D-231B9F41027E}"/>
            </c:ext>
          </c:extLst>
        </c:ser>
        <c:ser>
          <c:idx val="3"/>
          <c:order val="3"/>
          <c:tx>
            <c:strRef>
              <c:f>分野経年!$C$20</c:f>
              <c:strCache>
                <c:ptCount val="1"/>
                <c:pt idx="0">
                  <c:v>パリ</c:v>
                </c:pt>
              </c:strCache>
            </c:strRef>
          </c:tx>
          <c:spPr>
            <a:ln w="28575" cap="rnd">
              <a:solidFill>
                <a:srgbClr val="90C31F"/>
              </a:solidFill>
              <a:round/>
            </a:ln>
            <a:effectLst/>
          </c:spPr>
          <c:marker>
            <c:symbol val="none"/>
          </c:marker>
          <c:cat>
            <c:numRef>
              <c:f>分野経年!$I$16:$R$16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分野経年!$I$20:$R$20</c:f>
              <c:numCache>
                <c:formatCode>General</c:formatCode>
                <c:ptCount val="10"/>
                <c:pt idx="0">
                  <c:v>3</c:v>
                </c:pt>
                <c:pt idx="1">
                  <c:v>3</c:v>
                </c:pt>
                <c:pt idx="2">
                  <c:v>4</c:v>
                </c:pt>
                <c:pt idx="3">
                  <c:v>4</c:v>
                </c:pt>
                <c:pt idx="4">
                  <c:v>4</c:v>
                </c:pt>
                <c:pt idx="5">
                  <c:v>4</c:v>
                </c:pt>
                <c:pt idx="6">
                  <c:v>4</c:v>
                </c:pt>
                <c:pt idx="7">
                  <c:v>4</c:v>
                </c:pt>
                <c:pt idx="8">
                  <c:v>4</c:v>
                </c:pt>
                <c:pt idx="9">
                  <c:v>4</c:v>
                </c:pt>
              </c:numCache>
            </c:numRef>
          </c:val>
          <c:smooth val="0"/>
          <c:extLst>
            <c:ext xmlns:c16="http://schemas.microsoft.com/office/drawing/2014/chart" uri="{C3380CC4-5D6E-409C-BE32-E72D297353CC}">
              <c16:uniqueId val="{00000003-1850-42FB-8D2D-231B9F41027E}"/>
            </c:ext>
          </c:extLst>
        </c:ser>
        <c:ser>
          <c:idx val="4"/>
          <c:order val="4"/>
          <c:tx>
            <c:strRef>
              <c:f>分野経年!$C$21</c:f>
              <c:strCache>
                <c:ptCount val="1"/>
                <c:pt idx="0">
                  <c:v>シンガポール</c:v>
                </c:pt>
              </c:strCache>
            </c:strRef>
          </c:tx>
          <c:spPr>
            <a:ln w="28575" cap="rnd">
              <a:solidFill>
                <a:srgbClr val="9170AF"/>
              </a:solidFill>
              <a:round/>
            </a:ln>
            <a:effectLst/>
          </c:spPr>
          <c:marker>
            <c:symbol val="none"/>
          </c:marker>
          <c:cat>
            <c:numRef>
              <c:f>分野経年!$I$16:$R$16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分野経年!$I$21:$R$21</c:f>
              <c:numCache>
                <c:formatCode>General</c:formatCode>
                <c:ptCount val="10"/>
                <c:pt idx="0">
                  <c:v>5</c:v>
                </c:pt>
                <c:pt idx="1">
                  <c:v>5</c:v>
                </c:pt>
                <c:pt idx="2">
                  <c:v>5</c:v>
                </c:pt>
                <c:pt idx="3">
                  <c:v>5</c:v>
                </c:pt>
                <c:pt idx="4">
                  <c:v>5</c:v>
                </c:pt>
                <c:pt idx="5">
                  <c:v>5</c:v>
                </c:pt>
                <c:pt idx="6">
                  <c:v>5</c:v>
                </c:pt>
                <c:pt idx="7">
                  <c:v>5</c:v>
                </c:pt>
                <c:pt idx="8">
                  <c:v>5</c:v>
                </c:pt>
                <c:pt idx="9">
                  <c:v>5</c:v>
                </c:pt>
              </c:numCache>
            </c:numRef>
          </c:val>
          <c:smooth val="0"/>
          <c:extLst>
            <c:ext xmlns:c16="http://schemas.microsoft.com/office/drawing/2014/chart" uri="{C3380CC4-5D6E-409C-BE32-E72D297353CC}">
              <c16:uniqueId val="{00000004-1850-42FB-8D2D-231B9F41027E}"/>
            </c:ext>
          </c:extLst>
        </c:ser>
        <c:ser>
          <c:idx val="5"/>
          <c:order val="5"/>
          <c:tx>
            <c:strRef>
              <c:f>分野経年!$C$22</c:f>
              <c:strCache>
                <c:ptCount val="1"/>
                <c:pt idx="0">
                  <c:v>香港</c:v>
                </c:pt>
              </c:strCache>
            </c:strRef>
          </c:tx>
          <c:spPr>
            <a:ln w="28575" cap="rnd">
              <a:solidFill>
                <a:srgbClr val="F49D28"/>
              </a:solidFill>
              <a:round/>
            </a:ln>
            <a:effectLst/>
          </c:spPr>
          <c:marker>
            <c:symbol val="none"/>
          </c:marker>
          <c:cat>
            <c:numRef>
              <c:f>分野経年!$I$16:$R$16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分野経年!$I$22:$R$22</c:f>
              <c:numCache>
                <c:formatCode>General</c:formatCode>
                <c:ptCount val="10"/>
                <c:pt idx="0">
                  <c:v>9</c:v>
                </c:pt>
                <c:pt idx="1">
                  <c:v>7</c:v>
                </c:pt>
                <c:pt idx="2">
                  <c:v>7</c:v>
                </c:pt>
                <c:pt idx="3">
                  <c:v>9</c:v>
                </c:pt>
                <c:pt idx="4">
                  <c:v>9</c:v>
                </c:pt>
                <c:pt idx="5">
                  <c:v>9</c:v>
                </c:pt>
                <c:pt idx="6">
                  <c:v>9</c:v>
                </c:pt>
                <c:pt idx="7">
                  <c:v>13</c:v>
                </c:pt>
                <c:pt idx="8">
                  <c:v>23</c:v>
                </c:pt>
                <c:pt idx="9">
                  <c:v>18</c:v>
                </c:pt>
              </c:numCache>
            </c:numRef>
          </c:val>
          <c:smooth val="0"/>
          <c:extLst>
            <c:ext xmlns:c16="http://schemas.microsoft.com/office/drawing/2014/chart" uri="{C3380CC4-5D6E-409C-BE32-E72D297353CC}">
              <c16:uniqueId val="{00000005-1850-42FB-8D2D-231B9F41027E}"/>
            </c:ext>
          </c:extLst>
        </c:ser>
        <c:ser>
          <c:idx val="6"/>
          <c:order val="6"/>
          <c:tx>
            <c:strRef>
              <c:f>分野経年!$C$23</c:f>
              <c:strCache>
                <c:ptCount val="1"/>
                <c:pt idx="0">
                  <c:v>北京</c:v>
                </c:pt>
              </c:strCache>
            </c:strRef>
          </c:tx>
          <c:spPr>
            <a:ln w="28575" cap="rnd">
              <a:solidFill>
                <a:schemeClr val="bg1">
                  <a:lumMod val="75000"/>
                </a:schemeClr>
              </a:solidFill>
              <a:round/>
            </a:ln>
            <a:effectLst/>
          </c:spPr>
          <c:marker>
            <c:symbol val="none"/>
          </c:marker>
          <c:cat>
            <c:numRef>
              <c:f>分野経年!$I$16:$R$16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分野経年!$I$23:$R$23</c:f>
              <c:numCache>
                <c:formatCode>General</c:formatCode>
                <c:ptCount val="10"/>
                <c:pt idx="0">
                  <c:v>14</c:v>
                </c:pt>
                <c:pt idx="1">
                  <c:v>18</c:v>
                </c:pt>
                <c:pt idx="2">
                  <c:v>17</c:v>
                </c:pt>
                <c:pt idx="3">
                  <c:v>13</c:v>
                </c:pt>
                <c:pt idx="4">
                  <c:v>23</c:v>
                </c:pt>
                <c:pt idx="5">
                  <c:v>24</c:v>
                </c:pt>
                <c:pt idx="6">
                  <c:v>15</c:v>
                </c:pt>
                <c:pt idx="7">
                  <c:v>17</c:v>
                </c:pt>
                <c:pt idx="8">
                  <c:v>17</c:v>
                </c:pt>
                <c:pt idx="9">
                  <c:v>17</c:v>
                </c:pt>
              </c:numCache>
            </c:numRef>
          </c:val>
          <c:smooth val="0"/>
          <c:extLst>
            <c:ext xmlns:c16="http://schemas.microsoft.com/office/drawing/2014/chart" uri="{C3380CC4-5D6E-409C-BE32-E72D297353CC}">
              <c16:uniqueId val="{00000006-1850-42FB-8D2D-231B9F41027E}"/>
            </c:ext>
          </c:extLst>
        </c:ser>
        <c:ser>
          <c:idx val="7"/>
          <c:order val="7"/>
          <c:tx>
            <c:strRef>
              <c:f>分野経年!$C$24</c:f>
              <c:strCache>
                <c:ptCount val="1"/>
                <c:pt idx="0">
                  <c:v>上海</c:v>
                </c:pt>
              </c:strCache>
            </c:strRef>
          </c:tx>
          <c:spPr>
            <a:ln w="28575" cap="rnd">
              <a:solidFill>
                <a:schemeClr val="bg1">
                  <a:lumMod val="50000"/>
                </a:schemeClr>
              </a:solidFill>
              <a:round/>
            </a:ln>
            <a:effectLst/>
          </c:spPr>
          <c:marker>
            <c:symbol val="none"/>
          </c:marker>
          <c:cat>
            <c:numRef>
              <c:f>分野経年!$I$16:$R$16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分野経年!$I$24:$R$24</c:f>
              <c:numCache>
                <c:formatCode>General</c:formatCode>
                <c:ptCount val="10"/>
                <c:pt idx="0">
                  <c:v>15</c:v>
                </c:pt>
                <c:pt idx="1">
                  <c:v>17</c:v>
                </c:pt>
                <c:pt idx="2">
                  <c:v>12</c:v>
                </c:pt>
                <c:pt idx="3">
                  <c:v>15</c:v>
                </c:pt>
                <c:pt idx="4">
                  <c:v>26</c:v>
                </c:pt>
                <c:pt idx="5">
                  <c:v>30</c:v>
                </c:pt>
                <c:pt idx="6">
                  <c:v>10</c:v>
                </c:pt>
                <c:pt idx="7">
                  <c:v>10</c:v>
                </c:pt>
                <c:pt idx="8">
                  <c:v>10</c:v>
                </c:pt>
                <c:pt idx="9">
                  <c:v>15</c:v>
                </c:pt>
              </c:numCache>
            </c:numRef>
          </c:val>
          <c:smooth val="0"/>
          <c:extLst>
            <c:ext xmlns:c16="http://schemas.microsoft.com/office/drawing/2014/chart" uri="{C3380CC4-5D6E-409C-BE32-E72D297353CC}">
              <c16:uniqueId val="{00000007-1850-42FB-8D2D-231B9F41027E}"/>
            </c:ext>
          </c:extLst>
        </c:ser>
        <c:dLbls>
          <c:showLegendKey val="0"/>
          <c:showVal val="0"/>
          <c:showCatName val="0"/>
          <c:showSerName val="0"/>
          <c:showPercent val="0"/>
          <c:showBubbleSize val="0"/>
        </c:dLbls>
        <c:smooth val="0"/>
        <c:axId val="757363224"/>
        <c:axId val="757365576"/>
      </c:lineChart>
      <c:catAx>
        <c:axId val="757363224"/>
        <c:scaling>
          <c:orientation val="minMax"/>
        </c:scaling>
        <c:delete val="0"/>
        <c:axPos val="t"/>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5576"/>
        <c:crosses val="autoZero"/>
        <c:auto val="1"/>
        <c:lblAlgn val="ctr"/>
        <c:lblOffset val="100"/>
        <c:noMultiLvlLbl val="0"/>
      </c:catAx>
      <c:valAx>
        <c:axId val="757365576"/>
        <c:scaling>
          <c:orientation val="maxMin"/>
          <c:max val="24"/>
          <c:min val="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3224"/>
        <c:crosses val="autoZero"/>
        <c:crossBetween val="between"/>
        <c:maj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分野経年!$S$15</c:f>
          <c:strCache>
            <c:ptCount val="1"/>
            <c:pt idx="0">
              <c:v>経済</c:v>
            </c:pt>
          </c:strCache>
        </c:strRef>
      </c:tx>
      <c:layout>
        <c:manualLayout>
          <c:xMode val="edge"/>
          <c:yMode val="edge"/>
          <c:x val="8.1133268081126683E-2"/>
          <c:y val="2.2857142857142857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分野経年!$C$17</c:f>
              <c:strCache>
                <c:ptCount val="1"/>
                <c:pt idx="0">
                  <c:v>ロンドン</c:v>
                </c:pt>
              </c:strCache>
            </c:strRef>
          </c:tx>
          <c:spPr>
            <a:ln w="28575" cap="rnd">
              <a:solidFill>
                <a:srgbClr val="DB5334"/>
              </a:solidFill>
              <a:round/>
            </a:ln>
            <a:effectLst/>
          </c:spPr>
          <c:marker>
            <c:symbol val="none"/>
          </c:marker>
          <c:cat>
            <c:numRef>
              <c:f>分野経年!$X$16:$AG$16</c:f>
              <c:numCache>
                <c:formatCode>General</c:formatCode>
                <c:ptCount val="10"/>
                <c:pt idx="0">
                  <c:v>2014</c:v>
                </c:pt>
                <c:pt idx="1">
                  <c:v>2015</c:v>
                </c:pt>
                <c:pt idx="2">
                  <c:v>2016</c:v>
                </c:pt>
                <c:pt idx="3">
                  <c:v>2017</c:v>
                </c:pt>
                <c:pt idx="4">
                  <c:v>2018</c:v>
                </c:pt>
                <c:pt idx="5">
                  <c:v>2019</c:v>
                </c:pt>
                <c:pt idx="6">
                  <c:v>2020</c:v>
                </c:pt>
                <c:pt idx="7">
                  <c:v>2021</c:v>
                </c:pt>
                <c:pt idx="8">
                  <c:v>2022</c:v>
                </c:pt>
                <c:pt idx="9">
                  <c:v>2022</c:v>
                </c:pt>
              </c:numCache>
            </c:numRef>
          </c:cat>
          <c:val>
            <c:numRef>
              <c:f>分野経年!$X$17:$AG$17</c:f>
              <c:numCache>
                <c:formatCode>General</c:formatCode>
                <c:ptCount val="10"/>
                <c:pt idx="0">
                  <c:v>4</c:v>
                </c:pt>
                <c:pt idx="1">
                  <c:v>2</c:v>
                </c:pt>
                <c:pt idx="2">
                  <c:v>2</c:v>
                </c:pt>
                <c:pt idx="3">
                  <c:v>2</c:v>
                </c:pt>
                <c:pt idx="4">
                  <c:v>2</c:v>
                </c:pt>
                <c:pt idx="5">
                  <c:v>2</c:v>
                </c:pt>
                <c:pt idx="6">
                  <c:v>2</c:v>
                </c:pt>
                <c:pt idx="7">
                  <c:v>2</c:v>
                </c:pt>
                <c:pt idx="8">
                  <c:v>2</c:v>
                </c:pt>
                <c:pt idx="9">
                  <c:v>2</c:v>
                </c:pt>
              </c:numCache>
            </c:numRef>
          </c:val>
          <c:smooth val="0"/>
          <c:extLst>
            <c:ext xmlns:c16="http://schemas.microsoft.com/office/drawing/2014/chart" uri="{C3380CC4-5D6E-409C-BE32-E72D297353CC}">
              <c16:uniqueId val="{00000019-B81B-443F-A554-22E3E5F1108F}"/>
            </c:ext>
          </c:extLst>
        </c:ser>
        <c:ser>
          <c:idx val="1"/>
          <c:order val="1"/>
          <c:tx>
            <c:strRef>
              <c:f>分野経年!$C$18</c:f>
              <c:strCache>
                <c:ptCount val="1"/>
                <c:pt idx="0">
                  <c:v>ニューヨーク</c:v>
                </c:pt>
              </c:strCache>
            </c:strRef>
          </c:tx>
          <c:spPr>
            <a:ln w="28575" cap="rnd">
              <a:solidFill>
                <a:srgbClr val="FABF1C"/>
              </a:solidFill>
              <a:round/>
            </a:ln>
            <a:effectLst/>
          </c:spPr>
          <c:marker>
            <c:symbol val="none"/>
          </c:marker>
          <c:cat>
            <c:numRef>
              <c:f>分野経年!$X$16:$AG$16</c:f>
              <c:numCache>
                <c:formatCode>General</c:formatCode>
                <c:ptCount val="10"/>
                <c:pt idx="0">
                  <c:v>2014</c:v>
                </c:pt>
                <c:pt idx="1">
                  <c:v>2015</c:v>
                </c:pt>
                <c:pt idx="2">
                  <c:v>2016</c:v>
                </c:pt>
                <c:pt idx="3">
                  <c:v>2017</c:v>
                </c:pt>
                <c:pt idx="4">
                  <c:v>2018</c:v>
                </c:pt>
                <c:pt idx="5">
                  <c:v>2019</c:v>
                </c:pt>
                <c:pt idx="6">
                  <c:v>2020</c:v>
                </c:pt>
                <c:pt idx="7">
                  <c:v>2021</c:v>
                </c:pt>
                <c:pt idx="8">
                  <c:v>2022</c:v>
                </c:pt>
                <c:pt idx="9">
                  <c:v>2022</c:v>
                </c:pt>
              </c:numCache>
            </c:numRef>
          </c:cat>
          <c:val>
            <c:numRef>
              <c:f>分野経年!$X$18:$AG$18</c:f>
              <c:numCache>
                <c:formatCode>General</c:formatCode>
                <c:ptCount val="10"/>
                <c:pt idx="0">
                  <c:v>2</c:v>
                </c:pt>
                <c:pt idx="1">
                  <c:v>3</c:v>
                </c:pt>
                <c:pt idx="2">
                  <c:v>3</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1B-B81B-443F-A554-22E3E5F1108F}"/>
            </c:ext>
          </c:extLst>
        </c:ser>
        <c:ser>
          <c:idx val="2"/>
          <c:order val="2"/>
          <c:tx>
            <c:strRef>
              <c:f>分野経年!$C$19</c:f>
              <c:strCache>
                <c:ptCount val="1"/>
                <c:pt idx="0">
                  <c:v>東京</c:v>
                </c:pt>
              </c:strCache>
            </c:strRef>
          </c:tx>
          <c:spPr>
            <a:ln w="28575" cap="rnd">
              <a:solidFill>
                <a:srgbClr val="237FC4"/>
              </a:solidFill>
              <a:round/>
            </a:ln>
            <a:effectLst/>
          </c:spPr>
          <c:marker>
            <c:symbol val="none"/>
          </c:marker>
          <c:cat>
            <c:numRef>
              <c:f>分野経年!$X$16:$AG$16</c:f>
              <c:numCache>
                <c:formatCode>General</c:formatCode>
                <c:ptCount val="10"/>
                <c:pt idx="0">
                  <c:v>2014</c:v>
                </c:pt>
                <c:pt idx="1">
                  <c:v>2015</c:v>
                </c:pt>
                <c:pt idx="2">
                  <c:v>2016</c:v>
                </c:pt>
                <c:pt idx="3">
                  <c:v>2017</c:v>
                </c:pt>
                <c:pt idx="4">
                  <c:v>2018</c:v>
                </c:pt>
                <c:pt idx="5">
                  <c:v>2019</c:v>
                </c:pt>
                <c:pt idx="6">
                  <c:v>2020</c:v>
                </c:pt>
                <c:pt idx="7">
                  <c:v>2021</c:v>
                </c:pt>
                <c:pt idx="8">
                  <c:v>2022</c:v>
                </c:pt>
                <c:pt idx="9">
                  <c:v>2022</c:v>
                </c:pt>
              </c:numCache>
            </c:numRef>
          </c:cat>
          <c:val>
            <c:numRef>
              <c:f>分野経年!$X$19:$AG$19</c:f>
              <c:numCache>
                <c:formatCode>General</c:formatCode>
                <c:ptCount val="10"/>
                <c:pt idx="0">
                  <c:v>1</c:v>
                </c:pt>
                <c:pt idx="1">
                  <c:v>1</c:v>
                </c:pt>
                <c:pt idx="2">
                  <c:v>1</c:v>
                </c:pt>
                <c:pt idx="3">
                  <c:v>4</c:v>
                </c:pt>
                <c:pt idx="4">
                  <c:v>3</c:v>
                </c:pt>
                <c:pt idx="5">
                  <c:v>4</c:v>
                </c:pt>
                <c:pt idx="6">
                  <c:v>4</c:v>
                </c:pt>
                <c:pt idx="7">
                  <c:v>4</c:v>
                </c:pt>
                <c:pt idx="8">
                  <c:v>5</c:v>
                </c:pt>
                <c:pt idx="9">
                  <c:v>10</c:v>
                </c:pt>
              </c:numCache>
            </c:numRef>
          </c:val>
          <c:smooth val="0"/>
          <c:extLst>
            <c:ext xmlns:c16="http://schemas.microsoft.com/office/drawing/2014/chart" uri="{C3380CC4-5D6E-409C-BE32-E72D297353CC}">
              <c16:uniqueId val="{0000001D-B81B-443F-A554-22E3E5F1108F}"/>
            </c:ext>
          </c:extLst>
        </c:ser>
        <c:ser>
          <c:idx val="3"/>
          <c:order val="3"/>
          <c:tx>
            <c:strRef>
              <c:f>分野経年!$C$20</c:f>
              <c:strCache>
                <c:ptCount val="1"/>
                <c:pt idx="0">
                  <c:v>パリ</c:v>
                </c:pt>
              </c:strCache>
            </c:strRef>
          </c:tx>
          <c:spPr>
            <a:ln w="28575" cap="rnd">
              <a:solidFill>
                <a:srgbClr val="90C31F"/>
              </a:solidFill>
              <a:round/>
            </a:ln>
            <a:effectLst/>
          </c:spPr>
          <c:marker>
            <c:symbol val="none"/>
          </c:marker>
          <c:cat>
            <c:numRef>
              <c:f>分野経年!$X$16:$AG$16</c:f>
              <c:numCache>
                <c:formatCode>General</c:formatCode>
                <c:ptCount val="10"/>
                <c:pt idx="0">
                  <c:v>2014</c:v>
                </c:pt>
                <c:pt idx="1">
                  <c:v>2015</c:v>
                </c:pt>
                <c:pt idx="2">
                  <c:v>2016</c:v>
                </c:pt>
                <c:pt idx="3">
                  <c:v>2017</c:v>
                </c:pt>
                <c:pt idx="4">
                  <c:v>2018</c:v>
                </c:pt>
                <c:pt idx="5">
                  <c:v>2019</c:v>
                </c:pt>
                <c:pt idx="6">
                  <c:v>2020</c:v>
                </c:pt>
                <c:pt idx="7">
                  <c:v>2021</c:v>
                </c:pt>
                <c:pt idx="8">
                  <c:v>2022</c:v>
                </c:pt>
                <c:pt idx="9">
                  <c:v>2022</c:v>
                </c:pt>
              </c:numCache>
            </c:numRef>
          </c:cat>
          <c:val>
            <c:numRef>
              <c:f>分野経年!$X$20:$AG$20</c:f>
              <c:numCache>
                <c:formatCode>General</c:formatCode>
                <c:ptCount val="10"/>
                <c:pt idx="0">
                  <c:v>12</c:v>
                </c:pt>
                <c:pt idx="1">
                  <c:v>13</c:v>
                </c:pt>
                <c:pt idx="2">
                  <c:v>14</c:v>
                </c:pt>
                <c:pt idx="3">
                  <c:v>12</c:v>
                </c:pt>
                <c:pt idx="4">
                  <c:v>20</c:v>
                </c:pt>
                <c:pt idx="5">
                  <c:v>21</c:v>
                </c:pt>
                <c:pt idx="6">
                  <c:v>17</c:v>
                </c:pt>
                <c:pt idx="7">
                  <c:v>13</c:v>
                </c:pt>
                <c:pt idx="8">
                  <c:v>13</c:v>
                </c:pt>
                <c:pt idx="9">
                  <c:v>16</c:v>
                </c:pt>
              </c:numCache>
            </c:numRef>
          </c:val>
          <c:smooth val="0"/>
          <c:extLst>
            <c:ext xmlns:c16="http://schemas.microsoft.com/office/drawing/2014/chart" uri="{C3380CC4-5D6E-409C-BE32-E72D297353CC}">
              <c16:uniqueId val="{0000001F-B81B-443F-A554-22E3E5F1108F}"/>
            </c:ext>
          </c:extLst>
        </c:ser>
        <c:ser>
          <c:idx val="4"/>
          <c:order val="4"/>
          <c:tx>
            <c:strRef>
              <c:f>分野経年!$C$21</c:f>
              <c:strCache>
                <c:ptCount val="1"/>
                <c:pt idx="0">
                  <c:v>シンガポール</c:v>
                </c:pt>
              </c:strCache>
            </c:strRef>
          </c:tx>
          <c:spPr>
            <a:ln w="28575" cap="rnd">
              <a:solidFill>
                <a:srgbClr val="9170AF"/>
              </a:solidFill>
              <a:round/>
            </a:ln>
            <a:effectLst/>
          </c:spPr>
          <c:marker>
            <c:symbol val="none"/>
          </c:marker>
          <c:cat>
            <c:numRef>
              <c:f>分野経年!$X$16:$AG$16</c:f>
              <c:numCache>
                <c:formatCode>General</c:formatCode>
                <c:ptCount val="10"/>
                <c:pt idx="0">
                  <c:v>2014</c:v>
                </c:pt>
                <c:pt idx="1">
                  <c:v>2015</c:v>
                </c:pt>
                <c:pt idx="2">
                  <c:v>2016</c:v>
                </c:pt>
                <c:pt idx="3">
                  <c:v>2017</c:v>
                </c:pt>
                <c:pt idx="4">
                  <c:v>2018</c:v>
                </c:pt>
                <c:pt idx="5">
                  <c:v>2019</c:v>
                </c:pt>
                <c:pt idx="6">
                  <c:v>2020</c:v>
                </c:pt>
                <c:pt idx="7">
                  <c:v>2021</c:v>
                </c:pt>
                <c:pt idx="8">
                  <c:v>2022</c:v>
                </c:pt>
                <c:pt idx="9">
                  <c:v>2022</c:v>
                </c:pt>
              </c:numCache>
            </c:numRef>
          </c:cat>
          <c:val>
            <c:numRef>
              <c:f>分野経年!$X$21:$AG$21</c:f>
              <c:numCache>
                <c:formatCode>General</c:formatCode>
                <c:ptCount val="10"/>
                <c:pt idx="0">
                  <c:v>6</c:v>
                </c:pt>
                <c:pt idx="1">
                  <c:v>6</c:v>
                </c:pt>
                <c:pt idx="2">
                  <c:v>6</c:v>
                </c:pt>
                <c:pt idx="3">
                  <c:v>8</c:v>
                </c:pt>
                <c:pt idx="4">
                  <c:v>9</c:v>
                </c:pt>
                <c:pt idx="5">
                  <c:v>6</c:v>
                </c:pt>
                <c:pt idx="6">
                  <c:v>5</c:v>
                </c:pt>
                <c:pt idx="7">
                  <c:v>7</c:v>
                </c:pt>
                <c:pt idx="8">
                  <c:v>6</c:v>
                </c:pt>
                <c:pt idx="9">
                  <c:v>4</c:v>
                </c:pt>
              </c:numCache>
            </c:numRef>
          </c:val>
          <c:smooth val="0"/>
          <c:extLst>
            <c:ext xmlns:c16="http://schemas.microsoft.com/office/drawing/2014/chart" uri="{C3380CC4-5D6E-409C-BE32-E72D297353CC}">
              <c16:uniqueId val="{00000021-B81B-443F-A554-22E3E5F1108F}"/>
            </c:ext>
          </c:extLst>
        </c:ser>
        <c:ser>
          <c:idx val="5"/>
          <c:order val="5"/>
          <c:tx>
            <c:strRef>
              <c:f>分野経年!$C$22</c:f>
              <c:strCache>
                <c:ptCount val="1"/>
                <c:pt idx="0">
                  <c:v>香港</c:v>
                </c:pt>
              </c:strCache>
            </c:strRef>
          </c:tx>
          <c:spPr>
            <a:ln w="28575" cap="rnd">
              <a:solidFill>
                <a:srgbClr val="F49D28"/>
              </a:solidFill>
              <a:round/>
            </a:ln>
            <a:effectLst/>
          </c:spPr>
          <c:marker>
            <c:symbol val="none"/>
          </c:marker>
          <c:cat>
            <c:numRef>
              <c:f>分野経年!$X$16:$AG$16</c:f>
              <c:numCache>
                <c:formatCode>General</c:formatCode>
                <c:ptCount val="10"/>
                <c:pt idx="0">
                  <c:v>2014</c:v>
                </c:pt>
                <c:pt idx="1">
                  <c:v>2015</c:v>
                </c:pt>
                <c:pt idx="2">
                  <c:v>2016</c:v>
                </c:pt>
                <c:pt idx="3">
                  <c:v>2017</c:v>
                </c:pt>
                <c:pt idx="4">
                  <c:v>2018</c:v>
                </c:pt>
                <c:pt idx="5">
                  <c:v>2019</c:v>
                </c:pt>
                <c:pt idx="6">
                  <c:v>2020</c:v>
                </c:pt>
                <c:pt idx="7">
                  <c:v>2021</c:v>
                </c:pt>
                <c:pt idx="8">
                  <c:v>2022</c:v>
                </c:pt>
                <c:pt idx="9">
                  <c:v>2022</c:v>
                </c:pt>
              </c:numCache>
            </c:numRef>
          </c:cat>
          <c:val>
            <c:numRef>
              <c:f>分野経年!$X$22:$AG$22</c:f>
              <c:numCache>
                <c:formatCode>General</c:formatCode>
                <c:ptCount val="10"/>
                <c:pt idx="0">
                  <c:v>5</c:v>
                </c:pt>
                <c:pt idx="1">
                  <c:v>5</c:v>
                </c:pt>
                <c:pt idx="2">
                  <c:v>5</c:v>
                </c:pt>
                <c:pt idx="3">
                  <c:v>7</c:v>
                </c:pt>
                <c:pt idx="4">
                  <c:v>5</c:v>
                </c:pt>
                <c:pt idx="5">
                  <c:v>9</c:v>
                </c:pt>
                <c:pt idx="6">
                  <c:v>6</c:v>
                </c:pt>
                <c:pt idx="7">
                  <c:v>5</c:v>
                </c:pt>
                <c:pt idx="8">
                  <c:v>28</c:v>
                </c:pt>
                <c:pt idx="9">
                  <c:v>26</c:v>
                </c:pt>
              </c:numCache>
            </c:numRef>
          </c:val>
          <c:smooth val="0"/>
          <c:extLst>
            <c:ext xmlns:c16="http://schemas.microsoft.com/office/drawing/2014/chart" uri="{C3380CC4-5D6E-409C-BE32-E72D297353CC}">
              <c16:uniqueId val="{00000023-B81B-443F-A554-22E3E5F1108F}"/>
            </c:ext>
          </c:extLst>
        </c:ser>
        <c:ser>
          <c:idx val="6"/>
          <c:order val="6"/>
          <c:tx>
            <c:strRef>
              <c:f>分野経年!$C$23</c:f>
              <c:strCache>
                <c:ptCount val="1"/>
                <c:pt idx="0">
                  <c:v>北京</c:v>
                </c:pt>
              </c:strCache>
            </c:strRef>
          </c:tx>
          <c:spPr>
            <a:ln w="28575" cap="rnd">
              <a:solidFill>
                <a:schemeClr val="bg1">
                  <a:lumMod val="75000"/>
                </a:schemeClr>
              </a:solidFill>
              <a:round/>
            </a:ln>
            <a:effectLst/>
          </c:spPr>
          <c:marker>
            <c:symbol val="none"/>
          </c:marker>
          <c:cat>
            <c:numRef>
              <c:f>分野経年!$X$16:$AG$16</c:f>
              <c:numCache>
                <c:formatCode>General</c:formatCode>
                <c:ptCount val="10"/>
                <c:pt idx="0">
                  <c:v>2014</c:v>
                </c:pt>
                <c:pt idx="1">
                  <c:v>2015</c:v>
                </c:pt>
                <c:pt idx="2">
                  <c:v>2016</c:v>
                </c:pt>
                <c:pt idx="3">
                  <c:v>2017</c:v>
                </c:pt>
                <c:pt idx="4">
                  <c:v>2018</c:v>
                </c:pt>
                <c:pt idx="5">
                  <c:v>2019</c:v>
                </c:pt>
                <c:pt idx="6">
                  <c:v>2020</c:v>
                </c:pt>
                <c:pt idx="7">
                  <c:v>2021</c:v>
                </c:pt>
                <c:pt idx="8">
                  <c:v>2022</c:v>
                </c:pt>
                <c:pt idx="9">
                  <c:v>2022</c:v>
                </c:pt>
              </c:numCache>
            </c:numRef>
          </c:cat>
          <c:val>
            <c:numRef>
              <c:f>分野経年!$X$23:$AG$23</c:f>
              <c:numCache>
                <c:formatCode>General</c:formatCode>
                <c:ptCount val="10"/>
                <c:pt idx="0">
                  <c:v>3</c:v>
                </c:pt>
                <c:pt idx="1">
                  <c:v>4</c:v>
                </c:pt>
                <c:pt idx="2">
                  <c:v>4</c:v>
                </c:pt>
                <c:pt idx="3">
                  <c:v>3</c:v>
                </c:pt>
                <c:pt idx="4">
                  <c:v>4</c:v>
                </c:pt>
                <c:pt idx="5">
                  <c:v>3</c:v>
                </c:pt>
                <c:pt idx="6">
                  <c:v>3</c:v>
                </c:pt>
                <c:pt idx="7">
                  <c:v>3</c:v>
                </c:pt>
                <c:pt idx="8">
                  <c:v>4</c:v>
                </c:pt>
                <c:pt idx="9">
                  <c:v>3</c:v>
                </c:pt>
              </c:numCache>
            </c:numRef>
          </c:val>
          <c:smooth val="0"/>
          <c:extLst>
            <c:ext xmlns:c16="http://schemas.microsoft.com/office/drawing/2014/chart" uri="{C3380CC4-5D6E-409C-BE32-E72D297353CC}">
              <c16:uniqueId val="{00000025-B81B-443F-A554-22E3E5F1108F}"/>
            </c:ext>
          </c:extLst>
        </c:ser>
        <c:ser>
          <c:idx val="7"/>
          <c:order val="7"/>
          <c:tx>
            <c:strRef>
              <c:f>分野経年!$C$24</c:f>
              <c:strCache>
                <c:ptCount val="1"/>
                <c:pt idx="0">
                  <c:v>上海</c:v>
                </c:pt>
              </c:strCache>
            </c:strRef>
          </c:tx>
          <c:spPr>
            <a:ln w="28575" cap="rnd">
              <a:solidFill>
                <a:schemeClr val="bg1">
                  <a:lumMod val="50000"/>
                </a:schemeClr>
              </a:solidFill>
              <a:round/>
            </a:ln>
            <a:effectLst/>
          </c:spPr>
          <c:marker>
            <c:symbol val="none"/>
          </c:marker>
          <c:cat>
            <c:numRef>
              <c:f>分野経年!$X$16:$AG$16</c:f>
              <c:numCache>
                <c:formatCode>General</c:formatCode>
                <c:ptCount val="10"/>
                <c:pt idx="0">
                  <c:v>2014</c:v>
                </c:pt>
                <c:pt idx="1">
                  <c:v>2015</c:v>
                </c:pt>
                <c:pt idx="2">
                  <c:v>2016</c:v>
                </c:pt>
                <c:pt idx="3">
                  <c:v>2017</c:v>
                </c:pt>
                <c:pt idx="4">
                  <c:v>2018</c:v>
                </c:pt>
                <c:pt idx="5">
                  <c:v>2019</c:v>
                </c:pt>
                <c:pt idx="6">
                  <c:v>2020</c:v>
                </c:pt>
                <c:pt idx="7">
                  <c:v>2021</c:v>
                </c:pt>
                <c:pt idx="8">
                  <c:v>2022</c:v>
                </c:pt>
                <c:pt idx="9">
                  <c:v>2022</c:v>
                </c:pt>
              </c:numCache>
            </c:numRef>
          </c:cat>
          <c:val>
            <c:numRef>
              <c:f>分野経年!$X$24:$AG$24</c:f>
              <c:numCache>
                <c:formatCode>General</c:formatCode>
                <c:ptCount val="10"/>
                <c:pt idx="0">
                  <c:v>7</c:v>
                </c:pt>
                <c:pt idx="1">
                  <c:v>9</c:v>
                </c:pt>
                <c:pt idx="2">
                  <c:v>7</c:v>
                </c:pt>
                <c:pt idx="3">
                  <c:v>5</c:v>
                </c:pt>
                <c:pt idx="4">
                  <c:v>16</c:v>
                </c:pt>
                <c:pt idx="5">
                  <c:v>16</c:v>
                </c:pt>
                <c:pt idx="6">
                  <c:v>11</c:v>
                </c:pt>
                <c:pt idx="7">
                  <c:v>10</c:v>
                </c:pt>
                <c:pt idx="8">
                  <c:v>10</c:v>
                </c:pt>
                <c:pt idx="9">
                  <c:v>11</c:v>
                </c:pt>
              </c:numCache>
            </c:numRef>
          </c:val>
          <c:smooth val="0"/>
          <c:extLst>
            <c:ext xmlns:c16="http://schemas.microsoft.com/office/drawing/2014/chart" uri="{C3380CC4-5D6E-409C-BE32-E72D297353CC}">
              <c16:uniqueId val="{00000027-B81B-443F-A554-22E3E5F1108F}"/>
            </c:ext>
          </c:extLst>
        </c:ser>
        <c:dLbls>
          <c:showLegendKey val="0"/>
          <c:showVal val="0"/>
          <c:showCatName val="0"/>
          <c:showSerName val="0"/>
          <c:showPercent val="0"/>
          <c:showBubbleSize val="0"/>
        </c:dLbls>
        <c:smooth val="0"/>
        <c:axId val="757369496"/>
        <c:axId val="757366360"/>
      </c:lineChart>
      <c:catAx>
        <c:axId val="757369496"/>
        <c:scaling>
          <c:orientation val="minMax"/>
        </c:scaling>
        <c:delete val="0"/>
        <c:axPos val="t"/>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6360"/>
        <c:crosses val="autoZero"/>
        <c:auto val="1"/>
        <c:lblAlgn val="ctr"/>
        <c:lblOffset val="100"/>
        <c:noMultiLvlLbl val="0"/>
      </c:catAx>
      <c:valAx>
        <c:axId val="757366360"/>
        <c:scaling>
          <c:orientation val="maxMin"/>
          <c:max val="24"/>
          <c:min val="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9496"/>
        <c:crosses val="autoZero"/>
        <c:crossBetween val="between"/>
        <c:majorUnit val="1"/>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分野経年!$AH$15</c:f>
          <c:strCache>
            <c:ptCount val="1"/>
            <c:pt idx="0">
              <c:v>研究・開発</c:v>
            </c:pt>
          </c:strCache>
        </c:strRef>
      </c:tx>
      <c:layout>
        <c:manualLayout>
          <c:xMode val="edge"/>
          <c:yMode val="edge"/>
          <c:x val="8.1133268081126683E-2"/>
          <c:y val="2.2857142857142857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分野経年!$C$17</c:f>
              <c:strCache>
                <c:ptCount val="1"/>
                <c:pt idx="0">
                  <c:v>ロンドン</c:v>
                </c:pt>
              </c:strCache>
            </c:strRef>
          </c:tx>
          <c:spPr>
            <a:ln w="28575" cap="rnd">
              <a:solidFill>
                <a:srgbClr val="DB5334"/>
              </a:solidFill>
              <a:round/>
            </a:ln>
            <a:effectLst/>
          </c:spPr>
          <c:marker>
            <c:symbol val="none"/>
          </c:marker>
          <c:cat>
            <c:numRef>
              <c:f>分野経年!$AM$16:$AV$16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分野経年!$AM$17:$AV$17</c:f>
              <c:numCache>
                <c:formatCode>General</c:formatCode>
                <c:ptCount val="10"/>
                <c:pt idx="0">
                  <c:v>3</c:v>
                </c:pt>
                <c:pt idx="1">
                  <c:v>3</c:v>
                </c:pt>
                <c:pt idx="2">
                  <c:v>3</c:v>
                </c:pt>
                <c:pt idx="3">
                  <c:v>2</c:v>
                </c:pt>
                <c:pt idx="4">
                  <c:v>3</c:v>
                </c:pt>
                <c:pt idx="5">
                  <c:v>2</c:v>
                </c:pt>
                <c:pt idx="6">
                  <c:v>2</c:v>
                </c:pt>
                <c:pt idx="7">
                  <c:v>2</c:v>
                </c:pt>
                <c:pt idx="8">
                  <c:v>2</c:v>
                </c:pt>
                <c:pt idx="9">
                  <c:v>2</c:v>
                </c:pt>
              </c:numCache>
            </c:numRef>
          </c:val>
          <c:smooth val="0"/>
          <c:extLst>
            <c:ext xmlns:c16="http://schemas.microsoft.com/office/drawing/2014/chart" uri="{C3380CC4-5D6E-409C-BE32-E72D297353CC}">
              <c16:uniqueId val="{00000019-B89B-44AD-94AE-8BA960C226D6}"/>
            </c:ext>
          </c:extLst>
        </c:ser>
        <c:ser>
          <c:idx val="1"/>
          <c:order val="1"/>
          <c:tx>
            <c:strRef>
              <c:f>分野経年!$C$18</c:f>
              <c:strCache>
                <c:ptCount val="1"/>
                <c:pt idx="0">
                  <c:v>ニューヨーク</c:v>
                </c:pt>
              </c:strCache>
            </c:strRef>
          </c:tx>
          <c:spPr>
            <a:ln w="28575" cap="rnd">
              <a:solidFill>
                <a:srgbClr val="FABF1C"/>
              </a:solidFill>
              <a:round/>
            </a:ln>
            <a:effectLst/>
          </c:spPr>
          <c:marker>
            <c:symbol val="none"/>
          </c:marker>
          <c:cat>
            <c:numRef>
              <c:f>分野経年!$AM$16:$AV$16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分野経年!$AM$18:$AV$18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1B-B89B-44AD-94AE-8BA960C226D6}"/>
            </c:ext>
          </c:extLst>
        </c:ser>
        <c:ser>
          <c:idx val="2"/>
          <c:order val="2"/>
          <c:tx>
            <c:strRef>
              <c:f>分野経年!$C$19</c:f>
              <c:strCache>
                <c:ptCount val="1"/>
                <c:pt idx="0">
                  <c:v>東京</c:v>
                </c:pt>
              </c:strCache>
            </c:strRef>
          </c:tx>
          <c:spPr>
            <a:ln w="28575" cap="rnd">
              <a:solidFill>
                <a:srgbClr val="237FC4"/>
              </a:solidFill>
              <a:round/>
            </a:ln>
            <a:effectLst/>
          </c:spPr>
          <c:marker>
            <c:symbol val="none"/>
          </c:marker>
          <c:cat>
            <c:numRef>
              <c:f>分野経年!$AM$16:$AV$16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分野経年!$AM$19:$AV$19</c:f>
              <c:numCache>
                <c:formatCode>General</c:formatCode>
                <c:ptCount val="10"/>
                <c:pt idx="0">
                  <c:v>2</c:v>
                </c:pt>
                <c:pt idx="1">
                  <c:v>2</c:v>
                </c:pt>
                <c:pt idx="2">
                  <c:v>2</c:v>
                </c:pt>
                <c:pt idx="3">
                  <c:v>3</c:v>
                </c:pt>
                <c:pt idx="4">
                  <c:v>2</c:v>
                </c:pt>
                <c:pt idx="5">
                  <c:v>3</c:v>
                </c:pt>
                <c:pt idx="6">
                  <c:v>3</c:v>
                </c:pt>
                <c:pt idx="7">
                  <c:v>4</c:v>
                </c:pt>
                <c:pt idx="8">
                  <c:v>4</c:v>
                </c:pt>
                <c:pt idx="9">
                  <c:v>4</c:v>
                </c:pt>
              </c:numCache>
            </c:numRef>
          </c:val>
          <c:smooth val="0"/>
          <c:extLst>
            <c:ext xmlns:c16="http://schemas.microsoft.com/office/drawing/2014/chart" uri="{C3380CC4-5D6E-409C-BE32-E72D297353CC}">
              <c16:uniqueId val="{0000001D-B89B-44AD-94AE-8BA960C226D6}"/>
            </c:ext>
          </c:extLst>
        </c:ser>
        <c:ser>
          <c:idx val="3"/>
          <c:order val="3"/>
          <c:tx>
            <c:strRef>
              <c:f>分野経年!$C$20</c:f>
              <c:strCache>
                <c:ptCount val="1"/>
                <c:pt idx="0">
                  <c:v>パリ</c:v>
                </c:pt>
              </c:strCache>
            </c:strRef>
          </c:tx>
          <c:spPr>
            <a:ln w="28575" cap="rnd">
              <a:solidFill>
                <a:srgbClr val="90C31F"/>
              </a:solidFill>
              <a:round/>
            </a:ln>
            <a:effectLst/>
          </c:spPr>
          <c:marker>
            <c:symbol val="none"/>
          </c:marker>
          <c:cat>
            <c:numRef>
              <c:f>分野経年!$AM$16:$AV$16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分野経年!$AM$20:$AV$20</c:f>
              <c:numCache>
                <c:formatCode>General</c:formatCode>
                <c:ptCount val="10"/>
                <c:pt idx="0">
                  <c:v>7</c:v>
                </c:pt>
                <c:pt idx="1">
                  <c:v>5</c:v>
                </c:pt>
                <c:pt idx="2">
                  <c:v>8</c:v>
                </c:pt>
                <c:pt idx="3">
                  <c:v>10</c:v>
                </c:pt>
                <c:pt idx="4">
                  <c:v>9</c:v>
                </c:pt>
                <c:pt idx="5">
                  <c:v>9</c:v>
                </c:pt>
                <c:pt idx="6">
                  <c:v>11</c:v>
                </c:pt>
                <c:pt idx="7">
                  <c:v>9</c:v>
                </c:pt>
                <c:pt idx="8">
                  <c:v>9</c:v>
                </c:pt>
                <c:pt idx="9">
                  <c:v>9</c:v>
                </c:pt>
              </c:numCache>
            </c:numRef>
          </c:val>
          <c:smooth val="0"/>
          <c:extLst>
            <c:ext xmlns:c16="http://schemas.microsoft.com/office/drawing/2014/chart" uri="{C3380CC4-5D6E-409C-BE32-E72D297353CC}">
              <c16:uniqueId val="{0000001F-B89B-44AD-94AE-8BA960C226D6}"/>
            </c:ext>
          </c:extLst>
        </c:ser>
        <c:ser>
          <c:idx val="4"/>
          <c:order val="4"/>
          <c:tx>
            <c:strRef>
              <c:f>分野経年!$C$21</c:f>
              <c:strCache>
                <c:ptCount val="1"/>
                <c:pt idx="0">
                  <c:v>シンガポール</c:v>
                </c:pt>
              </c:strCache>
            </c:strRef>
          </c:tx>
          <c:spPr>
            <a:ln w="28575" cap="rnd">
              <a:solidFill>
                <a:srgbClr val="9170AF"/>
              </a:solidFill>
              <a:round/>
            </a:ln>
            <a:effectLst/>
          </c:spPr>
          <c:marker>
            <c:symbol val="none"/>
          </c:marker>
          <c:cat>
            <c:numRef>
              <c:f>分野経年!$AM$16:$AV$16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分野経年!$AM$21:$AV$21</c:f>
              <c:numCache>
                <c:formatCode>General</c:formatCode>
                <c:ptCount val="10"/>
                <c:pt idx="0">
                  <c:v>8</c:v>
                </c:pt>
                <c:pt idx="1">
                  <c:v>8</c:v>
                </c:pt>
                <c:pt idx="2">
                  <c:v>7</c:v>
                </c:pt>
                <c:pt idx="3">
                  <c:v>6</c:v>
                </c:pt>
                <c:pt idx="4">
                  <c:v>8</c:v>
                </c:pt>
                <c:pt idx="5">
                  <c:v>11</c:v>
                </c:pt>
                <c:pt idx="6">
                  <c:v>10</c:v>
                </c:pt>
                <c:pt idx="7">
                  <c:v>11</c:v>
                </c:pt>
                <c:pt idx="8">
                  <c:v>11</c:v>
                </c:pt>
                <c:pt idx="9">
                  <c:v>11</c:v>
                </c:pt>
              </c:numCache>
            </c:numRef>
          </c:val>
          <c:smooth val="0"/>
          <c:extLst>
            <c:ext xmlns:c16="http://schemas.microsoft.com/office/drawing/2014/chart" uri="{C3380CC4-5D6E-409C-BE32-E72D297353CC}">
              <c16:uniqueId val="{00000021-B89B-44AD-94AE-8BA960C226D6}"/>
            </c:ext>
          </c:extLst>
        </c:ser>
        <c:ser>
          <c:idx val="5"/>
          <c:order val="5"/>
          <c:tx>
            <c:strRef>
              <c:f>分野経年!$C$22</c:f>
              <c:strCache>
                <c:ptCount val="1"/>
                <c:pt idx="0">
                  <c:v>香港</c:v>
                </c:pt>
              </c:strCache>
            </c:strRef>
          </c:tx>
          <c:spPr>
            <a:ln w="28575" cap="rnd">
              <a:solidFill>
                <a:srgbClr val="F49D28"/>
              </a:solidFill>
              <a:round/>
            </a:ln>
            <a:effectLst/>
          </c:spPr>
          <c:marker>
            <c:symbol val="none"/>
          </c:marker>
          <c:cat>
            <c:numRef>
              <c:f>分野経年!$AM$16:$AV$16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分野経年!$AM$22:$AV$22</c:f>
              <c:numCache>
                <c:formatCode>General</c:formatCode>
                <c:ptCount val="10"/>
                <c:pt idx="0">
                  <c:v>12</c:v>
                </c:pt>
                <c:pt idx="1">
                  <c:v>11</c:v>
                </c:pt>
                <c:pt idx="2">
                  <c:v>11</c:v>
                </c:pt>
                <c:pt idx="3">
                  <c:v>11</c:v>
                </c:pt>
                <c:pt idx="4">
                  <c:v>11</c:v>
                </c:pt>
                <c:pt idx="5">
                  <c:v>10</c:v>
                </c:pt>
                <c:pt idx="6">
                  <c:v>9</c:v>
                </c:pt>
                <c:pt idx="7">
                  <c:v>10</c:v>
                </c:pt>
                <c:pt idx="8">
                  <c:v>10</c:v>
                </c:pt>
                <c:pt idx="9">
                  <c:v>10</c:v>
                </c:pt>
              </c:numCache>
            </c:numRef>
          </c:val>
          <c:smooth val="0"/>
          <c:extLst>
            <c:ext xmlns:c16="http://schemas.microsoft.com/office/drawing/2014/chart" uri="{C3380CC4-5D6E-409C-BE32-E72D297353CC}">
              <c16:uniqueId val="{00000023-B89B-44AD-94AE-8BA960C226D6}"/>
            </c:ext>
          </c:extLst>
        </c:ser>
        <c:ser>
          <c:idx val="6"/>
          <c:order val="6"/>
          <c:tx>
            <c:strRef>
              <c:f>分野経年!$C$23</c:f>
              <c:strCache>
                <c:ptCount val="1"/>
                <c:pt idx="0">
                  <c:v>北京</c:v>
                </c:pt>
              </c:strCache>
            </c:strRef>
          </c:tx>
          <c:spPr>
            <a:ln w="28575" cap="rnd">
              <a:solidFill>
                <a:schemeClr val="bg1">
                  <a:lumMod val="75000"/>
                </a:schemeClr>
              </a:solidFill>
              <a:round/>
            </a:ln>
            <a:effectLst/>
          </c:spPr>
          <c:marker>
            <c:symbol val="none"/>
          </c:marker>
          <c:cat>
            <c:numRef>
              <c:f>分野経年!$AM$16:$AV$16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分野経年!$AM$23:$AV$23</c:f>
              <c:numCache>
                <c:formatCode>General</c:formatCode>
                <c:ptCount val="10"/>
                <c:pt idx="0">
                  <c:v>21</c:v>
                </c:pt>
                <c:pt idx="1">
                  <c:v>18</c:v>
                </c:pt>
                <c:pt idx="2">
                  <c:v>19</c:v>
                </c:pt>
                <c:pt idx="3">
                  <c:v>14</c:v>
                </c:pt>
                <c:pt idx="4">
                  <c:v>14</c:v>
                </c:pt>
                <c:pt idx="5">
                  <c:v>13</c:v>
                </c:pt>
                <c:pt idx="6">
                  <c:v>12</c:v>
                </c:pt>
                <c:pt idx="7">
                  <c:v>12</c:v>
                </c:pt>
                <c:pt idx="8">
                  <c:v>12</c:v>
                </c:pt>
                <c:pt idx="9">
                  <c:v>12</c:v>
                </c:pt>
              </c:numCache>
            </c:numRef>
          </c:val>
          <c:smooth val="0"/>
          <c:extLst>
            <c:ext xmlns:c16="http://schemas.microsoft.com/office/drawing/2014/chart" uri="{C3380CC4-5D6E-409C-BE32-E72D297353CC}">
              <c16:uniqueId val="{00000025-B89B-44AD-94AE-8BA960C226D6}"/>
            </c:ext>
          </c:extLst>
        </c:ser>
        <c:ser>
          <c:idx val="7"/>
          <c:order val="7"/>
          <c:tx>
            <c:strRef>
              <c:f>分野経年!$C$24</c:f>
              <c:strCache>
                <c:ptCount val="1"/>
                <c:pt idx="0">
                  <c:v>上海</c:v>
                </c:pt>
              </c:strCache>
            </c:strRef>
          </c:tx>
          <c:spPr>
            <a:ln w="28575" cap="rnd">
              <a:solidFill>
                <a:schemeClr val="bg1">
                  <a:lumMod val="50000"/>
                </a:schemeClr>
              </a:solidFill>
              <a:round/>
            </a:ln>
            <a:effectLst/>
          </c:spPr>
          <c:marker>
            <c:symbol val="none"/>
          </c:marker>
          <c:cat>
            <c:numRef>
              <c:f>分野経年!$AM$16:$AV$16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分野経年!$AM$24:$AV$24</c:f>
              <c:numCache>
                <c:formatCode>General</c:formatCode>
                <c:ptCount val="10"/>
                <c:pt idx="0">
                  <c:v>15</c:v>
                </c:pt>
                <c:pt idx="1">
                  <c:v>16</c:v>
                </c:pt>
                <c:pt idx="2">
                  <c:v>16</c:v>
                </c:pt>
                <c:pt idx="3">
                  <c:v>18</c:v>
                </c:pt>
                <c:pt idx="4">
                  <c:v>16</c:v>
                </c:pt>
                <c:pt idx="5">
                  <c:v>18</c:v>
                </c:pt>
                <c:pt idx="6">
                  <c:v>15</c:v>
                </c:pt>
                <c:pt idx="7">
                  <c:v>15</c:v>
                </c:pt>
                <c:pt idx="8">
                  <c:v>13</c:v>
                </c:pt>
                <c:pt idx="9">
                  <c:v>13</c:v>
                </c:pt>
              </c:numCache>
            </c:numRef>
          </c:val>
          <c:smooth val="0"/>
          <c:extLst>
            <c:ext xmlns:c16="http://schemas.microsoft.com/office/drawing/2014/chart" uri="{C3380CC4-5D6E-409C-BE32-E72D297353CC}">
              <c16:uniqueId val="{00000027-B89B-44AD-94AE-8BA960C226D6}"/>
            </c:ext>
          </c:extLst>
        </c:ser>
        <c:dLbls>
          <c:showLegendKey val="0"/>
          <c:showVal val="0"/>
          <c:showCatName val="0"/>
          <c:showSerName val="0"/>
          <c:showPercent val="0"/>
          <c:showBubbleSize val="0"/>
        </c:dLbls>
        <c:smooth val="0"/>
        <c:axId val="757367536"/>
        <c:axId val="757367928"/>
      </c:lineChart>
      <c:catAx>
        <c:axId val="757367536"/>
        <c:scaling>
          <c:orientation val="minMax"/>
        </c:scaling>
        <c:delete val="0"/>
        <c:axPos val="t"/>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7928"/>
        <c:crosses val="autoZero"/>
        <c:auto val="1"/>
        <c:lblAlgn val="ctr"/>
        <c:lblOffset val="100"/>
        <c:noMultiLvlLbl val="0"/>
      </c:catAx>
      <c:valAx>
        <c:axId val="757367928"/>
        <c:scaling>
          <c:orientation val="maxMin"/>
          <c:max val="24"/>
          <c:min val="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57367536"/>
        <c:crosses val="autoZero"/>
        <c:crossBetween val="between"/>
        <c:majorUnit val="1"/>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分野経年!$AW$15</c:f>
          <c:strCache>
            <c:ptCount val="1"/>
            <c:pt idx="0">
              <c:v>文化・交流</c:v>
            </c:pt>
          </c:strCache>
        </c:strRef>
      </c:tx>
      <c:layout>
        <c:manualLayout>
          <c:xMode val="edge"/>
          <c:yMode val="edge"/>
          <c:x val="8.1133268081126683E-2"/>
          <c:y val="2.2857142857142857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分野経年!$C$17</c:f>
              <c:strCache>
                <c:ptCount val="1"/>
                <c:pt idx="0">
                  <c:v>ロンドン</c:v>
                </c:pt>
              </c:strCache>
            </c:strRef>
          </c:tx>
          <c:spPr>
            <a:ln w="28575" cap="rnd">
              <a:solidFill>
                <a:srgbClr val="DB5334"/>
              </a:solidFill>
              <a:round/>
            </a:ln>
            <a:effectLst/>
          </c:spPr>
          <c:marker>
            <c:symbol val="none"/>
          </c:marker>
          <c:cat>
            <c:numRef>
              <c:f>分野経年!$BB$16:$BK$16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分野経年!$BB$17:$BK$17</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19-304F-49AB-BC8E-A2617CDECF75}"/>
            </c:ext>
          </c:extLst>
        </c:ser>
        <c:ser>
          <c:idx val="1"/>
          <c:order val="1"/>
          <c:tx>
            <c:strRef>
              <c:f>分野経年!$C$18</c:f>
              <c:strCache>
                <c:ptCount val="1"/>
                <c:pt idx="0">
                  <c:v>ニューヨーク</c:v>
                </c:pt>
              </c:strCache>
            </c:strRef>
          </c:tx>
          <c:spPr>
            <a:ln w="28575" cap="rnd">
              <a:solidFill>
                <a:srgbClr val="FABF1C"/>
              </a:solidFill>
              <a:round/>
            </a:ln>
            <a:effectLst/>
          </c:spPr>
          <c:marker>
            <c:symbol val="none"/>
          </c:marker>
          <c:cat>
            <c:numRef>
              <c:f>分野経年!$BB$16:$BK$16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分野経年!$BB$18:$BK$18</c:f>
              <c:numCache>
                <c:formatCode>General</c:formatCode>
                <c:ptCount val="10"/>
                <c:pt idx="0">
                  <c:v>2</c:v>
                </c:pt>
                <c:pt idx="1">
                  <c:v>2</c:v>
                </c:pt>
                <c:pt idx="2">
                  <c:v>2</c:v>
                </c:pt>
                <c:pt idx="3">
                  <c:v>2</c:v>
                </c:pt>
                <c:pt idx="4">
                  <c:v>2</c:v>
                </c:pt>
                <c:pt idx="5">
                  <c:v>2</c:v>
                </c:pt>
                <c:pt idx="6">
                  <c:v>2</c:v>
                </c:pt>
                <c:pt idx="7">
                  <c:v>3</c:v>
                </c:pt>
                <c:pt idx="8">
                  <c:v>2</c:v>
                </c:pt>
                <c:pt idx="9">
                  <c:v>2</c:v>
                </c:pt>
              </c:numCache>
            </c:numRef>
          </c:val>
          <c:smooth val="0"/>
          <c:extLst>
            <c:ext xmlns:c16="http://schemas.microsoft.com/office/drawing/2014/chart" uri="{C3380CC4-5D6E-409C-BE32-E72D297353CC}">
              <c16:uniqueId val="{0000001B-304F-49AB-BC8E-A2617CDECF75}"/>
            </c:ext>
          </c:extLst>
        </c:ser>
        <c:ser>
          <c:idx val="2"/>
          <c:order val="2"/>
          <c:tx>
            <c:strRef>
              <c:f>分野経年!$C$19</c:f>
              <c:strCache>
                <c:ptCount val="1"/>
                <c:pt idx="0">
                  <c:v>東京</c:v>
                </c:pt>
              </c:strCache>
            </c:strRef>
          </c:tx>
          <c:spPr>
            <a:ln w="28575" cap="rnd">
              <a:solidFill>
                <a:srgbClr val="237FC4"/>
              </a:solidFill>
              <a:round/>
            </a:ln>
            <a:effectLst/>
          </c:spPr>
          <c:marker>
            <c:symbol val="none"/>
          </c:marker>
          <c:cat>
            <c:numRef>
              <c:f>分野経年!$BB$16:$BK$16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分野経年!$BB$19:$BK$19</c:f>
              <c:numCache>
                <c:formatCode>General</c:formatCode>
                <c:ptCount val="10"/>
                <c:pt idx="0">
                  <c:v>6</c:v>
                </c:pt>
                <c:pt idx="1">
                  <c:v>5</c:v>
                </c:pt>
                <c:pt idx="2">
                  <c:v>5</c:v>
                </c:pt>
                <c:pt idx="3">
                  <c:v>4</c:v>
                </c:pt>
                <c:pt idx="4">
                  <c:v>4</c:v>
                </c:pt>
                <c:pt idx="5">
                  <c:v>4</c:v>
                </c:pt>
                <c:pt idx="6">
                  <c:v>4</c:v>
                </c:pt>
                <c:pt idx="7">
                  <c:v>4</c:v>
                </c:pt>
                <c:pt idx="8">
                  <c:v>5</c:v>
                </c:pt>
                <c:pt idx="9">
                  <c:v>5</c:v>
                </c:pt>
              </c:numCache>
            </c:numRef>
          </c:val>
          <c:smooth val="0"/>
          <c:extLst>
            <c:ext xmlns:c16="http://schemas.microsoft.com/office/drawing/2014/chart" uri="{C3380CC4-5D6E-409C-BE32-E72D297353CC}">
              <c16:uniqueId val="{0000001D-304F-49AB-BC8E-A2617CDECF75}"/>
            </c:ext>
          </c:extLst>
        </c:ser>
        <c:ser>
          <c:idx val="3"/>
          <c:order val="3"/>
          <c:tx>
            <c:strRef>
              <c:f>分野経年!$C$20</c:f>
              <c:strCache>
                <c:ptCount val="1"/>
                <c:pt idx="0">
                  <c:v>パリ</c:v>
                </c:pt>
              </c:strCache>
            </c:strRef>
          </c:tx>
          <c:spPr>
            <a:ln w="28575" cap="rnd">
              <a:solidFill>
                <a:srgbClr val="90C31F"/>
              </a:solidFill>
              <a:round/>
            </a:ln>
            <a:effectLst/>
          </c:spPr>
          <c:marker>
            <c:symbol val="none"/>
          </c:marker>
          <c:cat>
            <c:numRef>
              <c:f>分野経年!$BB$16:$BK$16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分野経年!$BB$20:$BK$20</c:f>
              <c:numCache>
                <c:formatCode>General</c:formatCode>
                <c:ptCount val="10"/>
                <c:pt idx="0">
                  <c:v>3</c:v>
                </c:pt>
                <c:pt idx="1">
                  <c:v>3</c:v>
                </c:pt>
                <c:pt idx="2">
                  <c:v>3</c:v>
                </c:pt>
                <c:pt idx="3">
                  <c:v>3</c:v>
                </c:pt>
                <c:pt idx="4">
                  <c:v>3</c:v>
                </c:pt>
                <c:pt idx="5">
                  <c:v>3</c:v>
                </c:pt>
                <c:pt idx="6">
                  <c:v>3</c:v>
                </c:pt>
                <c:pt idx="7">
                  <c:v>2</c:v>
                </c:pt>
                <c:pt idx="8">
                  <c:v>3</c:v>
                </c:pt>
                <c:pt idx="9">
                  <c:v>3</c:v>
                </c:pt>
              </c:numCache>
            </c:numRef>
          </c:val>
          <c:smooth val="0"/>
          <c:extLst>
            <c:ext xmlns:c16="http://schemas.microsoft.com/office/drawing/2014/chart" uri="{C3380CC4-5D6E-409C-BE32-E72D297353CC}">
              <c16:uniqueId val="{0000001F-304F-49AB-BC8E-A2617CDECF75}"/>
            </c:ext>
          </c:extLst>
        </c:ser>
        <c:ser>
          <c:idx val="4"/>
          <c:order val="4"/>
          <c:tx>
            <c:strRef>
              <c:f>分野経年!$C$21</c:f>
              <c:strCache>
                <c:ptCount val="1"/>
                <c:pt idx="0">
                  <c:v>シンガポール</c:v>
                </c:pt>
              </c:strCache>
            </c:strRef>
          </c:tx>
          <c:spPr>
            <a:ln w="28575" cap="rnd">
              <a:solidFill>
                <a:srgbClr val="9170AF"/>
              </a:solidFill>
              <a:round/>
            </a:ln>
            <a:effectLst/>
          </c:spPr>
          <c:marker>
            <c:symbol val="none"/>
          </c:marker>
          <c:cat>
            <c:numRef>
              <c:f>分野経年!$BB$16:$BK$16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分野経年!$BB$21:$BK$21</c:f>
              <c:numCache>
                <c:formatCode>General</c:formatCode>
                <c:ptCount val="10"/>
                <c:pt idx="0">
                  <c:v>4</c:v>
                </c:pt>
                <c:pt idx="1">
                  <c:v>4</c:v>
                </c:pt>
                <c:pt idx="2">
                  <c:v>4</c:v>
                </c:pt>
                <c:pt idx="3">
                  <c:v>5</c:v>
                </c:pt>
                <c:pt idx="4">
                  <c:v>5</c:v>
                </c:pt>
                <c:pt idx="5">
                  <c:v>5</c:v>
                </c:pt>
                <c:pt idx="6">
                  <c:v>5</c:v>
                </c:pt>
                <c:pt idx="7">
                  <c:v>6</c:v>
                </c:pt>
                <c:pt idx="8">
                  <c:v>11</c:v>
                </c:pt>
                <c:pt idx="9">
                  <c:v>9</c:v>
                </c:pt>
              </c:numCache>
            </c:numRef>
          </c:val>
          <c:smooth val="0"/>
          <c:extLst>
            <c:ext xmlns:c16="http://schemas.microsoft.com/office/drawing/2014/chart" uri="{C3380CC4-5D6E-409C-BE32-E72D297353CC}">
              <c16:uniqueId val="{00000021-304F-49AB-BC8E-A2617CDECF75}"/>
            </c:ext>
          </c:extLst>
        </c:ser>
        <c:ser>
          <c:idx val="5"/>
          <c:order val="5"/>
          <c:tx>
            <c:strRef>
              <c:f>分野経年!$C$22</c:f>
              <c:strCache>
                <c:ptCount val="1"/>
                <c:pt idx="0">
                  <c:v>香港</c:v>
                </c:pt>
              </c:strCache>
            </c:strRef>
          </c:tx>
          <c:spPr>
            <a:ln w="28575" cap="rnd">
              <a:solidFill>
                <a:srgbClr val="F49D28"/>
              </a:solidFill>
              <a:round/>
            </a:ln>
            <a:effectLst/>
          </c:spPr>
          <c:marker>
            <c:symbol val="none"/>
          </c:marker>
          <c:cat>
            <c:numRef>
              <c:f>分野経年!$BB$16:$BK$16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分野経年!$BB$22:$BK$22</c:f>
              <c:numCache>
                <c:formatCode>General</c:formatCode>
                <c:ptCount val="10"/>
                <c:pt idx="0">
                  <c:v>26</c:v>
                </c:pt>
                <c:pt idx="1">
                  <c:v>24</c:v>
                </c:pt>
                <c:pt idx="2">
                  <c:v>19</c:v>
                </c:pt>
                <c:pt idx="3">
                  <c:v>22</c:v>
                </c:pt>
                <c:pt idx="4">
                  <c:v>15</c:v>
                </c:pt>
                <c:pt idx="5">
                  <c:v>13</c:v>
                </c:pt>
                <c:pt idx="6">
                  <c:v>20</c:v>
                </c:pt>
                <c:pt idx="7">
                  <c:v>24</c:v>
                </c:pt>
                <c:pt idx="8">
                  <c:v>25</c:v>
                </c:pt>
                <c:pt idx="9">
                  <c:v>26</c:v>
                </c:pt>
              </c:numCache>
            </c:numRef>
          </c:val>
          <c:smooth val="0"/>
          <c:extLst>
            <c:ext xmlns:c16="http://schemas.microsoft.com/office/drawing/2014/chart" uri="{C3380CC4-5D6E-409C-BE32-E72D297353CC}">
              <c16:uniqueId val="{00000023-304F-49AB-BC8E-A2617CDECF75}"/>
            </c:ext>
          </c:extLst>
        </c:ser>
        <c:ser>
          <c:idx val="6"/>
          <c:order val="6"/>
          <c:tx>
            <c:strRef>
              <c:f>分野経年!$C$23</c:f>
              <c:strCache>
                <c:ptCount val="1"/>
                <c:pt idx="0">
                  <c:v>北京</c:v>
                </c:pt>
              </c:strCache>
            </c:strRef>
          </c:tx>
          <c:spPr>
            <a:ln w="28575" cap="rnd">
              <a:solidFill>
                <a:schemeClr val="bg1">
                  <a:lumMod val="75000"/>
                </a:schemeClr>
              </a:solidFill>
              <a:round/>
            </a:ln>
            <a:effectLst/>
          </c:spPr>
          <c:marker>
            <c:symbol val="none"/>
          </c:marker>
          <c:cat>
            <c:numRef>
              <c:f>分野経年!$BB$16:$BK$16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分野経年!$BB$23:$BK$23</c:f>
              <c:numCache>
                <c:formatCode>General</c:formatCode>
                <c:ptCount val="10"/>
                <c:pt idx="0">
                  <c:v>7</c:v>
                </c:pt>
                <c:pt idx="1">
                  <c:v>6</c:v>
                </c:pt>
                <c:pt idx="2">
                  <c:v>9</c:v>
                </c:pt>
                <c:pt idx="3">
                  <c:v>7</c:v>
                </c:pt>
                <c:pt idx="4">
                  <c:v>7</c:v>
                </c:pt>
                <c:pt idx="5">
                  <c:v>15</c:v>
                </c:pt>
                <c:pt idx="6">
                  <c:v>14</c:v>
                </c:pt>
                <c:pt idx="7">
                  <c:v>19</c:v>
                </c:pt>
                <c:pt idx="8">
                  <c:v>20</c:v>
                </c:pt>
                <c:pt idx="9">
                  <c:v>19</c:v>
                </c:pt>
              </c:numCache>
            </c:numRef>
          </c:val>
          <c:smooth val="0"/>
          <c:extLst>
            <c:ext xmlns:c16="http://schemas.microsoft.com/office/drawing/2014/chart" uri="{C3380CC4-5D6E-409C-BE32-E72D297353CC}">
              <c16:uniqueId val="{00000025-304F-49AB-BC8E-A2617CDECF75}"/>
            </c:ext>
          </c:extLst>
        </c:ser>
        <c:ser>
          <c:idx val="7"/>
          <c:order val="7"/>
          <c:tx>
            <c:strRef>
              <c:f>分野経年!$C$24</c:f>
              <c:strCache>
                <c:ptCount val="1"/>
                <c:pt idx="0">
                  <c:v>上海</c:v>
                </c:pt>
              </c:strCache>
            </c:strRef>
          </c:tx>
          <c:spPr>
            <a:ln w="28575" cap="rnd">
              <a:solidFill>
                <a:schemeClr val="bg1">
                  <a:lumMod val="50000"/>
                </a:schemeClr>
              </a:solidFill>
              <a:round/>
            </a:ln>
            <a:effectLst/>
          </c:spPr>
          <c:marker>
            <c:symbol val="none"/>
          </c:marker>
          <c:cat>
            <c:numRef>
              <c:f>分野経年!$BB$16:$BK$16</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分野経年!$BB$24:$BK$24</c:f>
              <c:numCache>
                <c:formatCode>General</c:formatCode>
                <c:ptCount val="10"/>
                <c:pt idx="0">
                  <c:v>19</c:v>
                </c:pt>
                <c:pt idx="1">
                  <c:v>16</c:v>
                </c:pt>
                <c:pt idx="2">
                  <c:v>17</c:v>
                </c:pt>
                <c:pt idx="3">
                  <c:v>17</c:v>
                </c:pt>
                <c:pt idx="4">
                  <c:v>18</c:v>
                </c:pt>
                <c:pt idx="5">
                  <c:v>25</c:v>
                </c:pt>
                <c:pt idx="6">
                  <c:v>19</c:v>
                </c:pt>
                <c:pt idx="7">
                  <c:v>26</c:v>
                </c:pt>
                <c:pt idx="8">
                  <c:v>24</c:v>
                </c:pt>
                <c:pt idx="9">
                  <c:v>23</c:v>
                </c:pt>
              </c:numCache>
            </c:numRef>
          </c:val>
          <c:smooth val="0"/>
          <c:extLst>
            <c:ext xmlns:c16="http://schemas.microsoft.com/office/drawing/2014/chart" uri="{C3380CC4-5D6E-409C-BE32-E72D297353CC}">
              <c16:uniqueId val="{00000027-304F-49AB-BC8E-A2617CDECF75}"/>
            </c:ext>
          </c:extLst>
        </c:ser>
        <c:dLbls>
          <c:showLegendKey val="0"/>
          <c:showVal val="0"/>
          <c:showCatName val="0"/>
          <c:showSerName val="0"/>
          <c:showPercent val="0"/>
          <c:showBubbleSize val="0"/>
        </c:dLbls>
        <c:smooth val="0"/>
        <c:axId val="163734800"/>
        <c:axId val="163732840"/>
      </c:lineChart>
      <c:catAx>
        <c:axId val="163734800"/>
        <c:scaling>
          <c:orientation val="minMax"/>
        </c:scaling>
        <c:delete val="0"/>
        <c:axPos val="t"/>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2840"/>
        <c:crosses val="autoZero"/>
        <c:auto val="1"/>
        <c:lblAlgn val="ctr"/>
        <c:lblOffset val="100"/>
        <c:noMultiLvlLbl val="0"/>
      </c:catAx>
      <c:valAx>
        <c:axId val="163732840"/>
        <c:scaling>
          <c:orientation val="maxMin"/>
          <c:max val="26"/>
          <c:min val="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4800"/>
        <c:crosses val="autoZero"/>
        <c:crossBetween val="between"/>
        <c:majorUnit val="1"/>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分野経年!$BL$15</c:f>
          <c:strCache>
            <c:ptCount val="1"/>
            <c:pt idx="0">
              <c:v>居住</c:v>
            </c:pt>
          </c:strCache>
        </c:strRef>
      </c:tx>
      <c:layout>
        <c:manualLayout>
          <c:xMode val="edge"/>
          <c:yMode val="edge"/>
          <c:x val="8.1133268081126683E-2"/>
          <c:y val="2.2857142857142857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分野経年!$C$17</c:f>
              <c:strCache>
                <c:ptCount val="1"/>
                <c:pt idx="0">
                  <c:v>ロンドン</c:v>
                </c:pt>
              </c:strCache>
            </c:strRef>
          </c:tx>
          <c:spPr>
            <a:ln w="28575" cap="rnd">
              <a:solidFill>
                <a:srgbClr val="DB5334"/>
              </a:solidFill>
              <a:round/>
            </a:ln>
            <a:effectLst/>
          </c:spPr>
          <c:marker>
            <c:symbol val="none"/>
          </c:marker>
          <c:cat>
            <c:numRef>
              <c:f>分野経年!$BP$16:$BZ$16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分野経年!$BP$17:$BZ$17</c:f>
              <c:numCache>
                <c:formatCode>General</c:formatCode>
                <c:ptCount val="11"/>
                <c:pt idx="0">
                  <c:v>22</c:v>
                </c:pt>
                <c:pt idx="1">
                  <c:v>21</c:v>
                </c:pt>
                <c:pt idx="2">
                  <c:v>19</c:v>
                </c:pt>
                <c:pt idx="3">
                  <c:v>22</c:v>
                </c:pt>
                <c:pt idx="4">
                  <c:v>17</c:v>
                </c:pt>
                <c:pt idx="5">
                  <c:v>11</c:v>
                </c:pt>
                <c:pt idx="6">
                  <c:v>9</c:v>
                </c:pt>
                <c:pt idx="7">
                  <c:v>10</c:v>
                </c:pt>
                <c:pt idx="8">
                  <c:v>6</c:v>
                </c:pt>
                <c:pt idx="9">
                  <c:v>8</c:v>
                </c:pt>
                <c:pt idx="10">
                  <c:v>9</c:v>
                </c:pt>
              </c:numCache>
            </c:numRef>
          </c:val>
          <c:smooth val="0"/>
          <c:extLst>
            <c:ext xmlns:c16="http://schemas.microsoft.com/office/drawing/2014/chart" uri="{C3380CC4-5D6E-409C-BE32-E72D297353CC}">
              <c16:uniqueId val="{00000019-578A-4D02-B7D6-E810DCAC7E1C}"/>
            </c:ext>
          </c:extLst>
        </c:ser>
        <c:ser>
          <c:idx val="1"/>
          <c:order val="1"/>
          <c:tx>
            <c:strRef>
              <c:f>分野経年!$C$18</c:f>
              <c:strCache>
                <c:ptCount val="1"/>
                <c:pt idx="0">
                  <c:v>ニューヨーク</c:v>
                </c:pt>
              </c:strCache>
            </c:strRef>
          </c:tx>
          <c:spPr>
            <a:ln w="28575" cap="rnd">
              <a:solidFill>
                <a:srgbClr val="FABF1C"/>
              </a:solidFill>
              <a:round/>
            </a:ln>
            <a:effectLst/>
          </c:spPr>
          <c:marker>
            <c:symbol val="none"/>
          </c:marker>
          <c:cat>
            <c:numRef>
              <c:f>分野経年!$BP$16:$BZ$16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分野経年!$BP$18:$BZ$18</c:f>
              <c:numCache>
                <c:formatCode>General</c:formatCode>
                <c:ptCount val="11"/>
                <c:pt idx="0">
                  <c:v>33</c:v>
                </c:pt>
                <c:pt idx="1">
                  <c:v>29</c:v>
                </c:pt>
                <c:pt idx="2">
                  <c:v>23</c:v>
                </c:pt>
                <c:pt idx="3">
                  <c:v>23</c:v>
                </c:pt>
                <c:pt idx="4">
                  <c:v>34</c:v>
                </c:pt>
                <c:pt idx="5">
                  <c:v>28</c:v>
                </c:pt>
                <c:pt idx="6">
                  <c:v>31</c:v>
                </c:pt>
                <c:pt idx="7">
                  <c:v>33</c:v>
                </c:pt>
                <c:pt idx="8">
                  <c:v>40</c:v>
                </c:pt>
                <c:pt idx="9">
                  <c:v>38</c:v>
                </c:pt>
                <c:pt idx="10">
                  <c:v>38</c:v>
                </c:pt>
              </c:numCache>
            </c:numRef>
          </c:val>
          <c:smooth val="0"/>
          <c:extLst>
            <c:ext xmlns:c16="http://schemas.microsoft.com/office/drawing/2014/chart" uri="{C3380CC4-5D6E-409C-BE32-E72D297353CC}">
              <c16:uniqueId val="{0000001B-578A-4D02-B7D6-E810DCAC7E1C}"/>
            </c:ext>
          </c:extLst>
        </c:ser>
        <c:ser>
          <c:idx val="2"/>
          <c:order val="2"/>
          <c:tx>
            <c:strRef>
              <c:f>分野経年!$C$19</c:f>
              <c:strCache>
                <c:ptCount val="1"/>
                <c:pt idx="0">
                  <c:v>東京</c:v>
                </c:pt>
              </c:strCache>
            </c:strRef>
          </c:tx>
          <c:spPr>
            <a:ln w="28575" cap="rnd">
              <a:solidFill>
                <a:srgbClr val="237FC4"/>
              </a:solidFill>
              <a:round/>
            </a:ln>
            <a:effectLst/>
          </c:spPr>
          <c:marker>
            <c:symbol val="none"/>
          </c:marker>
          <c:cat>
            <c:numRef>
              <c:f>分野経年!$BP$16:$BZ$16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分野経年!$BP$19:$BZ$19</c:f>
              <c:numCache>
                <c:formatCode>General</c:formatCode>
                <c:ptCount val="11"/>
                <c:pt idx="0">
                  <c:v>20</c:v>
                </c:pt>
                <c:pt idx="1">
                  <c:v>17</c:v>
                </c:pt>
                <c:pt idx="2">
                  <c:v>15</c:v>
                </c:pt>
                <c:pt idx="3">
                  <c:v>6</c:v>
                </c:pt>
                <c:pt idx="4">
                  <c:v>14</c:v>
                </c:pt>
                <c:pt idx="5">
                  <c:v>9</c:v>
                </c:pt>
                <c:pt idx="6">
                  <c:v>11</c:v>
                </c:pt>
                <c:pt idx="7">
                  <c:v>12</c:v>
                </c:pt>
                <c:pt idx="8">
                  <c:v>9</c:v>
                </c:pt>
                <c:pt idx="9">
                  <c:v>11</c:v>
                </c:pt>
                <c:pt idx="10">
                  <c:v>3</c:v>
                </c:pt>
              </c:numCache>
            </c:numRef>
          </c:val>
          <c:smooth val="0"/>
          <c:extLst>
            <c:ext xmlns:c16="http://schemas.microsoft.com/office/drawing/2014/chart" uri="{C3380CC4-5D6E-409C-BE32-E72D297353CC}">
              <c16:uniqueId val="{0000001D-578A-4D02-B7D6-E810DCAC7E1C}"/>
            </c:ext>
          </c:extLst>
        </c:ser>
        <c:ser>
          <c:idx val="3"/>
          <c:order val="3"/>
          <c:tx>
            <c:strRef>
              <c:f>分野経年!$C$20</c:f>
              <c:strCache>
                <c:ptCount val="1"/>
                <c:pt idx="0">
                  <c:v>パリ</c:v>
                </c:pt>
              </c:strCache>
            </c:strRef>
          </c:tx>
          <c:spPr>
            <a:ln w="28575" cap="rnd">
              <a:solidFill>
                <a:srgbClr val="90C31F"/>
              </a:solidFill>
              <a:round/>
            </a:ln>
            <a:effectLst/>
          </c:spPr>
          <c:marker>
            <c:symbol val="none"/>
          </c:marker>
          <c:cat>
            <c:numRef>
              <c:f>分野経年!$BP$16:$BZ$16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分野経年!$BP$20:$BZ$20</c:f>
              <c:numCache>
                <c:formatCode>General</c:formatCode>
                <c:ptCount val="11"/>
                <c:pt idx="0">
                  <c:v>1</c:v>
                </c:pt>
                <c:pt idx="1">
                  <c:v>1</c:v>
                </c:pt>
                <c:pt idx="2">
                  <c:v>1</c:v>
                </c:pt>
                <c:pt idx="3">
                  <c:v>1</c:v>
                </c:pt>
                <c:pt idx="4">
                  <c:v>7</c:v>
                </c:pt>
                <c:pt idx="5">
                  <c:v>12</c:v>
                </c:pt>
                <c:pt idx="6">
                  <c:v>1</c:v>
                </c:pt>
                <c:pt idx="7">
                  <c:v>4</c:v>
                </c:pt>
                <c:pt idx="8">
                  <c:v>2</c:v>
                </c:pt>
                <c:pt idx="9">
                  <c:v>1</c:v>
                </c:pt>
                <c:pt idx="10">
                  <c:v>1</c:v>
                </c:pt>
              </c:numCache>
            </c:numRef>
          </c:val>
          <c:smooth val="0"/>
          <c:extLst>
            <c:ext xmlns:c16="http://schemas.microsoft.com/office/drawing/2014/chart" uri="{C3380CC4-5D6E-409C-BE32-E72D297353CC}">
              <c16:uniqueId val="{0000001F-578A-4D02-B7D6-E810DCAC7E1C}"/>
            </c:ext>
          </c:extLst>
        </c:ser>
        <c:ser>
          <c:idx val="4"/>
          <c:order val="4"/>
          <c:tx>
            <c:strRef>
              <c:f>分野経年!$C$21</c:f>
              <c:strCache>
                <c:ptCount val="1"/>
                <c:pt idx="0">
                  <c:v>シンガポール</c:v>
                </c:pt>
              </c:strCache>
            </c:strRef>
          </c:tx>
          <c:spPr>
            <a:ln w="28575" cap="rnd">
              <a:solidFill>
                <a:srgbClr val="9170AF"/>
              </a:solidFill>
              <a:round/>
            </a:ln>
            <a:effectLst/>
          </c:spPr>
          <c:marker>
            <c:symbol val="none"/>
          </c:marker>
          <c:cat>
            <c:numRef>
              <c:f>分野経年!$BP$16:$BZ$16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分野経年!$BP$21:$BZ$21</c:f>
              <c:numCache>
                <c:formatCode>General</c:formatCode>
                <c:ptCount val="11"/>
                <c:pt idx="0">
                  <c:v>34</c:v>
                </c:pt>
                <c:pt idx="1">
                  <c:v>37</c:v>
                </c:pt>
                <c:pt idx="2">
                  <c:v>31</c:v>
                </c:pt>
                <c:pt idx="3">
                  <c:v>40</c:v>
                </c:pt>
                <c:pt idx="4">
                  <c:v>28</c:v>
                </c:pt>
                <c:pt idx="5">
                  <c:v>22</c:v>
                </c:pt>
                <c:pt idx="6">
                  <c:v>37</c:v>
                </c:pt>
                <c:pt idx="7">
                  <c:v>34</c:v>
                </c:pt>
                <c:pt idx="8">
                  <c:v>31</c:v>
                </c:pt>
                <c:pt idx="9">
                  <c:v>25</c:v>
                </c:pt>
                <c:pt idx="10">
                  <c:v>35</c:v>
                </c:pt>
              </c:numCache>
            </c:numRef>
          </c:val>
          <c:smooth val="0"/>
          <c:extLst>
            <c:ext xmlns:c16="http://schemas.microsoft.com/office/drawing/2014/chart" uri="{C3380CC4-5D6E-409C-BE32-E72D297353CC}">
              <c16:uniqueId val="{00000021-578A-4D02-B7D6-E810DCAC7E1C}"/>
            </c:ext>
          </c:extLst>
        </c:ser>
        <c:ser>
          <c:idx val="5"/>
          <c:order val="5"/>
          <c:tx>
            <c:strRef>
              <c:f>分野経年!$C$22</c:f>
              <c:strCache>
                <c:ptCount val="1"/>
                <c:pt idx="0">
                  <c:v>香港</c:v>
                </c:pt>
              </c:strCache>
            </c:strRef>
          </c:tx>
          <c:spPr>
            <a:ln w="28575" cap="rnd">
              <a:solidFill>
                <a:srgbClr val="F49D28"/>
              </a:solidFill>
              <a:round/>
            </a:ln>
            <a:effectLst/>
          </c:spPr>
          <c:marker>
            <c:symbol val="none"/>
          </c:marker>
          <c:cat>
            <c:numRef>
              <c:f>分野経年!$BP$16:$BZ$16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分野経年!$BP$22:$BZ$22</c:f>
              <c:numCache>
                <c:formatCode>General</c:formatCode>
                <c:ptCount val="11"/>
                <c:pt idx="0">
                  <c:v>32</c:v>
                </c:pt>
                <c:pt idx="1">
                  <c:v>34</c:v>
                </c:pt>
                <c:pt idx="2">
                  <c:v>21</c:v>
                </c:pt>
                <c:pt idx="3">
                  <c:v>36</c:v>
                </c:pt>
                <c:pt idx="4">
                  <c:v>36</c:v>
                </c:pt>
                <c:pt idx="5">
                  <c:v>27</c:v>
                </c:pt>
                <c:pt idx="6">
                  <c:v>42</c:v>
                </c:pt>
                <c:pt idx="7">
                  <c:v>38</c:v>
                </c:pt>
                <c:pt idx="8">
                  <c:v>33</c:v>
                </c:pt>
                <c:pt idx="9">
                  <c:v>32</c:v>
                </c:pt>
                <c:pt idx="10">
                  <c:v>27</c:v>
                </c:pt>
              </c:numCache>
            </c:numRef>
          </c:val>
          <c:smooth val="0"/>
          <c:extLst>
            <c:ext xmlns:c16="http://schemas.microsoft.com/office/drawing/2014/chart" uri="{C3380CC4-5D6E-409C-BE32-E72D297353CC}">
              <c16:uniqueId val="{00000023-578A-4D02-B7D6-E810DCAC7E1C}"/>
            </c:ext>
          </c:extLst>
        </c:ser>
        <c:ser>
          <c:idx val="6"/>
          <c:order val="6"/>
          <c:tx>
            <c:strRef>
              <c:f>分野経年!$C$23</c:f>
              <c:strCache>
                <c:ptCount val="1"/>
                <c:pt idx="0">
                  <c:v>北京</c:v>
                </c:pt>
              </c:strCache>
            </c:strRef>
          </c:tx>
          <c:spPr>
            <a:ln w="28575" cap="rnd">
              <a:solidFill>
                <a:schemeClr val="bg1">
                  <a:lumMod val="75000"/>
                </a:schemeClr>
              </a:solidFill>
              <a:round/>
            </a:ln>
            <a:effectLst/>
          </c:spPr>
          <c:marker>
            <c:symbol val="none"/>
          </c:marker>
          <c:cat>
            <c:numRef>
              <c:f>分野経年!$BP$16:$BZ$16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分野経年!$BP$23:$BZ$23</c:f>
              <c:numCache>
                <c:formatCode>General</c:formatCode>
                <c:ptCount val="11"/>
                <c:pt idx="0">
                  <c:v>24</c:v>
                </c:pt>
                <c:pt idx="1">
                  <c:v>24</c:v>
                </c:pt>
                <c:pt idx="2">
                  <c:v>30</c:v>
                </c:pt>
                <c:pt idx="3">
                  <c:v>31</c:v>
                </c:pt>
                <c:pt idx="4">
                  <c:v>32</c:v>
                </c:pt>
                <c:pt idx="5">
                  <c:v>34</c:v>
                </c:pt>
                <c:pt idx="6">
                  <c:v>43</c:v>
                </c:pt>
                <c:pt idx="7">
                  <c:v>43</c:v>
                </c:pt>
                <c:pt idx="8">
                  <c:v>41</c:v>
                </c:pt>
                <c:pt idx="9">
                  <c:v>41</c:v>
                </c:pt>
                <c:pt idx="10">
                  <c:v>31</c:v>
                </c:pt>
              </c:numCache>
            </c:numRef>
          </c:val>
          <c:smooth val="0"/>
          <c:extLst>
            <c:ext xmlns:c16="http://schemas.microsoft.com/office/drawing/2014/chart" uri="{C3380CC4-5D6E-409C-BE32-E72D297353CC}">
              <c16:uniqueId val="{00000025-578A-4D02-B7D6-E810DCAC7E1C}"/>
            </c:ext>
          </c:extLst>
        </c:ser>
        <c:ser>
          <c:idx val="7"/>
          <c:order val="7"/>
          <c:tx>
            <c:strRef>
              <c:f>分野経年!$C$24</c:f>
              <c:strCache>
                <c:ptCount val="1"/>
                <c:pt idx="0">
                  <c:v>上海</c:v>
                </c:pt>
              </c:strCache>
            </c:strRef>
          </c:tx>
          <c:spPr>
            <a:ln w="28575" cap="rnd">
              <a:solidFill>
                <a:schemeClr val="bg1">
                  <a:lumMod val="50000"/>
                </a:schemeClr>
              </a:solidFill>
              <a:round/>
            </a:ln>
            <a:effectLst/>
          </c:spPr>
          <c:marker>
            <c:symbol val="none"/>
          </c:marker>
          <c:cat>
            <c:numRef>
              <c:f>分野経年!$BP$16:$BZ$16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分野経年!$BP$24:$BZ$24</c:f>
              <c:numCache>
                <c:formatCode>General</c:formatCode>
                <c:ptCount val="11"/>
                <c:pt idx="0">
                  <c:v>19</c:v>
                </c:pt>
                <c:pt idx="1">
                  <c:v>19</c:v>
                </c:pt>
                <c:pt idx="2">
                  <c:v>22</c:v>
                </c:pt>
                <c:pt idx="3">
                  <c:v>25</c:v>
                </c:pt>
                <c:pt idx="4">
                  <c:v>38</c:v>
                </c:pt>
                <c:pt idx="5">
                  <c:v>30</c:v>
                </c:pt>
                <c:pt idx="6">
                  <c:v>38</c:v>
                </c:pt>
                <c:pt idx="7">
                  <c:v>37</c:v>
                </c:pt>
                <c:pt idx="8">
                  <c:v>37</c:v>
                </c:pt>
                <c:pt idx="9">
                  <c:v>45</c:v>
                </c:pt>
                <c:pt idx="10">
                  <c:v>30</c:v>
                </c:pt>
              </c:numCache>
            </c:numRef>
          </c:val>
          <c:smooth val="0"/>
          <c:extLst>
            <c:ext xmlns:c16="http://schemas.microsoft.com/office/drawing/2014/chart" uri="{C3380CC4-5D6E-409C-BE32-E72D297353CC}">
              <c16:uniqueId val="{00000027-578A-4D02-B7D6-E810DCAC7E1C}"/>
            </c:ext>
          </c:extLst>
        </c:ser>
        <c:dLbls>
          <c:showLegendKey val="0"/>
          <c:showVal val="0"/>
          <c:showCatName val="0"/>
          <c:showSerName val="0"/>
          <c:showPercent val="0"/>
          <c:showBubbleSize val="0"/>
        </c:dLbls>
        <c:smooth val="0"/>
        <c:axId val="163739112"/>
        <c:axId val="163734408"/>
      </c:lineChart>
      <c:catAx>
        <c:axId val="163739112"/>
        <c:scaling>
          <c:orientation val="minMax"/>
        </c:scaling>
        <c:delete val="0"/>
        <c:axPos val="t"/>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4408"/>
        <c:crosses val="autoZero"/>
        <c:auto val="1"/>
        <c:lblAlgn val="ctr"/>
        <c:lblOffset val="100"/>
        <c:noMultiLvlLbl val="0"/>
      </c:catAx>
      <c:valAx>
        <c:axId val="163734408"/>
        <c:scaling>
          <c:orientation val="maxMin"/>
          <c:max val="40"/>
          <c:min val="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9112"/>
        <c:crosses val="autoZero"/>
        <c:crossBetween val="between"/>
        <c:majorUnit val="1"/>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分野経年!$CA$15</c:f>
          <c:strCache>
            <c:ptCount val="1"/>
            <c:pt idx="0">
              <c:v>環境</c:v>
            </c:pt>
          </c:strCache>
        </c:strRef>
      </c:tx>
      <c:layout>
        <c:manualLayout>
          <c:xMode val="edge"/>
          <c:yMode val="edge"/>
          <c:x val="8.1133268081126683E-2"/>
          <c:y val="2.2857142857142857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分野経年!$C$17</c:f>
              <c:strCache>
                <c:ptCount val="1"/>
                <c:pt idx="0">
                  <c:v>ロンドン</c:v>
                </c:pt>
              </c:strCache>
            </c:strRef>
          </c:tx>
          <c:spPr>
            <a:ln w="28575" cap="rnd">
              <a:solidFill>
                <a:srgbClr val="DB5334"/>
              </a:solidFill>
              <a:round/>
            </a:ln>
            <a:effectLst/>
          </c:spPr>
          <c:marker>
            <c:symbol val="none"/>
          </c:marker>
          <c:cat>
            <c:numRef>
              <c:f>分野経年!$CE$16:$CO$16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分野経年!$CE$17:$CO$17</c:f>
              <c:numCache>
                <c:formatCode>General</c:formatCode>
                <c:ptCount val="11"/>
                <c:pt idx="0">
                  <c:v>9</c:v>
                </c:pt>
                <c:pt idx="1">
                  <c:v>7</c:v>
                </c:pt>
                <c:pt idx="2">
                  <c:v>8</c:v>
                </c:pt>
                <c:pt idx="3">
                  <c:v>8</c:v>
                </c:pt>
                <c:pt idx="4">
                  <c:v>7</c:v>
                </c:pt>
                <c:pt idx="5">
                  <c:v>19</c:v>
                </c:pt>
                <c:pt idx="6">
                  <c:v>22</c:v>
                </c:pt>
                <c:pt idx="7">
                  <c:v>14</c:v>
                </c:pt>
                <c:pt idx="8">
                  <c:v>13</c:v>
                </c:pt>
                <c:pt idx="9">
                  <c:v>11</c:v>
                </c:pt>
                <c:pt idx="10">
                  <c:v>11</c:v>
                </c:pt>
              </c:numCache>
            </c:numRef>
          </c:val>
          <c:smooth val="0"/>
          <c:extLst>
            <c:ext xmlns:c16="http://schemas.microsoft.com/office/drawing/2014/chart" uri="{C3380CC4-5D6E-409C-BE32-E72D297353CC}">
              <c16:uniqueId val="{00000019-351D-412C-938B-FBA8358378D7}"/>
            </c:ext>
          </c:extLst>
        </c:ser>
        <c:ser>
          <c:idx val="1"/>
          <c:order val="1"/>
          <c:tx>
            <c:strRef>
              <c:f>分野経年!$C$18</c:f>
              <c:strCache>
                <c:ptCount val="1"/>
                <c:pt idx="0">
                  <c:v>ニューヨーク</c:v>
                </c:pt>
              </c:strCache>
            </c:strRef>
          </c:tx>
          <c:spPr>
            <a:ln w="28575" cap="rnd">
              <a:solidFill>
                <a:srgbClr val="FABF1C"/>
              </a:solidFill>
              <a:round/>
            </a:ln>
            <a:effectLst/>
          </c:spPr>
          <c:marker>
            <c:symbol val="none"/>
          </c:marker>
          <c:cat>
            <c:numRef>
              <c:f>分野経年!$CE$16:$CO$16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分野経年!$CE$18:$CO$18</c:f>
              <c:numCache>
                <c:formatCode>General</c:formatCode>
                <c:ptCount val="11"/>
                <c:pt idx="0">
                  <c:v>23</c:v>
                </c:pt>
                <c:pt idx="1">
                  <c:v>25</c:v>
                </c:pt>
                <c:pt idx="2">
                  <c:v>27</c:v>
                </c:pt>
                <c:pt idx="3">
                  <c:v>30</c:v>
                </c:pt>
                <c:pt idx="4">
                  <c:v>30</c:v>
                </c:pt>
                <c:pt idx="5">
                  <c:v>25</c:v>
                </c:pt>
                <c:pt idx="6">
                  <c:v>27</c:v>
                </c:pt>
                <c:pt idx="7">
                  <c:v>22</c:v>
                </c:pt>
                <c:pt idx="8">
                  <c:v>21</c:v>
                </c:pt>
                <c:pt idx="9">
                  <c:v>27</c:v>
                </c:pt>
                <c:pt idx="10">
                  <c:v>28</c:v>
                </c:pt>
              </c:numCache>
            </c:numRef>
          </c:val>
          <c:smooth val="0"/>
          <c:extLst>
            <c:ext xmlns:c16="http://schemas.microsoft.com/office/drawing/2014/chart" uri="{C3380CC4-5D6E-409C-BE32-E72D297353CC}">
              <c16:uniqueId val="{0000001B-351D-412C-938B-FBA8358378D7}"/>
            </c:ext>
          </c:extLst>
        </c:ser>
        <c:ser>
          <c:idx val="2"/>
          <c:order val="2"/>
          <c:tx>
            <c:strRef>
              <c:f>分野経年!$C$19</c:f>
              <c:strCache>
                <c:ptCount val="1"/>
                <c:pt idx="0">
                  <c:v>東京</c:v>
                </c:pt>
              </c:strCache>
            </c:strRef>
          </c:tx>
          <c:spPr>
            <a:ln w="28575" cap="rnd">
              <a:solidFill>
                <a:srgbClr val="237FC4"/>
              </a:solidFill>
              <a:round/>
            </a:ln>
            <a:effectLst/>
          </c:spPr>
          <c:marker>
            <c:symbol val="none"/>
          </c:marker>
          <c:cat>
            <c:numRef>
              <c:f>分野経年!$CE$16:$CO$16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分野経年!$CE$19:$CO$19</c:f>
              <c:numCache>
                <c:formatCode>General</c:formatCode>
                <c:ptCount val="11"/>
                <c:pt idx="0">
                  <c:v>1</c:v>
                </c:pt>
                <c:pt idx="1">
                  <c:v>9</c:v>
                </c:pt>
                <c:pt idx="2">
                  <c:v>13</c:v>
                </c:pt>
                <c:pt idx="3">
                  <c:v>12</c:v>
                </c:pt>
                <c:pt idx="4">
                  <c:v>12</c:v>
                </c:pt>
                <c:pt idx="5">
                  <c:v>29</c:v>
                </c:pt>
                <c:pt idx="6">
                  <c:v>23</c:v>
                </c:pt>
                <c:pt idx="7">
                  <c:v>18</c:v>
                </c:pt>
                <c:pt idx="8">
                  <c:v>17</c:v>
                </c:pt>
                <c:pt idx="9">
                  <c:v>13</c:v>
                </c:pt>
                <c:pt idx="10">
                  <c:v>16</c:v>
                </c:pt>
              </c:numCache>
            </c:numRef>
          </c:val>
          <c:smooth val="0"/>
          <c:extLst>
            <c:ext xmlns:c16="http://schemas.microsoft.com/office/drawing/2014/chart" uri="{C3380CC4-5D6E-409C-BE32-E72D297353CC}">
              <c16:uniqueId val="{0000001D-351D-412C-938B-FBA8358378D7}"/>
            </c:ext>
          </c:extLst>
        </c:ser>
        <c:ser>
          <c:idx val="3"/>
          <c:order val="3"/>
          <c:tx>
            <c:strRef>
              <c:f>分野経年!$C$20</c:f>
              <c:strCache>
                <c:ptCount val="1"/>
                <c:pt idx="0">
                  <c:v>パリ</c:v>
                </c:pt>
              </c:strCache>
            </c:strRef>
          </c:tx>
          <c:spPr>
            <a:ln w="28575" cap="rnd">
              <a:solidFill>
                <a:srgbClr val="90C31F"/>
              </a:solidFill>
              <a:round/>
            </a:ln>
            <a:effectLst/>
          </c:spPr>
          <c:marker>
            <c:symbol val="none"/>
          </c:marker>
          <c:cat>
            <c:numRef>
              <c:f>分野経年!$CE$16:$CO$16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分野経年!$CE$20:$CO$20</c:f>
              <c:numCache>
                <c:formatCode>General</c:formatCode>
                <c:ptCount val="11"/>
                <c:pt idx="0">
                  <c:v>17</c:v>
                </c:pt>
                <c:pt idx="1">
                  <c:v>16</c:v>
                </c:pt>
                <c:pt idx="2">
                  <c:v>18</c:v>
                </c:pt>
                <c:pt idx="3">
                  <c:v>24</c:v>
                </c:pt>
                <c:pt idx="4">
                  <c:v>28</c:v>
                </c:pt>
                <c:pt idx="5">
                  <c:v>21</c:v>
                </c:pt>
                <c:pt idx="6">
                  <c:v>24</c:v>
                </c:pt>
                <c:pt idx="7">
                  <c:v>25</c:v>
                </c:pt>
                <c:pt idx="8">
                  <c:v>29</c:v>
                </c:pt>
                <c:pt idx="9">
                  <c:v>28</c:v>
                </c:pt>
                <c:pt idx="10">
                  <c:v>27</c:v>
                </c:pt>
              </c:numCache>
            </c:numRef>
          </c:val>
          <c:smooth val="0"/>
          <c:extLst>
            <c:ext xmlns:c16="http://schemas.microsoft.com/office/drawing/2014/chart" uri="{C3380CC4-5D6E-409C-BE32-E72D297353CC}">
              <c16:uniqueId val="{0000001F-351D-412C-938B-FBA8358378D7}"/>
            </c:ext>
          </c:extLst>
        </c:ser>
        <c:ser>
          <c:idx val="4"/>
          <c:order val="4"/>
          <c:tx>
            <c:strRef>
              <c:f>分野経年!$C$21</c:f>
              <c:strCache>
                <c:ptCount val="1"/>
                <c:pt idx="0">
                  <c:v>シンガポール</c:v>
                </c:pt>
              </c:strCache>
            </c:strRef>
          </c:tx>
          <c:spPr>
            <a:ln w="28575" cap="rnd">
              <a:solidFill>
                <a:srgbClr val="9170AF"/>
              </a:solidFill>
              <a:round/>
            </a:ln>
            <a:effectLst/>
          </c:spPr>
          <c:marker>
            <c:symbol val="none"/>
          </c:marker>
          <c:cat>
            <c:numRef>
              <c:f>分野経年!$CE$16:$CO$16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分野経年!$CE$21:$CO$21</c:f>
              <c:numCache>
                <c:formatCode>General</c:formatCode>
                <c:ptCount val="11"/>
                <c:pt idx="0">
                  <c:v>8</c:v>
                </c:pt>
                <c:pt idx="1">
                  <c:v>5</c:v>
                </c:pt>
                <c:pt idx="2">
                  <c:v>6</c:v>
                </c:pt>
                <c:pt idx="3">
                  <c:v>4</c:v>
                </c:pt>
                <c:pt idx="4">
                  <c:v>3</c:v>
                </c:pt>
                <c:pt idx="5">
                  <c:v>13</c:v>
                </c:pt>
                <c:pt idx="6">
                  <c:v>16</c:v>
                </c:pt>
                <c:pt idx="7">
                  <c:v>13</c:v>
                </c:pt>
                <c:pt idx="8">
                  <c:v>11</c:v>
                </c:pt>
                <c:pt idx="9">
                  <c:v>12</c:v>
                </c:pt>
                <c:pt idx="10">
                  <c:v>12</c:v>
                </c:pt>
              </c:numCache>
            </c:numRef>
          </c:val>
          <c:smooth val="0"/>
          <c:extLst>
            <c:ext xmlns:c16="http://schemas.microsoft.com/office/drawing/2014/chart" uri="{C3380CC4-5D6E-409C-BE32-E72D297353CC}">
              <c16:uniqueId val="{00000021-351D-412C-938B-FBA8358378D7}"/>
            </c:ext>
          </c:extLst>
        </c:ser>
        <c:ser>
          <c:idx val="5"/>
          <c:order val="5"/>
          <c:tx>
            <c:strRef>
              <c:f>分野経年!$C$22</c:f>
              <c:strCache>
                <c:ptCount val="1"/>
                <c:pt idx="0">
                  <c:v>香港</c:v>
                </c:pt>
              </c:strCache>
            </c:strRef>
          </c:tx>
          <c:spPr>
            <a:ln w="28575" cap="rnd">
              <a:solidFill>
                <a:srgbClr val="F49D28"/>
              </a:solidFill>
              <a:round/>
            </a:ln>
            <a:effectLst/>
          </c:spPr>
          <c:marker>
            <c:symbol val="none"/>
          </c:marker>
          <c:cat>
            <c:numRef>
              <c:f>分野経年!$CE$16:$CO$16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分野経年!$CE$22:$CO$22</c:f>
              <c:numCache>
                <c:formatCode>General</c:formatCode>
                <c:ptCount val="11"/>
                <c:pt idx="0">
                  <c:v>31</c:v>
                </c:pt>
                <c:pt idx="1">
                  <c:v>19</c:v>
                </c:pt>
                <c:pt idx="2">
                  <c:v>24</c:v>
                </c:pt>
                <c:pt idx="3">
                  <c:v>19</c:v>
                </c:pt>
                <c:pt idx="4">
                  <c:v>18</c:v>
                </c:pt>
                <c:pt idx="5">
                  <c:v>32</c:v>
                </c:pt>
                <c:pt idx="6">
                  <c:v>35</c:v>
                </c:pt>
                <c:pt idx="7">
                  <c:v>29</c:v>
                </c:pt>
                <c:pt idx="8">
                  <c:v>24</c:v>
                </c:pt>
                <c:pt idx="9">
                  <c:v>22</c:v>
                </c:pt>
                <c:pt idx="10">
                  <c:v>23</c:v>
                </c:pt>
              </c:numCache>
            </c:numRef>
          </c:val>
          <c:smooth val="0"/>
          <c:extLst>
            <c:ext xmlns:c16="http://schemas.microsoft.com/office/drawing/2014/chart" uri="{C3380CC4-5D6E-409C-BE32-E72D297353CC}">
              <c16:uniqueId val="{00000023-351D-412C-938B-FBA8358378D7}"/>
            </c:ext>
          </c:extLst>
        </c:ser>
        <c:ser>
          <c:idx val="6"/>
          <c:order val="6"/>
          <c:tx>
            <c:strRef>
              <c:f>分野経年!$C$23</c:f>
              <c:strCache>
                <c:ptCount val="1"/>
                <c:pt idx="0">
                  <c:v>北京</c:v>
                </c:pt>
              </c:strCache>
            </c:strRef>
          </c:tx>
          <c:spPr>
            <a:ln w="28575" cap="rnd">
              <a:solidFill>
                <a:schemeClr val="bg1">
                  <a:lumMod val="75000"/>
                </a:schemeClr>
              </a:solidFill>
              <a:round/>
            </a:ln>
            <a:effectLst/>
          </c:spPr>
          <c:marker>
            <c:symbol val="none"/>
          </c:marker>
          <c:cat>
            <c:numRef>
              <c:f>分野経年!$CE$16:$CO$16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分野経年!$CE$23:$CO$23</c:f>
              <c:numCache>
                <c:formatCode>General</c:formatCode>
                <c:ptCount val="11"/>
                <c:pt idx="0">
                  <c:v>39</c:v>
                </c:pt>
                <c:pt idx="1">
                  <c:v>40</c:v>
                </c:pt>
                <c:pt idx="2">
                  <c:v>40</c:v>
                </c:pt>
                <c:pt idx="3">
                  <c:v>41</c:v>
                </c:pt>
                <c:pt idx="4">
                  <c:v>43</c:v>
                </c:pt>
                <c:pt idx="5">
                  <c:v>44</c:v>
                </c:pt>
                <c:pt idx="6">
                  <c:v>47</c:v>
                </c:pt>
                <c:pt idx="7">
                  <c:v>45</c:v>
                </c:pt>
                <c:pt idx="8">
                  <c:v>43</c:v>
                </c:pt>
                <c:pt idx="9">
                  <c:v>40</c:v>
                </c:pt>
                <c:pt idx="10">
                  <c:v>39</c:v>
                </c:pt>
              </c:numCache>
            </c:numRef>
          </c:val>
          <c:smooth val="0"/>
          <c:extLst>
            <c:ext xmlns:c16="http://schemas.microsoft.com/office/drawing/2014/chart" uri="{C3380CC4-5D6E-409C-BE32-E72D297353CC}">
              <c16:uniqueId val="{00000025-351D-412C-938B-FBA8358378D7}"/>
            </c:ext>
          </c:extLst>
        </c:ser>
        <c:ser>
          <c:idx val="7"/>
          <c:order val="7"/>
          <c:tx>
            <c:strRef>
              <c:f>分野経年!$C$24</c:f>
              <c:strCache>
                <c:ptCount val="1"/>
                <c:pt idx="0">
                  <c:v>上海</c:v>
                </c:pt>
              </c:strCache>
            </c:strRef>
          </c:tx>
          <c:spPr>
            <a:ln w="28575" cap="rnd">
              <a:solidFill>
                <a:schemeClr val="bg1">
                  <a:lumMod val="50000"/>
                </a:schemeClr>
              </a:solidFill>
              <a:round/>
            </a:ln>
            <a:effectLst/>
          </c:spPr>
          <c:marker>
            <c:symbol val="none"/>
          </c:marker>
          <c:cat>
            <c:numRef>
              <c:f>分野経年!$CE$16:$CO$16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分野経年!$CE$24:$CO$24</c:f>
              <c:numCache>
                <c:formatCode>General</c:formatCode>
                <c:ptCount val="11"/>
                <c:pt idx="0">
                  <c:v>34</c:v>
                </c:pt>
                <c:pt idx="1">
                  <c:v>37</c:v>
                </c:pt>
                <c:pt idx="2">
                  <c:v>39</c:v>
                </c:pt>
                <c:pt idx="3">
                  <c:v>39</c:v>
                </c:pt>
                <c:pt idx="4">
                  <c:v>41</c:v>
                </c:pt>
                <c:pt idx="5">
                  <c:v>43</c:v>
                </c:pt>
                <c:pt idx="6">
                  <c:v>48</c:v>
                </c:pt>
                <c:pt idx="7">
                  <c:v>42</c:v>
                </c:pt>
                <c:pt idx="8">
                  <c:v>39</c:v>
                </c:pt>
                <c:pt idx="9">
                  <c:v>34</c:v>
                </c:pt>
                <c:pt idx="10">
                  <c:v>33</c:v>
                </c:pt>
              </c:numCache>
            </c:numRef>
          </c:val>
          <c:smooth val="0"/>
          <c:extLst>
            <c:ext xmlns:c16="http://schemas.microsoft.com/office/drawing/2014/chart" uri="{C3380CC4-5D6E-409C-BE32-E72D297353CC}">
              <c16:uniqueId val="{00000027-351D-412C-938B-FBA8358378D7}"/>
            </c:ext>
          </c:extLst>
        </c:ser>
        <c:dLbls>
          <c:showLegendKey val="0"/>
          <c:showVal val="0"/>
          <c:showCatName val="0"/>
          <c:showSerName val="0"/>
          <c:showPercent val="0"/>
          <c:showBubbleSize val="0"/>
        </c:dLbls>
        <c:smooth val="0"/>
        <c:axId val="163733624"/>
        <c:axId val="163736368"/>
      </c:lineChart>
      <c:catAx>
        <c:axId val="163733624"/>
        <c:scaling>
          <c:orientation val="minMax"/>
        </c:scaling>
        <c:delete val="0"/>
        <c:axPos val="t"/>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6368"/>
        <c:crosses val="autoZero"/>
        <c:auto val="1"/>
        <c:lblAlgn val="ctr"/>
        <c:lblOffset val="100"/>
        <c:noMultiLvlLbl val="0"/>
      </c:catAx>
      <c:valAx>
        <c:axId val="163736368"/>
        <c:scaling>
          <c:orientation val="maxMin"/>
          <c:max val="48"/>
          <c:min val="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3624"/>
        <c:crosses val="autoZero"/>
        <c:crossBetween val="between"/>
        <c:majorUnit val="1"/>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分野経年!$CP$15</c:f>
          <c:strCache>
            <c:ptCount val="1"/>
            <c:pt idx="0">
              <c:v>交通・アクセス</c:v>
            </c:pt>
          </c:strCache>
        </c:strRef>
      </c:tx>
      <c:layout>
        <c:manualLayout>
          <c:xMode val="edge"/>
          <c:yMode val="edge"/>
          <c:x val="8.1133268081126683E-2"/>
          <c:y val="2.2857142857142857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分野経年!$C$17</c:f>
              <c:strCache>
                <c:ptCount val="1"/>
                <c:pt idx="0">
                  <c:v>ロンドン</c:v>
                </c:pt>
              </c:strCache>
            </c:strRef>
          </c:tx>
          <c:spPr>
            <a:ln w="28575" cap="rnd">
              <a:solidFill>
                <a:srgbClr val="DB5334"/>
              </a:solidFill>
              <a:round/>
            </a:ln>
            <a:effectLst/>
          </c:spPr>
          <c:marker>
            <c:symbol val="none"/>
          </c:marker>
          <c:cat>
            <c:numRef>
              <c:f>分野経年!$CT$16:$DD$16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分野経年!$CT$17:$DD$17</c:f>
              <c:numCache>
                <c:formatCode>General</c:formatCode>
                <c:ptCount val="11"/>
                <c:pt idx="0">
                  <c:v>1</c:v>
                </c:pt>
                <c:pt idx="1">
                  <c:v>1</c:v>
                </c:pt>
                <c:pt idx="2">
                  <c:v>2</c:v>
                </c:pt>
                <c:pt idx="3">
                  <c:v>1</c:v>
                </c:pt>
                <c:pt idx="4">
                  <c:v>2</c:v>
                </c:pt>
                <c:pt idx="5">
                  <c:v>2</c:v>
                </c:pt>
                <c:pt idx="6">
                  <c:v>2</c:v>
                </c:pt>
                <c:pt idx="7">
                  <c:v>1</c:v>
                </c:pt>
                <c:pt idx="8">
                  <c:v>3</c:v>
                </c:pt>
                <c:pt idx="9">
                  <c:v>6</c:v>
                </c:pt>
                <c:pt idx="10">
                  <c:v>4</c:v>
                </c:pt>
              </c:numCache>
            </c:numRef>
          </c:val>
          <c:smooth val="0"/>
          <c:extLst>
            <c:ext xmlns:c16="http://schemas.microsoft.com/office/drawing/2014/chart" uri="{C3380CC4-5D6E-409C-BE32-E72D297353CC}">
              <c16:uniqueId val="{00000031-E23E-4A20-9368-A4C3027A10A6}"/>
            </c:ext>
          </c:extLst>
        </c:ser>
        <c:ser>
          <c:idx val="1"/>
          <c:order val="1"/>
          <c:tx>
            <c:strRef>
              <c:f>分野経年!$C$18</c:f>
              <c:strCache>
                <c:ptCount val="1"/>
                <c:pt idx="0">
                  <c:v>ニューヨーク</c:v>
                </c:pt>
              </c:strCache>
            </c:strRef>
          </c:tx>
          <c:spPr>
            <a:ln w="28575" cap="rnd">
              <a:solidFill>
                <a:srgbClr val="FABF1C"/>
              </a:solidFill>
              <a:round/>
            </a:ln>
            <a:effectLst/>
          </c:spPr>
          <c:marker>
            <c:symbol val="none"/>
          </c:marker>
          <c:cat>
            <c:numRef>
              <c:f>分野経年!$CT$16:$DD$16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分野経年!$CT$18:$DD$18</c:f>
              <c:numCache>
                <c:formatCode>General</c:formatCode>
                <c:ptCount val="11"/>
                <c:pt idx="0">
                  <c:v>7</c:v>
                </c:pt>
                <c:pt idx="1">
                  <c:v>7</c:v>
                </c:pt>
                <c:pt idx="2">
                  <c:v>8</c:v>
                </c:pt>
                <c:pt idx="3">
                  <c:v>8</c:v>
                </c:pt>
                <c:pt idx="4">
                  <c:v>4</c:v>
                </c:pt>
                <c:pt idx="5">
                  <c:v>3</c:v>
                </c:pt>
                <c:pt idx="6">
                  <c:v>3</c:v>
                </c:pt>
                <c:pt idx="7">
                  <c:v>4</c:v>
                </c:pt>
                <c:pt idx="8">
                  <c:v>6</c:v>
                </c:pt>
                <c:pt idx="9">
                  <c:v>4</c:v>
                </c:pt>
                <c:pt idx="10">
                  <c:v>3</c:v>
                </c:pt>
              </c:numCache>
            </c:numRef>
          </c:val>
          <c:smooth val="0"/>
          <c:extLst>
            <c:ext xmlns:c16="http://schemas.microsoft.com/office/drawing/2014/chart" uri="{C3380CC4-5D6E-409C-BE32-E72D297353CC}">
              <c16:uniqueId val="{00000033-E23E-4A20-9368-A4C3027A10A6}"/>
            </c:ext>
          </c:extLst>
        </c:ser>
        <c:ser>
          <c:idx val="2"/>
          <c:order val="2"/>
          <c:tx>
            <c:strRef>
              <c:f>分野経年!$C$19</c:f>
              <c:strCache>
                <c:ptCount val="1"/>
                <c:pt idx="0">
                  <c:v>東京</c:v>
                </c:pt>
              </c:strCache>
            </c:strRef>
          </c:tx>
          <c:spPr>
            <a:ln w="28575" cap="rnd">
              <a:solidFill>
                <a:srgbClr val="237FC4"/>
              </a:solidFill>
              <a:round/>
            </a:ln>
            <a:effectLst/>
          </c:spPr>
          <c:marker>
            <c:symbol val="none"/>
          </c:marker>
          <c:cat>
            <c:numRef>
              <c:f>分野経年!$CT$16:$DD$16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分野経年!$CT$19:$DD$19</c:f>
              <c:numCache>
                <c:formatCode>General</c:formatCode>
                <c:ptCount val="11"/>
                <c:pt idx="0">
                  <c:v>10</c:v>
                </c:pt>
                <c:pt idx="1">
                  <c:v>10</c:v>
                </c:pt>
                <c:pt idx="2">
                  <c:v>11</c:v>
                </c:pt>
                <c:pt idx="3">
                  <c:v>11</c:v>
                </c:pt>
                <c:pt idx="4">
                  <c:v>6</c:v>
                </c:pt>
                <c:pt idx="5">
                  <c:v>5</c:v>
                </c:pt>
                <c:pt idx="6">
                  <c:v>8</c:v>
                </c:pt>
                <c:pt idx="7">
                  <c:v>7</c:v>
                </c:pt>
                <c:pt idx="8">
                  <c:v>5</c:v>
                </c:pt>
                <c:pt idx="9">
                  <c:v>10</c:v>
                </c:pt>
                <c:pt idx="10">
                  <c:v>8</c:v>
                </c:pt>
              </c:numCache>
            </c:numRef>
          </c:val>
          <c:smooth val="0"/>
          <c:extLst>
            <c:ext xmlns:c16="http://schemas.microsoft.com/office/drawing/2014/chart" uri="{C3380CC4-5D6E-409C-BE32-E72D297353CC}">
              <c16:uniqueId val="{00000035-E23E-4A20-9368-A4C3027A10A6}"/>
            </c:ext>
          </c:extLst>
        </c:ser>
        <c:ser>
          <c:idx val="3"/>
          <c:order val="3"/>
          <c:tx>
            <c:strRef>
              <c:f>分野経年!$C$20</c:f>
              <c:strCache>
                <c:ptCount val="1"/>
                <c:pt idx="0">
                  <c:v>パリ</c:v>
                </c:pt>
              </c:strCache>
            </c:strRef>
          </c:tx>
          <c:spPr>
            <a:ln w="28575" cap="rnd">
              <a:solidFill>
                <a:srgbClr val="90C31F"/>
              </a:solidFill>
              <a:round/>
            </a:ln>
            <a:effectLst/>
          </c:spPr>
          <c:marker>
            <c:symbol val="none"/>
          </c:marker>
          <c:cat>
            <c:numRef>
              <c:f>分野経年!$CT$16:$DD$16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分野経年!$CT$20:$DD$20</c:f>
              <c:numCache>
                <c:formatCode>General</c:formatCode>
                <c:ptCount val="11"/>
                <c:pt idx="0">
                  <c:v>2</c:v>
                </c:pt>
                <c:pt idx="1">
                  <c:v>2</c:v>
                </c:pt>
                <c:pt idx="2">
                  <c:v>1</c:v>
                </c:pt>
                <c:pt idx="3">
                  <c:v>2</c:v>
                </c:pt>
                <c:pt idx="4">
                  <c:v>1</c:v>
                </c:pt>
                <c:pt idx="5">
                  <c:v>1</c:v>
                </c:pt>
                <c:pt idx="6">
                  <c:v>1</c:v>
                </c:pt>
                <c:pt idx="7">
                  <c:v>2</c:v>
                </c:pt>
                <c:pt idx="8">
                  <c:v>2</c:v>
                </c:pt>
                <c:pt idx="9">
                  <c:v>3</c:v>
                </c:pt>
                <c:pt idx="10">
                  <c:v>5</c:v>
                </c:pt>
              </c:numCache>
            </c:numRef>
          </c:val>
          <c:smooth val="0"/>
          <c:extLst>
            <c:ext xmlns:c16="http://schemas.microsoft.com/office/drawing/2014/chart" uri="{C3380CC4-5D6E-409C-BE32-E72D297353CC}">
              <c16:uniqueId val="{00000037-E23E-4A20-9368-A4C3027A10A6}"/>
            </c:ext>
          </c:extLst>
        </c:ser>
        <c:ser>
          <c:idx val="4"/>
          <c:order val="4"/>
          <c:tx>
            <c:strRef>
              <c:f>分野経年!$C$21</c:f>
              <c:strCache>
                <c:ptCount val="1"/>
                <c:pt idx="0">
                  <c:v>シンガポール</c:v>
                </c:pt>
              </c:strCache>
            </c:strRef>
          </c:tx>
          <c:spPr>
            <a:ln w="28575" cap="rnd">
              <a:solidFill>
                <a:srgbClr val="9170AF"/>
              </a:solidFill>
              <a:round/>
            </a:ln>
            <a:effectLst/>
          </c:spPr>
          <c:marker>
            <c:symbol val="none"/>
          </c:marker>
          <c:cat>
            <c:numRef>
              <c:f>分野経年!$CT$16:$DD$16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分野経年!$CT$21:$DD$21</c:f>
              <c:numCache>
                <c:formatCode>General</c:formatCode>
                <c:ptCount val="11"/>
                <c:pt idx="0">
                  <c:v>8</c:v>
                </c:pt>
                <c:pt idx="1">
                  <c:v>8</c:v>
                </c:pt>
                <c:pt idx="2">
                  <c:v>4</c:v>
                </c:pt>
                <c:pt idx="3">
                  <c:v>7</c:v>
                </c:pt>
                <c:pt idx="4">
                  <c:v>9</c:v>
                </c:pt>
                <c:pt idx="5">
                  <c:v>9</c:v>
                </c:pt>
                <c:pt idx="6">
                  <c:v>10</c:v>
                </c:pt>
                <c:pt idx="7">
                  <c:v>8</c:v>
                </c:pt>
                <c:pt idx="8">
                  <c:v>8</c:v>
                </c:pt>
                <c:pt idx="9">
                  <c:v>11</c:v>
                </c:pt>
                <c:pt idx="10">
                  <c:v>7</c:v>
                </c:pt>
              </c:numCache>
            </c:numRef>
          </c:val>
          <c:smooth val="0"/>
          <c:extLst>
            <c:ext xmlns:c16="http://schemas.microsoft.com/office/drawing/2014/chart" uri="{C3380CC4-5D6E-409C-BE32-E72D297353CC}">
              <c16:uniqueId val="{00000039-E23E-4A20-9368-A4C3027A10A6}"/>
            </c:ext>
          </c:extLst>
        </c:ser>
        <c:ser>
          <c:idx val="5"/>
          <c:order val="5"/>
          <c:tx>
            <c:strRef>
              <c:f>分野経年!$C$22</c:f>
              <c:strCache>
                <c:ptCount val="1"/>
                <c:pt idx="0">
                  <c:v>香港</c:v>
                </c:pt>
              </c:strCache>
            </c:strRef>
          </c:tx>
          <c:spPr>
            <a:ln w="28575" cap="rnd">
              <a:solidFill>
                <a:srgbClr val="F49D28"/>
              </a:solidFill>
              <a:round/>
            </a:ln>
            <a:effectLst/>
          </c:spPr>
          <c:marker>
            <c:symbol val="none"/>
          </c:marker>
          <c:cat>
            <c:numRef>
              <c:f>分野経年!$CT$16:$DD$16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分野経年!$CT$22:$DD$22</c:f>
              <c:numCache>
                <c:formatCode>General</c:formatCode>
                <c:ptCount val="11"/>
                <c:pt idx="0">
                  <c:v>5</c:v>
                </c:pt>
                <c:pt idx="1">
                  <c:v>6</c:v>
                </c:pt>
                <c:pt idx="2">
                  <c:v>5</c:v>
                </c:pt>
                <c:pt idx="3">
                  <c:v>3</c:v>
                </c:pt>
                <c:pt idx="4">
                  <c:v>5</c:v>
                </c:pt>
                <c:pt idx="5">
                  <c:v>8</c:v>
                </c:pt>
                <c:pt idx="6">
                  <c:v>7</c:v>
                </c:pt>
                <c:pt idx="7">
                  <c:v>10</c:v>
                </c:pt>
                <c:pt idx="8">
                  <c:v>13</c:v>
                </c:pt>
                <c:pt idx="9">
                  <c:v>24</c:v>
                </c:pt>
                <c:pt idx="10">
                  <c:v>16</c:v>
                </c:pt>
              </c:numCache>
            </c:numRef>
          </c:val>
          <c:smooth val="0"/>
          <c:extLst>
            <c:ext xmlns:c16="http://schemas.microsoft.com/office/drawing/2014/chart" uri="{C3380CC4-5D6E-409C-BE32-E72D297353CC}">
              <c16:uniqueId val="{0000003B-E23E-4A20-9368-A4C3027A10A6}"/>
            </c:ext>
          </c:extLst>
        </c:ser>
        <c:ser>
          <c:idx val="6"/>
          <c:order val="6"/>
          <c:tx>
            <c:strRef>
              <c:f>分野経年!$C$23</c:f>
              <c:strCache>
                <c:ptCount val="1"/>
                <c:pt idx="0">
                  <c:v>北京</c:v>
                </c:pt>
              </c:strCache>
            </c:strRef>
          </c:tx>
          <c:spPr>
            <a:ln w="28575" cap="rnd">
              <a:solidFill>
                <a:schemeClr val="bg1">
                  <a:lumMod val="75000"/>
                </a:schemeClr>
              </a:solidFill>
              <a:round/>
            </a:ln>
            <a:effectLst/>
          </c:spPr>
          <c:marker>
            <c:symbol val="none"/>
          </c:marker>
          <c:cat>
            <c:numRef>
              <c:f>分野経年!$CT$16:$DD$16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分野経年!$CT$23:$DD$23</c:f>
              <c:numCache>
                <c:formatCode>General</c:formatCode>
                <c:ptCount val="11"/>
                <c:pt idx="0">
                  <c:v>27</c:v>
                </c:pt>
                <c:pt idx="1">
                  <c:v>27</c:v>
                </c:pt>
                <c:pt idx="2">
                  <c:v>27</c:v>
                </c:pt>
                <c:pt idx="3">
                  <c:v>24</c:v>
                </c:pt>
                <c:pt idx="4">
                  <c:v>15</c:v>
                </c:pt>
                <c:pt idx="5">
                  <c:v>21</c:v>
                </c:pt>
                <c:pt idx="6">
                  <c:v>14</c:v>
                </c:pt>
                <c:pt idx="7">
                  <c:v>13</c:v>
                </c:pt>
                <c:pt idx="8">
                  <c:v>19</c:v>
                </c:pt>
                <c:pt idx="9">
                  <c:v>19</c:v>
                </c:pt>
                <c:pt idx="10">
                  <c:v>40</c:v>
                </c:pt>
              </c:numCache>
            </c:numRef>
          </c:val>
          <c:smooth val="0"/>
          <c:extLst>
            <c:ext xmlns:c16="http://schemas.microsoft.com/office/drawing/2014/chart" uri="{C3380CC4-5D6E-409C-BE32-E72D297353CC}">
              <c16:uniqueId val="{0000003D-E23E-4A20-9368-A4C3027A10A6}"/>
            </c:ext>
          </c:extLst>
        </c:ser>
        <c:ser>
          <c:idx val="7"/>
          <c:order val="7"/>
          <c:tx>
            <c:strRef>
              <c:f>分野経年!$C$24</c:f>
              <c:strCache>
                <c:ptCount val="1"/>
                <c:pt idx="0">
                  <c:v>上海</c:v>
                </c:pt>
              </c:strCache>
            </c:strRef>
          </c:tx>
          <c:spPr>
            <a:ln w="28575" cap="rnd">
              <a:solidFill>
                <a:schemeClr val="bg1">
                  <a:lumMod val="50000"/>
                </a:schemeClr>
              </a:solidFill>
              <a:round/>
            </a:ln>
            <a:effectLst/>
          </c:spPr>
          <c:marker>
            <c:symbol val="none"/>
          </c:marker>
          <c:cat>
            <c:numRef>
              <c:f>分野経年!$CT$16:$DD$16</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分野経年!$CT$24:$DD$24</c:f>
              <c:numCache>
                <c:formatCode>General</c:formatCode>
                <c:ptCount val="11"/>
                <c:pt idx="0">
                  <c:v>11</c:v>
                </c:pt>
                <c:pt idx="1">
                  <c:v>11</c:v>
                </c:pt>
                <c:pt idx="2">
                  <c:v>7</c:v>
                </c:pt>
                <c:pt idx="3">
                  <c:v>4</c:v>
                </c:pt>
                <c:pt idx="4">
                  <c:v>3</c:v>
                </c:pt>
                <c:pt idx="5">
                  <c:v>4</c:v>
                </c:pt>
                <c:pt idx="6">
                  <c:v>4</c:v>
                </c:pt>
                <c:pt idx="7">
                  <c:v>3</c:v>
                </c:pt>
                <c:pt idx="8">
                  <c:v>1</c:v>
                </c:pt>
                <c:pt idx="9">
                  <c:v>1</c:v>
                </c:pt>
                <c:pt idx="10">
                  <c:v>9</c:v>
                </c:pt>
              </c:numCache>
            </c:numRef>
          </c:val>
          <c:smooth val="0"/>
          <c:extLst>
            <c:ext xmlns:c16="http://schemas.microsoft.com/office/drawing/2014/chart" uri="{C3380CC4-5D6E-409C-BE32-E72D297353CC}">
              <c16:uniqueId val="{0000003F-E23E-4A20-9368-A4C3027A10A6}"/>
            </c:ext>
          </c:extLst>
        </c:ser>
        <c:dLbls>
          <c:showLegendKey val="0"/>
          <c:showVal val="0"/>
          <c:showCatName val="0"/>
          <c:showSerName val="0"/>
          <c:showPercent val="0"/>
          <c:showBubbleSize val="0"/>
        </c:dLbls>
        <c:smooth val="0"/>
        <c:axId val="163739504"/>
        <c:axId val="163736760"/>
      </c:lineChart>
      <c:catAx>
        <c:axId val="163739504"/>
        <c:scaling>
          <c:orientation val="minMax"/>
        </c:scaling>
        <c:delete val="0"/>
        <c:axPos val="t"/>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6760"/>
        <c:crosses val="autoZero"/>
        <c:auto val="1"/>
        <c:lblAlgn val="ctr"/>
        <c:lblOffset val="100"/>
        <c:noMultiLvlLbl val="0"/>
      </c:catAx>
      <c:valAx>
        <c:axId val="163736760"/>
        <c:scaling>
          <c:orientation val="maxMin"/>
          <c:max val="35"/>
          <c:min val="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9504"/>
        <c:crosses val="autoZero"/>
        <c:crossBetween val="between"/>
        <c:majorUnit val="1"/>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分野経年!$S$2</c:f>
          <c:strCache>
            <c:ptCount val="1"/>
            <c:pt idx="0">
              <c:v>経済</c:v>
            </c:pt>
          </c:strCache>
        </c:strRef>
      </c:tx>
      <c:layout>
        <c:manualLayout>
          <c:xMode val="edge"/>
          <c:yMode val="edge"/>
          <c:x val="8.1236914239913721E-2"/>
          <c:y val="2.0100502512562814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分野経年!$C$4</c:f>
              <c:strCache>
                <c:ptCount val="1"/>
                <c:pt idx="0">
                  <c:v>ロンドン</c:v>
                </c:pt>
              </c:strCache>
            </c:strRef>
          </c:tx>
          <c:spPr>
            <a:ln w="28575" cap="rnd">
              <a:solidFill>
                <a:srgbClr val="DB5334"/>
              </a:solidFill>
              <a:round/>
            </a:ln>
            <a:effectLst/>
          </c:spPr>
          <c:marker>
            <c:symbol val="none"/>
          </c:marker>
          <c:cat>
            <c:numRef>
              <c:f>分野経年!$X$3:$AG$3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分野経年!$X$4:$AG$4</c:f>
              <c:numCache>
                <c:formatCode>0.0</c:formatCode>
                <c:ptCount val="10"/>
                <c:pt idx="0">
                  <c:v>69.100457089089701</c:v>
                </c:pt>
                <c:pt idx="1">
                  <c:v>72.597922369339784</c:v>
                </c:pt>
                <c:pt idx="2">
                  <c:v>70.622825202840673</c:v>
                </c:pt>
                <c:pt idx="3">
                  <c:v>70.286453384368855</c:v>
                </c:pt>
                <c:pt idx="4">
                  <c:v>72.52590683748835</c:v>
                </c:pt>
                <c:pt idx="5">
                  <c:v>70.508301731867249</c:v>
                </c:pt>
                <c:pt idx="6">
                  <c:v>70</c:v>
                </c:pt>
                <c:pt idx="7">
                  <c:v>68.46352857170298</c:v>
                </c:pt>
                <c:pt idx="8">
                  <c:v>67.41339241205803</c:v>
                </c:pt>
                <c:pt idx="9">
                  <c:v>67.884213669604364</c:v>
                </c:pt>
              </c:numCache>
            </c:numRef>
          </c:val>
          <c:smooth val="0"/>
          <c:extLst>
            <c:ext xmlns:c16="http://schemas.microsoft.com/office/drawing/2014/chart" uri="{C3380CC4-5D6E-409C-BE32-E72D297353CC}">
              <c16:uniqueId val="{00000029-BC2B-40D2-8121-2EC6BF1553DA}"/>
            </c:ext>
          </c:extLst>
        </c:ser>
        <c:ser>
          <c:idx val="1"/>
          <c:order val="1"/>
          <c:tx>
            <c:strRef>
              <c:f>分野経年!$C$5</c:f>
              <c:strCache>
                <c:ptCount val="1"/>
                <c:pt idx="0">
                  <c:v>ニューヨーク</c:v>
                </c:pt>
              </c:strCache>
            </c:strRef>
          </c:tx>
          <c:spPr>
            <a:ln w="28575" cap="rnd">
              <a:solidFill>
                <a:srgbClr val="FABF1C"/>
              </a:solidFill>
              <a:round/>
            </a:ln>
            <a:effectLst/>
          </c:spPr>
          <c:marker>
            <c:symbol val="none"/>
          </c:marker>
          <c:cat>
            <c:numRef>
              <c:f>分野経年!$X$3:$AG$3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分野経年!$X$5:$AG$5</c:f>
              <c:numCache>
                <c:formatCode>0.0</c:formatCode>
                <c:ptCount val="10"/>
                <c:pt idx="0">
                  <c:v>70.106676897679435</c:v>
                </c:pt>
                <c:pt idx="1">
                  <c:v>68.5450707195007</c:v>
                </c:pt>
                <c:pt idx="2">
                  <c:v>68.945630707611684</c:v>
                </c:pt>
                <c:pt idx="3">
                  <c:v>74.158588906032207</c:v>
                </c:pt>
                <c:pt idx="4">
                  <c:v>73.640180252954835</c:v>
                </c:pt>
                <c:pt idx="5">
                  <c:v>74.979727289235797</c:v>
                </c:pt>
                <c:pt idx="6">
                  <c:v>75.8</c:v>
                </c:pt>
                <c:pt idx="7">
                  <c:v>74.96086674098791</c:v>
                </c:pt>
                <c:pt idx="8">
                  <c:v>73.635282525397798</c:v>
                </c:pt>
                <c:pt idx="9">
                  <c:v>73.331497303580832</c:v>
                </c:pt>
              </c:numCache>
            </c:numRef>
          </c:val>
          <c:smooth val="0"/>
          <c:extLst>
            <c:ext xmlns:c16="http://schemas.microsoft.com/office/drawing/2014/chart" uri="{C3380CC4-5D6E-409C-BE32-E72D297353CC}">
              <c16:uniqueId val="{0000002B-BC2B-40D2-8121-2EC6BF1553DA}"/>
            </c:ext>
          </c:extLst>
        </c:ser>
        <c:ser>
          <c:idx val="2"/>
          <c:order val="2"/>
          <c:tx>
            <c:strRef>
              <c:f>分野経年!$C$6</c:f>
              <c:strCache>
                <c:ptCount val="1"/>
                <c:pt idx="0">
                  <c:v>東京</c:v>
                </c:pt>
              </c:strCache>
            </c:strRef>
          </c:tx>
          <c:spPr>
            <a:ln w="28575" cap="rnd">
              <a:solidFill>
                <a:srgbClr val="237FC4"/>
              </a:solidFill>
              <a:round/>
            </a:ln>
            <a:effectLst/>
          </c:spPr>
          <c:marker>
            <c:symbol val="none"/>
          </c:marker>
          <c:cat>
            <c:numRef>
              <c:f>分野経年!$X$3:$AG$3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分野経年!$X$6:$AG$6</c:f>
              <c:numCache>
                <c:formatCode>0.0</c:formatCode>
                <c:ptCount val="10"/>
                <c:pt idx="0">
                  <c:v>76.596534069601432</c:v>
                </c:pt>
                <c:pt idx="1">
                  <c:v>73.175441533592902</c:v>
                </c:pt>
                <c:pt idx="2">
                  <c:v>71.308902191081074</c:v>
                </c:pt>
                <c:pt idx="3">
                  <c:v>68.972394047474879</c:v>
                </c:pt>
                <c:pt idx="4">
                  <c:v>65.551585728689588</c:v>
                </c:pt>
                <c:pt idx="5">
                  <c:v>63.102673856154979</c:v>
                </c:pt>
                <c:pt idx="6">
                  <c:v>60.9</c:v>
                </c:pt>
                <c:pt idx="7">
                  <c:v>60.747963069539168</c:v>
                </c:pt>
                <c:pt idx="8">
                  <c:v>62.082796913406781</c:v>
                </c:pt>
                <c:pt idx="9">
                  <c:v>57.558812416740885</c:v>
                </c:pt>
              </c:numCache>
            </c:numRef>
          </c:val>
          <c:smooth val="0"/>
          <c:extLst>
            <c:ext xmlns:c16="http://schemas.microsoft.com/office/drawing/2014/chart" uri="{C3380CC4-5D6E-409C-BE32-E72D297353CC}">
              <c16:uniqueId val="{0000002D-BC2B-40D2-8121-2EC6BF1553DA}"/>
            </c:ext>
          </c:extLst>
        </c:ser>
        <c:ser>
          <c:idx val="3"/>
          <c:order val="3"/>
          <c:tx>
            <c:strRef>
              <c:f>分野経年!$C$7</c:f>
              <c:strCache>
                <c:ptCount val="1"/>
                <c:pt idx="0">
                  <c:v>パリ</c:v>
                </c:pt>
              </c:strCache>
            </c:strRef>
          </c:tx>
          <c:spPr>
            <a:ln w="28575" cap="rnd">
              <a:solidFill>
                <a:srgbClr val="90C31F"/>
              </a:solidFill>
              <a:round/>
            </a:ln>
            <a:effectLst/>
          </c:spPr>
          <c:marker>
            <c:symbol val="none"/>
          </c:marker>
          <c:cat>
            <c:numRef>
              <c:f>分野経年!$X$3:$AG$3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分野経年!$X$7:$AG$7</c:f>
              <c:numCache>
                <c:formatCode>0.0</c:formatCode>
                <c:ptCount val="10"/>
                <c:pt idx="0">
                  <c:v>54.511470001955104</c:v>
                </c:pt>
                <c:pt idx="1">
                  <c:v>52.506116010244632</c:v>
                </c:pt>
                <c:pt idx="2">
                  <c:v>52.25727080777618</c:v>
                </c:pt>
                <c:pt idx="3">
                  <c:v>54.212049670334018</c:v>
                </c:pt>
                <c:pt idx="4">
                  <c:v>52.910633097932738</c:v>
                </c:pt>
                <c:pt idx="5">
                  <c:v>53.101879488136838</c:v>
                </c:pt>
                <c:pt idx="6">
                  <c:v>53.6</c:v>
                </c:pt>
                <c:pt idx="7">
                  <c:v>56.329368243705254</c:v>
                </c:pt>
                <c:pt idx="8">
                  <c:v>55.707261324410553</c:v>
                </c:pt>
                <c:pt idx="9">
                  <c:v>54.901087600679375</c:v>
                </c:pt>
              </c:numCache>
            </c:numRef>
          </c:val>
          <c:smooth val="0"/>
          <c:extLst>
            <c:ext xmlns:c16="http://schemas.microsoft.com/office/drawing/2014/chart" uri="{C3380CC4-5D6E-409C-BE32-E72D297353CC}">
              <c16:uniqueId val="{0000002F-BC2B-40D2-8121-2EC6BF1553DA}"/>
            </c:ext>
          </c:extLst>
        </c:ser>
        <c:ser>
          <c:idx val="4"/>
          <c:order val="4"/>
          <c:tx>
            <c:strRef>
              <c:f>分野経年!$C$8</c:f>
              <c:strCache>
                <c:ptCount val="1"/>
                <c:pt idx="0">
                  <c:v>シンガポール</c:v>
                </c:pt>
              </c:strCache>
            </c:strRef>
          </c:tx>
          <c:spPr>
            <a:ln w="28575" cap="rnd">
              <a:solidFill>
                <a:srgbClr val="9170AF"/>
              </a:solidFill>
              <a:round/>
            </a:ln>
            <a:effectLst/>
          </c:spPr>
          <c:marker>
            <c:symbol val="none"/>
          </c:marker>
          <c:cat>
            <c:numRef>
              <c:f>分野経年!$X$3:$AG$3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分野経年!$X$8:$AG$8</c:f>
              <c:numCache>
                <c:formatCode>0.0</c:formatCode>
                <c:ptCount val="10"/>
                <c:pt idx="0">
                  <c:v>60.886130358676098</c:v>
                </c:pt>
                <c:pt idx="1">
                  <c:v>63.293328404154899</c:v>
                </c:pt>
                <c:pt idx="2">
                  <c:v>61.793539793321109</c:v>
                </c:pt>
                <c:pt idx="3">
                  <c:v>59.13093753527113</c:v>
                </c:pt>
                <c:pt idx="4">
                  <c:v>57.332459859399535</c:v>
                </c:pt>
                <c:pt idx="5">
                  <c:v>59.764893799143337</c:v>
                </c:pt>
                <c:pt idx="6">
                  <c:v>60.7</c:v>
                </c:pt>
                <c:pt idx="7">
                  <c:v>60.181887619024913</c:v>
                </c:pt>
                <c:pt idx="8">
                  <c:v>61.14601393508768</c:v>
                </c:pt>
                <c:pt idx="9">
                  <c:v>63.533470477541506</c:v>
                </c:pt>
              </c:numCache>
            </c:numRef>
          </c:val>
          <c:smooth val="0"/>
          <c:extLst>
            <c:ext xmlns:c16="http://schemas.microsoft.com/office/drawing/2014/chart" uri="{C3380CC4-5D6E-409C-BE32-E72D297353CC}">
              <c16:uniqueId val="{00000031-BC2B-40D2-8121-2EC6BF1553DA}"/>
            </c:ext>
          </c:extLst>
        </c:ser>
        <c:ser>
          <c:idx val="5"/>
          <c:order val="5"/>
          <c:tx>
            <c:strRef>
              <c:f>分野経年!$C$9</c:f>
              <c:strCache>
                <c:ptCount val="1"/>
                <c:pt idx="0">
                  <c:v>香港</c:v>
                </c:pt>
              </c:strCache>
            </c:strRef>
          </c:tx>
          <c:spPr>
            <a:ln w="28575" cap="rnd">
              <a:solidFill>
                <a:srgbClr val="F49D28"/>
              </a:solidFill>
              <a:round/>
            </a:ln>
            <a:effectLst/>
          </c:spPr>
          <c:marker>
            <c:symbol val="none"/>
          </c:marker>
          <c:cat>
            <c:numRef>
              <c:f>分野経年!$X$3:$AG$3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分野経年!$X$9:$AG$9</c:f>
              <c:numCache>
                <c:formatCode>0.0</c:formatCode>
                <c:ptCount val="10"/>
                <c:pt idx="0">
                  <c:v>61.243303345026291</c:v>
                </c:pt>
                <c:pt idx="1">
                  <c:v>63.873362915734042</c:v>
                </c:pt>
                <c:pt idx="2">
                  <c:v>64.99637845309401</c:v>
                </c:pt>
                <c:pt idx="3">
                  <c:v>59.731394132251296</c:v>
                </c:pt>
                <c:pt idx="4">
                  <c:v>60.324420092955577</c:v>
                </c:pt>
                <c:pt idx="5">
                  <c:v>59.145601407142706</c:v>
                </c:pt>
                <c:pt idx="6">
                  <c:v>60.5</c:v>
                </c:pt>
                <c:pt idx="7">
                  <c:v>60.504127775609632</c:v>
                </c:pt>
                <c:pt idx="8">
                  <c:v>50.498979069645294</c:v>
                </c:pt>
                <c:pt idx="9">
                  <c:v>51.768501408504648</c:v>
                </c:pt>
              </c:numCache>
            </c:numRef>
          </c:val>
          <c:smooth val="0"/>
          <c:extLst>
            <c:ext xmlns:c16="http://schemas.microsoft.com/office/drawing/2014/chart" uri="{C3380CC4-5D6E-409C-BE32-E72D297353CC}">
              <c16:uniqueId val="{00000033-BC2B-40D2-8121-2EC6BF1553DA}"/>
            </c:ext>
          </c:extLst>
        </c:ser>
        <c:ser>
          <c:idx val="6"/>
          <c:order val="6"/>
          <c:tx>
            <c:strRef>
              <c:f>分野経年!$C$10</c:f>
              <c:strCache>
                <c:ptCount val="1"/>
                <c:pt idx="0">
                  <c:v>北京</c:v>
                </c:pt>
              </c:strCache>
            </c:strRef>
          </c:tx>
          <c:spPr>
            <a:ln w="28575" cap="rnd">
              <a:solidFill>
                <a:schemeClr val="bg1">
                  <a:lumMod val="75000"/>
                </a:schemeClr>
              </a:solidFill>
              <a:round/>
            </a:ln>
            <a:effectLst/>
          </c:spPr>
          <c:marker>
            <c:symbol val="none"/>
          </c:marker>
          <c:cat>
            <c:numRef>
              <c:f>分野経年!$X$3:$AG$3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分野経年!$X$10:$AG$10</c:f>
              <c:numCache>
                <c:formatCode>0.0</c:formatCode>
                <c:ptCount val="10"/>
                <c:pt idx="0">
                  <c:v>69.458858241751003</c:v>
                </c:pt>
                <c:pt idx="1">
                  <c:v>68.276086969031041</c:v>
                </c:pt>
                <c:pt idx="2">
                  <c:v>68.717466484747689</c:v>
                </c:pt>
                <c:pt idx="3">
                  <c:v>69.212526290226293</c:v>
                </c:pt>
                <c:pt idx="4">
                  <c:v>62.735183496765885</c:v>
                </c:pt>
                <c:pt idx="5">
                  <c:v>63.401484984548134</c:v>
                </c:pt>
                <c:pt idx="6">
                  <c:v>64.400000000000006</c:v>
                </c:pt>
                <c:pt idx="7">
                  <c:v>64.52982561434186</c:v>
                </c:pt>
                <c:pt idx="8">
                  <c:v>63.166198304496021</c:v>
                </c:pt>
                <c:pt idx="9">
                  <c:v>63.705496570109943</c:v>
                </c:pt>
              </c:numCache>
            </c:numRef>
          </c:val>
          <c:smooth val="0"/>
          <c:extLst>
            <c:ext xmlns:c16="http://schemas.microsoft.com/office/drawing/2014/chart" uri="{C3380CC4-5D6E-409C-BE32-E72D297353CC}">
              <c16:uniqueId val="{00000035-BC2B-40D2-8121-2EC6BF1553DA}"/>
            </c:ext>
          </c:extLst>
        </c:ser>
        <c:ser>
          <c:idx val="7"/>
          <c:order val="7"/>
          <c:tx>
            <c:strRef>
              <c:f>分野経年!$C$11</c:f>
              <c:strCache>
                <c:ptCount val="1"/>
                <c:pt idx="0">
                  <c:v>上海</c:v>
                </c:pt>
              </c:strCache>
            </c:strRef>
          </c:tx>
          <c:spPr>
            <a:ln w="28575" cap="rnd">
              <a:solidFill>
                <a:schemeClr val="bg1">
                  <a:lumMod val="50000"/>
                </a:schemeClr>
              </a:solidFill>
              <a:round/>
            </a:ln>
            <a:effectLst/>
          </c:spPr>
          <c:marker>
            <c:symbol val="none"/>
          </c:marker>
          <c:cat>
            <c:numRef>
              <c:f>分野経年!$X$3:$AG$3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分野経年!$X$11:$AG$11</c:f>
              <c:numCache>
                <c:formatCode>0.0</c:formatCode>
                <c:ptCount val="10"/>
                <c:pt idx="0">
                  <c:v>58.288764411832624</c:v>
                </c:pt>
                <c:pt idx="1">
                  <c:v>56.679096995184821</c:v>
                </c:pt>
                <c:pt idx="2">
                  <c:v>61.737994979914134</c:v>
                </c:pt>
                <c:pt idx="3">
                  <c:v>62.118608383436374</c:v>
                </c:pt>
                <c:pt idx="4">
                  <c:v>54.265518524430831</c:v>
                </c:pt>
                <c:pt idx="5">
                  <c:v>54.837114560074895</c:v>
                </c:pt>
                <c:pt idx="6">
                  <c:v>57.2</c:v>
                </c:pt>
                <c:pt idx="7">
                  <c:v>58.086114810007899</c:v>
                </c:pt>
                <c:pt idx="8">
                  <c:v>57.670068239156627</c:v>
                </c:pt>
                <c:pt idx="9">
                  <c:v>57.34851343747313</c:v>
                </c:pt>
              </c:numCache>
            </c:numRef>
          </c:val>
          <c:smooth val="0"/>
          <c:extLst>
            <c:ext xmlns:c16="http://schemas.microsoft.com/office/drawing/2014/chart" uri="{C3380CC4-5D6E-409C-BE32-E72D297353CC}">
              <c16:uniqueId val="{00000037-BC2B-40D2-8121-2EC6BF1553DA}"/>
            </c:ext>
          </c:extLst>
        </c:ser>
        <c:dLbls>
          <c:showLegendKey val="0"/>
          <c:showVal val="0"/>
          <c:showCatName val="0"/>
          <c:showSerName val="0"/>
          <c:showPercent val="0"/>
          <c:showBubbleSize val="0"/>
        </c:dLbls>
        <c:smooth val="0"/>
        <c:axId val="163735584"/>
        <c:axId val="163737152"/>
      </c:lineChart>
      <c:catAx>
        <c:axId val="163735584"/>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7152"/>
        <c:crosses val="autoZero"/>
        <c:auto val="1"/>
        <c:lblAlgn val="ctr"/>
        <c:lblOffset val="100"/>
        <c:noMultiLvlLbl val="0"/>
      </c:catAx>
      <c:valAx>
        <c:axId val="163737152"/>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5584"/>
        <c:crosses val="autoZero"/>
        <c:crossBetween val="between"/>
        <c:majorUnit val="5"/>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分野経年!$AH$2</c:f>
          <c:strCache>
            <c:ptCount val="1"/>
            <c:pt idx="0">
              <c:v>研究・開発</c:v>
            </c:pt>
          </c:strCache>
        </c:strRef>
      </c:tx>
      <c:layout>
        <c:manualLayout>
          <c:xMode val="edge"/>
          <c:yMode val="edge"/>
          <c:x val="8.1236914239913721E-2"/>
          <c:y val="2.0100502512562814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分野経年!$C$4</c:f>
              <c:strCache>
                <c:ptCount val="1"/>
                <c:pt idx="0">
                  <c:v>ロンドン</c:v>
                </c:pt>
              </c:strCache>
            </c:strRef>
          </c:tx>
          <c:spPr>
            <a:ln w="28575" cap="rnd">
              <a:solidFill>
                <a:srgbClr val="DB5334"/>
              </a:solidFill>
              <a:round/>
            </a:ln>
            <a:effectLst/>
          </c:spPr>
          <c:marker>
            <c:symbol val="none"/>
          </c:marker>
          <c:cat>
            <c:numRef>
              <c:f>分野経年!$AM$3:$AV$3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分野経年!$AM$4:$AV$4</c:f>
              <c:numCache>
                <c:formatCode>0.0</c:formatCode>
                <c:ptCount val="10"/>
                <c:pt idx="0">
                  <c:v>68.909944533685902</c:v>
                </c:pt>
                <c:pt idx="1">
                  <c:v>69.450964683955533</c:v>
                </c:pt>
                <c:pt idx="2">
                  <c:v>70.621449460217775</c:v>
                </c:pt>
                <c:pt idx="3">
                  <c:v>72.009398573628346</c:v>
                </c:pt>
                <c:pt idx="4">
                  <c:v>69.251211636861129</c:v>
                </c:pt>
                <c:pt idx="5">
                  <c:v>73.368067098917521</c:v>
                </c:pt>
                <c:pt idx="6">
                  <c:v>76</c:v>
                </c:pt>
                <c:pt idx="7">
                  <c:v>74.960828805287576</c:v>
                </c:pt>
                <c:pt idx="8">
                  <c:v>74.841864522184352</c:v>
                </c:pt>
                <c:pt idx="9">
                  <c:v>74.597208583595972</c:v>
                </c:pt>
              </c:numCache>
            </c:numRef>
          </c:val>
          <c:smooth val="0"/>
          <c:extLst>
            <c:ext xmlns:c16="http://schemas.microsoft.com/office/drawing/2014/chart" uri="{C3380CC4-5D6E-409C-BE32-E72D297353CC}">
              <c16:uniqueId val="{00000029-9A3F-47AB-8A63-1BB9CE789E6A}"/>
            </c:ext>
          </c:extLst>
        </c:ser>
        <c:ser>
          <c:idx val="1"/>
          <c:order val="1"/>
          <c:tx>
            <c:strRef>
              <c:f>分野経年!$C$5</c:f>
              <c:strCache>
                <c:ptCount val="1"/>
                <c:pt idx="0">
                  <c:v>ニューヨーク</c:v>
                </c:pt>
              </c:strCache>
            </c:strRef>
          </c:tx>
          <c:spPr>
            <a:ln w="28575" cap="rnd">
              <a:solidFill>
                <a:srgbClr val="FABF1C"/>
              </a:solidFill>
              <a:round/>
            </a:ln>
            <a:effectLst/>
          </c:spPr>
          <c:marker>
            <c:symbol val="none"/>
          </c:marker>
          <c:cat>
            <c:numRef>
              <c:f>分野経年!$AM$3:$AV$3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分野経年!$AM$5:$AV$5</c:f>
              <c:numCache>
                <c:formatCode>0.0</c:formatCode>
                <c:ptCount val="10"/>
                <c:pt idx="0">
                  <c:v>85.188389659300242</c:v>
                </c:pt>
                <c:pt idx="1">
                  <c:v>81.737565043139426</c:v>
                </c:pt>
                <c:pt idx="2">
                  <c:v>81.932678431913331</c:v>
                </c:pt>
                <c:pt idx="3">
                  <c:v>76.153563304662782</c:v>
                </c:pt>
                <c:pt idx="4">
                  <c:v>76.493418561853943</c:v>
                </c:pt>
                <c:pt idx="5">
                  <c:v>80.981596848987238</c:v>
                </c:pt>
                <c:pt idx="6">
                  <c:v>81.3</c:v>
                </c:pt>
                <c:pt idx="7">
                  <c:v>81.21803335232029</c:v>
                </c:pt>
                <c:pt idx="8">
                  <c:v>80.395542522389036</c:v>
                </c:pt>
                <c:pt idx="9">
                  <c:v>79.884047502502668</c:v>
                </c:pt>
              </c:numCache>
            </c:numRef>
          </c:val>
          <c:smooth val="0"/>
          <c:extLst>
            <c:ext xmlns:c16="http://schemas.microsoft.com/office/drawing/2014/chart" uri="{C3380CC4-5D6E-409C-BE32-E72D297353CC}">
              <c16:uniqueId val="{0000002B-9A3F-47AB-8A63-1BB9CE789E6A}"/>
            </c:ext>
          </c:extLst>
        </c:ser>
        <c:ser>
          <c:idx val="2"/>
          <c:order val="2"/>
          <c:tx>
            <c:strRef>
              <c:f>分野経年!$C$6</c:f>
              <c:strCache>
                <c:ptCount val="1"/>
                <c:pt idx="0">
                  <c:v>東京</c:v>
                </c:pt>
              </c:strCache>
            </c:strRef>
          </c:tx>
          <c:spPr>
            <a:ln w="28575" cap="rnd">
              <a:solidFill>
                <a:srgbClr val="237FC4"/>
              </a:solidFill>
              <a:round/>
            </a:ln>
            <a:effectLst/>
          </c:spPr>
          <c:marker>
            <c:symbol val="none"/>
          </c:marker>
          <c:cat>
            <c:numRef>
              <c:f>分野経年!$AM$3:$AV$3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分野経年!$AM$6:$AV$6</c:f>
              <c:numCache>
                <c:formatCode>0.0</c:formatCode>
                <c:ptCount val="10"/>
                <c:pt idx="0">
                  <c:v>70.298591382094415</c:v>
                </c:pt>
                <c:pt idx="1">
                  <c:v>70.675781745124468</c:v>
                </c:pt>
                <c:pt idx="2">
                  <c:v>70.7296071142963</c:v>
                </c:pt>
                <c:pt idx="3">
                  <c:v>71.509528899510315</c:v>
                </c:pt>
                <c:pt idx="4">
                  <c:v>69.405641001582978</c:v>
                </c:pt>
                <c:pt idx="5">
                  <c:v>68.886114206170987</c:v>
                </c:pt>
                <c:pt idx="6">
                  <c:v>69.2</c:v>
                </c:pt>
                <c:pt idx="7">
                  <c:v>68.710494464866173</c:v>
                </c:pt>
                <c:pt idx="8">
                  <c:v>67.220821644936876</c:v>
                </c:pt>
                <c:pt idx="9">
                  <c:v>66.568352075318003</c:v>
                </c:pt>
              </c:numCache>
            </c:numRef>
          </c:val>
          <c:smooth val="0"/>
          <c:extLst>
            <c:ext xmlns:c16="http://schemas.microsoft.com/office/drawing/2014/chart" uri="{C3380CC4-5D6E-409C-BE32-E72D297353CC}">
              <c16:uniqueId val="{0000002D-9A3F-47AB-8A63-1BB9CE789E6A}"/>
            </c:ext>
          </c:extLst>
        </c:ser>
        <c:ser>
          <c:idx val="3"/>
          <c:order val="3"/>
          <c:tx>
            <c:strRef>
              <c:f>分野経年!$C$7</c:f>
              <c:strCache>
                <c:ptCount val="1"/>
                <c:pt idx="0">
                  <c:v>パリ</c:v>
                </c:pt>
              </c:strCache>
            </c:strRef>
          </c:tx>
          <c:spPr>
            <a:ln w="28575" cap="rnd">
              <a:solidFill>
                <a:srgbClr val="90C31F"/>
              </a:solidFill>
              <a:round/>
            </a:ln>
            <a:effectLst/>
          </c:spPr>
          <c:marker>
            <c:symbol val="none"/>
          </c:marker>
          <c:cat>
            <c:numRef>
              <c:f>分野経年!$AM$3:$AV$3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分野経年!$AM$7:$AV$7</c:f>
              <c:numCache>
                <c:formatCode>0.0</c:formatCode>
                <c:ptCount val="10"/>
                <c:pt idx="0">
                  <c:v>60.524590460262395</c:v>
                </c:pt>
                <c:pt idx="1">
                  <c:v>61.615313926242507</c:v>
                </c:pt>
                <c:pt idx="2">
                  <c:v>59.917402117445121</c:v>
                </c:pt>
                <c:pt idx="3">
                  <c:v>58.475720843671709</c:v>
                </c:pt>
                <c:pt idx="4">
                  <c:v>59.302766422357195</c:v>
                </c:pt>
                <c:pt idx="5">
                  <c:v>58.162803103044801</c:v>
                </c:pt>
                <c:pt idx="6">
                  <c:v>57.3</c:v>
                </c:pt>
                <c:pt idx="7">
                  <c:v>57.538561870899855</c:v>
                </c:pt>
                <c:pt idx="8">
                  <c:v>58.248316925423296</c:v>
                </c:pt>
                <c:pt idx="9">
                  <c:v>59.136671559332513</c:v>
                </c:pt>
              </c:numCache>
            </c:numRef>
          </c:val>
          <c:smooth val="0"/>
          <c:extLst>
            <c:ext xmlns:c16="http://schemas.microsoft.com/office/drawing/2014/chart" uri="{C3380CC4-5D6E-409C-BE32-E72D297353CC}">
              <c16:uniqueId val="{0000002F-9A3F-47AB-8A63-1BB9CE789E6A}"/>
            </c:ext>
          </c:extLst>
        </c:ser>
        <c:ser>
          <c:idx val="4"/>
          <c:order val="4"/>
          <c:tx>
            <c:strRef>
              <c:f>分野経年!$C$8</c:f>
              <c:strCache>
                <c:ptCount val="1"/>
                <c:pt idx="0">
                  <c:v>シンガポール</c:v>
                </c:pt>
              </c:strCache>
            </c:strRef>
          </c:tx>
          <c:spPr>
            <a:ln w="28575" cap="rnd">
              <a:solidFill>
                <a:srgbClr val="9170AF"/>
              </a:solidFill>
              <a:round/>
            </a:ln>
            <a:effectLst/>
          </c:spPr>
          <c:marker>
            <c:symbol val="none"/>
          </c:marker>
          <c:cat>
            <c:numRef>
              <c:f>分野経年!$AM$3:$AV$3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分野経年!$AM$8:$AV$8</c:f>
              <c:numCache>
                <c:formatCode>0.0</c:formatCode>
                <c:ptCount val="10"/>
                <c:pt idx="0">
                  <c:v>59.554969574611789</c:v>
                </c:pt>
                <c:pt idx="1">
                  <c:v>59.95246452170975</c:v>
                </c:pt>
                <c:pt idx="2">
                  <c:v>60.100345259082488</c:v>
                </c:pt>
                <c:pt idx="3">
                  <c:v>63.147769613133342</c:v>
                </c:pt>
                <c:pt idx="4">
                  <c:v>59.810756299496404</c:v>
                </c:pt>
                <c:pt idx="5">
                  <c:v>57.632126627172092</c:v>
                </c:pt>
                <c:pt idx="6">
                  <c:v>57.5</c:v>
                </c:pt>
                <c:pt idx="7">
                  <c:v>56.893793944354819</c:v>
                </c:pt>
                <c:pt idx="8">
                  <c:v>56.913871838514844</c:v>
                </c:pt>
                <c:pt idx="9">
                  <c:v>56.893443037342941</c:v>
                </c:pt>
              </c:numCache>
            </c:numRef>
          </c:val>
          <c:smooth val="0"/>
          <c:extLst>
            <c:ext xmlns:c16="http://schemas.microsoft.com/office/drawing/2014/chart" uri="{C3380CC4-5D6E-409C-BE32-E72D297353CC}">
              <c16:uniqueId val="{00000031-9A3F-47AB-8A63-1BB9CE789E6A}"/>
            </c:ext>
          </c:extLst>
        </c:ser>
        <c:ser>
          <c:idx val="5"/>
          <c:order val="5"/>
          <c:tx>
            <c:strRef>
              <c:f>分野経年!$C$9</c:f>
              <c:strCache>
                <c:ptCount val="1"/>
                <c:pt idx="0">
                  <c:v>香港</c:v>
                </c:pt>
              </c:strCache>
            </c:strRef>
          </c:tx>
          <c:spPr>
            <a:ln w="28575" cap="rnd">
              <a:solidFill>
                <a:srgbClr val="F49D28"/>
              </a:solidFill>
              <a:round/>
            </a:ln>
            <a:effectLst/>
          </c:spPr>
          <c:marker>
            <c:symbol val="none"/>
          </c:marker>
          <c:cat>
            <c:numRef>
              <c:f>分野経年!$AM$3:$AV$3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分野経年!$AM$9:$AV$9</c:f>
              <c:numCache>
                <c:formatCode>0.0</c:formatCode>
                <c:ptCount val="10"/>
                <c:pt idx="0">
                  <c:v>53.154731196049447</c:v>
                </c:pt>
                <c:pt idx="1">
                  <c:v>54.763316570652542</c:v>
                </c:pt>
                <c:pt idx="2">
                  <c:v>54.767608835110941</c:v>
                </c:pt>
                <c:pt idx="3">
                  <c:v>56.674069968982636</c:v>
                </c:pt>
                <c:pt idx="4">
                  <c:v>56.183886941458802</c:v>
                </c:pt>
                <c:pt idx="5">
                  <c:v>57.920105663512189</c:v>
                </c:pt>
                <c:pt idx="6">
                  <c:v>57.6</c:v>
                </c:pt>
                <c:pt idx="7">
                  <c:v>57.284182539291919</c:v>
                </c:pt>
                <c:pt idx="8">
                  <c:v>57.683659735451201</c:v>
                </c:pt>
                <c:pt idx="9">
                  <c:v>58.952589552929695</c:v>
                </c:pt>
              </c:numCache>
            </c:numRef>
          </c:val>
          <c:smooth val="0"/>
          <c:extLst>
            <c:ext xmlns:c16="http://schemas.microsoft.com/office/drawing/2014/chart" uri="{C3380CC4-5D6E-409C-BE32-E72D297353CC}">
              <c16:uniqueId val="{00000033-9A3F-47AB-8A63-1BB9CE789E6A}"/>
            </c:ext>
          </c:extLst>
        </c:ser>
        <c:ser>
          <c:idx val="6"/>
          <c:order val="6"/>
          <c:tx>
            <c:strRef>
              <c:f>分野経年!$C$10</c:f>
              <c:strCache>
                <c:ptCount val="1"/>
                <c:pt idx="0">
                  <c:v>北京</c:v>
                </c:pt>
              </c:strCache>
            </c:strRef>
          </c:tx>
          <c:spPr>
            <a:ln w="28575" cap="rnd">
              <a:solidFill>
                <a:schemeClr val="bg1">
                  <a:lumMod val="75000"/>
                </a:schemeClr>
              </a:solidFill>
              <a:round/>
            </a:ln>
            <a:effectLst/>
          </c:spPr>
          <c:marker>
            <c:symbol val="none"/>
          </c:marker>
          <c:cat>
            <c:numRef>
              <c:f>分野経年!$AM$3:$AV$3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分野経年!$AM$10:$AV$10</c:f>
              <c:numCache>
                <c:formatCode>0.0</c:formatCode>
                <c:ptCount val="10"/>
                <c:pt idx="0">
                  <c:v>47.257150957095497</c:v>
                </c:pt>
                <c:pt idx="1">
                  <c:v>47.30194933162813</c:v>
                </c:pt>
                <c:pt idx="2">
                  <c:v>48.27694020843019</c:v>
                </c:pt>
                <c:pt idx="3">
                  <c:v>52.55286339631369</c:v>
                </c:pt>
                <c:pt idx="4">
                  <c:v>54.830452869632964</c:v>
                </c:pt>
                <c:pt idx="5">
                  <c:v>54.329355775253021</c:v>
                </c:pt>
                <c:pt idx="6">
                  <c:v>56.3</c:v>
                </c:pt>
                <c:pt idx="7">
                  <c:v>55.770459041008593</c:v>
                </c:pt>
                <c:pt idx="8">
                  <c:v>56.40123303204043</c:v>
                </c:pt>
                <c:pt idx="9">
                  <c:v>55.948620313883346</c:v>
                </c:pt>
              </c:numCache>
            </c:numRef>
          </c:val>
          <c:smooth val="0"/>
          <c:extLst>
            <c:ext xmlns:c16="http://schemas.microsoft.com/office/drawing/2014/chart" uri="{C3380CC4-5D6E-409C-BE32-E72D297353CC}">
              <c16:uniqueId val="{00000035-9A3F-47AB-8A63-1BB9CE789E6A}"/>
            </c:ext>
          </c:extLst>
        </c:ser>
        <c:ser>
          <c:idx val="7"/>
          <c:order val="7"/>
          <c:tx>
            <c:strRef>
              <c:f>分野経年!$C$11</c:f>
              <c:strCache>
                <c:ptCount val="1"/>
                <c:pt idx="0">
                  <c:v>上海</c:v>
                </c:pt>
              </c:strCache>
            </c:strRef>
          </c:tx>
          <c:spPr>
            <a:ln w="28575" cap="rnd">
              <a:solidFill>
                <a:schemeClr val="bg1">
                  <a:lumMod val="50000"/>
                </a:schemeClr>
              </a:solidFill>
              <a:round/>
            </a:ln>
            <a:effectLst/>
          </c:spPr>
          <c:marker>
            <c:symbol val="none"/>
          </c:marker>
          <c:cat>
            <c:numRef>
              <c:f>分野経年!$AM$3:$AV$3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分野経年!$AM$11:$AV$11</c:f>
              <c:numCache>
                <c:formatCode>0.0</c:formatCode>
                <c:ptCount val="10"/>
                <c:pt idx="0">
                  <c:v>49.853769376422875</c:v>
                </c:pt>
                <c:pt idx="1">
                  <c:v>48.898099807976877</c:v>
                </c:pt>
                <c:pt idx="2">
                  <c:v>49.830509597620541</c:v>
                </c:pt>
                <c:pt idx="3">
                  <c:v>48.943247516199023</c:v>
                </c:pt>
                <c:pt idx="4">
                  <c:v>51.983441348878053</c:v>
                </c:pt>
                <c:pt idx="5">
                  <c:v>51.0584948292626</c:v>
                </c:pt>
                <c:pt idx="6">
                  <c:v>52.9</c:v>
                </c:pt>
                <c:pt idx="7">
                  <c:v>53.670371139174641</c:v>
                </c:pt>
                <c:pt idx="8">
                  <c:v>54.934485998706961</c:v>
                </c:pt>
                <c:pt idx="9">
                  <c:v>55.271936907682658</c:v>
                </c:pt>
              </c:numCache>
            </c:numRef>
          </c:val>
          <c:smooth val="0"/>
          <c:extLst>
            <c:ext xmlns:c16="http://schemas.microsoft.com/office/drawing/2014/chart" uri="{C3380CC4-5D6E-409C-BE32-E72D297353CC}">
              <c16:uniqueId val="{00000037-9A3F-47AB-8A63-1BB9CE789E6A}"/>
            </c:ext>
          </c:extLst>
        </c:ser>
        <c:dLbls>
          <c:showLegendKey val="0"/>
          <c:showVal val="0"/>
          <c:showCatName val="0"/>
          <c:showSerName val="0"/>
          <c:showPercent val="0"/>
          <c:showBubbleSize val="0"/>
        </c:dLbls>
        <c:smooth val="0"/>
        <c:axId val="163735976"/>
        <c:axId val="163733232"/>
      </c:lineChart>
      <c:catAx>
        <c:axId val="163735976"/>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3232"/>
        <c:crosses val="autoZero"/>
        <c:auto val="1"/>
        <c:lblAlgn val="ctr"/>
        <c:lblOffset val="100"/>
        <c:noMultiLvlLbl val="0"/>
      </c:catAx>
      <c:valAx>
        <c:axId val="163733232"/>
        <c:scaling>
          <c:orientation val="minMax"/>
          <c:max val="90"/>
          <c:min val="45"/>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5976"/>
        <c:crosses val="autoZero"/>
        <c:crossBetween val="between"/>
        <c:majorUnit val="5"/>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分野経年!$AW$2</c:f>
          <c:strCache>
            <c:ptCount val="1"/>
            <c:pt idx="0">
              <c:v>文化・交流</c:v>
            </c:pt>
          </c:strCache>
        </c:strRef>
      </c:tx>
      <c:layout>
        <c:manualLayout>
          <c:xMode val="edge"/>
          <c:yMode val="edge"/>
          <c:x val="8.1236914239913721E-2"/>
          <c:y val="2.0100502512562814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分野経年!$C$4</c:f>
              <c:strCache>
                <c:ptCount val="1"/>
                <c:pt idx="0">
                  <c:v>ロンドン</c:v>
                </c:pt>
              </c:strCache>
            </c:strRef>
          </c:tx>
          <c:spPr>
            <a:ln w="28575" cap="rnd">
              <a:solidFill>
                <a:srgbClr val="DB5334"/>
              </a:solidFill>
              <a:round/>
            </a:ln>
            <a:effectLst/>
          </c:spPr>
          <c:marker>
            <c:symbol val="none"/>
          </c:marker>
          <c:cat>
            <c:numRef>
              <c:f>分野経年!$BB$3:$BK$3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分野経年!$BB$4:$BK$4</c:f>
              <c:numCache>
                <c:formatCode>0.0</c:formatCode>
                <c:ptCount val="10"/>
                <c:pt idx="0">
                  <c:v>86.592011909197865</c:v>
                </c:pt>
                <c:pt idx="1">
                  <c:v>85.780476898961808</c:v>
                </c:pt>
                <c:pt idx="2">
                  <c:v>85.637546315576984</c:v>
                </c:pt>
                <c:pt idx="3">
                  <c:v>88.936114740123486</c:v>
                </c:pt>
                <c:pt idx="4">
                  <c:v>88.055459294322503</c:v>
                </c:pt>
                <c:pt idx="5">
                  <c:v>89.358818301938072</c:v>
                </c:pt>
                <c:pt idx="6">
                  <c:v>89.3</c:v>
                </c:pt>
                <c:pt idx="7">
                  <c:v>88.797124295119829</c:v>
                </c:pt>
                <c:pt idx="8">
                  <c:v>85.587940713252877</c:v>
                </c:pt>
                <c:pt idx="9">
                  <c:v>86.772741769308922</c:v>
                </c:pt>
              </c:numCache>
            </c:numRef>
          </c:val>
          <c:smooth val="0"/>
          <c:extLst>
            <c:ext xmlns:c16="http://schemas.microsoft.com/office/drawing/2014/chart" uri="{C3380CC4-5D6E-409C-BE32-E72D297353CC}">
              <c16:uniqueId val="{00000029-D31E-4F1B-96FB-A1D1C85A24D3}"/>
            </c:ext>
          </c:extLst>
        </c:ser>
        <c:ser>
          <c:idx val="1"/>
          <c:order val="1"/>
          <c:tx>
            <c:strRef>
              <c:f>分野経年!$C$5</c:f>
              <c:strCache>
                <c:ptCount val="1"/>
                <c:pt idx="0">
                  <c:v>ニューヨーク</c:v>
                </c:pt>
              </c:strCache>
            </c:strRef>
          </c:tx>
          <c:spPr>
            <a:ln w="28575" cap="rnd">
              <a:solidFill>
                <a:srgbClr val="FABF1C"/>
              </a:solidFill>
              <a:round/>
            </a:ln>
            <a:effectLst/>
          </c:spPr>
          <c:marker>
            <c:symbol val="none"/>
          </c:marker>
          <c:cat>
            <c:numRef>
              <c:f>分野経年!$BB$3:$BK$3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分野経年!$BB$5:$BK$5</c:f>
              <c:numCache>
                <c:formatCode>0.0</c:formatCode>
                <c:ptCount val="10"/>
                <c:pt idx="0">
                  <c:v>72.813173994123915</c:v>
                </c:pt>
                <c:pt idx="1">
                  <c:v>74.495277717105964</c:v>
                </c:pt>
                <c:pt idx="2">
                  <c:v>72.734611505974172</c:v>
                </c:pt>
                <c:pt idx="3">
                  <c:v>71.280605250125916</c:v>
                </c:pt>
                <c:pt idx="4">
                  <c:v>72.993147668451954</c:v>
                </c:pt>
                <c:pt idx="5">
                  <c:v>69.76438016025088</c:v>
                </c:pt>
                <c:pt idx="6">
                  <c:v>70</c:v>
                </c:pt>
                <c:pt idx="7">
                  <c:v>69.008319440566808</c:v>
                </c:pt>
                <c:pt idx="8">
                  <c:v>71.75400579848241</c:v>
                </c:pt>
                <c:pt idx="9">
                  <c:v>69.930598531255939</c:v>
                </c:pt>
              </c:numCache>
            </c:numRef>
          </c:val>
          <c:smooth val="0"/>
          <c:extLst>
            <c:ext xmlns:c16="http://schemas.microsoft.com/office/drawing/2014/chart" uri="{C3380CC4-5D6E-409C-BE32-E72D297353CC}">
              <c16:uniqueId val="{0000002B-D31E-4F1B-96FB-A1D1C85A24D3}"/>
            </c:ext>
          </c:extLst>
        </c:ser>
        <c:ser>
          <c:idx val="2"/>
          <c:order val="2"/>
          <c:tx>
            <c:strRef>
              <c:f>分野経年!$C$6</c:f>
              <c:strCache>
                <c:ptCount val="1"/>
                <c:pt idx="0">
                  <c:v>東京</c:v>
                </c:pt>
              </c:strCache>
            </c:strRef>
          </c:tx>
          <c:spPr>
            <a:ln w="28575" cap="rnd">
              <a:solidFill>
                <a:srgbClr val="237FC4"/>
              </a:solidFill>
              <a:round/>
            </a:ln>
            <a:effectLst/>
          </c:spPr>
          <c:marker>
            <c:symbol val="none"/>
          </c:marker>
          <c:cat>
            <c:numRef>
              <c:f>分野経年!$BB$3:$BK$3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分野経年!$BB$6:$BK$6</c:f>
              <c:numCache>
                <c:formatCode>0.0</c:formatCode>
                <c:ptCount val="10"/>
                <c:pt idx="0">
                  <c:v>56.662784547143204</c:v>
                </c:pt>
                <c:pt idx="1">
                  <c:v>58.518982098540135</c:v>
                </c:pt>
                <c:pt idx="2">
                  <c:v>60.626056478143909</c:v>
                </c:pt>
                <c:pt idx="3">
                  <c:v>63.006772387036108</c:v>
                </c:pt>
                <c:pt idx="4">
                  <c:v>64.970408443967713</c:v>
                </c:pt>
                <c:pt idx="5">
                  <c:v>67.89783404535126</c:v>
                </c:pt>
                <c:pt idx="6">
                  <c:v>67.400000000000006</c:v>
                </c:pt>
                <c:pt idx="7">
                  <c:v>67.986658874512202</c:v>
                </c:pt>
                <c:pt idx="8">
                  <c:v>64.610575785718268</c:v>
                </c:pt>
                <c:pt idx="9">
                  <c:v>66.521135561544682</c:v>
                </c:pt>
              </c:numCache>
            </c:numRef>
          </c:val>
          <c:smooth val="0"/>
          <c:extLst>
            <c:ext xmlns:c16="http://schemas.microsoft.com/office/drawing/2014/chart" uri="{C3380CC4-5D6E-409C-BE32-E72D297353CC}">
              <c16:uniqueId val="{0000002D-D31E-4F1B-96FB-A1D1C85A24D3}"/>
            </c:ext>
          </c:extLst>
        </c:ser>
        <c:ser>
          <c:idx val="3"/>
          <c:order val="3"/>
          <c:tx>
            <c:strRef>
              <c:f>分野経年!$C$7</c:f>
              <c:strCache>
                <c:ptCount val="1"/>
                <c:pt idx="0">
                  <c:v>パリ</c:v>
                </c:pt>
              </c:strCache>
            </c:strRef>
          </c:tx>
          <c:spPr>
            <a:ln w="28575" cap="rnd">
              <a:solidFill>
                <a:srgbClr val="90C31F"/>
              </a:solidFill>
              <a:round/>
            </a:ln>
            <a:effectLst/>
          </c:spPr>
          <c:marker>
            <c:symbol val="none"/>
          </c:marker>
          <c:cat>
            <c:numRef>
              <c:f>分野経年!$BB$3:$BK$3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分野経年!$BB$7:$BK$7</c:f>
              <c:numCache>
                <c:formatCode>0.0</c:formatCode>
                <c:ptCount val="10"/>
                <c:pt idx="0">
                  <c:v>69.999040978267246</c:v>
                </c:pt>
                <c:pt idx="1">
                  <c:v>70.059292132766899</c:v>
                </c:pt>
                <c:pt idx="2">
                  <c:v>68.520572950349674</c:v>
                </c:pt>
                <c:pt idx="3">
                  <c:v>68.486009118367988</c:v>
                </c:pt>
                <c:pt idx="4">
                  <c:v>69.564032651865347</c:v>
                </c:pt>
                <c:pt idx="5">
                  <c:v>69.463221910313521</c:v>
                </c:pt>
                <c:pt idx="6">
                  <c:v>69.5</c:v>
                </c:pt>
                <c:pt idx="7">
                  <c:v>69.740354251558699</c:v>
                </c:pt>
                <c:pt idx="8">
                  <c:v>68.676854739272585</c:v>
                </c:pt>
                <c:pt idx="9">
                  <c:v>68.580133781243646</c:v>
                </c:pt>
              </c:numCache>
            </c:numRef>
          </c:val>
          <c:smooth val="0"/>
          <c:extLst>
            <c:ext xmlns:c16="http://schemas.microsoft.com/office/drawing/2014/chart" uri="{C3380CC4-5D6E-409C-BE32-E72D297353CC}">
              <c16:uniqueId val="{0000002F-D31E-4F1B-96FB-A1D1C85A24D3}"/>
            </c:ext>
          </c:extLst>
        </c:ser>
        <c:ser>
          <c:idx val="4"/>
          <c:order val="4"/>
          <c:tx>
            <c:strRef>
              <c:f>分野経年!$C$8</c:f>
              <c:strCache>
                <c:ptCount val="1"/>
                <c:pt idx="0">
                  <c:v>シンガポール</c:v>
                </c:pt>
              </c:strCache>
            </c:strRef>
          </c:tx>
          <c:spPr>
            <a:ln w="28575" cap="rnd">
              <a:solidFill>
                <a:srgbClr val="9170AF"/>
              </a:solidFill>
              <a:round/>
            </a:ln>
            <a:effectLst/>
          </c:spPr>
          <c:marker>
            <c:symbol val="none"/>
          </c:marker>
          <c:cat>
            <c:numRef>
              <c:f>分野経年!$BB$3:$BK$3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分野経年!$BB$8:$BK$8</c:f>
              <c:numCache>
                <c:formatCode>0.0</c:formatCode>
                <c:ptCount val="10"/>
                <c:pt idx="0">
                  <c:v>61.173080736095621</c:v>
                </c:pt>
                <c:pt idx="1">
                  <c:v>61.073407093063253</c:v>
                </c:pt>
                <c:pt idx="2">
                  <c:v>63.428562229634572</c:v>
                </c:pt>
                <c:pt idx="3">
                  <c:v>62.059361279600935</c:v>
                </c:pt>
                <c:pt idx="4">
                  <c:v>61.390648999765773</c:v>
                </c:pt>
                <c:pt idx="5">
                  <c:v>62.170830358296698</c:v>
                </c:pt>
                <c:pt idx="6">
                  <c:v>62.2</c:v>
                </c:pt>
                <c:pt idx="7">
                  <c:v>59.226907468968065</c:v>
                </c:pt>
                <c:pt idx="8">
                  <c:v>56.65226372960737</c:v>
                </c:pt>
                <c:pt idx="9">
                  <c:v>56.773129839224232</c:v>
                </c:pt>
              </c:numCache>
            </c:numRef>
          </c:val>
          <c:smooth val="0"/>
          <c:extLst>
            <c:ext xmlns:c16="http://schemas.microsoft.com/office/drawing/2014/chart" uri="{C3380CC4-5D6E-409C-BE32-E72D297353CC}">
              <c16:uniqueId val="{00000031-D31E-4F1B-96FB-A1D1C85A24D3}"/>
            </c:ext>
          </c:extLst>
        </c:ser>
        <c:ser>
          <c:idx val="5"/>
          <c:order val="5"/>
          <c:tx>
            <c:strRef>
              <c:f>分野経年!$C$9</c:f>
              <c:strCache>
                <c:ptCount val="1"/>
                <c:pt idx="0">
                  <c:v>香港</c:v>
                </c:pt>
              </c:strCache>
            </c:strRef>
          </c:tx>
          <c:spPr>
            <a:ln w="28575" cap="rnd">
              <a:solidFill>
                <a:srgbClr val="F49D28"/>
              </a:solidFill>
              <a:round/>
            </a:ln>
            <a:effectLst/>
          </c:spPr>
          <c:marker>
            <c:symbol val="none"/>
          </c:marker>
          <c:cat>
            <c:numRef>
              <c:f>分野経年!$BB$3:$BK$3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分野経年!$BB$9:$BK$9</c:f>
              <c:numCache>
                <c:formatCode>0.0</c:formatCode>
                <c:ptCount val="10"/>
                <c:pt idx="0">
                  <c:v>46.555785873747254</c:v>
                </c:pt>
                <c:pt idx="1">
                  <c:v>47.069225514395931</c:v>
                </c:pt>
                <c:pt idx="2">
                  <c:v>50.400159393224456</c:v>
                </c:pt>
                <c:pt idx="3">
                  <c:v>48.806595126340071</c:v>
                </c:pt>
                <c:pt idx="4">
                  <c:v>52.319538616399363</c:v>
                </c:pt>
                <c:pt idx="5">
                  <c:v>54.417239966943413</c:v>
                </c:pt>
                <c:pt idx="6">
                  <c:v>51.3</c:v>
                </c:pt>
                <c:pt idx="7">
                  <c:v>48.006797554769967</c:v>
                </c:pt>
                <c:pt idx="8">
                  <c:v>48.392151685084556</c:v>
                </c:pt>
                <c:pt idx="9">
                  <c:v>46.527731016854169</c:v>
                </c:pt>
              </c:numCache>
            </c:numRef>
          </c:val>
          <c:smooth val="0"/>
          <c:extLst>
            <c:ext xmlns:c16="http://schemas.microsoft.com/office/drawing/2014/chart" uri="{C3380CC4-5D6E-409C-BE32-E72D297353CC}">
              <c16:uniqueId val="{00000033-D31E-4F1B-96FB-A1D1C85A24D3}"/>
            </c:ext>
          </c:extLst>
        </c:ser>
        <c:ser>
          <c:idx val="6"/>
          <c:order val="6"/>
          <c:tx>
            <c:strRef>
              <c:f>分野経年!$C$10</c:f>
              <c:strCache>
                <c:ptCount val="1"/>
                <c:pt idx="0">
                  <c:v>北京</c:v>
                </c:pt>
              </c:strCache>
            </c:strRef>
          </c:tx>
          <c:spPr>
            <a:ln w="28575" cap="rnd">
              <a:solidFill>
                <a:schemeClr val="bg1">
                  <a:lumMod val="75000"/>
                </a:schemeClr>
              </a:solidFill>
              <a:round/>
            </a:ln>
            <a:effectLst/>
          </c:spPr>
          <c:marker>
            <c:symbol val="none"/>
          </c:marker>
          <c:cat>
            <c:numRef>
              <c:f>分野経年!$BB$3:$BK$3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分野経年!$BB$10:$BK$10</c:f>
              <c:numCache>
                <c:formatCode>0.0</c:formatCode>
                <c:ptCount val="10"/>
                <c:pt idx="0">
                  <c:v>56.479001509009152</c:v>
                </c:pt>
                <c:pt idx="1">
                  <c:v>56.80774734264768</c:v>
                </c:pt>
                <c:pt idx="2">
                  <c:v>55.786773559917542</c:v>
                </c:pt>
                <c:pt idx="3">
                  <c:v>57.481134089451608</c:v>
                </c:pt>
                <c:pt idx="4">
                  <c:v>56.276559449339061</c:v>
                </c:pt>
                <c:pt idx="5">
                  <c:v>52.835198966578183</c:v>
                </c:pt>
                <c:pt idx="6">
                  <c:v>53.5</c:v>
                </c:pt>
                <c:pt idx="7">
                  <c:v>49.816841622446859</c:v>
                </c:pt>
                <c:pt idx="8">
                  <c:v>49.689156272963388</c:v>
                </c:pt>
                <c:pt idx="9">
                  <c:v>51.854873605611147</c:v>
                </c:pt>
              </c:numCache>
            </c:numRef>
          </c:val>
          <c:smooth val="0"/>
          <c:extLst>
            <c:ext xmlns:c16="http://schemas.microsoft.com/office/drawing/2014/chart" uri="{C3380CC4-5D6E-409C-BE32-E72D297353CC}">
              <c16:uniqueId val="{00000035-D31E-4F1B-96FB-A1D1C85A24D3}"/>
            </c:ext>
          </c:extLst>
        </c:ser>
        <c:ser>
          <c:idx val="7"/>
          <c:order val="7"/>
          <c:tx>
            <c:strRef>
              <c:f>分野経年!$C$11</c:f>
              <c:strCache>
                <c:ptCount val="1"/>
                <c:pt idx="0">
                  <c:v>上海</c:v>
                </c:pt>
              </c:strCache>
            </c:strRef>
          </c:tx>
          <c:spPr>
            <a:ln w="28575" cap="rnd">
              <a:solidFill>
                <a:schemeClr val="bg1">
                  <a:lumMod val="50000"/>
                </a:schemeClr>
              </a:solidFill>
              <a:round/>
            </a:ln>
            <a:effectLst/>
          </c:spPr>
          <c:marker>
            <c:symbol val="none"/>
          </c:marker>
          <c:cat>
            <c:numRef>
              <c:f>分野経年!$BB$3:$BK$3</c:f>
              <c:numCache>
                <c:formatCode>General</c:formatCode>
                <c:ptCount val="10"/>
                <c:pt idx="0">
                  <c:v>2014</c:v>
                </c:pt>
                <c:pt idx="1">
                  <c:v>2015</c:v>
                </c:pt>
                <c:pt idx="2">
                  <c:v>2016</c:v>
                </c:pt>
                <c:pt idx="3">
                  <c:v>2017</c:v>
                </c:pt>
                <c:pt idx="4">
                  <c:v>2018</c:v>
                </c:pt>
                <c:pt idx="5">
                  <c:v>2019</c:v>
                </c:pt>
                <c:pt idx="6">
                  <c:v>2020</c:v>
                </c:pt>
                <c:pt idx="7">
                  <c:v>2021</c:v>
                </c:pt>
                <c:pt idx="8">
                  <c:v>2022</c:v>
                </c:pt>
                <c:pt idx="9">
                  <c:v>2023</c:v>
                </c:pt>
              </c:numCache>
            </c:numRef>
          </c:cat>
          <c:val>
            <c:numRef>
              <c:f>分野経年!$BB$11:$BK$11</c:f>
              <c:numCache>
                <c:formatCode>0.0</c:formatCode>
                <c:ptCount val="10"/>
                <c:pt idx="0">
                  <c:v>49.872652337040641</c:v>
                </c:pt>
                <c:pt idx="1">
                  <c:v>50.24590588993734</c:v>
                </c:pt>
                <c:pt idx="2">
                  <c:v>50.882655442380582</c:v>
                </c:pt>
                <c:pt idx="3">
                  <c:v>52.012225589390198</c:v>
                </c:pt>
                <c:pt idx="4">
                  <c:v>51.577601353776551</c:v>
                </c:pt>
                <c:pt idx="5">
                  <c:v>49.657134456714452</c:v>
                </c:pt>
                <c:pt idx="6">
                  <c:v>51.4</c:v>
                </c:pt>
                <c:pt idx="7">
                  <c:v>47.359279060385091</c:v>
                </c:pt>
                <c:pt idx="8">
                  <c:v>48.465374846709047</c:v>
                </c:pt>
                <c:pt idx="9">
                  <c:v>49.125257685917532</c:v>
                </c:pt>
              </c:numCache>
            </c:numRef>
          </c:val>
          <c:smooth val="0"/>
          <c:extLst>
            <c:ext xmlns:c16="http://schemas.microsoft.com/office/drawing/2014/chart" uri="{C3380CC4-5D6E-409C-BE32-E72D297353CC}">
              <c16:uniqueId val="{00000037-D31E-4F1B-96FB-A1D1C85A24D3}"/>
            </c:ext>
          </c:extLst>
        </c:ser>
        <c:dLbls>
          <c:showLegendKey val="0"/>
          <c:showVal val="0"/>
          <c:showCatName val="0"/>
          <c:showSerName val="0"/>
          <c:showPercent val="0"/>
          <c:showBubbleSize val="0"/>
        </c:dLbls>
        <c:smooth val="0"/>
        <c:axId val="163738328"/>
        <c:axId val="760089328"/>
      </c:lineChart>
      <c:catAx>
        <c:axId val="163738328"/>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60089328"/>
        <c:crosses val="autoZero"/>
        <c:auto val="1"/>
        <c:lblAlgn val="ctr"/>
        <c:lblOffset val="100"/>
        <c:noMultiLvlLbl val="0"/>
      </c:catAx>
      <c:valAx>
        <c:axId val="760089328"/>
        <c:scaling>
          <c:orientation val="minMax"/>
          <c:max val="90"/>
          <c:min val="45"/>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163738328"/>
        <c:crosses val="autoZero"/>
        <c:crossBetween val="between"/>
        <c:majorUnit val="5"/>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分野経年!$BL$2</c:f>
          <c:strCache>
            <c:ptCount val="1"/>
            <c:pt idx="0">
              <c:v>居住</c:v>
            </c:pt>
          </c:strCache>
        </c:strRef>
      </c:tx>
      <c:layout>
        <c:manualLayout>
          <c:xMode val="edge"/>
          <c:yMode val="edge"/>
          <c:x val="8.1236914239913721E-2"/>
          <c:y val="2.0100502512562814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分野経年!$C$4</c:f>
              <c:strCache>
                <c:ptCount val="1"/>
                <c:pt idx="0">
                  <c:v>ロンドン</c:v>
                </c:pt>
              </c:strCache>
            </c:strRef>
          </c:tx>
          <c:spPr>
            <a:ln w="28575" cap="rnd">
              <a:solidFill>
                <a:srgbClr val="DB5334"/>
              </a:solidFill>
              <a:round/>
            </a:ln>
            <a:effectLst/>
          </c:spPr>
          <c:marker>
            <c:symbol val="none"/>
          </c:marker>
          <c:cat>
            <c:numRef>
              <c:f>分野経年!$BP$3:$BZ$3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分野経年!$BP$4:$BZ$4</c:f>
              <c:numCache>
                <c:formatCode>0.0</c:formatCode>
                <c:ptCount val="11"/>
                <c:pt idx="0">
                  <c:v>49.571995733193503</c:v>
                </c:pt>
                <c:pt idx="1">
                  <c:v>50.644294338806382</c:v>
                </c:pt>
                <c:pt idx="2">
                  <c:v>53.833377727067422</c:v>
                </c:pt>
                <c:pt idx="3">
                  <c:v>49.029033388788903</c:v>
                </c:pt>
                <c:pt idx="4">
                  <c:v>55.409859586602487</c:v>
                </c:pt>
                <c:pt idx="5">
                  <c:v>58.460382182166356</c:v>
                </c:pt>
                <c:pt idx="6">
                  <c:v>59.904022080734158</c:v>
                </c:pt>
                <c:pt idx="7">
                  <c:v>58.2</c:v>
                </c:pt>
                <c:pt idx="8">
                  <c:v>61.200049894135503</c:v>
                </c:pt>
                <c:pt idx="9">
                  <c:v>59.602372075077625</c:v>
                </c:pt>
                <c:pt idx="10">
                  <c:v>58.944552322499028</c:v>
                </c:pt>
              </c:numCache>
            </c:numRef>
          </c:val>
          <c:smooth val="0"/>
          <c:extLst>
            <c:ext xmlns:c16="http://schemas.microsoft.com/office/drawing/2014/chart" uri="{C3380CC4-5D6E-409C-BE32-E72D297353CC}">
              <c16:uniqueId val="{00000029-161B-4F81-BC01-CDB5F0036961}"/>
            </c:ext>
          </c:extLst>
        </c:ser>
        <c:ser>
          <c:idx val="1"/>
          <c:order val="1"/>
          <c:tx>
            <c:strRef>
              <c:f>分野経年!$C$5</c:f>
              <c:strCache>
                <c:ptCount val="1"/>
                <c:pt idx="0">
                  <c:v>ニューヨーク</c:v>
                </c:pt>
              </c:strCache>
            </c:strRef>
          </c:tx>
          <c:spPr>
            <a:ln w="28575" cap="rnd">
              <a:solidFill>
                <a:srgbClr val="FABF1C"/>
              </a:solidFill>
              <a:round/>
            </a:ln>
            <a:effectLst/>
          </c:spPr>
          <c:marker>
            <c:symbol val="none"/>
          </c:marker>
          <c:cat>
            <c:numRef>
              <c:f>分野経年!$BP$3:$BZ$3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分野経年!$BP$5:$BZ$5</c:f>
              <c:numCache>
                <c:formatCode>0.0</c:formatCode>
                <c:ptCount val="11"/>
                <c:pt idx="0">
                  <c:v>39.452559045806851</c:v>
                </c:pt>
                <c:pt idx="1">
                  <c:v>42.497117976969633</c:v>
                </c:pt>
                <c:pt idx="2">
                  <c:v>47.221507714641454</c:v>
                </c:pt>
                <c:pt idx="3">
                  <c:v>48.308666685398649</c:v>
                </c:pt>
                <c:pt idx="4">
                  <c:v>41.897798323661007</c:v>
                </c:pt>
                <c:pt idx="5">
                  <c:v>46.03506930194682</c:v>
                </c:pt>
                <c:pt idx="6">
                  <c:v>46.988902123276887</c:v>
                </c:pt>
                <c:pt idx="7">
                  <c:v>46</c:v>
                </c:pt>
                <c:pt idx="8">
                  <c:v>40.808599138168681</c:v>
                </c:pt>
                <c:pt idx="9">
                  <c:v>42.03459256468873</c:v>
                </c:pt>
                <c:pt idx="10">
                  <c:v>40.15755177617558</c:v>
                </c:pt>
              </c:numCache>
            </c:numRef>
          </c:val>
          <c:smooth val="0"/>
          <c:extLst>
            <c:ext xmlns:c16="http://schemas.microsoft.com/office/drawing/2014/chart" uri="{C3380CC4-5D6E-409C-BE32-E72D297353CC}">
              <c16:uniqueId val="{0000002B-161B-4F81-BC01-CDB5F0036961}"/>
            </c:ext>
          </c:extLst>
        </c:ser>
        <c:ser>
          <c:idx val="2"/>
          <c:order val="2"/>
          <c:tx>
            <c:strRef>
              <c:f>分野経年!$C$6</c:f>
              <c:strCache>
                <c:ptCount val="1"/>
                <c:pt idx="0">
                  <c:v>東京</c:v>
                </c:pt>
              </c:strCache>
            </c:strRef>
          </c:tx>
          <c:spPr>
            <a:ln w="28575" cap="rnd">
              <a:solidFill>
                <a:srgbClr val="237FC4"/>
              </a:solidFill>
              <a:round/>
            </a:ln>
            <a:effectLst/>
          </c:spPr>
          <c:marker>
            <c:symbol val="none"/>
          </c:marker>
          <c:cat>
            <c:numRef>
              <c:f>分野経年!$BP$3:$BZ$3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分野経年!$BP$6:$BZ$6</c:f>
              <c:numCache>
                <c:formatCode>0.0</c:formatCode>
                <c:ptCount val="11"/>
                <c:pt idx="0">
                  <c:v>52.184492747752273</c:v>
                </c:pt>
                <c:pt idx="1">
                  <c:v>54.693559133357098</c:v>
                </c:pt>
                <c:pt idx="2">
                  <c:v>56.86471102733833</c:v>
                </c:pt>
                <c:pt idx="3">
                  <c:v>61.416767577109084</c:v>
                </c:pt>
                <c:pt idx="4">
                  <c:v>56.673250801318545</c:v>
                </c:pt>
                <c:pt idx="5">
                  <c:v>59.977650022994943</c:v>
                </c:pt>
                <c:pt idx="6">
                  <c:v>57.343400705220951</c:v>
                </c:pt>
                <c:pt idx="7">
                  <c:v>57</c:v>
                </c:pt>
                <c:pt idx="8">
                  <c:v>59.66234324433762</c:v>
                </c:pt>
                <c:pt idx="9">
                  <c:v>57.934638686057255</c:v>
                </c:pt>
                <c:pt idx="10">
                  <c:v>62.277623623236067</c:v>
                </c:pt>
              </c:numCache>
            </c:numRef>
          </c:val>
          <c:smooth val="0"/>
          <c:extLst>
            <c:ext xmlns:c16="http://schemas.microsoft.com/office/drawing/2014/chart" uri="{C3380CC4-5D6E-409C-BE32-E72D297353CC}">
              <c16:uniqueId val="{0000002D-161B-4F81-BC01-CDB5F0036961}"/>
            </c:ext>
          </c:extLst>
        </c:ser>
        <c:ser>
          <c:idx val="3"/>
          <c:order val="3"/>
          <c:tx>
            <c:strRef>
              <c:f>分野経年!$C$7</c:f>
              <c:strCache>
                <c:ptCount val="1"/>
                <c:pt idx="0">
                  <c:v>パリ</c:v>
                </c:pt>
              </c:strCache>
            </c:strRef>
          </c:tx>
          <c:spPr>
            <a:ln w="28575" cap="rnd">
              <a:solidFill>
                <a:srgbClr val="90C31F"/>
              </a:solidFill>
              <a:round/>
            </a:ln>
            <a:effectLst/>
          </c:spPr>
          <c:marker>
            <c:symbol val="none"/>
          </c:marker>
          <c:cat>
            <c:numRef>
              <c:f>分野経年!$BP$3:$BZ$3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分野経年!$BP$7:$BZ$7</c:f>
              <c:numCache>
                <c:formatCode>0.0</c:formatCode>
                <c:ptCount val="11"/>
                <c:pt idx="0">
                  <c:v>66.47978398491108</c:v>
                </c:pt>
                <c:pt idx="1">
                  <c:v>68.986566291521754</c:v>
                </c:pt>
                <c:pt idx="2">
                  <c:v>69.208866148514232</c:v>
                </c:pt>
                <c:pt idx="3">
                  <c:v>65.697063529786149</c:v>
                </c:pt>
                <c:pt idx="4">
                  <c:v>61.633455024203116</c:v>
                </c:pt>
                <c:pt idx="5">
                  <c:v>58.047277774917589</c:v>
                </c:pt>
                <c:pt idx="6">
                  <c:v>65.963456274628456</c:v>
                </c:pt>
                <c:pt idx="7">
                  <c:v>63.1</c:v>
                </c:pt>
                <c:pt idx="8">
                  <c:v>64.879751543777076</c:v>
                </c:pt>
                <c:pt idx="9">
                  <c:v>67.749819225881993</c:v>
                </c:pt>
                <c:pt idx="10">
                  <c:v>69.847064135478533</c:v>
                </c:pt>
              </c:numCache>
            </c:numRef>
          </c:val>
          <c:smooth val="0"/>
          <c:extLst>
            <c:ext xmlns:c16="http://schemas.microsoft.com/office/drawing/2014/chart" uri="{C3380CC4-5D6E-409C-BE32-E72D297353CC}">
              <c16:uniqueId val="{0000002F-161B-4F81-BC01-CDB5F0036961}"/>
            </c:ext>
          </c:extLst>
        </c:ser>
        <c:ser>
          <c:idx val="4"/>
          <c:order val="4"/>
          <c:tx>
            <c:strRef>
              <c:f>分野経年!$C$8</c:f>
              <c:strCache>
                <c:ptCount val="1"/>
                <c:pt idx="0">
                  <c:v>シンガポール</c:v>
                </c:pt>
              </c:strCache>
            </c:strRef>
          </c:tx>
          <c:spPr>
            <a:ln w="28575" cap="rnd">
              <a:solidFill>
                <a:srgbClr val="9170AF"/>
              </a:solidFill>
              <a:round/>
            </a:ln>
            <a:effectLst/>
          </c:spPr>
          <c:marker>
            <c:symbol val="none"/>
          </c:marker>
          <c:cat>
            <c:numRef>
              <c:f>分野経年!$BP$3:$BZ$3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分野経年!$BP$8:$BZ$8</c:f>
              <c:numCache>
                <c:formatCode>0.0</c:formatCode>
                <c:ptCount val="11"/>
                <c:pt idx="0">
                  <c:v>39.384734168667663</c:v>
                </c:pt>
                <c:pt idx="1">
                  <c:v>36.588518538371041</c:v>
                </c:pt>
                <c:pt idx="2">
                  <c:v>41.65793889758254</c:v>
                </c:pt>
                <c:pt idx="3">
                  <c:v>35.680261479482624</c:v>
                </c:pt>
                <c:pt idx="4">
                  <c:v>44.72792481160409</c:v>
                </c:pt>
                <c:pt idx="5">
                  <c:v>49.735112169799187</c:v>
                </c:pt>
                <c:pt idx="6">
                  <c:v>42.93593536982273</c:v>
                </c:pt>
                <c:pt idx="7">
                  <c:v>46</c:v>
                </c:pt>
                <c:pt idx="8">
                  <c:v>47.537039762046724</c:v>
                </c:pt>
                <c:pt idx="9">
                  <c:v>50.66873031747734</c:v>
                </c:pt>
                <c:pt idx="10">
                  <c:v>45.77454569360718</c:v>
                </c:pt>
              </c:numCache>
            </c:numRef>
          </c:val>
          <c:smooth val="0"/>
          <c:extLst>
            <c:ext xmlns:c16="http://schemas.microsoft.com/office/drawing/2014/chart" uri="{C3380CC4-5D6E-409C-BE32-E72D297353CC}">
              <c16:uniqueId val="{00000031-161B-4F81-BC01-CDB5F0036961}"/>
            </c:ext>
          </c:extLst>
        </c:ser>
        <c:ser>
          <c:idx val="5"/>
          <c:order val="5"/>
          <c:tx>
            <c:strRef>
              <c:f>分野経年!$C$9</c:f>
              <c:strCache>
                <c:ptCount val="1"/>
                <c:pt idx="0">
                  <c:v>香港</c:v>
                </c:pt>
              </c:strCache>
            </c:strRef>
          </c:tx>
          <c:spPr>
            <a:ln w="28575" cap="rnd">
              <a:solidFill>
                <a:srgbClr val="F49D28"/>
              </a:solidFill>
              <a:round/>
            </a:ln>
            <a:effectLst/>
          </c:spPr>
          <c:marker>
            <c:symbol val="none"/>
          </c:marker>
          <c:cat>
            <c:numRef>
              <c:f>分野経年!$BP$3:$BZ$3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分野経年!$BP$9:$BZ$9</c:f>
              <c:numCache>
                <c:formatCode>0.0</c:formatCode>
                <c:ptCount val="11"/>
                <c:pt idx="0">
                  <c:v>40.029451264750492</c:v>
                </c:pt>
                <c:pt idx="1">
                  <c:v>39.073461005943074</c:v>
                </c:pt>
                <c:pt idx="2">
                  <c:v>49.074087545241206</c:v>
                </c:pt>
                <c:pt idx="3">
                  <c:v>40.033640105383256</c:v>
                </c:pt>
                <c:pt idx="4">
                  <c:v>40.68183408208148</c:v>
                </c:pt>
                <c:pt idx="5">
                  <c:v>46.075967576933543</c:v>
                </c:pt>
                <c:pt idx="6">
                  <c:v>38.235671508956138</c:v>
                </c:pt>
                <c:pt idx="7">
                  <c:v>44.3</c:v>
                </c:pt>
                <c:pt idx="8">
                  <c:v>45.841450616448569</c:v>
                </c:pt>
                <c:pt idx="9">
                  <c:v>47.263044935389253</c:v>
                </c:pt>
                <c:pt idx="10">
                  <c:v>50.146152733854073</c:v>
                </c:pt>
              </c:numCache>
            </c:numRef>
          </c:val>
          <c:smooth val="0"/>
          <c:extLst>
            <c:ext xmlns:c16="http://schemas.microsoft.com/office/drawing/2014/chart" uri="{C3380CC4-5D6E-409C-BE32-E72D297353CC}">
              <c16:uniqueId val="{00000033-161B-4F81-BC01-CDB5F0036961}"/>
            </c:ext>
          </c:extLst>
        </c:ser>
        <c:ser>
          <c:idx val="6"/>
          <c:order val="6"/>
          <c:tx>
            <c:strRef>
              <c:f>分野経年!$C$10</c:f>
              <c:strCache>
                <c:ptCount val="1"/>
                <c:pt idx="0">
                  <c:v>北京</c:v>
                </c:pt>
              </c:strCache>
            </c:strRef>
          </c:tx>
          <c:spPr>
            <a:ln w="28575" cap="rnd">
              <a:solidFill>
                <a:schemeClr val="bg1">
                  <a:lumMod val="75000"/>
                </a:schemeClr>
              </a:solidFill>
              <a:round/>
            </a:ln>
            <a:effectLst/>
          </c:spPr>
          <c:marker>
            <c:symbol val="none"/>
          </c:marker>
          <c:cat>
            <c:numRef>
              <c:f>分野経年!$BP$3:$BZ$3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分野経年!$BP$10:$BZ$10</c:f>
              <c:numCache>
                <c:formatCode>0.0</c:formatCode>
                <c:ptCount val="11"/>
                <c:pt idx="0">
                  <c:v>46.3035847451659</c:v>
                </c:pt>
                <c:pt idx="1">
                  <c:v>46.156323442081543</c:v>
                </c:pt>
                <c:pt idx="2">
                  <c:v>42.804242628983474</c:v>
                </c:pt>
                <c:pt idx="3">
                  <c:v>43.026233521854763</c:v>
                </c:pt>
                <c:pt idx="4">
                  <c:v>43.250740818594231</c:v>
                </c:pt>
                <c:pt idx="5">
                  <c:v>42.785242811050495</c:v>
                </c:pt>
                <c:pt idx="6">
                  <c:v>37.219520108771363</c:v>
                </c:pt>
                <c:pt idx="7">
                  <c:v>35</c:v>
                </c:pt>
                <c:pt idx="8">
                  <c:v>39.929725324375383</c:v>
                </c:pt>
                <c:pt idx="9">
                  <c:v>38.916340669507996</c:v>
                </c:pt>
                <c:pt idx="10">
                  <c:v>48.939067171045103</c:v>
                </c:pt>
              </c:numCache>
            </c:numRef>
          </c:val>
          <c:smooth val="0"/>
          <c:extLst>
            <c:ext xmlns:c16="http://schemas.microsoft.com/office/drawing/2014/chart" uri="{C3380CC4-5D6E-409C-BE32-E72D297353CC}">
              <c16:uniqueId val="{00000035-161B-4F81-BC01-CDB5F0036961}"/>
            </c:ext>
          </c:extLst>
        </c:ser>
        <c:ser>
          <c:idx val="7"/>
          <c:order val="7"/>
          <c:tx>
            <c:strRef>
              <c:f>分野経年!$C$11</c:f>
              <c:strCache>
                <c:ptCount val="1"/>
                <c:pt idx="0">
                  <c:v>上海</c:v>
                </c:pt>
              </c:strCache>
            </c:strRef>
          </c:tx>
          <c:spPr>
            <a:ln w="28575" cap="rnd">
              <a:solidFill>
                <a:schemeClr val="bg1">
                  <a:lumMod val="50000"/>
                </a:schemeClr>
              </a:solidFill>
              <a:round/>
            </a:ln>
            <a:effectLst/>
          </c:spPr>
          <c:marker>
            <c:symbol val="none"/>
          </c:marker>
          <c:cat>
            <c:numRef>
              <c:f>分野経年!$BP$3:$BZ$3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分野経年!$BP$11:$BZ$11</c:f>
              <c:numCache>
                <c:formatCode>0.0</c:formatCode>
                <c:ptCount val="11"/>
                <c:pt idx="0">
                  <c:v>54.006743136228835</c:v>
                </c:pt>
                <c:pt idx="1">
                  <c:v>52.424245166862917</c:v>
                </c:pt>
                <c:pt idx="2">
                  <c:v>48.320599596797031</c:v>
                </c:pt>
                <c:pt idx="3">
                  <c:v>45.77924679812768</c:v>
                </c:pt>
                <c:pt idx="4">
                  <c:v>40.105828559368199</c:v>
                </c:pt>
                <c:pt idx="5">
                  <c:v>45.105811604494299</c:v>
                </c:pt>
                <c:pt idx="6">
                  <c:v>42.548079558551734</c:v>
                </c:pt>
                <c:pt idx="7">
                  <c:v>44.9</c:v>
                </c:pt>
                <c:pt idx="8">
                  <c:v>43.466251825329095</c:v>
                </c:pt>
                <c:pt idx="9">
                  <c:v>35.215875427148369</c:v>
                </c:pt>
                <c:pt idx="10">
                  <c:v>49.119400343246554</c:v>
                </c:pt>
              </c:numCache>
            </c:numRef>
          </c:val>
          <c:smooth val="0"/>
          <c:extLst>
            <c:ext xmlns:c16="http://schemas.microsoft.com/office/drawing/2014/chart" uri="{C3380CC4-5D6E-409C-BE32-E72D297353CC}">
              <c16:uniqueId val="{00000037-161B-4F81-BC01-CDB5F0036961}"/>
            </c:ext>
          </c:extLst>
        </c:ser>
        <c:dLbls>
          <c:showLegendKey val="0"/>
          <c:showVal val="0"/>
          <c:showCatName val="0"/>
          <c:showSerName val="0"/>
          <c:showPercent val="0"/>
          <c:showBubbleSize val="0"/>
        </c:dLbls>
        <c:smooth val="0"/>
        <c:axId val="760086976"/>
        <c:axId val="760089720"/>
      </c:lineChart>
      <c:catAx>
        <c:axId val="760086976"/>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60089720"/>
        <c:crosses val="autoZero"/>
        <c:auto val="1"/>
        <c:lblAlgn val="ctr"/>
        <c:lblOffset val="100"/>
        <c:noMultiLvlLbl val="0"/>
      </c:catAx>
      <c:valAx>
        <c:axId val="760089720"/>
        <c:scaling>
          <c:orientation val="minMax"/>
          <c:max val="80"/>
          <c:min val="3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60086976"/>
        <c:crosses val="autoZero"/>
        <c:crossBetween val="between"/>
        <c:majorUnit val="5"/>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分野経年!$CA$2</c:f>
          <c:strCache>
            <c:ptCount val="1"/>
            <c:pt idx="0">
              <c:v>環境</c:v>
            </c:pt>
          </c:strCache>
        </c:strRef>
      </c:tx>
      <c:layout>
        <c:manualLayout>
          <c:xMode val="edge"/>
          <c:yMode val="edge"/>
          <c:x val="8.1236914239913721E-2"/>
          <c:y val="2.0100502512562814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分野経年!$C$4</c:f>
              <c:strCache>
                <c:ptCount val="1"/>
                <c:pt idx="0">
                  <c:v>ロンドン</c:v>
                </c:pt>
              </c:strCache>
            </c:strRef>
          </c:tx>
          <c:spPr>
            <a:ln w="28575" cap="rnd">
              <a:solidFill>
                <a:srgbClr val="DB5334"/>
              </a:solidFill>
              <a:round/>
            </a:ln>
            <a:effectLst/>
          </c:spPr>
          <c:marker>
            <c:symbol val="none"/>
          </c:marker>
          <c:cat>
            <c:numRef>
              <c:f>分野経年!$CE$3:$CO$3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分野経年!$CE$4:$CO$4</c:f>
              <c:numCache>
                <c:formatCode>0.0</c:formatCode>
                <c:ptCount val="11"/>
                <c:pt idx="0">
                  <c:v>59.617761987329786</c:v>
                </c:pt>
                <c:pt idx="1">
                  <c:v>61.799530492515871</c:v>
                </c:pt>
                <c:pt idx="2">
                  <c:v>59.632880029672613</c:v>
                </c:pt>
                <c:pt idx="3">
                  <c:v>59.619811347403235</c:v>
                </c:pt>
                <c:pt idx="4">
                  <c:v>61.20472743985917</c:v>
                </c:pt>
                <c:pt idx="5">
                  <c:v>53.323884640962916</c:v>
                </c:pt>
                <c:pt idx="6">
                  <c:v>52.313790428378141</c:v>
                </c:pt>
                <c:pt idx="7">
                  <c:v>55</c:v>
                </c:pt>
                <c:pt idx="8">
                  <c:v>55.753297667883864</c:v>
                </c:pt>
                <c:pt idx="9">
                  <c:v>59.455907376917466</c:v>
                </c:pt>
                <c:pt idx="10">
                  <c:v>58.292712639616084</c:v>
                </c:pt>
              </c:numCache>
            </c:numRef>
          </c:val>
          <c:smooth val="0"/>
          <c:extLst>
            <c:ext xmlns:c16="http://schemas.microsoft.com/office/drawing/2014/chart" uri="{C3380CC4-5D6E-409C-BE32-E72D297353CC}">
              <c16:uniqueId val="{00000029-F3CE-4DBB-A393-25FACFCEF2EF}"/>
            </c:ext>
          </c:extLst>
        </c:ser>
        <c:ser>
          <c:idx val="1"/>
          <c:order val="1"/>
          <c:tx>
            <c:strRef>
              <c:f>分野経年!$C$5</c:f>
              <c:strCache>
                <c:ptCount val="1"/>
                <c:pt idx="0">
                  <c:v>ニューヨーク</c:v>
                </c:pt>
              </c:strCache>
            </c:strRef>
          </c:tx>
          <c:spPr>
            <a:ln w="28575" cap="rnd">
              <a:solidFill>
                <a:srgbClr val="FABF1C"/>
              </a:solidFill>
              <a:round/>
            </a:ln>
            <a:effectLst/>
          </c:spPr>
          <c:marker>
            <c:symbol val="none"/>
          </c:marker>
          <c:cat>
            <c:numRef>
              <c:f>分野経年!$CE$3:$CO$3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分野経年!$CE$5:$CO$5</c:f>
              <c:numCache>
                <c:formatCode>0.0</c:formatCode>
                <c:ptCount val="11"/>
                <c:pt idx="0">
                  <c:v>48.161130699195688</c:v>
                </c:pt>
                <c:pt idx="1">
                  <c:v>48.532792705402358</c:v>
                </c:pt>
                <c:pt idx="2">
                  <c:v>48.314285763113375</c:v>
                </c:pt>
                <c:pt idx="3">
                  <c:v>46.8247194462488</c:v>
                </c:pt>
                <c:pt idx="4">
                  <c:v>47.934022905908037</c:v>
                </c:pt>
                <c:pt idx="5">
                  <c:v>51.223613372067454</c:v>
                </c:pt>
                <c:pt idx="6">
                  <c:v>50.916492479391046</c:v>
                </c:pt>
                <c:pt idx="7">
                  <c:v>50.8</c:v>
                </c:pt>
                <c:pt idx="8">
                  <c:v>51.603506158261688</c:v>
                </c:pt>
                <c:pt idx="9">
                  <c:v>49.301576956627869</c:v>
                </c:pt>
                <c:pt idx="10">
                  <c:v>47.45671002646835</c:v>
                </c:pt>
              </c:numCache>
            </c:numRef>
          </c:val>
          <c:smooth val="0"/>
          <c:extLst>
            <c:ext xmlns:c16="http://schemas.microsoft.com/office/drawing/2014/chart" uri="{C3380CC4-5D6E-409C-BE32-E72D297353CC}">
              <c16:uniqueId val="{0000002B-F3CE-4DBB-A393-25FACFCEF2EF}"/>
            </c:ext>
          </c:extLst>
        </c:ser>
        <c:ser>
          <c:idx val="2"/>
          <c:order val="2"/>
          <c:tx>
            <c:strRef>
              <c:f>分野経年!$C$6</c:f>
              <c:strCache>
                <c:ptCount val="1"/>
                <c:pt idx="0">
                  <c:v>東京</c:v>
                </c:pt>
              </c:strCache>
            </c:strRef>
          </c:tx>
          <c:spPr>
            <a:ln w="28575" cap="rnd">
              <a:solidFill>
                <a:srgbClr val="237FC4"/>
              </a:solidFill>
              <a:round/>
            </a:ln>
            <a:effectLst/>
          </c:spPr>
          <c:marker>
            <c:symbol val="none"/>
          </c:marker>
          <c:cat>
            <c:numRef>
              <c:f>分野経年!$CE$3:$CO$3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分野経年!$CE$6:$CO$6</c:f>
              <c:numCache>
                <c:formatCode>0.0</c:formatCode>
                <c:ptCount val="11"/>
                <c:pt idx="0">
                  <c:v>66.482845644712256</c:v>
                </c:pt>
                <c:pt idx="1">
                  <c:v>59.349477135504003</c:v>
                </c:pt>
                <c:pt idx="2">
                  <c:v>55.471072187725667</c:v>
                </c:pt>
                <c:pt idx="3">
                  <c:v>56.246868103571714</c:v>
                </c:pt>
                <c:pt idx="4">
                  <c:v>56.36965176198489</c:v>
                </c:pt>
                <c:pt idx="5">
                  <c:v>47.581129092878776</c:v>
                </c:pt>
                <c:pt idx="6">
                  <c:v>52.279816598355957</c:v>
                </c:pt>
                <c:pt idx="7">
                  <c:v>53.6</c:v>
                </c:pt>
                <c:pt idx="8">
                  <c:v>53.558418989390042</c:v>
                </c:pt>
                <c:pt idx="9">
                  <c:v>56.074199093135846</c:v>
                </c:pt>
                <c:pt idx="10">
                  <c:v>54.219545203639861</c:v>
                </c:pt>
              </c:numCache>
            </c:numRef>
          </c:val>
          <c:smooth val="0"/>
          <c:extLst>
            <c:ext xmlns:c16="http://schemas.microsoft.com/office/drawing/2014/chart" uri="{C3380CC4-5D6E-409C-BE32-E72D297353CC}">
              <c16:uniqueId val="{0000002D-F3CE-4DBB-A393-25FACFCEF2EF}"/>
            </c:ext>
          </c:extLst>
        </c:ser>
        <c:ser>
          <c:idx val="3"/>
          <c:order val="3"/>
          <c:tx>
            <c:strRef>
              <c:f>分野経年!$C$7</c:f>
              <c:strCache>
                <c:ptCount val="1"/>
                <c:pt idx="0">
                  <c:v>パリ</c:v>
                </c:pt>
              </c:strCache>
            </c:strRef>
          </c:tx>
          <c:spPr>
            <a:ln w="28575" cap="rnd">
              <a:solidFill>
                <a:srgbClr val="90C31F"/>
              </a:solidFill>
              <a:round/>
            </a:ln>
            <a:effectLst/>
          </c:spPr>
          <c:marker>
            <c:symbol val="none"/>
          </c:marker>
          <c:cat>
            <c:numRef>
              <c:f>分野経年!$CE$3:$CO$3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分野経年!$CE$7:$CO$7</c:f>
              <c:numCache>
                <c:formatCode>0.0</c:formatCode>
                <c:ptCount val="11"/>
                <c:pt idx="0">
                  <c:v>52.826144424659077</c:v>
                </c:pt>
                <c:pt idx="1">
                  <c:v>53.803379678799082</c:v>
                </c:pt>
                <c:pt idx="2">
                  <c:v>52.960200616962013</c:v>
                </c:pt>
                <c:pt idx="3">
                  <c:v>50.809391279851063</c:v>
                </c:pt>
                <c:pt idx="4">
                  <c:v>50.281149003895251</c:v>
                </c:pt>
                <c:pt idx="5">
                  <c:v>51.751169818328734</c:v>
                </c:pt>
                <c:pt idx="6">
                  <c:v>52.219376699416564</c:v>
                </c:pt>
                <c:pt idx="7">
                  <c:v>49.6</c:v>
                </c:pt>
                <c:pt idx="8">
                  <c:v>48.610684716049064</c:v>
                </c:pt>
                <c:pt idx="9">
                  <c:v>49.09301855379973</c:v>
                </c:pt>
                <c:pt idx="10">
                  <c:v>47.598828969527517</c:v>
                </c:pt>
              </c:numCache>
            </c:numRef>
          </c:val>
          <c:smooth val="0"/>
          <c:extLst>
            <c:ext xmlns:c16="http://schemas.microsoft.com/office/drawing/2014/chart" uri="{C3380CC4-5D6E-409C-BE32-E72D297353CC}">
              <c16:uniqueId val="{0000002F-F3CE-4DBB-A393-25FACFCEF2EF}"/>
            </c:ext>
          </c:extLst>
        </c:ser>
        <c:ser>
          <c:idx val="4"/>
          <c:order val="4"/>
          <c:tx>
            <c:strRef>
              <c:f>分野経年!$C$8</c:f>
              <c:strCache>
                <c:ptCount val="1"/>
                <c:pt idx="0">
                  <c:v>シンガポール</c:v>
                </c:pt>
              </c:strCache>
            </c:strRef>
          </c:tx>
          <c:spPr>
            <a:ln w="28575" cap="rnd">
              <a:solidFill>
                <a:srgbClr val="9170AF"/>
              </a:solidFill>
              <a:round/>
            </a:ln>
            <a:effectLst/>
          </c:spPr>
          <c:marker>
            <c:symbol val="none"/>
          </c:marker>
          <c:cat>
            <c:numRef>
              <c:f>分野経年!$CE$3:$CO$3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分野経年!$CE$8:$CO$8</c:f>
              <c:numCache>
                <c:formatCode>0.0</c:formatCode>
                <c:ptCount val="11"/>
                <c:pt idx="0">
                  <c:v>59.78325237227078</c:v>
                </c:pt>
                <c:pt idx="1">
                  <c:v>62.269028598907269</c:v>
                </c:pt>
                <c:pt idx="2">
                  <c:v>60.536476023742267</c:v>
                </c:pt>
                <c:pt idx="3">
                  <c:v>63.32126866867759</c:v>
                </c:pt>
                <c:pt idx="4">
                  <c:v>62.235581177792753</c:v>
                </c:pt>
                <c:pt idx="5">
                  <c:v>55.20804373252809</c:v>
                </c:pt>
                <c:pt idx="6">
                  <c:v>54.248439822434783</c:v>
                </c:pt>
                <c:pt idx="7">
                  <c:v>55.4</c:v>
                </c:pt>
                <c:pt idx="8">
                  <c:v>56.608614348272503</c:v>
                </c:pt>
                <c:pt idx="9">
                  <c:v>56.560827973220896</c:v>
                </c:pt>
                <c:pt idx="10">
                  <c:v>56.29754527778632</c:v>
                </c:pt>
              </c:numCache>
            </c:numRef>
          </c:val>
          <c:smooth val="0"/>
          <c:extLst>
            <c:ext xmlns:c16="http://schemas.microsoft.com/office/drawing/2014/chart" uri="{C3380CC4-5D6E-409C-BE32-E72D297353CC}">
              <c16:uniqueId val="{00000031-F3CE-4DBB-A393-25FACFCEF2EF}"/>
            </c:ext>
          </c:extLst>
        </c:ser>
        <c:ser>
          <c:idx val="5"/>
          <c:order val="5"/>
          <c:tx>
            <c:strRef>
              <c:f>分野経年!$C$9</c:f>
              <c:strCache>
                <c:ptCount val="1"/>
                <c:pt idx="0">
                  <c:v>香港</c:v>
                </c:pt>
              </c:strCache>
            </c:strRef>
          </c:tx>
          <c:spPr>
            <a:ln w="28575" cap="rnd">
              <a:solidFill>
                <a:srgbClr val="F49D28"/>
              </a:solidFill>
              <a:round/>
            </a:ln>
            <a:effectLst/>
          </c:spPr>
          <c:marker>
            <c:symbol val="none"/>
          </c:marker>
          <c:cat>
            <c:numRef>
              <c:f>分野経年!$CE$3:$CO$3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分野経年!$CE$9:$CO$9</c:f>
              <c:numCache>
                <c:formatCode>0.0</c:formatCode>
                <c:ptCount val="11"/>
                <c:pt idx="0">
                  <c:v>43.625060429727128</c:v>
                </c:pt>
                <c:pt idx="1">
                  <c:v>52.143951053180977</c:v>
                </c:pt>
                <c:pt idx="2">
                  <c:v>50.539889895886077</c:v>
                </c:pt>
                <c:pt idx="3">
                  <c:v>52.104297111270995</c:v>
                </c:pt>
                <c:pt idx="4">
                  <c:v>53.406353477992319</c:v>
                </c:pt>
                <c:pt idx="5">
                  <c:v>45.998254820236411</c:v>
                </c:pt>
                <c:pt idx="6">
                  <c:v>45.715994698737262</c:v>
                </c:pt>
                <c:pt idx="7">
                  <c:v>47.8</c:v>
                </c:pt>
                <c:pt idx="8">
                  <c:v>50.77508909872541</c:v>
                </c:pt>
                <c:pt idx="9">
                  <c:v>50.669311074807794</c:v>
                </c:pt>
                <c:pt idx="10">
                  <c:v>49.492773200287019</c:v>
                </c:pt>
              </c:numCache>
            </c:numRef>
          </c:val>
          <c:smooth val="0"/>
          <c:extLst>
            <c:ext xmlns:c16="http://schemas.microsoft.com/office/drawing/2014/chart" uri="{C3380CC4-5D6E-409C-BE32-E72D297353CC}">
              <c16:uniqueId val="{00000033-F3CE-4DBB-A393-25FACFCEF2EF}"/>
            </c:ext>
          </c:extLst>
        </c:ser>
        <c:ser>
          <c:idx val="6"/>
          <c:order val="6"/>
          <c:tx>
            <c:strRef>
              <c:f>分野経年!$C$10</c:f>
              <c:strCache>
                <c:ptCount val="1"/>
                <c:pt idx="0">
                  <c:v>北京</c:v>
                </c:pt>
              </c:strCache>
            </c:strRef>
          </c:tx>
          <c:spPr>
            <a:ln w="28575" cap="rnd">
              <a:solidFill>
                <a:schemeClr val="bg1">
                  <a:lumMod val="75000"/>
                </a:schemeClr>
              </a:solidFill>
              <a:round/>
            </a:ln>
            <a:effectLst/>
          </c:spPr>
          <c:marker>
            <c:symbol val="none"/>
          </c:marker>
          <c:cat>
            <c:numRef>
              <c:f>分野経年!$CE$3:$CO$3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分野経年!$CE$10:$CO$10</c:f>
              <c:numCache>
                <c:formatCode>0.0</c:formatCode>
                <c:ptCount val="11"/>
                <c:pt idx="0">
                  <c:v>33.505436249668321</c:v>
                </c:pt>
                <c:pt idx="1">
                  <c:v>29.334794764474719</c:v>
                </c:pt>
                <c:pt idx="2">
                  <c:v>25.992253760323056</c:v>
                </c:pt>
                <c:pt idx="3">
                  <c:v>27.847943429755329</c:v>
                </c:pt>
                <c:pt idx="4">
                  <c:v>27.563703566318559</c:v>
                </c:pt>
                <c:pt idx="5">
                  <c:v>25.385485505701574</c:v>
                </c:pt>
                <c:pt idx="6">
                  <c:v>26.435325904697532</c:v>
                </c:pt>
                <c:pt idx="7">
                  <c:v>35.700000000000003</c:v>
                </c:pt>
                <c:pt idx="8">
                  <c:v>38.953106227460864</c:v>
                </c:pt>
                <c:pt idx="9">
                  <c:v>41.497618394693447</c:v>
                </c:pt>
                <c:pt idx="10">
                  <c:v>43.51065115719701</c:v>
                </c:pt>
              </c:numCache>
            </c:numRef>
          </c:val>
          <c:smooth val="0"/>
          <c:extLst>
            <c:ext xmlns:c16="http://schemas.microsoft.com/office/drawing/2014/chart" uri="{C3380CC4-5D6E-409C-BE32-E72D297353CC}">
              <c16:uniqueId val="{00000035-F3CE-4DBB-A393-25FACFCEF2EF}"/>
            </c:ext>
          </c:extLst>
        </c:ser>
        <c:ser>
          <c:idx val="7"/>
          <c:order val="7"/>
          <c:tx>
            <c:strRef>
              <c:f>分野経年!$C$11</c:f>
              <c:strCache>
                <c:ptCount val="1"/>
                <c:pt idx="0">
                  <c:v>上海</c:v>
                </c:pt>
              </c:strCache>
            </c:strRef>
          </c:tx>
          <c:spPr>
            <a:ln w="28575" cap="rnd">
              <a:solidFill>
                <a:schemeClr val="bg1">
                  <a:lumMod val="50000"/>
                </a:schemeClr>
              </a:solidFill>
              <a:round/>
            </a:ln>
            <a:effectLst/>
          </c:spPr>
          <c:marker>
            <c:symbol val="none"/>
          </c:marker>
          <c:cat>
            <c:numRef>
              <c:f>分野経年!$CE$3:$CO$3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分野経年!$CE$11:$CO$11</c:f>
              <c:numCache>
                <c:formatCode>0.0</c:formatCode>
                <c:ptCount val="11"/>
                <c:pt idx="0">
                  <c:v>38.769632145147682</c:v>
                </c:pt>
                <c:pt idx="1">
                  <c:v>34.724725203118162</c:v>
                </c:pt>
                <c:pt idx="2">
                  <c:v>28.395240004597845</c:v>
                </c:pt>
                <c:pt idx="3">
                  <c:v>32.405942588544903</c:v>
                </c:pt>
                <c:pt idx="4">
                  <c:v>31.963950273128216</c:v>
                </c:pt>
                <c:pt idx="5">
                  <c:v>26.962226586390564</c:v>
                </c:pt>
                <c:pt idx="6">
                  <c:v>26.345908066740993</c:v>
                </c:pt>
                <c:pt idx="7">
                  <c:v>38.5</c:v>
                </c:pt>
                <c:pt idx="8">
                  <c:v>40.543391089504709</c:v>
                </c:pt>
                <c:pt idx="9">
                  <c:v>44.274666231870476</c:v>
                </c:pt>
                <c:pt idx="10">
                  <c:v>45.045379391631599</c:v>
                </c:pt>
              </c:numCache>
            </c:numRef>
          </c:val>
          <c:smooth val="0"/>
          <c:extLst>
            <c:ext xmlns:c16="http://schemas.microsoft.com/office/drawing/2014/chart" uri="{C3380CC4-5D6E-409C-BE32-E72D297353CC}">
              <c16:uniqueId val="{00000037-F3CE-4DBB-A393-25FACFCEF2EF}"/>
            </c:ext>
          </c:extLst>
        </c:ser>
        <c:dLbls>
          <c:showLegendKey val="0"/>
          <c:showVal val="0"/>
          <c:showCatName val="0"/>
          <c:showSerName val="0"/>
          <c:showPercent val="0"/>
          <c:showBubbleSize val="0"/>
        </c:dLbls>
        <c:smooth val="0"/>
        <c:axId val="760091680"/>
        <c:axId val="760087368"/>
      </c:lineChart>
      <c:catAx>
        <c:axId val="760091680"/>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60087368"/>
        <c:crosses val="autoZero"/>
        <c:auto val="1"/>
        <c:lblAlgn val="ctr"/>
        <c:lblOffset val="100"/>
        <c:noMultiLvlLbl val="0"/>
      </c:catAx>
      <c:valAx>
        <c:axId val="760087368"/>
        <c:scaling>
          <c:orientation val="minMax"/>
          <c:max val="70"/>
          <c:min val="25"/>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60091680"/>
        <c:crosses val="autoZero"/>
        <c:crossBetween val="between"/>
        <c:majorUnit val="5"/>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分野経年!$CP$2</c:f>
          <c:strCache>
            <c:ptCount val="1"/>
            <c:pt idx="0">
              <c:v>交通・アクセス</c:v>
            </c:pt>
          </c:strCache>
        </c:strRef>
      </c:tx>
      <c:layout>
        <c:manualLayout>
          <c:xMode val="edge"/>
          <c:yMode val="edge"/>
          <c:x val="8.1236914239913721E-2"/>
          <c:y val="2.0100502512562814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lineChart>
        <c:grouping val="standard"/>
        <c:varyColors val="0"/>
        <c:ser>
          <c:idx val="0"/>
          <c:order val="0"/>
          <c:tx>
            <c:strRef>
              <c:f>分野経年!$C$4</c:f>
              <c:strCache>
                <c:ptCount val="1"/>
                <c:pt idx="0">
                  <c:v>ロンドン</c:v>
                </c:pt>
              </c:strCache>
            </c:strRef>
          </c:tx>
          <c:spPr>
            <a:ln w="28575" cap="rnd">
              <a:solidFill>
                <a:srgbClr val="DB5334"/>
              </a:solidFill>
              <a:round/>
            </a:ln>
            <a:effectLst/>
          </c:spPr>
          <c:marker>
            <c:symbol val="none"/>
          </c:marker>
          <c:cat>
            <c:numRef>
              <c:f>分野経年!$CT$3:$DD$3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分野経年!$CT$4:$DD$4</c:f>
              <c:numCache>
                <c:formatCode>0.0</c:formatCode>
                <c:ptCount val="11"/>
                <c:pt idx="0">
                  <c:v>74.332295926207934</c:v>
                </c:pt>
                <c:pt idx="1">
                  <c:v>73.292737116227002</c:v>
                </c:pt>
                <c:pt idx="2">
                  <c:v>71.795728390290364</c:v>
                </c:pt>
                <c:pt idx="3">
                  <c:v>73.729431780026786</c:v>
                </c:pt>
                <c:pt idx="4">
                  <c:v>72.213977775118991</c:v>
                </c:pt>
                <c:pt idx="5">
                  <c:v>70.282888003724452</c:v>
                </c:pt>
                <c:pt idx="6">
                  <c:v>69.342108210617837</c:v>
                </c:pt>
                <c:pt idx="7">
                  <c:v>72.5</c:v>
                </c:pt>
                <c:pt idx="8">
                  <c:v>67.619661483328599</c:v>
                </c:pt>
                <c:pt idx="9">
                  <c:v>61.482505507569975</c:v>
                </c:pt>
                <c:pt idx="10">
                  <c:v>69.671428944015361</c:v>
                </c:pt>
              </c:numCache>
            </c:numRef>
          </c:val>
          <c:smooth val="0"/>
          <c:extLst>
            <c:ext xmlns:c16="http://schemas.microsoft.com/office/drawing/2014/chart" uri="{C3380CC4-5D6E-409C-BE32-E72D297353CC}">
              <c16:uniqueId val="{00000019-FAD6-4043-A3CB-6E70D9ABC632}"/>
            </c:ext>
          </c:extLst>
        </c:ser>
        <c:ser>
          <c:idx val="1"/>
          <c:order val="1"/>
          <c:tx>
            <c:strRef>
              <c:f>分野経年!$C$5</c:f>
              <c:strCache>
                <c:ptCount val="1"/>
                <c:pt idx="0">
                  <c:v>ニューヨーク</c:v>
                </c:pt>
              </c:strCache>
            </c:strRef>
          </c:tx>
          <c:spPr>
            <a:ln w="28575" cap="rnd">
              <a:solidFill>
                <a:srgbClr val="FABF1C"/>
              </a:solidFill>
              <a:round/>
            </a:ln>
            <a:effectLst/>
          </c:spPr>
          <c:marker>
            <c:symbol val="none"/>
          </c:marker>
          <c:cat>
            <c:numRef>
              <c:f>分野経年!$CT$3:$DD$3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分野経年!$CT$5:$DD$5</c:f>
              <c:numCache>
                <c:formatCode>0.0</c:formatCode>
                <c:ptCount val="11"/>
                <c:pt idx="0">
                  <c:v>62.997337122194601</c:v>
                </c:pt>
                <c:pt idx="1">
                  <c:v>62.94508562765715</c:v>
                </c:pt>
                <c:pt idx="2">
                  <c:v>62.103070522623156</c:v>
                </c:pt>
                <c:pt idx="3">
                  <c:v>61.726487319927323</c:v>
                </c:pt>
                <c:pt idx="4">
                  <c:v>66.57663311991675</c:v>
                </c:pt>
                <c:pt idx="5">
                  <c:v>65.088437237098645</c:v>
                </c:pt>
                <c:pt idx="6">
                  <c:v>66.210498538121612</c:v>
                </c:pt>
                <c:pt idx="7">
                  <c:v>66.3</c:v>
                </c:pt>
                <c:pt idx="8">
                  <c:v>64.609192057002318</c:v>
                </c:pt>
                <c:pt idx="9">
                  <c:v>67.878408923515394</c:v>
                </c:pt>
                <c:pt idx="10">
                  <c:v>69.712434438204852</c:v>
                </c:pt>
              </c:numCache>
            </c:numRef>
          </c:val>
          <c:smooth val="0"/>
          <c:extLst>
            <c:ext xmlns:c16="http://schemas.microsoft.com/office/drawing/2014/chart" uri="{C3380CC4-5D6E-409C-BE32-E72D297353CC}">
              <c16:uniqueId val="{0000001B-FAD6-4043-A3CB-6E70D9ABC632}"/>
            </c:ext>
          </c:extLst>
        </c:ser>
        <c:ser>
          <c:idx val="2"/>
          <c:order val="2"/>
          <c:tx>
            <c:strRef>
              <c:f>分野経年!$C$6</c:f>
              <c:strCache>
                <c:ptCount val="1"/>
                <c:pt idx="0">
                  <c:v>東京</c:v>
                </c:pt>
              </c:strCache>
            </c:strRef>
          </c:tx>
          <c:spPr>
            <a:ln w="28575" cap="rnd">
              <a:solidFill>
                <a:srgbClr val="237FC4"/>
              </a:solidFill>
              <a:round/>
            </a:ln>
            <a:effectLst/>
          </c:spPr>
          <c:marker>
            <c:symbol val="none"/>
          </c:marker>
          <c:cat>
            <c:numRef>
              <c:f>分野経年!$CT$3:$DD$3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分野経年!$CT$6:$DD$6</c:f>
              <c:numCache>
                <c:formatCode>0.0</c:formatCode>
                <c:ptCount val="11"/>
                <c:pt idx="0">
                  <c:v>55.974917909251133</c:v>
                </c:pt>
                <c:pt idx="1">
                  <c:v>56.079617928961731</c:v>
                </c:pt>
                <c:pt idx="2">
                  <c:v>56.170397872674499</c:v>
                </c:pt>
                <c:pt idx="3">
                  <c:v>59.242880407248386</c:v>
                </c:pt>
                <c:pt idx="4">
                  <c:v>62.88597886478572</c:v>
                </c:pt>
                <c:pt idx="5">
                  <c:v>64.859162825807402</c:v>
                </c:pt>
                <c:pt idx="6">
                  <c:v>61.537043142333808</c:v>
                </c:pt>
                <c:pt idx="7">
                  <c:v>63.7</c:v>
                </c:pt>
                <c:pt idx="8">
                  <c:v>66.031783036980499</c:v>
                </c:pt>
                <c:pt idx="9">
                  <c:v>58.450859836718223</c:v>
                </c:pt>
                <c:pt idx="10">
                  <c:v>61.227202107823388</c:v>
                </c:pt>
              </c:numCache>
            </c:numRef>
          </c:val>
          <c:smooth val="0"/>
          <c:extLst>
            <c:ext xmlns:c16="http://schemas.microsoft.com/office/drawing/2014/chart" uri="{C3380CC4-5D6E-409C-BE32-E72D297353CC}">
              <c16:uniqueId val="{0000001D-FAD6-4043-A3CB-6E70D9ABC632}"/>
            </c:ext>
          </c:extLst>
        </c:ser>
        <c:ser>
          <c:idx val="3"/>
          <c:order val="3"/>
          <c:tx>
            <c:strRef>
              <c:f>分野経年!$C$7</c:f>
              <c:strCache>
                <c:ptCount val="1"/>
                <c:pt idx="0">
                  <c:v>パリ</c:v>
                </c:pt>
              </c:strCache>
            </c:strRef>
          </c:tx>
          <c:spPr>
            <a:ln w="28575" cap="rnd">
              <a:solidFill>
                <a:srgbClr val="90C31F"/>
              </a:solidFill>
              <a:round/>
            </a:ln>
            <a:effectLst/>
          </c:spPr>
          <c:marker>
            <c:symbol val="none"/>
          </c:marker>
          <c:cat>
            <c:numRef>
              <c:f>分野経年!$CT$3:$DD$3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分野経年!$CT$7:$DD$7</c:f>
              <c:numCache>
                <c:formatCode>0.0</c:formatCode>
                <c:ptCount val="11"/>
                <c:pt idx="0">
                  <c:v>71.632731483620319</c:v>
                </c:pt>
                <c:pt idx="1">
                  <c:v>69.998107665781248</c:v>
                </c:pt>
                <c:pt idx="2">
                  <c:v>72.521563903001649</c:v>
                </c:pt>
                <c:pt idx="3">
                  <c:v>72.755131211411623</c:v>
                </c:pt>
                <c:pt idx="4">
                  <c:v>72.539255195443502</c:v>
                </c:pt>
                <c:pt idx="5">
                  <c:v>70.819512562004618</c:v>
                </c:pt>
                <c:pt idx="6">
                  <c:v>71.362371613945015</c:v>
                </c:pt>
                <c:pt idx="7">
                  <c:v>68</c:v>
                </c:pt>
                <c:pt idx="8">
                  <c:v>67.664804786289579</c:v>
                </c:pt>
                <c:pt idx="9">
                  <c:v>69.151603792094306</c:v>
                </c:pt>
                <c:pt idx="10">
                  <c:v>68.236925219534584</c:v>
                </c:pt>
              </c:numCache>
            </c:numRef>
          </c:val>
          <c:smooth val="0"/>
          <c:extLst>
            <c:ext xmlns:c16="http://schemas.microsoft.com/office/drawing/2014/chart" uri="{C3380CC4-5D6E-409C-BE32-E72D297353CC}">
              <c16:uniqueId val="{0000001F-FAD6-4043-A3CB-6E70D9ABC632}"/>
            </c:ext>
          </c:extLst>
        </c:ser>
        <c:ser>
          <c:idx val="4"/>
          <c:order val="4"/>
          <c:tx>
            <c:strRef>
              <c:f>分野経年!$C$8</c:f>
              <c:strCache>
                <c:ptCount val="1"/>
                <c:pt idx="0">
                  <c:v>シンガポール</c:v>
                </c:pt>
              </c:strCache>
            </c:strRef>
          </c:tx>
          <c:spPr>
            <a:ln w="28575" cap="rnd">
              <a:solidFill>
                <a:srgbClr val="9170AF"/>
              </a:solidFill>
              <a:round/>
            </a:ln>
            <a:effectLst/>
          </c:spPr>
          <c:marker>
            <c:symbol val="none"/>
          </c:marker>
          <c:cat>
            <c:numRef>
              <c:f>分野経年!$CT$3:$DD$3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分野経年!$CT$8:$DD$8</c:f>
              <c:numCache>
                <c:formatCode>0.0</c:formatCode>
                <c:ptCount val="11"/>
                <c:pt idx="0">
                  <c:v>58.127670472919746</c:v>
                </c:pt>
                <c:pt idx="1">
                  <c:v>59.769070648455653</c:v>
                </c:pt>
                <c:pt idx="2">
                  <c:v>65.142907112514678</c:v>
                </c:pt>
                <c:pt idx="3">
                  <c:v>62.862677529159761</c:v>
                </c:pt>
                <c:pt idx="4">
                  <c:v>60.769480975678903</c:v>
                </c:pt>
                <c:pt idx="5">
                  <c:v>60.20656177547859</c:v>
                </c:pt>
                <c:pt idx="6">
                  <c:v>59.459185153365752</c:v>
                </c:pt>
                <c:pt idx="7">
                  <c:v>63</c:v>
                </c:pt>
                <c:pt idx="8">
                  <c:v>59.284734937721566</c:v>
                </c:pt>
                <c:pt idx="9">
                  <c:v>55.849663554535177</c:v>
                </c:pt>
                <c:pt idx="10">
                  <c:v>61.370662543187734</c:v>
                </c:pt>
              </c:numCache>
            </c:numRef>
          </c:val>
          <c:smooth val="0"/>
          <c:extLst>
            <c:ext xmlns:c16="http://schemas.microsoft.com/office/drawing/2014/chart" uri="{C3380CC4-5D6E-409C-BE32-E72D297353CC}">
              <c16:uniqueId val="{00000021-FAD6-4043-A3CB-6E70D9ABC632}"/>
            </c:ext>
          </c:extLst>
        </c:ser>
        <c:ser>
          <c:idx val="5"/>
          <c:order val="5"/>
          <c:tx>
            <c:strRef>
              <c:f>分野経年!$C$9</c:f>
              <c:strCache>
                <c:ptCount val="1"/>
                <c:pt idx="0">
                  <c:v>香港</c:v>
                </c:pt>
              </c:strCache>
            </c:strRef>
          </c:tx>
          <c:spPr>
            <a:ln w="28575" cap="rnd">
              <a:solidFill>
                <a:srgbClr val="F49D28"/>
              </a:solidFill>
              <a:round/>
            </a:ln>
            <a:effectLst/>
          </c:spPr>
          <c:marker>
            <c:symbol val="none"/>
          </c:marker>
          <c:cat>
            <c:numRef>
              <c:f>分野経年!$CT$3:$DD$3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分野経年!$CT$9:$DD$9</c:f>
              <c:numCache>
                <c:formatCode>0.0</c:formatCode>
                <c:ptCount val="11"/>
                <c:pt idx="0">
                  <c:v>64.217260355772865</c:v>
                </c:pt>
                <c:pt idx="1">
                  <c:v>63.9799398741633</c:v>
                </c:pt>
                <c:pt idx="2">
                  <c:v>64.73155905741325</c:v>
                </c:pt>
                <c:pt idx="3">
                  <c:v>65.278211376839195</c:v>
                </c:pt>
                <c:pt idx="4">
                  <c:v>63.039357420480478</c:v>
                </c:pt>
                <c:pt idx="5">
                  <c:v>61.31154272396207</c:v>
                </c:pt>
                <c:pt idx="6">
                  <c:v>62.775143493467418</c:v>
                </c:pt>
                <c:pt idx="7">
                  <c:v>60.5</c:v>
                </c:pt>
                <c:pt idx="8">
                  <c:v>54.918228058202615</c:v>
                </c:pt>
                <c:pt idx="9">
                  <c:v>49.92709542630265</c:v>
                </c:pt>
                <c:pt idx="10">
                  <c:v>53.309478568775617</c:v>
                </c:pt>
              </c:numCache>
            </c:numRef>
          </c:val>
          <c:smooth val="0"/>
          <c:extLst>
            <c:ext xmlns:c16="http://schemas.microsoft.com/office/drawing/2014/chart" uri="{C3380CC4-5D6E-409C-BE32-E72D297353CC}">
              <c16:uniqueId val="{00000023-FAD6-4043-A3CB-6E70D9ABC632}"/>
            </c:ext>
          </c:extLst>
        </c:ser>
        <c:ser>
          <c:idx val="6"/>
          <c:order val="6"/>
          <c:tx>
            <c:strRef>
              <c:f>分野経年!$C$10</c:f>
              <c:strCache>
                <c:ptCount val="1"/>
                <c:pt idx="0">
                  <c:v>北京</c:v>
                </c:pt>
              </c:strCache>
            </c:strRef>
          </c:tx>
          <c:spPr>
            <a:ln w="28575" cap="rnd">
              <a:solidFill>
                <a:schemeClr val="bg1">
                  <a:lumMod val="75000"/>
                </a:schemeClr>
              </a:solidFill>
              <a:round/>
            </a:ln>
            <a:effectLst/>
          </c:spPr>
          <c:marker>
            <c:symbol val="none"/>
          </c:marker>
          <c:cat>
            <c:numRef>
              <c:f>分野経年!$CT$3:$DD$3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分野経年!$CT$10:$DD$10</c:f>
              <c:numCache>
                <c:formatCode>0.0</c:formatCode>
                <c:ptCount val="11"/>
                <c:pt idx="0">
                  <c:v>45.07438082864914</c:v>
                </c:pt>
                <c:pt idx="1">
                  <c:v>45.34714408144459</c:v>
                </c:pt>
                <c:pt idx="2">
                  <c:v>44.535850675591178</c:v>
                </c:pt>
                <c:pt idx="3">
                  <c:v>47.090398319612632</c:v>
                </c:pt>
                <c:pt idx="4">
                  <c:v>51.270896710709117</c:v>
                </c:pt>
                <c:pt idx="5">
                  <c:v>49.747780129786378</c:v>
                </c:pt>
                <c:pt idx="6">
                  <c:v>55.075056905086761</c:v>
                </c:pt>
                <c:pt idx="7">
                  <c:v>55.6</c:v>
                </c:pt>
                <c:pt idx="8">
                  <c:v>52.451291618391956</c:v>
                </c:pt>
                <c:pt idx="9">
                  <c:v>52.695181865466523</c:v>
                </c:pt>
                <c:pt idx="10">
                  <c:v>40.65631725883231</c:v>
                </c:pt>
              </c:numCache>
            </c:numRef>
          </c:val>
          <c:smooth val="0"/>
          <c:extLst>
            <c:ext xmlns:c16="http://schemas.microsoft.com/office/drawing/2014/chart" uri="{C3380CC4-5D6E-409C-BE32-E72D297353CC}">
              <c16:uniqueId val="{00000025-FAD6-4043-A3CB-6E70D9ABC632}"/>
            </c:ext>
          </c:extLst>
        </c:ser>
        <c:ser>
          <c:idx val="7"/>
          <c:order val="7"/>
          <c:tx>
            <c:strRef>
              <c:f>分野経年!$C$11</c:f>
              <c:strCache>
                <c:ptCount val="1"/>
                <c:pt idx="0">
                  <c:v>上海</c:v>
                </c:pt>
              </c:strCache>
            </c:strRef>
          </c:tx>
          <c:spPr>
            <a:ln w="28575" cap="rnd">
              <a:solidFill>
                <a:schemeClr val="bg1">
                  <a:lumMod val="50000"/>
                </a:schemeClr>
              </a:solidFill>
              <a:round/>
            </a:ln>
            <a:effectLst/>
          </c:spPr>
          <c:marker>
            <c:symbol val="none"/>
          </c:marker>
          <c:cat>
            <c:numRef>
              <c:f>分野経年!$CT$3:$DD$3</c:f>
              <c:numCache>
                <c:formatCode>General</c:formatCode>
                <c:ptCount val="11"/>
                <c:pt idx="0">
                  <c:v>2013</c:v>
                </c:pt>
                <c:pt idx="1">
                  <c:v>2014</c:v>
                </c:pt>
                <c:pt idx="2">
                  <c:v>2015</c:v>
                </c:pt>
                <c:pt idx="3">
                  <c:v>2016</c:v>
                </c:pt>
                <c:pt idx="4">
                  <c:v>2017</c:v>
                </c:pt>
                <c:pt idx="5">
                  <c:v>2018</c:v>
                </c:pt>
                <c:pt idx="6">
                  <c:v>2019</c:v>
                </c:pt>
                <c:pt idx="7">
                  <c:v>2020</c:v>
                </c:pt>
                <c:pt idx="8">
                  <c:v>2021</c:v>
                </c:pt>
                <c:pt idx="9">
                  <c:v>2022</c:v>
                </c:pt>
                <c:pt idx="10">
                  <c:v>2023</c:v>
                </c:pt>
              </c:numCache>
            </c:numRef>
          </c:cat>
          <c:val>
            <c:numRef>
              <c:f>分野経年!$CT$11:$DD$11</c:f>
              <c:numCache>
                <c:formatCode>0.0</c:formatCode>
                <c:ptCount val="11"/>
                <c:pt idx="0">
                  <c:v>54.542778419344693</c:v>
                </c:pt>
                <c:pt idx="1">
                  <c:v>56.011910218779207</c:v>
                </c:pt>
                <c:pt idx="2">
                  <c:v>62.359683152860519</c:v>
                </c:pt>
                <c:pt idx="3">
                  <c:v>63.966783344626627</c:v>
                </c:pt>
                <c:pt idx="4">
                  <c:v>67.298703898518013</c:v>
                </c:pt>
                <c:pt idx="5">
                  <c:v>65.044912959326197</c:v>
                </c:pt>
                <c:pt idx="6">
                  <c:v>65.98583116397991</c:v>
                </c:pt>
                <c:pt idx="7">
                  <c:v>67.5</c:v>
                </c:pt>
                <c:pt idx="8">
                  <c:v>77.070310869064258</c:v>
                </c:pt>
                <c:pt idx="9">
                  <c:v>74.90082107066047</c:v>
                </c:pt>
                <c:pt idx="10">
                  <c:v>59.2232653328468</c:v>
                </c:pt>
              </c:numCache>
            </c:numRef>
          </c:val>
          <c:smooth val="0"/>
          <c:extLst>
            <c:ext xmlns:c16="http://schemas.microsoft.com/office/drawing/2014/chart" uri="{C3380CC4-5D6E-409C-BE32-E72D297353CC}">
              <c16:uniqueId val="{00000027-FAD6-4043-A3CB-6E70D9ABC632}"/>
            </c:ext>
          </c:extLst>
        </c:ser>
        <c:dLbls>
          <c:showLegendKey val="0"/>
          <c:showVal val="0"/>
          <c:showCatName val="0"/>
          <c:showSerName val="0"/>
          <c:showPercent val="0"/>
          <c:showBubbleSize val="0"/>
        </c:dLbls>
        <c:smooth val="0"/>
        <c:axId val="760094032"/>
        <c:axId val="760088152"/>
      </c:lineChart>
      <c:catAx>
        <c:axId val="760094032"/>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60088152"/>
        <c:crosses val="autoZero"/>
        <c:auto val="1"/>
        <c:lblAlgn val="ctr"/>
        <c:lblOffset val="100"/>
        <c:noMultiLvlLbl val="0"/>
      </c:catAx>
      <c:valAx>
        <c:axId val="760088152"/>
        <c:scaling>
          <c:orientation val="minMax"/>
          <c:max val="90"/>
          <c:min val="40"/>
        </c:scaling>
        <c:delete val="0"/>
        <c:axPos val="l"/>
        <c:majorGridlines>
          <c:spPr>
            <a:ln w="9525" cap="flat" cmpd="sng" algn="ctr">
              <a:solidFill>
                <a:schemeClr val="tx1">
                  <a:lumMod val="15000"/>
                  <a:lumOff val="85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crossAx val="760094032"/>
        <c:crosses val="autoZero"/>
        <c:crossBetween val="between"/>
        <c:majorUnit val="5"/>
      </c:valAx>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Yu Gothic Medium" panose="020B0500000000000000" pitchFamily="50" charset="-128"/>
              <a:ea typeface="Yu Gothic Medium" panose="020B0500000000000000" pitchFamily="50" charset="-128"/>
              <a:cs typeface="+mn-cs"/>
            </a:defRPr>
          </a:pPr>
          <a:endParaRPr lang="ja-JP"/>
        </a:p>
      </c:txPr>
    </c:legend>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c:f>
          <c:strCache>
            <c:ptCount val="1"/>
            <c:pt idx="0">
              <c:v>人口</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1-6238-4BA2-9C73-3293282D8EC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指標縦棒!指標縦棒_都市名</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指標縦棒!指標縦棒_生データ</c:f>
              <c:numCache>
                <c:formatCode>0</c:formatCode>
                <c:ptCount val="9"/>
                <c:pt idx="0">
                  <c:v>8796628</c:v>
                </c:pt>
                <c:pt idx="1">
                  <c:v>8467513</c:v>
                </c:pt>
                <c:pt idx="2">
                  <c:v>9748492</c:v>
                </c:pt>
                <c:pt idx="3">
                  <c:v>2102650</c:v>
                </c:pt>
                <c:pt idx="4">
                  <c:v>5637000</c:v>
                </c:pt>
                <c:pt idx="5">
                  <c:v>9667669</c:v>
                </c:pt>
                <c:pt idx="6">
                  <c:v>7346100</c:v>
                </c:pt>
                <c:pt idx="7">
                  <c:v>21886000</c:v>
                </c:pt>
                <c:pt idx="8">
                  <c:v>24894300</c:v>
                </c:pt>
              </c:numCache>
            </c:numRef>
          </c:val>
          <c:extLst>
            <c:ext xmlns:c16="http://schemas.microsoft.com/office/drawing/2014/chart" uri="{C3380CC4-5D6E-409C-BE32-E72D297353CC}">
              <c16:uniqueId val="{00000002-6238-4BA2-9C73-3293282D8EC2}"/>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指標縦棒!$C$5</c:f>
              <c:strCache>
                <c:ptCount val="1"/>
                <c:pt idx="0">
                  <c:v>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c:f>
          <c:strCache>
            <c:ptCount val="1"/>
            <c:pt idx="0">
              <c:v>人口</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1-841B-4451-A402-C117BFF6FADD}"/>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指標縦棒!指標縦棒_都市名</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指標縦棒!指標縦棒_スコア</c:f>
              <c:numCache>
                <c:formatCode>0.0_ </c:formatCode>
                <c:ptCount val="9"/>
                <c:pt idx="0">
                  <c:v>34.7995643171</c:v>
                </c:pt>
                <c:pt idx="1">
                  <c:v>33.466549121500002</c:v>
                </c:pt>
                <c:pt idx="2">
                  <c:v>38.654901132900001</c:v>
                </c:pt>
                <c:pt idx="3">
                  <c:v>7.6869307604000001</c:v>
                </c:pt>
                <c:pt idx="4">
                  <c:v>22.002116201900002</c:v>
                </c:pt>
                <c:pt idx="5">
                  <c:v>38.327543561399999</c:v>
                </c:pt>
                <c:pt idx="6">
                  <c:v>28.924487624600001</c:v>
                </c:pt>
                <c:pt idx="7">
                  <c:v>87.815476010099999</c:v>
                </c:pt>
                <c:pt idx="8">
                  <c:v>100</c:v>
                </c:pt>
              </c:numCache>
            </c:numRef>
          </c:val>
          <c:extLst>
            <c:ext xmlns:c16="http://schemas.microsoft.com/office/drawing/2014/chart" uri="{C3380CC4-5D6E-409C-BE32-E72D297353CC}">
              <c16:uniqueId val="{00000002-841B-4451-A402-C117BFF6FADD}"/>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指標縦棒!$C$21</c:f>
          <c:strCache>
            <c:ptCount val="1"/>
            <c:pt idx="0">
              <c:v>人口</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指標縦棒!$G$20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2CE-4005-AD75-25E410848254}"/>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指標縦棒!$F$21:$F$29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指標縦棒!$G$21:$G$29</c:f>
              <c:numCache>
                <c:formatCode>#,##0_ </c:formatCode>
                <c:ptCount val="9"/>
                <c:pt idx="0">
                  <c:v>8796628</c:v>
                </c:pt>
                <c:pt idx="1">
                  <c:v>8467513</c:v>
                </c:pt>
                <c:pt idx="2">
                  <c:v>9748492</c:v>
                </c:pt>
                <c:pt idx="3">
                  <c:v>2102650</c:v>
                </c:pt>
                <c:pt idx="4">
                  <c:v>5637000</c:v>
                </c:pt>
                <c:pt idx="5">
                  <c:v>9667669</c:v>
                </c:pt>
                <c:pt idx="6">
                  <c:v>7346100</c:v>
                </c:pt>
                <c:pt idx="7">
                  <c:v>21886000</c:v>
                </c:pt>
                <c:pt idx="8">
                  <c:v>24894300</c:v>
                </c:pt>
              </c:numCache>
            </c:numRef>
          </c:val>
          <c:extLst>
            <c:ext xmlns:c16="http://schemas.microsoft.com/office/drawing/2014/chart" uri="{C3380CC4-5D6E-409C-BE32-E72D297353CC}">
              <c16:uniqueId val="{00000006-F2CE-4005-AD75-25E410848254}"/>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指標縦棒!$C$22</c:f>
              <c:strCache>
                <c:ptCount val="1"/>
                <c:pt idx="0">
                  <c:v>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指標縦棒!$C$21</c:f>
          <c:strCache>
            <c:ptCount val="1"/>
            <c:pt idx="0">
              <c:v>人口</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指標縦棒!$H$20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21D-4006-BA89-2AEE22EA7BA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指標縦棒!$F$21:$F$29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指標縦棒!$H$21:$H$29</c:f>
              <c:numCache>
                <c:formatCode>0.0_ </c:formatCode>
                <c:ptCount val="9"/>
                <c:pt idx="0">
                  <c:v>34.7995643171</c:v>
                </c:pt>
                <c:pt idx="1">
                  <c:v>33.466549121500002</c:v>
                </c:pt>
                <c:pt idx="2">
                  <c:v>38.654901132900001</c:v>
                </c:pt>
                <c:pt idx="3">
                  <c:v>7.6869307604000001</c:v>
                </c:pt>
                <c:pt idx="4">
                  <c:v>22.002116201900002</c:v>
                </c:pt>
                <c:pt idx="5">
                  <c:v>38.327543561399999</c:v>
                </c:pt>
                <c:pt idx="6">
                  <c:v>28.924487624600001</c:v>
                </c:pt>
                <c:pt idx="7">
                  <c:v>87.815476010099999</c:v>
                </c:pt>
                <c:pt idx="8">
                  <c:v>100</c:v>
                </c:pt>
              </c:numCache>
            </c:numRef>
          </c:val>
          <c:extLst>
            <c:ext xmlns:c16="http://schemas.microsoft.com/office/drawing/2014/chart" uri="{C3380CC4-5D6E-409C-BE32-E72D297353CC}">
              <c16:uniqueId val="{00000006-721D-4006-BA89-2AEE22EA7BA9}"/>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指標縦棒!$C$36</c:f>
          <c:strCache>
            <c:ptCount val="1"/>
            <c:pt idx="0">
              <c:v>面積</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F58-47C0-BCBC-8B68F5EAAC63}"/>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指標縦棒!$F$36:$F$44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指標縦棒!$G$36:$G$44</c:f>
              <c:numCache>
                <c:formatCode>#,##0_ </c:formatCode>
                <c:ptCount val="9"/>
                <c:pt idx="0">
                  <c:v>1572.14714599999</c:v>
                </c:pt>
                <c:pt idx="1">
                  <c:v>778.16249549999895</c:v>
                </c:pt>
                <c:pt idx="2">
                  <c:v>627.53</c:v>
                </c:pt>
                <c:pt idx="3">
                  <c:v>105.4</c:v>
                </c:pt>
                <c:pt idx="4">
                  <c:v>734.3</c:v>
                </c:pt>
                <c:pt idx="5">
                  <c:v>605.24</c:v>
                </c:pt>
                <c:pt idx="6">
                  <c:v>1114.4000000000001</c:v>
                </c:pt>
                <c:pt idx="7">
                  <c:v>16406.160599999999</c:v>
                </c:pt>
                <c:pt idx="8">
                  <c:v>6340.5</c:v>
                </c:pt>
              </c:numCache>
            </c:numRef>
          </c:val>
          <c:extLst>
            <c:ext xmlns:c16="http://schemas.microsoft.com/office/drawing/2014/chart" uri="{C3380CC4-5D6E-409C-BE32-E72D297353CC}">
              <c16:uniqueId val="{00000006-1F58-47C0-BCBC-8B68F5EAAC63}"/>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指標縦棒!$C$37</c:f>
              <c:strCache>
                <c:ptCount val="1"/>
                <c:pt idx="0">
                  <c:v>k㎡</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指標縦棒!$C$36</c:f>
          <c:strCache>
            <c:ptCount val="1"/>
            <c:pt idx="0">
              <c:v>面積</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1FC-46A6-9E96-AB44BD004D2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指標縦棒!$F$36:$F$44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指標縦棒!$H$36:$H$44</c:f>
              <c:numCache>
                <c:formatCode>0.0_ </c:formatCode>
                <c:ptCount val="9"/>
                <c:pt idx="0">
                  <c:v>9.4950058116000005</c:v>
                </c:pt>
                <c:pt idx="1">
                  <c:v>4.6507621143</c:v>
                </c:pt>
                <c:pt idx="2">
                  <c:v>3.7317260644000001</c:v>
                </c:pt>
                <c:pt idx="3">
                  <c:v>0.54611666999999997</c:v>
                </c:pt>
                <c:pt idx="4">
                  <c:v>4.3831491103999998</c:v>
                </c:pt>
                <c:pt idx="5">
                  <c:v>3.5957307502</c:v>
                </c:pt>
                <c:pt idx="6">
                  <c:v>6.7022078330000001</c:v>
                </c:pt>
                <c:pt idx="7">
                  <c:v>100</c:v>
                </c:pt>
                <c:pt idx="8">
                  <c:v>38.587587443499999</c:v>
                </c:pt>
              </c:numCache>
            </c:numRef>
          </c:val>
          <c:extLst>
            <c:ext xmlns:c16="http://schemas.microsoft.com/office/drawing/2014/chart" uri="{C3380CC4-5D6E-409C-BE32-E72D297353CC}">
              <c16:uniqueId val="{00000006-91FC-46A6-9E96-AB44BD004D20}"/>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指標縦棒!$C$51</c:f>
          <c:strCache>
            <c:ptCount val="1"/>
            <c:pt idx="0">
              <c:v>為替</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指標縦棒!$G$50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C06-4593-8411-87F8DAF674AD}"/>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指標縦棒!$F$51:$F$59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指標縦棒!$G$51:$G$59</c:f>
              <c:numCache>
                <c:formatCode>#,##0_ </c:formatCode>
                <c:ptCount val="9"/>
                <c:pt idx="0">
                  <c:v>0.81100000000000005</c:v>
                </c:pt>
                <c:pt idx="1">
                  <c:v>1</c:v>
                </c:pt>
                <c:pt idx="2">
                  <c:v>131.45400000000001</c:v>
                </c:pt>
                <c:pt idx="3">
                  <c:v>0.95099999999999996</c:v>
                </c:pt>
                <c:pt idx="4">
                  <c:v>1.379</c:v>
                </c:pt>
                <c:pt idx="5">
                  <c:v>1291.729</c:v>
                </c:pt>
                <c:pt idx="6">
                  <c:v>7.8310000000000004</c:v>
                </c:pt>
                <c:pt idx="7">
                  <c:v>6.73</c:v>
                </c:pt>
                <c:pt idx="8">
                  <c:v>6.73</c:v>
                </c:pt>
              </c:numCache>
            </c:numRef>
          </c:val>
          <c:extLst>
            <c:ext xmlns:c16="http://schemas.microsoft.com/office/drawing/2014/chart" uri="{C3380CC4-5D6E-409C-BE32-E72D297353CC}">
              <c16:uniqueId val="{00000006-7C06-4593-8411-87F8DAF674AD}"/>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指標縦棒!$C$52</c:f>
              <c:strCache>
                <c:ptCount val="1"/>
                <c:pt idx="0">
                  <c:v>/USD</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指標縦棒!$C$51</c:f>
          <c:strCache>
            <c:ptCount val="1"/>
            <c:pt idx="0">
              <c:v>為替</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指標縦棒!$H$50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A90-4ECE-BA00-BC280E57267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指標縦棒!$F$51:$F$59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指標縦棒!$H$51:$H$59</c:f>
              <c:numCache>
                <c:formatCode>0.0_ </c:formatCode>
                <c:ptCount val="9"/>
                <c:pt idx="0">
                  <c:v>0</c:v>
                </c:pt>
                <c:pt idx="1">
                  <c:v>1.2728978000000001E-3</c:v>
                </c:pt>
                <c:pt idx="2">
                  <c:v>0.8798687382</c:v>
                </c:pt>
                <c:pt idx="3">
                  <c:v>9.4288729999999999E-4</c:v>
                </c:pt>
                <c:pt idx="4">
                  <c:v>3.8254284000000002E-3</c:v>
                </c:pt>
                <c:pt idx="5">
                  <c:v>8.6942154713999997</c:v>
                </c:pt>
                <c:pt idx="6">
                  <c:v>4.7279062300000001E-2</c:v>
                </c:pt>
                <c:pt idx="7">
                  <c:v>3.9863927399999999E-2</c:v>
                </c:pt>
                <c:pt idx="8">
                  <c:v>3.9863927399999999E-2</c:v>
                </c:pt>
              </c:numCache>
            </c:numRef>
          </c:val>
          <c:extLst>
            <c:ext xmlns:c16="http://schemas.microsoft.com/office/drawing/2014/chart" uri="{C3380CC4-5D6E-409C-BE32-E72D297353CC}">
              <c16:uniqueId val="{00000006-0A90-4ECE-BA00-BC280E57267A}"/>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指標縦棒!$C$66</c:f>
          <c:strCache>
            <c:ptCount val="1"/>
            <c:pt idx="0">
              <c:v>GDP</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指標縦棒!$G$65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281-4D49-B5A4-1BC16E5EEDB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指標縦棒!$F$66:$F$74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指標縦棒!$G$66:$G$74</c:f>
              <c:numCache>
                <c:formatCode>#,##0_ </c:formatCode>
                <c:ptCount val="9"/>
                <c:pt idx="0">
                  <c:v>725531.99808908603</c:v>
                </c:pt>
                <c:pt idx="1">
                  <c:v>905077.36801702098</c:v>
                </c:pt>
                <c:pt idx="2">
                  <c:v>822428.10811323498</c:v>
                </c:pt>
                <c:pt idx="3">
                  <c:v>288843.09538589697</c:v>
                </c:pt>
                <c:pt idx="4">
                  <c:v>423634.07738095202</c:v>
                </c:pt>
                <c:pt idx="5">
                  <c:v>412034.05762859603</c:v>
                </c:pt>
                <c:pt idx="6">
                  <c:v>368936.06072301499</c:v>
                </c:pt>
                <c:pt idx="7">
                  <c:v>624141.35151890805</c:v>
                </c:pt>
                <c:pt idx="8">
                  <c:v>669789.987600744</c:v>
                </c:pt>
              </c:numCache>
            </c:numRef>
          </c:val>
          <c:extLst>
            <c:ext xmlns:c16="http://schemas.microsoft.com/office/drawing/2014/chart" uri="{C3380CC4-5D6E-409C-BE32-E72D297353CC}">
              <c16:uniqueId val="{00000006-A281-4D49-B5A4-1BC16E5EEDB7}"/>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指標縦棒!$C$67</c:f>
              <c:strCache>
                <c:ptCount val="1"/>
                <c:pt idx="0">
                  <c:v>百万ドル</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指標縦棒!$C$66</c:f>
          <c:strCache>
            <c:ptCount val="1"/>
            <c:pt idx="0">
              <c:v>GDP</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指標縦棒!$H$65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026-4925-A159-1872E72F096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指標縦棒!$F$66:$F$74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指標縦棒!$H$66:$H$74</c:f>
              <c:numCache>
                <c:formatCode>0.0_ </c:formatCode>
                <c:ptCount val="9"/>
                <c:pt idx="0">
                  <c:v>79.614559965300003</c:v>
                </c:pt>
                <c:pt idx="1">
                  <c:v>100</c:v>
                </c:pt>
                <c:pt idx="2">
                  <c:v>90.616068059300005</c:v>
                </c:pt>
                <c:pt idx="3">
                  <c:v>30.033245540799999</c:v>
                </c:pt>
                <c:pt idx="4">
                  <c:v>45.337307582500003</c:v>
                </c:pt>
                <c:pt idx="5">
                  <c:v>44.020250466699999</c:v>
                </c:pt>
                <c:pt idx="6">
                  <c:v>39.126937807700003</c:v>
                </c:pt>
                <c:pt idx="7">
                  <c:v>68.102745728299993</c:v>
                </c:pt>
                <c:pt idx="8">
                  <c:v>73.285655952499994</c:v>
                </c:pt>
              </c:numCache>
            </c:numRef>
          </c:val>
          <c:extLst>
            <c:ext xmlns:c16="http://schemas.microsoft.com/office/drawing/2014/chart" uri="{C3380CC4-5D6E-409C-BE32-E72D297353CC}">
              <c16:uniqueId val="{00000006-9026-4925-A159-1872E72F0969}"/>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指標縦棒!$C$81</c:f>
          <c:strCache>
            <c:ptCount val="1"/>
            <c:pt idx="0">
              <c:v>1人あたりGDP</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指標縦棒!$G$80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D5A-42FD-8A61-EBB11A7F9D2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指標縦棒!$F$81:$F$89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指標縦棒!$G$81:$G$89</c:f>
              <c:numCache>
                <c:formatCode>#,##0_ </c:formatCode>
                <c:ptCount val="9"/>
                <c:pt idx="0">
                  <c:v>82478.422196446903</c:v>
                </c:pt>
                <c:pt idx="1">
                  <c:v>106888.217120776</c:v>
                </c:pt>
                <c:pt idx="2">
                  <c:v>85208.783717600803</c:v>
                </c:pt>
                <c:pt idx="3">
                  <c:v>134824.34625358001</c:v>
                </c:pt>
                <c:pt idx="4">
                  <c:v>72766.468261244605</c:v>
                </c:pt>
                <c:pt idx="5">
                  <c:v>42320.554126297699</c:v>
                </c:pt>
                <c:pt idx="6">
                  <c:v>49766.113469702803</c:v>
                </c:pt>
                <c:pt idx="7">
                  <c:v>28517.835672069301</c:v>
                </c:pt>
                <c:pt idx="8">
                  <c:v>26905.3553464344</c:v>
                </c:pt>
              </c:numCache>
            </c:numRef>
          </c:val>
          <c:extLst>
            <c:ext xmlns:c16="http://schemas.microsoft.com/office/drawing/2014/chart" uri="{C3380CC4-5D6E-409C-BE32-E72D297353CC}">
              <c16:uniqueId val="{00000006-FD5A-42FD-8A61-EBB11A7F9D20}"/>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指標縦棒!$C$82</c:f>
              <c:strCache>
                <c:ptCount val="1"/>
                <c:pt idx="0">
                  <c:v>ドル/人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指標縦棒!$C$81</c:f>
          <c:strCache>
            <c:ptCount val="1"/>
            <c:pt idx="0">
              <c:v>1人あたりGDP</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指標縦棒!$H$80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B2E-4BE7-B18E-75CF65DCB14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指標縦棒!$F$81:$F$89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指標縦棒!$H$81:$H$89</c:f>
              <c:numCache>
                <c:formatCode>0.0_ </c:formatCode>
                <c:ptCount val="9"/>
                <c:pt idx="0">
                  <c:v>35.3150378618</c:v>
                </c:pt>
                <c:pt idx="1">
                  <c:v>46.066160791900003</c:v>
                </c:pt>
                <c:pt idx="2">
                  <c:v>36.517606439200001</c:v>
                </c:pt>
                <c:pt idx="3">
                  <c:v>58.370432885600003</c:v>
                </c:pt>
                <c:pt idx="4">
                  <c:v>31.037475884199999</c:v>
                </c:pt>
                <c:pt idx="5">
                  <c:v>17.6277865934</c:v>
                </c:pt>
                <c:pt idx="6">
                  <c:v>20.907130972699999</c:v>
                </c:pt>
                <c:pt idx="7">
                  <c:v>11.548476081700001</c:v>
                </c:pt>
                <c:pt idx="8">
                  <c:v>10.8382704345</c:v>
                </c:pt>
              </c:numCache>
            </c:numRef>
          </c:val>
          <c:extLst>
            <c:ext xmlns:c16="http://schemas.microsoft.com/office/drawing/2014/chart" uri="{C3380CC4-5D6E-409C-BE32-E72D297353CC}">
              <c16:uniqueId val="{00000006-6B2E-4BE7-B18E-75CF65DCB14F}"/>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指標縦棒!$C$96</c:f>
          <c:strCache>
            <c:ptCount val="1"/>
            <c:pt idx="0">
              <c:v>GDP成長率</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指標縦棒!$G$95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9B1-4656-A3DC-78F3D6D31B6D}"/>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指標縦棒!$F$96:$F$104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指標縦棒!$G$96:$G$104</c:f>
              <c:numCache>
                <c:formatCode>0%</c:formatCode>
                <c:ptCount val="9"/>
                <c:pt idx="0">
                  <c:v>2.6222699073008299E-2</c:v>
                </c:pt>
                <c:pt idx="1">
                  <c:v>3.0302904506341401E-2</c:v>
                </c:pt>
                <c:pt idx="2">
                  <c:v>-2.69856239340804E-2</c:v>
                </c:pt>
                <c:pt idx="3">
                  <c:v>1.13511376841199E-2</c:v>
                </c:pt>
                <c:pt idx="4">
                  <c:v>2.8006106205105501E-2</c:v>
                </c:pt>
                <c:pt idx="5">
                  <c:v>3.5283824424346702E-2</c:v>
                </c:pt>
                <c:pt idx="6">
                  <c:v>8.9999999999999993E-3</c:v>
                </c:pt>
                <c:pt idx="7">
                  <c:v>5.81274755558975E-2</c:v>
                </c:pt>
                <c:pt idx="8">
                  <c:v>5.8964761252097098E-2</c:v>
                </c:pt>
              </c:numCache>
            </c:numRef>
          </c:val>
          <c:extLst>
            <c:ext xmlns:c16="http://schemas.microsoft.com/office/drawing/2014/chart" uri="{C3380CC4-5D6E-409C-BE32-E72D297353CC}">
              <c16:uniqueId val="{00000006-59B1-4656-A3DC-78F3D6D31B6D}"/>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指標縦棒!$C$96</c:f>
          <c:strCache>
            <c:ptCount val="1"/>
            <c:pt idx="0">
              <c:v>GDP成長率</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指標縦棒!$H$95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4B27-4854-8B9D-C5A6370AA2A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指標縦棒!$F$96:$F$104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指標縦棒!$H$96:$H$104</c:f>
              <c:numCache>
                <c:formatCode>0.0_ </c:formatCode>
                <c:ptCount val="9"/>
                <c:pt idx="0">
                  <c:v>37.6568433443</c:v>
                </c:pt>
                <c:pt idx="1">
                  <c:v>40.5176864345</c:v>
                </c:pt>
                <c:pt idx="2">
                  <c:v>0.34973572330000002</c:v>
                </c:pt>
                <c:pt idx="3">
                  <c:v>27.229622378199998</c:v>
                </c:pt>
                <c:pt idx="4">
                  <c:v>38.9072823367</c:v>
                </c:pt>
                <c:pt idx="5">
                  <c:v>44.010067042099998</c:v>
                </c:pt>
                <c:pt idx="6">
                  <c:v>25.5811181282</c:v>
                </c:pt>
                <c:pt idx="7">
                  <c:v>60.0269325071</c:v>
                </c:pt>
                <c:pt idx="8">
                  <c:v>60.613996819800001</c:v>
                </c:pt>
              </c:numCache>
            </c:numRef>
          </c:val>
          <c:extLst>
            <c:ext xmlns:c16="http://schemas.microsoft.com/office/drawing/2014/chart" uri="{C3380CC4-5D6E-409C-BE32-E72D297353CC}">
              <c16:uniqueId val="{00000006-4B27-4854-8B9D-C5A6370AA2A2}"/>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指標縦棒!$C$111</c:f>
          <c:strCache>
            <c:ptCount val="1"/>
            <c:pt idx="0">
              <c:v>経済自由度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指標縦棒!$G$110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D70-4214-B192-55D258C679B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指標縦棒!$F$111:$F$119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指標縦棒!$G$111:$G$119</c:f>
              <c:numCache>
                <c:formatCode>#,##0_ </c:formatCode>
                <c:ptCount val="9"/>
                <c:pt idx="0">
                  <c:v>69.941666666666606</c:v>
                </c:pt>
                <c:pt idx="1">
                  <c:v>70.616666666666603</c:v>
                </c:pt>
                <c:pt idx="2">
                  <c:v>69.2916666666666</c:v>
                </c:pt>
                <c:pt idx="3">
                  <c:v>63.6</c:v>
                </c:pt>
                <c:pt idx="4">
                  <c:v>83.933333333333294</c:v>
                </c:pt>
                <c:pt idx="5">
                  <c:v>73.733333333333306</c:v>
                </c:pt>
                <c:pt idx="6">
                  <c:v>48.2916666666666</c:v>
                </c:pt>
                <c:pt idx="7">
                  <c:v>48.2916666666666</c:v>
                </c:pt>
                <c:pt idx="8">
                  <c:v>48.2916666666666</c:v>
                </c:pt>
              </c:numCache>
            </c:numRef>
          </c:val>
          <c:extLst>
            <c:ext xmlns:c16="http://schemas.microsoft.com/office/drawing/2014/chart" uri="{C3380CC4-5D6E-409C-BE32-E72D297353CC}">
              <c16:uniqueId val="{00000006-3D70-4214-B192-55D258C679B5}"/>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指標縦棒!$C$112</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指標縦棒!$C$111</c:f>
          <c:strCache>
            <c:ptCount val="1"/>
            <c:pt idx="0">
              <c:v>経済自由度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指標縦棒!$H$110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517-413A-ABA5-9561D9E1812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指標縦棒!$F$111:$F$119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指標縦棒!$H$111:$H$119</c:f>
              <c:numCache>
                <c:formatCode>0.0_ </c:formatCode>
                <c:ptCount val="9"/>
                <c:pt idx="0">
                  <c:v>60.743511807300003</c:v>
                </c:pt>
                <c:pt idx="1">
                  <c:v>62.637362637400003</c:v>
                </c:pt>
                <c:pt idx="2">
                  <c:v>58.9198036007</c:v>
                </c:pt>
                <c:pt idx="3">
                  <c:v>42.950666354900001</c:v>
                </c:pt>
                <c:pt idx="4">
                  <c:v>100</c:v>
                </c:pt>
                <c:pt idx="5">
                  <c:v>71.381809679699998</c:v>
                </c:pt>
                <c:pt idx="6">
                  <c:v>0</c:v>
                </c:pt>
                <c:pt idx="7">
                  <c:v>0</c:v>
                </c:pt>
                <c:pt idx="8">
                  <c:v>0</c:v>
                </c:pt>
              </c:numCache>
            </c:numRef>
          </c:val>
          <c:extLst>
            <c:ext xmlns:c16="http://schemas.microsoft.com/office/drawing/2014/chart" uri="{C3380CC4-5D6E-409C-BE32-E72D297353CC}">
              <c16:uniqueId val="{00000006-3517-413A-ABA5-9561D9E18128}"/>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指標縦棒!$C$126</c:f>
          <c:strCache>
            <c:ptCount val="1"/>
            <c:pt idx="0">
              <c:v>上場株式時価総額</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指標縦棒!$G$125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D792-47DF-BE57-EAB37CFF7101}"/>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指標縦棒!$F$126:$F$134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指標縦棒!$G$126:$G$134</c:f>
              <c:numCache>
                <c:formatCode>#,##0_ </c:formatCode>
                <c:ptCount val="9"/>
                <c:pt idx="0">
                  <c:v>3095983.43</c:v>
                </c:pt>
                <c:pt idx="1">
                  <c:v>40297980.32</c:v>
                </c:pt>
                <c:pt idx="2">
                  <c:v>5380475.46</c:v>
                </c:pt>
                <c:pt idx="3">
                  <c:v>2967238.1958727399</c:v>
                </c:pt>
                <c:pt idx="4">
                  <c:v>619361.68000000005</c:v>
                </c:pt>
                <c:pt idx="5">
                  <c:v>1644507.58</c:v>
                </c:pt>
                <c:pt idx="6">
                  <c:v>4566809.0599999996</c:v>
                </c:pt>
                <c:pt idx="7">
                  <c:v>44003.11</c:v>
                </c:pt>
                <c:pt idx="8">
                  <c:v>6724470.8899999997</c:v>
                </c:pt>
              </c:numCache>
            </c:numRef>
          </c:val>
          <c:extLst>
            <c:ext xmlns:c16="http://schemas.microsoft.com/office/drawing/2014/chart" uri="{C3380CC4-5D6E-409C-BE32-E72D297353CC}">
              <c16:uniqueId val="{00000006-D792-47DF-BE57-EAB37CFF7101}"/>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指標縦棒!$C$127</c:f>
              <c:strCache>
                <c:ptCount val="1"/>
                <c:pt idx="0">
                  <c:v>百万ドル</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指標縦棒!$C$126</c:f>
          <c:strCache>
            <c:ptCount val="1"/>
            <c:pt idx="0">
              <c:v>上場株式時価総額</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指標縦棒!$H$125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A41-4567-87A7-78D50F7AA99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指標縦棒!$F$126:$F$134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指標縦棒!$H$126:$H$134</c:f>
              <c:numCache>
                <c:formatCode>0.0_ </c:formatCode>
                <c:ptCount val="9"/>
                <c:pt idx="0">
                  <c:v>7.6827260459</c:v>
                </c:pt>
                <c:pt idx="1">
                  <c:v>100</c:v>
                </c:pt>
                <c:pt idx="2">
                  <c:v>13.3517248688</c:v>
                </c:pt>
                <c:pt idx="3">
                  <c:v>7.3632429524000003</c:v>
                </c:pt>
                <c:pt idx="4">
                  <c:v>1.5369546440999999</c:v>
                </c:pt>
                <c:pt idx="5">
                  <c:v>4.0808684876000001</c:v>
                </c:pt>
                <c:pt idx="6">
                  <c:v>11.332600353</c:v>
                </c:pt>
                <c:pt idx="7">
                  <c:v>0.10919433100000001</c:v>
                </c:pt>
                <c:pt idx="8">
                  <c:v>16.686868266400001</c:v>
                </c:pt>
              </c:numCache>
            </c:numRef>
          </c:val>
          <c:extLst>
            <c:ext xmlns:c16="http://schemas.microsoft.com/office/drawing/2014/chart" uri="{C3380CC4-5D6E-409C-BE32-E72D297353CC}">
              <c16:uniqueId val="{00000006-CA41-4567-87A7-78D50F7AA996}"/>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指標縦棒!$C$141</c:f>
          <c:strCache>
            <c:ptCount val="1"/>
            <c:pt idx="0">
              <c:v>世界トップ500企業</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指標縦棒!$G$140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1D9-4D70-99D0-A2DF88B12BA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指標縦棒!$F$141:$F$149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指標縦棒!$G$141:$G$149</c:f>
              <c:numCache>
                <c:formatCode>#,##0_ </c:formatCode>
                <c:ptCount val="9"/>
                <c:pt idx="0">
                  <c:v>1036817.3</c:v>
                </c:pt>
                <c:pt idx="1">
                  <c:v>1183274.8</c:v>
                </c:pt>
                <c:pt idx="2">
                  <c:v>1862563</c:v>
                </c:pt>
                <c:pt idx="3">
                  <c:v>1672092.2</c:v>
                </c:pt>
                <c:pt idx="4">
                  <c:v>431710.9</c:v>
                </c:pt>
                <c:pt idx="5">
                  <c:v>728271.39999999898</c:v>
                </c:pt>
                <c:pt idx="6">
                  <c:v>366825.2</c:v>
                </c:pt>
                <c:pt idx="7">
                  <c:v>5258097.7</c:v>
                </c:pt>
                <c:pt idx="8">
                  <c:v>481887.6</c:v>
                </c:pt>
              </c:numCache>
            </c:numRef>
          </c:val>
          <c:extLst>
            <c:ext xmlns:c16="http://schemas.microsoft.com/office/drawing/2014/chart" uri="{C3380CC4-5D6E-409C-BE32-E72D297353CC}">
              <c16:uniqueId val="{00000006-91D9-4D70-99D0-A2DF88B12BAA}"/>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指標縦棒!$C$142</c:f>
              <c:strCache>
                <c:ptCount val="1"/>
                <c:pt idx="0">
                  <c:v>百万ドル</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指標縦棒!$C$141</c:f>
          <c:strCache>
            <c:ptCount val="1"/>
            <c:pt idx="0">
              <c:v>世界トップ500企業</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指標縦棒!$H$140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1D3-47B4-80FA-A2B2F45692D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指標縦棒!$F$141:$F$149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指標縦棒!$H$141:$H$149</c:f>
              <c:numCache>
                <c:formatCode>0.0_ </c:formatCode>
                <c:ptCount val="9"/>
                <c:pt idx="0">
                  <c:v>19.718486782799999</c:v>
                </c:pt>
                <c:pt idx="1">
                  <c:v>22.503857240999999</c:v>
                </c:pt>
                <c:pt idx="2">
                  <c:v>35.4227537461</c:v>
                </c:pt>
                <c:pt idx="3">
                  <c:v>31.8003258098</c:v>
                </c:pt>
                <c:pt idx="4">
                  <c:v>8.2104008832000002</c:v>
                </c:pt>
                <c:pt idx="5">
                  <c:v>13.850472957199999</c:v>
                </c:pt>
                <c:pt idx="6">
                  <c:v>6.9763861558000002</c:v>
                </c:pt>
                <c:pt idx="7">
                  <c:v>100</c:v>
                </c:pt>
                <c:pt idx="8">
                  <c:v>9.1646756583000002</c:v>
                </c:pt>
              </c:numCache>
            </c:numRef>
          </c:val>
          <c:extLst>
            <c:ext xmlns:c16="http://schemas.microsoft.com/office/drawing/2014/chart" uri="{C3380CC4-5D6E-409C-BE32-E72D297353CC}">
              <c16:uniqueId val="{00000006-F1D3-47B4-80FA-A2B2F45692DB}"/>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指標縦棒!$C$156</c:f>
          <c:strCache>
            <c:ptCount val="1"/>
            <c:pt idx="0">
              <c:v>従業者数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指標縦棒!$G$155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0EA-4FD0-BBC5-C9BEC986C08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指標縦棒!$F$156:$F$164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指標縦棒!$G$156:$G$164</c:f>
              <c:numCache>
                <c:formatCode>#,##0_ </c:formatCode>
                <c:ptCount val="9"/>
                <c:pt idx="0">
                  <c:v>6344000</c:v>
                </c:pt>
                <c:pt idx="1">
                  <c:v>5751282</c:v>
                </c:pt>
                <c:pt idx="2">
                  <c:v>8365553</c:v>
                </c:pt>
                <c:pt idx="3">
                  <c:v>2105368</c:v>
                </c:pt>
                <c:pt idx="4">
                  <c:v>3656200</c:v>
                </c:pt>
                <c:pt idx="5">
                  <c:v>5147000</c:v>
                </c:pt>
                <c:pt idx="6">
                  <c:v>3654100</c:v>
                </c:pt>
                <c:pt idx="7">
                  <c:v>11580000</c:v>
                </c:pt>
                <c:pt idx="8">
                  <c:v>13762000</c:v>
                </c:pt>
              </c:numCache>
            </c:numRef>
          </c:val>
          <c:extLst>
            <c:ext xmlns:c16="http://schemas.microsoft.com/office/drawing/2014/chart" uri="{C3380CC4-5D6E-409C-BE32-E72D297353CC}">
              <c16:uniqueId val="{00000006-50EA-4FD0-BBC5-C9BEC986C08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指標縦棒!$C$157</c:f>
              <c:strCache>
                <c:ptCount val="1"/>
                <c:pt idx="0">
                  <c:v>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指標縦棒!$C$156</c:f>
          <c:strCache>
            <c:ptCount val="1"/>
            <c:pt idx="0">
              <c:v>従業者数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指標縦棒!$H$155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E61-45D5-B3CF-7EA4244DBB6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指標縦棒!$F$156:$F$164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指標縦棒!$H$156:$H$164</c:f>
              <c:numCache>
                <c:formatCode>0.0_ </c:formatCode>
                <c:ptCount val="9"/>
                <c:pt idx="0">
                  <c:v>45.432782136299998</c:v>
                </c:pt>
                <c:pt idx="1">
                  <c:v>41.072715779100001</c:v>
                </c:pt>
                <c:pt idx="2">
                  <c:v>60.303437700300002</c:v>
                </c:pt>
                <c:pt idx="3">
                  <c:v>14.253170948899999</c:v>
                </c:pt>
                <c:pt idx="4">
                  <c:v>25.661176828399999</c:v>
                </c:pt>
                <c:pt idx="5">
                  <c:v>36.6275839989</c:v>
                </c:pt>
                <c:pt idx="6">
                  <c:v>25.6457291123</c:v>
                </c:pt>
                <c:pt idx="7">
                  <c:v>83.949087438800007</c:v>
                </c:pt>
                <c:pt idx="8">
                  <c:v>100</c:v>
                </c:pt>
              </c:numCache>
            </c:numRef>
          </c:val>
          <c:extLst>
            <c:ext xmlns:c16="http://schemas.microsoft.com/office/drawing/2014/chart" uri="{C3380CC4-5D6E-409C-BE32-E72D297353CC}">
              <c16:uniqueId val="{00000006-CE61-45D5-B3CF-7EA4244DBB67}"/>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指標縦棒!$C$171</c:f>
          <c:strCache>
            <c:ptCount val="1"/>
            <c:pt idx="0">
              <c:v>ビジネスサポート人材の多さ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指標縦棒!$G$170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E06-46F7-BACA-7BCEF0A10DE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指標縦棒!$F$171:$F$179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指標縦棒!$G$171:$G$179</c:f>
              <c:numCache>
                <c:formatCode>0%</c:formatCode>
                <c:ptCount val="9"/>
                <c:pt idx="0">
                  <c:v>0.34252837326607799</c:v>
                </c:pt>
                <c:pt idx="1">
                  <c:v>0.17147550754770799</c:v>
                </c:pt>
                <c:pt idx="2">
                  <c:v>0.27474776622657199</c:v>
                </c:pt>
                <c:pt idx="3">
                  <c:v>0.28116082319100499</c:v>
                </c:pt>
                <c:pt idx="4">
                  <c:v>0.16776981565559801</c:v>
                </c:pt>
                <c:pt idx="5">
                  <c:v>0.216423788893265</c:v>
                </c:pt>
                <c:pt idx="6">
                  <c:v>0.22600000000000001</c:v>
                </c:pt>
                <c:pt idx="7">
                  <c:v>0.31312607944732201</c:v>
                </c:pt>
                <c:pt idx="8">
                  <c:v>0.230126435111175</c:v>
                </c:pt>
              </c:numCache>
            </c:numRef>
          </c:val>
          <c:extLst>
            <c:ext xmlns:c16="http://schemas.microsoft.com/office/drawing/2014/chart" uri="{C3380CC4-5D6E-409C-BE32-E72D297353CC}">
              <c16:uniqueId val="{00000006-FE06-46F7-BACA-7BCEF0A10DE0}"/>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指標縦棒!$C$171</c:f>
          <c:strCache>
            <c:ptCount val="1"/>
            <c:pt idx="0">
              <c:v>ビジネスサポート人材の多さ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指標縦棒!$H$170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C4E-42EA-A0C8-238EE59B5BB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指標縦棒!$F$171:$F$179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指標縦棒!$H$171:$H$179</c:f>
              <c:numCache>
                <c:formatCode>0.0_ </c:formatCode>
                <c:ptCount val="9"/>
                <c:pt idx="0">
                  <c:v>93.550885234500001</c:v>
                </c:pt>
                <c:pt idx="1">
                  <c:v>43.237304028399997</c:v>
                </c:pt>
                <c:pt idx="2">
                  <c:v>73.613861308200001</c:v>
                </c:pt>
                <c:pt idx="3">
                  <c:v>75.500201306099996</c:v>
                </c:pt>
                <c:pt idx="4">
                  <c:v>42.147309837599998</c:v>
                </c:pt>
                <c:pt idx="5">
                  <c:v>56.458415490299998</c:v>
                </c:pt>
                <c:pt idx="6">
                  <c:v>59.275167335699997</c:v>
                </c:pt>
                <c:pt idx="7">
                  <c:v>84.902478839799997</c:v>
                </c:pt>
                <c:pt idx="8">
                  <c:v>60.488919161399998</c:v>
                </c:pt>
              </c:numCache>
            </c:numRef>
          </c:val>
          <c:extLst>
            <c:ext xmlns:c16="http://schemas.microsoft.com/office/drawing/2014/chart" uri="{C3380CC4-5D6E-409C-BE32-E72D297353CC}">
              <c16:uniqueId val="{00000006-6C4E-42EA-A0C8-238EE59B5BB7}"/>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指標縦棒!$C$186</c:f>
          <c:strCache>
            <c:ptCount val="1"/>
            <c:pt idx="0">
              <c:v>賃金水準の高さ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指標縦棒!$G$185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BC38-48F5-8CB3-728388E70F9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指標縦棒!$F$186:$F$194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指標縦棒!$G$186:$G$194</c:f>
              <c:numCache>
                <c:formatCode>#,##0_ </c:formatCode>
                <c:ptCount val="9"/>
                <c:pt idx="0">
                  <c:v>60.506179016820496</c:v>
                </c:pt>
                <c:pt idx="1">
                  <c:v>100</c:v>
                </c:pt>
                <c:pt idx="2">
                  <c:v>38.991109100708002</c:v>
                </c:pt>
                <c:pt idx="3">
                  <c:v>39.833036151406198</c:v>
                </c:pt>
                <c:pt idx="4">
                  <c:v>74.082364861677902</c:v>
                </c:pt>
                <c:pt idx="5">
                  <c:v>42.177120890399003</c:v>
                </c:pt>
                <c:pt idx="6">
                  <c:v>41.995066685185499</c:v>
                </c:pt>
                <c:pt idx="7">
                  <c:v>23.7623006873606</c:v>
                </c:pt>
                <c:pt idx="8">
                  <c:v>18.8417360171028</c:v>
                </c:pt>
              </c:numCache>
            </c:numRef>
          </c:val>
          <c:extLst>
            <c:ext xmlns:c16="http://schemas.microsoft.com/office/drawing/2014/chart" uri="{C3380CC4-5D6E-409C-BE32-E72D297353CC}">
              <c16:uniqueId val="{00000006-BC38-48F5-8CB3-728388E70F9A}"/>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指標縦棒!$C$187</c:f>
              <c:strCache>
                <c:ptCount val="1"/>
                <c:pt idx="0">
                  <c:v>ドル/月</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指標縦棒!$C$186</c:f>
          <c:strCache>
            <c:ptCount val="1"/>
            <c:pt idx="0">
              <c:v>賃金水準の高さ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指標縦棒!$H$185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5E9-41CF-84F2-1436C9DCC0B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指標縦棒!$F$186:$F$194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指標縦棒!$H$186:$H$194</c:f>
              <c:numCache>
                <c:formatCode>0.0_ </c:formatCode>
                <c:ptCount val="9"/>
                <c:pt idx="0">
                  <c:v>60.506179016799997</c:v>
                </c:pt>
                <c:pt idx="1">
                  <c:v>100</c:v>
                </c:pt>
                <c:pt idx="2">
                  <c:v>38.991109100700001</c:v>
                </c:pt>
                <c:pt idx="3">
                  <c:v>39.833036151400002</c:v>
                </c:pt>
                <c:pt idx="4">
                  <c:v>74.0823648617</c:v>
                </c:pt>
                <c:pt idx="5">
                  <c:v>42.177120890399998</c:v>
                </c:pt>
                <c:pt idx="6">
                  <c:v>41.995066685200001</c:v>
                </c:pt>
                <c:pt idx="7">
                  <c:v>23.7623006874</c:v>
                </c:pt>
                <c:pt idx="8">
                  <c:v>18.841736017100001</c:v>
                </c:pt>
              </c:numCache>
            </c:numRef>
          </c:val>
          <c:extLst>
            <c:ext xmlns:c16="http://schemas.microsoft.com/office/drawing/2014/chart" uri="{C3380CC4-5D6E-409C-BE32-E72D297353CC}">
              <c16:uniqueId val="{00000006-15E9-41CF-84F2-1436C9DCC0B2}"/>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指標縦棒!$C$201</c:f>
          <c:strCache>
            <c:ptCount val="1"/>
            <c:pt idx="0">
              <c:v>優秀な人材確保の容易性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指標縦棒!$G$200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6B0-40C6-AAB6-7C4EAA920D53}"/>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指標縦棒!$F$201:$F$209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指標縦棒!$G$201:$G$209</c:f>
              <c:numCache>
                <c:formatCode>#,##0_ </c:formatCode>
                <c:ptCount val="9"/>
                <c:pt idx="0">
                  <c:v>79.7525403737978</c:v>
                </c:pt>
                <c:pt idx="1">
                  <c:v>87.099567099567096</c:v>
                </c:pt>
                <c:pt idx="2">
                  <c:v>25.060752754331101</c:v>
                </c:pt>
                <c:pt idx="3">
                  <c:v>52.1726486570075</c:v>
                </c:pt>
                <c:pt idx="4">
                  <c:v>74.627741084482693</c:v>
                </c:pt>
                <c:pt idx="5">
                  <c:v>48.033983781454303</c:v>
                </c:pt>
                <c:pt idx="6">
                  <c:v>41.437801777811401</c:v>
                </c:pt>
                <c:pt idx="7">
                  <c:v>32.757401718101001</c:v>
                </c:pt>
                <c:pt idx="8">
                  <c:v>38.471687432386702</c:v>
                </c:pt>
              </c:numCache>
            </c:numRef>
          </c:val>
          <c:extLst>
            <c:ext xmlns:c16="http://schemas.microsoft.com/office/drawing/2014/chart" uri="{C3380CC4-5D6E-409C-BE32-E72D297353CC}">
              <c16:uniqueId val="{00000006-F6B0-40C6-AAB6-7C4EAA920D53}"/>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指標縦棒!$C$202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指標縦棒!$C$201</c:f>
          <c:strCache>
            <c:ptCount val="1"/>
            <c:pt idx="0">
              <c:v>優秀な人材確保の容易性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指標縦棒!$H$200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D51-46E1-AD2F-46BE409C2C8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指標縦棒!$F$201:$F$209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指標縦棒!$H$201:$H$209</c:f>
              <c:numCache>
                <c:formatCode>0.0_ </c:formatCode>
                <c:ptCount val="9"/>
                <c:pt idx="0">
                  <c:v>78.519667488600007</c:v>
                </c:pt>
                <c:pt idx="1">
                  <c:v>86.314056510900002</c:v>
                </c:pt>
                <c:pt idx="2">
                  <c:v>20.497683230100002</c:v>
                </c:pt>
                <c:pt idx="3">
                  <c:v>49.260429261200002</c:v>
                </c:pt>
                <c:pt idx="4">
                  <c:v>73.082817887700003</c:v>
                </c:pt>
                <c:pt idx="5">
                  <c:v>44.869760045299998</c:v>
                </c:pt>
                <c:pt idx="6">
                  <c:v>37.8719348682</c:v>
                </c:pt>
                <c:pt idx="7">
                  <c:v>28.662983075900001</c:v>
                </c:pt>
                <c:pt idx="8">
                  <c:v>34.725213077799999</c:v>
                </c:pt>
              </c:numCache>
            </c:numRef>
          </c:val>
          <c:extLst>
            <c:ext xmlns:c16="http://schemas.microsoft.com/office/drawing/2014/chart" uri="{C3380CC4-5D6E-409C-BE32-E72D297353CC}">
              <c16:uniqueId val="{00000006-1D51-46E1-AD2F-46BE409C2C8C}"/>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指標縦棒!$C$216</c:f>
          <c:strCache>
            <c:ptCount val="1"/>
            <c:pt idx="0">
              <c:v>ワークプレイス充実度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指標縦棒!$G$215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881-406C-BAE7-371C508EA4C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指標縦棒!$F$216:$F$224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指標縦棒!$G$216:$G$224</c:f>
              <c:numCache>
                <c:formatCode>#,##0_ </c:formatCode>
                <c:ptCount val="9"/>
                <c:pt idx="0">
                  <c:v>63.815508249978599</c:v>
                </c:pt>
                <c:pt idx="1">
                  <c:v>57.9965730256488</c:v>
                </c:pt>
                <c:pt idx="2">
                  <c:v>31.081361513759099</c:v>
                </c:pt>
                <c:pt idx="3">
                  <c:v>38.417214725626799</c:v>
                </c:pt>
                <c:pt idx="4">
                  <c:v>54.535975213757901</c:v>
                </c:pt>
                <c:pt idx="5">
                  <c:v>26.111806787802401</c:v>
                </c:pt>
                <c:pt idx="6">
                  <c:v>52.656437393664802</c:v>
                </c:pt>
                <c:pt idx="7">
                  <c:v>54.150653343581801</c:v>
                </c:pt>
                <c:pt idx="8">
                  <c:v>50.886136804164202</c:v>
                </c:pt>
              </c:numCache>
            </c:numRef>
          </c:val>
          <c:extLst>
            <c:ext xmlns:c16="http://schemas.microsoft.com/office/drawing/2014/chart" uri="{C3380CC4-5D6E-409C-BE32-E72D297353CC}">
              <c16:uniqueId val="{00000006-8881-406C-BAE7-371C508EA4C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指標縦棒!$C$217</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指標縦棒!$C$216</c:f>
          <c:strCache>
            <c:ptCount val="1"/>
            <c:pt idx="0">
              <c:v>ワークプレイス充実度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指標縦棒!$H$215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40E-48EB-8F85-6A93C68B393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指標縦棒!$F$216:$F$224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指標縦棒!$H$216:$H$224</c:f>
              <c:numCache>
                <c:formatCode>0.0_ </c:formatCode>
                <c:ptCount val="9"/>
                <c:pt idx="0">
                  <c:v>100</c:v>
                </c:pt>
                <c:pt idx="1">
                  <c:v>90.450290137400003</c:v>
                </c:pt>
                <c:pt idx="2">
                  <c:v>46.278555804299998</c:v>
                </c:pt>
                <c:pt idx="3">
                  <c:v>58.317746320700003</c:v>
                </c:pt>
                <c:pt idx="4">
                  <c:v>84.7709512582</c:v>
                </c:pt>
                <c:pt idx="5">
                  <c:v>38.122801538300003</c:v>
                </c:pt>
                <c:pt idx="6">
                  <c:v>81.686359289799995</c:v>
                </c:pt>
                <c:pt idx="7">
                  <c:v>84.138582633699997</c:v>
                </c:pt>
                <c:pt idx="8">
                  <c:v>78.781041332499996</c:v>
                </c:pt>
              </c:numCache>
            </c:numRef>
          </c:val>
          <c:extLst>
            <c:ext xmlns:c16="http://schemas.microsoft.com/office/drawing/2014/chart" uri="{C3380CC4-5D6E-409C-BE32-E72D297353CC}">
              <c16:uniqueId val="{00000006-840E-48EB-8F85-6A93C68B3937}"/>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指標縦棒!$C$231</c:f>
          <c:strCache>
            <c:ptCount val="1"/>
            <c:pt idx="0">
              <c:v>法人税率の低さ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指標縦棒!$G$230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28F-438F-AB8D-DEA754656FA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指標縦棒!$F$231:$F$239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指標縦棒!$G$231:$G$239</c:f>
              <c:numCache>
                <c:formatCode>0%</c:formatCode>
                <c:ptCount val="9"/>
                <c:pt idx="0">
                  <c:v>0.25</c:v>
                </c:pt>
                <c:pt idx="1">
                  <c:v>0.34076218250000001</c:v>
                </c:pt>
                <c:pt idx="2">
                  <c:v>0.30624783195220601</c:v>
                </c:pt>
                <c:pt idx="3">
                  <c:v>0.25</c:v>
                </c:pt>
                <c:pt idx="4">
                  <c:v>0.17</c:v>
                </c:pt>
                <c:pt idx="5">
                  <c:v>0.24</c:v>
                </c:pt>
                <c:pt idx="6">
                  <c:v>0.16500000000000001</c:v>
                </c:pt>
                <c:pt idx="7">
                  <c:v>0.25</c:v>
                </c:pt>
                <c:pt idx="8">
                  <c:v>0.25</c:v>
                </c:pt>
              </c:numCache>
            </c:numRef>
          </c:val>
          <c:extLst>
            <c:ext xmlns:c16="http://schemas.microsoft.com/office/drawing/2014/chart" uri="{C3380CC4-5D6E-409C-BE32-E72D297353CC}">
              <c16:uniqueId val="{00000006-628F-438F-AB8D-DEA754656FA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指標縦棒!$C$231</c:f>
          <c:strCache>
            <c:ptCount val="1"/>
            <c:pt idx="0">
              <c:v>法人税率の低さ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指標縦棒!$H$230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275-4F15-BC2E-015C0A674C9E}"/>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指標縦棒!$F$231:$F$239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指標縦棒!$H$231:$H$239</c:f>
              <c:numCache>
                <c:formatCode>0.0_ </c:formatCode>
                <c:ptCount val="9"/>
                <c:pt idx="0">
                  <c:v>38.461538461499998</c:v>
                </c:pt>
                <c:pt idx="1">
                  <c:v>3.5530067308</c:v>
                </c:pt>
                <c:pt idx="2">
                  <c:v>16.827756941499999</c:v>
                </c:pt>
                <c:pt idx="3">
                  <c:v>38.461538461499998</c:v>
                </c:pt>
                <c:pt idx="4">
                  <c:v>69.230769230800007</c:v>
                </c:pt>
                <c:pt idx="5">
                  <c:v>42.307692307700002</c:v>
                </c:pt>
                <c:pt idx="6">
                  <c:v>71.153846153800004</c:v>
                </c:pt>
                <c:pt idx="7">
                  <c:v>38.461538461499998</c:v>
                </c:pt>
                <c:pt idx="8">
                  <c:v>38.461538461499998</c:v>
                </c:pt>
              </c:numCache>
            </c:numRef>
          </c:val>
          <c:extLst>
            <c:ext xmlns:c16="http://schemas.microsoft.com/office/drawing/2014/chart" uri="{C3380CC4-5D6E-409C-BE32-E72D297353CC}">
              <c16:uniqueId val="{00000006-A275-4F15-BC2E-015C0A674C9E}"/>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指標縦棒!$C$246</c:f>
          <c:strCache>
            <c:ptCount val="1"/>
            <c:pt idx="0">
              <c:v>政治・経済・商機のリスクの低さ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指標縦棒!$G$245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E151-47CA-820B-8F9700B1AA2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指標縦棒!$F$246:$F$254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指標縦棒!$G$246:$G$254</c:f>
              <c:numCache>
                <c:formatCode>#,##0_ </c:formatCode>
                <c:ptCount val="9"/>
                <c:pt idx="0">
                  <c:v>95.159862172720494</c:v>
                </c:pt>
                <c:pt idx="1">
                  <c:v>98.194403425871201</c:v>
                </c:pt>
                <c:pt idx="2">
                  <c:v>84.580785105238206</c:v>
                </c:pt>
                <c:pt idx="3">
                  <c:v>82.832899226868903</c:v>
                </c:pt>
                <c:pt idx="4">
                  <c:v>100</c:v>
                </c:pt>
                <c:pt idx="5">
                  <c:v>95.984362298456702</c:v>
                </c:pt>
                <c:pt idx="6">
                  <c:v>98.3868053078196</c:v>
                </c:pt>
                <c:pt idx="7">
                  <c:v>81.758518623569302</c:v>
                </c:pt>
                <c:pt idx="8">
                  <c:v>80.760100559671997</c:v>
                </c:pt>
              </c:numCache>
            </c:numRef>
          </c:val>
          <c:extLst>
            <c:ext xmlns:c16="http://schemas.microsoft.com/office/drawing/2014/chart" uri="{C3380CC4-5D6E-409C-BE32-E72D297353CC}">
              <c16:uniqueId val="{00000006-E151-47CA-820B-8F9700B1AA27}"/>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指標縦棒!$C$247</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指標縦棒!$C$246</c:f>
          <c:strCache>
            <c:ptCount val="1"/>
            <c:pt idx="0">
              <c:v>政治・経済・商機のリスクの低さ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指標縦棒!$H$245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636-49AC-8B79-73E5D87C261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指標縦棒!$F$246:$F$254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指標縦棒!$H$246:$H$254</c:f>
              <c:numCache>
                <c:formatCode>0.0_ </c:formatCode>
                <c:ptCount val="9"/>
                <c:pt idx="0">
                  <c:v>94.893104138799998</c:v>
                </c:pt>
                <c:pt idx="1">
                  <c:v>98.0948902696</c:v>
                </c:pt>
                <c:pt idx="2">
                  <c:v>83.730974708000005</c:v>
                </c:pt>
                <c:pt idx="3">
                  <c:v>81.886756324800004</c:v>
                </c:pt>
                <c:pt idx="4">
                  <c:v>100</c:v>
                </c:pt>
                <c:pt idx="5">
                  <c:v>95.763045539199993</c:v>
                </c:pt>
                <c:pt idx="6">
                  <c:v>98.297896136299997</c:v>
                </c:pt>
                <c:pt idx="7">
                  <c:v>80.753162602399996</c:v>
                </c:pt>
                <c:pt idx="8">
                  <c:v>79.699717998099999</c:v>
                </c:pt>
              </c:numCache>
            </c:numRef>
          </c:val>
          <c:extLst>
            <c:ext xmlns:c16="http://schemas.microsoft.com/office/drawing/2014/chart" uri="{C3380CC4-5D6E-409C-BE32-E72D297353CC}">
              <c16:uniqueId val="{00000006-C636-49AC-8B79-73E5D87C2617}"/>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指標縦棒!$C$261</c:f>
          <c:strCache>
            <c:ptCount val="1"/>
            <c:pt idx="0">
              <c:v>研究者数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指標縦棒!$G$260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FD0-441C-91C3-FB6646BB79C3}"/>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指標縦棒!$F$261:$F$269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指標縦棒!$G$261:$G$269</c:f>
              <c:numCache>
                <c:formatCode>#,##0_ </c:formatCode>
                <c:ptCount val="9"/>
                <c:pt idx="0">
                  <c:v>53586.924894415097</c:v>
                </c:pt>
                <c:pt idx="1">
                  <c:v>102333.390527417</c:v>
                </c:pt>
                <c:pt idx="2">
                  <c:v>92806.5999147439</c:v>
                </c:pt>
                <c:pt idx="3">
                  <c:v>22750.284511998099</c:v>
                </c:pt>
                <c:pt idx="4">
                  <c:v>42292.974326800002</c:v>
                </c:pt>
                <c:pt idx="5">
                  <c:v>85071.343785637902</c:v>
                </c:pt>
                <c:pt idx="6">
                  <c:v>34150.534724999998</c:v>
                </c:pt>
                <c:pt idx="7">
                  <c:v>37289.927824581799</c:v>
                </c:pt>
                <c:pt idx="8">
                  <c:v>40541.436696483703</c:v>
                </c:pt>
              </c:numCache>
            </c:numRef>
          </c:val>
          <c:extLst>
            <c:ext xmlns:c16="http://schemas.microsoft.com/office/drawing/2014/chart" uri="{C3380CC4-5D6E-409C-BE32-E72D297353CC}">
              <c16:uniqueId val="{00000006-5FD0-441C-91C3-FB6646BB79C3}"/>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指標縦棒!$C$262</c:f>
              <c:strCache>
                <c:ptCount val="1"/>
                <c:pt idx="0">
                  <c:v>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指標縦棒!$C$261</c:f>
          <c:strCache>
            <c:ptCount val="1"/>
            <c:pt idx="0">
              <c:v>研究者数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指標縦棒!$H$260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815-475D-9864-CA312265299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指標縦棒!$F$261:$F$269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指標縦棒!$H$261:$H$269</c:f>
              <c:numCache>
                <c:formatCode>0.0_ </c:formatCode>
                <c:ptCount val="9"/>
                <c:pt idx="0">
                  <c:v>51.694765022399999</c:v>
                </c:pt>
                <c:pt idx="1">
                  <c:v>100</c:v>
                </c:pt>
                <c:pt idx="2">
                  <c:v>90.559441527700002</c:v>
                </c:pt>
                <c:pt idx="3">
                  <c:v>21.137243769400001</c:v>
                </c:pt>
                <c:pt idx="4">
                  <c:v>40.503042116800003</c:v>
                </c:pt>
                <c:pt idx="5">
                  <c:v>82.894201390199996</c:v>
                </c:pt>
                <c:pt idx="6">
                  <c:v>32.4343041447</c:v>
                </c:pt>
                <c:pt idx="7">
                  <c:v>35.5452808975</c:v>
                </c:pt>
                <c:pt idx="8">
                  <c:v>38.767358602000002</c:v>
                </c:pt>
              </c:numCache>
            </c:numRef>
          </c:val>
          <c:extLst>
            <c:ext xmlns:c16="http://schemas.microsoft.com/office/drawing/2014/chart" uri="{C3380CC4-5D6E-409C-BE32-E72D297353CC}">
              <c16:uniqueId val="{00000006-8815-475D-9864-CA3122652990}"/>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指標縦棒!$C$276</c:f>
          <c:strCache>
            <c:ptCount val="1"/>
            <c:pt idx="0">
              <c:v>世界トップ大学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指標縦棒!$G$275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CBA-41EA-B01C-3911B571894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指標縦棒!$F$276:$F$284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指標縦棒!$G$276:$G$284</c:f>
              <c:numCache>
                <c:formatCode>#,##0_ </c:formatCode>
                <c:ptCount val="9"/>
                <c:pt idx="0">
                  <c:v>793</c:v>
                </c:pt>
                <c:pt idx="1">
                  <c:v>371</c:v>
                </c:pt>
                <c:pt idx="2">
                  <c:v>167</c:v>
                </c:pt>
                <c:pt idx="3">
                  <c:v>571</c:v>
                </c:pt>
                <c:pt idx="4">
                  <c:v>347</c:v>
                </c:pt>
                <c:pt idx="5">
                  <c:v>307</c:v>
                </c:pt>
                <c:pt idx="6">
                  <c:v>694</c:v>
                </c:pt>
                <c:pt idx="7">
                  <c:v>376</c:v>
                </c:pt>
                <c:pt idx="8">
                  <c:v>303</c:v>
                </c:pt>
              </c:numCache>
            </c:numRef>
          </c:val>
          <c:extLst>
            <c:ext xmlns:c16="http://schemas.microsoft.com/office/drawing/2014/chart" uri="{C3380CC4-5D6E-409C-BE32-E72D297353CC}">
              <c16:uniqueId val="{00000006-ACBA-41EA-B01C-3911B571894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指標縦棒!$C$277</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指標縦棒!$C$276</c:f>
          <c:strCache>
            <c:ptCount val="1"/>
            <c:pt idx="0">
              <c:v>世界トップ大学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指標縦棒!$H$275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240-45CA-88CD-3300531019D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指標縦棒!$F$276:$F$284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指標縦棒!$H$276:$H$284</c:f>
              <c:numCache>
                <c:formatCode>0.0_ </c:formatCode>
                <c:ptCount val="9"/>
                <c:pt idx="0">
                  <c:v>100</c:v>
                </c:pt>
                <c:pt idx="1">
                  <c:v>46.784363177800003</c:v>
                </c:pt>
                <c:pt idx="2">
                  <c:v>21.059268600300001</c:v>
                </c:pt>
                <c:pt idx="3">
                  <c:v>72.005044136199999</c:v>
                </c:pt>
                <c:pt idx="4">
                  <c:v>43.7578814628</c:v>
                </c:pt>
                <c:pt idx="5">
                  <c:v>38.713745271100002</c:v>
                </c:pt>
                <c:pt idx="6">
                  <c:v>87.515762925600001</c:v>
                </c:pt>
                <c:pt idx="7">
                  <c:v>47.414880201800003</c:v>
                </c:pt>
                <c:pt idx="8">
                  <c:v>38.209331652000003</c:v>
                </c:pt>
              </c:numCache>
            </c:numRef>
          </c:val>
          <c:extLst>
            <c:ext xmlns:c16="http://schemas.microsoft.com/office/drawing/2014/chart" uri="{C3380CC4-5D6E-409C-BE32-E72D297353CC}">
              <c16:uniqueId val="{00000006-3240-45CA-88CD-3300531019D8}"/>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指標縦棒!$C$291</c:f>
          <c:strCache>
            <c:ptCount val="1"/>
            <c:pt idx="0">
              <c:v>研究開発費</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指標縦棒!$G$290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2F5B-456E-916C-CCAD739D55D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指標縦棒!$F$291:$F$299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指標縦棒!$G$291:$G$299</c:f>
              <c:numCache>
                <c:formatCode>#,##0_ </c:formatCode>
                <c:ptCount val="9"/>
                <c:pt idx="0">
                  <c:v>8416.8563320928697</c:v>
                </c:pt>
                <c:pt idx="1">
                  <c:v>44733.281477682802</c:v>
                </c:pt>
                <c:pt idx="2">
                  <c:v>22292.082354643298</c:v>
                </c:pt>
                <c:pt idx="3">
                  <c:v>7622.4017538625303</c:v>
                </c:pt>
                <c:pt idx="4">
                  <c:v>7078.2992881029104</c:v>
                </c:pt>
                <c:pt idx="5">
                  <c:v>14868.0121247895</c:v>
                </c:pt>
                <c:pt idx="6">
                  <c:v>3579.8666425410302</c:v>
                </c:pt>
                <c:pt idx="7">
                  <c:v>5930.6152075514201</c:v>
                </c:pt>
                <c:pt idx="8">
                  <c:v>6447.7373659503801</c:v>
                </c:pt>
              </c:numCache>
            </c:numRef>
          </c:val>
          <c:extLst>
            <c:ext xmlns:c16="http://schemas.microsoft.com/office/drawing/2014/chart" uri="{C3380CC4-5D6E-409C-BE32-E72D297353CC}">
              <c16:uniqueId val="{00000006-2F5B-456E-916C-CCAD739D55D9}"/>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指標縦棒!$C$292</c:f>
              <c:strCache>
                <c:ptCount val="1"/>
                <c:pt idx="0">
                  <c:v>百万ドル</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指標縦棒!$C$291</c:f>
          <c:strCache>
            <c:ptCount val="1"/>
            <c:pt idx="0">
              <c:v>研究開発費</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指標縦棒!$H$290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1A0-41AB-B040-30AC7857557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指標縦棒!$F$291:$F$299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指標縦棒!$H$291:$H$299</c:f>
              <c:numCache>
                <c:formatCode>0.0_ </c:formatCode>
                <c:ptCount val="9"/>
                <c:pt idx="0">
                  <c:v>18.619502324399999</c:v>
                </c:pt>
                <c:pt idx="1">
                  <c:v>100</c:v>
                </c:pt>
                <c:pt idx="2">
                  <c:v>49.712122111399999</c:v>
                </c:pt>
                <c:pt idx="3">
                  <c:v>16.839230486000002</c:v>
                </c:pt>
                <c:pt idx="4">
                  <c:v>15.619965944600001</c:v>
                </c:pt>
                <c:pt idx="5">
                  <c:v>33.075723356300003</c:v>
                </c:pt>
                <c:pt idx="6">
                  <c:v>7.7804225798999997</c:v>
                </c:pt>
                <c:pt idx="7">
                  <c:v>13.0481516409</c:v>
                </c:pt>
                <c:pt idx="8">
                  <c:v>14.206956739200001</c:v>
                </c:pt>
              </c:numCache>
            </c:numRef>
          </c:val>
          <c:extLst>
            <c:ext xmlns:c16="http://schemas.microsoft.com/office/drawing/2014/chart" uri="{C3380CC4-5D6E-409C-BE32-E72D297353CC}">
              <c16:uniqueId val="{00000006-11A0-41AB-B040-30AC78575572}"/>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指標縦棒!$C$306</c:f>
          <c:strCache>
            <c:ptCount val="1"/>
            <c:pt idx="0">
              <c:v>留学生数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指標縦棒!$G$305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41E-452B-8214-7C72428CFA2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指標縦棒!$F$306:$F$314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指標縦棒!$G$306:$G$314</c:f>
              <c:numCache>
                <c:formatCode>#,##0_ </c:formatCode>
                <c:ptCount val="9"/>
                <c:pt idx="0">
                  <c:v>141792.04999999999</c:v>
                </c:pt>
                <c:pt idx="1">
                  <c:v>39437.46</c:v>
                </c:pt>
                <c:pt idx="2">
                  <c:v>8797.4399999999896</c:v>
                </c:pt>
                <c:pt idx="3">
                  <c:v>51486.999999999898</c:v>
                </c:pt>
                <c:pt idx="4">
                  <c:v>14247</c:v>
                </c:pt>
                <c:pt idx="5">
                  <c:v>36438.82</c:v>
                </c:pt>
                <c:pt idx="6">
                  <c:v>31349.31</c:v>
                </c:pt>
                <c:pt idx="7">
                  <c:v>20757.47</c:v>
                </c:pt>
                <c:pt idx="8">
                  <c:v>16942.240000000002</c:v>
                </c:pt>
              </c:numCache>
            </c:numRef>
          </c:val>
          <c:extLst>
            <c:ext xmlns:c16="http://schemas.microsoft.com/office/drawing/2014/chart" uri="{C3380CC4-5D6E-409C-BE32-E72D297353CC}">
              <c16:uniqueId val="{00000006-A41E-452B-8214-7C72428CFA29}"/>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指標縦棒!$C$307</c:f>
              <c:strCache>
                <c:ptCount val="1"/>
                <c:pt idx="0">
                  <c:v>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指標縦棒!$C$306</c:f>
          <c:strCache>
            <c:ptCount val="1"/>
            <c:pt idx="0">
              <c:v>留学生数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指標縦棒!$H$305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DDAE-4A41-B291-56411B9896A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指標縦棒!$F$306:$F$314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指標縦棒!$H$306:$H$314</c:f>
              <c:numCache>
                <c:formatCode>0.0_ </c:formatCode>
                <c:ptCount val="9"/>
                <c:pt idx="0">
                  <c:v>100</c:v>
                </c:pt>
                <c:pt idx="1">
                  <c:v>27.813590395199999</c:v>
                </c:pt>
                <c:pt idx="2">
                  <c:v>6.2044663293999998</c:v>
                </c:pt>
                <c:pt idx="3">
                  <c:v>36.311626780200001</c:v>
                </c:pt>
                <c:pt idx="4">
                  <c:v>10.0478129768</c:v>
                </c:pt>
                <c:pt idx="5">
                  <c:v>25.6987750724</c:v>
                </c:pt>
                <c:pt idx="6">
                  <c:v>22.109356624699998</c:v>
                </c:pt>
                <c:pt idx="7">
                  <c:v>14.6393750566</c:v>
                </c:pt>
                <c:pt idx="8">
                  <c:v>11.9486529745</c:v>
                </c:pt>
              </c:numCache>
            </c:numRef>
          </c:val>
          <c:extLst>
            <c:ext xmlns:c16="http://schemas.microsoft.com/office/drawing/2014/chart" uri="{C3380CC4-5D6E-409C-BE32-E72D297353CC}">
              <c16:uniqueId val="{00000006-DDAE-4A41-B291-56411B9896AA}"/>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指標縦棒!$C$321</c:f>
          <c:strCache>
            <c:ptCount val="1"/>
            <c:pt idx="0">
              <c:v>学力の高さ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指標縦棒!$G$320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096-4F04-911B-1F6A9F5AC55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指標縦棒!$F$321:$F$329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指標縦棒!$G$321:$G$329</c:f>
              <c:numCache>
                <c:formatCode>#,##0_ </c:formatCode>
                <c:ptCount val="9"/>
                <c:pt idx="0">
                  <c:v>503.666666666666</c:v>
                </c:pt>
                <c:pt idx="1">
                  <c:v>495</c:v>
                </c:pt>
                <c:pt idx="2">
                  <c:v>520</c:v>
                </c:pt>
                <c:pt idx="3">
                  <c:v>493.666666666666</c:v>
                </c:pt>
                <c:pt idx="4">
                  <c:v>556.33333333333303</c:v>
                </c:pt>
                <c:pt idx="5">
                  <c:v>519.66666666666595</c:v>
                </c:pt>
                <c:pt idx="6">
                  <c:v>530.66666666666595</c:v>
                </c:pt>
                <c:pt idx="7">
                  <c:v>578.66666666666595</c:v>
                </c:pt>
                <c:pt idx="8">
                  <c:v>578.66666666666595</c:v>
                </c:pt>
              </c:numCache>
            </c:numRef>
          </c:val>
          <c:extLst>
            <c:ext xmlns:c16="http://schemas.microsoft.com/office/drawing/2014/chart" uri="{C3380CC4-5D6E-409C-BE32-E72D297353CC}">
              <c16:uniqueId val="{00000006-3096-4F04-911B-1F6A9F5AC55A}"/>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指標縦棒!$C$322</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指標縦棒!$C$321</c:f>
          <c:strCache>
            <c:ptCount val="1"/>
            <c:pt idx="0">
              <c:v>学力の高さ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指標縦棒!$H$320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F27-4A5C-86D2-5AB492B6400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指標縦棒!$F$321:$F$329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指標縦棒!$H$321:$H$329</c:f>
              <c:numCache>
                <c:formatCode>0.0_ </c:formatCode>
                <c:ptCount val="9"/>
                <c:pt idx="0">
                  <c:v>68.805971321200005</c:v>
                </c:pt>
                <c:pt idx="1">
                  <c:v>65.201328007200004</c:v>
                </c:pt>
                <c:pt idx="2">
                  <c:v>75.599337566800003</c:v>
                </c:pt>
                <c:pt idx="3">
                  <c:v>64.646767497400006</c:v>
                </c:pt>
                <c:pt idx="4">
                  <c:v>90.7111114601</c:v>
                </c:pt>
                <c:pt idx="5">
                  <c:v>75.460697439399993</c:v>
                </c:pt>
                <c:pt idx="6">
                  <c:v>80.035821645599995</c:v>
                </c:pt>
                <c:pt idx="7">
                  <c:v>100</c:v>
                </c:pt>
                <c:pt idx="8">
                  <c:v>100</c:v>
                </c:pt>
              </c:numCache>
            </c:numRef>
          </c:val>
          <c:extLst>
            <c:ext xmlns:c16="http://schemas.microsoft.com/office/drawing/2014/chart" uri="{C3380CC4-5D6E-409C-BE32-E72D297353CC}">
              <c16:uniqueId val="{00000006-0F27-4A5C-86D2-5AB492B64008}"/>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指標縦棒!$C$336</c:f>
          <c:strCache>
            <c:ptCount val="1"/>
            <c:pt idx="0">
              <c:v>特許登録件数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指標縦棒!$G$335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952-4755-A70E-0AC4B2A57B8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指標縦棒!$F$336:$F$344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指標縦棒!$G$336:$G$344</c:f>
              <c:numCache>
                <c:formatCode>#,##0_ </c:formatCode>
                <c:ptCount val="9"/>
                <c:pt idx="0">
                  <c:v>1138.2089386745499</c:v>
                </c:pt>
                <c:pt idx="1">
                  <c:v>19307.480818166801</c:v>
                </c:pt>
                <c:pt idx="2">
                  <c:v>28488.872673517399</c:v>
                </c:pt>
                <c:pt idx="3">
                  <c:v>897.77886682266103</c:v>
                </c:pt>
                <c:pt idx="4">
                  <c:v>5859.2</c:v>
                </c:pt>
                <c:pt idx="5">
                  <c:v>22806.3750202101</c:v>
                </c:pt>
                <c:pt idx="6">
                  <c:v>7461.4</c:v>
                </c:pt>
                <c:pt idx="7">
                  <c:v>6131.4387477897399</c:v>
                </c:pt>
                <c:pt idx="8">
                  <c:v>7209.9932808461499</c:v>
                </c:pt>
              </c:numCache>
            </c:numRef>
          </c:val>
          <c:extLst>
            <c:ext xmlns:c16="http://schemas.microsoft.com/office/drawing/2014/chart" uri="{C3380CC4-5D6E-409C-BE32-E72D297353CC}">
              <c16:uniqueId val="{00000006-7952-4755-A70E-0AC4B2A57B80}"/>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指標縦棒!$C$337</c:f>
              <c:strCache>
                <c:ptCount val="1"/>
                <c:pt idx="0">
                  <c:v>件</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指標縦棒!$C$336</c:f>
          <c:strCache>
            <c:ptCount val="1"/>
            <c:pt idx="0">
              <c:v>特許登録件数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指標縦棒!$H$335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87E-46E6-B397-4F3CED6431D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指標縦棒!$F$336:$F$344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指標縦棒!$H$336:$H$344</c:f>
              <c:numCache>
                <c:formatCode>0.0_ </c:formatCode>
                <c:ptCount val="9"/>
                <c:pt idx="0">
                  <c:v>3.9465546798000002</c:v>
                </c:pt>
                <c:pt idx="1">
                  <c:v>67.755651961799998</c:v>
                </c:pt>
                <c:pt idx="2">
                  <c:v>100</c:v>
                </c:pt>
                <c:pt idx="3">
                  <c:v>3.1021826022000001</c:v>
                </c:pt>
                <c:pt idx="4">
                  <c:v>20.526315272200002</c:v>
                </c:pt>
                <c:pt idx="5">
                  <c:v>80.043501579500003</c:v>
                </c:pt>
                <c:pt idx="6">
                  <c:v>26.153119491000002</c:v>
                </c:pt>
                <c:pt idx="7">
                  <c:v>21.4823969939</c:v>
                </c:pt>
                <c:pt idx="8">
                  <c:v>25.270198265200001</c:v>
                </c:pt>
              </c:numCache>
            </c:numRef>
          </c:val>
          <c:extLst>
            <c:ext xmlns:c16="http://schemas.microsoft.com/office/drawing/2014/chart" uri="{C3380CC4-5D6E-409C-BE32-E72D297353CC}">
              <c16:uniqueId val="{00000006-187E-46E6-B397-4F3CED6431DC}"/>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指標縦棒!$C$351</c:f>
          <c:strCache>
            <c:ptCount val="1"/>
            <c:pt idx="0">
              <c:v>主要科学技術賞受賞者数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指標縦棒!$G$350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459-4C2F-891A-C80405BAE73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指標縦棒!$F$351:$F$359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指標縦棒!$G$351:$G$359</c:f>
              <c:numCache>
                <c:formatCode>#,##0_ </c:formatCode>
                <c:ptCount val="9"/>
                <c:pt idx="0">
                  <c:v>3.9</c:v>
                </c:pt>
                <c:pt idx="1">
                  <c:v>9.6</c:v>
                </c:pt>
                <c:pt idx="2">
                  <c:v>2</c:v>
                </c:pt>
                <c:pt idx="3">
                  <c:v>6.25</c:v>
                </c:pt>
                <c:pt idx="4">
                  <c:v>0</c:v>
                </c:pt>
                <c:pt idx="5">
                  <c:v>0</c:v>
                </c:pt>
                <c:pt idx="6">
                  <c:v>0</c:v>
                </c:pt>
                <c:pt idx="7">
                  <c:v>0.65</c:v>
                </c:pt>
                <c:pt idx="8">
                  <c:v>0</c:v>
                </c:pt>
              </c:numCache>
            </c:numRef>
          </c:val>
          <c:extLst>
            <c:ext xmlns:c16="http://schemas.microsoft.com/office/drawing/2014/chart" uri="{C3380CC4-5D6E-409C-BE32-E72D297353CC}">
              <c16:uniqueId val="{00000006-0459-4C2F-891A-C80405BAE73C}"/>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指標縦棒!$C$352</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指標縦棒!$C$351</c:f>
          <c:strCache>
            <c:ptCount val="1"/>
            <c:pt idx="0">
              <c:v>主要科学技術賞受賞者数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指標縦棒!$H$350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B4C-4C9A-A490-0288F5EE981D}"/>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指標縦棒!$F$351:$F$359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指標縦棒!$H$351:$H$359</c:f>
              <c:numCache>
                <c:formatCode>0.0_ </c:formatCode>
                <c:ptCount val="9"/>
                <c:pt idx="0">
                  <c:v>25.4071661238</c:v>
                </c:pt>
                <c:pt idx="1">
                  <c:v>62.540716612399997</c:v>
                </c:pt>
                <c:pt idx="2">
                  <c:v>13.0293159609</c:v>
                </c:pt>
                <c:pt idx="3">
                  <c:v>40.716612377899999</c:v>
                </c:pt>
                <c:pt idx="4">
                  <c:v>0</c:v>
                </c:pt>
                <c:pt idx="5">
                  <c:v>0</c:v>
                </c:pt>
                <c:pt idx="6">
                  <c:v>0</c:v>
                </c:pt>
                <c:pt idx="7">
                  <c:v>4.2345276873</c:v>
                </c:pt>
                <c:pt idx="8">
                  <c:v>0</c:v>
                </c:pt>
              </c:numCache>
            </c:numRef>
          </c:val>
          <c:extLst>
            <c:ext xmlns:c16="http://schemas.microsoft.com/office/drawing/2014/chart" uri="{C3380CC4-5D6E-409C-BE32-E72D297353CC}">
              <c16:uniqueId val="{00000006-0B4C-4C9A-A490-0288F5EE981D}"/>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指標縦棒!$C$366</c:f>
          <c:strCache>
            <c:ptCount val="1"/>
            <c:pt idx="0">
              <c:v>スタートアップ数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指標縦棒!$G$365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0AD-421B-A047-A59E39B6CC7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指標縦棒!$F$366:$F$374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指標縦棒!$G$366:$G$374</c:f>
              <c:numCache>
                <c:formatCode>#,##0_ </c:formatCode>
                <c:ptCount val="9"/>
                <c:pt idx="0">
                  <c:v>1896.3333333333301</c:v>
                </c:pt>
                <c:pt idx="1">
                  <c:v>1443</c:v>
                </c:pt>
                <c:pt idx="2">
                  <c:v>361.666666666666</c:v>
                </c:pt>
                <c:pt idx="3">
                  <c:v>458.33333333333297</c:v>
                </c:pt>
                <c:pt idx="4">
                  <c:v>574.66666666666595</c:v>
                </c:pt>
                <c:pt idx="5">
                  <c:v>250.666666666666</c:v>
                </c:pt>
                <c:pt idx="6">
                  <c:v>133.333333333333</c:v>
                </c:pt>
                <c:pt idx="7">
                  <c:v>49</c:v>
                </c:pt>
                <c:pt idx="8">
                  <c:v>74.3333333333333</c:v>
                </c:pt>
              </c:numCache>
            </c:numRef>
          </c:val>
          <c:extLst>
            <c:ext xmlns:c16="http://schemas.microsoft.com/office/drawing/2014/chart" uri="{C3380CC4-5D6E-409C-BE32-E72D297353CC}">
              <c16:uniqueId val="{00000006-30AD-421B-A047-A59E39B6CC77}"/>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指標縦棒!$C$367</c:f>
              <c:strCache>
                <c:ptCount val="1"/>
                <c:pt idx="0">
                  <c:v>社</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指標縦棒!$C$366</c:f>
          <c:strCache>
            <c:ptCount val="1"/>
            <c:pt idx="0">
              <c:v>スタートアップ数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指標縦棒!$H$365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8C1-4ABE-A562-C52E15F47AA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指標縦棒!$F$366:$F$374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指標縦棒!$H$366:$H$374</c:f>
              <c:numCache>
                <c:formatCode>0.0_ </c:formatCode>
                <c:ptCount val="9"/>
                <c:pt idx="0">
                  <c:v>100</c:v>
                </c:pt>
                <c:pt idx="1">
                  <c:v>75.886524822699997</c:v>
                </c:pt>
                <c:pt idx="2">
                  <c:v>18.3687943262</c:v>
                </c:pt>
                <c:pt idx="3">
                  <c:v>23.510638297900002</c:v>
                </c:pt>
                <c:pt idx="4">
                  <c:v>29.698581560299999</c:v>
                </c:pt>
                <c:pt idx="5">
                  <c:v>12.464539007100001</c:v>
                </c:pt>
                <c:pt idx="6">
                  <c:v>6.2234042553000002</c:v>
                </c:pt>
                <c:pt idx="7">
                  <c:v>1.7375886524999999</c:v>
                </c:pt>
                <c:pt idx="8">
                  <c:v>3.0851063829999998</c:v>
                </c:pt>
              </c:numCache>
            </c:numRef>
          </c:val>
          <c:extLst>
            <c:ext xmlns:c16="http://schemas.microsoft.com/office/drawing/2014/chart" uri="{C3380CC4-5D6E-409C-BE32-E72D297353CC}">
              <c16:uniqueId val="{00000006-98C1-4ABE-A562-C52E15F47AAA}"/>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指標縦棒!$C$381</c:f>
          <c:strCache>
            <c:ptCount val="1"/>
            <c:pt idx="0">
              <c:v>国際コンベンション件数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指標縦棒!$G$380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75D-4CD4-A2B5-6149C0E2EAD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指標縦棒!$F$381:$F$389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指標縦棒!$G$381:$G$389</c:f>
              <c:numCache>
                <c:formatCode>#,##0_ </c:formatCode>
                <c:ptCount val="9"/>
                <c:pt idx="0">
                  <c:v>102</c:v>
                </c:pt>
                <c:pt idx="1">
                  <c:v>39</c:v>
                </c:pt>
                <c:pt idx="2">
                  <c:v>258</c:v>
                </c:pt>
                <c:pt idx="3">
                  <c:v>153</c:v>
                </c:pt>
                <c:pt idx="4">
                  <c:v>140</c:v>
                </c:pt>
                <c:pt idx="5">
                  <c:v>265</c:v>
                </c:pt>
                <c:pt idx="6">
                  <c:v>16</c:v>
                </c:pt>
                <c:pt idx="7">
                  <c:v>19</c:v>
                </c:pt>
                <c:pt idx="8">
                  <c:v>17</c:v>
                </c:pt>
              </c:numCache>
            </c:numRef>
          </c:val>
          <c:extLst>
            <c:ext xmlns:c16="http://schemas.microsoft.com/office/drawing/2014/chart" uri="{C3380CC4-5D6E-409C-BE32-E72D297353CC}">
              <c16:uniqueId val="{00000006-775D-4CD4-A2B5-6149C0E2EAD9}"/>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指標縦棒!$C$382</c:f>
              <c:strCache>
                <c:ptCount val="1"/>
                <c:pt idx="0">
                  <c:v>件</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指標縦棒!$C$381</c:f>
          <c:strCache>
            <c:ptCount val="1"/>
            <c:pt idx="0">
              <c:v>国際コンベンション件数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指標縦棒!$H$380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AB1-4188-8C6D-CCFF2C14D72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指標縦棒!$F$381:$F$389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指標縦棒!$H$381:$H$389</c:f>
              <c:numCache>
                <c:formatCode>0.0_ </c:formatCode>
                <c:ptCount val="9"/>
                <c:pt idx="0">
                  <c:v>31.5457413249</c:v>
                </c:pt>
                <c:pt idx="1">
                  <c:v>11.6719242902</c:v>
                </c:pt>
                <c:pt idx="2">
                  <c:v>80.757097791800007</c:v>
                </c:pt>
                <c:pt idx="3">
                  <c:v>47.634069400599998</c:v>
                </c:pt>
                <c:pt idx="4">
                  <c:v>43.533123028399999</c:v>
                </c:pt>
                <c:pt idx="5">
                  <c:v>82.965299684499996</c:v>
                </c:pt>
                <c:pt idx="6">
                  <c:v>4.4164037855</c:v>
                </c:pt>
                <c:pt idx="7">
                  <c:v>5.3627760251999996</c:v>
                </c:pt>
                <c:pt idx="8">
                  <c:v>4.7318611986999999</c:v>
                </c:pt>
              </c:numCache>
            </c:numRef>
          </c:val>
          <c:extLst>
            <c:ext xmlns:c16="http://schemas.microsoft.com/office/drawing/2014/chart" uri="{C3380CC4-5D6E-409C-BE32-E72D297353CC}">
              <c16:uniqueId val="{00000006-AAB1-4188-8C6D-CCFF2C14D725}"/>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指標縦棒!$C$396</c:f>
          <c:strCache>
            <c:ptCount val="1"/>
            <c:pt idx="0">
              <c:v>文化イベント開催件数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指標縦棒!$G$395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66D-43EE-A0E6-13FADF58E20D}"/>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指標縦棒!$F$396:$F$404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指標縦棒!$G$396:$G$404</c:f>
              <c:numCache>
                <c:formatCode>#,##0_ </c:formatCode>
                <c:ptCount val="9"/>
                <c:pt idx="0">
                  <c:v>37.5</c:v>
                </c:pt>
                <c:pt idx="1">
                  <c:v>31.25</c:v>
                </c:pt>
                <c:pt idx="2">
                  <c:v>85.9375</c:v>
                </c:pt>
                <c:pt idx="3">
                  <c:v>12.5</c:v>
                </c:pt>
                <c:pt idx="4">
                  <c:v>34.375</c:v>
                </c:pt>
                <c:pt idx="5">
                  <c:v>17.1875</c:v>
                </c:pt>
                <c:pt idx="6">
                  <c:v>21.875</c:v>
                </c:pt>
                <c:pt idx="7">
                  <c:v>66.8402777777777</c:v>
                </c:pt>
                <c:pt idx="8">
                  <c:v>25.231481481481399</c:v>
                </c:pt>
              </c:numCache>
            </c:numRef>
          </c:val>
          <c:extLst>
            <c:ext xmlns:c16="http://schemas.microsoft.com/office/drawing/2014/chart" uri="{C3380CC4-5D6E-409C-BE32-E72D297353CC}">
              <c16:uniqueId val="{00000006-766D-43EE-A0E6-13FADF58E20D}"/>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指標縦棒!$C$397</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指標縦棒!$C$396</c:f>
          <c:strCache>
            <c:ptCount val="1"/>
            <c:pt idx="0">
              <c:v>文化イベント開催件数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指標縦棒!$H$395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CAC-4381-97EE-23E292F7CB0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指標縦棒!$F$396:$F$404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指標縦棒!$H$396:$H$404</c:f>
              <c:numCache>
                <c:formatCode>0.0_ </c:formatCode>
                <c:ptCount val="9"/>
                <c:pt idx="0">
                  <c:v>43.636363636399999</c:v>
                </c:pt>
                <c:pt idx="1">
                  <c:v>36.363636363600001</c:v>
                </c:pt>
                <c:pt idx="2">
                  <c:v>100</c:v>
                </c:pt>
                <c:pt idx="3">
                  <c:v>14.5454545455</c:v>
                </c:pt>
                <c:pt idx="4">
                  <c:v>40</c:v>
                </c:pt>
                <c:pt idx="5">
                  <c:v>20</c:v>
                </c:pt>
                <c:pt idx="6">
                  <c:v>25.4545454545</c:v>
                </c:pt>
                <c:pt idx="7">
                  <c:v>77.777777777799997</c:v>
                </c:pt>
                <c:pt idx="8">
                  <c:v>29.360269360299998</c:v>
                </c:pt>
              </c:numCache>
            </c:numRef>
          </c:val>
          <c:extLst>
            <c:ext xmlns:c16="http://schemas.microsoft.com/office/drawing/2014/chart" uri="{C3380CC4-5D6E-409C-BE32-E72D297353CC}">
              <c16:uniqueId val="{00000006-ACAC-4381-97EE-23E292F7CB00}"/>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指標縦棒!$C$411</c:f>
          <c:strCache>
            <c:ptCount val="1"/>
            <c:pt idx="0">
              <c:v>コンテンツ輸出額</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指標縦棒!$G$410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5F0-4E06-A2FD-66DD97C7A39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指標縦棒!$F$411:$F$419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指標縦棒!$G$411:$G$419</c:f>
              <c:numCache>
                <c:formatCode>#,##0_ </c:formatCode>
                <c:ptCount val="9"/>
                <c:pt idx="0">
                  <c:v>121.53314323874299</c:v>
                </c:pt>
                <c:pt idx="1">
                  <c:v>110.281243433163</c:v>
                </c:pt>
                <c:pt idx="2">
                  <c:v>15.621390643401501</c:v>
                </c:pt>
                <c:pt idx="3">
                  <c:v>17.974988366573999</c:v>
                </c:pt>
                <c:pt idx="4">
                  <c:v>77.794452382560095</c:v>
                </c:pt>
                <c:pt idx="5">
                  <c:v>26.269192469221199</c:v>
                </c:pt>
                <c:pt idx="6">
                  <c:v>52.374485959221502</c:v>
                </c:pt>
                <c:pt idx="7">
                  <c:v>8.3969197254130403</c:v>
                </c:pt>
                <c:pt idx="8">
                  <c:v>9.0257436876416595</c:v>
                </c:pt>
              </c:numCache>
            </c:numRef>
          </c:val>
          <c:extLst>
            <c:ext xmlns:c16="http://schemas.microsoft.com/office/drawing/2014/chart" uri="{C3380CC4-5D6E-409C-BE32-E72D297353CC}">
              <c16:uniqueId val="{00000006-85F0-4E06-A2FD-66DD97C7A399}"/>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指標縦棒!$C$412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指標縦棒!$C$411</c:f>
          <c:strCache>
            <c:ptCount val="1"/>
            <c:pt idx="0">
              <c:v>コンテンツ輸出額</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指標縦棒!$H$410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A0D-4673-B0C5-E21744D6E38D}"/>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指標縦棒!$F$411:$F$419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指標縦棒!$H$411:$H$419</c:f>
              <c:numCache>
                <c:formatCode>0.0_ </c:formatCode>
                <c:ptCount val="9"/>
                <c:pt idx="0">
                  <c:v>100</c:v>
                </c:pt>
                <c:pt idx="1">
                  <c:v>90.724935490600004</c:v>
                </c:pt>
                <c:pt idx="2">
                  <c:v>12.6957798593</c:v>
                </c:pt>
                <c:pt idx="3">
                  <c:v>14.635876295299999</c:v>
                </c:pt>
                <c:pt idx="4">
                  <c:v>63.945717055899998</c:v>
                </c:pt>
                <c:pt idx="5">
                  <c:v>21.472879773500001</c:v>
                </c:pt>
                <c:pt idx="6">
                  <c:v>42.991759726200002</c:v>
                </c:pt>
                <c:pt idx="7">
                  <c:v>6.7405691865000001</c:v>
                </c:pt>
                <c:pt idx="8">
                  <c:v>7.2589156805000004</c:v>
                </c:pt>
              </c:numCache>
            </c:numRef>
          </c:val>
          <c:extLst>
            <c:ext xmlns:c16="http://schemas.microsoft.com/office/drawing/2014/chart" uri="{C3380CC4-5D6E-409C-BE32-E72D297353CC}">
              <c16:uniqueId val="{00000006-1A0D-4673-B0C5-E21744D6E38D}"/>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指標縦棒!$C$426</c:f>
          <c:strCache>
            <c:ptCount val="1"/>
            <c:pt idx="0">
              <c:v>アート市場環境</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指標縦棒!$G$425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A72-4DD1-A999-4FC658077EAE}"/>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指標縦棒!$F$426:$F$434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指標縦棒!$G$426:$G$434</c:f>
              <c:numCache>
                <c:formatCode>#,##0_ </c:formatCode>
                <c:ptCount val="9"/>
                <c:pt idx="0">
                  <c:v>46.157388409121602</c:v>
                </c:pt>
                <c:pt idx="1">
                  <c:v>100</c:v>
                </c:pt>
                <c:pt idx="2">
                  <c:v>10.519673043932</c:v>
                </c:pt>
                <c:pt idx="3">
                  <c:v>30.099998961973501</c:v>
                </c:pt>
                <c:pt idx="4">
                  <c:v>2.6071535001399502</c:v>
                </c:pt>
                <c:pt idx="5">
                  <c:v>9.2697022472311801</c:v>
                </c:pt>
                <c:pt idx="6">
                  <c:v>5.1303445051081402</c:v>
                </c:pt>
                <c:pt idx="7">
                  <c:v>13.4024186929216</c:v>
                </c:pt>
                <c:pt idx="8">
                  <c:v>2.8674898695475401</c:v>
                </c:pt>
              </c:numCache>
            </c:numRef>
          </c:val>
          <c:extLst>
            <c:ext xmlns:c16="http://schemas.microsoft.com/office/drawing/2014/chart" uri="{C3380CC4-5D6E-409C-BE32-E72D297353CC}">
              <c16:uniqueId val="{00000006-8A72-4DD1-A999-4FC658077EAE}"/>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指標縦棒!$C$427</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指標縦棒!$C$426</c:f>
          <c:strCache>
            <c:ptCount val="1"/>
            <c:pt idx="0">
              <c:v>アート市場環境</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指標縦棒!$H$425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038-4E29-B1F7-7431F937303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指標縦棒!$F$426:$F$434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指標縦棒!$H$426:$H$434</c:f>
              <c:numCache>
                <c:formatCode>0.0_ </c:formatCode>
                <c:ptCount val="9"/>
                <c:pt idx="0">
                  <c:v>46.157388409100001</c:v>
                </c:pt>
                <c:pt idx="1">
                  <c:v>100</c:v>
                </c:pt>
                <c:pt idx="2">
                  <c:v>10.519673043899999</c:v>
                </c:pt>
                <c:pt idx="3">
                  <c:v>30.099998962000001</c:v>
                </c:pt>
                <c:pt idx="4">
                  <c:v>2.6071535000999999</c:v>
                </c:pt>
                <c:pt idx="5">
                  <c:v>9.2697022471999997</c:v>
                </c:pt>
                <c:pt idx="6">
                  <c:v>5.1303445051000001</c:v>
                </c:pt>
                <c:pt idx="7">
                  <c:v>13.4024186929</c:v>
                </c:pt>
                <c:pt idx="8">
                  <c:v>2.8674898695</c:v>
                </c:pt>
              </c:numCache>
            </c:numRef>
          </c:val>
          <c:extLst>
            <c:ext xmlns:c16="http://schemas.microsoft.com/office/drawing/2014/chart" uri="{C3380CC4-5D6E-409C-BE32-E72D297353CC}">
              <c16:uniqueId val="{00000006-0038-4E29-B1F7-7431F937303C}"/>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指標縦棒!$C$441</c:f>
          <c:strCache>
            <c:ptCount val="1"/>
            <c:pt idx="0">
              <c:v>観光地の充実度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指標縦棒!$G$440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4A9-4BB5-A881-E39F4987993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指標縦棒!$F$441:$F$449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指標縦棒!$G$441:$G$449</c:f>
              <c:numCache>
                <c:formatCode>#,##0_ </c:formatCode>
                <c:ptCount val="9"/>
                <c:pt idx="0">
                  <c:v>85.563728072485901</c:v>
                </c:pt>
                <c:pt idx="1">
                  <c:v>69.068737813450895</c:v>
                </c:pt>
                <c:pt idx="2">
                  <c:v>43.0474756739873</c:v>
                </c:pt>
                <c:pt idx="3">
                  <c:v>70.414481822125794</c:v>
                </c:pt>
                <c:pt idx="4">
                  <c:v>43.452461992248097</c:v>
                </c:pt>
                <c:pt idx="5">
                  <c:v>30.4197543162507</c:v>
                </c:pt>
                <c:pt idx="6">
                  <c:v>31.701265236024099</c:v>
                </c:pt>
                <c:pt idx="7">
                  <c:v>47.7537275358006</c:v>
                </c:pt>
                <c:pt idx="8">
                  <c:v>37.486428667166201</c:v>
                </c:pt>
              </c:numCache>
            </c:numRef>
          </c:val>
          <c:extLst>
            <c:ext xmlns:c16="http://schemas.microsoft.com/office/drawing/2014/chart" uri="{C3380CC4-5D6E-409C-BE32-E72D297353CC}">
              <c16:uniqueId val="{00000006-F4A9-4BB5-A881-E39F4987993C}"/>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指標縦棒!$C$442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指標縦棒!$C$441</c:f>
          <c:strCache>
            <c:ptCount val="1"/>
            <c:pt idx="0">
              <c:v>観光地の充実度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指標縦棒!$H$440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7A5-4328-B6D1-0DBDA624781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指標縦棒!$F$441:$F$449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指標縦棒!$H$441:$H$449</c:f>
              <c:numCache>
                <c:formatCode>0.0_ </c:formatCode>
                <c:ptCount val="9"/>
                <c:pt idx="0">
                  <c:v>100</c:v>
                </c:pt>
                <c:pt idx="1">
                  <c:v>80.721982748299993</c:v>
                </c:pt>
                <c:pt idx="2">
                  <c:v>50.310425508199998</c:v>
                </c:pt>
                <c:pt idx="3">
                  <c:v>82.294780052700006</c:v>
                </c:pt>
                <c:pt idx="4">
                  <c:v>50.783740927499998</c:v>
                </c:pt>
                <c:pt idx="5">
                  <c:v>35.552160946599997</c:v>
                </c:pt>
                <c:pt idx="6">
                  <c:v>37.049887785599999</c:v>
                </c:pt>
                <c:pt idx="7">
                  <c:v>55.8107139691</c:v>
                </c:pt>
                <c:pt idx="8">
                  <c:v>43.811121267899999</c:v>
                </c:pt>
              </c:numCache>
            </c:numRef>
          </c:val>
          <c:extLst>
            <c:ext xmlns:c16="http://schemas.microsoft.com/office/drawing/2014/chart" uri="{C3380CC4-5D6E-409C-BE32-E72D297353CC}">
              <c16:uniqueId val="{00000006-67A5-4328-B6D1-0DBDA6247818}"/>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指標縦棒!$C$456</c:f>
          <c:strCache>
            <c:ptCount val="1"/>
            <c:pt idx="0">
              <c:v>世界遺産への近接性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指標縦棒!$G$455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482-4E35-9578-9AE00B02205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指標縦棒!$F$456:$F$464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指標縦棒!$G$456:$G$464</c:f>
              <c:numCache>
                <c:formatCode>#,##0_ </c:formatCode>
                <c:ptCount val="9"/>
                <c:pt idx="0">
                  <c:v>6</c:v>
                </c:pt>
                <c:pt idx="1">
                  <c:v>1.25</c:v>
                </c:pt>
                <c:pt idx="2">
                  <c:v>4.125</c:v>
                </c:pt>
                <c:pt idx="3">
                  <c:v>8.375</c:v>
                </c:pt>
                <c:pt idx="4">
                  <c:v>1</c:v>
                </c:pt>
                <c:pt idx="5">
                  <c:v>7</c:v>
                </c:pt>
                <c:pt idx="6">
                  <c:v>1</c:v>
                </c:pt>
                <c:pt idx="7">
                  <c:v>7</c:v>
                </c:pt>
                <c:pt idx="8">
                  <c:v>1</c:v>
                </c:pt>
              </c:numCache>
            </c:numRef>
          </c:val>
          <c:extLst>
            <c:ext xmlns:c16="http://schemas.microsoft.com/office/drawing/2014/chart" uri="{C3380CC4-5D6E-409C-BE32-E72D297353CC}">
              <c16:uniqueId val="{00000006-7482-4E35-9578-9AE00B02205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指標縦棒!$C$457</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指標縦棒!$C$456</c:f>
          <c:strCache>
            <c:ptCount val="1"/>
            <c:pt idx="0">
              <c:v>世界遺産への近接性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指標縦棒!$H$455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3FF-49BE-B206-8E578C52554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指標縦棒!$F$456:$F$464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指標縦棒!$H$456:$H$464</c:f>
              <c:numCache>
                <c:formatCode>0.0_ </c:formatCode>
                <c:ptCount val="9"/>
                <c:pt idx="0">
                  <c:v>30</c:v>
                </c:pt>
                <c:pt idx="1">
                  <c:v>6.25</c:v>
                </c:pt>
                <c:pt idx="2">
                  <c:v>20.625</c:v>
                </c:pt>
                <c:pt idx="3">
                  <c:v>41.875</c:v>
                </c:pt>
                <c:pt idx="4">
                  <c:v>5</c:v>
                </c:pt>
                <c:pt idx="5">
                  <c:v>35</c:v>
                </c:pt>
                <c:pt idx="6">
                  <c:v>5</c:v>
                </c:pt>
                <c:pt idx="7">
                  <c:v>35</c:v>
                </c:pt>
                <c:pt idx="8">
                  <c:v>5</c:v>
                </c:pt>
              </c:numCache>
            </c:numRef>
          </c:val>
          <c:extLst>
            <c:ext xmlns:c16="http://schemas.microsoft.com/office/drawing/2014/chart" uri="{C3380CC4-5D6E-409C-BE32-E72D297353CC}">
              <c16:uniqueId val="{00000006-83FF-49BE-B206-8E578C52554C}"/>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指標縦棒!$C$471</c:f>
          <c:strCache>
            <c:ptCount val="1"/>
            <c:pt idx="0">
              <c:v>ナイトライフ充実度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指標縦棒!$G$470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2BF4-4698-BCEC-51A415FF860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指標縦棒!$F$471:$F$479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指標縦棒!$G$471:$G$479</c:f>
              <c:numCache>
                <c:formatCode>#,##0_ </c:formatCode>
                <c:ptCount val="9"/>
                <c:pt idx="0">
                  <c:v>70.635688953785404</c:v>
                </c:pt>
                <c:pt idx="1">
                  <c:v>54.358945524244298</c:v>
                </c:pt>
                <c:pt idx="2">
                  <c:v>26.131010001680899</c:v>
                </c:pt>
                <c:pt idx="3">
                  <c:v>43.944377219870603</c:v>
                </c:pt>
                <c:pt idx="4">
                  <c:v>21.869623828590999</c:v>
                </c:pt>
                <c:pt idx="5">
                  <c:v>40.648796298708398</c:v>
                </c:pt>
                <c:pt idx="6">
                  <c:v>22.680396116546699</c:v>
                </c:pt>
                <c:pt idx="7">
                  <c:v>27.3509564582458</c:v>
                </c:pt>
                <c:pt idx="8">
                  <c:v>39.5444169431278</c:v>
                </c:pt>
              </c:numCache>
            </c:numRef>
          </c:val>
          <c:extLst>
            <c:ext xmlns:c16="http://schemas.microsoft.com/office/drawing/2014/chart" uri="{C3380CC4-5D6E-409C-BE32-E72D297353CC}">
              <c16:uniqueId val="{00000006-2BF4-4698-BCEC-51A415FF860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指標縦棒!$C$472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指標縦棒!$C$471</c:f>
          <c:strCache>
            <c:ptCount val="1"/>
            <c:pt idx="0">
              <c:v>ナイトライフ充実度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指標縦棒!$H$470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272-44FA-A98E-26FADB7D3C4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指標縦棒!$F$471:$F$479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指標縦棒!$H$471:$H$479</c:f>
              <c:numCache>
                <c:formatCode>0.0_ </c:formatCode>
                <c:ptCount val="9"/>
                <c:pt idx="0">
                  <c:v>100</c:v>
                </c:pt>
                <c:pt idx="1">
                  <c:v>76.292597223900003</c:v>
                </c:pt>
                <c:pt idx="2">
                  <c:v>35.178043820299997</c:v>
                </c:pt>
                <c:pt idx="3">
                  <c:v>61.123569918199998</c:v>
                </c:pt>
                <c:pt idx="4">
                  <c:v>28.9712495172</c:v>
                </c:pt>
                <c:pt idx="5">
                  <c:v>56.3234903066</c:v>
                </c:pt>
                <c:pt idx="6">
                  <c:v>30.1521555918</c:v>
                </c:pt>
                <c:pt idx="7">
                  <c:v>36.9549202659</c:v>
                </c:pt>
                <c:pt idx="8">
                  <c:v>54.714939657999999</c:v>
                </c:pt>
              </c:numCache>
            </c:numRef>
          </c:val>
          <c:extLst>
            <c:ext xmlns:c16="http://schemas.microsoft.com/office/drawing/2014/chart" uri="{C3380CC4-5D6E-409C-BE32-E72D297353CC}">
              <c16:uniqueId val="{00000006-1272-44FA-A98E-26FADB7D3C45}"/>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指標縦棒!$C$486</c:f>
          <c:strCache>
            <c:ptCount val="1"/>
            <c:pt idx="0">
              <c:v>劇場・コンサートホール数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指標縦棒!$G$485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A6E-4026-8E70-56AEF445A954}"/>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指標縦棒!$F$486:$F$494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指標縦棒!$G$486:$G$494</c:f>
              <c:numCache>
                <c:formatCode>#,##0_ </c:formatCode>
                <c:ptCount val="9"/>
                <c:pt idx="0">
                  <c:v>199</c:v>
                </c:pt>
                <c:pt idx="1">
                  <c:v>197.5</c:v>
                </c:pt>
                <c:pt idx="2">
                  <c:v>159</c:v>
                </c:pt>
                <c:pt idx="3">
                  <c:v>248.5</c:v>
                </c:pt>
                <c:pt idx="4">
                  <c:v>32</c:v>
                </c:pt>
                <c:pt idx="5">
                  <c:v>54.5</c:v>
                </c:pt>
                <c:pt idx="6">
                  <c:v>17</c:v>
                </c:pt>
                <c:pt idx="7">
                  <c:v>33</c:v>
                </c:pt>
                <c:pt idx="8">
                  <c:v>21</c:v>
                </c:pt>
              </c:numCache>
            </c:numRef>
          </c:val>
          <c:extLst>
            <c:ext xmlns:c16="http://schemas.microsoft.com/office/drawing/2014/chart" uri="{C3380CC4-5D6E-409C-BE32-E72D297353CC}">
              <c16:uniqueId val="{00000006-9A6E-4026-8E70-56AEF445A954}"/>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指標縦棒!$C$487</c:f>
              <c:strCache>
                <c:ptCount val="1"/>
                <c:pt idx="0">
                  <c:v>施設（平均）</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指標縦棒!$C$486</c:f>
          <c:strCache>
            <c:ptCount val="1"/>
            <c:pt idx="0">
              <c:v>劇場・コンサートホール数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指標縦棒!$H$485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085-4D39-A2FB-DC96F42DB2B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指標縦棒!$F$486:$F$494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指標縦棒!$H$486:$H$494</c:f>
              <c:numCache>
                <c:formatCode>0.0_ </c:formatCode>
                <c:ptCount val="9"/>
                <c:pt idx="0">
                  <c:v>79.460580912899999</c:v>
                </c:pt>
                <c:pt idx="1">
                  <c:v>78.838174273899995</c:v>
                </c:pt>
                <c:pt idx="2">
                  <c:v>62.863070539399999</c:v>
                </c:pt>
                <c:pt idx="3">
                  <c:v>100</c:v>
                </c:pt>
                <c:pt idx="4">
                  <c:v>10.165975103699999</c:v>
                </c:pt>
                <c:pt idx="5">
                  <c:v>19.502074688800001</c:v>
                </c:pt>
                <c:pt idx="6">
                  <c:v>3.9419087137000002</c:v>
                </c:pt>
                <c:pt idx="7">
                  <c:v>10.5809128631</c:v>
                </c:pt>
                <c:pt idx="8">
                  <c:v>5.6016597509999997</c:v>
                </c:pt>
              </c:numCache>
            </c:numRef>
          </c:val>
          <c:extLst>
            <c:ext xmlns:c16="http://schemas.microsoft.com/office/drawing/2014/chart" uri="{C3380CC4-5D6E-409C-BE32-E72D297353CC}">
              <c16:uniqueId val="{00000006-6085-4D39-A2FB-DC96F42DB2B6}"/>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指標縦棒!$C$501</c:f>
          <c:strCache>
            <c:ptCount val="1"/>
            <c:pt idx="0">
              <c:v>美術館・博物館数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指標縦棒!$G$500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8EF-494F-9681-FC6DFF26897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指標縦棒!$F$501:$F$509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指標縦棒!$G$501:$G$509</c:f>
              <c:numCache>
                <c:formatCode>#,##0_ </c:formatCode>
                <c:ptCount val="9"/>
                <c:pt idx="0">
                  <c:v>292</c:v>
                </c:pt>
                <c:pt idx="1">
                  <c:v>167</c:v>
                </c:pt>
                <c:pt idx="2">
                  <c:v>144</c:v>
                </c:pt>
                <c:pt idx="3">
                  <c:v>200</c:v>
                </c:pt>
                <c:pt idx="4">
                  <c:v>13</c:v>
                </c:pt>
                <c:pt idx="5">
                  <c:v>75</c:v>
                </c:pt>
                <c:pt idx="6">
                  <c:v>27</c:v>
                </c:pt>
                <c:pt idx="7">
                  <c:v>77</c:v>
                </c:pt>
                <c:pt idx="8">
                  <c:v>42</c:v>
                </c:pt>
              </c:numCache>
            </c:numRef>
          </c:val>
          <c:extLst>
            <c:ext xmlns:c16="http://schemas.microsoft.com/office/drawing/2014/chart" uri="{C3380CC4-5D6E-409C-BE32-E72D297353CC}">
              <c16:uniqueId val="{00000006-98EF-494F-9681-FC6DFF26897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指標縦棒!$C$502</c:f>
              <c:strCache>
                <c:ptCount val="1"/>
                <c:pt idx="0">
                  <c:v>施設</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指標縦棒!$C$501</c:f>
          <c:strCache>
            <c:ptCount val="1"/>
            <c:pt idx="0">
              <c:v>美術館・博物館数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指標縦棒!$H$500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2BE-485D-9CE1-E70A1CF331E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指標縦棒!$F$501:$F$509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指標縦棒!$H$501:$H$509</c:f>
              <c:numCache>
                <c:formatCode>0.0_ </c:formatCode>
                <c:ptCount val="9"/>
                <c:pt idx="0">
                  <c:v>98.972602739699994</c:v>
                </c:pt>
                <c:pt idx="1">
                  <c:v>56.164383561599998</c:v>
                </c:pt>
                <c:pt idx="2">
                  <c:v>48.287671232900003</c:v>
                </c:pt>
                <c:pt idx="3">
                  <c:v>67.465753424699997</c:v>
                </c:pt>
                <c:pt idx="4">
                  <c:v>3.4246575342000001</c:v>
                </c:pt>
                <c:pt idx="5">
                  <c:v>24.657534246600001</c:v>
                </c:pt>
                <c:pt idx="6">
                  <c:v>8.2191780821999991</c:v>
                </c:pt>
                <c:pt idx="7">
                  <c:v>25.342465753399999</c:v>
                </c:pt>
                <c:pt idx="8">
                  <c:v>13.356164383599999</c:v>
                </c:pt>
              </c:numCache>
            </c:numRef>
          </c:val>
          <c:extLst>
            <c:ext xmlns:c16="http://schemas.microsoft.com/office/drawing/2014/chart" uri="{C3380CC4-5D6E-409C-BE32-E72D297353CC}">
              <c16:uniqueId val="{00000006-C2BE-485D-9CE1-E70A1CF331EA}"/>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指標縦棒!$C$516</c:f>
          <c:strCache>
            <c:ptCount val="1"/>
            <c:pt idx="0">
              <c:v>スタジアム数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指標縦棒!$G$515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672-47CD-A5A4-30BE8B5045D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指標縦棒!$F$516:$F$524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指標縦棒!$G$516:$G$524</c:f>
              <c:numCache>
                <c:formatCode>#,##0_ </c:formatCode>
                <c:ptCount val="9"/>
                <c:pt idx="0">
                  <c:v>20</c:v>
                </c:pt>
                <c:pt idx="1">
                  <c:v>6</c:v>
                </c:pt>
                <c:pt idx="2">
                  <c:v>11</c:v>
                </c:pt>
                <c:pt idx="3">
                  <c:v>10</c:v>
                </c:pt>
                <c:pt idx="4">
                  <c:v>3</c:v>
                </c:pt>
                <c:pt idx="5">
                  <c:v>10</c:v>
                </c:pt>
                <c:pt idx="6">
                  <c:v>6</c:v>
                </c:pt>
                <c:pt idx="7">
                  <c:v>13</c:v>
                </c:pt>
                <c:pt idx="8">
                  <c:v>11</c:v>
                </c:pt>
              </c:numCache>
            </c:numRef>
          </c:val>
          <c:extLst>
            <c:ext xmlns:c16="http://schemas.microsoft.com/office/drawing/2014/chart" uri="{C3380CC4-5D6E-409C-BE32-E72D297353CC}">
              <c16:uniqueId val="{00000006-0672-47CD-A5A4-30BE8B5045D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指標縦棒!$C$517</c:f>
              <c:strCache>
                <c:ptCount val="1"/>
                <c:pt idx="0">
                  <c:v>施設</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指標縦棒!$C$516</c:f>
          <c:strCache>
            <c:ptCount val="1"/>
            <c:pt idx="0">
              <c:v>スタジアム数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指標縦棒!$H$515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6BB-41BB-96E6-73951E37677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指標縦棒!$F$516:$F$524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指標縦棒!$H$516:$H$524</c:f>
              <c:numCache>
                <c:formatCode>0.0_ </c:formatCode>
                <c:ptCount val="9"/>
                <c:pt idx="0">
                  <c:v>100</c:v>
                </c:pt>
                <c:pt idx="1">
                  <c:v>26.315789473700001</c:v>
                </c:pt>
                <c:pt idx="2">
                  <c:v>52.631578947400001</c:v>
                </c:pt>
                <c:pt idx="3">
                  <c:v>47.368421052599999</c:v>
                </c:pt>
                <c:pt idx="4">
                  <c:v>10.5263157895</c:v>
                </c:pt>
                <c:pt idx="5">
                  <c:v>47.368421052599999</c:v>
                </c:pt>
                <c:pt idx="6">
                  <c:v>26.315789473700001</c:v>
                </c:pt>
                <c:pt idx="7">
                  <c:v>63.157894736800003</c:v>
                </c:pt>
                <c:pt idx="8">
                  <c:v>52.631578947400001</c:v>
                </c:pt>
              </c:numCache>
            </c:numRef>
          </c:val>
          <c:extLst>
            <c:ext xmlns:c16="http://schemas.microsoft.com/office/drawing/2014/chart" uri="{C3380CC4-5D6E-409C-BE32-E72D297353CC}">
              <c16:uniqueId val="{00000006-76BB-41BB-96E6-73951E376778}"/>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指標縦棒!$C$531</c:f>
          <c:strCache>
            <c:ptCount val="1"/>
            <c:pt idx="0">
              <c:v>ホテル客室数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指標縦棒!$G$530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4423-440D-8B63-B1755A37DC1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指標縦棒!$F$531:$F$539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指標縦棒!$G$531:$G$539</c:f>
              <c:numCache>
                <c:formatCode>#,##0_ </c:formatCode>
                <c:ptCount val="9"/>
                <c:pt idx="0">
                  <c:v>131717</c:v>
                </c:pt>
                <c:pt idx="1">
                  <c:v>128561</c:v>
                </c:pt>
                <c:pt idx="2">
                  <c:v>174002</c:v>
                </c:pt>
                <c:pt idx="3">
                  <c:v>126961</c:v>
                </c:pt>
                <c:pt idx="4">
                  <c:v>71727</c:v>
                </c:pt>
                <c:pt idx="5">
                  <c:v>77744</c:v>
                </c:pt>
                <c:pt idx="6">
                  <c:v>66813</c:v>
                </c:pt>
                <c:pt idx="7">
                  <c:v>69625</c:v>
                </c:pt>
                <c:pt idx="8">
                  <c:v>86840</c:v>
                </c:pt>
              </c:numCache>
            </c:numRef>
          </c:val>
          <c:extLst>
            <c:ext xmlns:c16="http://schemas.microsoft.com/office/drawing/2014/chart" uri="{C3380CC4-5D6E-409C-BE32-E72D297353CC}">
              <c16:uniqueId val="{00000006-4423-440D-8B63-B1755A37DC1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指標縦棒!$C$532</c:f>
              <c:strCache>
                <c:ptCount val="1"/>
                <c:pt idx="0">
                  <c:v>室</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指標縦棒!$C$531</c:f>
          <c:strCache>
            <c:ptCount val="1"/>
            <c:pt idx="0">
              <c:v>ホテル客室数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指標縦棒!$H$530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1A8-48DD-A015-79C422BC6A04}"/>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指標縦棒!$F$531:$F$539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指標縦棒!$H$531:$H$539</c:f>
              <c:numCache>
                <c:formatCode>0.0_ </c:formatCode>
                <c:ptCount val="9"/>
                <c:pt idx="0">
                  <c:v>74.508680974200004</c:v>
                </c:pt>
                <c:pt idx="1">
                  <c:v>72.606100795800003</c:v>
                </c:pt>
                <c:pt idx="2">
                  <c:v>100</c:v>
                </c:pt>
                <c:pt idx="3">
                  <c:v>71.641548107099993</c:v>
                </c:pt>
                <c:pt idx="4">
                  <c:v>38.343983602599998</c:v>
                </c:pt>
                <c:pt idx="5">
                  <c:v>41.971304557499998</c:v>
                </c:pt>
                <c:pt idx="6">
                  <c:v>35.3816011575</c:v>
                </c:pt>
                <c:pt idx="7">
                  <c:v>37.076802507799997</c:v>
                </c:pt>
                <c:pt idx="8">
                  <c:v>47.454786592700003</c:v>
                </c:pt>
              </c:numCache>
            </c:numRef>
          </c:val>
          <c:extLst>
            <c:ext xmlns:c16="http://schemas.microsoft.com/office/drawing/2014/chart" uri="{C3380CC4-5D6E-409C-BE32-E72D297353CC}">
              <c16:uniqueId val="{00000006-F1A8-48DD-A015-79C422BC6A04}"/>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指標縦棒!$C$546</c:f>
          <c:strCache>
            <c:ptCount val="1"/>
            <c:pt idx="0">
              <c:v>ハイクラスホテル客室数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指標縦棒!$G$545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06A-4391-84FD-1E9A1245A913}"/>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指標縦棒!$F$546:$F$554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指標縦棒!$G$546:$G$554</c:f>
              <c:numCache>
                <c:formatCode>#,##0_ </c:formatCode>
                <c:ptCount val="9"/>
                <c:pt idx="0">
                  <c:v>21113</c:v>
                </c:pt>
                <c:pt idx="1">
                  <c:v>12444</c:v>
                </c:pt>
                <c:pt idx="2">
                  <c:v>6029</c:v>
                </c:pt>
                <c:pt idx="3">
                  <c:v>9448</c:v>
                </c:pt>
                <c:pt idx="4">
                  <c:v>18846</c:v>
                </c:pt>
                <c:pt idx="5">
                  <c:v>9792</c:v>
                </c:pt>
                <c:pt idx="6">
                  <c:v>15164</c:v>
                </c:pt>
                <c:pt idx="7">
                  <c:v>17651</c:v>
                </c:pt>
                <c:pt idx="8">
                  <c:v>21633</c:v>
                </c:pt>
              </c:numCache>
            </c:numRef>
          </c:val>
          <c:extLst>
            <c:ext xmlns:c16="http://schemas.microsoft.com/office/drawing/2014/chart" uri="{C3380CC4-5D6E-409C-BE32-E72D297353CC}">
              <c16:uniqueId val="{00000006-806A-4391-84FD-1E9A1245A913}"/>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指標縦棒!$C$547</c:f>
              <c:strCache>
                <c:ptCount val="1"/>
                <c:pt idx="0">
                  <c:v>室</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指標縦棒!$C$546</c:f>
          <c:strCache>
            <c:ptCount val="1"/>
            <c:pt idx="0">
              <c:v>ハイクラスホテル客室数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指標縦棒!$H$545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013-4511-829F-2A889FED1C9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指標縦棒!$F$546:$F$554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指標縦棒!$H$546:$H$554</c:f>
              <c:numCache>
                <c:formatCode>0.0_ </c:formatCode>
                <c:ptCount val="9"/>
                <c:pt idx="0">
                  <c:v>63.494152941899998</c:v>
                </c:pt>
                <c:pt idx="1">
                  <c:v>36.955856242000003</c:v>
                </c:pt>
                <c:pt idx="2">
                  <c:v>17.3177003612</c:v>
                </c:pt>
                <c:pt idx="3">
                  <c:v>27.784240494700001</c:v>
                </c:pt>
                <c:pt idx="4">
                  <c:v>56.5542153922</c:v>
                </c:pt>
                <c:pt idx="5">
                  <c:v>28.837323210699999</c:v>
                </c:pt>
                <c:pt idx="6">
                  <c:v>45.282556786900003</c:v>
                </c:pt>
                <c:pt idx="7">
                  <c:v>52.8959774689</c:v>
                </c:pt>
                <c:pt idx="8">
                  <c:v>65.086022163699994</c:v>
                </c:pt>
              </c:numCache>
            </c:numRef>
          </c:val>
          <c:extLst>
            <c:ext xmlns:c16="http://schemas.microsoft.com/office/drawing/2014/chart" uri="{C3380CC4-5D6E-409C-BE32-E72D297353CC}">
              <c16:uniqueId val="{00000006-C013-4511-829F-2A889FED1C96}"/>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指標縦棒!$C$561</c:f>
          <c:strCache>
            <c:ptCount val="1"/>
            <c:pt idx="0">
              <c:v>買物の魅力</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指標縦棒!$G$560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019-43E1-A84B-C7DC673489F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指標縦棒!$F$561:$F$569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指標縦棒!$G$561:$G$569</c:f>
              <c:numCache>
                <c:formatCode>#,##0_ </c:formatCode>
                <c:ptCount val="9"/>
                <c:pt idx="0">
                  <c:v>64.042536638367494</c:v>
                </c:pt>
                <c:pt idx="1">
                  <c:v>65.063161259183403</c:v>
                </c:pt>
                <c:pt idx="2">
                  <c:v>85.653334020804607</c:v>
                </c:pt>
                <c:pt idx="3">
                  <c:v>75.821568656218801</c:v>
                </c:pt>
                <c:pt idx="4">
                  <c:v>48.747341475018501</c:v>
                </c:pt>
                <c:pt idx="5">
                  <c:v>50.500355762034602</c:v>
                </c:pt>
                <c:pt idx="6">
                  <c:v>39.478198068871599</c:v>
                </c:pt>
                <c:pt idx="7">
                  <c:v>30.490234375683201</c:v>
                </c:pt>
                <c:pt idx="8">
                  <c:v>42.958712928063903</c:v>
                </c:pt>
              </c:numCache>
            </c:numRef>
          </c:val>
          <c:extLst>
            <c:ext xmlns:c16="http://schemas.microsoft.com/office/drawing/2014/chart" uri="{C3380CC4-5D6E-409C-BE32-E72D297353CC}">
              <c16:uniqueId val="{00000006-A019-43E1-A84B-C7DC673489F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指標縦棒!$C$562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指標縦棒!$C$561</c:f>
          <c:strCache>
            <c:ptCount val="1"/>
            <c:pt idx="0">
              <c:v>買物の魅力</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指標縦棒!$H$560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FBB-44A8-BEFD-54305C0C9EF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指標縦棒!$F$561:$F$569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指標縦棒!$H$561:$H$569</c:f>
              <c:numCache>
                <c:formatCode>0.0_ </c:formatCode>
                <c:ptCount val="9"/>
                <c:pt idx="0">
                  <c:v>74.618484396300005</c:v>
                </c:pt>
                <c:pt idx="1">
                  <c:v>75.817190731899998</c:v>
                </c:pt>
                <c:pt idx="2">
                  <c:v>100</c:v>
                </c:pt>
                <c:pt idx="3">
                  <c:v>88.452758054399993</c:v>
                </c:pt>
                <c:pt idx="4">
                  <c:v>56.6545366609</c:v>
                </c:pt>
                <c:pt idx="5">
                  <c:v>58.7134222583</c:v>
                </c:pt>
                <c:pt idx="6">
                  <c:v>45.768084678900003</c:v>
                </c:pt>
                <c:pt idx="7">
                  <c:v>35.211873508799997</c:v>
                </c:pt>
                <c:pt idx="8">
                  <c:v>49.855890447699998</c:v>
                </c:pt>
              </c:numCache>
            </c:numRef>
          </c:val>
          <c:extLst>
            <c:ext xmlns:c16="http://schemas.microsoft.com/office/drawing/2014/chart" uri="{C3380CC4-5D6E-409C-BE32-E72D297353CC}">
              <c16:uniqueId val="{00000006-6FBB-44A8-BEFD-54305C0C9EF0}"/>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指標縦棒!$C$576</c:f>
          <c:strCache>
            <c:ptCount val="1"/>
            <c:pt idx="0">
              <c:v>食事の魅力</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指標縦棒!$G$575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6E1-49EA-A6BD-453688EBEE3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指標縦棒!$F$576:$F$584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指標縦棒!$G$576:$G$584</c:f>
              <c:numCache>
                <c:formatCode>#,##0_ </c:formatCode>
                <c:ptCount val="9"/>
                <c:pt idx="0">
                  <c:v>33.593806764190902</c:v>
                </c:pt>
                <c:pt idx="1">
                  <c:v>56.232304794099299</c:v>
                </c:pt>
                <c:pt idx="2">
                  <c:v>82.964203794166195</c:v>
                </c:pt>
                <c:pt idx="3">
                  <c:v>54.875665730277902</c:v>
                </c:pt>
                <c:pt idx="4">
                  <c:v>40.220889430153399</c:v>
                </c:pt>
                <c:pt idx="5">
                  <c:v>59.515753215364001</c:v>
                </c:pt>
                <c:pt idx="6">
                  <c:v>35.421262615376797</c:v>
                </c:pt>
                <c:pt idx="7">
                  <c:v>31.876526988448902</c:v>
                </c:pt>
                <c:pt idx="8">
                  <c:v>36.184031185139297</c:v>
                </c:pt>
              </c:numCache>
            </c:numRef>
          </c:val>
          <c:extLst>
            <c:ext xmlns:c16="http://schemas.microsoft.com/office/drawing/2014/chart" uri="{C3380CC4-5D6E-409C-BE32-E72D297353CC}">
              <c16:uniqueId val="{00000006-96E1-49EA-A6BD-453688EBEE39}"/>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指標縦棒!$C$577</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指標縦棒!$C$576</c:f>
          <c:strCache>
            <c:ptCount val="1"/>
            <c:pt idx="0">
              <c:v>食事の魅力</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指標縦棒!$H$575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D6E-41FE-A44F-C1A678E8DCD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指標縦棒!$F$576:$F$584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指標縦棒!$H$576:$H$584</c:f>
              <c:numCache>
                <c:formatCode>0.0_ </c:formatCode>
                <c:ptCount val="9"/>
                <c:pt idx="0">
                  <c:v>39.557913801700003</c:v>
                </c:pt>
                <c:pt idx="1">
                  <c:v>67.273268176800002</c:v>
                </c:pt>
                <c:pt idx="2">
                  <c:v>100</c:v>
                </c:pt>
                <c:pt idx="3">
                  <c:v>65.612392426</c:v>
                </c:pt>
                <c:pt idx="4">
                  <c:v>47.6711704461</c:v>
                </c:pt>
                <c:pt idx="5">
                  <c:v>71.293055021599997</c:v>
                </c:pt>
                <c:pt idx="6">
                  <c:v>41.795190605800002</c:v>
                </c:pt>
                <c:pt idx="7">
                  <c:v>37.455520900800003</c:v>
                </c:pt>
                <c:pt idx="8">
                  <c:v>42.729015861699999</c:v>
                </c:pt>
              </c:numCache>
            </c:numRef>
          </c:val>
          <c:extLst>
            <c:ext xmlns:c16="http://schemas.microsoft.com/office/drawing/2014/chart" uri="{C3380CC4-5D6E-409C-BE32-E72D297353CC}">
              <c16:uniqueId val="{00000006-7D6E-41FE-A44F-C1A678E8DCDC}"/>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指標縦棒!$C$591</c:f>
          <c:strCache>
            <c:ptCount val="1"/>
            <c:pt idx="0">
              <c:v>外国人居住者数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指標縦棒!$G$590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971-44B2-97A4-F78FD31FE91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指標縦棒!$F$591:$F$599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指標縦棒!$G$591:$G$599</c:f>
              <c:numCache>
                <c:formatCode>#,##0_ </c:formatCode>
                <c:ptCount val="9"/>
                <c:pt idx="0">
                  <c:v>1944000</c:v>
                </c:pt>
                <c:pt idx="1">
                  <c:v>1257717</c:v>
                </c:pt>
                <c:pt idx="2">
                  <c:v>485444</c:v>
                </c:pt>
                <c:pt idx="3">
                  <c:v>309006</c:v>
                </c:pt>
                <c:pt idx="4">
                  <c:v>2083300</c:v>
                </c:pt>
                <c:pt idx="5">
                  <c:v>226569</c:v>
                </c:pt>
                <c:pt idx="6">
                  <c:v>676218</c:v>
                </c:pt>
                <c:pt idx="7">
                  <c:v>62812</c:v>
                </c:pt>
                <c:pt idx="8">
                  <c:v>163954</c:v>
                </c:pt>
              </c:numCache>
            </c:numRef>
          </c:val>
          <c:extLst>
            <c:ext xmlns:c16="http://schemas.microsoft.com/office/drawing/2014/chart" uri="{C3380CC4-5D6E-409C-BE32-E72D297353CC}">
              <c16:uniqueId val="{00000006-5971-44B2-97A4-F78FD31FE915}"/>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指標縦棒!$C$592</c:f>
              <c:strCache>
                <c:ptCount val="1"/>
                <c:pt idx="0">
                  <c:v>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指標縦棒!$C$591</c:f>
          <c:strCache>
            <c:ptCount val="1"/>
            <c:pt idx="0">
              <c:v>外国人居住者数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指標縦棒!$H$590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809-4498-80C6-7C0753E6CB6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指標縦棒!$F$591:$F$599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指標縦棒!$H$591:$H$599</c:f>
              <c:numCache>
                <c:formatCode>0.0_ </c:formatCode>
                <c:ptCount val="9"/>
                <c:pt idx="0">
                  <c:v>59.445033094700001</c:v>
                </c:pt>
                <c:pt idx="1">
                  <c:v>38.379992903500003</c:v>
                </c:pt>
                <c:pt idx="2">
                  <c:v>14.6755418481</c:v>
                </c:pt>
                <c:pt idx="3">
                  <c:v>9.2598845153999996</c:v>
                </c:pt>
                <c:pt idx="4">
                  <c:v>63.720762055800002</c:v>
                </c:pt>
                <c:pt idx="5">
                  <c:v>6.7295308300999999</c:v>
                </c:pt>
                <c:pt idx="6">
                  <c:v>20.5312340005</c:v>
                </c:pt>
                <c:pt idx="7">
                  <c:v>1.7031090965</c:v>
                </c:pt>
                <c:pt idx="8">
                  <c:v>4.8076014050999998</c:v>
                </c:pt>
              </c:numCache>
            </c:numRef>
          </c:val>
          <c:extLst>
            <c:ext xmlns:c16="http://schemas.microsoft.com/office/drawing/2014/chart" uri="{C3380CC4-5D6E-409C-BE32-E72D297353CC}">
              <c16:uniqueId val="{00000006-C809-4498-80C6-7C0753E6CB67}"/>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指標縦棒!$C$606</c:f>
          <c:strCache>
            <c:ptCount val="1"/>
            <c:pt idx="0">
              <c:v>外国人訪問者数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指標縦棒!$G$605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2DD-4B15-BDCC-E9730E34FF2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指標縦棒!$F$606:$F$614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指標縦棒!$G$606:$G$614</c:f>
              <c:numCache>
                <c:formatCode>#,##0_ </c:formatCode>
                <c:ptCount val="9"/>
                <c:pt idx="0">
                  <c:v>16117938.625770301</c:v>
                </c:pt>
                <c:pt idx="1">
                  <c:v>3014765.5761299701</c:v>
                </c:pt>
                <c:pt idx="2">
                  <c:v>3244046.1816920899</c:v>
                </c:pt>
                <c:pt idx="3">
                  <c:v>7333554.41354544</c:v>
                </c:pt>
                <c:pt idx="4">
                  <c:v>6305744</c:v>
                </c:pt>
                <c:pt idx="5">
                  <c:v>2635166.0079999999</c:v>
                </c:pt>
                <c:pt idx="6">
                  <c:v>196000</c:v>
                </c:pt>
                <c:pt idx="7">
                  <c:v>189442</c:v>
                </c:pt>
                <c:pt idx="8">
                  <c:v>929294.740398583</c:v>
                </c:pt>
              </c:numCache>
            </c:numRef>
          </c:val>
          <c:extLst>
            <c:ext xmlns:c16="http://schemas.microsoft.com/office/drawing/2014/chart" uri="{C3380CC4-5D6E-409C-BE32-E72D297353CC}">
              <c16:uniqueId val="{00000006-A2DD-4B15-BDCC-E9730E34FF28}"/>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指標縦棒!$C$607</c:f>
              <c:strCache>
                <c:ptCount val="1"/>
                <c:pt idx="0">
                  <c:v>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指標縦棒!$C$606</c:f>
          <c:strCache>
            <c:ptCount val="1"/>
            <c:pt idx="0">
              <c:v>外国人訪問者数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指標縦棒!$H$605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AB5-47B6-947B-311D7F793CD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指標縦棒!$F$606:$F$614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指標縦棒!$H$606:$H$614</c:f>
              <c:numCache>
                <c:formatCode>0.0_ </c:formatCode>
                <c:ptCount val="9"/>
                <c:pt idx="0">
                  <c:v>100</c:v>
                </c:pt>
                <c:pt idx="1">
                  <c:v>18.344922106599999</c:v>
                </c:pt>
                <c:pt idx="2">
                  <c:v>19.773730658200002</c:v>
                </c:pt>
                <c:pt idx="3">
                  <c:v>45.258329842899997</c:v>
                </c:pt>
                <c:pt idx="4">
                  <c:v>38.853320990500002</c:v>
                </c:pt>
                <c:pt idx="5">
                  <c:v>15.9793704813</c:v>
                </c:pt>
                <c:pt idx="6">
                  <c:v>0.77921326570000005</c:v>
                </c:pt>
                <c:pt idx="7">
                  <c:v>0.73834575989999995</c:v>
                </c:pt>
                <c:pt idx="8">
                  <c:v>5.3488880245999999</c:v>
                </c:pt>
              </c:numCache>
            </c:numRef>
          </c:val>
          <c:extLst>
            <c:ext xmlns:c16="http://schemas.microsoft.com/office/drawing/2014/chart" uri="{C3380CC4-5D6E-409C-BE32-E72D297353CC}">
              <c16:uniqueId val="{00000006-9AB5-47B6-947B-311D7F793CD0}"/>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指標縦棒!$C$621</c:f>
          <c:strCache>
            <c:ptCount val="1"/>
            <c:pt idx="0">
              <c:v>完全失業率の低さ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指標縦棒!$G$620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DEF1-4686-B09E-3506570CE0D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指標縦棒!$F$621:$F$629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指標縦棒!$G$621:$G$629</c:f>
              <c:numCache>
                <c:formatCode>0%</c:formatCode>
                <c:ptCount val="9"/>
                <c:pt idx="0">
                  <c:v>4.5117101556253897E-2</c:v>
                </c:pt>
                <c:pt idx="1">
                  <c:v>5.7000000000000002E-2</c:v>
                </c:pt>
                <c:pt idx="2">
                  <c:v>2.5999999999999999E-2</c:v>
                </c:pt>
                <c:pt idx="3">
                  <c:v>5.7490410958904101E-2</c:v>
                </c:pt>
                <c:pt idx="4">
                  <c:v>2.1000000000000001E-2</c:v>
                </c:pt>
                <c:pt idx="5">
                  <c:v>3.4000000000000002E-2</c:v>
                </c:pt>
                <c:pt idx="6">
                  <c:v>4.2999999999999997E-2</c:v>
                </c:pt>
                <c:pt idx="7">
                  <c:v>3.2300000000000002E-2</c:v>
                </c:pt>
                <c:pt idx="8">
                  <c:v>2.7E-2</c:v>
                </c:pt>
              </c:numCache>
            </c:numRef>
          </c:val>
          <c:extLst>
            <c:ext xmlns:c16="http://schemas.microsoft.com/office/drawing/2014/chart" uri="{C3380CC4-5D6E-409C-BE32-E72D297353CC}">
              <c16:uniqueId val="{00000006-DEF1-4686-B09E-3506570CE0D2}"/>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指標縦棒!$C$621</c:f>
          <c:strCache>
            <c:ptCount val="1"/>
            <c:pt idx="0">
              <c:v>完全失業率の低さ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指標縦棒!$H$620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8C7-45EC-A3F2-6B4F22C1CAE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指標縦棒!$F$621:$F$629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指標縦棒!$H$621:$H$629</c:f>
              <c:numCache>
                <c:formatCode>0.0_ </c:formatCode>
                <c:ptCount val="9"/>
                <c:pt idx="0">
                  <c:v>88.238216117600004</c:v>
                </c:pt>
                <c:pt idx="1">
                  <c:v>84.790990269900007</c:v>
                </c:pt>
                <c:pt idx="2">
                  <c:v>93.784082467399998</c:v>
                </c:pt>
                <c:pt idx="3">
                  <c:v>84.648722174200003</c:v>
                </c:pt>
                <c:pt idx="4">
                  <c:v>95.234581208899996</c:v>
                </c:pt>
                <c:pt idx="5">
                  <c:v>91.463284481000002</c:v>
                </c:pt>
                <c:pt idx="6">
                  <c:v>88.852386746199997</c:v>
                </c:pt>
                <c:pt idx="7">
                  <c:v>91.956454053100003</c:v>
                </c:pt>
                <c:pt idx="8">
                  <c:v>93.493982719100003</c:v>
                </c:pt>
              </c:numCache>
            </c:numRef>
          </c:val>
          <c:extLst>
            <c:ext xmlns:c16="http://schemas.microsoft.com/office/drawing/2014/chart" uri="{C3380CC4-5D6E-409C-BE32-E72D297353CC}">
              <c16:uniqueId val="{00000006-F8C7-45EC-A3F2-6B4F22C1CAE2}"/>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指標縦棒!$C$636</c:f>
          <c:strCache>
            <c:ptCount val="1"/>
            <c:pt idx="0">
              <c:v>1人あたりの総労働時間の短さ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指標縦棒!$G$635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B54-4394-A562-23290AEAD38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指標縦棒!$F$636:$F$644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指標縦棒!$G$636:$G$644</c:f>
              <c:numCache>
                <c:formatCode>#,##0_ </c:formatCode>
                <c:ptCount val="9"/>
                <c:pt idx="0">
                  <c:v>1998.5959552147201</c:v>
                </c:pt>
                <c:pt idx="1">
                  <c:v>2067.0377837143001</c:v>
                </c:pt>
                <c:pt idx="2">
                  <c:v>1970.80495513815</c:v>
                </c:pt>
                <c:pt idx="3">
                  <c:v>1716.6064742548399</c:v>
                </c:pt>
                <c:pt idx="4">
                  <c:v>2242.4932735426</c:v>
                </c:pt>
                <c:pt idx="5">
                  <c:v>2264.7970470093701</c:v>
                </c:pt>
                <c:pt idx="6">
                  <c:v>2006.44923710086</c:v>
                </c:pt>
                <c:pt idx="7">
                  <c:v>2054.19151064075</c:v>
                </c:pt>
                <c:pt idx="8">
                  <c:v>1946.9234338428</c:v>
                </c:pt>
              </c:numCache>
            </c:numRef>
          </c:val>
          <c:extLst>
            <c:ext xmlns:c16="http://schemas.microsoft.com/office/drawing/2014/chart" uri="{C3380CC4-5D6E-409C-BE32-E72D297353CC}">
              <c16:uniqueId val="{00000006-7B54-4394-A562-23290AEAD388}"/>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指標縦棒!$C$637</c:f>
              <c:strCache>
                <c:ptCount val="1"/>
                <c:pt idx="0">
                  <c:v>時間/年</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指標縦棒!$C$636</c:f>
          <c:strCache>
            <c:ptCount val="1"/>
            <c:pt idx="0">
              <c:v>1人あたりの総労働時間の短さ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指標縦棒!$H$635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9E1-4E6F-A8B6-E50C7A61977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指標縦棒!$F$636:$F$644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指標縦棒!$H$636:$H$644</c:f>
              <c:numCache>
                <c:formatCode>0.0_ </c:formatCode>
                <c:ptCount val="9"/>
                <c:pt idx="0">
                  <c:v>67.635031008799999</c:v>
                </c:pt>
                <c:pt idx="1">
                  <c:v>61.4850761179</c:v>
                </c:pt>
                <c:pt idx="2">
                  <c:v>70.132237769499994</c:v>
                </c:pt>
                <c:pt idx="3">
                  <c:v>92.973667127200002</c:v>
                </c:pt>
                <c:pt idx="4">
                  <c:v>45.719229829600003</c:v>
                </c:pt>
                <c:pt idx="5">
                  <c:v>43.715086986999999</c:v>
                </c:pt>
                <c:pt idx="6">
                  <c:v>66.929361239299993</c:v>
                </c:pt>
                <c:pt idx="7">
                  <c:v>62.639399455700001</c:v>
                </c:pt>
                <c:pt idx="8">
                  <c:v>72.278151780200005</c:v>
                </c:pt>
              </c:numCache>
            </c:numRef>
          </c:val>
          <c:extLst>
            <c:ext xmlns:c16="http://schemas.microsoft.com/office/drawing/2014/chart" uri="{C3380CC4-5D6E-409C-BE32-E72D297353CC}">
              <c16:uniqueId val="{00000006-F9E1-4E6F-A8B6-E50C7A619770}"/>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指標縦棒!$C$651</c:f>
          <c:strCache>
            <c:ptCount val="1"/>
            <c:pt idx="0">
              <c:v>働き方の柔軟性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指標縦棒!$G$650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352-4CE9-A5A4-76E6B97D28E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指標縦棒!$F$651:$F$659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指標縦棒!$G$651:$G$659</c:f>
              <c:numCache>
                <c:formatCode>0.0_ </c:formatCode>
                <c:ptCount val="9"/>
                <c:pt idx="0">
                  <c:v>0.53529411764705803</c:v>
                </c:pt>
                <c:pt idx="1">
                  <c:v>0.78709677419354795</c:v>
                </c:pt>
                <c:pt idx="2">
                  <c:v>0.40828402366863897</c:v>
                </c:pt>
                <c:pt idx="3">
                  <c:v>0.36969696969696902</c:v>
                </c:pt>
                <c:pt idx="4">
                  <c:v>0.66666666666666596</c:v>
                </c:pt>
                <c:pt idx="5">
                  <c:v>4.1666666666666602E-2</c:v>
                </c:pt>
                <c:pt idx="6">
                  <c:v>0.40526315789473599</c:v>
                </c:pt>
                <c:pt idx="7">
                  <c:v>0.61111111111111105</c:v>
                </c:pt>
                <c:pt idx="8">
                  <c:v>0.77319587628865905</c:v>
                </c:pt>
              </c:numCache>
            </c:numRef>
          </c:val>
          <c:extLst>
            <c:ext xmlns:c16="http://schemas.microsoft.com/office/drawing/2014/chart" uri="{C3380CC4-5D6E-409C-BE32-E72D297353CC}">
              <c16:uniqueId val="{00000006-3352-4CE9-A5A4-76E6B97D28E5}"/>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指標縦棒!$C$652</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指標縦棒!$C$651</c:f>
          <c:strCache>
            <c:ptCount val="1"/>
            <c:pt idx="0">
              <c:v>働き方の柔軟性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指標縦棒!$H$650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41B3-4D47-BA7A-93A4CDF7BCE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指標縦棒!$F$651:$F$659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指標縦棒!$H$651:$H$659</c:f>
              <c:numCache>
                <c:formatCode>0.0_ </c:formatCode>
                <c:ptCount val="9"/>
                <c:pt idx="0">
                  <c:v>68.837052062200002</c:v>
                </c:pt>
                <c:pt idx="1">
                  <c:v>96.622172784599996</c:v>
                </c:pt>
                <c:pt idx="2">
                  <c:v>54.822145140400004</c:v>
                </c:pt>
                <c:pt idx="3">
                  <c:v>50.564263322899997</c:v>
                </c:pt>
                <c:pt idx="4">
                  <c:v>83.333333333300004</c:v>
                </c:pt>
                <c:pt idx="5">
                  <c:v>14.367816092</c:v>
                </c:pt>
                <c:pt idx="6">
                  <c:v>54.488808227500002</c:v>
                </c:pt>
                <c:pt idx="7">
                  <c:v>77.203065134100001</c:v>
                </c:pt>
                <c:pt idx="8">
                  <c:v>95.088280601999998</c:v>
                </c:pt>
              </c:numCache>
            </c:numRef>
          </c:val>
          <c:extLst>
            <c:ext xmlns:c16="http://schemas.microsoft.com/office/drawing/2014/chart" uri="{C3380CC4-5D6E-409C-BE32-E72D297353CC}">
              <c16:uniqueId val="{00000006-41B3-4D47-BA7A-93A4CDF7BCEC}"/>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指標縦棒!$C$666</c:f>
          <c:strCache>
            <c:ptCount val="1"/>
            <c:pt idx="0">
              <c:v>住宅賃料水準の低さ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指標縦棒!$G$665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2F1F-4226-9468-441B9005670E}"/>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指標縦棒!$F$666:$F$674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指標縦棒!$G$666:$G$674</c:f>
              <c:numCache>
                <c:formatCode>#,##0_ </c:formatCode>
                <c:ptCount val="9"/>
                <c:pt idx="0">
                  <c:v>3412.26960110041</c:v>
                </c:pt>
                <c:pt idx="1">
                  <c:v>4613.7375000000002</c:v>
                </c:pt>
                <c:pt idx="2">
                  <c:v>1613.1817705819601</c:v>
                </c:pt>
                <c:pt idx="3">
                  <c:v>2088.6111111111099</c:v>
                </c:pt>
                <c:pt idx="4">
                  <c:v>4138.4133184523798</c:v>
                </c:pt>
                <c:pt idx="5">
                  <c:v>1639.2893094752901</c:v>
                </c:pt>
                <c:pt idx="6">
                  <c:v>2773.58580985462</c:v>
                </c:pt>
                <c:pt idx="7">
                  <c:v>1478.8705052696801</c:v>
                </c:pt>
                <c:pt idx="8">
                  <c:v>1633.4857408555399</c:v>
                </c:pt>
              </c:numCache>
            </c:numRef>
          </c:val>
          <c:extLst>
            <c:ext xmlns:c16="http://schemas.microsoft.com/office/drawing/2014/chart" uri="{C3380CC4-5D6E-409C-BE32-E72D297353CC}">
              <c16:uniqueId val="{00000006-2F1F-4226-9468-441B9005670E}"/>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指標縦棒!$C$667</c:f>
              <c:strCache>
                <c:ptCount val="1"/>
                <c:pt idx="0">
                  <c:v>ドル/月</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指標縦棒!$C$666</c:f>
          <c:strCache>
            <c:ptCount val="1"/>
            <c:pt idx="0">
              <c:v>住宅賃料水準の低さ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指標縦棒!$H$665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1F3-421C-A6EF-0C15B481543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指標縦棒!$F$666:$F$674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指標縦棒!$H$666:$H$674</c:f>
              <c:numCache>
                <c:formatCode>0.0_ </c:formatCode>
                <c:ptCount val="9"/>
                <c:pt idx="0">
                  <c:v>28.644975603799999</c:v>
                </c:pt>
                <c:pt idx="1">
                  <c:v>0</c:v>
                </c:pt>
                <c:pt idx="2">
                  <c:v>71.5381956903</c:v>
                </c:pt>
                <c:pt idx="3">
                  <c:v>60.203176358299999</c:v>
                </c:pt>
                <c:pt idx="4">
                  <c:v>11.332512168499999</c:v>
                </c:pt>
                <c:pt idx="5">
                  <c:v>70.915748918899993</c:v>
                </c:pt>
                <c:pt idx="6">
                  <c:v>43.872250203100002</c:v>
                </c:pt>
                <c:pt idx="7">
                  <c:v>74.740397698099997</c:v>
                </c:pt>
                <c:pt idx="8">
                  <c:v>71.054115563300002</c:v>
                </c:pt>
              </c:numCache>
            </c:numRef>
          </c:val>
          <c:extLst>
            <c:ext xmlns:c16="http://schemas.microsoft.com/office/drawing/2014/chart" uri="{C3380CC4-5D6E-409C-BE32-E72D297353CC}">
              <c16:uniqueId val="{00000006-71F3-421C-A6EF-0C15B4815435}"/>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指標縦棒!$C$681</c:f>
          <c:strCache>
            <c:ptCount val="1"/>
            <c:pt idx="0">
              <c:v>物価水準の低さ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指標縦棒!$G$680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F8A-43FB-B7A2-1320351B3BF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指標縦棒!$F$681:$F$689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指標縦棒!$G$681:$G$689</c:f>
              <c:numCache>
                <c:formatCode>#,##0_ </c:formatCode>
                <c:ptCount val="9"/>
                <c:pt idx="0">
                  <c:v>44.514340420953197</c:v>
                </c:pt>
                <c:pt idx="1">
                  <c:v>64.006438354829498</c:v>
                </c:pt>
                <c:pt idx="2">
                  <c:v>37.266823728009101</c:v>
                </c:pt>
                <c:pt idx="3">
                  <c:v>39.638502618539697</c:v>
                </c:pt>
                <c:pt idx="4">
                  <c:v>63.442139880606703</c:v>
                </c:pt>
                <c:pt idx="5">
                  <c:v>33.182298983300903</c:v>
                </c:pt>
                <c:pt idx="6">
                  <c:v>42.339354228944998</c:v>
                </c:pt>
                <c:pt idx="7">
                  <c:v>16.150124641789599</c:v>
                </c:pt>
                <c:pt idx="8">
                  <c:v>25.8459253249212</c:v>
                </c:pt>
              </c:numCache>
            </c:numRef>
          </c:val>
          <c:extLst>
            <c:ext xmlns:c16="http://schemas.microsoft.com/office/drawing/2014/chart" uri="{C3380CC4-5D6E-409C-BE32-E72D297353CC}">
              <c16:uniqueId val="{00000006-5F8A-43FB-B7A2-1320351B3BF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指標縦棒!$C$682</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指標縦棒!$C$681</c:f>
          <c:strCache>
            <c:ptCount val="1"/>
            <c:pt idx="0">
              <c:v>物価水準の低さ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指標縦棒!$H$680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022-453D-9EE0-E06B508D05AE}"/>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指標縦棒!$F$681:$F$689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指標縦棒!$H$681:$H$689</c:f>
              <c:numCache>
                <c:formatCode>0.0_ </c:formatCode>
                <c:ptCount val="9"/>
                <c:pt idx="0">
                  <c:v>47.397611096399999</c:v>
                </c:pt>
                <c:pt idx="1">
                  <c:v>24.363889685</c:v>
                </c:pt>
                <c:pt idx="2">
                  <c:v>55.961967842100002</c:v>
                </c:pt>
                <c:pt idx="3">
                  <c:v>53.159365935099999</c:v>
                </c:pt>
                <c:pt idx="4">
                  <c:v>25.030718565800001</c:v>
                </c:pt>
                <c:pt idx="5">
                  <c:v>60.788631723400002</c:v>
                </c:pt>
                <c:pt idx="6">
                  <c:v>49.967782157000002</c:v>
                </c:pt>
                <c:pt idx="7">
                  <c:v>80.915472874200006</c:v>
                </c:pt>
                <c:pt idx="8">
                  <c:v>69.457990331700003</c:v>
                </c:pt>
              </c:numCache>
            </c:numRef>
          </c:val>
          <c:extLst>
            <c:ext xmlns:c16="http://schemas.microsoft.com/office/drawing/2014/chart" uri="{C3380CC4-5D6E-409C-BE32-E72D297353CC}">
              <c16:uniqueId val="{00000006-A022-453D-9EE0-E06B508D05AE}"/>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指標縦棒!$C$696</c:f>
          <c:strCache>
            <c:ptCount val="1"/>
            <c:pt idx="0">
              <c:v>殺人件数の少なさ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指標縦棒!$G$695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781-4155-AD02-2B191BBF010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指標縦棒!$F$696:$F$704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指標縦棒!$G$696:$G$704</c:f>
              <c:numCache>
                <c:formatCode>#,##0_ </c:formatCode>
                <c:ptCount val="9"/>
                <c:pt idx="0">
                  <c:v>12.732151456217</c:v>
                </c:pt>
                <c:pt idx="1">
                  <c:v>56.382981158566601</c:v>
                </c:pt>
                <c:pt idx="2">
                  <c:v>6.2163816783753898</c:v>
                </c:pt>
                <c:pt idx="3">
                  <c:v>8.4019257213753296</c:v>
                </c:pt>
                <c:pt idx="4">
                  <c:v>1.0526315789473599</c:v>
                </c:pt>
                <c:pt idx="5">
                  <c:v>4.9301424492762802</c:v>
                </c:pt>
                <c:pt idx="6">
                  <c:v>4.0540540540540499</c:v>
                </c:pt>
                <c:pt idx="7">
                  <c:v>4.61799900870919</c:v>
                </c:pt>
                <c:pt idx="8">
                  <c:v>5.2220789497997497</c:v>
                </c:pt>
              </c:numCache>
            </c:numRef>
          </c:val>
          <c:extLst>
            <c:ext xmlns:c16="http://schemas.microsoft.com/office/drawing/2014/chart" uri="{C3380CC4-5D6E-409C-BE32-E72D297353CC}">
              <c16:uniqueId val="{00000006-5781-4155-AD02-2B191BBF010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指標縦棒!$C$697</c:f>
              <c:strCache>
                <c:ptCount val="1"/>
                <c:pt idx="0">
                  <c:v>件/百万人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指標縦棒!$C$696</c:f>
          <c:strCache>
            <c:ptCount val="1"/>
            <c:pt idx="0">
              <c:v>殺人件数の少なさ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指標縦棒!$H$695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BDF6-4B6E-930D-7A1C669C640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指標縦棒!$F$696:$F$704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指標縦棒!$H$696:$H$704</c:f>
              <c:numCache>
                <c:formatCode>0.0_ </c:formatCode>
                <c:ptCount val="9"/>
                <c:pt idx="0">
                  <c:v>97.029199372400001</c:v>
                </c:pt>
                <c:pt idx="1">
                  <c:v>85.926181984699994</c:v>
                </c:pt>
                <c:pt idx="2">
                  <c:v>98.686549430300005</c:v>
                </c:pt>
                <c:pt idx="3">
                  <c:v>98.130634830800005</c:v>
                </c:pt>
                <c:pt idx="4">
                  <c:v>100</c:v>
                </c:pt>
                <c:pt idx="5">
                  <c:v>99.013717015099999</c:v>
                </c:pt>
                <c:pt idx="6">
                  <c:v>99.236558705600004</c:v>
                </c:pt>
                <c:pt idx="7">
                  <c:v>99.0931137659</c:v>
                </c:pt>
                <c:pt idx="8">
                  <c:v>98.939460097999998</c:v>
                </c:pt>
              </c:numCache>
            </c:numRef>
          </c:val>
          <c:extLst>
            <c:ext xmlns:c16="http://schemas.microsoft.com/office/drawing/2014/chart" uri="{C3380CC4-5D6E-409C-BE32-E72D297353CC}">
              <c16:uniqueId val="{00000006-BDF6-4B6E-930D-7A1C669C6406}"/>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指標縦棒!$C$711</c:f>
          <c:strCache>
            <c:ptCount val="1"/>
            <c:pt idx="0">
              <c:v>自然災害の経済的リスクの少なさ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指標縦棒!$G$710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C18-4D56-87D3-84AFDC1C8FE3}"/>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指標縦棒!$F$711:$F$719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指標縦棒!$G$711:$G$719</c:f>
              <c:numCache>
                <c:formatCode>0.0%</c:formatCode>
                <c:ptCount val="9"/>
                <c:pt idx="0">
                  <c:v>2.5000000000000001E-3</c:v>
                </c:pt>
                <c:pt idx="1">
                  <c:v>2.0999999999999999E-3</c:v>
                </c:pt>
                <c:pt idx="2">
                  <c:v>6.0000000000000001E-3</c:v>
                </c:pt>
                <c:pt idx="3">
                  <c:v>1.8E-3</c:v>
                </c:pt>
                <c:pt idx="4">
                  <c:v>2.3999999999999998E-3</c:v>
                </c:pt>
                <c:pt idx="5">
                  <c:v>1.0699999999999999E-2</c:v>
                </c:pt>
                <c:pt idx="6">
                  <c:v>2.8E-3</c:v>
                </c:pt>
                <c:pt idx="7">
                  <c:v>3.2000000000000002E-3</c:v>
                </c:pt>
                <c:pt idx="8">
                  <c:v>6.7000000000000002E-3</c:v>
                </c:pt>
              </c:numCache>
            </c:numRef>
          </c:val>
          <c:extLst>
            <c:ext xmlns:c16="http://schemas.microsoft.com/office/drawing/2014/chart" uri="{C3380CC4-5D6E-409C-BE32-E72D297353CC}">
              <c16:uniqueId val="{00000006-9C18-4D56-87D3-84AFDC1C8FE3}"/>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指標縦棒!$C$711</c:f>
          <c:strCache>
            <c:ptCount val="1"/>
            <c:pt idx="0">
              <c:v>自然災害の経済的リスクの少なさ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指標縦棒!$H$710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A66-4F1E-B381-E8C5C00A271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指標縦棒!$F$711:$F$719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指標縦棒!$H$711:$H$719</c:f>
              <c:numCache>
                <c:formatCode>0.0_ </c:formatCode>
                <c:ptCount val="9"/>
                <c:pt idx="0">
                  <c:v>96.795952782499995</c:v>
                </c:pt>
                <c:pt idx="1">
                  <c:v>97.470489038799997</c:v>
                </c:pt>
                <c:pt idx="2">
                  <c:v>90.893760539599995</c:v>
                </c:pt>
                <c:pt idx="3">
                  <c:v>97.976391230999994</c:v>
                </c:pt>
                <c:pt idx="4">
                  <c:v>96.964586846499998</c:v>
                </c:pt>
                <c:pt idx="5">
                  <c:v>82.967959527800005</c:v>
                </c:pt>
                <c:pt idx="6">
                  <c:v>96.290050590199996</c:v>
                </c:pt>
                <c:pt idx="7">
                  <c:v>95.615514333899995</c:v>
                </c:pt>
                <c:pt idx="8">
                  <c:v>89.713322091099997</c:v>
                </c:pt>
              </c:numCache>
            </c:numRef>
          </c:val>
          <c:extLst>
            <c:ext xmlns:c16="http://schemas.microsoft.com/office/drawing/2014/chart" uri="{C3380CC4-5D6E-409C-BE32-E72D297353CC}">
              <c16:uniqueId val="{00000006-AA66-4F1E-B381-E8C5C00A271B}"/>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指標縦棒!$C$726</c:f>
          <c:strCache>
            <c:ptCount val="1"/>
            <c:pt idx="0">
              <c:v>平均寿命</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指標縦棒!$G$725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8D0-4A2A-962B-E7E6A623203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指標縦棒!$F$726:$F$734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指標縦棒!$G$726:$G$734</c:f>
              <c:numCache>
                <c:formatCode>#,##0_ </c:formatCode>
                <c:ptCount val="9"/>
                <c:pt idx="0">
                  <c:v>81.400000000000006</c:v>
                </c:pt>
                <c:pt idx="1">
                  <c:v>78.5</c:v>
                </c:pt>
                <c:pt idx="2">
                  <c:v>84.3</c:v>
                </c:pt>
                <c:pt idx="3">
                  <c:v>82.5</c:v>
                </c:pt>
                <c:pt idx="4">
                  <c:v>83.2</c:v>
                </c:pt>
                <c:pt idx="5">
                  <c:v>83.3</c:v>
                </c:pt>
                <c:pt idx="6">
                  <c:v>85.492682926829204</c:v>
                </c:pt>
                <c:pt idx="7">
                  <c:v>77.400000000000006</c:v>
                </c:pt>
                <c:pt idx="8">
                  <c:v>77.400000000000006</c:v>
                </c:pt>
              </c:numCache>
            </c:numRef>
          </c:val>
          <c:extLst>
            <c:ext xmlns:c16="http://schemas.microsoft.com/office/drawing/2014/chart" uri="{C3380CC4-5D6E-409C-BE32-E72D297353CC}">
              <c16:uniqueId val="{00000006-58D0-4A2A-962B-E7E6A623203B}"/>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指標縦棒!$C$727</c:f>
              <c:strCache>
                <c:ptCount val="1"/>
                <c:pt idx="0">
                  <c:v>歳</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指標縦棒!$C$726</c:f>
          <c:strCache>
            <c:ptCount val="1"/>
            <c:pt idx="0">
              <c:v>平均寿命</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指標縦棒!$H$725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BA1-432F-B899-ECA9E52275B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指標縦棒!$F$726:$F$734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指標縦棒!$H$726:$H$734</c:f>
              <c:numCache>
                <c:formatCode>0.0_ </c:formatCode>
                <c:ptCount val="9"/>
                <c:pt idx="0">
                  <c:v>79.731851672900007</c:v>
                </c:pt>
                <c:pt idx="1">
                  <c:v>65.370213793900007</c:v>
                </c:pt>
                <c:pt idx="2">
                  <c:v>94.093489551900007</c:v>
                </c:pt>
                <c:pt idx="3">
                  <c:v>85.179369489099997</c:v>
                </c:pt>
                <c:pt idx="4">
                  <c:v>88.645971735700002</c:v>
                </c:pt>
                <c:pt idx="5">
                  <c:v>89.141200628099995</c:v>
                </c:pt>
                <c:pt idx="6">
                  <c:v>100</c:v>
                </c:pt>
                <c:pt idx="7">
                  <c:v>59.922695977799997</c:v>
                </c:pt>
                <c:pt idx="8">
                  <c:v>59.922695977799997</c:v>
                </c:pt>
              </c:numCache>
            </c:numRef>
          </c:val>
          <c:extLst>
            <c:ext xmlns:c16="http://schemas.microsoft.com/office/drawing/2014/chart" uri="{C3380CC4-5D6E-409C-BE32-E72D297353CC}">
              <c16:uniqueId val="{00000006-8BA1-432F-B899-ECA9E52275B2}"/>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指標縦棒!$C$741</c:f>
          <c:strCache>
            <c:ptCount val="1"/>
            <c:pt idx="0">
              <c:v>社会の自由度・平等さ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指標縦棒!$G$740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4E31-4A89-B119-28BFD23419C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指標縦棒!$F$741:$F$749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指標縦棒!$G$741:$G$749</c:f>
              <c:numCache>
                <c:formatCode>#,##0_ </c:formatCode>
                <c:ptCount val="9"/>
                <c:pt idx="0">
                  <c:v>79.475088821136595</c:v>
                </c:pt>
                <c:pt idx="1">
                  <c:v>67.750995245412895</c:v>
                </c:pt>
                <c:pt idx="2">
                  <c:v>59.566200587695498</c:v>
                </c:pt>
                <c:pt idx="3">
                  <c:v>74.2539220047356</c:v>
                </c:pt>
                <c:pt idx="4">
                  <c:v>53.839918278260797</c:v>
                </c:pt>
                <c:pt idx="5">
                  <c:v>58.012991802688497</c:v>
                </c:pt>
                <c:pt idx="6">
                  <c:v>42.081236393764399</c:v>
                </c:pt>
                <c:pt idx="7">
                  <c:v>12.762011705458001</c:v>
                </c:pt>
                <c:pt idx="8">
                  <c:v>12.762011705458001</c:v>
                </c:pt>
              </c:numCache>
            </c:numRef>
          </c:val>
          <c:extLst>
            <c:ext xmlns:c16="http://schemas.microsoft.com/office/drawing/2014/chart" uri="{C3380CC4-5D6E-409C-BE32-E72D297353CC}">
              <c16:uniqueId val="{00000006-4E31-4A89-B119-28BFD23419C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指標縦棒!$C$742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指標縦棒!$C$741</c:f>
          <c:strCache>
            <c:ptCount val="1"/>
            <c:pt idx="0">
              <c:v>社会の自由度・平等さ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指標縦棒!$H$740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D39-4373-85FE-E0AA217253D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指標縦棒!$F$741:$F$749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指標縦棒!$H$741:$H$749</c:f>
              <c:numCache>
                <c:formatCode>0.0_ </c:formatCode>
                <c:ptCount val="9"/>
                <c:pt idx="0">
                  <c:v>79.558602101000005</c:v>
                </c:pt>
                <c:pt idx="1">
                  <c:v>66.659608137500001</c:v>
                </c:pt>
                <c:pt idx="2">
                  <c:v>57.654594982299997</c:v>
                </c:pt>
                <c:pt idx="3">
                  <c:v>73.814209256300003</c:v>
                </c:pt>
                <c:pt idx="4">
                  <c:v>51.3544677728</c:v>
                </c:pt>
                <c:pt idx="5">
                  <c:v>55.945735306899998</c:v>
                </c:pt>
                <c:pt idx="6">
                  <c:v>38.417419320699999</c:v>
                </c:pt>
                <c:pt idx="7">
                  <c:v>6.1600426777999999</c:v>
                </c:pt>
                <c:pt idx="8">
                  <c:v>6.1600426777999999</c:v>
                </c:pt>
              </c:numCache>
            </c:numRef>
          </c:val>
          <c:extLst>
            <c:ext xmlns:c16="http://schemas.microsoft.com/office/drawing/2014/chart" uri="{C3380CC4-5D6E-409C-BE32-E72D297353CC}">
              <c16:uniqueId val="{00000006-5D39-4373-85FE-E0AA217253D5}"/>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指標縦棒!$C$756</c:f>
          <c:strCache>
            <c:ptCount val="1"/>
            <c:pt idx="0">
              <c:v>メンタルヘルス水準</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指標縦棒!$G$755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AF8-48B0-BF31-5209D9CB12B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指標縦棒!$F$756:$F$764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指標縦棒!$G$756:$G$764</c:f>
              <c:numCache>
                <c:formatCode>#,##0_ </c:formatCode>
                <c:ptCount val="9"/>
                <c:pt idx="0">
                  <c:v>14.5932110497432</c:v>
                </c:pt>
                <c:pt idx="1">
                  <c:v>52.542387828333801</c:v>
                </c:pt>
                <c:pt idx="2">
                  <c:v>27.111998667526102</c:v>
                </c:pt>
                <c:pt idx="3">
                  <c:v>20.701695668115299</c:v>
                </c:pt>
                <c:pt idx="4">
                  <c:v>17.423644347563201</c:v>
                </c:pt>
                <c:pt idx="5">
                  <c:v>46.433226005326702</c:v>
                </c:pt>
                <c:pt idx="6">
                  <c:v>23.073286052009401</c:v>
                </c:pt>
                <c:pt idx="7">
                  <c:v>60.236406619385299</c:v>
                </c:pt>
                <c:pt idx="8">
                  <c:v>60.236406619385299</c:v>
                </c:pt>
              </c:numCache>
            </c:numRef>
          </c:val>
          <c:extLst>
            <c:ext xmlns:c16="http://schemas.microsoft.com/office/drawing/2014/chart" uri="{C3380CC4-5D6E-409C-BE32-E72D297353CC}">
              <c16:uniqueId val="{00000006-CAF8-48B0-BF31-5209D9CB12B7}"/>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指標縦棒!$C$757</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指標縦棒!$C$756</c:f>
          <c:strCache>
            <c:ptCount val="1"/>
            <c:pt idx="0">
              <c:v>メンタルヘルス水準</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指標縦棒!$H$755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076-48B4-995E-67D2B3FA551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指標縦棒!$F$756:$F$764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指標縦棒!$H$756:$H$764</c:f>
              <c:numCache>
                <c:formatCode>0.0_ </c:formatCode>
                <c:ptCount val="9"/>
                <c:pt idx="0">
                  <c:v>83.276426823999998</c:v>
                </c:pt>
                <c:pt idx="1">
                  <c:v>26.423458706000002</c:v>
                </c:pt>
                <c:pt idx="2">
                  <c:v>64.521600139300006</c:v>
                </c:pt>
                <c:pt idx="3">
                  <c:v>74.125095735000002</c:v>
                </c:pt>
                <c:pt idx="4">
                  <c:v>79.036057263999993</c:v>
                </c:pt>
                <c:pt idx="5">
                  <c:v>35.575804338600001</c:v>
                </c:pt>
                <c:pt idx="6">
                  <c:v>70.572134539800004</c:v>
                </c:pt>
                <c:pt idx="7">
                  <c:v>14.896784291399999</c:v>
                </c:pt>
                <c:pt idx="8">
                  <c:v>14.896784291399999</c:v>
                </c:pt>
              </c:numCache>
            </c:numRef>
          </c:val>
          <c:extLst>
            <c:ext xmlns:c16="http://schemas.microsoft.com/office/drawing/2014/chart" uri="{C3380CC4-5D6E-409C-BE32-E72D297353CC}">
              <c16:uniqueId val="{00000006-5076-48B4-995E-67D2B3FA5510}"/>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指標縦棒!$C$771</c:f>
          <c:strCache>
            <c:ptCount val="1"/>
            <c:pt idx="0">
              <c:v>医師数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指標縦棒!$G$770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E15-4D7D-AA0A-39916C4760B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指標縦棒!$F$771:$F$779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指標縦棒!$G$771:$G$779</c:f>
              <c:numCache>
                <c:formatCode>#,##0_ </c:formatCode>
                <c:ptCount val="9"/>
                <c:pt idx="0">
                  <c:v>4132.4473515467198</c:v>
                </c:pt>
                <c:pt idx="1">
                  <c:v>3602.2271099729201</c:v>
                </c:pt>
                <c:pt idx="2">
                  <c:v>4579.5698702601403</c:v>
                </c:pt>
                <c:pt idx="3">
                  <c:v>7117.8734278973498</c:v>
                </c:pt>
                <c:pt idx="4">
                  <c:v>2503.5065572620802</c:v>
                </c:pt>
                <c:pt idx="5">
                  <c:v>2496.78959621178</c:v>
                </c:pt>
                <c:pt idx="6">
                  <c:v>3157.7962522387602</c:v>
                </c:pt>
                <c:pt idx="7">
                  <c:v>2679.7224915962602</c:v>
                </c:pt>
                <c:pt idx="8">
                  <c:v>2562.8899834701601</c:v>
                </c:pt>
              </c:numCache>
            </c:numRef>
          </c:val>
          <c:extLst>
            <c:ext xmlns:c16="http://schemas.microsoft.com/office/drawing/2014/chart" uri="{C3380CC4-5D6E-409C-BE32-E72D297353CC}">
              <c16:uniqueId val="{00000006-8E15-4D7D-AA0A-39916C4760B0}"/>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指標縦棒!$C$772</c:f>
              <c:strCache>
                <c:ptCount val="1"/>
                <c:pt idx="0">
                  <c:v>人/百万人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指標縦棒!$C$771</c:f>
          <c:strCache>
            <c:ptCount val="1"/>
            <c:pt idx="0">
              <c:v>医師数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指標縦棒!$H$770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759-42F5-ADD2-A5811929A8B4}"/>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指標縦棒!$F$771:$F$779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指標縦棒!$H$771:$H$779</c:f>
              <c:numCache>
                <c:formatCode>0.0_ </c:formatCode>
                <c:ptCount val="9"/>
                <c:pt idx="0">
                  <c:v>42.771112084899997</c:v>
                </c:pt>
                <c:pt idx="1">
                  <c:v>36.258090682999999</c:v>
                </c:pt>
                <c:pt idx="2">
                  <c:v>48.2633930378</c:v>
                </c:pt>
                <c:pt idx="3">
                  <c:v>79.442937119899995</c:v>
                </c:pt>
                <c:pt idx="4">
                  <c:v>22.7618302361</c:v>
                </c:pt>
                <c:pt idx="5">
                  <c:v>22.679321671499999</c:v>
                </c:pt>
                <c:pt idx="6">
                  <c:v>30.7988730577</c:v>
                </c:pt>
                <c:pt idx="7">
                  <c:v>24.92639896</c:v>
                </c:pt>
                <c:pt idx="8">
                  <c:v>23.491273391</c:v>
                </c:pt>
              </c:numCache>
            </c:numRef>
          </c:val>
          <c:extLst>
            <c:ext xmlns:c16="http://schemas.microsoft.com/office/drawing/2014/chart" uri="{C3380CC4-5D6E-409C-BE32-E72D297353CC}">
              <c16:uniqueId val="{00000006-C759-42F5-ADD2-A5811929A8B4}"/>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指標縦棒!$C$786</c:f>
          <c:strCache>
            <c:ptCount val="1"/>
            <c:pt idx="0">
              <c:v>ICT環境の充実度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指標縦棒!$G$785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433-430A-B228-BCF25AF3E871}"/>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指標縦棒!$F$786:$F$794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指標縦棒!$G$786:$G$794</c:f>
              <c:numCache>
                <c:formatCode>#,##0_ </c:formatCode>
                <c:ptCount val="9"/>
                <c:pt idx="0">
                  <c:v>82.082491616209495</c:v>
                </c:pt>
                <c:pt idx="1">
                  <c:v>88.068681249780397</c:v>
                </c:pt>
                <c:pt idx="2">
                  <c:v>70.539136108090403</c:v>
                </c:pt>
                <c:pt idx="3">
                  <c:v>73.069888299046099</c:v>
                </c:pt>
                <c:pt idx="4">
                  <c:v>80.081562182254203</c:v>
                </c:pt>
                <c:pt idx="5">
                  <c:v>77.814796457521993</c:v>
                </c:pt>
                <c:pt idx="6">
                  <c:v>68.748585650552201</c:v>
                </c:pt>
                <c:pt idx="7">
                  <c:v>77.985444348579605</c:v>
                </c:pt>
                <c:pt idx="8">
                  <c:v>77.985444348579605</c:v>
                </c:pt>
              </c:numCache>
            </c:numRef>
          </c:val>
          <c:extLst>
            <c:ext xmlns:c16="http://schemas.microsoft.com/office/drawing/2014/chart" uri="{C3380CC4-5D6E-409C-BE32-E72D297353CC}">
              <c16:uniqueId val="{00000006-7433-430A-B228-BCF25AF3E871}"/>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指標縦棒!$C$787</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指標縦棒!$C$786</c:f>
          <c:strCache>
            <c:ptCount val="1"/>
            <c:pt idx="0">
              <c:v>ICT環境の充実度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指標縦棒!$H$785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E9FD-4812-A0B2-57FBB1FE0D1E}"/>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指標縦棒!$F$786:$F$794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指標縦棒!$H$786:$H$794</c:f>
              <c:numCache>
                <c:formatCode>0.0_ </c:formatCode>
                <c:ptCount val="9"/>
                <c:pt idx="0">
                  <c:v>84.858753760200003</c:v>
                </c:pt>
                <c:pt idx="1">
                  <c:v>100</c:v>
                </c:pt>
                <c:pt idx="2">
                  <c:v>55.661418079000001</c:v>
                </c:pt>
                <c:pt idx="3">
                  <c:v>62.062608893300002</c:v>
                </c:pt>
                <c:pt idx="4">
                  <c:v>79.797676994699998</c:v>
                </c:pt>
                <c:pt idx="5">
                  <c:v>74.064203766000006</c:v>
                </c:pt>
                <c:pt idx="6">
                  <c:v>51.132466100899997</c:v>
                </c:pt>
                <c:pt idx="7">
                  <c:v>74.495834218200002</c:v>
                </c:pt>
                <c:pt idx="8">
                  <c:v>74.495834218200002</c:v>
                </c:pt>
              </c:numCache>
            </c:numRef>
          </c:val>
          <c:extLst>
            <c:ext xmlns:c16="http://schemas.microsoft.com/office/drawing/2014/chart" uri="{C3380CC4-5D6E-409C-BE32-E72D297353CC}">
              <c16:uniqueId val="{00000006-E9FD-4812-A0B2-57FBB1FE0D1E}"/>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指標縦棒!$C$801</c:f>
          <c:strCache>
            <c:ptCount val="1"/>
            <c:pt idx="0">
              <c:v>小売店舗の多さ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指標縦棒!$G$800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BC11-4355-943C-1CA6F9EAF52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指標縦棒!$F$801:$F$809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指標縦棒!$G$801:$G$809</c:f>
              <c:numCache>
                <c:formatCode>#,##0_ </c:formatCode>
                <c:ptCount val="9"/>
                <c:pt idx="0">
                  <c:v>60.0452053823253</c:v>
                </c:pt>
                <c:pt idx="1">
                  <c:v>51.713073430742099</c:v>
                </c:pt>
                <c:pt idx="2">
                  <c:v>66.118194167269706</c:v>
                </c:pt>
                <c:pt idx="3">
                  <c:v>81.863440052274697</c:v>
                </c:pt>
                <c:pt idx="4">
                  <c:v>55.274360298370901</c:v>
                </c:pt>
                <c:pt idx="5">
                  <c:v>45.638207392734202</c:v>
                </c:pt>
                <c:pt idx="6">
                  <c:v>40.852235152933901</c:v>
                </c:pt>
                <c:pt idx="7">
                  <c:v>35.035061735802898</c:v>
                </c:pt>
                <c:pt idx="8">
                  <c:v>37.196740187162199</c:v>
                </c:pt>
              </c:numCache>
            </c:numRef>
          </c:val>
          <c:extLst>
            <c:ext xmlns:c16="http://schemas.microsoft.com/office/drawing/2014/chart" uri="{C3380CC4-5D6E-409C-BE32-E72D297353CC}">
              <c16:uniqueId val="{00000006-BC11-4355-943C-1CA6F9EAF52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指標縦棒!$C$802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指標縦棒!$C$801</c:f>
          <c:strCache>
            <c:ptCount val="1"/>
            <c:pt idx="0">
              <c:v>小売店舗の多さ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指標縦棒!$H$800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905-4AD6-8664-A1D908F28E4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指標縦棒!$F$801:$F$809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指標縦棒!$H$801:$H$809</c:f>
              <c:numCache>
                <c:formatCode>0.0_ </c:formatCode>
                <c:ptCount val="9"/>
                <c:pt idx="0">
                  <c:v>71.881787993399996</c:v>
                </c:pt>
                <c:pt idx="1">
                  <c:v>61.143767423699998</c:v>
                </c:pt>
                <c:pt idx="2">
                  <c:v>79.708341734000001</c:v>
                </c:pt>
                <c:pt idx="3">
                  <c:v>100</c:v>
                </c:pt>
                <c:pt idx="4">
                  <c:v>65.733369684099998</c:v>
                </c:pt>
                <c:pt idx="5">
                  <c:v>53.314794376499997</c:v>
                </c:pt>
                <c:pt idx="6">
                  <c:v>47.146880971400002</c:v>
                </c:pt>
                <c:pt idx="7">
                  <c:v>39.650008841400002</c:v>
                </c:pt>
                <c:pt idx="8">
                  <c:v>42.435868188199997</c:v>
                </c:pt>
              </c:numCache>
            </c:numRef>
          </c:val>
          <c:extLst>
            <c:ext xmlns:c16="http://schemas.microsoft.com/office/drawing/2014/chart" uri="{C3380CC4-5D6E-409C-BE32-E72D297353CC}">
              <c16:uniqueId val="{00000006-8905-4AD6-8664-A1D908F28E49}"/>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指標縦棒!$C$816</c:f>
          <c:strCache>
            <c:ptCount val="1"/>
            <c:pt idx="0">
              <c:v>飲食店の多さ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指標縦棒!$G$815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EDDE-4542-B0EB-BF8DD791E40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指標縦棒!$F$816:$F$824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指標縦棒!$G$816:$G$824</c:f>
              <c:numCache>
                <c:formatCode>#,##0_ </c:formatCode>
                <c:ptCount val="9"/>
                <c:pt idx="0">
                  <c:v>59.981622404390897</c:v>
                </c:pt>
                <c:pt idx="1">
                  <c:v>54.606881729240399</c:v>
                </c:pt>
                <c:pt idx="2">
                  <c:v>62.810728774059797</c:v>
                </c:pt>
                <c:pt idx="3">
                  <c:v>71.467155376470004</c:v>
                </c:pt>
                <c:pt idx="4">
                  <c:v>45.693000810484897</c:v>
                </c:pt>
                <c:pt idx="5">
                  <c:v>50.731763362750598</c:v>
                </c:pt>
                <c:pt idx="6">
                  <c:v>53.789951868440603</c:v>
                </c:pt>
                <c:pt idx="7">
                  <c:v>50.5927315915457</c:v>
                </c:pt>
                <c:pt idx="8">
                  <c:v>53.9322998998475</c:v>
                </c:pt>
              </c:numCache>
            </c:numRef>
          </c:val>
          <c:extLst>
            <c:ext xmlns:c16="http://schemas.microsoft.com/office/drawing/2014/chart" uri="{C3380CC4-5D6E-409C-BE32-E72D297353CC}">
              <c16:uniqueId val="{00000006-EDDE-4542-B0EB-BF8DD791E402}"/>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指標縦棒!$C$817</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指標縦棒!$C$816</c:f>
          <c:strCache>
            <c:ptCount val="1"/>
            <c:pt idx="0">
              <c:v>飲食店の多さ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指標縦棒!$H$815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DB8-447D-B4DC-7D9A026E0AB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指標縦棒!$F$816:$F$824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指標縦棒!$H$816:$H$824</c:f>
              <c:numCache>
                <c:formatCode>0.0_ </c:formatCode>
                <c:ptCount val="9"/>
                <c:pt idx="0">
                  <c:v>69.208493243000007</c:v>
                </c:pt>
                <c:pt idx="1">
                  <c:v>62.087673152199997</c:v>
                </c:pt>
                <c:pt idx="2">
                  <c:v>72.956684773399999</c:v>
                </c:pt>
                <c:pt idx="3">
                  <c:v>84.425304413099994</c:v>
                </c:pt>
                <c:pt idx="4">
                  <c:v>50.277960615300003</c:v>
                </c:pt>
                <c:pt idx="5">
                  <c:v>56.953654157400003</c:v>
                </c:pt>
                <c:pt idx="6">
                  <c:v>61.005349200700003</c:v>
                </c:pt>
                <c:pt idx="7">
                  <c:v>56.769455460300001</c:v>
                </c:pt>
                <c:pt idx="8">
                  <c:v>61.193941503700003</c:v>
                </c:pt>
              </c:numCache>
            </c:numRef>
          </c:val>
          <c:extLst>
            <c:ext xmlns:c16="http://schemas.microsoft.com/office/drawing/2014/chart" uri="{C3380CC4-5D6E-409C-BE32-E72D297353CC}">
              <c16:uniqueId val="{00000006-3DB8-447D-B4DC-7D9A026E0AB5}"/>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指標縦棒!$C$831</c:f>
          <c:strCache>
            <c:ptCount val="1"/>
            <c:pt idx="0">
              <c:v>環境への取り組み</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指標縦棒!$G$830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6A3-457F-AC47-4733AC10547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指標縦棒!$F$831:$F$839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指標縦棒!$G$831:$G$839</c:f>
              <c:numCache>
                <c:formatCode>#,##0_ </c:formatCode>
                <c:ptCount val="9"/>
                <c:pt idx="0">
                  <c:v>54.393939393939299</c:v>
                </c:pt>
                <c:pt idx="1">
                  <c:v>47.894545454545401</c:v>
                </c:pt>
                <c:pt idx="2">
                  <c:v>43.909090909090899</c:v>
                </c:pt>
                <c:pt idx="3">
                  <c:v>60.153846153846096</c:v>
                </c:pt>
                <c:pt idx="4">
                  <c:v>7.7626666666666599</c:v>
                </c:pt>
                <c:pt idx="5">
                  <c:v>34.409696969696903</c:v>
                </c:pt>
                <c:pt idx="6">
                  <c:v>25.424242424242401</c:v>
                </c:pt>
                <c:pt idx="7">
                  <c:v>23.718787878787801</c:v>
                </c:pt>
                <c:pt idx="8">
                  <c:v>19.779393939393898</c:v>
                </c:pt>
              </c:numCache>
            </c:numRef>
          </c:val>
          <c:extLst>
            <c:ext xmlns:c16="http://schemas.microsoft.com/office/drawing/2014/chart" uri="{C3380CC4-5D6E-409C-BE32-E72D297353CC}">
              <c16:uniqueId val="{00000006-56A3-457F-AC47-4733AC10547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指標縦棒!$C$832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指標縦棒!$C$831</c:f>
          <c:strCache>
            <c:ptCount val="1"/>
            <c:pt idx="0">
              <c:v>環境への取り組み</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指標縦棒!$H$830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779A-4795-BA74-AC5324697AC4}"/>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指標縦棒!$F$831:$F$839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指標縦棒!$H$831:$H$839</c:f>
              <c:numCache>
                <c:formatCode>0.0_ </c:formatCode>
                <c:ptCount val="9"/>
                <c:pt idx="0">
                  <c:v>73.777229757499995</c:v>
                </c:pt>
                <c:pt idx="1">
                  <c:v>64.961775585699996</c:v>
                </c:pt>
                <c:pt idx="2">
                  <c:v>59.556103575800002</c:v>
                </c:pt>
                <c:pt idx="3">
                  <c:v>81.589680356599999</c:v>
                </c:pt>
                <c:pt idx="4">
                  <c:v>10.5288943691</c:v>
                </c:pt>
                <c:pt idx="5">
                  <c:v>46.671598849200002</c:v>
                </c:pt>
                <c:pt idx="6">
                  <c:v>34.4841759145</c:v>
                </c:pt>
                <c:pt idx="7">
                  <c:v>32.170982326299999</c:v>
                </c:pt>
                <c:pt idx="8">
                  <c:v>26.827784628</c:v>
                </c:pt>
              </c:numCache>
            </c:numRef>
          </c:val>
          <c:extLst>
            <c:ext xmlns:c16="http://schemas.microsoft.com/office/drawing/2014/chart" uri="{C3380CC4-5D6E-409C-BE32-E72D297353CC}">
              <c16:uniqueId val="{00000006-779A-4795-BA74-AC5324697AC4}"/>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指標縦棒!$C$846</c:f>
          <c:strCache>
            <c:ptCount val="1"/>
            <c:pt idx="0">
              <c:v>再生可能エネルギー比率</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指標縦棒!$G$845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DB11-4A4E-A1B0-B888DCF9C29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指標縦棒!$F$846:$F$854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指標縦棒!$G$846:$G$854</c:f>
              <c:numCache>
                <c:formatCode>0%</c:formatCode>
                <c:ptCount val="9"/>
                <c:pt idx="0">
                  <c:v>0.12590000000000001</c:v>
                </c:pt>
                <c:pt idx="1">
                  <c:v>0.08</c:v>
                </c:pt>
                <c:pt idx="2">
                  <c:v>7.0699999999999999E-2</c:v>
                </c:pt>
                <c:pt idx="3">
                  <c:v>0.1164</c:v>
                </c:pt>
                <c:pt idx="4">
                  <c:v>1.21999999999999E-2</c:v>
                </c:pt>
                <c:pt idx="5">
                  <c:v>2.1299999999999999E-2</c:v>
                </c:pt>
                <c:pt idx="6">
                  <c:v>7.6E-3</c:v>
                </c:pt>
                <c:pt idx="7">
                  <c:v>0.10009999999999999</c:v>
                </c:pt>
                <c:pt idx="8">
                  <c:v>0.10009999999999999</c:v>
                </c:pt>
              </c:numCache>
            </c:numRef>
          </c:val>
          <c:extLst>
            <c:ext xmlns:c16="http://schemas.microsoft.com/office/drawing/2014/chart" uri="{C3380CC4-5D6E-409C-BE32-E72D297353CC}">
              <c16:uniqueId val="{00000006-DB11-4A4E-A1B0-B888DCF9C29B}"/>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指標縦棒!$C$846</c:f>
          <c:strCache>
            <c:ptCount val="1"/>
            <c:pt idx="0">
              <c:v>再生可能エネルギー比率</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指標縦棒!$H$845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4A80-452E-8B35-49E7A496332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指標縦棒!$F$846:$F$854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指標縦棒!$H$846:$H$854</c:f>
              <c:numCache>
                <c:formatCode>0.0_ </c:formatCode>
                <c:ptCount val="9"/>
                <c:pt idx="0">
                  <c:v>26.337903582500001</c:v>
                </c:pt>
                <c:pt idx="1">
                  <c:v>16.187527642599999</c:v>
                </c:pt>
                <c:pt idx="2">
                  <c:v>14.130915524100001</c:v>
                </c:pt>
                <c:pt idx="3">
                  <c:v>24.237063246400002</c:v>
                </c:pt>
                <c:pt idx="4">
                  <c:v>1.1941618753000001</c:v>
                </c:pt>
                <c:pt idx="5">
                  <c:v>3.2065457762</c:v>
                </c:pt>
                <c:pt idx="6">
                  <c:v>0.17691287040000001</c:v>
                </c:pt>
                <c:pt idx="7">
                  <c:v>20.632463511699999</c:v>
                </c:pt>
                <c:pt idx="8">
                  <c:v>20.632463511699999</c:v>
                </c:pt>
              </c:numCache>
            </c:numRef>
          </c:val>
          <c:extLst>
            <c:ext xmlns:c16="http://schemas.microsoft.com/office/drawing/2014/chart" uri="{C3380CC4-5D6E-409C-BE32-E72D297353CC}">
              <c16:uniqueId val="{00000006-4A80-452E-8B35-49E7A496332B}"/>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指標縦棒!$C$861</c:f>
          <c:strCache>
            <c:ptCount val="1"/>
            <c:pt idx="0">
              <c:v>リサイクル率</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指標縦棒!$G$860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087-4123-ADC5-779F60016703}"/>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指標縦棒!$F$861:$F$869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指標縦棒!$G$861:$G$869</c:f>
              <c:numCache>
                <c:formatCode>0%</c:formatCode>
                <c:ptCount val="9"/>
                <c:pt idx="0">
                  <c:v>0.26642251848112802</c:v>
                </c:pt>
                <c:pt idx="1">
                  <c:v>0.23619984556450299</c:v>
                </c:pt>
                <c:pt idx="2">
                  <c:v>0.252</c:v>
                </c:pt>
                <c:pt idx="3">
                  <c:v>0.24308169424999901</c:v>
                </c:pt>
                <c:pt idx="4">
                  <c:v>0.58708874758086804</c:v>
                </c:pt>
                <c:pt idx="5">
                  <c:v>0.59015214882902201</c:v>
                </c:pt>
                <c:pt idx="6">
                  <c:v>0.35411949137780802</c:v>
                </c:pt>
                <c:pt idx="7">
                  <c:v>0.38500000000000001</c:v>
                </c:pt>
                <c:pt idx="8">
                  <c:v>0.4</c:v>
                </c:pt>
              </c:numCache>
            </c:numRef>
          </c:val>
          <c:extLst>
            <c:ext xmlns:c16="http://schemas.microsoft.com/office/drawing/2014/chart" uri="{C3380CC4-5D6E-409C-BE32-E72D297353CC}">
              <c16:uniqueId val="{00000006-5087-4123-ADC5-779F60016703}"/>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指標縦棒!$C$861</c:f>
          <c:strCache>
            <c:ptCount val="1"/>
            <c:pt idx="0">
              <c:v>リサイクル率</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指標縦棒!$H$860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E56-49FE-9F3B-07112D711C8E}"/>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指標縦棒!$F$861:$F$869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指標縦棒!$H$861:$H$869</c:f>
              <c:numCache>
                <c:formatCode>0.0_ </c:formatCode>
                <c:ptCount val="9"/>
                <c:pt idx="0">
                  <c:v>43.117802202</c:v>
                </c:pt>
                <c:pt idx="1">
                  <c:v>37.807407670099998</c:v>
                </c:pt>
                <c:pt idx="2">
                  <c:v>40.583636428799998</c:v>
                </c:pt>
                <c:pt idx="3">
                  <c:v>39.016610169400003</c:v>
                </c:pt>
                <c:pt idx="4">
                  <c:v>99.461732941899996</c:v>
                </c:pt>
                <c:pt idx="5">
                  <c:v>100</c:v>
                </c:pt>
                <c:pt idx="6">
                  <c:v>58.526946410500003</c:v>
                </c:pt>
                <c:pt idx="7">
                  <c:v>63.952928572399998</c:v>
                </c:pt>
                <c:pt idx="8">
                  <c:v>66.588563024699994</c:v>
                </c:pt>
              </c:numCache>
            </c:numRef>
          </c:val>
          <c:extLst>
            <c:ext xmlns:c16="http://schemas.microsoft.com/office/drawing/2014/chart" uri="{C3380CC4-5D6E-409C-BE32-E72D297353CC}">
              <c16:uniqueId val="{00000006-3E56-49FE-9F3B-07112D711C8E}"/>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指標縦棒!$C$876</c:f>
          <c:strCache>
            <c:ptCount val="1"/>
            <c:pt idx="0">
              <c:v>1人あたりのCO2排出量の少なさ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指標縦棒!$G$875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B9C-49D2-8ADD-E87345D6E96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指標縦棒!$F$876:$F$884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指標縦棒!$G$876:$G$884</c:f>
              <c:numCache>
                <c:formatCode>#,##0_ </c:formatCode>
                <c:ptCount val="9"/>
                <c:pt idx="0">
                  <c:v>3.0829560481778402</c:v>
                </c:pt>
                <c:pt idx="1">
                  <c:v>6.2465535712788398</c:v>
                </c:pt>
                <c:pt idx="2">
                  <c:v>4.3792104231040501</c:v>
                </c:pt>
                <c:pt idx="3">
                  <c:v>13.369108873728401</c:v>
                </c:pt>
                <c:pt idx="4">
                  <c:v>7.6158184949962697</c:v>
                </c:pt>
                <c:pt idx="5">
                  <c:v>4.5909577511019597</c:v>
                </c:pt>
                <c:pt idx="6">
                  <c:v>4.6508225112062203</c:v>
                </c:pt>
                <c:pt idx="7">
                  <c:v>16.584104056172801</c:v>
                </c:pt>
                <c:pt idx="8">
                  <c:v>15.6388047771785</c:v>
                </c:pt>
              </c:numCache>
            </c:numRef>
          </c:val>
          <c:extLst>
            <c:ext xmlns:c16="http://schemas.microsoft.com/office/drawing/2014/chart" uri="{C3380CC4-5D6E-409C-BE32-E72D297353CC}">
              <c16:uniqueId val="{00000006-3B9C-49D2-8ADD-E87345D6E968}"/>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指標縦棒!$C$877</c:f>
              <c:strCache>
                <c:ptCount val="1"/>
                <c:pt idx="0">
                  <c:v>トン/人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指標縦棒!$C$876</c:f>
          <c:strCache>
            <c:ptCount val="1"/>
            <c:pt idx="0">
              <c:v>1人あたりのCO2排出量の少なさ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指標縦棒!$H$875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BBAE-46AF-93B1-5ECFCA28F09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指標縦棒!$F$876:$F$884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指標縦棒!$H$876:$H$884</c:f>
              <c:numCache>
                <c:formatCode>0.0_ </c:formatCode>
                <c:ptCount val="9"/>
                <c:pt idx="0">
                  <c:v>96.499893563399993</c:v>
                </c:pt>
                <c:pt idx="1">
                  <c:v>89.181174058099998</c:v>
                </c:pt>
                <c:pt idx="2">
                  <c:v>93.501116978100001</c:v>
                </c:pt>
                <c:pt idx="3">
                  <c:v>72.703735307200006</c:v>
                </c:pt>
                <c:pt idx="4">
                  <c:v>86.013493646200004</c:v>
                </c:pt>
                <c:pt idx="5">
                  <c:v>93.0112571624</c:v>
                </c:pt>
                <c:pt idx="6">
                  <c:v>92.872765023499994</c:v>
                </c:pt>
                <c:pt idx="7">
                  <c:v>65.266111595799998</c:v>
                </c:pt>
                <c:pt idx="8">
                  <c:v>67.452982783099998</c:v>
                </c:pt>
              </c:numCache>
            </c:numRef>
          </c:val>
          <c:extLst>
            <c:ext xmlns:c16="http://schemas.microsoft.com/office/drawing/2014/chart" uri="{C3380CC4-5D6E-409C-BE32-E72D297353CC}">
              <c16:uniqueId val="{00000006-BBAE-46AF-93B1-5ECFCA28F098}"/>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指標縦棒!$C$891</c:f>
          <c:strCache>
            <c:ptCount val="1"/>
            <c:pt idx="0">
              <c:v>空気のきれいさ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指標縦棒!$G$890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79E-499C-8707-C3B1A01C6BD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指標縦棒!$F$891:$F$899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指標縦棒!$G$891:$G$899</c:f>
              <c:numCache>
                <c:formatCode>#,##0_ </c:formatCode>
                <c:ptCount val="9"/>
                <c:pt idx="0">
                  <c:v>9.6</c:v>
                </c:pt>
                <c:pt idx="1">
                  <c:v>9.9</c:v>
                </c:pt>
                <c:pt idx="2">
                  <c:v>9.1999999999999993</c:v>
                </c:pt>
                <c:pt idx="3">
                  <c:v>12.7</c:v>
                </c:pt>
                <c:pt idx="4">
                  <c:v>13.3</c:v>
                </c:pt>
                <c:pt idx="5">
                  <c:v>18.3</c:v>
                </c:pt>
                <c:pt idx="6">
                  <c:v>14.4</c:v>
                </c:pt>
                <c:pt idx="7">
                  <c:v>29.8</c:v>
                </c:pt>
                <c:pt idx="8">
                  <c:v>25.4</c:v>
                </c:pt>
              </c:numCache>
            </c:numRef>
          </c:val>
          <c:extLst>
            <c:ext xmlns:c16="http://schemas.microsoft.com/office/drawing/2014/chart" uri="{C3380CC4-5D6E-409C-BE32-E72D297353CC}">
              <c16:uniqueId val="{00000006-A79E-499C-8707-C3B1A01C6BD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指標縦棒!$C$892</c:f>
              <c:strCache>
                <c:ptCount val="1"/>
                <c:pt idx="0">
                  <c:v>µg /m³</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指標縦棒!$C$891</c:f>
          <c:strCache>
            <c:ptCount val="1"/>
            <c:pt idx="0">
              <c:v>空気のきれいさ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指標縦棒!$H$890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C20-4266-8833-2747CE54C0D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指標縦棒!$F$891:$F$899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指標縦棒!$H$891:$H$899</c:f>
              <c:numCache>
                <c:formatCode>0.0_ </c:formatCode>
                <c:ptCount val="9"/>
                <c:pt idx="0">
                  <c:v>85.3273137698</c:v>
                </c:pt>
                <c:pt idx="1">
                  <c:v>84.650112866800001</c:v>
                </c:pt>
                <c:pt idx="2">
                  <c:v>86.230248306999997</c:v>
                </c:pt>
                <c:pt idx="3">
                  <c:v>78.329571106100005</c:v>
                </c:pt>
                <c:pt idx="4">
                  <c:v>76.975169300199994</c:v>
                </c:pt>
                <c:pt idx="5">
                  <c:v>65.688487584699999</c:v>
                </c:pt>
                <c:pt idx="6">
                  <c:v>74.492099322800001</c:v>
                </c:pt>
                <c:pt idx="7">
                  <c:v>39.7291196388</c:v>
                </c:pt>
                <c:pt idx="8">
                  <c:v>49.6613995485</c:v>
                </c:pt>
              </c:numCache>
            </c:numRef>
          </c:val>
          <c:extLst>
            <c:ext xmlns:c16="http://schemas.microsoft.com/office/drawing/2014/chart" uri="{C3380CC4-5D6E-409C-BE32-E72D297353CC}">
              <c16:uniqueId val="{00000006-0C20-4266-8833-2747CE54C0DA}"/>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指標縦棒!$C$906</c:f>
          <c:strCache>
            <c:ptCount val="1"/>
            <c:pt idx="0">
              <c:v>気温の快適性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指標縦棒!$G$905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53D0-45BF-9182-21C3EBD9B5D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指標縦棒!$F$906:$F$914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指標縦棒!$G$906:$G$914</c:f>
              <c:numCache>
                <c:formatCode>0.0_ </c:formatCode>
                <c:ptCount val="9"/>
                <c:pt idx="0">
                  <c:v>0.92255107886194399</c:v>
                </c:pt>
                <c:pt idx="1">
                  <c:v>1.01118466103629</c:v>
                </c:pt>
                <c:pt idx="2">
                  <c:v>0.86386279533162502</c:v>
                </c:pt>
                <c:pt idx="3">
                  <c:v>0.91018658013674802</c:v>
                </c:pt>
                <c:pt idx="4">
                  <c:v>1.5470576312411299</c:v>
                </c:pt>
                <c:pt idx="5">
                  <c:v>1.0604101780572299</c:v>
                </c:pt>
                <c:pt idx="6">
                  <c:v>0.95598690892675697</c:v>
                </c:pt>
                <c:pt idx="7">
                  <c:v>1.1476969708596301</c:v>
                </c:pt>
                <c:pt idx="8">
                  <c:v>0.98265773975099202</c:v>
                </c:pt>
              </c:numCache>
            </c:numRef>
          </c:val>
          <c:extLst>
            <c:ext xmlns:c16="http://schemas.microsoft.com/office/drawing/2014/chart" uri="{C3380CC4-5D6E-409C-BE32-E72D297353CC}">
              <c16:uniqueId val="{00000006-53D0-45BF-9182-21C3EBD9B5DB}"/>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指標縦棒!$C$907</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指標縦棒!$C$906</c:f>
          <c:strCache>
            <c:ptCount val="1"/>
            <c:pt idx="0">
              <c:v>気温の快適性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指標縦棒!$H$905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179-41F5-8690-2E7E2952DE6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指標縦棒!$F$906:$F$914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指標縦棒!$H$906:$H$914</c:f>
              <c:numCache>
                <c:formatCode>0.0_ </c:formatCode>
                <c:ptCount val="9"/>
                <c:pt idx="0">
                  <c:v>62.404394088499998</c:v>
                </c:pt>
                <c:pt idx="1">
                  <c:v>56.563403910200002</c:v>
                </c:pt>
                <c:pt idx="2">
                  <c:v>66.2719765473</c:v>
                </c:pt>
                <c:pt idx="3">
                  <c:v>63.219219731800003</c:v>
                </c:pt>
                <c:pt idx="4">
                  <c:v>21.249150791000002</c:v>
                </c:pt>
                <c:pt idx="5">
                  <c:v>53.319421726599998</c:v>
                </c:pt>
                <c:pt idx="6">
                  <c:v>60.200958886800002</c:v>
                </c:pt>
                <c:pt idx="7">
                  <c:v>47.567185531900002</c:v>
                </c:pt>
                <c:pt idx="8">
                  <c:v>58.4433399678</c:v>
                </c:pt>
              </c:numCache>
            </c:numRef>
          </c:val>
          <c:extLst>
            <c:ext xmlns:c16="http://schemas.microsoft.com/office/drawing/2014/chart" uri="{C3380CC4-5D6E-409C-BE32-E72D297353CC}">
              <c16:uniqueId val="{00000006-1179-41F5-8690-2E7E2952DE6A}"/>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指標縦棒!$C$921</c:f>
          <c:strCache>
            <c:ptCount val="1"/>
            <c:pt idx="0">
              <c:v>水質の良好性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指標縦棒!$G$920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182-46A9-8B9C-786CCE0E1941}"/>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指標縦棒!$F$921:$F$929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指標縦棒!$G$921:$G$929</c:f>
              <c:numCache>
                <c:formatCode>#,##0_ </c:formatCode>
                <c:ptCount val="9"/>
                <c:pt idx="0">
                  <c:v>59.4</c:v>
                </c:pt>
                <c:pt idx="1">
                  <c:v>50.2</c:v>
                </c:pt>
                <c:pt idx="2">
                  <c:v>62.6</c:v>
                </c:pt>
                <c:pt idx="3">
                  <c:v>57.5</c:v>
                </c:pt>
                <c:pt idx="4">
                  <c:v>75.5</c:v>
                </c:pt>
                <c:pt idx="5">
                  <c:v>63.6</c:v>
                </c:pt>
                <c:pt idx="6">
                  <c:v>47</c:v>
                </c:pt>
                <c:pt idx="7">
                  <c:v>31.6</c:v>
                </c:pt>
                <c:pt idx="8">
                  <c:v>36.1</c:v>
                </c:pt>
              </c:numCache>
            </c:numRef>
          </c:val>
          <c:extLst>
            <c:ext xmlns:c16="http://schemas.microsoft.com/office/drawing/2014/chart" uri="{C3380CC4-5D6E-409C-BE32-E72D297353CC}">
              <c16:uniqueId val="{00000006-6182-46A9-8B9C-786CCE0E1941}"/>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指標縦棒!$C$922</c:f>
              <c:strCache>
                <c:ptCount val="1"/>
                <c:pt idx="0">
                  <c:v>pt</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指標縦棒!$C$921</c:f>
          <c:strCache>
            <c:ptCount val="1"/>
            <c:pt idx="0">
              <c:v>水質の良好性</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指標縦棒!$H$920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DC3-4C2F-9E98-078A79EAEDF7}"/>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指標縦棒!$F$921:$F$929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指標縦棒!$H$921:$H$929</c:f>
              <c:numCache>
                <c:formatCode>0.0_ </c:formatCode>
                <c:ptCount val="9"/>
                <c:pt idx="0">
                  <c:v>54.281567489099999</c:v>
                </c:pt>
                <c:pt idx="1">
                  <c:v>40.928882438300001</c:v>
                </c:pt>
                <c:pt idx="2">
                  <c:v>58.925979680700003</c:v>
                </c:pt>
                <c:pt idx="3">
                  <c:v>51.523947750399998</c:v>
                </c:pt>
                <c:pt idx="4">
                  <c:v>77.648766327999994</c:v>
                </c:pt>
                <c:pt idx="5">
                  <c:v>60.377358490600002</c:v>
                </c:pt>
                <c:pt idx="6">
                  <c:v>36.284470246700003</c:v>
                </c:pt>
                <c:pt idx="7">
                  <c:v>13.9332365747</c:v>
                </c:pt>
                <c:pt idx="8">
                  <c:v>20.464441219200001</c:v>
                </c:pt>
              </c:numCache>
            </c:numRef>
          </c:val>
          <c:extLst>
            <c:ext xmlns:c16="http://schemas.microsoft.com/office/drawing/2014/chart" uri="{C3380CC4-5D6E-409C-BE32-E72D297353CC}">
              <c16:uniqueId val="{00000006-3DC3-4C2F-9E98-078A79EAEDF7}"/>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指標縦棒!$C$936</c:f>
          <c:strCache>
            <c:ptCount val="1"/>
            <c:pt idx="0">
              <c:v>緑地の充実度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指標縦棒!$G$935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405C-458C-8969-0E27940DE9D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指標縦棒!$F$936:$F$944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指標縦棒!$G$936:$G$944</c:f>
              <c:numCache>
                <c:formatCode>#,##0_ </c:formatCode>
                <c:ptCount val="9"/>
                <c:pt idx="0">
                  <c:v>80.182762836578306</c:v>
                </c:pt>
                <c:pt idx="1">
                  <c:v>50.664966497512196</c:v>
                </c:pt>
                <c:pt idx="2">
                  <c:v>35.307772598984698</c:v>
                </c:pt>
                <c:pt idx="3">
                  <c:v>40.9966821797587</c:v>
                </c:pt>
                <c:pt idx="4">
                  <c:v>75.935427995319998</c:v>
                </c:pt>
                <c:pt idx="5">
                  <c:v>50.437957418086903</c:v>
                </c:pt>
                <c:pt idx="6">
                  <c:v>73.464915784131307</c:v>
                </c:pt>
                <c:pt idx="7">
                  <c:v>59.996662595220599</c:v>
                </c:pt>
                <c:pt idx="8">
                  <c:v>46.5506067376446</c:v>
                </c:pt>
              </c:numCache>
            </c:numRef>
          </c:val>
          <c:extLst>
            <c:ext xmlns:c16="http://schemas.microsoft.com/office/drawing/2014/chart" uri="{C3380CC4-5D6E-409C-BE32-E72D297353CC}">
              <c16:uniqueId val="{00000006-405C-458C-8969-0E27940DE9D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指標縦棒!$C$937</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指標縦棒!$C$936</c:f>
          <c:strCache>
            <c:ptCount val="1"/>
            <c:pt idx="0">
              <c:v>緑地の充実度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指標縦棒!$H$935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D52-4E6C-9935-1A973A4B517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指標縦棒!$F$936:$F$944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指標縦棒!$H$936:$H$944</c:f>
              <c:numCache>
                <c:formatCode>0.0_ </c:formatCode>
                <c:ptCount val="9"/>
                <c:pt idx="0">
                  <c:v>82.859861860300001</c:v>
                </c:pt>
                <c:pt idx="1">
                  <c:v>52.311071464599998</c:v>
                </c:pt>
                <c:pt idx="2">
                  <c:v>36.417483336099998</c:v>
                </c:pt>
                <c:pt idx="3">
                  <c:v>42.3050944696</c:v>
                </c:pt>
                <c:pt idx="4">
                  <c:v>78.464176616200007</c:v>
                </c:pt>
                <c:pt idx="5">
                  <c:v>52.076133439199999</c:v>
                </c:pt>
                <c:pt idx="6">
                  <c:v>75.9073746503</c:v>
                </c:pt>
                <c:pt idx="7">
                  <c:v>61.968703926400003</c:v>
                </c:pt>
                <c:pt idx="8">
                  <c:v>48.053005839599997</c:v>
                </c:pt>
              </c:numCache>
            </c:numRef>
          </c:val>
          <c:extLst>
            <c:ext xmlns:c16="http://schemas.microsoft.com/office/drawing/2014/chart" uri="{C3380CC4-5D6E-409C-BE32-E72D297353CC}">
              <c16:uniqueId val="{00000006-6D52-4E6C-9935-1A973A4B5172}"/>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指標縦棒!$C$951</c:f>
          <c:strCache>
            <c:ptCount val="1"/>
            <c:pt idx="0">
              <c:v>都市空間の清潔さ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指標縦棒!$G$950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B4ED-4B89-976F-010326E50AE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指標縦棒!$F$951:$F$959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指標縦棒!$G$951:$G$959</c:f>
              <c:numCache>
                <c:formatCode>#,##0_ </c:formatCode>
                <c:ptCount val="9"/>
                <c:pt idx="0">
                  <c:v>50.582134095148398</c:v>
                </c:pt>
                <c:pt idx="1">
                  <c:v>27.7950641548276</c:v>
                </c:pt>
                <c:pt idx="2">
                  <c:v>72.266232366053202</c:v>
                </c:pt>
                <c:pt idx="3">
                  <c:v>20.755121000098999</c:v>
                </c:pt>
                <c:pt idx="4">
                  <c:v>92.339349878833403</c:v>
                </c:pt>
                <c:pt idx="5">
                  <c:v>67.7219876857598</c:v>
                </c:pt>
                <c:pt idx="6">
                  <c:v>51.938792441652602</c:v>
                </c:pt>
                <c:pt idx="7">
                  <c:v>73.007774596416695</c:v>
                </c:pt>
                <c:pt idx="8">
                  <c:v>75.214686111266701</c:v>
                </c:pt>
              </c:numCache>
            </c:numRef>
          </c:val>
          <c:extLst>
            <c:ext xmlns:c16="http://schemas.microsoft.com/office/drawing/2014/chart" uri="{C3380CC4-5D6E-409C-BE32-E72D297353CC}">
              <c16:uniqueId val="{00000006-B4ED-4B89-976F-010326E50AE8}"/>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指標縦棒!$C$952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指標縦棒!$C$951</c:f>
          <c:strCache>
            <c:ptCount val="1"/>
            <c:pt idx="0">
              <c:v>都市空間の清潔さ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指標縦棒!$H$950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915-46B8-823B-3A73C363441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指標縦棒!$F$951:$F$959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指標縦棒!$H$951:$H$959</c:f>
              <c:numCache>
                <c:formatCode>0.0_ </c:formatCode>
                <c:ptCount val="9"/>
                <c:pt idx="0">
                  <c:v>38.448613813599998</c:v>
                </c:pt>
                <c:pt idx="1">
                  <c:v>9.7027079522000008</c:v>
                </c:pt>
                <c:pt idx="2">
                  <c:v>65.8031200848</c:v>
                </c:pt>
                <c:pt idx="3">
                  <c:v>0.8218143698</c:v>
                </c:pt>
                <c:pt idx="4">
                  <c:v>91.125372918400004</c:v>
                </c:pt>
                <c:pt idx="5">
                  <c:v>60.070552004100001</c:v>
                </c:pt>
                <c:pt idx="6">
                  <c:v>40.160039337699999</c:v>
                </c:pt>
                <c:pt idx="7">
                  <c:v>66.7385761659</c:v>
                </c:pt>
                <c:pt idx="8">
                  <c:v>69.522596700999998</c:v>
                </c:pt>
              </c:numCache>
            </c:numRef>
          </c:val>
          <c:extLst>
            <c:ext xmlns:c16="http://schemas.microsoft.com/office/drawing/2014/chart" uri="{C3380CC4-5D6E-409C-BE32-E72D297353CC}">
              <c16:uniqueId val="{00000006-A915-46B8-823B-3A73C363441F}"/>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指標縦棒!$C$966</c:f>
          <c:strCache>
            <c:ptCount val="1"/>
            <c:pt idx="0">
              <c:v>国際線直行便就航都市数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指標縦棒!$G$965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41D0-445A-B4CE-750A81A81B4D}"/>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指標縦棒!$F$966:$F$974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指標縦棒!$G$966:$G$974</c:f>
              <c:numCache>
                <c:formatCode>#,##0_ </c:formatCode>
                <c:ptCount val="9"/>
                <c:pt idx="0">
                  <c:v>380.00000000000301</c:v>
                </c:pt>
                <c:pt idx="1">
                  <c:v>140</c:v>
                </c:pt>
                <c:pt idx="2">
                  <c:v>104</c:v>
                </c:pt>
                <c:pt idx="3">
                  <c:v>313.00000000000102</c:v>
                </c:pt>
                <c:pt idx="4">
                  <c:v>135.00000000000099</c:v>
                </c:pt>
                <c:pt idx="5">
                  <c:v>134.99999999999801</c:v>
                </c:pt>
                <c:pt idx="6">
                  <c:v>100</c:v>
                </c:pt>
                <c:pt idx="7">
                  <c:v>59.000000000000199</c:v>
                </c:pt>
                <c:pt idx="8">
                  <c:v>53.999999999999901</c:v>
                </c:pt>
              </c:numCache>
            </c:numRef>
          </c:val>
          <c:extLst>
            <c:ext xmlns:c16="http://schemas.microsoft.com/office/drawing/2014/chart" uri="{C3380CC4-5D6E-409C-BE32-E72D297353CC}">
              <c16:uniqueId val="{00000006-41D0-445A-B4CE-750A81A81B4D}"/>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指標縦棒!$C$967</c:f>
              <c:strCache>
                <c:ptCount val="1"/>
                <c:pt idx="0">
                  <c:v>都市</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指標縦棒!$C$966</c:f>
          <c:strCache>
            <c:ptCount val="1"/>
            <c:pt idx="0">
              <c:v>国際線直行便就航都市数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指標縦棒!$H$965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2AA5-4E06-B1B9-E346ACA1801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指標縦棒!$F$966:$F$974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指標縦棒!$H$966:$H$974</c:f>
              <c:numCache>
                <c:formatCode>0.0_ </c:formatCode>
                <c:ptCount val="9"/>
                <c:pt idx="0">
                  <c:v>100</c:v>
                </c:pt>
                <c:pt idx="1">
                  <c:v>34.782608695699999</c:v>
                </c:pt>
                <c:pt idx="2">
                  <c:v>25</c:v>
                </c:pt>
                <c:pt idx="3">
                  <c:v>81.793478260900002</c:v>
                </c:pt>
                <c:pt idx="4">
                  <c:v>33.423913043500001</c:v>
                </c:pt>
                <c:pt idx="5">
                  <c:v>33.423913043500001</c:v>
                </c:pt>
                <c:pt idx="6">
                  <c:v>23.913043478300001</c:v>
                </c:pt>
                <c:pt idx="7">
                  <c:v>12.7717391304</c:v>
                </c:pt>
                <c:pt idx="8">
                  <c:v>11.413043478300001</c:v>
                </c:pt>
              </c:numCache>
            </c:numRef>
          </c:val>
          <c:extLst>
            <c:ext xmlns:c16="http://schemas.microsoft.com/office/drawing/2014/chart" uri="{C3380CC4-5D6E-409C-BE32-E72D297353CC}">
              <c16:uniqueId val="{00000006-2AA5-4E06-B1B9-E346ACA18016}"/>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指標縦棒!$C$981</c:f>
          <c:strCache>
            <c:ptCount val="1"/>
            <c:pt idx="0">
              <c:v>国際貨物流通規模</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指標縦棒!$G$980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EA6E-4615-9772-1A25D63953DA}"/>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指標縦棒!$F$981:$F$989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指標縦棒!$G$981:$G$989</c:f>
              <c:numCache>
                <c:formatCode>#,##0_ </c:formatCode>
                <c:ptCount val="9"/>
                <c:pt idx="0">
                  <c:v>22.045064397046701</c:v>
                </c:pt>
                <c:pt idx="1">
                  <c:v>24.228704044496499</c:v>
                </c:pt>
                <c:pt idx="2">
                  <c:v>37.474100852024002</c:v>
                </c:pt>
                <c:pt idx="3">
                  <c:v>22.3929934257004</c:v>
                </c:pt>
                <c:pt idx="4">
                  <c:v>61.506305468198001</c:v>
                </c:pt>
                <c:pt idx="5">
                  <c:v>38.177965850969997</c:v>
                </c:pt>
                <c:pt idx="6">
                  <c:v>67.515856236786405</c:v>
                </c:pt>
                <c:pt idx="7">
                  <c:v>6.3132540636674497</c:v>
                </c:pt>
                <c:pt idx="8">
                  <c:v>80.701347024928097</c:v>
                </c:pt>
              </c:numCache>
            </c:numRef>
          </c:val>
          <c:extLst>
            <c:ext xmlns:c16="http://schemas.microsoft.com/office/drawing/2014/chart" uri="{C3380CC4-5D6E-409C-BE32-E72D297353CC}">
              <c16:uniqueId val="{00000006-EA6E-4615-9772-1A25D63953DA}"/>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指標縦棒!$C$982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指標縦棒!$C$981</c:f>
          <c:strCache>
            <c:ptCount val="1"/>
            <c:pt idx="0">
              <c:v>国際貨物流通規模</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指標縦棒!$H$980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FE6-4054-ABD4-7D393F22B37C}"/>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指標縦棒!$F$981:$F$989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指標縦棒!$H$981:$H$989</c:f>
              <c:numCache>
                <c:formatCode>0.0_ </c:formatCode>
                <c:ptCount val="9"/>
                <c:pt idx="0">
                  <c:v>27.316848119300001</c:v>
                </c:pt>
                <c:pt idx="1">
                  <c:v>30.0226761234</c:v>
                </c:pt>
                <c:pt idx="2">
                  <c:v>46.435533276100003</c:v>
                </c:pt>
                <c:pt idx="3">
                  <c:v>27.7479797441</c:v>
                </c:pt>
                <c:pt idx="4">
                  <c:v>76.2147197484</c:v>
                </c:pt>
                <c:pt idx="5">
                  <c:v>47.307718220799998</c:v>
                </c:pt>
                <c:pt idx="6">
                  <c:v>83.661374593800005</c:v>
                </c:pt>
                <c:pt idx="7">
                  <c:v>7.8229847412</c:v>
                </c:pt>
                <c:pt idx="8">
                  <c:v>100</c:v>
                </c:pt>
              </c:numCache>
            </c:numRef>
          </c:val>
          <c:extLst>
            <c:ext xmlns:c16="http://schemas.microsoft.com/office/drawing/2014/chart" uri="{C3380CC4-5D6E-409C-BE32-E72D297353CC}">
              <c16:uniqueId val="{00000006-0FE6-4054-ABD4-7D393F22B37C}"/>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指標縦棒!$C$996</c:f>
          <c:strCache>
            <c:ptCount val="1"/>
            <c:pt idx="0">
              <c:v>国内・国際線旅客数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指標縦棒!$G$995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F0E7-43A3-85F8-A39978896833}"/>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指標縦棒!$F$996:$F$1004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指標縦棒!$G$996:$G$1004</c:f>
              <c:numCache>
                <c:formatCode>#,##0_ </c:formatCode>
                <c:ptCount val="9"/>
                <c:pt idx="0">
                  <c:v>134004325</c:v>
                </c:pt>
                <c:pt idx="1">
                  <c:v>127850557</c:v>
                </c:pt>
                <c:pt idx="2">
                  <c:v>65757482</c:v>
                </c:pt>
                <c:pt idx="3">
                  <c:v>91275726</c:v>
                </c:pt>
                <c:pt idx="4">
                  <c:v>32202000</c:v>
                </c:pt>
                <c:pt idx="5">
                  <c:v>42447962</c:v>
                </c:pt>
                <c:pt idx="6">
                  <c:v>5650458</c:v>
                </c:pt>
                <c:pt idx="7">
                  <c:v>12703342</c:v>
                </c:pt>
                <c:pt idx="8">
                  <c:v>28889974</c:v>
                </c:pt>
              </c:numCache>
            </c:numRef>
          </c:val>
          <c:extLst>
            <c:ext xmlns:c16="http://schemas.microsoft.com/office/drawing/2014/chart" uri="{C3380CC4-5D6E-409C-BE32-E72D297353CC}">
              <c16:uniqueId val="{00000006-F0E7-43A3-85F8-A39978896833}"/>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指標縦棒!$C$997</c:f>
              <c:strCache>
                <c:ptCount val="1"/>
                <c:pt idx="0">
                  <c:v>人</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指標縦棒!$C$996</c:f>
          <c:strCache>
            <c:ptCount val="1"/>
            <c:pt idx="0">
              <c:v>国内・国際線旅客数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指標縦棒!$H$995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0121-4F8D-8F85-82BB06C974EE}"/>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指標縦棒!$F$996:$F$1004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指標縦棒!$H$996:$H$1004</c:f>
              <c:numCache>
                <c:formatCode>0.0_ </c:formatCode>
                <c:ptCount val="9"/>
                <c:pt idx="0">
                  <c:v>100</c:v>
                </c:pt>
                <c:pt idx="1">
                  <c:v>95.205623216600003</c:v>
                </c:pt>
                <c:pt idx="2">
                  <c:v>46.829149292399997</c:v>
                </c:pt>
                <c:pt idx="3">
                  <c:v>66.710314228399994</c:v>
                </c:pt>
                <c:pt idx="4">
                  <c:v>20.686203400499998</c:v>
                </c:pt>
                <c:pt idx="5">
                  <c:v>28.668792659000001</c:v>
                </c:pt>
                <c:pt idx="6">
                  <c:v>0</c:v>
                </c:pt>
                <c:pt idx="7">
                  <c:v>5.4948745719999996</c:v>
                </c:pt>
                <c:pt idx="8">
                  <c:v>18.1058167885</c:v>
                </c:pt>
              </c:numCache>
            </c:numRef>
          </c:val>
          <c:extLst>
            <c:ext xmlns:c16="http://schemas.microsoft.com/office/drawing/2014/chart" uri="{C3380CC4-5D6E-409C-BE32-E72D297353CC}">
              <c16:uniqueId val="{00000006-0121-4F8D-8F85-82BB06C974EE}"/>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指標縦棒!$C$1011</c:f>
          <c:strCache>
            <c:ptCount val="1"/>
            <c:pt idx="0">
              <c:v>航空機の発着回数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指標縦棒!$G$1010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299-4446-B6B7-58FF160EAA5F}"/>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指標縦棒!$F$1011:$F$1019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指標縦棒!$G$1011:$G$1019</c:f>
              <c:numCache>
                <c:formatCode>#,##0_ </c:formatCode>
                <c:ptCount val="9"/>
                <c:pt idx="0">
                  <c:v>955582</c:v>
                </c:pt>
                <c:pt idx="1">
                  <c:v>1189262</c:v>
                </c:pt>
                <c:pt idx="2">
                  <c:v>534295</c:v>
                </c:pt>
                <c:pt idx="3">
                  <c:v>619429</c:v>
                </c:pt>
                <c:pt idx="4">
                  <c:v>220215</c:v>
                </c:pt>
                <c:pt idx="5">
                  <c:v>264171</c:v>
                </c:pt>
                <c:pt idx="6">
                  <c:v>79478</c:v>
                </c:pt>
                <c:pt idx="7">
                  <c:v>245143</c:v>
                </c:pt>
                <c:pt idx="8">
                  <c:v>476797</c:v>
                </c:pt>
              </c:numCache>
            </c:numRef>
          </c:val>
          <c:extLst>
            <c:ext xmlns:c16="http://schemas.microsoft.com/office/drawing/2014/chart" uri="{C3380CC4-5D6E-409C-BE32-E72D297353CC}">
              <c16:uniqueId val="{00000006-9299-4446-B6B7-58FF160EAA5F}"/>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指標縦棒!$C$1012</c:f>
              <c:strCache>
                <c:ptCount val="1"/>
                <c:pt idx="0">
                  <c:v>回</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指標縦棒!$C$1011</c:f>
          <c:strCache>
            <c:ptCount val="1"/>
            <c:pt idx="0">
              <c:v>航空機の発着回数</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指標縦棒!$H$1010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5B3-4AF4-AE5E-40A6B312CE40}"/>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指標縦棒!$F$1011:$F$1019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指標縦棒!$H$1011:$H$1019</c:f>
              <c:numCache>
                <c:formatCode>0.0_ </c:formatCode>
                <c:ptCount val="9"/>
                <c:pt idx="0">
                  <c:v>79.549347002100006</c:v>
                </c:pt>
                <c:pt idx="1">
                  <c:v>100</c:v>
                </c:pt>
                <c:pt idx="2">
                  <c:v>42.6801487416</c:v>
                </c:pt>
                <c:pt idx="3">
                  <c:v>50.130704597099999</c:v>
                </c:pt>
                <c:pt idx="4">
                  <c:v>15.1932388923</c:v>
                </c:pt>
                <c:pt idx="5">
                  <c:v>19.040076033599998</c:v>
                </c:pt>
                <c:pt idx="6">
                  <c:v>2.8765513239999998</c:v>
                </c:pt>
                <c:pt idx="7">
                  <c:v>17.374828578799999</c:v>
                </c:pt>
                <c:pt idx="8">
                  <c:v>37.648174905200001</c:v>
                </c:pt>
              </c:numCache>
            </c:numRef>
          </c:val>
          <c:extLst>
            <c:ext xmlns:c16="http://schemas.microsoft.com/office/drawing/2014/chart" uri="{C3380CC4-5D6E-409C-BE32-E72D297353CC}">
              <c16:uniqueId val="{00000006-15B3-4AF4-AE5E-40A6B312CE40}"/>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指標縦棒!$C$1026</c:f>
          <c:strCache>
            <c:ptCount val="1"/>
            <c:pt idx="0">
              <c:v>駅密度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指標縦棒!$G$1025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1DEB-46CC-A6B8-5CC94079A4A2}"/>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指標縦棒!$F$1026:$F$1034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指標縦棒!$G$1026:$G$1034</c:f>
              <c:numCache>
                <c:formatCode>0.0_ </c:formatCode>
                <c:ptCount val="9"/>
                <c:pt idx="0">
                  <c:v>0.91354937334747899</c:v>
                </c:pt>
                <c:pt idx="1">
                  <c:v>0.97402825172239904</c:v>
                </c:pt>
                <c:pt idx="2">
                  <c:v>1.4101127957941899</c:v>
                </c:pt>
                <c:pt idx="3">
                  <c:v>1.7220564842543</c:v>
                </c:pt>
                <c:pt idx="4">
                  <c:v>0.346957775940331</c:v>
                </c:pt>
                <c:pt idx="5">
                  <c:v>0.70983104618985304</c:v>
                </c:pt>
                <c:pt idx="6">
                  <c:v>0.528394411065092</c:v>
                </c:pt>
                <c:pt idx="7">
                  <c:v>0.58887328944001205</c:v>
                </c:pt>
                <c:pt idx="8">
                  <c:v>0.79577471545947598</c:v>
                </c:pt>
              </c:numCache>
            </c:numRef>
          </c:val>
          <c:extLst>
            <c:ext xmlns:c16="http://schemas.microsoft.com/office/drawing/2014/chart" uri="{C3380CC4-5D6E-409C-BE32-E72D297353CC}">
              <c16:uniqueId val="{00000006-1DEB-46CC-A6B8-5CC94079A4A2}"/>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指標縦棒!$C$1027</c:f>
              <c:strCache>
                <c:ptCount val="1"/>
                <c:pt idx="0">
                  <c:v>駅/k㎡</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指標縦棒!$C$1026</c:f>
          <c:strCache>
            <c:ptCount val="1"/>
            <c:pt idx="0">
              <c:v>駅密度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指標縦棒!$H$1025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EA07-400D-A3B3-22E24228078D}"/>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指標縦棒!$F$1026:$F$1034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指標縦棒!$H$1026:$H$1034</c:f>
              <c:numCache>
                <c:formatCode>0.0_ </c:formatCode>
                <c:ptCount val="9"/>
                <c:pt idx="0">
                  <c:v>31.3865256381</c:v>
                </c:pt>
                <c:pt idx="1">
                  <c:v>33.570935847299999</c:v>
                </c:pt>
                <c:pt idx="2">
                  <c:v>49.321683145599998</c:v>
                </c:pt>
                <c:pt idx="3">
                  <c:v>60.588641066900003</c:v>
                </c:pt>
                <c:pt idx="4">
                  <c:v>10.9220510462</c:v>
                </c:pt>
                <c:pt idx="5">
                  <c:v>24.028512301700001</c:v>
                </c:pt>
                <c:pt idx="6">
                  <c:v>17.4752816739</c:v>
                </c:pt>
                <c:pt idx="7">
                  <c:v>19.659691883200001</c:v>
                </c:pt>
                <c:pt idx="8">
                  <c:v>27.132674177999998</c:v>
                </c:pt>
              </c:numCache>
            </c:numRef>
          </c:val>
          <c:extLst>
            <c:ext xmlns:c16="http://schemas.microsoft.com/office/drawing/2014/chart" uri="{C3380CC4-5D6E-409C-BE32-E72D297353CC}">
              <c16:uniqueId val="{00000006-EA07-400D-A3B3-22E24228078D}"/>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指標縦棒!$C$1041</c:f>
          <c:strCache>
            <c:ptCount val="1"/>
            <c:pt idx="0">
              <c:v>公共交通機関利用率</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指標縦棒!$G$1040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5BE-4EE4-89E6-500896F779B8}"/>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指標縦棒!$F$1041:$F$1049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指標縦棒!$G$1041:$G$1049</c:f>
              <c:numCache>
                <c:formatCode>0%</c:formatCode>
                <c:ptCount val="9"/>
                <c:pt idx="0">
                  <c:v>0.81412938525909195</c:v>
                </c:pt>
                <c:pt idx="1">
                  <c:v>0.68266475644699098</c:v>
                </c:pt>
                <c:pt idx="2">
                  <c:v>0.88064192577733102</c:v>
                </c:pt>
                <c:pt idx="3">
                  <c:v>0.70101724900486495</c:v>
                </c:pt>
                <c:pt idx="4">
                  <c:v>0.72854932762108704</c:v>
                </c:pt>
                <c:pt idx="5">
                  <c:v>0.71261430876815401</c:v>
                </c:pt>
                <c:pt idx="6">
                  <c:v>0.83333333333333304</c:v>
                </c:pt>
                <c:pt idx="7">
                  <c:v>0.45162601626016202</c:v>
                </c:pt>
                <c:pt idx="8">
                  <c:v>0.63637735849056598</c:v>
                </c:pt>
              </c:numCache>
            </c:numRef>
          </c:val>
          <c:extLst>
            <c:ext xmlns:c16="http://schemas.microsoft.com/office/drawing/2014/chart" uri="{C3380CC4-5D6E-409C-BE32-E72D297353CC}">
              <c16:uniqueId val="{00000006-35BE-4EE4-89E6-500896F779B8}"/>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指標縦棒!$C$1041</c:f>
          <c:strCache>
            <c:ptCount val="1"/>
            <c:pt idx="0">
              <c:v>公共交通機関利用率</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指標縦棒!$H$1040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DA8A-4839-9048-330A891FEBA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指標縦棒!$F$1041:$F$1049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指標縦棒!$H$1041:$H$1049</c:f>
              <c:numCache>
                <c:formatCode>0.0_ </c:formatCode>
                <c:ptCount val="9"/>
                <c:pt idx="0">
                  <c:v>92.3532212426</c:v>
                </c:pt>
                <c:pt idx="1">
                  <c:v>77.2390649779</c:v>
                </c:pt>
                <c:pt idx="2">
                  <c:v>100</c:v>
                </c:pt>
                <c:pt idx="3">
                  <c:v>79.349004684700006</c:v>
                </c:pt>
                <c:pt idx="4">
                  <c:v>82.514298210800007</c:v>
                </c:pt>
                <c:pt idx="5">
                  <c:v>80.682289348799998</c:v>
                </c:pt>
                <c:pt idx="6">
                  <c:v>94.561050639100003</c:v>
                </c:pt>
                <c:pt idx="7">
                  <c:v>50.677124675599998</c:v>
                </c:pt>
                <c:pt idx="8">
                  <c:v>71.917519767499996</c:v>
                </c:pt>
              </c:numCache>
            </c:numRef>
          </c:val>
          <c:extLst>
            <c:ext xmlns:c16="http://schemas.microsoft.com/office/drawing/2014/chart" uri="{C3380CC4-5D6E-409C-BE32-E72D297353CC}">
              <c16:uniqueId val="{00000006-DA8A-4839-9048-330A891FEBAB}"/>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指標縦棒!$C$1056</c:f>
          <c:strCache>
            <c:ptCount val="1"/>
            <c:pt idx="0">
              <c:v>空港アクセス時間の短さ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指標縦棒!$G$1055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8747-42F4-A3E8-D756CCFE050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指標縦棒!$F$1056:$F$1064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指標縦棒!$G$1056:$G$1064</c:f>
              <c:numCache>
                <c:formatCode>#,##0_ </c:formatCode>
                <c:ptCount val="9"/>
                <c:pt idx="0">
                  <c:v>45.125309530121498</c:v>
                </c:pt>
                <c:pt idx="1">
                  <c:v>31.1442556405913</c:v>
                </c:pt>
                <c:pt idx="2">
                  <c:v>29.3818239573102</c:v>
                </c:pt>
                <c:pt idx="3">
                  <c:v>37.490339720770798</c:v>
                </c:pt>
                <c:pt idx="4">
                  <c:v>18</c:v>
                </c:pt>
                <c:pt idx="5">
                  <c:v>29.978650093966799</c:v>
                </c:pt>
                <c:pt idx="6">
                  <c:v>26</c:v>
                </c:pt>
                <c:pt idx="7">
                  <c:v>40</c:v>
                </c:pt>
                <c:pt idx="8">
                  <c:v>42.361577757044699</c:v>
                </c:pt>
              </c:numCache>
            </c:numRef>
          </c:val>
          <c:extLst>
            <c:ext xmlns:c16="http://schemas.microsoft.com/office/drawing/2014/chart" uri="{C3380CC4-5D6E-409C-BE32-E72D297353CC}">
              <c16:uniqueId val="{00000006-8747-42F4-A3E8-D756CCFE0509}"/>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指標縦棒!$C$1057</c:f>
              <c:strCache>
                <c:ptCount val="1"/>
                <c:pt idx="0">
                  <c:v>分（平均）</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指標縦棒!$C$1056</c:f>
          <c:strCache>
            <c:ptCount val="1"/>
            <c:pt idx="0">
              <c:v>空港アクセス時間の短さ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指標縦棒!$H$1055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AC05-4F06-8BA2-488664259FB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指標縦棒!$F$1056:$F$1064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指標縦棒!$H$1056:$H$1064</c:f>
              <c:numCache>
                <c:formatCode>0.0_ </c:formatCode>
                <c:ptCount val="9"/>
                <c:pt idx="0">
                  <c:v>11.606405880700001</c:v>
                </c:pt>
                <c:pt idx="1">
                  <c:v>44.894629427200002</c:v>
                </c:pt>
                <c:pt idx="2">
                  <c:v>49.090895339699998</c:v>
                </c:pt>
                <c:pt idx="3">
                  <c:v>29.7849054267</c:v>
                </c:pt>
                <c:pt idx="4">
                  <c:v>76.190476190499993</c:v>
                </c:pt>
                <c:pt idx="5">
                  <c:v>47.669880728700001</c:v>
                </c:pt>
                <c:pt idx="6">
                  <c:v>57.142857142899999</c:v>
                </c:pt>
                <c:pt idx="7">
                  <c:v>23.8095238095</c:v>
                </c:pt>
                <c:pt idx="8">
                  <c:v>18.1867196261</c:v>
                </c:pt>
              </c:numCache>
            </c:numRef>
          </c:val>
          <c:extLst>
            <c:ext xmlns:c16="http://schemas.microsoft.com/office/drawing/2014/chart" uri="{C3380CC4-5D6E-409C-BE32-E72D297353CC}">
              <c16:uniqueId val="{00000006-AC05-4F06-8BA2-488664259FBB}"/>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指標縦棒!$C$1071</c:f>
          <c:strCache>
            <c:ptCount val="1"/>
            <c:pt idx="0">
              <c:v>通勤・通学時間の短さ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指標縦棒!$G$1070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605A-4F87-8B70-5E8EC44E6CD6}"/>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指標縦棒!$F$1071:$F$1079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指標縦棒!$G$1071:$G$1079</c:f>
              <c:numCache>
                <c:formatCode>#,##0_ </c:formatCode>
                <c:ptCount val="9"/>
                <c:pt idx="0">
                  <c:v>36.697499999999998</c:v>
                </c:pt>
                <c:pt idx="1">
                  <c:v>34.472499999999997</c:v>
                </c:pt>
                <c:pt idx="2">
                  <c:v>39.597499999999997</c:v>
                </c:pt>
                <c:pt idx="3">
                  <c:v>35.2575</c:v>
                </c:pt>
                <c:pt idx="4">
                  <c:v>38.862499999999997</c:v>
                </c:pt>
                <c:pt idx="5">
                  <c:v>40.935000000000002</c:v>
                </c:pt>
                <c:pt idx="6">
                  <c:v>41.427500000000002</c:v>
                </c:pt>
                <c:pt idx="7">
                  <c:v>37.645000000000003</c:v>
                </c:pt>
                <c:pt idx="8">
                  <c:v>39.517499999999998</c:v>
                </c:pt>
              </c:numCache>
            </c:numRef>
          </c:val>
          <c:extLst>
            <c:ext xmlns:c16="http://schemas.microsoft.com/office/drawing/2014/chart" uri="{C3380CC4-5D6E-409C-BE32-E72D297353CC}">
              <c16:uniqueId val="{00000006-605A-4F87-8B70-5E8EC44E6CD6}"/>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title>
          <c:tx>
            <c:strRef>
              <c:f>指標縦棒!$C$1072</c:f>
              <c:strCache>
                <c:ptCount val="1"/>
                <c:pt idx="0">
                  <c:v>分（平均）</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指標縦棒!$C$1071</c:f>
          <c:strCache>
            <c:ptCount val="1"/>
            <c:pt idx="0">
              <c:v>通勤・通学時間の短さ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指標縦棒!$H$1070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B57E-402E-A3DD-996A25F2F48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指標縦棒!$F$1071:$F$1079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指標縦棒!$H$1071:$H$1079</c:f>
              <c:numCache>
                <c:formatCode>0.0_ </c:formatCode>
                <c:ptCount val="9"/>
                <c:pt idx="0">
                  <c:v>45.1192579505</c:v>
                </c:pt>
                <c:pt idx="1">
                  <c:v>54.946996466400002</c:v>
                </c:pt>
                <c:pt idx="2">
                  <c:v>32.310070671399998</c:v>
                </c:pt>
                <c:pt idx="3">
                  <c:v>51.479681978800002</c:v>
                </c:pt>
                <c:pt idx="4">
                  <c:v>35.556537102500002</c:v>
                </c:pt>
                <c:pt idx="5">
                  <c:v>26.402385159000001</c:v>
                </c:pt>
                <c:pt idx="6">
                  <c:v>24.227031802100001</c:v>
                </c:pt>
                <c:pt idx="7">
                  <c:v>40.934187279200003</c:v>
                </c:pt>
                <c:pt idx="8">
                  <c:v>32.663427561799999</c:v>
                </c:pt>
              </c:numCache>
            </c:numRef>
          </c:val>
          <c:extLst>
            <c:ext xmlns:c16="http://schemas.microsoft.com/office/drawing/2014/chart" uri="{C3380CC4-5D6E-409C-BE32-E72D297353CC}">
              <c16:uniqueId val="{00000006-B57E-402E-A3DD-996A25F2F48B}"/>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指標縦棒!$C$1086</c:f>
          <c:strCache>
            <c:ptCount val="1"/>
            <c:pt idx="0">
              <c:v>自動車の移動速度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指標縦棒!$G$1085</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3FCC-410D-B44F-F39A2EE10AFB}"/>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指標縦棒!$F$1086:$F$1094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指標縦棒!$G$1086:$G$1094</c:f>
              <c:numCache>
                <c:formatCode>0%</c:formatCode>
                <c:ptCount val="9"/>
                <c:pt idx="0">
                  <c:v>16.513761467889907</c:v>
                </c:pt>
                <c:pt idx="1">
                  <c:v>24.489795918367346</c:v>
                </c:pt>
                <c:pt idx="2">
                  <c:v>25.174825174825173</c:v>
                </c:pt>
                <c:pt idx="3">
                  <c:v>22.929936305732483</c:v>
                </c:pt>
                <c:pt idx="4">
                  <c:v>36.363636363636367</c:v>
                </c:pt>
                <c:pt idx="5">
                  <c:v>21.526014923398979</c:v>
                </c:pt>
                <c:pt idx="6">
                  <c:v>36.363636363636367</c:v>
                </c:pt>
                <c:pt idx="7">
                  <c:v>24.315897013615174</c:v>
                </c:pt>
                <c:pt idx="8">
                  <c:v>32.490070131586506</c:v>
                </c:pt>
              </c:numCache>
            </c:numRef>
          </c:val>
          <c:extLst>
            <c:ext xmlns:c16="http://schemas.microsoft.com/office/drawing/2014/chart" uri="{C3380CC4-5D6E-409C-BE32-E72D297353CC}">
              <c16:uniqueId val="{00000006-3FCC-410D-B44F-F39A2EE10AFB}"/>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指標縦棒!$C$1086</c:f>
          <c:strCache>
            <c:ptCount val="1"/>
            <c:pt idx="0">
              <c:v>自動車の移動速度</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指標縦棒!$H$1085</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C58A-42E7-A1E9-EE760889381E}"/>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指標縦棒!$F$1086:$F$1094</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指標縦棒!$H$1086:$H$1094</c:f>
              <c:numCache>
                <c:formatCode>0.0_ </c:formatCode>
                <c:ptCount val="9"/>
                <c:pt idx="0">
                  <c:v>0</c:v>
                </c:pt>
                <c:pt idx="1">
                  <c:v>24.316209242300001</c:v>
                </c:pt>
                <c:pt idx="2">
                  <c:v>26.404629852900001</c:v>
                </c:pt>
                <c:pt idx="3">
                  <c:v>19.560729189500002</c:v>
                </c:pt>
                <c:pt idx="4">
                  <c:v>60.515499825799999</c:v>
                </c:pt>
                <c:pt idx="5">
                  <c:v>15.280651626599999</c:v>
                </c:pt>
                <c:pt idx="6">
                  <c:v>60.515499825799999</c:v>
                </c:pt>
                <c:pt idx="7">
                  <c:v>23.7860507806</c:v>
                </c:pt>
                <c:pt idx="8">
                  <c:v>48.706317255599998</c:v>
                </c:pt>
              </c:numCache>
            </c:numRef>
          </c:val>
          <c:extLst>
            <c:ext xmlns:c16="http://schemas.microsoft.com/office/drawing/2014/chart" uri="{C3380CC4-5D6E-409C-BE32-E72D297353CC}">
              <c16:uniqueId val="{00000006-C58A-42E7-A1E9-EE760889381E}"/>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指標縦棒!$C$1101</c:f>
          <c:strCache>
            <c:ptCount val="1"/>
            <c:pt idx="0">
              <c:v>タクシー・自転車での移動のしやすさ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指標縦棒!$G$1100</c:f>
              <c:strCache>
                <c:ptCount val="1"/>
                <c:pt idx="0">
                  <c:v>生データ</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9774-4C57-9F70-BC5395EC5D0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指標縦棒!$F$1101:$F$1109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指標縦棒!$G$1101:$G$1109</c:f>
              <c:numCache>
                <c:formatCode>#,##0_ </c:formatCode>
                <c:ptCount val="9"/>
                <c:pt idx="0">
                  <c:v>33.340412924906197</c:v>
                </c:pt>
                <c:pt idx="1">
                  <c:v>40.444042789689803</c:v>
                </c:pt>
                <c:pt idx="2">
                  <c:v>52.647247720662101</c:v>
                </c:pt>
                <c:pt idx="3">
                  <c:v>52.468132894439997</c:v>
                </c:pt>
                <c:pt idx="4">
                  <c:v>59.7410624454808</c:v>
                </c:pt>
                <c:pt idx="5">
                  <c:v>53.0591860706555</c:v>
                </c:pt>
                <c:pt idx="6">
                  <c:v>46.9763863517624</c:v>
                </c:pt>
                <c:pt idx="7">
                  <c:v>68.227487568726602</c:v>
                </c:pt>
                <c:pt idx="8">
                  <c:v>63.974283169266101</c:v>
                </c:pt>
              </c:numCache>
            </c:numRef>
          </c:val>
          <c:extLst>
            <c:ext xmlns:c16="http://schemas.microsoft.com/office/drawing/2014/chart" uri="{C3380CC4-5D6E-409C-BE32-E72D297353CC}">
              <c16:uniqueId val="{00000006-9774-4C57-9F70-BC5395EC5D09}"/>
            </c:ext>
          </c:extLst>
        </c:ser>
        <c:dLbls>
          <c:showLegendKey val="0"/>
          <c:showVal val="0"/>
          <c:showCatName val="0"/>
          <c:showSerName val="0"/>
          <c:showPercent val="0"/>
          <c:showBubbleSize val="0"/>
        </c:dLbls>
        <c:gapWidth val="219"/>
        <c:overlap val="-27"/>
        <c:axId val="760091288"/>
        <c:axId val="760092464"/>
      </c:barChart>
      <c:catAx>
        <c:axId val="76009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464"/>
        <c:crosses val="autoZero"/>
        <c:auto val="1"/>
        <c:lblAlgn val="ctr"/>
        <c:lblOffset val="100"/>
        <c:noMultiLvlLbl val="0"/>
      </c:catAx>
      <c:valAx>
        <c:axId val="760092464"/>
        <c:scaling>
          <c:orientation val="minMax"/>
          <c:max val="100"/>
        </c:scaling>
        <c:delete val="0"/>
        <c:axPos val="l"/>
        <c:majorGridlines>
          <c:spPr>
            <a:ln w="9525" cap="flat" cmpd="sng" algn="ctr">
              <a:solidFill>
                <a:schemeClr val="tx1">
                  <a:lumMod val="15000"/>
                  <a:lumOff val="85000"/>
                </a:schemeClr>
              </a:solidFill>
              <a:round/>
            </a:ln>
            <a:effectLst/>
          </c:spPr>
        </c:majorGridlines>
        <c:title>
          <c:tx>
            <c:strRef>
              <c:f>指標縦棒!$C$1102</c:f>
              <c:strCache>
                <c:ptCount val="1"/>
                <c:pt idx="0">
                  <c:v>（合算）</c:v>
                </c:pt>
              </c:strCache>
            </c:strRef>
          </c:tx>
          <c:layout>
            <c:manualLayout>
              <c:xMode val="edge"/>
              <c:yMode val="edge"/>
              <c:x val="4.3117283950617286E-2"/>
              <c:y val="0.15725753968253969"/>
            </c:manualLayout>
          </c:layout>
          <c:overlay val="0"/>
          <c:spPr>
            <a:noFill/>
            <a:ln>
              <a:noFill/>
            </a:ln>
            <a:effectLst/>
          </c:spPr>
          <c:txPr>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ea"/>
                <a:ea typeface="+mn-ea"/>
                <a:cs typeface="+mn-cs"/>
              </a:defRPr>
            </a:pPr>
            <a:endParaRPr lang="ja-JP"/>
          </a:p>
        </c:txPr>
        <c:crossAx val="760091288"/>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指標縦棒!$C$1101</c:f>
          <c:strCache>
            <c:ptCount val="1"/>
            <c:pt idx="0">
              <c:v>タクシー・自転車での移動のしやすさ</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title>
    <c:autoTitleDeleted val="0"/>
    <c:plotArea>
      <c:layout/>
      <c:barChart>
        <c:barDir val="col"/>
        <c:grouping val="clustered"/>
        <c:varyColors val="0"/>
        <c:ser>
          <c:idx val="0"/>
          <c:order val="0"/>
          <c:tx>
            <c:strRef>
              <c:f>指標縦棒!$H$1100</c:f>
              <c:strCache>
                <c:ptCount val="1"/>
                <c:pt idx="0">
                  <c:v>スコア</c:v>
                </c:pt>
              </c:strCache>
            </c:strRef>
          </c:tx>
          <c:spPr>
            <a:solidFill>
              <a:schemeClr val="bg1">
                <a:lumMod val="65000"/>
              </a:schemeClr>
            </a:solidFill>
            <a:ln>
              <a:solidFill>
                <a:schemeClr val="bg1">
                  <a:lumMod val="65000"/>
                </a:schemeClr>
              </a:solidFill>
            </a:ln>
            <a:effectLst/>
          </c:spPr>
          <c:invertIfNegative val="0"/>
          <c:dPt>
            <c:idx val="2"/>
            <c:invertIfNegative val="0"/>
            <c:bubble3D val="0"/>
            <c:spPr>
              <a:solidFill>
                <a:srgbClr val="FFFF00"/>
              </a:solidFill>
              <a:ln>
                <a:solidFill>
                  <a:schemeClr val="bg1">
                    <a:lumMod val="65000"/>
                  </a:schemeClr>
                </a:solidFill>
              </a:ln>
              <a:effectLst/>
            </c:spPr>
            <c:extLst>
              <c:ext xmlns:c16="http://schemas.microsoft.com/office/drawing/2014/chart" uri="{C3380CC4-5D6E-409C-BE32-E72D297353CC}">
                <c16:uniqueId val="{00000005-B821-40AF-BA98-BEB8D0B94AA5}"/>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ea"/>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指標縦棒!$F$1101:$F$1109</c:f>
              <c:strCache>
                <c:ptCount val="9"/>
                <c:pt idx="0">
                  <c:v>ロンドン</c:v>
                </c:pt>
                <c:pt idx="1">
                  <c:v>ニューヨーク</c:v>
                </c:pt>
                <c:pt idx="2">
                  <c:v>東京</c:v>
                </c:pt>
                <c:pt idx="3">
                  <c:v>パリ</c:v>
                </c:pt>
                <c:pt idx="4">
                  <c:v>シンガポール</c:v>
                </c:pt>
                <c:pt idx="5">
                  <c:v>ソウル</c:v>
                </c:pt>
                <c:pt idx="6">
                  <c:v>香港</c:v>
                </c:pt>
                <c:pt idx="7">
                  <c:v>北京</c:v>
                </c:pt>
                <c:pt idx="8">
                  <c:v>上海</c:v>
                </c:pt>
              </c:strCache>
            </c:strRef>
          </c:cat>
          <c:val>
            <c:numRef>
              <c:f>指標縦棒!$H$1101:$H$1109</c:f>
              <c:numCache>
                <c:formatCode>0.0_ </c:formatCode>
                <c:ptCount val="9"/>
                <c:pt idx="0">
                  <c:v>7.0616165092000003</c:v>
                </c:pt>
                <c:pt idx="1">
                  <c:v>23.318191956</c:v>
                </c:pt>
                <c:pt idx="2">
                  <c:v>51.245086435200001</c:v>
                </c:pt>
                <c:pt idx="3">
                  <c:v>50.8351842103</c:v>
                </c:pt>
                <c:pt idx="4">
                  <c:v>67.479200046700001</c:v>
                </c:pt>
                <c:pt idx="5">
                  <c:v>52.187802623000003</c:v>
                </c:pt>
                <c:pt idx="6">
                  <c:v>38.267385253299999</c:v>
                </c:pt>
                <c:pt idx="7">
                  <c:v>86.900286577900005</c:v>
                </c:pt>
                <c:pt idx="8">
                  <c:v>77.166877106100003</c:v>
                </c:pt>
              </c:numCache>
            </c:numRef>
          </c:val>
          <c:extLst>
            <c:ext xmlns:c16="http://schemas.microsoft.com/office/drawing/2014/chart" uri="{C3380CC4-5D6E-409C-BE32-E72D297353CC}">
              <c16:uniqueId val="{00000006-B821-40AF-BA98-BEB8D0B94AA5}"/>
            </c:ext>
          </c:extLst>
        </c:ser>
        <c:dLbls>
          <c:showLegendKey val="0"/>
          <c:showVal val="0"/>
          <c:showCatName val="0"/>
          <c:showSerName val="0"/>
          <c:showPercent val="0"/>
          <c:showBubbleSize val="0"/>
        </c:dLbls>
        <c:gapWidth val="219"/>
        <c:overlap val="-27"/>
        <c:axId val="760092856"/>
        <c:axId val="760088936"/>
      </c:barChart>
      <c:catAx>
        <c:axId val="76009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88936"/>
        <c:crosses val="autoZero"/>
        <c:auto val="1"/>
        <c:lblAlgn val="ctr"/>
        <c:lblOffset val="100"/>
        <c:noMultiLvlLbl val="0"/>
      </c:catAx>
      <c:valAx>
        <c:axId val="760088936"/>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lgn="r">
                  <a:defRPr sz="6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r>
                  <a:rPr lang="en-US" altLang="ja-JP"/>
                  <a:t>pt</a:t>
                </a:r>
              </a:p>
            </c:rich>
          </c:tx>
          <c:layout>
            <c:manualLayout>
              <c:xMode val="edge"/>
              <c:yMode val="edge"/>
              <c:x val="4.3117283950617286E-2"/>
              <c:y val="0.15725753968253969"/>
            </c:manualLayout>
          </c:layout>
          <c:overlay val="0"/>
          <c:spPr>
            <a:noFill/>
            <a:ln>
              <a:noFill/>
            </a:ln>
            <a:effectLst/>
          </c:spPr>
        </c:title>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游ゴシック" panose="020B0400000000000000" pitchFamily="50" charset="-128"/>
                <a:ea typeface="游ゴシック" panose="020B0400000000000000" pitchFamily="50" charset="-128"/>
                <a:cs typeface="+mn-cs"/>
              </a:defRPr>
            </a:pPr>
            <a:endParaRPr lang="ja-JP"/>
          </a:p>
        </c:txPr>
        <c:crossAx val="760092856"/>
        <c:crosses val="autoZero"/>
        <c:crossBetween val="between"/>
        <c:majorUnit val="10"/>
      </c:valAx>
    </c:plotArea>
    <c:plotVisOnly val="1"/>
    <c:dispBlanksAs val="gap"/>
    <c:showDLblsOverMax val="0"/>
    <c:extLst/>
  </c:chart>
  <c:spPr>
    <a:solidFill>
      <a:schemeClr val="bg1"/>
    </a:solid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8.xml"/><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chart" Target="../charts/chart17.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117" Type="http://schemas.openxmlformats.org/officeDocument/2006/relationships/chart" Target="../charts/chart136.xml"/><Relationship Id="rId21" Type="http://schemas.openxmlformats.org/officeDocument/2006/relationships/chart" Target="../charts/chart40.xml"/><Relationship Id="rId42" Type="http://schemas.openxmlformats.org/officeDocument/2006/relationships/chart" Target="../charts/chart61.xml"/><Relationship Id="rId63" Type="http://schemas.openxmlformats.org/officeDocument/2006/relationships/chart" Target="../charts/chart82.xml"/><Relationship Id="rId84" Type="http://schemas.openxmlformats.org/officeDocument/2006/relationships/chart" Target="../charts/chart103.xml"/><Relationship Id="rId138" Type="http://schemas.openxmlformats.org/officeDocument/2006/relationships/chart" Target="../charts/chart157.xml"/><Relationship Id="rId107" Type="http://schemas.openxmlformats.org/officeDocument/2006/relationships/chart" Target="../charts/chart126.xml"/><Relationship Id="rId11" Type="http://schemas.openxmlformats.org/officeDocument/2006/relationships/chart" Target="../charts/chart30.xml"/><Relationship Id="rId32" Type="http://schemas.openxmlformats.org/officeDocument/2006/relationships/chart" Target="../charts/chart51.xml"/><Relationship Id="rId53" Type="http://schemas.openxmlformats.org/officeDocument/2006/relationships/chart" Target="../charts/chart72.xml"/><Relationship Id="rId74" Type="http://schemas.openxmlformats.org/officeDocument/2006/relationships/chart" Target="../charts/chart93.xml"/><Relationship Id="rId128" Type="http://schemas.openxmlformats.org/officeDocument/2006/relationships/chart" Target="../charts/chart147.xml"/><Relationship Id="rId5" Type="http://schemas.openxmlformats.org/officeDocument/2006/relationships/chart" Target="../charts/chart24.xml"/><Relationship Id="rId90" Type="http://schemas.openxmlformats.org/officeDocument/2006/relationships/chart" Target="../charts/chart109.xml"/><Relationship Id="rId95" Type="http://schemas.openxmlformats.org/officeDocument/2006/relationships/chart" Target="../charts/chart114.xml"/><Relationship Id="rId22" Type="http://schemas.openxmlformats.org/officeDocument/2006/relationships/chart" Target="../charts/chart41.xml"/><Relationship Id="rId27" Type="http://schemas.openxmlformats.org/officeDocument/2006/relationships/chart" Target="../charts/chart46.xml"/><Relationship Id="rId43" Type="http://schemas.openxmlformats.org/officeDocument/2006/relationships/chart" Target="../charts/chart62.xml"/><Relationship Id="rId48" Type="http://schemas.openxmlformats.org/officeDocument/2006/relationships/chart" Target="../charts/chart67.xml"/><Relationship Id="rId64" Type="http://schemas.openxmlformats.org/officeDocument/2006/relationships/chart" Target="../charts/chart83.xml"/><Relationship Id="rId69" Type="http://schemas.openxmlformats.org/officeDocument/2006/relationships/chart" Target="../charts/chart88.xml"/><Relationship Id="rId113" Type="http://schemas.openxmlformats.org/officeDocument/2006/relationships/chart" Target="../charts/chart132.xml"/><Relationship Id="rId118" Type="http://schemas.openxmlformats.org/officeDocument/2006/relationships/chart" Target="../charts/chart137.xml"/><Relationship Id="rId134" Type="http://schemas.openxmlformats.org/officeDocument/2006/relationships/chart" Target="../charts/chart153.xml"/><Relationship Id="rId139" Type="http://schemas.openxmlformats.org/officeDocument/2006/relationships/chart" Target="../charts/chart158.xml"/><Relationship Id="rId80" Type="http://schemas.openxmlformats.org/officeDocument/2006/relationships/chart" Target="../charts/chart99.xml"/><Relationship Id="rId85" Type="http://schemas.openxmlformats.org/officeDocument/2006/relationships/chart" Target="../charts/chart104.xml"/><Relationship Id="rId12" Type="http://schemas.openxmlformats.org/officeDocument/2006/relationships/chart" Target="../charts/chart31.xml"/><Relationship Id="rId17" Type="http://schemas.openxmlformats.org/officeDocument/2006/relationships/chart" Target="../charts/chart36.xml"/><Relationship Id="rId33" Type="http://schemas.openxmlformats.org/officeDocument/2006/relationships/chart" Target="../charts/chart52.xml"/><Relationship Id="rId38" Type="http://schemas.openxmlformats.org/officeDocument/2006/relationships/chart" Target="../charts/chart57.xml"/><Relationship Id="rId59" Type="http://schemas.openxmlformats.org/officeDocument/2006/relationships/chart" Target="../charts/chart78.xml"/><Relationship Id="rId103" Type="http://schemas.openxmlformats.org/officeDocument/2006/relationships/chart" Target="../charts/chart122.xml"/><Relationship Id="rId108" Type="http://schemas.openxmlformats.org/officeDocument/2006/relationships/chart" Target="../charts/chart127.xml"/><Relationship Id="rId124" Type="http://schemas.openxmlformats.org/officeDocument/2006/relationships/chart" Target="../charts/chart143.xml"/><Relationship Id="rId129" Type="http://schemas.openxmlformats.org/officeDocument/2006/relationships/chart" Target="../charts/chart148.xml"/><Relationship Id="rId54" Type="http://schemas.openxmlformats.org/officeDocument/2006/relationships/chart" Target="../charts/chart73.xml"/><Relationship Id="rId70" Type="http://schemas.openxmlformats.org/officeDocument/2006/relationships/chart" Target="../charts/chart89.xml"/><Relationship Id="rId75" Type="http://schemas.openxmlformats.org/officeDocument/2006/relationships/chart" Target="../charts/chart94.xml"/><Relationship Id="rId91" Type="http://schemas.openxmlformats.org/officeDocument/2006/relationships/chart" Target="../charts/chart110.xml"/><Relationship Id="rId96" Type="http://schemas.openxmlformats.org/officeDocument/2006/relationships/chart" Target="../charts/chart115.xml"/><Relationship Id="rId140" Type="http://schemas.openxmlformats.org/officeDocument/2006/relationships/chart" Target="../charts/chart159.xml"/><Relationship Id="rId145" Type="http://schemas.openxmlformats.org/officeDocument/2006/relationships/chart" Target="../charts/chart164.xml"/><Relationship Id="rId1" Type="http://schemas.openxmlformats.org/officeDocument/2006/relationships/chart" Target="../charts/chart20.xml"/><Relationship Id="rId6" Type="http://schemas.openxmlformats.org/officeDocument/2006/relationships/chart" Target="../charts/chart25.xml"/><Relationship Id="rId23" Type="http://schemas.openxmlformats.org/officeDocument/2006/relationships/chart" Target="../charts/chart42.xml"/><Relationship Id="rId28" Type="http://schemas.openxmlformats.org/officeDocument/2006/relationships/chart" Target="../charts/chart47.xml"/><Relationship Id="rId49" Type="http://schemas.openxmlformats.org/officeDocument/2006/relationships/chart" Target="../charts/chart68.xml"/><Relationship Id="rId114" Type="http://schemas.openxmlformats.org/officeDocument/2006/relationships/chart" Target="../charts/chart133.xml"/><Relationship Id="rId119" Type="http://schemas.openxmlformats.org/officeDocument/2006/relationships/chart" Target="../charts/chart138.xml"/><Relationship Id="rId44" Type="http://schemas.openxmlformats.org/officeDocument/2006/relationships/chart" Target="../charts/chart63.xml"/><Relationship Id="rId60" Type="http://schemas.openxmlformats.org/officeDocument/2006/relationships/chart" Target="../charts/chart79.xml"/><Relationship Id="rId65" Type="http://schemas.openxmlformats.org/officeDocument/2006/relationships/chart" Target="../charts/chart84.xml"/><Relationship Id="rId81" Type="http://schemas.openxmlformats.org/officeDocument/2006/relationships/chart" Target="../charts/chart100.xml"/><Relationship Id="rId86" Type="http://schemas.openxmlformats.org/officeDocument/2006/relationships/chart" Target="../charts/chart105.xml"/><Relationship Id="rId130" Type="http://schemas.openxmlformats.org/officeDocument/2006/relationships/chart" Target="../charts/chart149.xml"/><Relationship Id="rId135" Type="http://schemas.openxmlformats.org/officeDocument/2006/relationships/chart" Target="../charts/chart154.xml"/><Relationship Id="rId13" Type="http://schemas.openxmlformats.org/officeDocument/2006/relationships/chart" Target="../charts/chart32.xml"/><Relationship Id="rId18" Type="http://schemas.openxmlformats.org/officeDocument/2006/relationships/chart" Target="../charts/chart37.xml"/><Relationship Id="rId39" Type="http://schemas.openxmlformats.org/officeDocument/2006/relationships/chart" Target="../charts/chart58.xml"/><Relationship Id="rId109" Type="http://schemas.openxmlformats.org/officeDocument/2006/relationships/chart" Target="../charts/chart128.xml"/><Relationship Id="rId34" Type="http://schemas.openxmlformats.org/officeDocument/2006/relationships/chart" Target="../charts/chart53.xml"/><Relationship Id="rId50" Type="http://schemas.openxmlformats.org/officeDocument/2006/relationships/chart" Target="../charts/chart69.xml"/><Relationship Id="rId55" Type="http://schemas.openxmlformats.org/officeDocument/2006/relationships/chart" Target="../charts/chart74.xml"/><Relationship Id="rId76" Type="http://schemas.openxmlformats.org/officeDocument/2006/relationships/chart" Target="../charts/chart95.xml"/><Relationship Id="rId97" Type="http://schemas.openxmlformats.org/officeDocument/2006/relationships/chart" Target="../charts/chart116.xml"/><Relationship Id="rId104" Type="http://schemas.openxmlformats.org/officeDocument/2006/relationships/chart" Target="../charts/chart123.xml"/><Relationship Id="rId120" Type="http://schemas.openxmlformats.org/officeDocument/2006/relationships/chart" Target="../charts/chart139.xml"/><Relationship Id="rId125" Type="http://schemas.openxmlformats.org/officeDocument/2006/relationships/chart" Target="../charts/chart144.xml"/><Relationship Id="rId141" Type="http://schemas.openxmlformats.org/officeDocument/2006/relationships/chart" Target="../charts/chart160.xml"/><Relationship Id="rId146" Type="http://schemas.openxmlformats.org/officeDocument/2006/relationships/chart" Target="../charts/chart165.xml"/><Relationship Id="rId7" Type="http://schemas.openxmlformats.org/officeDocument/2006/relationships/chart" Target="../charts/chart26.xml"/><Relationship Id="rId71" Type="http://schemas.openxmlformats.org/officeDocument/2006/relationships/chart" Target="../charts/chart90.xml"/><Relationship Id="rId92" Type="http://schemas.openxmlformats.org/officeDocument/2006/relationships/chart" Target="../charts/chart111.xml"/><Relationship Id="rId2" Type="http://schemas.openxmlformats.org/officeDocument/2006/relationships/chart" Target="../charts/chart21.xml"/><Relationship Id="rId29" Type="http://schemas.openxmlformats.org/officeDocument/2006/relationships/chart" Target="../charts/chart48.xml"/><Relationship Id="rId24" Type="http://schemas.openxmlformats.org/officeDocument/2006/relationships/chart" Target="../charts/chart43.xml"/><Relationship Id="rId40" Type="http://schemas.openxmlformats.org/officeDocument/2006/relationships/chart" Target="../charts/chart59.xml"/><Relationship Id="rId45" Type="http://schemas.openxmlformats.org/officeDocument/2006/relationships/chart" Target="../charts/chart64.xml"/><Relationship Id="rId66" Type="http://schemas.openxmlformats.org/officeDocument/2006/relationships/chart" Target="../charts/chart85.xml"/><Relationship Id="rId87" Type="http://schemas.openxmlformats.org/officeDocument/2006/relationships/chart" Target="../charts/chart106.xml"/><Relationship Id="rId110" Type="http://schemas.openxmlformats.org/officeDocument/2006/relationships/chart" Target="../charts/chart129.xml"/><Relationship Id="rId115" Type="http://schemas.openxmlformats.org/officeDocument/2006/relationships/chart" Target="../charts/chart134.xml"/><Relationship Id="rId131" Type="http://schemas.openxmlformats.org/officeDocument/2006/relationships/chart" Target="../charts/chart150.xml"/><Relationship Id="rId136" Type="http://schemas.openxmlformats.org/officeDocument/2006/relationships/chart" Target="../charts/chart155.xml"/><Relationship Id="rId61" Type="http://schemas.openxmlformats.org/officeDocument/2006/relationships/chart" Target="../charts/chart80.xml"/><Relationship Id="rId82" Type="http://schemas.openxmlformats.org/officeDocument/2006/relationships/chart" Target="../charts/chart101.xml"/><Relationship Id="rId19" Type="http://schemas.openxmlformats.org/officeDocument/2006/relationships/chart" Target="../charts/chart38.xml"/><Relationship Id="rId14" Type="http://schemas.openxmlformats.org/officeDocument/2006/relationships/chart" Target="../charts/chart33.xml"/><Relationship Id="rId30" Type="http://schemas.openxmlformats.org/officeDocument/2006/relationships/chart" Target="../charts/chart49.xml"/><Relationship Id="rId35" Type="http://schemas.openxmlformats.org/officeDocument/2006/relationships/chart" Target="../charts/chart54.xml"/><Relationship Id="rId56" Type="http://schemas.openxmlformats.org/officeDocument/2006/relationships/chart" Target="../charts/chart75.xml"/><Relationship Id="rId77" Type="http://schemas.openxmlformats.org/officeDocument/2006/relationships/chart" Target="../charts/chart96.xml"/><Relationship Id="rId100" Type="http://schemas.openxmlformats.org/officeDocument/2006/relationships/chart" Target="../charts/chart119.xml"/><Relationship Id="rId105" Type="http://schemas.openxmlformats.org/officeDocument/2006/relationships/chart" Target="../charts/chart124.xml"/><Relationship Id="rId126" Type="http://schemas.openxmlformats.org/officeDocument/2006/relationships/chart" Target="../charts/chart145.xml"/><Relationship Id="rId147" Type="http://schemas.openxmlformats.org/officeDocument/2006/relationships/chart" Target="../charts/chart166.xml"/><Relationship Id="rId8" Type="http://schemas.openxmlformats.org/officeDocument/2006/relationships/chart" Target="../charts/chart27.xml"/><Relationship Id="rId51" Type="http://schemas.openxmlformats.org/officeDocument/2006/relationships/chart" Target="../charts/chart70.xml"/><Relationship Id="rId72" Type="http://schemas.openxmlformats.org/officeDocument/2006/relationships/chart" Target="../charts/chart91.xml"/><Relationship Id="rId93" Type="http://schemas.openxmlformats.org/officeDocument/2006/relationships/chart" Target="../charts/chart112.xml"/><Relationship Id="rId98" Type="http://schemas.openxmlformats.org/officeDocument/2006/relationships/chart" Target="../charts/chart117.xml"/><Relationship Id="rId121" Type="http://schemas.openxmlformats.org/officeDocument/2006/relationships/chart" Target="../charts/chart140.xml"/><Relationship Id="rId142" Type="http://schemas.openxmlformats.org/officeDocument/2006/relationships/chart" Target="../charts/chart161.xml"/><Relationship Id="rId3" Type="http://schemas.openxmlformats.org/officeDocument/2006/relationships/chart" Target="../charts/chart22.xml"/><Relationship Id="rId25" Type="http://schemas.openxmlformats.org/officeDocument/2006/relationships/chart" Target="../charts/chart44.xml"/><Relationship Id="rId46" Type="http://schemas.openxmlformats.org/officeDocument/2006/relationships/chart" Target="../charts/chart65.xml"/><Relationship Id="rId67" Type="http://schemas.openxmlformats.org/officeDocument/2006/relationships/chart" Target="../charts/chart86.xml"/><Relationship Id="rId116" Type="http://schemas.openxmlformats.org/officeDocument/2006/relationships/chart" Target="../charts/chart135.xml"/><Relationship Id="rId137" Type="http://schemas.openxmlformats.org/officeDocument/2006/relationships/chart" Target="../charts/chart156.xml"/><Relationship Id="rId20" Type="http://schemas.openxmlformats.org/officeDocument/2006/relationships/chart" Target="../charts/chart39.xml"/><Relationship Id="rId41" Type="http://schemas.openxmlformats.org/officeDocument/2006/relationships/chart" Target="../charts/chart60.xml"/><Relationship Id="rId62" Type="http://schemas.openxmlformats.org/officeDocument/2006/relationships/chart" Target="../charts/chart81.xml"/><Relationship Id="rId83" Type="http://schemas.openxmlformats.org/officeDocument/2006/relationships/chart" Target="../charts/chart102.xml"/><Relationship Id="rId88" Type="http://schemas.openxmlformats.org/officeDocument/2006/relationships/chart" Target="../charts/chart107.xml"/><Relationship Id="rId111" Type="http://schemas.openxmlformats.org/officeDocument/2006/relationships/chart" Target="../charts/chart130.xml"/><Relationship Id="rId132" Type="http://schemas.openxmlformats.org/officeDocument/2006/relationships/chart" Target="../charts/chart151.xml"/><Relationship Id="rId15" Type="http://schemas.openxmlformats.org/officeDocument/2006/relationships/chart" Target="../charts/chart34.xml"/><Relationship Id="rId36" Type="http://schemas.openxmlformats.org/officeDocument/2006/relationships/chart" Target="../charts/chart55.xml"/><Relationship Id="rId57" Type="http://schemas.openxmlformats.org/officeDocument/2006/relationships/chart" Target="../charts/chart76.xml"/><Relationship Id="rId106" Type="http://schemas.openxmlformats.org/officeDocument/2006/relationships/chart" Target="../charts/chart125.xml"/><Relationship Id="rId127" Type="http://schemas.openxmlformats.org/officeDocument/2006/relationships/chart" Target="../charts/chart146.xml"/><Relationship Id="rId10" Type="http://schemas.openxmlformats.org/officeDocument/2006/relationships/chart" Target="../charts/chart29.xml"/><Relationship Id="rId31" Type="http://schemas.openxmlformats.org/officeDocument/2006/relationships/chart" Target="../charts/chart50.xml"/><Relationship Id="rId52" Type="http://schemas.openxmlformats.org/officeDocument/2006/relationships/chart" Target="../charts/chart71.xml"/><Relationship Id="rId73" Type="http://schemas.openxmlformats.org/officeDocument/2006/relationships/chart" Target="../charts/chart92.xml"/><Relationship Id="rId78" Type="http://schemas.openxmlformats.org/officeDocument/2006/relationships/chart" Target="../charts/chart97.xml"/><Relationship Id="rId94" Type="http://schemas.openxmlformats.org/officeDocument/2006/relationships/chart" Target="../charts/chart113.xml"/><Relationship Id="rId99" Type="http://schemas.openxmlformats.org/officeDocument/2006/relationships/chart" Target="../charts/chart118.xml"/><Relationship Id="rId101" Type="http://schemas.openxmlformats.org/officeDocument/2006/relationships/chart" Target="../charts/chart120.xml"/><Relationship Id="rId122" Type="http://schemas.openxmlformats.org/officeDocument/2006/relationships/chart" Target="../charts/chart141.xml"/><Relationship Id="rId143" Type="http://schemas.openxmlformats.org/officeDocument/2006/relationships/chart" Target="../charts/chart162.xml"/><Relationship Id="rId148" Type="http://schemas.openxmlformats.org/officeDocument/2006/relationships/chart" Target="../charts/chart167.xml"/><Relationship Id="rId4" Type="http://schemas.openxmlformats.org/officeDocument/2006/relationships/chart" Target="../charts/chart23.xml"/><Relationship Id="rId9" Type="http://schemas.openxmlformats.org/officeDocument/2006/relationships/chart" Target="../charts/chart28.xml"/><Relationship Id="rId26" Type="http://schemas.openxmlformats.org/officeDocument/2006/relationships/chart" Target="../charts/chart45.xml"/><Relationship Id="rId47" Type="http://schemas.openxmlformats.org/officeDocument/2006/relationships/chart" Target="../charts/chart66.xml"/><Relationship Id="rId68" Type="http://schemas.openxmlformats.org/officeDocument/2006/relationships/chart" Target="../charts/chart87.xml"/><Relationship Id="rId89" Type="http://schemas.openxmlformats.org/officeDocument/2006/relationships/chart" Target="../charts/chart108.xml"/><Relationship Id="rId112" Type="http://schemas.openxmlformats.org/officeDocument/2006/relationships/chart" Target="../charts/chart131.xml"/><Relationship Id="rId133" Type="http://schemas.openxmlformats.org/officeDocument/2006/relationships/chart" Target="../charts/chart152.xml"/><Relationship Id="rId16" Type="http://schemas.openxmlformats.org/officeDocument/2006/relationships/chart" Target="../charts/chart35.xml"/><Relationship Id="rId37" Type="http://schemas.openxmlformats.org/officeDocument/2006/relationships/chart" Target="../charts/chart56.xml"/><Relationship Id="rId58" Type="http://schemas.openxmlformats.org/officeDocument/2006/relationships/chart" Target="../charts/chart77.xml"/><Relationship Id="rId79" Type="http://schemas.openxmlformats.org/officeDocument/2006/relationships/chart" Target="../charts/chart98.xml"/><Relationship Id="rId102" Type="http://schemas.openxmlformats.org/officeDocument/2006/relationships/chart" Target="../charts/chart121.xml"/><Relationship Id="rId123" Type="http://schemas.openxmlformats.org/officeDocument/2006/relationships/chart" Target="../charts/chart142.xml"/><Relationship Id="rId144" Type="http://schemas.openxmlformats.org/officeDocument/2006/relationships/chart" Target="../charts/chart163.xml"/></Relationships>
</file>

<file path=xl/drawings/drawing1.xml><?xml version="1.0" encoding="utf-8"?>
<xdr:wsDr xmlns:xdr="http://schemas.openxmlformats.org/drawingml/2006/spreadsheetDrawing" xmlns:a="http://schemas.openxmlformats.org/drawingml/2006/main">
  <xdr:twoCellAnchor>
    <xdr:from>
      <xdr:col>3</xdr:col>
      <xdr:colOff>164079</xdr:colOff>
      <xdr:row>8</xdr:row>
      <xdr:rowOff>93760</xdr:rowOff>
    </xdr:from>
    <xdr:to>
      <xdr:col>3</xdr:col>
      <xdr:colOff>288111</xdr:colOff>
      <xdr:row>10</xdr:row>
      <xdr:rowOff>189175</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2648862" y="1617760"/>
          <a:ext cx="124032" cy="476415"/>
        </a:xfrm>
        <a:prstGeom prst="rightBrace">
          <a:avLst>
            <a:gd name="adj1" fmla="val 29520"/>
            <a:gd name="adj2" fmla="val 50000"/>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85725</xdr:colOff>
          <xdr:row>1</xdr:row>
          <xdr:rowOff>47625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一括値貼付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231913</xdr:colOff>
      <xdr:row>14</xdr:row>
      <xdr:rowOff>66261</xdr:rowOff>
    </xdr:from>
    <xdr:to>
      <xdr:col>20</xdr:col>
      <xdr:colOff>211827</xdr:colOff>
      <xdr:row>14</xdr:row>
      <xdr:rowOff>170415</xdr:rowOff>
    </xdr:to>
    <xdr:grpSp>
      <xdr:nvGrpSpPr>
        <xdr:cNvPr id="2" name="Group 89">
          <a:extLst>
            <a:ext uri="{FF2B5EF4-FFF2-40B4-BE49-F238E27FC236}">
              <a16:creationId xmlns:a16="http://schemas.microsoft.com/office/drawing/2014/main" id="{00000000-0008-0000-0F00-000002000000}"/>
            </a:ext>
          </a:extLst>
        </xdr:cNvPr>
        <xdr:cNvGrpSpPr>
          <a:grpSpLocks/>
        </xdr:cNvGrpSpPr>
      </xdr:nvGrpSpPr>
      <xdr:grpSpPr bwMode="auto">
        <a:xfrm>
          <a:off x="8746435" y="4124739"/>
          <a:ext cx="1354827" cy="104154"/>
          <a:chOff x="1306" y="3233"/>
          <a:chExt cx="3175" cy="345"/>
        </a:xfrm>
      </xdr:grpSpPr>
      <xdr:sp macro="" textlink="">
        <xdr:nvSpPr>
          <xdr:cNvPr id="3" name="Freeform 90">
            <a:extLst>
              <a:ext uri="{FF2B5EF4-FFF2-40B4-BE49-F238E27FC236}">
                <a16:creationId xmlns:a16="http://schemas.microsoft.com/office/drawing/2014/main" id="{00000000-0008-0000-0F00-000003000000}"/>
              </a:ext>
            </a:extLst>
          </xdr:cNvPr>
          <xdr:cNvSpPr>
            <a:spLocks/>
          </xdr:cNvSpPr>
        </xdr:nvSpPr>
        <xdr:spPr bwMode="auto">
          <a:xfrm>
            <a:off x="1306" y="3233"/>
            <a:ext cx="3175" cy="345"/>
          </a:xfrm>
          <a:custGeom>
            <a:avLst/>
            <a:gdLst>
              <a:gd name="T0" fmla="*/ 0 w 3175"/>
              <a:gd name="T1" fmla="*/ 231 h 345"/>
              <a:gd name="T2" fmla="*/ 453 w 3175"/>
              <a:gd name="T3" fmla="*/ 4 h 345"/>
              <a:gd name="T4" fmla="*/ 907 w 3175"/>
              <a:gd name="T5" fmla="*/ 231 h 345"/>
              <a:gd name="T6" fmla="*/ 1360 w 3175"/>
              <a:gd name="T7" fmla="*/ 4 h 345"/>
              <a:gd name="T8" fmla="*/ 1814 w 3175"/>
              <a:gd name="T9" fmla="*/ 231 h 345"/>
              <a:gd name="T10" fmla="*/ 2268 w 3175"/>
              <a:gd name="T11" fmla="*/ 4 h 345"/>
              <a:gd name="T12" fmla="*/ 2721 w 3175"/>
              <a:gd name="T13" fmla="*/ 231 h 345"/>
              <a:gd name="T14" fmla="*/ 3175 w 3175"/>
              <a:gd name="T15" fmla="*/ 4 h 345"/>
              <a:gd name="T16" fmla="*/ 3175 w 3175"/>
              <a:gd name="T17" fmla="*/ 118 h 345"/>
              <a:gd name="T18" fmla="*/ 2721 w 3175"/>
              <a:gd name="T19" fmla="*/ 345 h 345"/>
              <a:gd name="T20" fmla="*/ 2268 w 3175"/>
              <a:gd name="T21" fmla="*/ 118 h 345"/>
              <a:gd name="T22" fmla="*/ 1814 w 3175"/>
              <a:gd name="T23" fmla="*/ 345 h 345"/>
              <a:gd name="T24" fmla="*/ 1360 w 3175"/>
              <a:gd name="T25" fmla="*/ 118 h 345"/>
              <a:gd name="T26" fmla="*/ 907 w 3175"/>
              <a:gd name="T27" fmla="*/ 345 h 345"/>
              <a:gd name="T28" fmla="*/ 453 w 3175"/>
              <a:gd name="T29" fmla="*/ 118 h 345"/>
              <a:gd name="T30" fmla="*/ 0 w 3175"/>
              <a:gd name="T31" fmla="*/ 345 h 345"/>
              <a:gd name="T32" fmla="*/ 0 w 3175"/>
              <a:gd name="T33" fmla="*/ 231 h 3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3175" h="345">
                <a:moveTo>
                  <a:pt x="0" y="231"/>
                </a:moveTo>
                <a:cubicBezTo>
                  <a:pt x="76" y="174"/>
                  <a:pt x="295" y="0"/>
                  <a:pt x="453" y="4"/>
                </a:cubicBezTo>
                <a:cubicBezTo>
                  <a:pt x="604" y="4"/>
                  <a:pt x="756" y="231"/>
                  <a:pt x="907" y="231"/>
                </a:cubicBezTo>
                <a:cubicBezTo>
                  <a:pt x="1058" y="231"/>
                  <a:pt x="1209" y="4"/>
                  <a:pt x="1360" y="4"/>
                </a:cubicBezTo>
                <a:cubicBezTo>
                  <a:pt x="1511" y="4"/>
                  <a:pt x="1663" y="231"/>
                  <a:pt x="1814" y="231"/>
                </a:cubicBezTo>
                <a:cubicBezTo>
                  <a:pt x="1965" y="231"/>
                  <a:pt x="2117" y="4"/>
                  <a:pt x="2268" y="4"/>
                </a:cubicBezTo>
                <a:cubicBezTo>
                  <a:pt x="2419" y="4"/>
                  <a:pt x="2570" y="231"/>
                  <a:pt x="2721" y="231"/>
                </a:cubicBezTo>
                <a:cubicBezTo>
                  <a:pt x="2894" y="229"/>
                  <a:pt x="3088" y="73"/>
                  <a:pt x="3175" y="4"/>
                </a:cubicBezTo>
                <a:cubicBezTo>
                  <a:pt x="3175" y="4"/>
                  <a:pt x="3175" y="61"/>
                  <a:pt x="3175" y="118"/>
                </a:cubicBezTo>
                <a:cubicBezTo>
                  <a:pt x="3099" y="175"/>
                  <a:pt x="2908" y="334"/>
                  <a:pt x="2721" y="345"/>
                </a:cubicBezTo>
                <a:cubicBezTo>
                  <a:pt x="2570" y="345"/>
                  <a:pt x="2419" y="118"/>
                  <a:pt x="2268" y="118"/>
                </a:cubicBezTo>
                <a:cubicBezTo>
                  <a:pt x="2117" y="118"/>
                  <a:pt x="1965" y="345"/>
                  <a:pt x="1814" y="345"/>
                </a:cubicBezTo>
                <a:cubicBezTo>
                  <a:pt x="1663" y="345"/>
                  <a:pt x="1511" y="118"/>
                  <a:pt x="1360" y="118"/>
                </a:cubicBezTo>
                <a:cubicBezTo>
                  <a:pt x="1209" y="118"/>
                  <a:pt x="1058" y="345"/>
                  <a:pt x="907" y="345"/>
                </a:cubicBezTo>
                <a:cubicBezTo>
                  <a:pt x="756" y="345"/>
                  <a:pt x="604" y="118"/>
                  <a:pt x="453" y="118"/>
                </a:cubicBezTo>
                <a:cubicBezTo>
                  <a:pt x="283" y="120"/>
                  <a:pt x="79" y="286"/>
                  <a:pt x="0" y="345"/>
                </a:cubicBezTo>
                <a:cubicBezTo>
                  <a:pt x="0" y="288"/>
                  <a:pt x="0" y="231"/>
                  <a:pt x="0" y="231"/>
                </a:cubicBezTo>
                <a:close/>
              </a:path>
            </a:pathLst>
          </a:custGeom>
          <a:solidFill>
            <a:schemeClr val="bg1"/>
          </a:solidFill>
          <a:ln>
            <a:noFill/>
          </a:ln>
          <a:effectLst/>
          <a:extLst>
            <a:ext uri="{91240B29-F687-4F45-9708-019B960494DF}">
              <a14:hiddenLine xmlns:a14="http://schemas.microsoft.com/office/drawing/2010/main" w="6350">
                <a:solidFill>
                  <a:schemeClr val="tx1"/>
                </a:solidFill>
                <a:round/>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 name="Freeform 91">
            <a:extLst>
              <a:ext uri="{FF2B5EF4-FFF2-40B4-BE49-F238E27FC236}">
                <a16:creationId xmlns:a16="http://schemas.microsoft.com/office/drawing/2014/main" id="{00000000-0008-0000-0F00-000004000000}"/>
              </a:ext>
            </a:extLst>
          </xdr:cNvPr>
          <xdr:cNvSpPr>
            <a:spLocks/>
          </xdr:cNvSpPr>
        </xdr:nvSpPr>
        <xdr:spPr bwMode="auto">
          <a:xfrm>
            <a:off x="1306" y="3237"/>
            <a:ext cx="3175" cy="227"/>
          </a:xfrm>
          <a:custGeom>
            <a:avLst/>
            <a:gdLst>
              <a:gd name="T0" fmla="*/ 0 w 3175"/>
              <a:gd name="T1" fmla="*/ 454 h 454"/>
              <a:gd name="T2" fmla="*/ 453 w 3175"/>
              <a:gd name="T3" fmla="*/ 0 h 454"/>
              <a:gd name="T4" fmla="*/ 907 w 3175"/>
              <a:gd name="T5" fmla="*/ 454 h 454"/>
              <a:gd name="T6" fmla="*/ 1360 w 3175"/>
              <a:gd name="T7" fmla="*/ 0 h 454"/>
              <a:gd name="T8" fmla="*/ 1814 w 3175"/>
              <a:gd name="T9" fmla="*/ 454 h 454"/>
              <a:gd name="T10" fmla="*/ 2268 w 3175"/>
              <a:gd name="T11" fmla="*/ 0 h 454"/>
              <a:gd name="T12" fmla="*/ 2721 w 3175"/>
              <a:gd name="T13" fmla="*/ 454 h 454"/>
              <a:gd name="T14" fmla="*/ 3175 w 3175"/>
              <a:gd name="T15" fmla="*/ 0 h 454"/>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3175" h="454">
                <a:moveTo>
                  <a:pt x="0" y="454"/>
                </a:moveTo>
                <a:cubicBezTo>
                  <a:pt x="151" y="227"/>
                  <a:pt x="302" y="0"/>
                  <a:pt x="453" y="0"/>
                </a:cubicBezTo>
                <a:cubicBezTo>
                  <a:pt x="604" y="0"/>
                  <a:pt x="756" y="454"/>
                  <a:pt x="907" y="454"/>
                </a:cubicBezTo>
                <a:cubicBezTo>
                  <a:pt x="1058" y="454"/>
                  <a:pt x="1209" y="0"/>
                  <a:pt x="1360" y="0"/>
                </a:cubicBezTo>
                <a:cubicBezTo>
                  <a:pt x="1511" y="0"/>
                  <a:pt x="1663" y="454"/>
                  <a:pt x="1814" y="454"/>
                </a:cubicBezTo>
                <a:cubicBezTo>
                  <a:pt x="1965" y="454"/>
                  <a:pt x="2117" y="0"/>
                  <a:pt x="2268" y="0"/>
                </a:cubicBezTo>
                <a:cubicBezTo>
                  <a:pt x="2419" y="0"/>
                  <a:pt x="2570" y="454"/>
                  <a:pt x="2721" y="454"/>
                </a:cubicBezTo>
                <a:cubicBezTo>
                  <a:pt x="2872" y="454"/>
                  <a:pt x="3023" y="227"/>
                  <a:pt x="3175" y="0"/>
                </a:cubicBezTo>
              </a:path>
            </a:pathLst>
          </a:custGeom>
          <a:noFill/>
          <a:ln w="6350">
            <a:solidFill>
              <a:schemeClr val="tx1"/>
            </a:solidFill>
            <a:round/>
            <a:headEnd/>
            <a:tailEnd/>
          </a:ln>
          <a:effectLst/>
          <a:extLst>
            <a:ext uri="{909E8E84-426E-40DD-AFC4-6F175D3DCCD1}">
              <a14:hiddenFill xmlns:a14="http://schemas.microsoft.com/office/drawing/2010/main">
                <a:solidFill>
                  <a:schemeClr val="bg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5" name="Freeform 92">
            <a:extLst>
              <a:ext uri="{FF2B5EF4-FFF2-40B4-BE49-F238E27FC236}">
                <a16:creationId xmlns:a16="http://schemas.microsoft.com/office/drawing/2014/main" id="{00000000-0008-0000-0F00-000005000000}"/>
              </a:ext>
            </a:extLst>
          </xdr:cNvPr>
          <xdr:cNvSpPr>
            <a:spLocks/>
          </xdr:cNvSpPr>
        </xdr:nvSpPr>
        <xdr:spPr bwMode="auto">
          <a:xfrm>
            <a:off x="1306" y="3351"/>
            <a:ext cx="3175" cy="227"/>
          </a:xfrm>
          <a:custGeom>
            <a:avLst/>
            <a:gdLst>
              <a:gd name="T0" fmla="*/ 0 w 3175"/>
              <a:gd name="T1" fmla="*/ 454 h 454"/>
              <a:gd name="T2" fmla="*/ 453 w 3175"/>
              <a:gd name="T3" fmla="*/ 0 h 454"/>
              <a:gd name="T4" fmla="*/ 907 w 3175"/>
              <a:gd name="T5" fmla="*/ 454 h 454"/>
              <a:gd name="T6" fmla="*/ 1360 w 3175"/>
              <a:gd name="T7" fmla="*/ 0 h 454"/>
              <a:gd name="T8" fmla="*/ 1814 w 3175"/>
              <a:gd name="T9" fmla="*/ 454 h 454"/>
              <a:gd name="T10" fmla="*/ 2268 w 3175"/>
              <a:gd name="T11" fmla="*/ 0 h 454"/>
              <a:gd name="T12" fmla="*/ 2721 w 3175"/>
              <a:gd name="T13" fmla="*/ 454 h 454"/>
              <a:gd name="T14" fmla="*/ 3175 w 3175"/>
              <a:gd name="T15" fmla="*/ 0 h 454"/>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3175" h="454">
                <a:moveTo>
                  <a:pt x="0" y="454"/>
                </a:moveTo>
                <a:cubicBezTo>
                  <a:pt x="151" y="227"/>
                  <a:pt x="302" y="0"/>
                  <a:pt x="453" y="0"/>
                </a:cubicBezTo>
                <a:cubicBezTo>
                  <a:pt x="604" y="0"/>
                  <a:pt x="756" y="454"/>
                  <a:pt x="907" y="454"/>
                </a:cubicBezTo>
                <a:cubicBezTo>
                  <a:pt x="1058" y="454"/>
                  <a:pt x="1209" y="0"/>
                  <a:pt x="1360" y="0"/>
                </a:cubicBezTo>
                <a:cubicBezTo>
                  <a:pt x="1511" y="0"/>
                  <a:pt x="1663" y="454"/>
                  <a:pt x="1814" y="454"/>
                </a:cubicBezTo>
                <a:cubicBezTo>
                  <a:pt x="1965" y="454"/>
                  <a:pt x="2117" y="0"/>
                  <a:pt x="2268" y="0"/>
                </a:cubicBezTo>
                <a:cubicBezTo>
                  <a:pt x="2419" y="0"/>
                  <a:pt x="2570" y="454"/>
                  <a:pt x="2721" y="454"/>
                </a:cubicBezTo>
                <a:cubicBezTo>
                  <a:pt x="2872" y="454"/>
                  <a:pt x="3023" y="227"/>
                  <a:pt x="3175" y="0"/>
                </a:cubicBezTo>
              </a:path>
            </a:pathLst>
          </a:custGeom>
          <a:noFill/>
          <a:ln w="6350">
            <a:solidFill>
              <a:schemeClr val="tx1"/>
            </a:solidFill>
            <a:round/>
            <a:headEnd/>
            <a:tailEnd/>
          </a:ln>
          <a:effectLst/>
          <a:extLst>
            <a:ext uri="{909E8E84-426E-40DD-AFC4-6F175D3DCCD1}">
              <a14:hiddenFill xmlns:a14="http://schemas.microsoft.com/office/drawing/2010/main">
                <a:solidFill>
                  <a:schemeClr val="bg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2</xdr:row>
      <xdr:rowOff>0</xdr:rowOff>
    </xdr:from>
    <xdr:to>
      <xdr:col>22</xdr:col>
      <xdr:colOff>142875</xdr:colOff>
      <xdr:row>33</xdr:row>
      <xdr:rowOff>28575</xdr:rowOff>
    </xdr:to>
    <xdr:graphicFrame macro="">
      <xdr:nvGraphicFramePr>
        <xdr:cNvPr id="3" name="グラフ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180133</xdr:colOff>
      <xdr:row>2</xdr:row>
      <xdr:rowOff>46503</xdr:rowOff>
    </xdr:from>
    <xdr:to>
      <xdr:col>25</xdr:col>
      <xdr:colOff>504824</xdr:colOff>
      <xdr:row>51</xdr:row>
      <xdr:rowOff>173830</xdr:rowOff>
    </xdr:to>
    <xdr:graphicFrame macro="">
      <xdr:nvGraphicFramePr>
        <xdr:cNvPr id="3" name="グラフ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21</xdr:col>
      <xdr:colOff>0</xdr:colOff>
      <xdr:row>2</xdr:row>
      <xdr:rowOff>0</xdr:rowOff>
    </xdr:from>
    <xdr:to>
      <xdr:col>35</xdr:col>
      <xdr:colOff>209723</xdr:colOff>
      <xdr:row>50</xdr:row>
      <xdr:rowOff>30480</xdr:rowOff>
    </xdr:to>
    <xdr:graphicFrame macro="">
      <xdr:nvGraphicFramePr>
        <xdr:cNvPr id="4" name="グラフ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21</xdr:col>
      <xdr:colOff>56031</xdr:colOff>
      <xdr:row>2</xdr:row>
      <xdr:rowOff>190500</xdr:rowOff>
    </xdr:from>
    <xdr:to>
      <xdr:col>35</xdr:col>
      <xdr:colOff>877228</xdr:colOff>
      <xdr:row>50</xdr:row>
      <xdr:rowOff>134470</xdr:rowOff>
    </xdr:to>
    <xdr:graphicFrame macro="">
      <xdr:nvGraphicFramePr>
        <xdr:cNvPr id="2" name="グラフ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0</xdr:colOff>
      <xdr:row>1</xdr:row>
      <xdr:rowOff>190499</xdr:rowOff>
    </xdr:from>
    <xdr:to>
      <xdr:col>35</xdr:col>
      <xdr:colOff>378518</xdr:colOff>
      <xdr:row>51</xdr:row>
      <xdr:rowOff>47624</xdr:rowOff>
    </xdr:to>
    <xdr:graphicFrame macro="">
      <xdr:nvGraphicFramePr>
        <xdr:cNvPr id="2" name="グラフ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219808</xdr:colOff>
      <xdr:row>12</xdr:row>
      <xdr:rowOff>0</xdr:rowOff>
    </xdr:from>
    <xdr:to>
      <xdr:col>15</xdr:col>
      <xdr:colOff>76105</xdr:colOff>
      <xdr:row>13</xdr:row>
      <xdr:rowOff>0</xdr:rowOff>
    </xdr:to>
    <xdr:graphicFrame macro="">
      <xdr:nvGraphicFramePr>
        <xdr:cNvPr id="6" name="グラフ 5">
          <a:extLst>
            <a:ext uri="{FF2B5EF4-FFF2-40B4-BE49-F238E27FC236}">
              <a16:creationId xmlns:a16="http://schemas.microsoft.com/office/drawing/2014/main" id="{00000000-0008-0000-1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219808</xdr:colOff>
      <xdr:row>24</xdr:row>
      <xdr:rowOff>124558</xdr:rowOff>
    </xdr:from>
    <xdr:to>
      <xdr:col>16</xdr:col>
      <xdr:colOff>86324</xdr:colOff>
      <xdr:row>25</xdr:row>
      <xdr:rowOff>3267808</xdr:rowOff>
    </xdr:to>
    <xdr:graphicFrame macro="">
      <xdr:nvGraphicFramePr>
        <xdr:cNvPr id="19" name="グラフ 18">
          <a:extLst>
            <a:ext uri="{FF2B5EF4-FFF2-40B4-BE49-F238E27FC236}">
              <a16:creationId xmlns:a16="http://schemas.microsoft.com/office/drawing/2014/main" id="{00000000-0008-0000-15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291549</xdr:colOff>
      <xdr:row>25</xdr:row>
      <xdr:rowOff>0</xdr:rowOff>
    </xdr:from>
    <xdr:to>
      <xdr:col>31</xdr:col>
      <xdr:colOff>271633</xdr:colOff>
      <xdr:row>26</xdr:row>
      <xdr:rowOff>0</xdr:rowOff>
    </xdr:to>
    <xdr:graphicFrame macro="">
      <xdr:nvGraphicFramePr>
        <xdr:cNvPr id="21" name="グラフ 20">
          <a:extLst>
            <a:ext uri="{FF2B5EF4-FFF2-40B4-BE49-F238E27FC236}">
              <a16:creationId xmlns:a16="http://schemas.microsoft.com/office/drawing/2014/main" id="{00000000-0008-0000-1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0</xdr:colOff>
      <xdr:row>25</xdr:row>
      <xdr:rowOff>0</xdr:rowOff>
    </xdr:from>
    <xdr:to>
      <xdr:col>47</xdr:col>
      <xdr:colOff>299174</xdr:colOff>
      <xdr:row>25</xdr:row>
      <xdr:rowOff>3790950</xdr:rowOff>
    </xdr:to>
    <xdr:graphicFrame macro="">
      <xdr:nvGraphicFramePr>
        <xdr:cNvPr id="22" name="グラフ 21">
          <a:extLst>
            <a:ext uri="{FF2B5EF4-FFF2-40B4-BE49-F238E27FC236}">
              <a16:creationId xmlns:a16="http://schemas.microsoft.com/office/drawing/2014/main" id="{00000000-0008-0000-1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48</xdr:col>
      <xdr:colOff>0</xdr:colOff>
      <xdr:row>25</xdr:row>
      <xdr:rowOff>0</xdr:rowOff>
    </xdr:from>
    <xdr:to>
      <xdr:col>62</xdr:col>
      <xdr:colOff>299174</xdr:colOff>
      <xdr:row>25</xdr:row>
      <xdr:rowOff>3790950</xdr:rowOff>
    </xdr:to>
    <xdr:graphicFrame macro="">
      <xdr:nvGraphicFramePr>
        <xdr:cNvPr id="23" name="グラフ 22">
          <a:extLst>
            <a:ext uri="{FF2B5EF4-FFF2-40B4-BE49-F238E27FC236}">
              <a16:creationId xmlns:a16="http://schemas.microsoft.com/office/drawing/2014/main" id="{00000000-0008-0000-15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63</xdr:col>
      <xdr:colOff>0</xdr:colOff>
      <xdr:row>25</xdr:row>
      <xdr:rowOff>0</xdr:rowOff>
    </xdr:from>
    <xdr:to>
      <xdr:col>77</xdr:col>
      <xdr:colOff>299173</xdr:colOff>
      <xdr:row>25</xdr:row>
      <xdr:rowOff>3790950</xdr:rowOff>
    </xdr:to>
    <xdr:graphicFrame macro="">
      <xdr:nvGraphicFramePr>
        <xdr:cNvPr id="24" name="グラフ 23">
          <a:extLst>
            <a:ext uri="{FF2B5EF4-FFF2-40B4-BE49-F238E27FC236}">
              <a16:creationId xmlns:a16="http://schemas.microsoft.com/office/drawing/2014/main" id="{00000000-0008-0000-1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78</xdr:col>
      <xdr:colOff>0</xdr:colOff>
      <xdr:row>25</xdr:row>
      <xdr:rowOff>0</xdr:rowOff>
    </xdr:from>
    <xdr:to>
      <xdr:col>92</xdr:col>
      <xdr:colOff>299174</xdr:colOff>
      <xdr:row>25</xdr:row>
      <xdr:rowOff>3790950</xdr:rowOff>
    </xdr:to>
    <xdr:graphicFrame macro="">
      <xdr:nvGraphicFramePr>
        <xdr:cNvPr id="25" name="グラフ 24">
          <a:extLst>
            <a:ext uri="{FF2B5EF4-FFF2-40B4-BE49-F238E27FC236}">
              <a16:creationId xmlns:a16="http://schemas.microsoft.com/office/drawing/2014/main" id="{00000000-0008-0000-1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93</xdr:col>
      <xdr:colOff>0</xdr:colOff>
      <xdr:row>25</xdr:row>
      <xdr:rowOff>0</xdr:rowOff>
    </xdr:from>
    <xdr:to>
      <xdr:col>107</xdr:col>
      <xdr:colOff>299173</xdr:colOff>
      <xdr:row>25</xdr:row>
      <xdr:rowOff>3790950</xdr:rowOff>
    </xdr:to>
    <xdr:graphicFrame macro="">
      <xdr:nvGraphicFramePr>
        <xdr:cNvPr id="26" name="グラフ 25">
          <a:extLst>
            <a:ext uri="{FF2B5EF4-FFF2-40B4-BE49-F238E27FC236}">
              <a16:creationId xmlns:a16="http://schemas.microsoft.com/office/drawing/2014/main" id="{00000000-0008-0000-1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321158</xdr:colOff>
      <xdr:row>12</xdr:row>
      <xdr:rowOff>0</xdr:rowOff>
    </xdr:from>
    <xdr:to>
      <xdr:col>31</xdr:col>
      <xdr:colOff>302107</xdr:colOff>
      <xdr:row>13</xdr:row>
      <xdr:rowOff>0</xdr:rowOff>
    </xdr:to>
    <xdr:graphicFrame macro="">
      <xdr:nvGraphicFramePr>
        <xdr:cNvPr id="27" name="グラフ 26">
          <a:extLst>
            <a:ext uri="{FF2B5EF4-FFF2-40B4-BE49-F238E27FC236}">
              <a16:creationId xmlns:a16="http://schemas.microsoft.com/office/drawing/2014/main" id="{00000000-0008-0000-15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0</xdr:colOff>
      <xdr:row>12</xdr:row>
      <xdr:rowOff>0</xdr:rowOff>
    </xdr:from>
    <xdr:to>
      <xdr:col>47</xdr:col>
      <xdr:colOff>300038</xdr:colOff>
      <xdr:row>12</xdr:row>
      <xdr:rowOff>3790950</xdr:rowOff>
    </xdr:to>
    <xdr:graphicFrame macro="">
      <xdr:nvGraphicFramePr>
        <xdr:cNvPr id="28" name="グラフ 27">
          <a:extLst>
            <a:ext uri="{FF2B5EF4-FFF2-40B4-BE49-F238E27FC236}">
              <a16:creationId xmlns:a16="http://schemas.microsoft.com/office/drawing/2014/main" id="{00000000-0008-0000-1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48</xdr:col>
      <xdr:colOff>0</xdr:colOff>
      <xdr:row>12</xdr:row>
      <xdr:rowOff>0</xdr:rowOff>
    </xdr:from>
    <xdr:to>
      <xdr:col>62</xdr:col>
      <xdr:colOff>300038</xdr:colOff>
      <xdr:row>12</xdr:row>
      <xdr:rowOff>3790950</xdr:rowOff>
    </xdr:to>
    <xdr:graphicFrame macro="">
      <xdr:nvGraphicFramePr>
        <xdr:cNvPr id="29" name="グラフ 28">
          <a:extLst>
            <a:ext uri="{FF2B5EF4-FFF2-40B4-BE49-F238E27FC236}">
              <a16:creationId xmlns:a16="http://schemas.microsoft.com/office/drawing/2014/main" id="{00000000-0008-0000-1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63</xdr:col>
      <xdr:colOff>0</xdr:colOff>
      <xdr:row>12</xdr:row>
      <xdr:rowOff>0</xdr:rowOff>
    </xdr:from>
    <xdr:to>
      <xdr:col>77</xdr:col>
      <xdr:colOff>300038</xdr:colOff>
      <xdr:row>12</xdr:row>
      <xdr:rowOff>3790950</xdr:rowOff>
    </xdr:to>
    <xdr:graphicFrame macro="">
      <xdr:nvGraphicFramePr>
        <xdr:cNvPr id="30" name="グラフ 29">
          <a:extLst>
            <a:ext uri="{FF2B5EF4-FFF2-40B4-BE49-F238E27FC236}">
              <a16:creationId xmlns:a16="http://schemas.microsoft.com/office/drawing/2014/main" id="{00000000-0008-0000-1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78</xdr:col>
      <xdr:colOff>0</xdr:colOff>
      <xdr:row>12</xdr:row>
      <xdr:rowOff>0</xdr:rowOff>
    </xdr:from>
    <xdr:to>
      <xdr:col>92</xdr:col>
      <xdr:colOff>300038</xdr:colOff>
      <xdr:row>12</xdr:row>
      <xdr:rowOff>3790950</xdr:rowOff>
    </xdr:to>
    <xdr:graphicFrame macro="">
      <xdr:nvGraphicFramePr>
        <xdr:cNvPr id="31" name="グラフ 30">
          <a:extLst>
            <a:ext uri="{FF2B5EF4-FFF2-40B4-BE49-F238E27FC236}">
              <a16:creationId xmlns:a16="http://schemas.microsoft.com/office/drawing/2014/main" id="{00000000-0008-0000-1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93</xdr:col>
      <xdr:colOff>0</xdr:colOff>
      <xdr:row>12</xdr:row>
      <xdr:rowOff>0</xdr:rowOff>
    </xdr:from>
    <xdr:to>
      <xdr:col>107</xdr:col>
      <xdr:colOff>300038</xdr:colOff>
      <xdr:row>12</xdr:row>
      <xdr:rowOff>3790950</xdr:rowOff>
    </xdr:to>
    <xdr:graphicFrame macro="">
      <xdr:nvGraphicFramePr>
        <xdr:cNvPr id="32" name="グラフ 31">
          <a:extLst>
            <a:ext uri="{FF2B5EF4-FFF2-40B4-BE49-F238E27FC236}">
              <a16:creationId xmlns:a16="http://schemas.microsoft.com/office/drawing/2014/main" id="{00000000-0008-0000-1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9</xdr:col>
      <xdr:colOff>0</xdr:colOff>
      <xdr:row>2</xdr:row>
      <xdr:rowOff>0</xdr:rowOff>
    </xdr:from>
    <xdr:to>
      <xdr:col>14</xdr:col>
      <xdr:colOff>382500</xdr:colOff>
      <xdr:row>15</xdr:row>
      <xdr:rowOff>43500</xdr:rowOff>
    </xdr:to>
    <xdr:graphicFrame macro="">
      <xdr:nvGraphicFramePr>
        <xdr:cNvPr id="2" name="生データグラフ">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0</xdr:rowOff>
    </xdr:from>
    <xdr:to>
      <xdr:col>20</xdr:col>
      <xdr:colOff>382500</xdr:colOff>
      <xdr:row>15</xdr:row>
      <xdr:rowOff>43500</xdr:rowOff>
    </xdr:to>
    <xdr:graphicFrame macro="">
      <xdr:nvGraphicFramePr>
        <xdr:cNvPr id="3" name="スコアグラフ">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xdr:row>
          <xdr:rowOff>38100</xdr:rowOff>
        </xdr:from>
        <xdr:to>
          <xdr:col>2</xdr:col>
          <xdr:colOff>838200</xdr:colOff>
          <xdr:row>9</xdr:row>
          <xdr:rowOff>95250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25</xdr:row>
          <xdr:rowOff>38100</xdr:rowOff>
        </xdr:from>
        <xdr:to>
          <xdr:col>2</xdr:col>
          <xdr:colOff>838200</xdr:colOff>
          <xdr:row>26</xdr:row>
          <xdr:rowOff>95250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19</xdr:row>
      <xdr:rowOff>0</xdr:rowOff>
    </xdr:from>
    <xdr:to>
      <xdr:col>14</xdr:col>
      <xdr:colOff>382500</xdr:colOff>
      <xdr:row>32</xdr:row>
      <xdr:rowOff>48262</xdr:rowOff>
    </xdr:to>
    <xdr:graphicFrame macro="">
      <xdr:nvGraphicFramePr>
        <xdr:cNvPr id="152" name="生データグラフ00a">
          <a:extLst>
            <a:ext uri="{FF2B5EF4-FFF2-40B4-BE49-F238E27FC236}">
              <a16:creationId xmlns:a16="http://schemas.microsoft.com/office/drawing/2014/main" id="{00000000-0008-0000-1600-00009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19</xdr:row>
      <xdr:rowOff>0</xdr:rowOff>
    </xdr:from>
    <xdr:to>
      <xdr:col>20</xdr:col>
      <xdr:colOff>382500</xdr:colOff>
      <xdr:row>32</xdr:row>
      <xdr:rowOff>48262</xdr:rowOff>
    </xdr:to>
    <xdr:graphicFrame macro="">
      <xdr:nvGraphicFramePr>
        <xdr:cNvPr id="153" name="スコアグラフ00a">
          <a:extLst>
            <a:ext uri="{FF2B5EF4-FFF2-40B4-BE49-F238E27FC236}">
              <a16:creationId xmlns:a16="http://schemas.microsoft.com/office/drawing/2014/main" id="{00000000-0008-0000-1600-00009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40</xdr:row>
          <xdr:rowOff>38100</xdr:rowOff>
        </xdr:from>
        <xdr:to>
          <xdr:col>2</xdr:col>
          <xdr:colOff>838200</xdr:colOff>
          <xdr:row>41</xdr:row>
          <xdr:rowOff>95250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34</xdr:row>
      <xdr:rowOff>0</xdr:rowOff>
    </xdr:from>
    <xdr:to>
      <xdr:col>14</xdr:col>
      <xdr:colOff>382500</xdr:colOff>
      <xdr:row>47</xdr:row>
      <xdr:rowOff>48262</xdr:rowOff>
    </xdr:to>
    <xdr:graphicFrame macro="">
      <xdr:nvGraphicFramePr>
        <xdr:cNvPr id="155" name="生データグラフ00b">
          <a:extLst>
            <a:ext uri="{FF2B5EF4-FFF2-40B4-BE49-F238E27FC236}">
              <a16:creationId xmlns:a16="http://schemas.microsoft.com/office/drawing/2014/main" id="{00000000-0008-0000-1600-00009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34</xdr:row>
      <xdr:rowOff>0</xdr:rowOff>
    </xdr:from>
    <xdr:to>
      <xdr:col>20</xdr:col>
      <xdr:colOff>382500</xdr:colOff>
      <xdr:row>47</xdr:row>
      <xdr:rowOff>48262</xdr:rowOff>
    </xdr:to>
    <xdr:graphicFrame macro="">
      <xdr:nvGraphicFramePr>
        <xdr:cNvPr id="156" name="スコアグラフ00b">
          <a:extLst>
            <a:ext uri="{FF2B5EF4-FFF2-40B4-BE49-F238E27FC236}">
              <a16:creationId xmlns:a16="http://schemas.microsoft.com/office/drawing/2014/main" id="{00000000-0008-0000-1600-00009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55</xdr:row>
          <xdr:rowOff>38100</xdr:rowOff>
        </xdr:from>
        <xdr:to>
          <xdr:col>2</xdr:col>
          <xdr:colOff>838200</xdr:colOff>
          <xdr:row>56</xdr:row>
          <xdr:rowOff>95250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49</xdr:row>
      <xdr:rowOff>0</xdr:rowOff>
    </xdr:from>
    <xdr:to>
      <xdr:col>14</xdr:col>
      <xdr:colOff>382500</xdr:colOff>
      <xdr:row>62</xdr:row>
      <xdr:rowOff>48262</xdr:rowOff>
    </xdr:to>
    <xdr:graphicFrame macro="">
      <xdr:nvGraphicFramePr>
        <xdr:cNvPr id="158" name="生データグラフ00c">
          <a:extLst>
            <a:ext uri="{FF2B5EF4-FFF2-40B4-BE49-F238E27FC236}">
              <a16:creationId xmlns:a16="http://schemas.microsoft.com/office/drawing/2014/main" id="{00000000-0008-0000-1600-00009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0</xdr:colOff>
      <xdr:row>49</xdr:row>
      <xdr:rowOff>0</xdr:rowOff>
    </xdr:from>
    <xdr:to>
      <xdr:col>20</xdr:col>
      <xdr:colOff>382500</xdr:colOff>
      <xdr:row>62</xdr:row>
      <xdr:rowOff>48262</xdr:rowOff>
    </xdr:to>
    <xdr:graphicFrame macro="">
      <xdr:nvGraphicFramePr>
        <xdr:cNvPr id="159" name="スコアグラフ00c">
          <a:extLst>
            <a:ext uri="{FF2B5EF4-FFF2-40B4-BE49-F238E27FC236}">
              <a16:creationId xmlns:a16="http://schemas.microsoft.com/office/drawing/2014/main" id="{00000000-0008-0000-1600-00009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70</xdr:row>
          <xdr:rowOff>38100</xdr:rowOff>
        </xdr:from>
        <xdr:to>
          <xdr:col>2</xdr:col>
          <xdr:colOff>838200</xdr:colOff>
          <xdr:row>71</xdr:row>
          <xdr:rowOff>95250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64</xdr:row>
      <xdr:rowOff>0</xdr:rowOff>
    </xdr:from>
    <xdr:to>
      <xdr:col>14</xdr:col>
      <xdr:colOff>382500</xdr:colOff>
      <xdr:row>77</xdr:row>
      <xdr:rowOff>48262</xdr:rowOff>
    </xdr:to>
    <xdr:graphicFrame macro="">
      <xdr:nvGraphicFramePr>
        <xdr:cNvPr id="161" name="生データグラフ01">
          <a:extLst>
            <a:ext uri="{FF2B5EF4-FFF2-40B4-BE49-F238E27FC236}">
              <a16:creationId xmlns:a16="http://schemas.microsoft.com/office/drawing/2014/main" id="{00000000-0008-0000-1600-0000A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0</xdr:colOff>
      <xdr:row>64</xdr:row>
      <xdr:rowOff>0</xdr:rowOff>
    </xdr:from>
    <xdr:to>
      <xdr:col>20</xdr:col>
      <xdr:colOff>382500</xdr:colOff>
      <xdr:row>77</xdr:row>
      <xdr:rowOff>48262</xdr:rowOff>
    </xdr:to>
    <xdr:graphicFrame macro="">
      <xdr:nvGraphicFramePr>
        <xdr:cNvPr id="162" name="スコアグラフ01">
          <a:extLst>
            <a:ext uri="{FF2B5EF4-FFF2-40B4-BE49-F238E27FC236}">
              <a16:creationId xmlns:a16="http://schemas.microsoft.com/office/drawing/2014/main" id="{00000000-0008-0000-1600-0000A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85</xdr:row>
          <xdr:rowOff>38100</xdr:rowOff>
        </xdr:from>
        <xdr:to>
          <xdr:col>2</xdr:col>
          <xdr:colOff>838200</xdr:colOff>
          <xdr:row>86</xdr:row>
          <xdr:rowOff>95250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79</xdr:row>
      <xdr:rowOff>0</xdr:rowOff>
    </xdr:from>
    <xdr:to>
      <xdr:col>14</xdr:col>
      <xdr:colOff>382500</xdr:colOff>
      <xdr:row>92</xdr:row>
      <xdr:rowOff>48262</xdr:rowOff>
    </xdr:to>
    <xdr:graphicFrame macro="">
      <xdr:nvGraphicFramePr>
        <xdr:cNvPr id="164" name="生データグラフ02">
          <a:extLst>
            <a:ext uri="{FF2B5EF4-FFF2-40B4-BE49-F238E27FC236}">
              <a16:creationId xmlns:a16="http://schemas.microsoft.com/office/drawing/2014/main" id="{00000000-0008-0000-1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0</xdr:colOff>
      <xdr:row>79</xdr:row>
      <xdr:rowOff>0</xdr:rowOff>
    </xdr:from>
    <xdr:to>
      <xdr:col>20</xdr:col>
      <xdr:colOff>382500</xdr:colOff>
      <xdr:row>92</xdr:row>
      <xdr:rowOff>48262</xdr:rowOff>
    </xdr:to>
    <xdr:graphicFrame macro="">
      <xdr:nvGraphicFramePr>
        <xdr:cNvPr id="165" name="スコアグラフ02">
          <a:extLst>
            <a:ext uri="{FF2B5EF4-FFF2-40B4-BE49-F238E27FC236}">
              <a16:creationId xmlns:a16="http://schemas.microsoft.com/office/drawing/2014/main" id="{00000000-0008-0000-1600-0000A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100</xdr:row>
          <xdr:rowOff>38100</xdr:rowOff>
        </xdr:from>
        <xdr:to>
          <xdr:col>2</xdr:col>
          <xdr:colOff>838200</xdr:colOff>
          <xdr:row>101</xdr:row>
          <xdr:rowOff>95250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1600-000008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94</xdr:row>
      <xdr:rowOff>0</xdr:rowOff>
    </xdr:from>
    <xdr:to>
      <xdr:col>14</xdr:col>
      <xdr:colOff>382500</xdr:colOff>
      <xdr:row>107</xdr:row>
      <xdr:rowOff>48262</xdr:rowOff>
    </xdr:to>
    <xdr:graphicFrame macro="">
      <xdr:nvGraphicFramePr>
        <xdr:cNvPr id="167" name="生データグラフ03">
          <a:extLst>
            <a:ext uri="{FF2B5EF4-FFF2-40B4-BE49-F238E27FC236}">
              <a16:creationId xmlns:a16="http://schemas.microsoft.com/office/drawing/2014/main" id="{00000000-0008-0000-1600-0000A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94</xdr:row>
      <xdr:rowOff>0</xdr:rowOff>
    </xdr:from>
    <xdr:to>
      <xdr:col>20</xdr:col>
      <xdr:colOff>382500</xdr:colOff>
      <xdr:row>107</xdr:row>
      <xdr:rowOff>48262</xdr:rowOff>
    </xdr:to>
    <xdr:graphicFrame macro="">
      <xdr:nvGraphicFramePr>
        <xdr:cNvPr id="168" name="スコアグラフ03">
          <a:extLst>
            <a:ext uri="{FF2B5EF4-FFF2-40B4-BE49-F238E27FC236}">
              <a16:creationId xmlns:a16="http://schemas.microsoft.com/office/drawing/2014/main" id="{00000000-0008-0000-1600-0000A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115</xdr:row>
          <xdr:rowOff>38100</xdr:rowOff>
        </xdr:from>
        <xdr:to>
          <xdr:col>2</xdr:col>
          <xdr:colOff>838200</xdr:colOff>
          <xdr:row>116</xdr:row>
          <xdr:rowOff>95250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1600-000009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109</xdr:row>
      <xdr:rowOff>0</xdr:rowOff>
    </xdr:from>
    <xdr:to>
      <xdr:col>14</xdr:col>
      <xdr:colOff>382500</xdr:colOff>
      <xdr:row>122</xdr:row>
      <xdr:rowOff>48262</xdr:rowOff>
    </xdr:to>
    <xdr:graphicFrame macro="">
      <xdr:nvGraphicFramePr>
        <xdr:cNvPr id="170" name="生データグラフ04">
          <a:extLst>
            <a:ext uri="{FF2B5EF4-FFF2-40B4-BE49-F238E27FC236}">
              <a16:creationId xmlns:a16="http://schemas.microsoft.com/office/drawing/2014/main" id="{00000000-0008-0000-1600-0000A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109</xdr:row>
      <xdr:rowOff>0</xdr:rowOff>
    </xdr:from>
    <xdr:to>
      <xdr:col>20</xdr:col>
      <xdr:colOff>382500</xdr:colOff>
      <xdr:row>122</xdr:row>
      <xdr:rowOff>48262</xdr:rowOff>
    </xdr:to>
    <xdr:graphicFrame macro="">
      <xdr:nvGraphicFramePr>
        <xdr:cNvPr id="171" name="スコアグラフ04">
          <a:extLst>
            <a:ext uri="{FF2B5EF4-FFF2-40B4-BE49-F238E27FC236}">
              <a16:creationId xmlns:a16="http://schemas.microsoft.com/office/drawing/2014/main" id="{00000000-0008-0000-1600-0000A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130</xdr:row>
          <xdr:rowOff>38100</xdr:rowOff>
        </xdr:from>
        <xdr:to>
          <xdr:col>2</xdr:col>
          <xdr:colOff>838200</xdr:colOff>
          <xdr:row>131</xdr:row>
          <xdr:rowOff>95250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1600-00000A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124</xdr:row>
      <xdr:rowOff>0</xdr:rowOff>
    </xdr:from>
    <xdr:to>
      <xdr:col>14</xdr:col>
      <xdr:colOff>382500</xdr:colOff>
      <xdr:row>137</xdr:row>
      <xdr:rowOff>48262</xdr:rowOff>
    </xdr:to>
    <xdr:graphicFrame macro="">
      <xdr:nvGraphicFramePr>
        <xdr:cNvPr id="173" name="生データグラフ05">
          <a:extLst>
            <a:ext uri="{FF2B5EF4-FFF2-40B4-BE49-F238E27FC236}">
              <a16:creationId xmlns:a16="http://schemas.microsoft.com/office/drawing/2014/main" id="{00000000-0008-0000-1600-0000A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0</xdr:colOff>
      <xdr:row>124</xdr:row>
      <xdr:rowOff>0</xdr:rowOff>
    </xdr:from>
    <xdr:to>
      <xdr:col>20</xdr:col>
      <xdr:colOff>382500</xdr:colOff>
      <xdr:row>137</xdr:row>
      <xdr:rowOff>48262</xdr:rowOff>
    </xdr:to>
    <xdr:graphicFrame macro="">
      <xdr:nvGraphicFramePr>
        <xdr:cNvPr id="174" name="スコアグラフ05">
          <a:extLst>
            <a:ext uri="{FF2B5EF4-FFF2-40B4-BE49-F238E27FC236}">
              <a16:creationId xmlns:a16="http://schemas.microsoft.com/office/drawing/2014/main" id="{00000000-0008-0000-1600-0000A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145</xdr:row>
          <xdr:rowOff>38100</xdr:rowOff>
        </xdr:from>
        <xdr:to>
          <xdr:col>2</xdr:col>
          <xdr:colOff>838200</xdr:colOff>
          <xdr:row>146</xdr:row>
          <xdr:rowOff>95250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1600-00000B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139</xdr:row>
      <xdr:rowOff>0</xdr:rowOff>
    </xdr:from>
    <xdr:to>
      <xdr:col>14</xdr:col>
      <xdr:colOff>382500</xdr:colOff>
      <xdr:row>152</xdr:row>
      <xdr:rowOff>48262</xdr:rowOff>
    </xdr:to>
    <xdr:graphicFrame macro="">
      <xdr:nvGraphicFramePr>
        <xdr:cNvPr id="176" name="生データグラフ06">
          <a:extLst>
            <a:ext uri="{FF2B5EF4-FFF2-40B4-BE49-F238E27FC236}">
              <a16:creationId xmlns:a16="http://schemas.microsoft.com/office/drawing/2014/main" id="{00000000-0008-0000-1600-0000B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xdr:col>
      <xdr:colOff>0</xdr:colOff>
      <xdr:row>139</xdr:row>
      <xdr:rowOff>0</xdr:rowOff>
    </xdr:from>
    <xdr:to>
      <xdr:col>20</xdr:col>
      <xdr:colOff>382500</xdr:colOff>
      <xdr:row>152</xdr:row>
      <xdr:rowOff>48262</xdr:rowOff>
    </xdr:to>
    <xdr:graphicFrame macro="">
      <xdr:nvGraphicFramePr>
        <xdr:cNvPr id="177" name="スコアグラフ06">
          <a:extLst>
            <a:ext uri="{FF2B5EF4-FFF2-40B4-BE49-F238E27FC236}">
              <a16:creationId xmlns:a16="http://schemas.microsoft.com/office/drawing/2014/main" id="{00000000-0008-0000-1600-0000B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160</xdr:row>
          <xdr:rowOff>38100</xdr:rowOff>
        </xdr:from>
        <xdr:to>
          <xdr:col>2</xdr:col>
          <xdr:colOff>838200</xdr:colOff>
          <xdr:row>161</xdr:row>
          <xdr:rowOff>95250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1600-00000C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154</xdr:row>
      <xdr:rowOff>0</xdr:rowOff>
    </xdr:from>
    <xdr:to>
      <xdr:col>14</xdr:col>
      <xdr:colOff>382500</xdr:colOff>
      <xdr:row>167</xdr:row>
      <xdr:rowOff>48262</xdr:rowOff>
    </xdr:to>
    <xdr:graphicFrame macro="">
      <xdr:nvGraphicFramePr>
        <xdr:cNvPr id="179" name="生データグラフ07">
          <a:extLst>
            <a:ext uri="{FF2B5EF4-FFF2-40B4-BE49-F238E27FC236}">
              <a16:creationId xmlns:a16="http://schemas.microsoft.com/office/drawing/2014/main" id="{00000000-0008-0000-1600-0000B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15</xdr:col>
      <xdr:colOff>0</xdr:colOff>
      <xdr:row>154</xdr:row>
      <xdr:rowOff>0</xdr:rowOff>
    </xdr:from>
    <xdr:to>
      <xdr:col>20</xdr:col>
      <xdr:colOff>382500</xdr:colOff>
      <xdr:row>167</xdr:row>
      <xdr:rowOff>48262</xdr:rowOff>
    </xdr:to>
    <xdr:graphicFrame macro="">
      <xdr:nvGraphicFramePr>
        <xdr:cNvPr id="180" name="スコアグラフ07">
          <a:extLst>
            <a:ext uri="{FF2B5EF4-FFF2-40B4-BE49-F238E27FC236}">
              <a16:creationId xmlns:a16="http://schemas.microsoft.com/office/drawing/2014/main" id="{00000000-0008-0000-1600-0000B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175</xdr:row>
          <xdr:rowOff>38100</xdr:rowOff>
        </xdr:from>
        <xdr:to>
          <xdr:col>2</xdr:col>
          <xdr:colOff>838200</xdr:colOff>
          <xdr:row>176</xdr:row>
          <xdr:rowOff>95250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1600-00000D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169</xdr:row>
      <xdr:rowOff>0</xdr:rowOff>
    </xdr:from>
    <xdr:to>
      <xdr:col>14</xdr:col>
      <xdr:colOff>382500</xdr:colOff>
      <xdr:row>182</xdr:row>
      <xdr:rowOff>48262</xdr:rowOff>
    </xdr:to>
    <xdr:graphicFrame macro="">
      <xdr:nvGraphicFramePr>
        <xdr:cNvPr id="182" name="生データグラフ08">
          <a:extLst>
            <a:ext uri="{FF2B5EF4-FFF2-40B4-BE49-F238E27FC236}">
              <a16:creationId xmlns:a16="http://schemas.microsoft.com/office/drawing/2014/main" id="{00000000-0008-0000-1600-0000B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15</xdr:col>
      <xdr:colOff>0</xdr:colOff>
      <xdr:row>169</xdr:row>
      <xdr:rowOff>0</xdr:rowOff>
    </xdr:from>
    <xdr:to>
      <xdr:col>20</xdr:col>
      <xdr:colOff>382500</xdr:colOff>
      <xdr:row>182</xdr:row>
      <xdr:rowOff>48262</xdr:rowOff>
    </xdr:to>
    <xdr:graphicFrame macro="">
      <xdr:nvGraphicFramePr>
        <xdr:cNvPr id="183" name="スコアグラフ08">
          <a:extLst>
            <a:ext uri="{FF2B5EF4-FFF2-40B4-BE49-F238E27FC236}">
              <a16:creationId xmlns:a16="http://schemas.microsoft.com/office/drawing/2014/main" id="{00000000-0008-0000-1600-0000B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190</xdr:row>
          <xdr:rowOff>38100</xdr:rowOff>
        </xdr:from>
        <xdr:to>
          <xdr:col>2</xdr:col>
          <xdr:colOff>838200</xdr:colOff>
          <xdr:row>191</xdr:row>
          <xdr:rowOff>95250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1600-00000E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184</xdr:row>
      <xdr:rowOff>0</xdr:rowOff>
    </xdr:from>
    <xdr:to>
      <xdr:col>14</xdr:col>
      <xdr:colOff>382500</xdr:colOff>
      <xdr:row>197</xdr:row>
      <xdr:rowOff>48262</xdr:rowOff>
    </xdr:to>
    <xdr:graphicFrame macro="">
      <xdr:nvGraphicFramePr>
        <xdr:cNvPr id="185" name="生データグラフ09">
          <a:extLst>
            <a:ext uri="{FF2B5EF4-FFF2-40B4-BE49-F238E27FC236}">
              <a16:creationId xmlns:a16="http://schemas.microsoft.com/office/drawing/2014/main" id="{00000000-0008-0000-1600-0000B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15</xdr:col>
      <xdr:colOff>0</xdr:colOff>
      <xdr:row>184</xdr:row>
      <xdr:rowOff>0</xdr:rowOff>
    </xdr:from>
    <xdr:to>
      <xdr:col>20</xdr:col>
      <xdr:colOff>382500</xdr:colOff>
      <xdr:row>197</xdr:row>
      <xdr:rowOff>48262</xdr:rowOff>
    </xdr:to>
    <xdr:graphicFrame macro="">
      <xdr:nvGraphicFramePr>
        <xdr:cNvPr id="186" name="スコアグラフ09">
          <a:extLst>
            <a:ext uri="{FF2B5EF4-FFF2-40B4-BE49-F238E27FC236}">
              <a16:creationId xmlns:a16="http://schemas.microsoft.com/office/drawing/2014/main" id="{00000000-0008-0000-1600-0000B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205</xdr:row>
          <xdr:rowOff>38100</xdr:rowOff>
        </xdr:from>
        <xdr:to>
          <xdr:col>2</xdr:col>
          <xdr:colOff>838200</xdr:colOff>
          <xdr:row>206</xdr:row>
          <xdr:rowOff>95250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1600-00000F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199</xdr:row>
      <xdr:rowOff>0</xdr:rowOff>
    </xdr:from>
    <xdr:to>
      <xdr:col>14</xdr:col>
      <xdr:colOff>382500</xdr:colOff>
      <xdr:row>212</xdr:row>
      <xdr:rowOff>48262</xdr:rowOff>
    </xdr:to>
    <xdr:graphicFrame macro="">
      <xdr:nvGraphicFramePr>
        <xdr:cNvPr id="188" name="生データグラフ10">
          <a:extLst>
            <a:ext uri="{FF2B5EF4-FFF2-40B4-BE49-F238E27FC236}">
              <a16:creationId xmlns:a16="http://schemas.microsoft.com/office/drawing/2014/main" id="{00000000-0008-0000-1600-0000B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15</xdr:col>
      <xdr:colOff>0</xdr:colOff>
      <xdr:row>199</xdr:row>
      <xdr:rowOff>0</xdr:rowOff>
    </xdr:from>
    <xdr:to>
      <xdr:col>20</xdr:col>
      <xdr:colOff>382500</xdr:colOff>
      <xdr:row>212</xdr:row>
      <xdr:rowOff>48262</xdr:rowOff>
    </xdr:to>
    <xdr:graphicFrame macro="">
      <xdr:nvGraphicFramePr>
        <xdr:cNvPr id="189" name="スコアグラフ10">
          <a:extLst>
            <a:ext uri="{FF2B5EF4-FFF2-40B4-BE49-F238E27FC236}">
              <a16:creationId xmlns:a16="http://schemas.microsoft.com/office/drawing/2014/main" id="{00000000-0008-0000-1600-0000B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220</xdr:row>
          <xdr:rowOff>38100</xdr:rowOff>
        </xdr:from>
        <xdr:to>
          <xdr:col>2</xdr:col>
          <xdr:colOff>838200</xdr:colOff>
          <xdr:row>221</xdr:row>
          <xdr:rowOff>95250</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1600-000010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214</xdr:row>
      <xdr:rowOff>0</xdr:rowOff>
    </xdr:from>
    <xdr:to>
      <xdr:col>14</xdr:col>
      <xdr:colOff>382500</xdr:colOff>
      <xdr:row>227</xdr:row>
      <xdr:rowOff>48262</xdr:rowOff>
    </xdr:to>
    <xdr:graphicFrame macro="">
      <xdr:nvGraphicFramePr>
        <xdr:cNvPr id="191" name="生データグラフ11">
          <a:extLst>
            <a:ext uri="{FF2B5EF4-FFF2-40B4-BE49-F238E27FC236}">
              <a16:creationId xmlns:a16="http://schemas.microsoft.com/office/drawing/2014/main" id="{00000000-0008-0000-1600-0000B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15</xdr:col>
      <xdr:colOff>0</xdr:colOff>
      <xdr:row>214</xdr:row>
      <xdr:rowOff>0</xdr:rowOff>
    </xdr:from>
    <xdr:to>
      <xdr:col>20</xdr:col>
      <xdr:colOff>382500</xdr:colOff>
      <xdr:row>227</xdr:row>
      <xdr:rowOff>48262</xdr:rowOff>
    </xdr:to>
    <xdr:graphicFrame macro="">
      <xdr:nvGraphicFramePr>
        <xdr:cNvPr id="192" name="スコアグラフ11">
          <a:extLst>
            <a:ext uri="{FF2B5EF4-FFF2-40B4-BE49-F238E27FC236}">
              <a16:creationId xmlns:a16="http://schemas.microsoft.com/office/drawing/2014/main" id="{00000000-0008-0000-1600-0000C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235</xdr:row>
          <xdr:rowOff>38100</xdr:rowOff>
        </xdr:from>
        <xdr:to>
          <xdr:col>2</xdr:col>
          <xdr:colOff>838200</xdr:colOff>
          <xdr:row>236</xdr:row>
          <xdr:rowOff>95250</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1600-000011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229</xdr:row>
      <xdr:rowOff>0</xdr:rowOff>
    </xdr:from>
    <xdr:to>
      <xdr:col>14</xdr:col>
      <xdr:colOff>382500</xdr:colOff>
      <xdr:row>242</xdr:row>
      <xdr:rowOff>48262</xdr:rowOff>
    </xdr:to>
    <xdr:graphicFrame macro="">
      <xdr:nvGraphicFramePr>
        <xdr:cNvPr id="194" name="生データグラフ12">
          <a:extLst>
            <a:ext uri="{FF2B5EF4-FFF2-40B4-BE49-F238E27FC236}">
              <a16:creationId xmlns:a16="http://schemas.microsoft.com/office/drawing/2014/main" id="{00000000-0008-0000-1600-0000C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15</xdr:col>
      <xdr:colOff>0</xdr:colOff>
      <xdr:row>229</xdr:row>
      <xdr:rowOff>0</xdr:rowOff>
    </xdr:from>
    <xdr:to>
      <xdr:col>20</xdr:col>
      <xdr:colOff>382500</xdr:colOff>
      <xdr:row>242</xdr:row>
      <xdr:rowOff>48262</xdr:rowOff>
    </xdr:to>
    <xdr:graphicFrame macro="">
      <xdr:nvGraphicFramePr>
        <xdr:cNvPr id="195" name="スコアグラフ12">
          <a:extLst>
            <a:ext uri="{FF2B5EF4-FFF2-40B4-BE49-F238E27FC236}">
              <a16:creationId xmlns:a16="http://schemas.microsoft.com/office/drawing/2014/main" id="{00000000-0008-0000-1600-0000C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250</xdr:row>
          <xdr:rowOff>38100</xdr:rowOff>
        </xdr:from>
        <xdr:to>
          <xdr:col>2</xdr:col>
          <xdr:colOff>838200</xdr:colOff>
          <xdr:row>251</xdr:row>
          <xdr:rowOff>95250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1600-000012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244</xdr:row>
      <xdr:rowOff>0</xdr:rowOff>
    </xdr:from>
    <xdr:to>
      <xdr:col>14</xdr:col>
      <xdr:colOff>382500</xdr:colOff>
      <xdr:row>257</xdr:row>
      <xdr:rowOff>48262</xdr:rowOff>
    </xdr:to>
    <xdr:graphicFrame macro="">
      <xdr:nvGraphicFramePr>
        <xdr:cNvPr id="197" name="生データグラフ13">
          <a:extLst>
            <a:ext uri="{FF2B5EF4-FFF2-40B4-BE49-F238E27FC236}">
              <a16:creationId xmlns:a16="http://schemas.microsoft.com/office/drawing/2014/main" id="{00000000-0008-0000-1600-0000C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15</xdr:col>
      <xdr:colOff>0</xdr:colOff>
      <xdr:row>244</xdr:row>
      <xdr:rowOff>0</xdr:rowOff>
    </xdr:from>
    <xdr:to>
      <xdr:col>20</xdr:col>
      <xdr:colOff>382500</xdr:colOff>
      <xdr:row>257</xdr:row>
      <xdr:rowOff>48262</xdr:rowOff>
    </xdr:to>
    <xdr:graphicFrame macro="">
      <xdr:nvGraphicFramePr>
        <xdr:cNvPr id="198" name="スコアグラフ13">
          <a:extLst>
            <a:ext uri="{FF2B5EF4-FFF2-40B4-BE49-F238E27FC236}">
              <a16:creationId xmlns:a16="http://schemas.microsoft.com/office/drawing/2014/main" id="{00000000-0008-0000-1600-0000C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265</xdr:row>
          <xdr:rowOff>38100</xdr:rowOff>
        </xdr:from>
        <xdr:to>
          <xdr:col>2</xdr:col>
          <xdr:colOff>838200</xdr:colOff>
          <xdr:row>266</xdr:row>
          <xdr:rowOff>95250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1600-000013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259</xdr:row>
      <xdr:rowOff>0</xdr:rowOff>
    </xdr:from>
    <xdr:to>
      <xdr:col>14</xdr:col>
      <xdr:colOff>382500</xdr:colOff>
      <xdr:row>272</xdr:row>
      <xdr:rowOff>48262</xdr:rowOff>
    </xdr:to>
    <xdr:graphicFrame macro="">
      <xdr:nvGraphicFramePr>
        <xdr:cNvPr id="200" name="生データグラフ14">
          <a:extLst>
            <a:ext uri="{FF2B5EF4-FFF2-40B4-BE49-F238E27FC236}">
              <a16:creationId xmlns:a16="http://schemas.microsoft.com/office/drawing/2014/main" id="{00000000-0008-0000-1600-0000C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15</xdr:col>
      <xdr:colOff>0</xdr:colOff>
      <xdr:row>259</xdr:row>
      <xdr:rowOff>0</xdr:rowOff>
    </xdr:from>
    <xdr:to>
      <xdr:col>20</xdr:col>
      <xdr:colOff>382500</xdr:colOff>
      <xdr:row>272</xdr:row>
      <xdr:rowOff>48262</xdr:rowOff>
    </xdr:to>
    <xdr:graphicFrame macro="">
      <xdr:nvGraphicFramePr>
        <xdr:cNvPr id="201" name="スコアグラフ14">
          <a:extLst>
            <a:ext uri="{FF2B5EF4-FFF2-40B4-BE49-F238E27FC236}">
              <a16:creationId xmlns:a16="http://schemas.microsoft.com/office/drawing/2014/main" id="{00000000-0008-0000-1600-0000C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280</xdr:row>
          <xdr:rowOff>38100</xdr:rowOff>
        </xdr:from>
        <xdr:to>
          <xdr:col>2</xdr:col>
          <xdr:colOff>838200</xdr:colOff>
          <xdr:row>281</xdr:row>
          <xdr:rowOff>95250</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1600-000014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274</xdr:row>
      <xdr:rowOff>0</xdr:rowOff>
    </xdr:from>
    <xdr:to>
      <xdr:col>14</xdr:col>
      <xdr:colOff>382500</xdr:colOff>
      <xdr:row>287</xdr:row>
      <xdr:rowOff>48262</xdr:rowOff>
    </xdr:to>
    <xdr:graphicFrame macro="">
      <xdr:nvGraphicFramePr>
        <xdr:cNvPr id="203" name="生データグラフ15">
          <a:extLst>
            <a:ext uri="{FF2B5EF4-FFF2-40B4-BE49-F238E27FC236}">
              <a16:creationId xmlns:a16="http://schemas.microsoft.com/office/drawing/2014/main" id="{00000000-0008-0000-1600-0000C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15</xdr:col>
      <xdr:colOff>0</xdr:colOff>
      <xdr:row>274</xdr:row>
      <xdr:rowOff>0</xdr:rowOff>
    </xdr:from>
    <xdr:to>
      <xdr:col>20</xdr:col>
      <xdr:colOff>382500</xdr:colOff>
      <xdr:row>287</xdr:row>
      <xdr:rowOff>48262</xdr:rowOff>
    </xdr:to>
    <xdr:graphicFrame macro="">
      <xdr:nvGraphicFramePr>
        <xdr:cNvPr id="204" name="スコアグラフ15">
          <a:extLst>
            <a:ext uri="{FF2B5EF4-FFF2-40B4-BE49-F238E27FC236}">
              <a16:creationId xmlns:a16="http://schemas.microsoft.com/office/drawing/2014/main" id="{00000000-0008-0000-1600-0000C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295</xdr:row>
          <xdr:rowOff>38100</xdr:rowOff>
        </xdr:from>
        <xdr:to>
          <xdr:col>2</xdr:col>
          <xdr:colOff>838200</xdr:colOff>
          <xdr:row>296</xdr:row>
          <xdr:rowOff>95250</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1600-000015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289</xdr:row>
      <xdr:rowOff>0</xdr:rowOff>
    </xdr:from>
    <xdr:to>
      <xdr:col>14</xdr:col>
      <xdr:colOff>382500</xdr:colOff>
      <xdr:row>302</xdr:row>
      <xdr:rowOff>48262</xdr:rowOff>
    </xdr:to>
    <xdr:graphicFrame macro="">
      <xdr:nvGraphicFramePr>
        <xdr:cNvPr id="206" name="生データグラフ16">
          <a:extLst>
            <a:ext uri="{FF2B5EF4-FFF2-40B4-BE49-F238E27FC236}">
              <a16:creationId xmlns:a16="http://schemas.microsoft.com/office/drawing/2014/main" id="{00000000-0008-0000-16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15</xdr:col>
      <xdr:colOff>0</xdr:colOff>
      <xdr:row>289</xdr:row>
      <xdr:rowOff>0</xdr:rowOff>
    </xdr:from>
    <xdr:to>
      <xdr:col>20</xdr:col>
      <xdr:colOff>382500</xdr:colOff>
      <xdr:row>302</xdr:row>
      <xdr:rowOff>48262</xdr:rowOff>
    </xdr:to>
    <xdr:graphicFrame macro="">
      <xdr:nvGraphicFramePr>
        <xdr:cNvPr id="207" name="スコアグラフ16">
          <a:extLst>
            <a:ext uri="{FF2B5EF4-FFF2-40B4-BE49-F238E27FC236}">
              <a16:creationId xmlns:a16="http://schemas.microsoft.com/office/drawing/2014/main" id="{00000000-0008-0000-1600-0000C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310</xdr:row>
          <xdr:rowOff>38100</xdr:rowOff>
        </xdr:from>
        <xdr:to>
          <xdr:col>2</xdr:col>
          <xdr:colOff>838200</xdr:colOff>
          <xdr:row>311</xdr:row>
          <xdr:rowOff>95250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1600-000016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304</xdr:row>
      <xdr:rowOff>0</xdr:rowOff>
    </xdr:from>
    <xdr:to>
      <xdr:col>14</xdr:col>
      <xdr:colOff>382500</xdr:colOff>
      <xdr:row>317</xdr:row>
      <xdr:rowOff>48262</xdr:rowOff>
    </xdr:to>
    <xdr:graphicFrame macro="">
      <xdr:nvGraphicFramePr>
        <xdr:cNvPr id="209" name="生データグラフ17">
          <a:extLst>
            <a:ext uri="{FF2B5EF4-FFF2-40B4-BE49-F238E27FC236}">
              <a16:creationId xmlns:a16="http://schemas.microsoft.com/office/drawing/2014/main" id="{00000000-0008-0000-16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15</xdr:col>
      <xdr:colOff>0</xdr:colOff>
      <xdr:row>304</xdr:row>
      <xdr:rowOff>0</xdr:rowOff>
    </xdr:from>
    <xdr:to>
      <xdr:col>20</xdr:col>
      <xdr:colOff>382500</xdr:colOff>
      <xdr:row>317</xdr:row>
      <xdr:rowOff>48262</xdr:rowOff>
    </xdr:to>
    <xdr:graphicFrame macro="">
      <xdr:nvGraphicFramePr>
        <xdr:cNvPr id="210" name="スコアグラフ17">
          <a:extLst>
            <a:ext uri="{FF2B5EF4-FFF2-40B4-BE49-F238E27FC236}">
              <a16:creationId xmlns:a16="http://schemas.microsoft.com/office/drawing/2014/main" id="{00000000-0008-0000-1600-0000D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325</xdr:row>
          <xdr:rowOff>38100</xdr:rowOff>
        </xdr:from>
        <xdr:to>
          <xdr:col>2</xdr:col>
          <xdr:colOff>838200</xdr:colOff>
          <xdr:row>326</xdr:row>
          <xdr:rowOff>95250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1600-000017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319</xdr:row>
      <xdr:rowOff>0</xdr:rowOff>
    </xdr:from>
    <xdr:to>
      <xdr:col>14</xdr:col>
      <xdr:colOff>382500</xdr:colOff>
      <xdr:row>332</xdr:row>
      <xdr:rowOff>48262</xdr:rowOff>
    </xdr:to>
    <xdr:graphicFrame macro="">
      <xdr:nvGraphicFramePr>
        <xdr:cNvPr id="212" name="生データグラフ18">
          <a:extLst>
            <a:ext uri="{FF2B5EF4-FFF2-40B4-BE49-F238E27FC236}">
              <a16:creationId xmlns:a16="http://schemas.microsoft.com/office/drawing/2014/main" id="{00000000-0008-0000-1600-0000D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15</xdr:col>
      <xdr:colOff>0</xdr:colOff>
      <xdr:row>319</xdr:row>
      <xdr:rowOff>0</xdr:rowOff>
    </xdr:from>
    <xdr:to>
      <xdr:col>20</xdr:col>
      <xdr:colOff>382500</xdr:colOff>
      <xdr:row>332</xdr:row>
      <xdr:rowOff>48262</xdr:rowOff>
    </xdr:to>
    <xdr:graphicFrame macro="">
      <xdr:nvGraphicFramePr>
        <xdr:cNvPr id="213" name="スコアグラフ18">
          <a:extLst>
            <a:ext uri="{FF2B5EF4-FFF2-40B4-BE49-F238E27FC236}">
              <a16:creationId xmlns:a16="http://schemas.microsoft.com/office/drawing/2014/main" id="{00000000-0008-0000-1600-0000D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340</xdr:row>
          <xdr:rowOff>38100</xdr:rowOff>
        </xdr:from>
        <xdr:to>
          <xdr:col>2</xdr:col>
          <xdr:colOff>838200</xdr:colOff>
          <xdr:row>341</xdr:row>
          <xdr:rowOff>95250</xdr:rowOff>
        </xdr:to>
        <xdr:sp macro="" textlink="">
          <xdr:nvSpPr>
            <xdr:cNvPr id="8216" name="Button 24" hidden="1">
              <a:extLst>
                <a:ext uri="{63B3BB69-23CF-44E3-9099-C40C66FF867C}">
                  <a14:compatExt spid="_x0000_s8216"/>
                </a:ext>
                <a:ext uri="{FF2B5EF4-FFF2-40B4-BE49-F238E27FC236}">
                  <a16:creationId xmlns:a16="http://schemas.microsoft.com/office/drawing/2014/main" id="{00000000-0008-0000-1600-000018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334</xdr:row>
      <xdr:rowOff>0</xdr:rowOff>
    </xdr:from>
    <xdr:to>
      <xdr:col>14</xdr:col>
      <xdr:colOff>382500</xdr:colOff>
      <xdr:row>347</xdr:row>
      <xdr:rowOff>48262</xdr:rowOff>
    </xdr:to>
    <xdr:graphicFrame macro="">
      <xdr:nvGraphicFramePr>
        <xdr:cNvPr id="215" name="生データグラフ19">
          <a:extLst>
            <a:ext uri="{FF2B5EF4-FFF2-40B4-BE49-F238E27FC236}">
              <a16:creationId xmlns:a16="http://schemas.microsoft.com/office/drawing/2014/main" id="{00000000-0008-0000-16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15</xdr:col>
      <xdr:colOff>0</xdr:colOff>
      <xdr:row>334</xdr:row>
      <xdr:rowOff>0</xdr:rowOff>
    </xdr:from>
    <xdr:to>
      <xdr:col>20</xdr:col>
      <xdr:colOff>382500</xdr:colOff>
      <xdr:row>347</xdr:row>
      <xdr:rowOff>48262</xdr:rowOff>
    </xdr:to>
    <xdr:graphicFrame macro="">
      <xdr:nvGraphicFramePr>
        <xdr:cNvPr id="216" name="スコアグラフ19">
          <a:extLst>
            <a:ext uri="{FF2B5EF4-FFF2-40B4-BE49-F238E27FC236}">
              <a16:creationId xmlns:a16="http://schemas.microsoft.com/office/drawing/2014/main" id="{00000000-0008-0000-1600-0000D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355</xdr:row>
          <xdr:rowOff>38100</xdr:rowOff>
        </xdr:from>
        <xdr:to>
          <xdr:col>2</xdr:col>
          <xdr:colOff>838200</xdr:colOff>
          <xdr:row>356</xdr:row>
          <xdr:rowOff>95250</xdr:rowOff>
        </xdr:to>
        <xdr:sp macro="" textlink="">
          <xdr:nvSpPr>
            <xdr:cNvPr id="8217" name="Button 25" hidden="1">
              <a:extLst>
                <a:ext uri="{63B3BB69-23CF-44E3-9099-C40C66FF867C}">
                  <a14:compatExt spid="_x0000_s8217"/>
                </a:ext>
                <a:ext uri="{FF2B5EF4-FFF2-40B4-BE49-F238E27FC236}">
                  <a16:creationId xmlns:a16="http://schemas.microsoft.com/office/drawing/2014/main" id="{00000000-0008-0000-1600-000019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349</xdr:row>
      <xdr:rowOff>0</xdr:rowOff>
    </xdr:from>
    <xdr:to>
      <xdr:col>14</xdr:col>
      <xdr:colOff>382500</xdr:colOff>
      <xdr:row>362</xdr:row>
      <xdr:rowOff>48262</xdr:rowOff>
    </xdr:to>
    <xdr:graphicFrame macro="">
      <xdr:nvGraphicFramePr>
        <xdr:cNvPr id="218" name="生データグラフ20">
          <a:extLst>
            <a:ext uri="{FF2B5EF4-FFF2-40B4-BE49-F238E27FC236}">
              <a16:creationId xmlns:a16="http://schemas.microsoft.com/office/drawing/2014/main" id="{00000000-0008-0000-1600-0000D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15</xdr:col>
      <xdr:colOff>0</xdr:colOff>
      <xdr:row>349</xdr:row>
      <xdr:rowOff>0</xdr:rowOff>
    </xdr:from>
    <xdr:to>
      <xdr:col>20</xdr:col>
      <xdr:colOff>382500</xdr:colOff>
      <xdr:row>362</xdr:row>
      <xdr:rowOff>48262</xdr:rowOff>
    </xdr:to>
    <xdr:graphicFrame macro="">
      <xdr:nvGraphicFramePr>
        <xdr:cNvPr id="219" name="スコアグラフ20">
          <a:extLst>
            <a:ext uri="{FF2B5EF4-FFF2-40B4-BE49-F238E27FC236}">
              <a16:creationId xmlns:a16="http://schemas.microsoft.com/office/drawing/2014/main" id="{00000000-0008-0000-1600-0000D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370</xdr:row>
          <xdr:rowOff>38100</xdr:rowOff>
        </xdr:from>
        <xdr:to>
          <xdr:col>2</xdr:col>
          <xdr:colOff>838200</xdr:colOff>
          <xdr:row>371</xdr:row>
          <xdr:rowOff>95250</xdr:rowOff>
        </xdr:to>
        <xdr:sp macro="" textlink="">
          <xdr:nvSpPr>
            <xdr:cNvPr id="8218" name="Button 26" hidden="1">
              <a:extLst>
                <a:ext uri="{63B3BB69-23CF-44E3-9099-C40C66FF867C}">
                  <a14:compatExt spid="_x0000_s8218"/>
                </a:ext>
                <a:ext uri="{FF2B5EF4-FFF2-40B4-BE49-F238E27FC236}">
                  <a16:creationId xmlns:a16="http://schemas.microsoft.com/office/drawing/2014/main" id="{00000000-0008-0000-1600-00001A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364</xdr:row>
      <xdr:rowOff>0</xdr:rowOff>
    </xdr:from>
    <xdr:to>
      <xdr:col>14</xdr:col>
      <xdr:colOff>382500</xdr:colOff>
      <xdr:row>377</xdr:row>
      <xdr:rowOff>48262</xdr:rowOff>
    </xdr:to>
    <xdr:graphicFrame macro="">
      <xdr:nvGraphicFramePr>
        <xdr:cNvPr id="221" name="生データグラフ21">
          <a:extLst>
            <a:ext uri="{FF2B5EF4-FFF2-40B4-BE49-F238E27FC236}">
              <a16:creationId xmlns:a16="http://schemas.microsoft.com/office/drawing/2014/main" id="{00000000-0008-0000-1600-0000D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15</xdr:col>
      <xdr:colOff>0</xdr:colOff>
      <xdr:row>364</xdr:row>
      <xdr:rowOff>0</xdr:rowOff>
    </xdr:from>
    <xdr:to>
      <xdr:col>20</xdr:col>
      <xdr:colOff>382500</xdr:colOff>
      <xdr:row>377</xdr:row>
      <xdr:rowOff>48262</xdr:rowOff>
    </xdr:to>
    <xdr:graphicFrame macro="">
      <xdr:nvGraphicFramePr>
        <xdr:cNvPr id="222" name="スコアグラフ21">
          <a:extLst>
            <a:ext uri="{FF2B5EF4-FFF2-40B4-BE49-F238E27FC236}">
              <a16:creationId xmlns:a16="http://schemas.microsoft.com/office/drawing/2014/main" id="{00000000-0008-0000-1600-0000D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385</xdr:row>
          <xdr:rowOff>38100</xdr:rowOff>
        </xdr:from>
        <xdr:to>
          <xdr:col>2</xdr:col>
          <xdr:colOff>838200</xdr:colOff>
          <xdr:row>386</xdr:row>
          <xdr:rowOff>95250</xdr:rowOff>
        </xdr:to>
        <xdr:sp macro="" textlink="">
          <xdr:nvSpPr>
            <xdr:cNvPr id="8219" name="Button 27" hidden="1">
              <a:extLst>
                <a:ext uri="{63B3BB69-23CF-44E3-9099-C40C66FF867C}">
                  <a14:compatExt spid="_x0000_s8219"/>
                </a:ext>
                <a:ext uri="{FF2B5EF4-FFF2-40B4-BE49-F238E27FC236}">
                  <a16:creationId xmlns:a16="http://schemas.microsoft.com/office/drawing/2014/main" id="{00000000-0008-0000-1600-00001B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379</xdr:row>
      <xdr:rowOff>0</xdr:rowOff>
    </xdr:from>
    <xdr:to>
      <xdr:col>14</xdr:col>
      <xdr:colOff>382500</xdr:colOff>
      <xdr:row>392</xdr:row>
      <xdr:rowOff>48262</xdr:rowOff>
    </xdr:to>
    <xdr:graphicFrame macro="">
      <xdr:nvGraphicFramePr>
        <xdr:cNvPr id="224" name="生データグラフ22">
          <a:extLst>
            <a:ext uri="{FF2B5EF4-FFF2-40B4-BE49-F238E27FC236}">
              <a16:creationId xmlns:a16="http://schemas.microsoft.com/office/drawing/2014/main" id="{00000000-0008-0000-1600-0000E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15</xdr:col>
      <xdr:colOff>0</xdr:colOff>
      <xdr:row>379</xdr:row>
      <xdr:rowOff>0</xdr:rowOff>
    </xdr:from>
    <xdr:to>
      <xdr:col>20</xdr:col>
      <xdr:colOff>382500</xdr:colOff>
      <xdr:row>392</xdr:row>
      <xdr:rowOff>48262</xdr:rowOff>
    </xdr:to>
    <xdr:graphicFrame macro="">
      <xdr:nvGraphicFramePr>
        <xdr:cNvPr id="225" name="スコアグラフ22">
          <a:extLst>
            <a:ext uri="{FF2B5EF4-FFF2-40B4-BE49-F238E27FC236}">
              <a16:creationId xmlns:a16="http://schemas.microsoft.com/office/drawing/2014/main" id="{00000000-0008-0000-1600-0000E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400</xdr:row>
          <xdr:rowOff>38100</xdr:rowOff>
        </xdr:from>
        <xdr:to>
          <xdr:col>2</xdr:col>
          <xdr:colOff>838200</xdr:colOff>
          <xdr:row>401</xdr:row>
          <xdr:rowOff>95250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1600-00001C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394</xdr:row>
      <xdr:rowOff>0</xdr:rowOff>
    </xdr:from>
    <xdr:to>
      <xdr:col>14</xdr:col>
      <xdr:colOff>382500</xdr:colOff>
      <xdr:row>407</xdr:row>
      <xdr:rowOff>48262</xdr:rowOff>
    </xdr:to>
    <xdr:graphicFrame macro="">
      <xdr:nvGraphicFramePr>
        <xdr:cNvPr id="227" name="生データグラフ23">
          <a:extLst>
            <a:ext uri="{FF2B5EF4-FFF2-40B4-BE49-F238E27FC236}">
              <a16:creationId xmlns:a16="http://schemas.microsoft.com/office/drawing/2014/main" id="{00000000-0008-0000-1600-0000E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15</xdr:col>
      <xdr:colOff>0</xdr:colOff>
      <xdr:row>394</xdr:row>
      <xdr:rowOff>0</xdr:rowOff>
    </xdr:from>
    <xdr:to>
      <xdr:col>20</xdr:col>
      <xdr:colOff>382500</xdr:colOff>
      <xdr:row>407</xdr:row>
      <xdr:rowOff>48262</xdr:rowOff>
    </xdr:to>
    <xdr:graphicFrame macro="">
      <xdr:nvGraphicFramePr>
        <xdr:cNvPr id="228" name="スコアグラフ23">
          <a:extLst>
            <a:ext uri="{FF2B5EF4-FFF2-40B4-BE49-F238E27FC236}">
              <a16:creationId xmlns:a16="http://schemas.microsoft.com/office/drawing/2014/main" id="{00000000-0008-0000-1600-0000E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415</xdr:row>
          <xdr:rowOff>38100</xdr:rowOff>
        </xdr:from>
        <xdr:to>
          <xdr:col>2</xdr:col>
          <xdr:colOff>838200</xdr:colOff>
          <xdr:row>416</xdr:row>
          <xdr:rowOff>95250</xdr:rowOff>
        </xdr:to>
        <xdr:sp macro="" textlink="">
          <xdr:nvSpPr>
            <xdr:cNvPr id="8221" name="Button 29" hidden="1">
              <a:extLst>
                <a:ext uri="{63B3BB69-23CF-44E3-9099-C40C66FF867C}">
                  <a14:compatExt spid="_x0000_s8221"/>
                </a:ext>
                <a:ext uri="{FF2B5EF4-FFF2-40B4-BE49-F238E27FC236}">
                  <a16:creationId xmlns:a16="http://schemas.microsoft.com/office/drawing/2014/main" id="{00000000-0008-0000-1600-00001D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409</xdr:row>
      <xdr:rowOff>0</xdr:rowOff>
    </xdr:from>
    <xdr:to>
      <xdr:col>14</xdr:col>
      <xdr:colOff>382500</xdr:colOff>
      <xdr:row>422</xdr:row>
      <xdr:rowOff>48262</xdr:rowOff>
    </xdr:to>
    <xdr:graphicFrame macro="">
      <xdr:nvGraphicFramePr>
        <xdr:cNvPr id="230" name="生データグラフ24">
          <a:extLst>
            <a:ext uri="{FF2B5EF4-FFF2-40B4-BE49-F238E27FC236}">
              <a16:creationId xmlns:a16="http://schemas.microsoft.com/office/drawing/2014/main" id="{00000000-0008-0000-1600-0000E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15</xdr:col>
      <xdr:colOff>0</xdr:colOff>
      <xdr:row>409</xdr:row>
      <xdr:rowOff>0</xdr:rowOff>
    </xdr:from>
    <xdr:to>
      <xdr:col>20</xdr:col>
      <xdr:colOff>382500</xdr:colOff>
      <xdr:row>422</xdr:row>
      <xdr:rowOff>48262</xdr:rowOff>
    </xdr:to>
    <xdr:graphicFrame macro="">
      <xdr:nvGraphicFramePr>
        <xdr:cNvPr id="231" name="スコアグラフ24">
          <a:extLst>
            <a:ext uri="{FF2B5EF4-FFF2-40B4-BE49-F238E27FC236}">
              <a16:creationId xmlns:a16="http://schemas.microsoft.com/office/drawing/2014/main" id="{00000000-0008-0000-1600-0000E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430</xdr:row>
          <xdr:rowOff>38100</xdr:rowOff>
        </xdr:from>
        <xdr:to>
          <xdr:col>2</xdr:col>
          <xdr:colOff>838200</xdr:colOff>
          <xdr:row>431</xdr:row>
          <xdr:rowOff>95250</xdr:rowOff>
        </xdr:to>
        <xdr:sp macro="" textlink="">
          <xdr:nvSpPr>
            <xdr:cNvPr id="8222" name="Button 30" hidden="1">
              <a:extLst>
                <a:ext uri="{63B3BB69-23CF-44E3-9099-C40C66FF867C}">
                  <a14:compatExt spid="_x0000_s8222"/>
                </a:ext>
                <a:ext uri="{FF2B5EF4-FFF2-40B4-BE49-F238E27FC236}">
                  <a16:creationId xmlns:a16="http://schemas.microsoft.com/office/drawing/2014/main" id="{00000000-0008-0000-1600-00001E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424</xdr:row>
      <xdr:rowOff>0</xdr:rowOff>
    </xdr:from>
    <xdr:to>
      <xdr:col>14</xdr:col>
      <xdr:colOff>382500</xdr:colOff>
      <xdr:row>437</xdr:row>
      <xdr:rowOff>48262</xdr:rowOff>
    </xdr:to>
    <xdr:graphicFrame macro="">
      <xdr:nvGraphicFramePr>
        <xdr:cNvPr id="233" name="生データグラフ25">
          <a:extLst>
            <a:ext uri="{FF2B5EF4-FFF2-40B4-BE49-F238E27FC236}">
              <a16:creationId xmlns:a16="http://schemas.microsoft.com/office/drawing/2014/main" id="{00000000-0008-0000-16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15</xdr:col>
      <xdr:colOff>0</xdr:colOff>
      <xdr:row>424</xdr:row>
      <xdr:rowOff>0</xdr:rowOff>
    </xdr:from>
    <xdr:to>
      <xdr:col>20</xdr:col>
      <xdr:colOff>382500</xdr:colOff>
      <xdr:row>437</xdr:row>
      <xdr:rowOff>48262</xdr:rowOff>
    </xdr:to>
    <xdr:graphicFrame macro="">
      <xdr:nvGraphicFramePr>
        <xdr:cNvPr id="234" name="スコアグラフ25">
          <a:extLst>
            <a:ext uri="{FF2B5EF4-FFF2-40B4-BE49-F238E27FC236}">
              <a16:creationId xmlns:a16="http://schemas.microsoft.com/office/drawing/2014/main" id="{00000000-0008-0000-1600-0000E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445</xdr:row>
          <xdr:rowOff>38100</xdr:rowOff>
        </xdr:from>
        <xdr:to>
          <xdr:col>2</xdr:col>
          <xdr:colOff>838200</xdr:colOff>
          <xdr:row>446</xdr:row>
          <xdr:rowOff>95250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1600-00001F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439</xdr:row>
      <xdr:rowOff>0</xdr:rowOff>
    </xdr:from>
    <xdr:to>
      <xdr:col>14</xdr:col>
      <xdr:colOff>382500</xdr:colOff>
      <xdr:row>452</xdr:row>
      <xdr:rowOff>48262</xdr:rowOff>
    </xdr:to>
    <xdr:graphicFrame macro="">
      <xdr:nvGraphicFramePr>
        <xdr:cNvPr id="236" name="生データグラフ26">
          <a:extLst>
            <a:ext uri="{FF2B5EF4-FFF2-40B4-BE49-F238E27FC236}">
              <a16:creationId xmlns:a16="http://schemas.microsoft.com/office/drawing/2014/main" id="{00000000-0008-0000-1600-0000E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15</xdr:col>
      <xdr:colOff>0</xdr:colOff>
      <xdr:row>439</xdr:row>
      <xdr:rowOff>0</xdr:rowOff>
    </xdr:from>
    <xdr:to>
      <xdr:col>20</xdr:col>
      <xdr:colOff>382500</xdr:colOff>
      <xdr:row>452</xdr:row>
      <xdr:rowOff>48262</xdr:rowOff>
    </xdr:to>
    <xdr:graphicFrame macro="">
      <xdr:nvGraphicFramePr>
        <xdr:cNvPr id="237" name="スコアグラフ26">
          <a:extLst>
            <a:ext uri="{FF2B5EF4-FFF2-40B4-BE49-F238E27FC236}">
              <a16:creationId xmlns:a16="http://schemas.microsoft.com/office/drawing/2014/main" id="{00000000-0008-0000-1600-0000E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460</xdr:row>
          <xdr:rowOff>38100</xdr:rowOff>
        </xdr:from>
        <xdr:to>
          <xdr:col>2</xdr:col>
          <xdr:colOff>838200</xdr:colOff>
          <xdr:row>461</xdr:row>
          <xdr:rowOff>95250</xdr:rowOff>
        </xdr:to>
        <xdr:sp macro="" textlink="">
          <xdr:nvSpPr>
            <xdr:cNvPr id="8224" name="Button 32" hidden="1">
              <a:extLst>
                <a:ext uri="{63B3BB69-23CF-44E3-9099-C40C66FF867C}">
                  <a14:compatExt spid="_x0000_s8224"/>
                </a:ext>
                <a:ext uri="{FF2B5EF4-FFF2-40B4-BE49-F238E27FC236}">
                  <a16:creationId xmlns:a16="http://schemas.microsoft.com/office/drawing/2014/main" id="{00000000-0008-0000-1600-000020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454</xdr:row>
      <xdr:rowOff>0</xdr:rowOff>
    </xdr:from>
    <xdr:to>
      <xdr:col>14</xdr:col>
      <xdr:colOff>382500</xdr:colOff>
      <xdr:row>467</xdr:row>
      <xdr:rowOff>48262</xdr:rowOff>
    </xdr:to>
    <xdr:graphicFrame macro="">
      <xdr:nvGraphicFramePr>
        <xdr:cNvPr id="239" name="生データグラフ27">
          <a:extLst>
            <a:ext uri="{FF2B5EF4-FFF2-40B4-BE49-F238E27FC236}">
              <a16:creationId xmlns:a16="http://schemas.microsoft.com/office/drawing/2014/main" id="{00000000-0008-0000-1600-0000E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15</xdr:col>
      <xdr:colOff>0</xdr:colOff>
      <xdr:row>454</xdr:row>
      <xdr:rowOff>0</xdr:rowOff>
    </xdr:from>
    <xdr:to>
      <xdr:col>20</xdr:col>
      <xdr:colOff>382500</xdr:colOff>
      <xdr:row>467</xdr:row>
      <xdr:rowOff>48262</xdr:rowOff>
    </xdr:to>
    <xdr:graphicFrame macro="">
      <xdr:nvGraphicFramePr>
        <xdr:cNvPr id="240" name="スコアグラフ27">
          <a:extLst>
            <a:ext uri="{FF2B5EF4-FFF2-40B4-BE49-F238E27FC236}">
              <a16:creationId xmlns:a16="http://schemas.microsoft.com/office/drawing/2014/main" id="{00000000-0008-0000-1600-0000F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475</xdr:row>
          <xdr:rowOff>38100</xdr:rowOff>
        </xdr:from>
        <xdr:to>
          <xdr:col>2</xdr:col>
          <xdr:colOff>838200</xdr:colOff>
          <xdr:row>476</xdr:row>
          <xdr:rowOff>95250</xdr:rowOff>
        </xdr:to>
        <xdr:sp macro="" textlink="">
          <xdr:nvSpPr>
            <xdr:cNvPr id="8225" name="Button 33" hidden="1">
              <a:extLst>
                <a:ext uri="{63B3BB69-23CF-44E3-9099-C40C66FF867C}">
                  <a14:compatExt spid="_x0000_s8225"/>
                </a:ext>
                <a:ext uri="{FF2B5EF4-FFF2-40B4-BE49-F238E27FC236}">
                  <a16:creationId xmlns:a16="http://schemas.microsoft.com/office/drawing/2014/main" id="{00000000-0008-0000-1600-000021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469</xdr:row>
      <xdr:rowOff>0</xdr:rowOff>
    </xdr:from>
    <xdr:to>
      <xdr:col>14</xdr:col>
      <xdr:colOff>382500</xdr:colOff>
      <xdr:row>482</xdr:row>
      <xdr:rowOff>48262</xdr:rowOff>
    </xdr:to>
    <xdr:graphicFrame macro="">
      <xdr:nvGraphicFramePr>
        <xdr:cNvPr id="242" name="生データグラフ28">
          <a:extLst>
            <a:ext uri="{FF2B5EF4-FFF2-40B4-BE49-F238E27FC236}">
              <a16:creationId xmlns:a16="http://schemas.microsoft.com/office/drawing/2014/main" id="{00000000-0008-0000-1600-0000F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15</xdr:col>
      <xdr:colOff>0</xdr:colOff>
      <xdr:row>469</xdr:row>
      <xdr:rowOff>0</xdr:rowOff>
    </xdr:from>
    <xdr:to>
      <xdr:col>20</xdr:col>
      <xdr:colOff>382500</xdr:colOff>
      <xdr:row>482</xdr:row>
      <xdr:rowOff>48262</xdr:rowOff>
    </xdr:to>
    <xdr:graphicFrame macro="">
      <xdr:nvGraphicFramePr>
        <xdr:cNvPr id="243" name="スコアグラフ28">
          <a:extLst>
            <a:ext uri="{FF2B5EF4-FFF2-40B4-BE49-F238E27FC236}">
              <a16:creationId xmlns:a16="http://schemas.microsoft.com/office/drawing/2014/main" id="{00000000-0008-0000-1600-0000F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490</xdr:row>
          <xdr:rowOff>38100</xdr:rowOff>
        </xdr:from>
        <xdr:to>
          <xdr:col>2</xdr:col>
          <xdr:colOff>838200</xdr:colOff>
          <xdr:row>491</xdr:row>
          <xdr:rowOff>95250</xdr:rowOff>
        </xdr:to>
        <xdr:sp macro="" textlink="">
          <xdr:nvSpPr>
            <xdr:cNvPr id="8226" name="Button 34" hidden="1">
              <a:extLst>
                <a:ext uri="{63B3BB69-23CF-44E3-9099-C40C66FF867C}">
                  <a14:compatExt spid="_x0000_s8226"/>
                </a:ext>
                <a:ext uri="{FF2B5EF4-FFF2-40B4-BE49-F238E27FC236}">
                  <a16:creationId xmlns:a16="http://schemas.microsoft.com/office/drawing/2014/main" id="{00000000-0008-0000-1600-000022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484</xdr:row>
      <xdr:rowOff>0</xdr:rowOff>
    </xdr:from>
    <xdr:to>
      <xdr:col>14</xdr:col>
      <xdr:colOff>382500</xdr:colOff>
      <xdr:row>497</xdr:row>
      <xdr:rowOff>48262</xdr:rowOff>
    </xdr:to>
    <xdr:graphicFrame macro="">
      <xdr:nvGraphicFramePr>
        <xdr:cNvPr id="245" name="生データグラフ29">
          <a:extLst>
            <a:ext uri="{FF2B5EF4-FFF2-40B4-BE49-F238E27FC236}">
              <a16:creationId xmlns:a16="http://schemas.microsoft.com/office/drawing/2014/main" id="{00000000-0008-0000-1600-0000F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15</xdr:col>
      <xdr:colOff>0</xdr:colOff>
      <xdr:row>484</xdr:row>
      <xdr:rowOff>0</xdr:rowOff>
    </xdr:from>
    <xdr:to>
      <xdr:col>20</xdr:col>
      <xdr:colOff>382500</xdr:colOff>
      <xdr:row>497</xdr:row>
      <xdr:rowOff>48262</xdr:rowOff>
    </xdr:to>
    <xdr:graphicFrame macro="">
      <xdr:nvGraphicFramePr>
        <xdr:cNvPr id="246" name="スコアグラフ29">
          <a:extLst>
            <a:ext uri="{FF2B5EF4-FFF2-40B4-BE49-F238E27FC236}">
              <a16:creationId xmlns:a16="http://schemas.microsoft.com/office/drawing/2014/main" id="{00000000-0008-0000-1600-0000F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505</xdr:row>
          <xdr:rowOff>38100</xdr:rowOff>
        </xdr:from>
        <xdr:to>
          <xdr:col>2</xdr:col>
          <xdr:colOff>838200</xdr:colOff>
          <xdr:row>506</xdr:row>
          <xdr:rowOff>95250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1600-000023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499</xdr:row>
      <xdr:rowOff>0</xdr:rowOff>
    </xdr:from>
    <xdr:to>
      <xdr:col>14</xdr:col>
      <xdr:colOff>382500</xdr:colOff>
      <xdr:row>512</xdr:row>
      <xdr:rowOff>48262</xdr:rowOff>
    </xdr:to>
    <xdr:graphicFrame macro="">
      <xdr:nvGraphicFramePr>
        <xdr:cNvPr id="248" name="生データグラフ30">
          <a:extLst>
            <a:ext uri="{FF2B5EF4-FFF2-40B4-BE49-F238E27FC236}">
              <a16:creationId xmlns:a16="http://schemas.microsoft.com/office/drawing/2014/main" id="{00000000-0008-0000-1600-0000F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15</xdr:col>
      <xdr:colOff>0</xdr:colOff>
      <xdr:row>499</xdr:row>
      <xdr:rowOff>0</xdr:rowOff>
    </xdr:from>
    <xdr:to>
      <xdr:col>20</xdr:col>
      <xdr:colOff>382500</xdr:colOff>
      <xdr:row>512</xdr:row>
      <xdr:rowOff>48262</xdr:rowOff>
    </xdr:to>
    <xdr:graphicFrame macro="">
      <xdr:nvGraphicFramePr>
        <xdr:cNvPr id="249" name="スコアグラフ30">
          <a:extLst>
            <a:ext uri="{FF2B5EF4-FFF2-40B4-BE49-F238E27FC236}">
              <a16:creationId xmlns:a16="http://schemas.microsoft.com/office/drawing/2014/main" id="{00000000-0008-0000-1600-0000F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520</xdr:row>
          <xdr:rowOff>38100</xdr:rowOff>
        </xdr:from>
        <xdr:to>
          <xdr:col>2</xdr:col>
          <xdr:colOff>838200</xdr:colOff>
          <xdr:row>521</xdr:row>
          <xdr:rowOff>95250</xdr:rowOff>
        </xdr:to>
        <xdr:sp macro="" textlink="">
          <xdr:nvSpPr>
            <xdr:cNvPr id="8228" name="Button 36" hidden="1">
              <a:extLst>
                <a:ext uri="{63B3BB69-23CF-44E3-9099-C40C66FF867C}">
                  <a14:compatExt spid="_x0000_s8228"/>
                </a:ext>
                <a:ext uri="{FF2B5EF4-FFF2-40B4-BE49-F238E27FC236}">
                  <a16:creationId xmlns:a16="http://schemas.microsoft.com/office/drawing/2014/main" id="{00000000-0008-0000-1600-000024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514</xdr:row>
      <xdr:rowOff>0</xdr:rowOff>
    </xdr:from>
    <xdr:to>
      <xdr:col>14</xdr:col>
      <xdr:colOff>382500</xdr:colOff>
      <xdr:row>527</xdr:row>
      <xdr:rowOff>48262</xdr:rowOff>
    </xdr:to>
    <xdr:graphicFrame macro="">
      <xdr:nvGraphicFramePr>
        <xdr:cNvPr id="251" name="生データグラフ31">
          <a:extLst>
            <a:ext uri="{FF2B5EF4-FFF2-40B4-BE49-F238E27FC236}">
              <a16:creationId xmlns:a16="http://schemas.microsoft.com/office/drawing/2014/main" id="{00000000-0008-0000-1600-0000F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15</xdr:col>
      <xdr:colOff>0</xdr:colOff>
      <xdr:row>514</xdr:row>
      <xdr:rowOff>0</xdr:rowOff>
    </xdr:from>
    <xdr:to>
      <xdr:col>20</xdr:col>
      <xdr:colOff>382500</xdr:colOff>
      <xdr:row>527</xdr:row>
      <xdr:rowOff>48262</xdr:rowOff>
    </xdr:to>
    <xdr:graphicFrame macro="">
      <xdr:nvGraphicFramePr>
        <xdr:cNvPr id="252" name="スコアグラフ31">
          <a:extLst>
            <a:ext uri="{FF2B5EF4-FFF2-40B4-BE49-F238E27FC236}">
              <a16:creationId xmlns:a16="http://schemas.microsoft.com/office/drawing/2014/main" id="{00000000-0008-0000-1600-0000F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535</xdr:row>
          <xdr:rowOff>38100</xdr:rowOff>
        </xdr:from>
        <xdr:to>
          <xdr:col>2</xdr:col>
          <xdr:colOff>838200</xdr:colOff>
          <xdr:row>536</xdr:row>
          <xdr:rowOff>95250</xdr:rowOff>
        </xdr:to>
        <xdr:sp macro="" textlink="">
          <xdr:nvSpPr>
            <xdr:cNvPr id="8229" name="Button 37" hidden="1">
              <a:extLst>
                <a:ext uri="{63B3BB69-23CF-44E3-9099-C40C66FF867C}">
                  <a14:compatExt spid="_x0000_s8229"/>
                </a:ext>
                <a:ext uri="{FF2B5EF4-FFF2-40B4-BE49-F238E27FC236}">
                  <a16:creationId xmlns:a16="http://schemas.microsoft.com/office/drawing/2014/main" id="{00000000-0008-0000-1600-000025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529</xdr:row>
      <xdr:rowOff>0</xdr:rowOff>
    </xdr:from>
    <xdr:to>
      <xdr:col>14</xdr:col>
      <xdr:colOff>382500</xdr:colOff>
      <xdr:row>542</xdr:row>
      <xdr:rowOff>48262</xdr:rowOff>
    </xdr:to>
    <xdr:graphicFrame macro="">
      <xdr:nvGraphicFramePr>
        <xdr:cNvPr id="254" name="生データグラフ32">
          <a:extLst>
            <a:ext uri="{FF2B5EF4-FFF2-40B4-BE49-F238E27FC236}">
              <a16:creationId xmlns:a16="http://schemas.microsoft.com/office/drawing/2014/main" id="{00000000-0008-0000-1600-0000F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15</xdr:col>
      <xdr:colOff>0</xdr:colOff>
      <xdr:row>529</xdr:row>
      <xdr:rowOff>0</xdr:rowOff>
    </xdr:from>
    <xdr:to>
      <xdr:col>20</xdr:col>
      <xdr:colOff>382500</xdr:colOff>
      <xdr:row>542</xdr:row>
      <xdr:rowOff>48262</xdr:rowOff>
    </xdr:to>
    <xdr:graphicFrame macro="">
      <xdr:nvGraphicFramePr>
        <xdr:cNvPr id="255" name="スコアグラフ32">
          <a:extLst>
            <a:ext uri="{FF2B5EF4-FFF2-40B4-BE49-F238E27FC236}">
              <a16:creationId xmlns:a16="http://schemas.microsoft.com/office/drawing/2014/main" id="{00000000-0008-0000-1600-0000F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550</xdr:row>
          <xdr:rowOff>38100</xdr:rowOff>
        </xdr:from>
        <xdr:to>
          <xdr:col>2</xdr:col>
          <xdr:colOff>838200</xdr:colOff>
          <xdr:row>551</xdr:row>
          <xdr:rowOff>95250</xdr:rowOff>
        </xdr:to>
        <xdr:sp macro="" textlink="">
          <xdr:nvSpPr>
            <xdr:cNvPr id="8230" name="Button 38" hidden="1">
              <a:extLst>
                <a:ext uri="{63B3BB69-23CF-44E3-9099-C40C66FF867C}">
                  <a14:compatExt spid="_x0000_s8230"/>
                </a:ext>
                <a:ext uri="{FF2B5EF4-FFF2-40B4-BE49-F238E27FC236}">
                  <a16:creationId xmlns:a16="http://schemas.microsoft.com/office/drawing/2014/main" id="{00000000-0008-0000-1600-000026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544</xdr:row>
      <xdr:rowOff>0</xdr:rowOff>
    </xdr:from>
    <xdr:to>
      <xdr:col>14</xdr:col>
      <xdr:colOff>382500</xdr:colOff>
      <xdr:row>557</xdr:row>
      <xdr:rowOff>48262</xdr:rowOff>
    </xdr:to>
    <xdr:graphicFrame macro="">
      <xdr:nvGraphicFramePr>
        <xdr:cNvPr id="257" name="生データグラフ33">
          <a:extLst>
            <a:ext uri="{FF2B5EF4-FFF2-40B4-BE49-F238E27FC236}">
              <a16:creationId xmlns:a16="http://schemas.microsoft.com/office/drawing/2014/main" id="{00000000-0008-0000-1600-00000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15</xdr:col>
      <xdr:colOff>0</xdr:colOff>
      <xdr:row>544</xdr:row>
      <xdr:rowOff>0</xdr:rowOff>
    </xdr:from>
    <xdr:to>
      <xdr:col>20</xdr:col>
      <xdr:colOff>382500</xdr:colOff>
      <xdr:row>557</xdr:row>
      <xdr:rowOff>48262</xdr:rowOff>
    </xdr:to>
    <xdr:graphicFrame macro="">
      <xdr:nvGraphicFramePr>
        <xdr:cNvPr id="258" name="スコアグラフ33">
          <a:extLst>
            <a:ext uri="{FF2B5EF4-FFF2-40B4-BE49-F238E27FC236}">
              <a16:creationId xmlns:a16="http://schemas.microsoft.com/office/drawing/2014/main" id="{00000000-0008-0000-16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565</xdr:row>
          <xdr:rowOff>38100</xdr:rowOff>
        </xdr:from>
        <xdr:to>
          <xdr:col>2</xdr:col>
          <xdr:colOff>838200</xdr:colOff>
          <xdr:row>566</xdr:row>
          <xdr:rowOff>95250</xdr:rowOff>
        </xdr:to>
        <xdr:sp macro="" textlink="">
          <xdr:nvSpPr>
            <xdr:cNvPr id="8231" name="Button 39" hidden="1">
              <a:extLst>
                <a:ext uri="{63B3BB69-23CF-44E3-9099-C40C66FF867C}">
                  <a14:compatExt spid="_x0000_s8231"/>
                </a:ext>
                <a:ext uri="{FF2B5EF4-FFF2-40B4-BE49-F238E27FC236}">
                  <a16:creationId xmlns:a16="http://schemas.microsoft.com/office/drawing/2014/main" id="{00000000-0008-0000-1600-000027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559</xdr:row>
      <xdr:rowOff>0</xdr:rowOff>
    </xdr:from>
    <xdr:to>
      <xdr:col>14</xdr:col>
      <xdr:colOff>382500</xdr:colOff>
      <xdr:row>572</xdr:row>
      <xdr:rowOff>48262</xdr:rowOff>
    </xdr:to>
    <xdr:graphicFrame macro="">
      <xdr:nvGraphicFramePr>
        <xdr:cNvPr id="260" name="生データグラフ34">
          <a:extLst>
            <a:ext uri="{FF2B5EF4-FFF2-40B4-BE49-F238E27FC236}">
              <a16:creationId xmlns:a16="http://schemas.microsoft.com/office/drawing/2014/main" id="{00000000-0008-0000-16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15</xdr:col>
      <xdr:colOff>0</xdr:colOff>
      <xdr:row>559</xdr:row>
      <xdr:rowOff>0</xdr:rowOff>
    </xdr:from>
    <xdr:to>
      <xdr:col>20</xdr:col>
      <xdr:colOff>382500</xdr:colOff>
      <xdr:row>572</xdr:row>
      <xdr:rowOff>48262</xdr:rowOff>
    </xdr:to>
    <xdr:graphicFrame macro="">
      <xdr:nvGraphicFramePr>
        <xdr:cNvPr id="261" name="スコアグラフ34">
          <a:extLst>
            <a:ext uri="{FF2B5EF4-FFF2-40B4-BE49-F238E27FC236}">
              <a16:creationId xmlns:a16="http://schemas.microsoft.com/office/drawing/2014/main" id="{00000000-0008-0000-1600-00000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580</xdr:row>
          <xdr:rowOff>38100</xdr:rowOff>
        </xdr:from>
        <xdr:to>
          <xdr:col>2</xdr:col>
          <xdr:colOff>838200</xdr:colOff>
          <xdr:row>581</xdr:row>
          <xdr:rowOff>95250</xdr:rowOff>
        </xdr:to>
        <xdr:sp macro="" textlink="">
          <xdr:nvSpPr>
            <xdr:cNvPr id="8232" name="Button 40" hidden="1">
              <a:extLst>
                <a:ext uri="{63B3BB69-23CF-44E3-9099-C40C66FF867C}">
                  <a14:compatExt spid="_x0000_s8232"/>
                </a:ext>
                <a:ext uri="{FF2B5EF4-FFF2-40B4-BE49-F238E27FC236}">
                  <a16:creationId xmlns:a16="http://schemas.microsoft.com/office/drawing/2014/main" id="{00000000-0008-0000-1600-000028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574</xdr:row>
      <xdr:rowOff>0</xdr:rowOff>
    </xdr:from>
    <xdr:to>
      <xdr:col>14</xdr:col>
      <xdr:colOff>382500</xdr:colOff>
      <xdr:row>587</xdr:row>
      <xdr:rowOff>48262</xdr:rowOff>
    </xdr:to>
    <xdr:graphicFrame macro="">
      <xdr:nvGraphicFramePr>
        <xdr:cNvPr id="263" name="生データグラフ35">
          <a:extLst>
            <a:ext uri="{FF2B5EF4-FFF2-40B4-BE49-F238E27FC236}">
              <a16:creationId xmlns:a16="http://schemas.microsoft.com/office/drawing/2014/main" id="{00000000-0008-0000-1600-00000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15</xdr:col>
      <xdr:colOff>0</xdr:colOff>
      <xdr:row>574</xdr:row>
      <xdr:rowOff>0</xdr:rowOff>
    </xdr:from>
    <xdr:to>
      <xdr:col>20</xdr:col>
      <xdr:colOff>382500</xdr:colOff>
      <xdr:row>587</xdr:row>
      <xdr:rowOff>48262</xdr:rowOff>
    </xdr:to>
    <xdr:graphicFrame macro="">
      <xdr:nvGraphicFramePr>
        <xdr:cNvPr id="264" name="スコアグラフ35">
          <a:extLst>
            <a:ext uri="{FF2B5EF4-FFF2-40B4-BE49-F238E27FC236}">
              <a16:creationId xmlns:a16="http://schemas.microsoft.com/office/drawing/2014/main" id="{00000000-0008-0000-1600-00000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595</xdr:row>
          <xdr:rowOff>38100</xdr:rowOff>
        </xdr:from>
        <xdr:to>
          <xdr:col>2</xdr:col>
          <xdr:colOff>838200</xdr:colOff>
          <xdr:row>596</xdr:row>
          <xdr:rowOff>95250</xdr:rowOff>
        </xdr:to>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1600-000029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589</xdr:row>
      <xdr:rowOff>0</xdr:rowOff>
    </xdr:from>
    <xdr:to>
      <xdr:col>14</xdr:col>
      <xdr:colOff>382500</xdr:colOff>
      <xdr:row>602</xdr:row>
      <xdr:rowOff>48262</xdr:rowOff>
    </xdr:to>
    <xdr:graphicFrame macro="">
      <xdr:nvGraphicFramePr>
        <xdr:cNvPr id="266" name="生データグラフ36">
          <a:extLst>
            <a:ext uri="{FF2B5EF4-FFF2-40B4-BE49-F238E27FC236}">
              <a16:creationId xmlns:a16="http://schemas.microsoft.com/office/drawing/2014/main" id="{00000000-0008-0000-1600-00000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15</xdr:col>
      <xdr:colOff>0</xdr:colOff>
      <xdr:row>589</xdr:row>
      <xdr:rowOff>0</xdr:rowOff>
    </xdr:from>
    <xdr:to>
      <xdr:col>20</xdr:col>
      <xdr:colOff>382500</xdr:colOff>
      <xdr:row>602</xdr:row>
      <xdr:rowOff>48262</xdr:rowOff>
    </xdr:to>
    <xdr:graphicFrame macro="">
      <xdr:nvGraphicFramePr>
        <xdr:cNvPr id="267" name="スコアグラフ36">
          <a:extLst>
            <a:ext uri="{FF2B5EF4-FFF2-40B4-BE49-F238E27FC236}">
              <a16:creationId xmlns:a16="http://schemas.microsoft.com/office/drawing/2014/main" id="{00000000-0008-0000-16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610</xdr:row>
          <xdr:rowOff>38100</xdr:rowOff>
        </xdr:from>
        <xdr:to>
          <xdr:col>2</xdr:col>
          <xdr:colOff>838200</xdr:colOff>
          <xdr:row>611</xdr:row>
          <xdr:rowOff>95250</xdr:rowOff>
        </xdr:to>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1600-00002A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604</xdr:row>
      <xdr:rowOff>0</xdr:rowOff>
    </xdr:from>
    <xdr:to>
      <xdr:col>14</xdr:col>
      <xdr:colOff>382500</xdr:colOff>
      <xdr:row>617</xdr:row>
      <xdr:rowOff>48262</xdr:rowOff>
    </xdr:to>
    <xdr:graphicFrame macro="">
      <xdr:nvGraphicFramePr>
        <xdr:cNvPr id="269" name="生データグラフ37">
          <a:extLst>
            <a:ext uri="{FF2B5EF4-FFF2-40B4-BE49-F238E27FC236}">
              <a16:creationId xmlns:a16="http://schemas.microsoft.com/office/drawing/2014/main" id="{00000000-0008-0000-16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15</xdr:col>
      <xdr:colOff>0</xdr:colOff>
      <xdr:row>604</xdr:row>
      <xdr:rowOff>0</xdr:rowOff>
    </xdr:from>
    <xdr:to>
      <xdr:col>20</xdr:col>
      <xdr:colOff>382500</xdr:colOff>
      <xdr:row>617</xdr:row>
      <xdr:rowOff>48262</xdr:rowOff>
    </xdr:to>
    <xdr:graphicFrame macro="">
      <xdr:nvGraphicFramePr>
        <xdr:cNvPr id="270" name="スコアグラフ37">
          <a:extLst>
            <a:ext uri="{FF2B5EF4-FFF2-40B4-BE49-F238E27FC236}">
              <a16:creationId xmlns:a16="http://schemas.microsoft.com/office/drawing/2014/main" id="{00000000-0008-0000-1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625</xdr:row>
          <xdr:rowOff>38100</xdr:rowOff>
        </xdr:from>
        <xdr:to>
          <xdr:col>2</xdr:col>
          <xdr:colOff>838200</xdr:colOff>
          <xdr:row>626</xdr:row>
          <xdr:rowOff>95250</xdr:rowOff>
        </xdr:to>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1600-00002B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619</xdr:row>
      <xdr:rowOff>0</xdr:rowOff>
    </xdr:from>
    <xdr:to>
      <xdr:col>14</xdr:col>
      <xdr:colOff>382500</xdr:colOff>
      <xdr:row>632</xdr:row>
      <xdr:rowOff>48262</xdr:rowOff>
    </xdr:to>
    <xdr:graphicFrame macro="">
      <xdr:nvGraphicFramePr>
        <xdr:cNvPr id="272" name="生データグラフ38">
          <a:extLst>
            <a:ext uri="{FF2B5EF4-FFF2-40B4-BE49-F238E27FC236}">
              <a16:creationId xmlns:a16="http://schemas.microsoft.com/office/drawing/2014/main" id="{00000000-0008-0000-1600-00001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15</xdr:col>
      <xdr:colOff>0</xdr:colOff>
      <xdr:row>619</xdr:row>
      <xdr:rowOff>0</xdr:rowOff>
    </xdr:from>
    <xdr:to>
      <xdr:col>20</xdr:col>
      <xdr:colOff>382500</xdr:colOff>
      <xdr:row>632</xdr:row>
      <xdr:rowOff>48262</xdr:rowOff>
    </xdr:to>
    <xdr:graphicFrame macro="">
      <xdr:nvGraphicFramePr>
        <xdr:cNvPr id="273" name="スコアグラフ38">
          <a:extLst>
            <a:ext uri="{FF2B5EF4-FFF2-40B4-BE49-F238E27FC236}">
              <a16:creationId xmlns:a16="http://schemas.microsoft.com/office/drawing/2014/main" id="{00000000-0008-0000-1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640</xdr:row>
          <xdr:rowOff>38100</xdr:rowOff>
        </xdr:from>
        <xdr:to>
          <xdr:col>2</xdr:col>
          <xdr:colOff>838200</xdr:colOff>
          <xdr:row>641</xdr:row>
          <xdr:rowOff>95250</xdr:rowOff>
        </xdr:to>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1600-00002C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634</xdr:row>
      <xdr:rowOff>0</xdr:rowOff>
    </xdr:from>
    <xdr:to>
      <xdr:col>14</xdr:col>
      <xdr:colOff>382500</xdr:colOff>
      <xdr:row>647</xdr:row>
      <xdr:rowOff>48262</xdr:rowOff>
    </xdr:to>
    <xdr:graphicFrame macro="">
      <xdr:nvGraphicFramePr>
        <xdr:cNvPr id="275" name="生データグラフ39">
          <a:extLst>
            <a:ext uri="{FF2B5EF4-FFF2-40B4-BE49-F238E27FC236}">
              <a16:creationId xmlns:a16="http://schemas.microsoft.com/office/drawing/2014/main" id="{00000000-0008-0000-1600-00001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15</xdr:col>
      <xdr:colOff>0</xdr:colOff>
      <xdr:row>634</xdr:row>
      <xdr:rowOff>0</xdr:rowOff>
    </xdr:from>
    <xdr:to>
      <xdr:col>20</xdr:col>
      <xdr:colOff>382500</xdr:colOff>
      <xdr:row>647</xdr:row>
      <xdr:rowOff>48262</xdr:rowOff>
    </xdr:to>
    <xdr:graphicFrame macro="">
      <xdr:nvGraphicFramePr>
        <xdr:cNvPr id="276" name="スコアグラフ39">
          <a:extLst>
            <a:ext uri="{FF2B5EF4-FFF2-40B4-BE49-F238E27FC236}">
              <a16:creationId xmlns:a16="http://schemas.microsoft.com/office/drawing/2014/main" id="{00000000-0008-0000-1600-00001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655</xdr:row>
          <xdr:rowOff>38100</xdr:rowOff>
        </xdr:from>
        <xdr:to>
          <xdr:col>2</xdr:col>
          <xdr:colOff>838200</xdr:colOff>
          <xdr:row>656</xdr:row>
          <xdr:rowOff>95250</xdr:rowOff>
        </xdr:to>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1600-00002D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649</xdr:row>
      <xdr:rowOff>0</xdr:rowOff>
    </xdr:from>
    <xdr:to>
      <xdr:col>14</xdr:col>
      <xdr:colOff>382500</xdr:colOff>
      <xdr:row>662</xdr:row>
      <xdr:rowOff>48262</xdr:rowOff>
    </xdr:to>
    <xdr:graphicFrame macro="">
      <xdr:nvGraphicFramePr>
        <xdr:cNvPr id="278" name="生データグラフ40">
          <a:extLst>
            <a:ext uri="{FF2B5EF4-FFF2-40B4-BE49-F238E27FC236}">
              <a16:creationId xmlns:a16="http://schemas.microsoft.com/office/drawing/2014/main" id="{00000000-0008-0000-1600-00001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15</xdr:col>
      <xdr:colOff>0</xdr:colOff>
      <xdr:row>649</xdr:row>
      <xdr:rowOff>0</xdr:rowOff>
    </xdr:from>
    <xdr:to>
      <xdr:col>20</xdr:col>
      <xdr:colOff>382500</xdr:colOff>
      <xdr:row>662</xdr:row>
      <xdr:rowOff>48262</xdr:rowOff>
    </xdr:to>
    <xdr:graphicFrame macro="">
      <xdr:nvGraphicFramePr>
        <xdr:cNvPr id="279" name="スコアグラフ40">
          <a:extLst>
            <a:ext uri="{FF2B5EF4-FFF2-40B4-BE49-F238E27FC236}">
              <a16:creationId xmlns:a16="http://schemas.microsoft.com/office/drawing/2014/main" id="{00000000-0008-0000-1600-00001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670</xdr:row>
          <xdr:rowOff>38100</xdr:rowOff>
        </xdr:from>
        <xdr:to>
          <xdr:col>2</xdr:col>
          <xdr:colOff>838200</xdr:colOff>
          <xdr:row>671</xdr:row>
          <xdr:rowOff>95250</xdr:rowOff>
        </xdr:to>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1600-00002E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664</xdr:row>
      <xdr:rowOff>0</xdr:rowOff>
    </xdr:from>
    <xdr:to>
      <xdr:col>14</xdr:col>
      <xdr:colOff>382500</xdr:colOff>
      <xdr:row>677</xdr:row>
      <xdr:rowOff>48262</xdr:rowOff>
    </xdr:to>
    <xdr:graphicFrame macro="">
      <xdr:nvGraphicFramePr>
        <xdr:cNvPr id="281" name="生データグラフ41">
          <a:extLst>
            <a:ext uri="{FF2B5EF4-FFF2-40B4-BE49-F238E27FC236}">
              <a16:creationId xmlns:a16="http://schemas.microsoft.com/office/drawing/2014/main" id="{00000000-0008-0000-1600-00001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15</xdr:col>
      <xdr:colOff>0</xdr:colOff>
      <xdr:row>664</xdr:row>
      <xdr:rowOff>0</xdr:rowOff>
    </xdr:from>
    <xdr:to>
      <xdr:col>20</xdr:col>
      <xdr:colOff>382500</xdr:colOff>
      <xdr:row>677</xdr:row>
      <xdr:rowOff>48262</xdr:rowOff>
    </xdr:to>
    <xdr:graphicFrame macro="">
      <xdr:nvGraphicFramePr>
        <xdr:cNvPr id="282" name="スコアグラフ41">
          <a:extLst>
            <a:ext uri="{FF2B5EF4-FFF2-40B4-BE49-F238E27FC236}">
              <a16:creationId xmlns:a16="http://schemas.microsoft.com/office/drawing/2014/main" id="{00000000-0008-0000-1600-00001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685</xdr:row>
          <xdr:rowOff>38100</xdr:rowOff>
        </xdr:from>
        <xdr:to>
          <xdr:col>2</xdr:col>
          <xdr:colOff>838200</xdr:colOff>
          <xdr:row>686</xdr:row>
          <xdr:rowOff>95250</xdr:rowOff>
        </xdr:to>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1600-00002F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679</xdr:row>
      <xdr:rowOff>0</xdr:rowOff>
    </xdr:from>
    <xdr:to>
      <xdr:col>14</xdr:col>
      <xdr:colOff>382500</xdr:colOff>
      <xdr:row>692</xdr:row>
      <xdr:rowOff>48262</xdr:rowOff>
    </xdr:to>
    <xdr:graphicFrame macro="">
      <xdr:nvGraphicFramePr>
        <xdr:cNvPr id="284" name="生データグラフ42">
          <a:extLst>
            <a:ext uri="{FF2B5EF4-FFF2-40B4-BE49-F238E27FC236}">
              <a16:creationId xmlns:a16="http://schemas.microsoft.com/office/drawing/2014/main" id="{00000000-0008-0000-1600-00001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xdr:from>
      <xdr:col>15</xdr:col>
      <xdr:colOff>0</xdr:colOff>
      <xdr:row>679</xdr:row>
      <xdr:rowOff>0</xdr:rowOff>
    </xdr:from>
    <xdr:to>
      <xdr:col>20</xdr:col>
      <xdr:colOff>382500</xdr:colOff>
      <xdr:row>692</xdr:row>
      <xdr:rowOff>48262</xdr:rowOff>
    </xdr:to>
    <xdr:graphicFrame macro="">
      <xdr:nvGraphicFramePr>
        <xdr:cNvPr id="285" name="スコアグラフ42">
          <a:extLst>
            <a:ext uri="{FF2B5EF4-FFF2-40B4-BE49-F238E27FC236}">
              <a16:creationId xmlns:a16="http://schemas.microsoft.com/office/drawing/2014/main" id="{00000000-0008-0000-1600-00001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700</xdr:row>
          <xdr:rowOff>38100</xdr:rowOff>
        </xdr:from>
        <xdr:to>
          <xdr:col>2</xdr:col>
          <xdr:colOff>838200</xdr:colOff>
          <xdr:row>701</xdr:row>
          <xdr:rowOff>95250</xdr:rowOff>
        </xdr:to>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1600-000030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694</xdr:row>
      <xdr:rowOff>0</xdr:rowOff>
    </xdr:from>
    <xdr:to>
      <xdr:col>14</xdr:col>
      <xdr:colOff>382500</xdr:colOff>
      <xdr:row>707</xdr:row>
      <xdr:rowOff>48262</xdr:rowOff>
    </xdr:to>
    <xdr:graphicFrame macro="">
      <xdr:nvGraphicFramePr>
        <xdr:cNvPr id="287" name="生データグラフ43">
          <a:extLst>
            <a:ext uri="{FF2B5EF4-FFF2-40B4-BE49-F238E27FC236}">
              <a16:creationId xmlns:a16="http://schemas.microsoft.com/office/drawing/2014/main" id="{00000000-0008-0000-1600-00001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3"/>
        </a:graphicData>
      </a:graphic>
    </xdr:graphicFrame>
    <xdr:clientData/>
  </xdr:twoCellAnchor>
  <xdr:twoCellAnchor>
    <xdr:from>
      <xdr:col>15</xdr:col>
      <xdr:colOff>0</xdr:colOff>
      <xdr:row>694</xdr:row>
      <xdr:rowOff>0</xdr:rowOff>
    </xdr:from>
    <xdr:to>
      <xdr:col>20</xdr:col>
      <xdr:colOff>382500</xdr:colOff>
      <xdr:row>707</xdr:row>
      <xdr:rowOff>48262</xdr:rowOff>
    </xdr:to>
    <xdr:graphicFrame macro="">
      <xdr:nvGraphicFramePr>
        <xdr:cNvPr id="288" name="スコアグラフ43">
          <a:extLst>
            <a:ext uri="{FF2B5EF4-FFF2-40B4-BE49-F238E27FC236}">
              <a16:creationId xmlns:a16="http://schemas.microsoft.com/office/drawing/2014/main" id="{00000000-0008-0000-1600-00002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715</xdr:row>
          <xdr:rowOff>38100</xdr:rowOff>
        </xdr:from>
        <xdr:to>
          <xdr:col>2</xdr:col>
          <xdr:colOff>838200</xdr:colOff>
          <xdr:row>716</xdr:row>
          <xdr:rowOff>95250</xdr:rowOff>
        </xdr:to>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1600-000031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709</xdr:row>
      <xdr:rowOff>0</xdr:rowOff>
    </xdr:from>
    <xdr:to>
      <xdr:col>14</xdr:col>
      <xdr:colOff>382500</xdr:colOff>
      <xdr:row>722</xdr:row>
      <xdr:rowOff>48262</xdr:rowOff>
    </xdr:to>
    <xdr:graphicFrame macro="">
      <xdr:nvGraphicFramePr>
        <xdr:cNvPr id="290" name="生データグラフ44">
          <a:extLst>
            <a:ext uri="{FF2B5EF4-FFF2-40B4-BE49-F238E27FC236}">
              <a16:creationId xmlns:a16="http://schemas.microsoft.com/office/drawing/2014/main" id="{00000000-0008-0000-1600-00002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5"/>
        </a:graphicData>
      </a:graphic>
    </xdr:graphicFrame>
    <xdr:clientData/>
  </xdr:twoCellAnchor>
  <xdr:twoCellAnchor>
    <xdr:from>
      <xdr:col>15</xdr:col>
      <xdr:colOff>0</xdr:colOff>
      <xdr:row>709</xdr:row>
      <xdr:rowOff>0</xdr:rowOff>
    </xdr:from>
    <xdr:to>
      <xdr:col>20</xdr:col>
      <xdr:colOff>382500</xdr:colOff>
      <xdr:row>722</xdr:row>
      <xdr:rowOff>48262</xdr:rowOff>
    </xdr:to>
    <xdr:graphicFrame macro="">
      <xdr:nvGraphicFramePr>
        <xdr:cNvPr id="291" name="スコアグラフ44">
          <a:extLst>
            <a:ext uri="{FF2B5EF4-FFF2-40B4-BE49-F238E27FC236}">
              <a16:creationId xmlns:a16="http://schemas.microsoft.com/office/drawing/2014/main" id="{00000000-0008-0000-1600-00002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730</xdr:row>
          <xdr:rowOff>38100</xdr:rowOff>
        </xdr:from>
        <xdr:to>
          <xdr:col>2</xdr:col>
          <xdr:colOff>838200</xdr:colOff>
          <xdr:row>731</xdr:row>
          <xdr:rowOff>95250</xdr:rowOff>
        </xdr:to>
        <xdr:sp macro="" textlink="">
          <xdr:nvSpPr>
            <xdr:cNvPr id="8242" name="Button 50" hidden="1">
              <a:extLst>
                <a:ext uri="{63B3BB69-23CF-44E3-9099-C40C66FF867C}">
                  <a14:compatExt spid="_x0000_s8242"/>
                </a:ext>
                <a:ext uri="{FF2B5EF4-FFF2-40B4-BE49-F238E27FC236}">
                  <a16:creationId xmlns:a16="http://schemas.microsoft.com/office/drawing/2014/main" id="{00000000-0008-0000-1600-000032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724</xdr:row>
      <xdr:rowOff>0</xdr:rowOff>
    </xdr:from>
    <xdr:to>
      <xdr:col>14</xdr:col>
      <xdr:colOff>382500</xdr:colOff>
      <xdr:row>737</xdr:row>
      <xdr:rowOff>48262</xdr:rowOff>
    </xdr:to>
    <xdr:graphicFrame macro="">
      <xdr:nvGraphicFramePr>
        <xdr:cNvPr id="293" name="生データグラフ45">
          <a:extLst>
            <a:ext uri="{FF2B5EF4-FFF2-40B4-BE49-F238E27FC236}">
              <a16:creationId xmlns:a16="http://schemas.microsoft.com/office/drawing/2014/main" id="{00000000-0008-0000-1600-00002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7"/>
        </a:graphicData>
      </a:graphic>
    </xdr:graphicFrame>
    <xdr:clientData/>
  </xdr:twoCellAnchor>
  <xdr:twoCellAnchor>
    <xdr:from>
      <xdr:col>15</xdr:col>
      <xdr:colOff>0</xdr:colOff>
      <xdr:row>724</xdr:row>
      <xdr:rowOff>0</xdr:rowOff>
    </xdr:from>
    <xdr:to>
      <xdr:col>20</xdr:col>
      <xdr:colOff>382500</xdr:colOff>
      <xdr:row>737</xdr:row>
      <xdr:rowOff>48262</xdr:rowOff>
    </xdr:to>
    <xdr:graphicFrame macro="">
      <xdr:nvGraphicFramePr>
        <xdr:cNvPr id="294" name="スコアグラフ45">
          <a:extLst>
            <a:ext uri="{FF2B5EF4-FFF2-40B4-BE49-F238E27FC236}">
              <a16:creationId xmlns:a16="http://schemas.microsoft.com/office/drawing/2014/main" id="{00000000-0008-0000-1600-00002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745</xdr:row>
          <xdr:rowOff>38100</xdr:rowOff>
        </xdr:from>
        <xdr:to>
          <xdr:col>2</xdr:col>
          <xdr:colOff>838200</xdr:colOff>
          <xdr:row>746</xdr:row>
          <xdr:rowOff>95250</xdr:rowOff>
        </xdr:to>
        <xdr:sp macro="" textlink="">
          <xdr:nvSpPr>
            <xdr:cNvPr id="8243" name="Button 51" hidden="1">
              <a:extLst>
                <a:ext uri="{63B3BB69-23CF-44E3-9099-C40C66FF867C}">
                  <a14:compatExt spid="_x0000_s8243"/>
                </a:ext>
                <a:ext uri="{FF2B5EF4-FFF2-40B4-BE49-F238E27FC236}">
                  <a16:creationId xmlns:a16="http://schemas.microsoft.com/office/drawing/2014/main" id="{00000000-0008-0000-1600-000033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739</xdr:row>
      <xdr:rowOff>0</xdr:rowOff>
    </xdr:from>
    <xdr:to>
      <xdr:col>14</xdr:col>
      <xdr:colOff>382500</xdr:colOff>
      <xdr:row>752</xdr:row>
      <xdr:rowOff>48262</xdr:rowOff>
    </xdr:to>
    <xdr:graphicFrame macro="">
      <xdr:nvGraphicFramePr>
        <xdr:cNvPr id="442" name="生データグラフ46">
          <a:extLst>
            <a:ext uri="{FF2B5EF4-FFF2-40B4-BE49-F238E27FC236}">
              <a16:creationId xmlns:a16="http://schemas.microsoft.com/office/drawing/2014/main" id="{00000000-0008-0000-1600-0000B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9"/>
        </a:graphicData>
      </a:graphic>
    </xdr:graphicFrame>
    <xdr:clientData/>
  </xdr:twoCellAnchor>
  <xdr:twoCellAnchor>
    <xdr:from>
      <xdr:col>15</xdr:col>
      <xdr:colOff>0</xdr:colOff>
      <xdr:row>739</xdr:row>
      <xdr:rowOff>0</xdr:rowOff>
    </xdr:from>
    <xdr:to>
      <xdr:col>20</xdr:col>
      <xdr:colOff>382500</xdr:colOff>
      <xdr:row>752</xdr:row>
      <xdr:rowOff>48262</xdr:rowOff>
    </xdr:to>
    <xdr:graphicFrame macro="">
      <xdr:nvGraphicFramePr>
        <xdr:cNvPr id="443" name="スコアグラフ46">
          <a:extLst>
            <a:ext uri="{FF2B5EF4-FFF2-40B4-BE49-F238E27FC236}">
              <a16:creationId xmlns:a16="http://schemas.microsoft.com/office/drawing/2014/main" id="{00000000-0008-0000-1600-0000B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760</xdr:row>
          <xdr:rowOff>38100</xdr:rowOff>
        </xdr:from>
        <xdr:to>
          <xdr:col>2</xdr:col>
          <xdr:colOff>838200</xdr:colOff>
          <xdr:row>761</xdr:row>
          <xdr:rowOff>95250</xdr:rowOff>
        </xdr:to>
        <xdr:sp macro="" textlink="">
          <xdr:nvSpPr>
            <xdr:cNvPr id="8244" name="Button 52" hidden="1">
              <a:extLst>
                <a:ext uri="{63B3BB69-23CF-44E3-9099-C40C66FF867C}">
                  <a14:compatExt spid="_x0000_s8244"/>
                </a:ext>
                <a:ext uri="{FF2B5EF4-FFF2-40B4-BE49-F238E27FC236}">
                  <a16:creationId xmlns:a16="http://schemas.microsoft.com/office/drawing/2014/main" id="{00000000-0008-0000-1600-000034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754</xdr:row>
      <xdr:rowOff>0</xdr:rowOff>
    </xdr:from>
    <xdr:to>
      <xdr:col>14</xdr:col>
      <xdr:colOff>382500</xdr:colOff>
      <xdr:row>767</xdr:row>
      <xdr:rowOff>48262</xdr:rowOff>
    </xdr:to>
    <xdr:graphicFrame macro="">
      <xdr:nvGraphicFramePr>
        <xdr:cNvPr id="444" name="生データグラフ47">
          <a:extLst>
            <a:ext uri="{FF2B5EF4-FFF2-40B4-BE49-F238E27FC236}">
              <a16:creationId xmlns:a16="http://schemas.microsoft.com/office/drawing/2014/main" id="{00000000-0008-0000-1600-0000B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1"/>
        </a:graphicData>
      </a:graphic>
    </xdr:graphicFrame>
    <xdr:clientData/>
  </xdr:twoCellAnchor>
  <xdr:twoCellAnchor>
    <xdr:from>
      <xdr:col>15</xdr:col>
      <xdr:colOff>0</xdr:colOff>
      <xdr:row>754</xdr:row>
      <xdr:rowOff>0</xdr:rowOff>
    </xdr:from>
    <xdr:to>
      <xdr:col>20</xdr:col>
      <xdr:colOff>382500</xdr:colOff>
      <xdr:row>767</xdr:row>
      <xdr:rowOff>48262</xdr:rowOff>
    </xdr:to>
    <xdr:graphicFrame macro="">
      <xdr:nvGraphicFramePr>
        <xdr:cNvPr id="445" name="スコアグラフ47">
          <a:extLst>
            <a:ext uri="{FF2B5EF4-FFF2-40B4-BE49-F238E27FC236}">
              <a16:creationId xmlns:a16="http://schemas.microsoft.com/office/drawing/2014/main" id="{00000000-0008-0000-1600-0000B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775</xdr:row>
          <xdr:rowOff>38100</xdr:rowOff>
        </xdr:from>
        <xdr:to>
          <xdr:col>2</xdr:col>
          <xdr:colOff>838200</xdr:colOff>
          <xdr:row>776</xdr:row>
          <xdr:rowOff>95250</xdr:rowOff>
        </xdr:to>
        <xdr:sp macro="" textlink="">
          <xdr:nvSpPr>
            <xdr:cNvPr id="8245" name="Button 53" hidden="1">
              <a:extLst>
                <a:ext uri="{63B3BB69-23CF-44E3-9099-C40C66FF867C}">
                  <a14:compatExt spid="_x0000_s8245"/>
                </a:ext>
                <a:ext uri="{FF2B5EF4-FFF2-40B4-BE49-F238E27FC236}">
                  <a16:creationId xmlns:a16="http://schemas.microsoft.com/office/drawing/2014/main" id="{00000000-0008-0000-1600-000035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769</xdr:row>
      <xdr:rowOff>0</xdr:rowOff>
    </xdr:from>
    <xdr:to>
      <xdr:col>14</xdr:col>
      <xdr:colOff>382500</xdr:colOff>
      <xdr:row>782</xdr:row>
      <xdr:rowOff>48262</xdr:rowOff>
    </xdr:to>
    <xdr:graphicFrame macro="">
      <xdr:nvGraphicFramePr>
        <xdr:cNvPr id="446" name="生データグラフ48">
          <a:extLst>
            <a:ext uri="{FF2B5EF4-FFF2-40B4-BE49-F238E27FC236}">
              <a16:creationId xmlns:a16="http://schemas.microsoft.com/office/drawing/2014/main" id="{00000000-0008-0000-1600-0000B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3"/>
        </a:graphicData>
      </a:graphic>
    </xdr:graphicFrame>
    <xdr:clientData/>
  </xdr:twoCellAnchor>
  <xdr:twoCellAnchor>
    <xdr:from>
      <xdr:col>15</xdr:col>
      <xdr:colOff>0</xdr:colOff>
      <xdr:row>769</xdr:row>
      <xdr:rowOff>0</xdr:rowOff>
    </xdr:from>
    <xdr:to>
      <xdr:col>20</xdr:col>
      <xdr:colOff>382500</xdr:colOff>
      <xdr:row>782</xdr:row>
      <xdr:rowOff>48262</xdr:rowOff>
    </xdr:to>
    <xdr:graphicFrame macro="">
      <xdr:nvGraphicFramePr>
        <xdr:cNvPr id="447" name="スコアグラフ48">
          <a:extLst>
            <a:ext uri="{FF2B5EF4-FFF2-40B4-BE49-F238E27FC236}">
              <a16:creationId xmlns:a16="http://schemas.microsoft.com/office/drawing/2014/main" id="{00000000-0008-0000-1600-0000B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790</xdr:row>
          <xdr:rowOff>38100</xdr:rowOff>
        </xdr:from>
        <xdr:to>
          <xdr:col>2</xdr:col>
          <xdr:colOff>838200</xdr:colOff>
          <xdr:row>791</xdr:row>
          <xdr:rowOff>95250</xdr:rowOff>
        </xdr:to>
        <xdr:sp macro="" textlink="">
          <xdr:nvSpPr>
            <xdr:cNvPr id="8246" name="Button 54" hidden="1">
              <a:extLst>
                <a:ext uri="{63B3BB69-23CF-44E3-9099-C40C66FF867C}">
                  <a14:compatExt spid="_x0000_s8246"/>
                </a:ext>
                <a:ext uri="{FF2B5EF4-FFF2-40B4-BE49-F238E27FC236}">
                  <a16:creationId xmlns:a16="http://schemas.microsoft.com/office/drawing/2014/main" id="{00000000-0008-0000-1600-000036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784</xdr:row>
      <xdr:rowOff>0</xdr:rowOff>
    </xdr:from>
    <xdr:to>
      <xdr:col>14</xdr:col>
      <xdr:colOff>382500</xdr:colOff>
      <xdr:row>797</xdr:row>
      <xdr:rowOff>48262</xdr:rowOff>
    </xdr:to>
    <xdr:graphicFrame macro="">
      <xdr:nvGraphicFramePr>
        <xdr:cNvPr id="448" name="生データグラフ49">
          <a:extLst>
            <a:ext uri="{FF2B5EF4-FFF2-40B4-BE49-F238E27FC236}">
              <a16:creationId xmlns:a16="http://schemas.microsoft.com/office/drawing/2014/main" id="{00000000-0008-0000-1600-0000C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5"/>
        </a:graphicData>
      </a:graphic>
    </xdr:graphicFrame>
    <xdr:clientData/>
  </xdr:twoCellAnchor>
  <xdr:twoCellAnchor>
    <xdr:from>
      <xdr:col>15</xdr:col>
      <xdr:colOff>0</xdr:colOff>
      <xdr:row>784</xdr:row>
      <xdr:rowOff>0</xdr:rowOff>
    </xdr:from>
    <xdr:to>
      <xdr:col>20</xdr:col>
      <xdr:colOff>382500</xdr:colOff>
      <xdr:row>797</xdr:row>
      <xdr:rowOff>48262</xdr:rowOff>
    </xdr:to>
    <xdr:graphicFrame macro="">
      <xdr:nvGraphicFramePr>
        <xdr:cNvPr id="449" name="スコアグラフ49">
          <a:extLst>
            <a:ext uri="{FF2B5EF4-FFF2-40B4-BE49-F238E27FC236}">
              <a16:creationId xmlns:a16="http://schemas.microsoft.com/office/drawing/2014/main" id="{00000000-0008-0000-1600-0000C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805</xdr:row>
          <xdr:rowOff>38100</xdr:rowOff>
        </xdr:from>
        <xdr:to>
          <xdr:col>2</xdr:col>
          <xdr:colOff>838200</xdr:colOff>
          <xdr:row>806</xdr:row>
          <xdr:rowOff>95250</xdr:rowOff>
        </xdr:to>
        <xdr:sp macro="" textlink="">
          <xdr:nvSpPr>
            <xdr:cNvPr id="8247" name="Button 55" hidden="1">
              <a:extLst>
                <a:ext uri="{63B3BB69-23CF-44E3-9099-C40C66FF867C}">
                  <a14:compatExt spid="_x0000_s8247"/>
                </a:ext>
                <a:ext uri="{FF2B5EF4-FFF2-40B4-BE49-F238E27FC236}">
                  <a16:creationId xmlns:a16="http://schemas.microsoft.com/office/drawing/2014/main" id="{00000000-0008-0000-1600-000037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799</xdr:row>
      <xdr:rowOff>0</xdr:rowOff>
    </xdr:from>
    <xdr:to>
      <xdr:col>14</xdr:col>
      <xdr:colOff>382500</xdr:colOff>
      <xdr:row>812</xdr:row>
      <xdr:rowOff>48262</xdr:rowOff>
    </xdr:to>
    <xdr:graphicFrame macro="">
      <xdr:nvGraphicFramePr>
        <xdr:cNvPr id="450" name="生データグラフ50">
          <a:extLst>
            <a:ext uri="{FF2B5EF4-FFF2-40B4-BE49-F238E27FC236}">
              <a16:creationId xmlns:a16="http://schemas.microsoft.com/office/drawing/2014/main" id="{00000000-0008-0000-1600-0000C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7"/>
        </a:graphicData>
      </a:graphic>
    </xdr:graphicFrame>
    <xdr:clientData/>
  </xdr:twoCellAnchor>
  <xdr:twoCellAnchor>
    <xdr:from>
      <xdr:col>15</xdr:col>
      <xdr:colOff>0</xdr:colOff>
      <xdr:row>799</xdr:row>
      <xdr:rowOff>0</xdr:rowOff>
    </xdr:from>
    <xdr:to>
      <xdr:col>20</xdr:col>
      <xdr:colOff>382500</xdr:colOff>
      <xdr:row>812</xdr:row>
      <xdr:rowOff>48262</xdr:rowOff>
    </xdr:to>
    <xdr:graphicFrame macro="">
      <xdr:nvGraphicFramePr>
        <xdr:cNvPr id="451" name="スコアグラフ50">
          <a:extLst>
            <a:ext uri="{FF2B5EF4-FFF2-40B4-BE49-F238E27FC236}">
              <a16:creationId xmlns:a16="http://schemas.microsoft.com/office/drawing/2014/main" id="{00000000-0008-0000-1600-0000C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820</xdr:row>
          <xdr:rowOff>38100</xdr:rowOff>
        </xdr:from>
        <xdr:to>
          <xdr:col>2</xdr:col>
          <xdr:colOff>838200</xdr:colOff>
          <xdr:row>821</xdr:row>
          <xdr:rowOff>95250</xdr:rowOff>
        </xdr:to>
        <xdr:sp macro="" textlink="">
          <xdr:nvSpPr>
            <xdr:cNvPr id="8248" name="Button 56" hidden="1">
              <a:extLst>
                <a:ext uri="{63B3BB69-23CF-44E3-9099-C40C66FF867C}">
                  <a14:compatExt spid="_x0000_s8248"/>
                </a:ext>
                <a:ext uri="{FF2B5EF4-FFF2-40B4-BE49-F238E27FC236}">
                  <a16:creationId xmlns:a16="http://schemas.microsoft.com/office/drawing/2014/main" id="{00000000-0008-0000-1600-000038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814</xdr:row>
      <xdr:rowOff>0</xdr:rowOff>
    </xdr:from>
    <xdr:to>
      <xdr:col>14</xdr:col>
      <xdr:colOff>382500</xdr:colOff>
      <xdr:row>827</xdr:row>
      <xdr:rowOff>48262</xdr:rowOff>
    </xdr:to>
    <xdr:graphicFrame macro="">
      <xdr:nvGraphicFramePr>
        <xdr:cNvPr id="452" name="生データグラフ51">
          <a:extLst>
            <a:ext uri="{FF2B5EF4-FFF2-40B4-BE49-F238E27FC236}">
              <a16:creationId xmlns:a16="http://schemas.microsoft.com/office/drawing/2014/main" id="{00000000-0008-0000-1600-0000C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9"/>
        </a:graphicData>
      </a:graphic>
    </xdr:graphicFrame>
    <xdr:clientData/>
  </xdr:twoCellAnchor>
  <xdr:twoCellAnchor>
    <xdr:from>
      <xdr:col>15</xdr:col>
      <xdr:colOff>0</xdr:colOff>
      <xdr:row>814</xdr:row>
      <xdr:rowOff>0</xdr:rowOff>
    </xdr:from>
    <xdr:to>
      <xdr:col>20</xdr:col>
      <xdr:colOff>382500</xdr:colOff>
      <xdr:row>827</xdr:row>
      <xdr:rowOff>48262</xdr:rowOff>
    </xdr:to>
    <xdr:graphicFrame macro="">
      <xdr:nvGraphicFramePr>
        <xdr:cNvPr id="453" name="スコアグラフ51">
          <a:extLst>
            <a:ext uri="{FF2B5EF4-FFF2-40B4-BE49-F238E27FC236}">
              <a16:creationId xmlns:a16="http://schemas.microsoft.com/office/drawing/2014/main" id="{00000000-0008-0000-1600-0000C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835</xdr:row>
          <xdr:rowOff>38100</xdr:rowOff>
        </xdr:from>
        <xdr:to>
          <xdr:col>2</xdr:col>
          <xdr:colOff>838200</xdr:colOff>
          <xdr:row>836</xdr:row>
          <xdr:rowOff>95250</xdr:rowOff>
        </xdr:to>
        <xdr:sp macro="" textlink="">
          <xdr:nvSpPr>
            <xdr:cNvPr id="8249" name="Button 57" hidden="1">
              <a:extLst>
                <a:ext uri="{63B3BB69-23CF-44E3-9099-C40C66FF867C}">
                  <a14:compatExt spid="_x0000_s8249"/>
                </a:ext>
                <a:ext uri="{FF2B5EF4-FFF2-40B4-BE49-F238E27FC236}">
                  <a16:creationId xmlns:a16="http://schemas.microsoft.com/office/drawing/2014/main" id="{00000000-0008-0000-1600-000039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829</xdr:row>
      <xdr:rowOff>0</xdr:rowOff>
    </xdr:from>
    <xdr:to>
      <xdr:col>14</xdr:col>
      <xdr:colOff>382500</xdr:colOff>
      <xdr:row>842</xdr:row>
      <xdr:rowOff>48262</xdr:rowOff>
    </xdr:to>
    <xdr:graphicFrame macro="">
      <xdr:nvGraphicFramePr>
        <xdr:cNvPr id="454" name="生データグラフ52">
          <a:extLst>
            <a:ext uri="{FF2B5EF4-FFF2-40B4-BE49-F238E27FC236}">
              <a16:creationId xmlns:a16="http://schemas.microsoft.com/office/drawing/2014/main" id="{00000000-0008-0000-1600-0000C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1"/>
        </a:graphicData>
      </a:graphic>
    </xdr:graphicFrame>
    <xdr:clientData/>
  </xdr:twoCellAnchor>
  <xdr:twoCellAnchor>
    <xdr:from>
      <xdr:col>15</xdr:col>
      <xdr:colOff>0</xdr:colOff>
      <xdr:row>829</xdr:row>
      <xdr:rowOff>0</xdr:rowOff>
    </xdr:from>
    <xdr:to>
      <xdr:col>20</xdr:col>
      <xdr:colOff>382500</xdr:colOff>
      <xdr:row>842</xdr:row>
      <xdr:rowOff>48262</xdr:rowOff>
    </xdr:to>
    <xdr:graphicFrame macro="">
      <xdr:nvGraphicFramePr>
        <xdr:cNvPr id="455" name="スコアグラフ52">
          <a:extLst>
            <a:ext uri="{FF2B5EF4-FFF2-40B4-BE49-F238E27FC236}">
              <a16:creationId xmlns:a16="http://schemas.microsoft.com/office/drawing/2014/main" id="{00000000-0008-0000-1600-0000C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850</xdr:row>
          <xdr:rowOff>38100</xdr:rowOff>
        </xdr:from>
        <xdr:to>
          <xdr:col>2</xdr:col>
          <xdr:colOff>838200</xdr:colOff>
          <xdr:row>851</xdr:row>
          <xdr:rowOff>95250</xdr:rowOff>
        </xdr:to>
        <xdr:sp macro="" textlink="">
          <xdr:nvSpPr>
            <xdr:cNvPr id="8250" name="Button 58" hidden="1">
              <a:extLst>
                <a:ext uri="{63B3BB69-23CF-44E3-9099-C40C66FF867C}">
                  <a14:compatExt spid="_x0000_s8250"/>
                </a:ext>
                <a:ext uri="{FF2B5EF4-FFF2-40B4-BE49-F238E27FC236}">
                  <a16:creationId xmlns:a16="http://schemas.microsoft.com/office/drawing/2014/main" id="{00000000-0008-0000-1600-00003A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844</xdr:row>
      <xdr:rowOff>0</xdr:rowOff>
    </xdr:from>
    <xdr:to>
      <xdr:col>14</xdr:col>
      <xdr:colOff>382500</xdr:colOff>
      <xdr:row>857</xdr:row>
      <xdr:rowOff>48262</xdr:rowOff>
    </xdr:to>
    <xdr:graphicFrame macro="">
      <xdr:nvGraphicFramePr>
        <xdr:cNvPr id="456" name="生データグラフ53">
          <a:extLst>
            <a:ext uri="{FF2B5EF4-FFF2-40B4-BE49-F238E27FC236}">
              <a16:creationId xmlns:a16="http://schemas.microsoft.com/office/drawing/2014/main" id="{00000000-0008-0000-1600-0000C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3"/>
        </a:graphicData>
      </a:graphic>
    </xdr:graphicFrame>
    <xdr:clientData/>
  </xdr:twoCellAnchor>
  <xdr:twoCellAnchor>
    <xdr:from>
      <xdr:col>15</xdr:col>
      <xdr:colOff>0</xdr:colOff>
      <xdr:row>844</xdr:row>
      <xdr:rowOff>0</xdr:rowOff>
    </xdr:from>
    <xdr:to>
      <xdr:col>20</xdr:col>
      <xdr:colOff>382500</xdr:colOff>
      <xdr:row>857</xdr:row>
      <xdr:rowOff>48262</xdr:rowOff>
    </xdr:to>
    <xdr:graphicFrame macro="">
      <xdr:nvGraphicFramePr>
        <xdr:cNvPr id="457" name="スコアグラフ53">
          <a:extLst>
            <a:ext uri="{FF2B5EF4-FFF2-40B4-BE49-F238E27FC236}">
              <a16:creationId xmlns:a16="http://schemas.microsoft.com/office/drawing/2014/main" id="{00000000-0008-0000-1600-0000C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865</xdr:row>
          <xdr:rowOff>38100</xdr:rowOff>
        </xdr:from>
        <xdr:to>
          <xdr:col>2</xdr:col>
          <xdr:colOff>838200</xdr:colOff>
          <xdr:row>866</xdr:row>
          <xdr:rowOff>95250</xdr:rowOff>
        </xdr:to>
        <xdr:sp macro="" textlink="">
          <xdr:nvSpPr>
            <xdr:cNvPr id="8251" name="Button 59" hidden="1">
              <a:extLst>
                <a:ext uri="{63B3BB69-23CF-44E3-9099-C40C66FF867C}">
                  <a14:compatExt spid="_x0000_s8251"/>
                </a:ext>
                <a:ext uri="{FF2B5EF4-FFF2-40B4-BE49-F238E27FC236}">
                  <a16:creationId xmlns:a16="http://schemas.microsoft.com/office/drawing/2014/main" id="{00000000-0008-0000-1600-00003B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859</xdr:row>
      <xdr:rowOff>0</xdr:rowOff>
    </xdr:from>
    <xdr:to>
      <xdr:col>14</xdr:col>
      <xdr:colOff>382500</xdr:colOff>
      <xdr:row>872</xdr:row>
      <xdr:rowOff>48262</xdr:rowOff>
    </xdr:to>
    <xdr:graphicFrame macro="">
      <xdr:nvGraphicFramePr>
        <xdr:cNvPr id="458" name="生データグラフ54">
          <a:extLst>
            <a:ext uri="{FF2B5EF4-FFF2-40B4-BE49-F238E27FC236}">
              <a16:creationId xmlns:a16="http://schemas.microsoft.com/office/drawing/2014/main" id="{00000000-0008-0000-1600-0000C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5"/>
        </a:graphicData>
      </a:graphic>
    </xdr:graphicFrame>
    <xdr:clientData/>
  </xdr:twoCellAnchor>
  <xdr:twoCellAnchor>
    <xdr:from>
      <xdr:col>15</xdr:col>
      <xdr:colOff>0</xdr:colOff>
      <xdr:row>859</xdr:row>
      <xdr:rowOff>0</xdr:rowOff>
    </xdr:from>
    <xdr:to>
      <xdr:col>20</xdr:col>
      <xdr:colOff>382500</xdr:colOff>
      <xdr:row>872</xdr:row>
      <xdr:rowOff>48262</xdr:rowOff>
    </xdr:to>
    <xdr:graphicFrame macro="">
      <xdr:nvGraphicFramePr>
        <xdr:cNvPr id="459" name="スコアグラフ54">
          <a:extLst>
            <a:ext uri="{FF2B5EF4-FFF2-40B4-BE49-F238E27FC236}">
              <a16:creationId xmlns:a16="http://schemas.microsoft.com/office/drawing/2014/main" id="{00000000-0008-0000-1600-0000C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880</xdr:row>
          <xdr:rowOff>38100</xdr:rowOff>
        </xdr:from>
        <xdr:to>
          <xdr:col>2</xdr:col>
          <xdr:colOff>838200</xdr:colOff>
          <xdr:row>881</xdr:row>
          <xdr:rowOff>95250</xdr:rowOff>
        </xdr:to>
        <xdr:sp macro="" textlink="">
          <xdr:nvSpPr>
            <xdr:cNvPr id="8252" name="Button 60" hidden="1">
              <a:extLst>
                <a:ext uri="{63B3BB69-23CF-44E3-9099-C40C66FF867C}">
                  <a14:compatExt spid="_x0000_s8252"/>
                </a:ext>
                <a:ext uri="{FF2B5EF4-FFF2-40B4-BE49-F238E27FC236}">
                  <a16:creationId xmlns:a16="http://schemas.microsoft.com/office/drawing/2014/main" id="{00000000-0008-0000-1600-00003C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874</xdr:row>
      <xdr:rowOff>0</xdr:rowOff>
    </xdr:from>
    <xdr:to>
      <xdr:col>14</xdr:col>
      <xdr:colOff>382500</xdr:colOff>
      <xdr:row>887</xdr:row>
      <xdr:rowOff>48262</xdr:rowOff>
    </xdr:to>
    <xdr:graphicFrame macro="">
      <xdr:nvGraphicFramePr>
        <xdr:cNvPr id="460" name="生データグラフ55">
          <a:extLst>
            <a:ext uri="{FF2B5EF4-FFF2-40B4-BE49-F238E27FC236}">
              <a16:creationId xmlns:a16="http://schemas.microsoft.com/office/drawing/2014/main" id="{00000000-0008-0000-1600-0000C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7"/>
        </a:graphicData>
      </a:graphic>
    </xdr:graphicFrame>
    <xdr:clientData/>
  </xdr:twoCellAnchor>
  <xdr:twoCellAnchor>
    <xdr:from>
      <xdr:col>15</xdr:col>
      <xdr:colOff>0</xdr:colOff>
      <xdr:row>874</xdr:row>
      <xdr:rowOff>0</xdr:rowOff>
    </xdr:from>
    <xdr:to>
      <xdr:col>20</xdr:col>
      <xdr:colOff>382500</xdr:colOff>
      <xdr:row>887</xdr:row>
      <xdr:rowOff>48262</xdr:rowOff>
    </xdr:to>
    <xdr:graphicFrame macro="">
      <xdr:nvGraphicFramePr>
        <xdr:cNvPr id="461" name="スコアグラフ55">
          <a:extLst>
            <a:ext uri="{FF2B5EF4-FFF2-40B4-BE49-F238E27FC236}">
              <a16:creationId xmlns:a16="http://schemas.microsoft.com/office/drawing/2014/main" id="{00000000-0008-0000-1600-0000C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895</xdr:row>
          <xdr:rowOff>38100</xdr:rowOff>
        </xdr:from>
        <xdr:to>
          <xdr:col>2</xdr:col>
          <xdr:colOff>838200</xdr:colOff>
          <xdr:row>896</xdr:row>
          <xdr:rowOff>95250</xdr:rowOff>
        </xdr:to>
        <xdr:sp macro="" textlink="">
          <xdr:nvSpPr>
            <xdr:cNvPr id="8253" name="Button 61" hidden="1">
              <a:extLst>
                <a:ext uri="{63B3BB69-23CF-44E3-9099-C40C66FF867C}">
                  <a14:compatExt spid="_x0000_s8253"/>
                </a:ext>
                <a:ext uri="{FF2B5EF4-FFF2-40B4-BE49-F238E27FC236}">
                  <a16:creationId xmlns:a16="http://schemas.microsoft.com/office/drawing/2014/main" id="{00000000-0008-0000-1600-00003D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889</xdr:row>
      <xdr:rowOff>0</xdr:rowOff>
    </xdr:from>
    <xdr:to>
      <xdr:col>14</xdr:col>
      <xdr:colOff>382500</xdr:colOff>
      <xdr:row>902</xdr:row>
      <xdr:rowOff>48262</xdr:rowOff>
    </xdr:to>
    <xdr:graphicFrame macro="">
      <xdr:nvGraphicFramePr>
        <xdr:cNvPr id="462" name="生データグラフ56">
          <a:extLst>
            <a:ext uri="{FF2B5EF4-FFF2-40B4-BE49-F238E27FC236}">
              <a16:creationId xmlns:a16="http://schemas.microsoft.com/office/drawing/2014/main" id="{00000000-0008-0000-1600-0000C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9"/>
        </a:graphicData>
      </a:graphic>
    </xdr:graphicFrame>
    <xdr:clientData/>
  </xdr:twoCellAnchor>
  <xdr:twoCellAnchor>
    <xdr:from>
      <xdr:col>15</xdr:col>
      <xdr:colOff>0</xdr:colOff>
      <xdr:row>889</xdr:row>
      <xdr:rowOff>0</xdr:rowOff>
    </xdr:from>
    <xdr:to>
      <xdr:col>20</xdr:col>
      <xdr:colOff>382500</xdr:colOff>
      <xdr:row>902</xdr:row>
      <xdr:rowOff>48262</xdr:rowOff>
    </xdr:to>
    <xdr:graphicFrame macro="">
      <xdr:nvGraphicFramePr>
        <xdr:cNvPr id="463" name="スコアグラフ56">
          <a:extLst>
            <a:ext uri="{FF2B5EF4-FFF2-40B4-BE49-F238E27FC236}">
              <a16:creationId xmlns:a16="http://schemas.microsoft.com/office/drawing/2014/main" id="{00000000-0008-0000-1600-0000C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910</xdr:row>
          <xdr:rowOff>38100</xdr:rowOff>
        </xdr:from>
        <xdr:to>
          <xdr:col>2</xdr:col>
          <xdr:colOff>838200</xdr:colOff>
          <xdr:row>911</xdr:row>
          <xdr:rowOff>95250</xdr:rowOff>
        </xdr:to>
        <xdr:sp macro="" textlink="">
          <xdr:nvSpPr>
            <xdr:cNvPr id="8254" name="Button 62" hidden="1">
              <a:extLst>
                <a:ext uri="{63B3BB69-23CF-44E3-9099-C40C66FF867C}">
                  <a14:compatExt spid="_x0000_s8254"/>
                </a:ext>
                <a:ext uri="{FF2B5EF4-FFF2-40B4-BE49-F238E27FC236}">
                  <a16:creationId xmlns:a16="http://schemas.microsoft.com/office/drawing/2014/main" id="{00000000-0008-0000-1600-00003E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904</xdr:row>
      <xdr:rowOff>0</xdr:rowOff>
    </xdr:from>
    <xdr:to>
      <xdr:col>14</xdr:col>
      <xdr:colOff>382500</xdr:colOff>
      <xdr:row>917</xdr:row>
      <xdr:rowOff>48262</xdr:rowOff>
    </xdr:to>
    <xdr:graphicFrame macro="">
      <xdr:nvGraphicFramePr>
        <xdr:cNvPr id="464" name="生データグラフ57">
          <a:extLst>
            <a:ext uri="{FF2B5EF4-FFF2-40B4-BE49-F238E27FC236}">
              <a16:creationId xmlns:a16="http://schemas.microsoft.com/office/drawing/2014/main" id="{00000000-0008-0000-1600-0000D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1"/>
        </a:graphicData>
      </a:graphic>
    </xdr:graphicFrame>
    <xdr:clientData/>
  </xdr:twoCellAnchor>
  <xdr:twoCellAnchor>
    <xdr:from>
      <xdr:col>15</xdr:col>
      <xdr:colOff>0</xdr:colOff>
      <xdr:row>904</xdr:row>
      <xdr:rowOff>0</xdr:rowOff>
    </xdr:from>
    <xdr:to>
      <xdr:col>20</xdr:col>
      <xdr:colOff>382500</xdr:colOff>
      <xdr:row>917</xdr:row>
      <xdr:rowOff>48262</xdr:rowOff>
    </xdr:to>
    <xdr:graphicFrame macro="">
      <xdr:nvGraphicFramePr>
        <xdr:cNvPr id="465" name="スコアグラフ57">
          <a:extLst>
            <a:ext uri="{FF2B5EF4-FFF2-40B4-BE49-F238E27FC236}">
              <a16:creationId xmlns:a16="http://schemas.microsoft.com/office/drawing/2014/main" id="{00000000-0008-0000-1600-0000D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925</xdr:row>
          <xdr:rowOff>38100</xdr:rowOff>
        </xdr:from>
        <xdr:to>
          <xdr:col>2</xdr:col>
          <xdr:colOff>838200</xdr:colOff>
          <xdr:row>926</xdr:row>
          <xdr:rowOff>95250</xdr:rowOff>
        </xdr:to>
        <xdr:sp macro="" textlink="">
          <xdr:nvSpPr>
            <xdr:cNvPr id="8255" name="Button 63" hidden="1">
              <a:extLst>
                <a:ext uri="{63B3BB69-23CF-44E3-9099-C40C66FF867C}">
                  <a14:compatExt spid="_x0000_s8255"/>
                </a:ext>
                <a:ext uri="{FF2B5EF4-FFF2-40B4-BE49-F238E27FC236}">
                  <a16:creationId xmlns:a16="http://schemas.microsoft.com/office/drawing/2014/main" id="{00000000-0008-0000-1600-00003F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919</xdr:row>
      <xdr:rowOff>0</xdr:rowOff>
    </xdr:from>
    <xdr:to>
      <xdr:col>14</xdr:col>
      <xdr:colOff>382500</xdr:colOff>
      <xdr:row>932</xdr:row>
      <xdr:rowOff>48262</xdr:rowOff>
    </xdr:to>
    <xdr:graphicFrame macro="">
      <xdr:nvGraphicFramePr>
        <xdr:cNvPr id="466" name="生データグラフ58">
          <a:extLst>
            <a:ext uri="{FF2B5EF4-FFF2-40B4-BE49-F238E27FC236}">
              <a16:creationId xmlns:a16="http://schemas.microsoft.com/office/drawing/2014/main" id="{00000000-0008-0000-1600-0000D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3"/>
        </a:graphicData>
      </a:graphic>
    </xdr:graphicFrame>
    <xdr:clientData/>
  </xdr:twoCellAnchor>
  <xdr:twoCellAnchor>
    <xdr:from>
      <xdr:col>15</xdr:col>
      <xdr:colOff>0</xdr:colOff>
      <xdr:row>919</xdr:row>
      <xdr:rowOff>0</xdr:rowOff>
    </xdr:from>
    <xdr:to>
      <xdr:col>20</xdr:col>
      <xdr:colOff>382500</xdr:colOff>
      <xdr:row>932</xdr:row>
      <xdr:rowOff>48262</xdr:rowOff>
    </xdr:to>
    <xdr:graphicFrame macro="">
      <xdr:nvGraphicFramePr>
        <xdr:cNvPr id="467" name="スコアグラフ58">
          <a:extLst>
            <a:ext uri="{FF2B5EF4-FFF2-40B4-BE49-F238E27FC236}">
              <a16:creationId xmlns:a16="http://schemas.microsoft.com/office/drawing/2014/main" id="{00000000-0008-0000-1600-0000D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940</xdr:row>
          <xdr:rowOff>38100</xdr:rowOff>
        </xdr:from>
        <xdr:to>
          <xdr:col>2</xdr:col>
          <xdr:colOff>838200</xdr:colOff>
          <xdr:row>941</xdr:row>
          <xdr:rowOff>95250</xdr:rowOff>
        </xdr:to>
        <xdr:sp macro="" textlink="">
          <xdr:nvSpPr>
            <xdr:cNvPr id="8256" name="Button 64" hidden="1">
              <a:extLst>
                <a:ext uri="{63B3BB69-23CF-44E3-9099-C40C66FF867C}">
                  <a14:compatExt spid="_x0000_s8256"/>
                </a:ext>
                <a:ext uri="{FF2B5EF4-FFF2-40B4-BE49-F238E27FC236}">
                  <a16:creationId xmlns:a16="http://schemas.microsoft.com/office/drawing/2014/main" id="{00000000-0008-0000-1600-000040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934</xdr:row>
      <xdr:rowOff>0</xdr:rowOff>
    </xdr:from>
    <xdr:to>
      <xdr:col>14</xdr:col>
      <xdr:colOff>382500</xdr:colOff>
      <xdr:row>947</xdr:row>
      <xdr:rowOff>48262</xdr:rowOff>
    </xdr:to>
    <xdr:graphicFrame macro="">
      <xdr:nvGraphicFramePr>
        <xdr:cNvPr id="468" name="生データグラフ59">
          <a:extLst>
            <a:ext uri="{FF2B5EF4-FFF2-40B4-BE49-F238E27FC236}">
              <a16:creationId xmlns:a16="http://schemas.microsoft.com/office/drawing/2014/main" id="{00000000-0008-0000-1600-0000D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5"/>
        </a:graphicData>
      </a:graphic>
    </xdr:graphicFrame>
    <xdr:clientData/>
  </xdr:twoCellAnchor>
  <xdr:twoCellAnchor>
    <xdr:from>
      <xdr:col>15</xdr:col>
      <xdr:colOff>0</xdr:colOff>
      <xdr:row>934</xdr:row>
      <xdr:rowOff>0</xdr:rowOff>
    </xdr:from>
    <xdr:to>
      <xdr:col>20</xdr:col>
      <xdr:colOff>382500</xdr:colOff>
      <xdr:row>947</xdr:row>
      <xdr:rowOff>48262</xdr:rowOff>
    </xdr:to>
    <xdr:graphicFrame macro="">
      <xdr:nvGraphicFramePr>
        <xdr:cNvPr id="469" name="スコアグラフ59">
          <a:extLst>
            <a:ext uri="{FF2B5EF4-FFF2-40B4-BE49-F238E27FC236}">
              <a16:creationId xmlns:a16="http://schemas.microsoft.com/office/drawing/2014/main" id="{00000000-0008-0000-1600-0000D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955</xdr:row>
          <xdr:rowOff>38100</xdr:rowOff>
        </xdr:from>
        <xdr:to>
          <xdr:col>2</xdr:col>
          <xdr:colOff>838200</xdr:colOff>
          <xdr:row>956</xdr:row>
          <xdr:rowOff>95250</xdr:rowOff>
        </xdr:to>
        <xdr:sp macro="" textlink="">
          <xdr:nvSpPr>
            <xdr:cNvPr id="8257" name="Button 65" hidden="1">
              <a:extLst>
                <a:ext uri="{63B3BB69-23CF-44E3-9099-C40C66FF867C}">
                  <a14:compatExt spid="_x0000_s8257"/>
                </a:ext>
                <a:ext uri="{FF2B5EF4-FFF2-40B4-BE49-F238E27FC236}">
                  <a16:creationId xmlns:a16="http://schemas.microsoft.com/office/drawing/2014/main" id="{00000000-0008-0000-1600-000041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949</xdr:row>
      <xdr:rowOff>0</xdr:rowOff>
    </xdr:from>
    <xdr:to>
      <xdr:col>14</xdr:col>
      <xdr:colOff>382500</xdr:colOff>
      <xdr:row>962</xdr:row>
      <xdr:rowOff>48262</xdr:rowOff>
    </xdr:to>
    <xdr:graphicFrame macro="">
      <xdr:nvGraphicFramePr>
        <xdr:cNvPr id="470" name="生データグラフ60">
          <a:extLst>
            <a:ext uri="{FF2B5EF4-FFF2-40B4-BE49-F238E27FC236}">
              <a16:creationId xmlns:a16="http://schemas.microsoft.com/office/drawing/2014/main" id="{00000000-0008-0000-1600-0000D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7"/>
        </a:graphicData>
      </a:graphic>
    </xdr:graphicFrame>
    <xdr:clientData/>
  </xdr:twoCellAnchor>
  <xdr:twoCellAnchor>
    <xdr:from>
      <xdr:col>15</xdr:col>
      <xdr:colOff>0</xdr:colOff>
      <xdr:row>949</xdr:row>
      <xdr:rowOff>0</xdr:rowOff>
    </xdr:from>
    <xdr:to>
      <xdr:col>20</xdr:col>
      <xdr:colOff>382500</xdr:colOff>
      <xdr:row>962</xdr:row>
      <xdr:rowOff>48262</xdr:rowOff>
    </xdr:to>
    <xdr:graphicFrame macro="">
      <xdr:nvGraphicFramePr>
        <xdr:cNvPr id="471" name="スコアグラフ60">
          <a:extLst>
            <a:ext uri="{FF2B5EF4-FFF2-40B4-BE49-F238E27FC236}">
              <a16:creationId xmlns:a16="http://schemas.microsoft.com/office/drawing/2014/main" id="{00000000-0008-0000-1600-0000D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970</xdr:row>
          <xdr:rowOff>38100</xdr:rowOff>
        </xdr:from>
        <xdr:to>
          <xdr:col>2</xdr:col>
          <xdr:colOff>838200</xdr:colOff>
          <xdr:row>971</xdr:row>
          <xdr:rowOff>95250</xdr:rowOff>
        </xdr:to>
        <xdr:sp macro="" textlink="">
          <xdr:nvSpPr>
            <xdr:cNvPr id="8258" name="Button 66" hidden="1">
              <a:extLst>
                <a:ext uri="{63B3BB69-23CF-44E3-9099-C40C66FF867C}">
                  <a14:compatExt spid="_x0000_s8258"/>
                </a:ext>
                <a:ext uri="{FF2B5EF4-FFF2-40B4-BE49-F238E27FC236}">
                  <a16:creationId xmlns:a16="http://schemas.microsoft.com/office/drawing/2014/main" id="{00000000-0008-0000-1600-000042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964</xdr:row>
      <xdr:rowOff>0</xdr:rowOff>
    </xdr:from>
    <xdr:to>
      <xdr:col>14</xdr:col>
      <xdr:colOff>382500</xdr:colOff>
      <xdr:row>977</xdr:row>
      <xdr:rowOff>48262</xdr:rowOff>
    </xdr:to>
    <xdr:graphicFrame macro="">
      <xdr:nvGraphicFramePr>
        <xdr:cNvPr id="472" name="生データグラフ61">
          <a:extLst>
            <a:ext uri="{FF2B5EF4-FFF2-40B4-BE49-F238E27FC236}">
              <a16:creationId xmlns:a16="http://schemas.microsoft.com/office/drawing/2014/main" id="{00000000-0008-0000-1600-0000D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9"/>
        </a:graphicData>
      </a:graphic>
    </xdr:graphicFrame>
    <xdr:clientData/>
  </xdr:twoCellAnchor>
  <xdr:twoCellAnchor>
    <xdr:from>
      <xdr:col>15</xdr:col>
      <xdr:colOff>0</xdr:colOff>
      <xdr:row>964</xdr:row>
      <xdr:rowOff>0</xdr:rowOff>
    </xdr:from>
    <xdr:to>
      <xdr:col>20</xdr:col>
      <xdr:colOff>382500</xdr:colOff>
      <xdr:row>977</xdr:row>
      <xdr:rowOff>48262</xdr:rowOff>
    </xdr:to>
    <xdr:graphicFrame macro="">
      <xdr:nvGraphicFramePr>
        <xdr:cNvPr id="473" name="スコアグラフ61">
          <a:extLst>
            <a:ext uri="{FF2B5EF4-FFF2-40B4-BE49-F238E27FC236}">
              <a16:creationId xmlns:a16="http://schemas.microsoft.com/office/drawing/2014/main" id="{00000000-0008-0000-1600-0000D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985</xdr:row>
          <xdr:rowOff>38100</xdr:rowOff>
        </xdr:from>
        <xdr:to>
          <xdr:col>2</xdr:col>
          <xdr:colOff>838200</xdr:colOff>
          <xdr:row>986</xdr:row>
          <xdr:rowOff>95250</xdr:rowOff>
        </xdr:to>
        <xdr:sp macro="" textlink="">
          <xdr:nvSpPr>
            <xdr:cNvPr id="8259" name="Button 67" hidden="1">
              <a:extLst>
                <a:ext uri="{63B3BB69-23CF-44E3-9099-C40C66FF867C}">
                  <a14:compatExt spid="_x0000_s8259"/>
                </a:ext>
                <a:ext uri="{FF2B5EF4-FFF2-40B4-BE49-F238E27FC236}">
                  <a16:creationId xmlns:a16="http://schemas.microsoft.com/office/drawing/2014/main" id="{00000000-0008-0000-1600-000043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979</xdr:row>
      <xdr:rowOff>0</xdr:rowOff>
    </xdr:from>
    <xdr:to>
      <xdr:col>14</xdr:col>
      <xdr:colOff>382500</xdr:colOff>
      <xdr:row>992</xdr:row>
      <xdr:rowOff>48262</xdr:rowOff>
    </xdr:to>
    <xdr:graphicFrame macro="">
      <xdr:nvGraphicFramePr>
        <xdr:cNvPr id="474" name="生データグラフ62">
          <a:extLst>
            <a:ext uri="{FF2B5EF4-FFF2-40B4-BE49-F238E27FC236}">
              <a16:creationId xmlns:a16="http://schemas.microsoft.com/office/drawing/2014/main" id="{00000000-0008-0000-1600-0000D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1"/>
        </a:graphicData>
      </a:graphic>
    </xdr:graphicFrame>
    <xdr:clientData/>
  </xdr:twoCellAnchor>
  <xdr:twoCellAnchor>
    <xdr:from>
      <xdr:col>15</xdr:col>
      <xdr:colOff>0</xdr:colOff>
      <xdr:row>979</xdr:row>
      <xdr:rowOff>0</xdr:rowOff>
    </xdr:from>
    <xdr:to>
      <xdr:col>20</xdr:col>
      <xdr:colOff>382500</xdr:colOff>
      <xdr:row>992</xdr:row>
      <xdr:rowOff>48262</xdr:rowOff>
    </xdr:to>
    <xdr:graphicFrame macro="">
      <xdr:nvGraphicFramePr>
        <xdr:cNvPr id="475" name="スコアグラフ62">
          <a:extLst>
            <a:ext uri="{FF2B5EF4-FFF2-40B4-BE49-F238E27FC236}">
              <a16:creationId xmlns:a16="http://schemas.microsoft.com/office/drawing/2014/main" id="{00000000-0008-0000-1600-0000D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1000</xdr:row>
          <xdr:rowOff>38100</xdr:rowOff>
        </xdr:from>
        <xdr:to>
          <xdr:col>2</xdr:col>
          <xdr:colOff>838200</xdr:colOff>
          <xdr:row>1001</xdr:row>
          <xdr:rowOff>95250</xdr:rowOff>
        </xdr:to>
        <xdr:sp macro="" textlink="">
          <xdr:nvSpPr>
            <xdr:cNvPr id="8260" name="Button 68" hidden="1">
              <a:extLst>
                <a:ext uri="{63B3BB69-23CF-44E3-9099-C40C66FF867C}">
                  <a14:compatExt spid="_x0000_s8260"/>
                </a:ext>
                <a:ext uri="{FF2B5EF4-FFF2-40B4-BE49-F238E27FC236}">
                  <a16:creationId xmlns:a16="http://schemas.microsoft.com/office/drawing/2014/main" id="{00000000-0008-0000-1600-000044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994</xdr:row>
      <xdr:rowOff>0</xdr:rowOff>
    </xdr:from>
    <xdr:to>
      <xdr:col>14</xdr:col>
      <xdr:colOff>382500</xdr:colOff>
      <xdr:row>1007</xdr:row>
      <xdr:rowOff>48262</xdr:rowOff>
    </xdr:to>
    <xdr:graphicFrame macro="">
      <xdr:nvGraphicFramePr>
        <xdr:cNvPr id="476" name="生データグラフ63">
          <a:extLst>
            <a:ext uri="{FF2B5EF4-FFF2-40B4-BE49-F238E27FC236}">
              <a16:creationId xmlns:a16="http://schemas.microsoft.com/office/drawing/2014/main" id="{00000000-0008-0000-1600-0000D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3"/>
        </a:graphicData>
      </a:graphic>
    </xdr:graphicFrame>
    <xdr:clientData/>
  </xdr:twoCellAnchor>
  <xdr:twoCellAnchor>
    <xdr:from>
      <xdr:col>15</xdr:col>
      <xdr:colOff>0</xdr:colOff>
      <xdr:row>994</xdr:row>
      <xdr:rowOff>0</xdr:rowOff>
    </xdr:from>
    <xdr:to>
      <xdr:col>20</xdr:col>
      <xdr:colOff>382500</xdr:colOff>
      <xdr:row>1007</xdr:row>
      <xdr:rowOff>48262</xdr:rowOff>
    </xdr:to>
    <xdr:graphicFrame macro="">
      <xdr:nvGraphicFramePr>
        <xdr:cNvPr id="477" name="スコアグラフ63">
          <a:extLst>
            <a:ext uri="{FF2B5EF4-FFF2-40B4-BE49-F238E27FC236}">
              <a16:creationId xmlns:a16="http://schemas.microsoft.com/office/drawing/2014/main" id="{00000000-0008-0000-1600-0000D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1015</xdr:row>
          <xdr:rowOff>38100</xdr:rowOff>
        </xdr:from>
        <xdr:to>
          <xdr:col>2</xdr:col>
          <xdr:colOff>838200</xdr:colOff>
          <xdr:row>1016</xdr:row>
          <xdr:rowOff>95250</xdr:rowOff>
        </xdr:to>
        <xdr:sp macro="" textlink="">
          <xdr:nvSpPr>
            <xdr:cNvPr id="8261" name="Button 69" hidden="1">
              <a:extLst>
                <a:ext uri="{63B3BB69-23CF-44E3-9099-C40C66FF867C}">
                  <a14:compatExt spid="_x0000_s8261"/>
                </a:ext>
                <a:ext uri="{FF2B5EF4-FFF2-40B4-BE49-F238E27FC236}">
                  <a16:creationId xmlns:a16="http://schemas.microsoft.com/office/drawing/2014/main" id="{00000000-0008-0000-1600-000045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1009</xdr:row>
      <xdr:rowOff>0</xdr:rowOff>
    </xdr:from>
    <xdr:to>
      <xdr:col>14</xdr:col>
      <xdr:colOff>382500</xdr:colOff>
      <xdr:row>1022</xdr:row>
      <xdr:rowOff>48262</xdr:rowOff>
    </xdr:to>
    <xdr:graphicFrame macro="">
      <xdr:nvGraphicFramePr>
        <xdr:cNvPr id="478" name="生データグラフ64">
          <a:extLst>
            <a:ext uri="{FF2B5EF4-FFF2-40B4-BE49-F238E27FC236}">
              <a16:creationId xmlns:a16="http://schemas.microsoft.com/office/drawing/2014/main" id="{00000000-0008-0000-1600-0000D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5"/>
        </a:graphicData>
      </a:graphic>
    </xdr:graphicFrame>
    <xdr:clientData/>
  </xdr:twoCellAnchor>
  <xdr:twoCellAnchor>
    <xdr:from>
      <xdr:col>15</xdr:col>
      <xdr:colOff>0</xdr:colOff>
      <xdr:row>1009</xdr:row>
      <xdr:rowOff>0</xdr:rowOff>
    </xdr:from>
    <xdr:to>
      <xdr:col>20</xdr:col>
      <xdr:colOff>382500</xdr:colOff>
      <xdr:row>1022</xdr:row>
      <xdr:rowOff>48262</xdr:rowOff>
    </xdr:to>
    <xdr:graphicFrame macro="">
      <xdr:nvGraphicFramePr>
        <xdr:cNvPr id="479" name="スコアグラフ64">
          <a:extLst>
            <a:ext uri="{FF2B5EF4-FFF2-40B4-BE49-F238E27FC236}">
              <a16:creationId xmlns:a16="http://schemas.microsoft.com/office/drawing/2014/main" id="{00000000-0008-0000-1600-0000D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1030</xdr:row>
          <xdr:rowOff>38100</xdr:rowOff>
        </xdr:from>
        <xdr:to>
          <xdr:col>2</xdr:col>
          <xdr:colOff>838200</xdr:colOff>
          <xdr:row>1031</xdr:row>
          <xdr:rowOff>95250</xdr:rowOff>
        </xdr:to>
        <xdr:sp macro="" textlink="">
          <xdr:nvSpPr>
            <xdr:cNvPr id="8262" name="Button 70" hidden="1">
              <a:extLst>
                <a:ext uri="{63B3BB69-23CF-44E3-9099-C40C66FF867C}">
                  <a14:compatExt spid="_x0000_s8262"/>
                </a:ext>
                <a:ext uri="{FF2B5EF4-FFF2-40B4-BE49-F238E27FC236}">
                  <a16:creationId xmlns:a16="http://schemas.microsoft.com/office/drawing/2014/main" id="{00000000-0008-0000-1600-000046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1024</xdr:row>
      <xdr:rowOff>0</xdr:rowOff>
    </xdr:from>
    <xdr:to>
      <xdr:col>14</xdr:col>
      <xdr:colOff>382500</xdr:colOff>
      <xdr:row>1037</xdr:row>
      <xdr:rowOff>48262</xdr:rowOff>
    </xdr:to>
    <xdr:graphicFrame macro="">
      <xdr:nvGraphicFramePr>
        <xdr:cNvPr id="480" name="生データグラフ65">
          <a:extLst>
            <a:ext uri="{FF2B5EF4-FFF2-40B4-BE49-F238E27FC236}">
              <a16:creationId xmlns:a16="http://schemas.microsoft.com/office/drawing/2014/main" id="{00000000-0008-0000-1600-0000E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7"/>
        </a:graphicData>
      </a:graphic>
    </xdr:graphicFrame>
    <xdr:clientData/>
  </xdr:twoCellAnchor>
  <xdr:twoCellAnchor>
    <xdr:from>
      <xdr:col>15</xdr:col>
      <xdr:colOff>0</xdr:colOff>
      <xdr:row>1024</xdr:row>
      <xdr:rowOff>0</xdr:rowOff>
    </xdr:from>
    <xdr:to>
      <xdr:col>20</xdr:col>
      <xdr:colOff>382500</xdr:colOff>
      <xdr:row>1037</xdr:row>
      <xdr:rowOff>48262</xdr:rowOff>
    </xdr:to>
    <xdr:graphicFrame macro="">
      <xdr:nvGraphicFramePr>
        <xdr:cNvPr id="481" name="スコアグラフ65">
          <a:extLst>
            <a:ext uri="{FF2B5EF4-FFF2-40B4-BE49-F238E27FC236}">
              <a16:creationId xmlns:a16="http://schemas.microsoft.com/office/drawing/2014/main" id="{00000000-0008-0000-1600-0000E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8"/>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1045</xdr:row>
          <xdr:rowOff>38100</xdr:rowOff>
        </xdr:from>
        <xdr:to>
          <xdr:col>2</xdr:col>
          <xdr:colOff>838200</xdr:colOff>
          <xdr:row>1046</xdr:row>
          <xdr:rowOff>95250</xdr:rowOff>
        </xdr:to>
        <xdr:sp macro="" textlink="">
          <xdr:nvSpPr>
            <xdr:cNvPr id="8263" name="Button 71" hidden="1">
              <a:extLst>
                <a:ext uri="{63B3BB69-23CF-44E3-9099-C40C66FF867C}">
                  <a14:compatExt spid="_x0000_s8263"/>
                </a:ext>
                <a:ext uri="{FF2B5EF4-FFF2-40B4-BE49-F238E27FC236}">
                  <a16:creationId xmlns:a16="http://schemas.microsoft.com/office/drawing/2014/main" id="{00000000-0008-0000-1600-000047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1039</xdr:row>
      <xdr:rowOff>0</xdr:rowOff>
    </xdr:from>
    <xdr:to>
      <xdr:col>14</xdr:col>
      <xdr:colOff>382500</xdr:colOff>
      <xdr:row>1052</xdr:row>
      <xdr:rowOff>48262</xdr:rowOff>
    </xdr:to>
    <xdr:graphicFrame macro="">
      <xdr:nvGraphicFramePr>
        <xdr:cNvPr id="482" name="生データグラフ66">
          <a:extLst>
            <a:ext uri="{FF2B5EF4-FFF2-40B4-BE49-F238E27FC236}">
              <a16:creationId xmlns:a16="http://schemas.microsoft.com/office/drawing/2014/main" id="{00000000-0008-0000-1600-0000E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9"/>
        </a:graphicData>
      </a:graphic>
    </xdr:graphicFrame>
    <xdr:clientData/>
  </xdr:twoCellAnchor>
  <xdr:twoCellAnchor>
    <xdr:from>
      <xdr:col>15</xdr:col>
      <xdr:colOff>0</xdr:colOff>
      <xdr:row>1039</xdr:row>
      <xdr:rowOff>0</xdr:rowOff>
    </xdr:from>
    <xdr:to>
      <xdr:col>20</xdr:col>
      <xdr:colOff>382500</xdr:colOff>
      <xdr:row>1052</xdr:row>
      <xdr:rowOff>48262</xdr:rowOff>
    </xdr:to>
    <xdr:graphicFrame macro="">
      <xdr:nvGraphicFramePr>
        <xdr:cNvPr id="483" name="スコアグラフ66">
          <a:extLst>
            <a:ext uri="{FF2B5EF4-FFF2-40B4-BE49-F238E27FC236}">
              <a16:creationId xmlns:a16="http://schemas.microsoft.com/office/drawing/2014/main" id="{00000000-0008-0000-1600-0000E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0"/>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1060</xdr:row>
          <xdr:rowOff>38100</xdr:rowOff>
        </xdr:from>
        <xdr:to>
          <xdr:col>2</xdr:col>
          <xdr:colOff>838200</xdr:colOff>
          <xdr:row>1061</xdr:row>
          <xdr:rowOff>95250</xdr:rowOff>
        </xdr:to>
        <xdr:sp macro="" textlink="">
          <xdr:nvSpPr>
            <xdr:cNvPr id="8264" name="Button 72" hidden="1">
              <a:extLst>
                <a:ext uri="{63B3BB69-23CF-44E3-9099-C40C66FF867C}">
                  <a14:compatExt spid="_x0000_s8264"/>
                </a:ext>
                <a:ext uri="{FF2B5EF4-FFF2-40B4-BE49-F238E27FC236}">
                  <a16:creationId xmlns:a16="http://schemas.microsoft.com/office/drawing/2014/main" id="{00000000-0008-0000-1600-000048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1054</xdr:row>
      <xdr:rowOff>0</xdr:rowOff>
    </xdr:from>
    <xdr:to>
      <xdr:col>14</xdr:col>
      <xdr:colOff>382500</xdr:colOff>
      <xdr:row>1067</xdr:row>
      <xdr:rowOff>48262</xdr:rowOff>
    </xdr:to>
    <xdr:graphicFrame macro="">
      <xdr:nvGraphicFramePr>
        <xdr:cNvPr id="484" name="生データグラフ67">
          <a:extLst>
            <a:ext uri="{FF2B5EF4-FFF2-40B4-BE49-F238E27FC236}">
              <a16:creationId xmlns:a16="http://schemas.microsoft.com/office/drawing/2014/main" id="{00000000-0008-0000-1600-0000E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1"/>
        </a:graphicData>
      </a:graphic>
    </xdr:graphicFrame>
    <xdr:clientData/>
  </xdr:twoCellAnchor>
  <xdr:twoCellAnchor>
    <xdr:from>
      <xdr:col>15</xdr:col>
      <xdr:colOff>0</xdr:colOff>
      <xdr:row>1054</xdr:row>
      <xdr:rowOff>0</xdr:rowOff>
    </xdr:from>
    <xdr:to>
      <xdr:col>20</xdr:col>
      <xdr:colOff>382500</xdr:colOff>
      <xdr:row>1067</xdr:row>
      <xdr:rowOff>48262</xdr:rowOff>
    </xdr:to>
    <xdr:graphicFrame macro="">
      <xdr:nvGraphicFramePr>
        <xdr:cNvPr id="485" name="スコアグラフ67">
          <a:extLst>
            <a:ext uri="{FF2B5EF4-FFF2-40B4-BE49-F238E27FC236}">
              <a16:creationId xmlns:a16="http://schemas.microsoft.com/office/drawing/2014/main" id="{00000000-0008-0000-1600-0000E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2"/>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1075</xdr:row>
          <xdr:rowOff>38100</xdr:rowOff>
        </xdr:from>
        <xdr:to>
          <xdr:col>2</xdr:col>
          <xdr:colOff>838200</xdr:colOff>
          <xdr:row>1076</xdr:row>
          <xdr:rowOff>95250</xdr:rowOff>
        </xdr:to>
        <xdr:sp macro="" textlink="">
          <xdr:nvSpPr>
            <xdr:cNvPr id="8265" name="Button 73" hidden="1">
              <a:extLst>
                <a:ext uri="{63B3BB69-23CF-44E3-9099-C40C66FF867C}">
                  <a14:compatExt spid="_x0000_s8265"/>
                </a:ext>
                <a:ext uri="{FF2B5EF4-FFF2-40B4-BE49-F238E27FC236}">
                  <a16:creationId xmlns:a16="http://schemas.microsoft.com/office/drawing/2014/main" id="{00000000-0008-0000-1600-000049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1069</xdr:row>
      <xdr:rowOff>0</xdr:rowOff>
    </xdr:from>
    <xdr:to>
      <xdr:col>14</xdr:col>
      <xdr:colOff>382500</xdr:colOff>
      <xdr:row>1082</xdr:row>
      <xdr:rowOff>48262</xdr:rowOff>
    </xdr:to>
    <xdr:graphicFrame macro="">
      <xdr:nvGraphicFramePr>
        <xdr:cNvPr id="486" name="生データグラフ68">
          <a:extLst>
            <a:ext uri="{FF2B5EF4-FFF2-40B4-BE49-F238E27FC236}">
              <a16:creationId xmlns:a16="http://schemas.microsoft.com/office/drawing/2014/main" id="{00000000-0008-0000-1600-0000E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3"/>
        </a:graphicData>
      </a:graphic>
    </xdr:graphicFrame>
    <xdr:clientData/>
  </xdr:twoCellAnchor>
  <xdr:twoCellAnchor>
    <xdr:from>
      <xdr:col>15</xdr:col>
      <xdr:colOff>0</xdr:colOff>
      <xdr:row>1069</xdr:row>
      <xdr:rowOff>0</xdr:rowOff>
    </xdr:from>
    <xdr:to>
      <xdr:col>20</xdr:col>
      <xdr:colOff>382500</xdr:colOff>
      <xdr:row>1082</xdr:row>
      <xdr:rowOff>48262</xdr:rowOff>
    </xdr:to>
    <xdr:graphicFrame macro="">
      <xdr:nvGraphicFramePr>
        <xdr:cNvPr id="487" name="スコアグラフ68">
          <a:extLst>
            <a:ext uri="{FF2B5EF4-FFF2-40B4-BE49-F238E27FC236}">
              <a16:creationId xmlns:a16="http://schemas.microsoft.com/office/drawing/2014/main" id="{00000000-0008-0000-1600-0000E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1090</xdr:row>
          <xdr:rowOff>38100</xdr:rowOff>
        </xdr:from>
        <xdr:to>
          <xdr:col>2</xdr:col>
          <xdr:colOff>838200</xdr:colOff>
          <xdr:row>1091</xdr:row>
          <xdr:rowOff>95250</xdr:rowOff>
        </xdr:to>
        <xdr:sp macro="" textlink="">
          <xdr:nvSpPr>
            <xdr:cNvPr id="8266" name="Button 74" hidden="1">
              <a:extLst>
                <a:ext uri="{63B3BB69-23CF-44E3-9099-C40C66FF867C}">
                  <a14:compatExt spid="_x0000_s8266"/>
                </a:ext>
                <a:ext uri="{FF2B5EF4-FFF2-40B4-BE49-F238E27FC236}">
                  <a16:creationId xmlns:a16="http://schemas.microsoft.com/office/drawing/2014/main" id="{00000000-0008-0000-1600-00004A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1084</xdr:row>
      <xdr:rowOff>0</xdr:rowOff>
    </xdr:from>
    <xdr:to>
      <xdr:col>14</xdr:col>
      <xdr:colOff>382500</xdr:colOff>
      <xdr:row>1097</xdr:row>
      <xdr:rowOff>48262</xdr:rowOff>
    </xdr:to>
    <xdr:graphicFrame macro="">
      <xdr:nvGraphicFramePr>
        <xdr:cNvPr id="488" name="生データグラフ69">
          <a:extLst>
            <a:ext uri="{FF2B5EF4-FFF2-40B4-BE49-F238E27FC236}">
              <a16:creationId xmlns:a16="http://schemas.microsoft.com/office/drawing/2014/main" id="{00000000-0008-0000-1600-0000E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5"/>
        </a:graphicData>
      </a:graphic>
    </xdr:graphicFrame>
    <xdr:clientData/>
  </xdr:twoCellAnchor>
  <xdr:twoCellAnchor>
    <xdr:from>
      <xdr:col>15</xdr:col>
      <xdr:colOff>0</xdr:colOff>
      <xdr:row>1084</xdr:row>
      <xdr:rowOff>0</xdr:rowOff>
    </xdr:from>
    <xdr:to>
      <xdr:col>20</xdr:col>
      <xdr:colOff>382500</xdr:colOff>
      <xdr:row>1097</xdr:row>
      <xdr:rowOff>48262</xdr:rowOff>
    </xdr:to>
    <xdr:graphicFrame macro="">
      <xdr:nvGraphicFramePr>
        <xdr:cNvPr id="489" name="スコアグラフ69">
          <a:extLst>
            <a:ext uri="{FF2B5EF4-FFF2-40B4-BE49-F238E27FC236}">
              <a16:creationId xmlns:a16="http://schemas.microsoft.com/office/drawing/2014/main" id="{00000000-0008-0000-1600-0000E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6"/>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1105</xdr:row>
          <xdr:rowOff>38100</xdr:rowOff>
        </xdr:from>
        <xdr:to>
          <xdr:col>2</xdr:col>
          <xdr:colOff>838200</xdr:colOff>
          <xdr:row>1106</xdr:row>
          <xdr:rowOff>95250</xdr:rowOff>
        </xdr:to>
        <xdr:sp macro="" textlink="">
          <xdr:nvSpPr>
            <xdr:cNvPr id="8267" name="Button 75" hidden="1">
              <a:extLst>
                <a:ext uri="{63B3BB69-23CF-44E3-9099-C40C66FF867C}">
                  <a14:compatExt spid="_x0000_s8267"/>
                </a:ext>
                <a:ext uri="{FF2B5EF4-FFF2-40B4-BE49-F238E27FC236}">
                  <a16:creationId xmlns:a16="http://schemas.microsoft.com/office/drawing/2014/main" id="{00000000-0008-0000-1600-00004B2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指標別縦棒グラフ作成</a:t>
              </a:r>
            </a:p>
          </xdr:txBody>
        </xdr:sp>
        <xdr:clientData fPrintsWithSheet="0"/>
      </xdr:twoCellAnchor>
    </mc:Choice>
    <mc:Fallback/>
  </mc:AlternateContent>
  <xdr:twoCellAnchor>
    <xdr:from>
      <xdr:col>9</xdr:col>
      <xdr:colOff>0</xdr:colOff>
      <xdr:row>1099</xdr:row>
      <xdr:rowOff>0</xdr:rowOff>
    </xdr:from>
    <xdr:to>
      <xdr:col>14</xdr:col>
      <xdr:colOff>382500</xdr:colOff>
      <xdr:row>1112</xdr:row>
      <xdr:rowOff>48262</xdr:rowOff>
    </xdr:to>
    <xdr:graphicFrame macro="">
      <xdr:nvGraphicFramePr>
        <xdr:cNvPr id="490" name="生データグラフ70">
          <a:extLst>
            <a:ext uri="{FF2B5EF4-FFF2-40B4-BE49-F238E27FC236}">
              <a16:creationId xmlns:a16="http://schemas.microsoft.com/office/drawing/2014/main" id="{00000000-0008-0000-1600-0000E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7"/>
        </a:graphicData>
      </a:graphic>
    </xdr:graphicFrame>
    <xdr:clientData/>
  </xdr:twoCellAnchor>
  <xdr:twoCellAnchor>
    <xdr:from>
      <xdr:col>15</xdr:col>
      <xdr:colOff>0</xdr:colOff>
      <xdr:row>1099</xdr:row>
      <xdr:rowOff>0</xdr:rowOff>
    </xdr:from>
    <xdr:to>
      <xdr:col>20</xdr:col>
      <xdr:colOff>382500</xdr:colOff>
      <xdr:row>1112</xdr:row>
      <xdr:rowOff>48262</xdr:rowOff>
    </xdr:to>
    <xdr:graphicFrame macro="">
      <xdr:nvGraphicFramePr>
        <xdr:cNvPr id="491" name="スコアグラフ70">
          <a:extLst>
            <a:ext uri="{FF2B5EF4-FFF2-40B4-BE49-F238E27FC236}">
              <a16:creationId xmlns:a16="http://schemas.microsoft.com/office/drawing/2014/main" id="{00000000-0008-0000-1600-0000E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8"/>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209550</xdr:colOff>
          <xdr:row>1</xdr:row>
          <xdr:rowOff>66675</xdr:rowOff>
        </xdr:from>
        <xdr:to>
          <xdr:col>4</xdr:col>
          <xdr:colOff>647700</xdr:colOff>
          <xdr:row>2</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800-000001A8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データソースを一括収集</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1</xdr:row>
          <xdr:rowOff>57150</xdr:rowOff>
        </xdr:from>
        <xdr:to>
          <xdr:col>3</xdr:col>
          <xdr:colOff>1009650</xdr:colOff>
          <xdr:row>3</xdr:row>
          <xdr:rowOff>142875</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900-000001A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年次、出典、範囲を</a:t>
              </a:r>
            </a:p>
            <a:p>
              <a:pPr algn="ctr" rtl="0">
                <a:defRPr sz="1000"/>
              </a:pPr>
              <a:r>
                <a:rPr lang="ja-JP" altLang="en-US" sz="900" b="0" i="0" u="none" strike="noStrike" baseline="0">
                  <a:solidFill>
                    <a:srgbClr val="000000"/>
                  </a:solidFill>
                  <a:latin typeface="游ゴシック"/>
                  <a:ea typeface="游ゴシック"/>
                </a:rPr>
                <a:t>一括収集</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1</xdr:row>
          <xdr:rowOff>57150</xdr:rowOff>
        </xdr:from>
        <xdr:to>
          <xdr:col>3</xdr:col>
          <xdr:colOff>1009650</xdr:colOff>
          <xdr:row>3</xdr:row>
          <xdr:rowOff>142875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A00-000001B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年次、出典、範囲を</a:t>
              </a:r>
            </a:p>
            <a:p>
              <a:pPr algn="ctr" rtl="0">
                <a:defRPr sz="1000"/>
              </a:pPr>
              <a:r>
                <a:rPr lang="ja-JP" altLang="en-US" sz="900" b="0" i="0" u="none" strike="noStrike" baseline="0">
                  <a:solidFill>
                    <a:srgbClr val="000000"/>
                  </a:solidFill>
                  <a:latin typeface="游ゴシック"/>
                  <a:ea typeface="游ゴシック"/>
                </a:rPr>
                <a:t>一括収集</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1</xdr:row>
          <xdr:rowOff>57150</xdr:rowOff>
        </xdr:from>
        <xdr:to>
          <xdr:col>3</xdr:col>
          <xdr:colOff>1009650</xdr:colOff>
          <xdr:row>3</xdr:row>
          <xdr:rowOff>142875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1B00-000001B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年次、出典、範囲を</a:t>
              </a:r>
            </a:p>
            <a:p>
              <a:pPr algn="ctr" rtl="0">
                <a:defRPr sz="1000"/>
              </a:pPr>
              <a:r>
                <a:rPr lang="ja-JP" altLang="en-US" sz="900" b="0" i="0" u="none" strike="noStrike" baseline="0">
                  <a:solidFill>
                    <a:srgbClr val="000000"/>
                  </a:solidFill>
                  <a:latin typeface="游ゴシック"/>
                  <a:ea typeface="游ゴシック"/>
                </a:rPr>
                <a:t>一括収集</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0</xdr:row>
          <xdr:rowOff>66675</xdr:rowOff>
        </xdr:from>
        <xdr:to>
          <xdr:col>2</xdr:col>
          <xdr:colOff>1171575</xdr:colOff>
          <xdr:row>1</xdr:row>
          <xdr:rowOff>114300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1C00-000002B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定義一括収集</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0</xdr:row>
          <xdr:rowOff>66675</xdr:rowOff>
        </xdr:from>
        <xdr:to>
          <xdr:col>2</xdr:col>
          <xdr:colOff>1171575</xdr:colOff>
          <xdr:row>1</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D00-000001B8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游ゴシック"/>
                  <a:ea typeface="游ゴシック"/>
                </a:rPr>
                <a:t>コメント一括収集</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都市マスタ" displayName="都市マスタ" ref="B2:F52" totalsRowShown="0" headerRowDxfId="701" dataDxfId="699" headerRowBorderDxfId="700" tableBorderDxfId="698" totalsRowBorderDxfId="697">
  <autoFilter ref="B2:F52" xr:uid="{00000000-0009-0000-0100-000001000000}">
    <filterColumn colId="0" hiddenButton="1"/>
    <filterColumn colId="1" hiddenButton="1"/>
    <filterColumn colId="2" hiddenButton="1"/>
    <filterColumn colId="3" hiddenButton="1"/>
    <filterColumn colId="4" hiddenButton="1"/>
  </autoFilter>
  <tableColumns count="5">
    <tableColumn id="1" xr3:uid="{00000000-0010-0000-0000-000001000000}" name="#" dataDxfId="696"/>
    <tableColumn id="2" xr3:uid="{00000000-0010-0000-0000-000002000000}" name="City Name" dataDxfId="695"/>
    <tableColumn id="4" xr3:uid="{00000000-0010-0000-0000-000004000000}" name="都市名" dataDxfId="694"/>
    <tableColumn id="3" xr3:uid="{00000000-0010-0000-0000-000003000000}" name="Country Name" dataDxfId="693"/>
    <tableColumn id="5" xr3:uid="{00000000-0010-0000-0000-000005000000}" name="国名" dataDxfId="692"/>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指標マスタ" displayName="指標マスタ" ref="B2:L75" totalsRowShown="0" headerRowDxfId="691" dataDxfId="689" headerRowBorderDxfId="690" tableBorderDxfId="688">
  <autoFilter ref="B2:L75"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100-000001000000}" name="#" dataDxfId="687"/>
    <tableColumn id="2" xr3:uid="{00000000-0010-0000-0100-000002000000}" name="IG#" dataDxfId="686"/>
    <tableColumn id="3" xr3:uid="{00000000-0010-0000-0100-000003000000}" name="分野" dataDxfId="685"/>
    <tableColumn id="4" xr3:uid="{00000000-0010-0000-0100-000004000000}" name="Function" dataDxfId="684"/>
    <tableColumn id="5" xr3:uid="{00000000-0010-0000-0100-000005000000}" name="指標グループ" dataDxfId="683"/>
    <tableColumn id="6" xr3:uid="{00000000-0010-0000-0100-000006000000}" name="Indicator Group" dataDxfId="682"/>
    <tableColumn id="7" xr3:uid="{00000000-0010-0000-0100-000007000000}" name="指標" dataDxfId="681"/>
    <tableColumn id="8" xr3:uid="{00000000-0010-0000-0100-000008000000}" name="Indicator" dataDxfId="680"/>
    <tableColumn id="9" xr3:uid="{00000000-0010-0000-0100-000009000000}" name="Q" dataDxfId="679"/>
    <tableColumn id="10" xr3:uid="{00000000-0010-0000-0100-00000A000000}" name="単位" dataDxfId="678"/>
    <tableColumn id="11" xr3:uid="{00000000-0010-0000-0100-00000B000000}" name="Unit" dataDxfId="677"/>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生データ表" displayName="生データ表" ref="B5:BY53" totalsRowShown="0" headerRowDxfId="675" dataDxfId="673" headerRowBorderDxfId="674" tableBorderDxfId="672" totalsRowBorderDxfId="671">
  <autoFilter ref="B5:BY53" xr:uid="{00000000-0009-0000-0100-000005000000}"/>
  <sortState xmlns:xlrd2="http://schemas.microsoft.com/office/spreadsheetml/2017/richdata2" ref="B6:BY53">
    <sortCondition ref="C5:C53"/>
  </sortState>
  <tableColumns count="76">
    <tableColumn id="1" xr3:uid="{00000000-0010-0000-0200-000001000000}" name="Rank" dataDxfId="670">
      <calculatedColumnFormula>INDEX(順位表[Comprehensive],MATCH($C6,順位表['#],0))</calculatedColumnFormula>
    </tableColumn>
    <tableColumn id="2" xr3:uid="{00000000-0010-0000-0200-000002000000}" name="#" dataDxfId="669"/>
    <tableColumn id="3" xr3:uid="{00000000-0010-0000-0200-000003000000}" name="City Name" dataDxfId="668">
      <calculatedColumnFormula>INDEX(都市マスタ[City Name],MATCH($C6,都市マスタ['#],0))</calculatedColumnFormula>
    </tableColumn>
    <tableColumn id="4" xr3:uid="{00000000-0010-0000-0200-000004000000}" name="00a" dataDxfId="667">
      <calculatedColumnFormula>INDEX(Python0831!$B$1:$BV$49,MATCH($D6,Python0831!$A$1:$A$49,0),MATCH(E$5,Python0831!$B$1:$BV$1,0))</calculatedColumnFormula>
    </tableColumn>
    <tableColumn id="5" xr3:uid="{00000000-0010-0000-0200-000005000000}" name="00b" dataDxfId="666">
      <calculatedColumnFormula>INDEX(Python0831!$B$1:$BV$49,MATCH($D6,Python0831!$A$1:$A$49,0),MATCH(F$5,Python0831!$B$1:$BV$1,0))</calculatedColumnFormula>
    </tableColumn>
    <tableColumn id="6" xr3:uid="{00000000-0010-0000-0200-000006000000}" name="00c" dataDxfId="665">
      <calculatedColumnFormula>INDEX(Python0831!$B$1:$BV$49,MATCH($D6,Python0831!$A$1:$A$49,0),MATCH(G$5,Python0831!$B$1:$BV$1,0))</calculatedColumnFormula>
    </tableColumn>
    <tableColumn id="7" xr3:uid="{00000000-0010-0000-0200-000007000000}" name="01" dataDxfId="664">
      <calculatedColumnFormula>INDEX(Python0831!$B$1:$BV$49,MATCH($D6,Python0831!$A$1:$A$49,0),MATCH(H$5,Python0831!$B$1:$BV$1,0))</calculatedColumnFormula>
    </tableColumn>
    <tableColumn id="8" xr3:uid="{00000000-0010-0000-0200-000008000000}" name="02" dataDxfId="663">
      <calculatedColumnFormula>INDEX(Python0831!$B$1:$BV$49,MATCH($D6,Python0831!$A$1:$A$49,0),MATCH(I$5,Python0831!$B$1:$BV$1,0))</calculatedColumnFormula>
    </tableColumn>
    <tableColumn id="9" xr3:uid="{00000000-0010-0000-0200-000009000000}" name="03" dataDxfId="662" dataCellStyle="パーセント">
      <calculatedColumnFormula>INDEX(Python0831!$B$1:$BV$49,MATCH($D6,Python0831!$A$1:$A$49,0),MATCH(J$5,Python0831!$B$1:$BV$1,0))</calculatedColumnFormula>
    </tableColumn>
    <tableColumn id="10" xr3:uid="{00000000-0010-0000-0200-00000A000000}" name="04" dataDxfId="661">
      <calculatedColumnFormula>INDEX(Python0831!$B$1:$BV$49,MATCH($D6,Python0831!$A$1:$A$49,0),MATCH(K$5,Python0831!$B$1:$BV$1,0))</calculatedColumnFormula>
    </tableColumn>
    <tableColumn id="11" xr3:uid="{00000000-0010-0000-0200-00000B000000}" name="05" dataDxfId="660">
      <calculatedColumnFormula>INDEX(Python0831!$B$1:$BV$49,MATCH($D6,Python0831!$A$1:$A$49,0),MATCH(L$5,Python0831!$B$1:$BV$1,0))</calculatedColumnFormula>
    </tableColumn>
    <tableColumn id="12" xr3:uid="{00000000-0010-0000-0200-00000C000000}" name="06" dataDxfId="659">
      <calculatedColumnFormula>INDEX(Python0831!$B$1:$BV$49,MATCH($D6,Python0831!$A$1:$A$49,0),MATCH(M$5,Python0831!$B$1:$BV$1,0))</calculatedColumnFormula>
    </tableColumn>
    <tableColumn id="13" xr3:uid="{00000000-0010-0000-0200-00000D000000}" name="07" dataDxfId="658">
      <calculatedColumnFormula>INDEX(Python0831!$B$1:$BV$49,MATCH($D6,Python0831!$A$1:$A$49,0),MATCH(N$5,Python0831!$B$1:$BV$1,0))</calculatedColumnFormula>
    </tableColumn>
    <tableColumn id="14" xr3:uid="{00000000-0010-0000-0200-00000E000000}" name="08" dataDxfId="657" dataCellStyle="パーセント">
      <calculatedColumnFormula>INDEX(Python0831!$B$1:$BV$49,MATCH($D6,Python0831!$A$1:$A$49,0),MATCH(O$5,Python0831!$B$1:$BV$1,0))</calculatedColumnFormula>
    </tableColumn>
    <tableColumn id="15" xr3:uid="{00000000-0010-0000-0200-00000F000000}" name="09" dataDxfId="656">
      <calculatedColumnFormula>INDEX(Python0831!$B$1:$BV$49,MATCH($D6,Python0831!$A$1:$A$49,0),MATCH(P$5,Python0831!$B$1:$BV$1,0))</calculatedColumnFormula>
    </tableColumn>
    <tableColumn id="16" xr3:uid="{00000000-0010-0000-0200-000010000000}" name="10" dataDxfId="655">
      <calculatedColumnFormula>INDEX(Python0831!$B$1:$BV$49,MATCH($D6,Python0831!$A$1:$A$49,0),MATCH(Q$5,Python0831!$B$1:$BV$1,0))</calculatedColumnFormula>
    </tableColumn>
    <tableColumn id="17" xr3:uid="{00000000-0010-0000-0200-000011000000}" name="11" dataDxfId="654">
      <calculatedColumnFormula>INDEX(Python0831!$B$1:$BV$49,MATCH($D6,Python0831!$A$1:$A$49,0),MATCH(R$5,Python0831!$B$1:$BV$1,0))</calculatedColumnFormula>
    </tableColumn>
    <tableColumn id="18" xr3:uid="{00000000-0010-0000-0200-000012000000}" name="12" dataDxfId="653" dataCellStyle="パーセント">
      <calculatedColumnFormula>INDEX(Python0831!$B$1:$BV$49,MATCH($D6,Python0831!$A$1:$A$49,0),MATCH(S$5,Python0831!$B$1:$BV$1,0))</calculatedColumnFormula>
    </tableColumn>
    <tableColumn id="19" xr3:uid="{00000000-0010-0000-0200-000013000000}" name="13" dataDxfId="652">
      <calculatedColumnFormula>INDEX(Python0831!$B$1:$BV$49,MATCH($D6,Python0831!$A$1:$A$49,0),MATCH(T$5,Python0831!$B$1:$BV$1,0))</calculatedColumnFormula>
    </tableColumn>
    <tableColumn id="20" xr3:uid="{00000000-0010-0000-0200-000014000000}" name="14" dataDxfId="651">
      <calculatedColumnFormula>INDEX(Python0831!$B$1:$BV$49,MATCH($D6,Python0831!$A$1:$A$49,0),MATCH(U$5,Python0831!$B$1:$BV$1,0))</calculatedColumnFormula>
    </tableColumn>
    <tableColumn id="21" xr3:uid="{00000000-0010-0000-0200-000015000000}" name="15" dataDxfId="650">
      <calculatedColumnFormula>INDEX(Python0831!$B$1:$BV$49,MATCH($D6,Python0831!$A$1:$A$49,0),MATCH(V$5,Python0831!$B$1:$BV$1,0))</calculatedColumnFormula>
    </tableColumn>
    <tableColumn id="22" xr3:uid="{00000000-0010-0000-0200-000016000000}" name="16" dataDxfId="649">
      <calculatedColumnFormula>INDEX(Python0831!$B$1:$BV$49,MATCH($D6,Python0831!$A$1:$A$49,0),MATCH(W$5,Python0831!$B$1:$BV$1,0))</calculatedColumnFormula>
    </tableColumn>
    <tableColumn id="23" xr3:uid="{00000000-0010-0000-0200-000017000000}" name="17" dataDxfId="648">
      <calculatedColumnFormula>INDEX(Python0831!$B$1:$BV$49,MATCH($D6,Python0831!$A$1:$A$49,0),MATCH(X$5,Python0831!$B$1:$BV$1,0))</calculatedColumnFormula>
    </tableColumn>
    <tableColumn id="24" xr3:uid="{00000000-0010-0000-0200-000018000000}" name="18" dataDxfId="647">
      <calculatedColumnFormula>INDEX(Python0831!$B$1:$BV$49,MATCH($D6,Python0831!$A$1:$A$49,0),MATCH(Y$5,Python0831!$B$1:$BV$1,0))</calculatedColumnFormula>
    </tableColumn>
    <tableColumn id="25" xr3:uid="{00000000-0010-0000-0200-000019000000}" name="19" dataDxfId="646">
      <calculatedColumnFormula>INDEX(Python0831!$B$1:$BV$49,MATCH($D6,Python0831!$A$1:$A$49,0),MATCH(Z$5,Python0831!$B$1:$BV$1,0))</calculatedColumnFormula>
    </tableColumn>
    <tableColumn id="26" xr3:uid="{00000000-0010-0000-0200-00001A000000}" name="20" dataDxfId="645">
      <calculatedColumnFormula>INDEX(Python0831!$B$1:$BV$49,MATCH($D6,Python0831!$A$1:$A$49,0),MATCH(AA$5,Python0831!$B$1:$BV$1,0))</calculatedColumnFormula>
    </tableColumn>
    <tableColumn id="27" xr3:uid="{00000000-0010-0000-0200-00001B000000}" name="21" dataDxfId="644">
      <calculatedColumnFormula>INDEX(Python0831!$B$1:$BV$49,MATCH($D6,Python0831!$A$1:$A$49,0),MATCH(AB$5,Python0831!$B$1:$BV$1,0))</calculatedColumnFormula>
    </tableColumn>
    <tableColumn id="28" xr3:uid="{00000000-0010-0000-0200-00001C000000}" name="22" dataDxfId="643">
      <calculatedColumnFormula>INDEX(Python0831!$B$1:$BV$49,MATCH($D6,Python0831!$A$1:$A$49,0),MATCH(AC$5,Python0831!$B$1:$BV$1,0))</calculatedColumnFormula>
    </tableColumn>
    <tableColumn id="29" xr3:uid="{00000000-0010-0000-0200-00001D000000}" name="23" dataDxfId="642">
      <calculatedColumnFormula>INDEX(Python0831!$B$1:$BV$49,MATCH($D6,Python0831!$A$1:$A$49,0),MATCH(AD$5,Python0831!$B$1:$BV$1,0))</calculatedColumnFormula>
    </tableColumn>
    <tableColumn id="30" xr3:uid="{00000000-0010-0000-0200-00001E000000}" name="24" dataDxfId="641">
      <calculatedColumnFormula>INDEX(Python0831!$B$1:$BV$49,MATCH($D6,Python0831!$A$1:$A$49,0),MATCH(AE$5,Python0831!$B$1:$BV$1,0))</calculatedColumnFormula>
    </tableColumn>
    <tableColumn id="31" xr3:uid="{00000000-0010-0000-0200-00001F000000}" name="25" dataDxfId="640">
      <calculatedColumnFormula>INDEX(Python0831!$B$1:$BV$49,MATCH($D6,Python0831!$A$1:$A$49,0),MATCH(AF$5,Python0831!$B$1:$BV$1,0))</calculatedColumnFormula>
    </tableColumn>
    <tableColumn id="32" xr3:uid="{00000000-0010-0000-0200-000020000000}" name="26" dataDxfId="639">
      <calculatedColumnFormula>INDEX(Python0831!$B$1:$BV$49,MATCH($D6,Python0831!$A$1:$A$49,0),MATCH(AG$5,Python0831!$B$1:$BV$1,0))</calculatedColumnFormula>
    </tableColumn>
    <tableColumn id="33" xr3:uid="{00000000-0010-0000-0200-000021000000}" name="27" dataDxfId="638">
      <calculatedColumnFormula>INDEX(Python0831!$B$1:$BV$49,MATCH($D6,Python0831!$A$1:$A$49,0),MATCH(AH$5,Python0831!$B$1:$BV$1,0))</calculatedColumnFormula>
    </tableColumn>
    <tableColumn id="34" xr3:uid="{00000000-0010-0000-0200-000022000000}" name="28" dataDxfId="637">
      <calculatedColumnFormula>INDEX(Python0831!$B$1:$BV$49,MATCH($D6,Python0831!$A$1:$A$49,0),MATCH(AI$5,Python0831!$B$1:$BV$1,0))</calculatedColumnFormula>
    </tableColumn>
    <tableColumn id="35" xr3:uid="{00000000-0010-0000-0200-000023000000}" name="29" dataDxfId="636">
      <calculatedColumnFormula>INDEX(Python0831!$B$1:$BV$49,MATCH($D6,Python0831!$A$1:$A$49,0),MATCH(AJ$5,Python0831!$B$1:$BV$1,0))</calculatedColumnFormula>
    </tableColumn>
    <tableColumn id="36" xr3:uid="{00000000-0010-0000-0200-000024000000}" name="30" dataDxfId="635">
      <calculatedColumnFormula>INDEX(Python0831!$B$1:$BV$49,MATCH($D6,Python0831!$A$1:$A$49,0),MATCH(AK$5,Python0831!$B$1:$BV$1,0))</calculatedColumnFormula>
    </tableColumn>
    <tableColumn id="37" xr3:uid="{00000000-0010-0000-0200-000025000000}" name="31" dataDxfId="634">
      <calculatedColumnFormula>INDEX(Python0831!$B$1:$BV$49,MATCH($D6,Python0831!$A$1:$A$49,0),MATCH(AL$5,Python0831!$B$1:$BV$1,0))</calculatedColumnFormula>
    </tableColumn>
    <tableColumn id="38" xr3:uid="{00000000-0010-0000-0200-000026000000}" name="32" dataDxfId="633">
      <calculatedColumnFormula>INDEX(Python0831!$B$1:$BV$49,MATCH($D6,Python0831!$A$1:$A$49,0),MATCH(AM$5,Python0831!$B$1:$BV$1,0))</calculatedColumnFormula>
    </tableColumn>
    <tableColumn id="39" xr3:uid="{00000000-0010-0000-0200-000027000000}" name="33" dataDxfId="632">
      <calculatedColumnFormula>INDEX(Python0831!$B$1:$BV$49,MATCH($D6,Python0831!$A$1:$A$49,0),MATCH(AN$5,Python0831!$B$1:$BV$1,0))</calculatedColumnFormula>
    </tableColumn>
    <tableColumn id="40" xr3:uid="{00000000-0010-0000-0200-000028000000}" name="34" dataDxfId="631">
      <calculatedColumnFormula>INDEX(Python0831!$B$1:$BV$49,MATCH($D6,Python0831!$A$1:$A$49,0),MATCH(AO$5,Python0831!$B$1:$BV$1,0))</calculatedColumnFormula>
    </tableColumn>
    <tableColumn id="41" xr3:uid="{00000000-0010-0000-0200-000029000000}" name="35" dataDxfId="630">
      <calculatedColumnFormula>INDEX(Python0831!$B$1:$BV$49,MATCH($D6,Python0831!$A$1:$A$49,0),MATCH(AP$5,Python0831!$B$1:$BV$1,0))</calculatedColumnFormula>
    </tableColumn>
    <tableColumn id="42" xr3:uid="{00000000-0010-0000-0200-00002A000000}" name="36" dataDxfId="629">
      <calculatedColumnFormula>INDEX(Python0831!$B$1:$BV$49,MATCH($D6,Python0831!$A$1:$A$49,0),MATCH(AQ$5,Python0831!$B$1:$BV$1,0))</calculatedColumnFormula>
    </tableColumn>
    <tableColumn id="43" xr3:uid="{00000000-0010-0000-0200-00002B000000}" name="37" dataDxfId="628">
      <calculatedColumnFormula>INDEX(Python0831!$B$1:$BV$49,MATCH($D6,Python0831!$A$1:$A$49,0),MATCH(AR$5,Python0831!$B$1:$BV$1,0))</calculatedColumnFormula>
    </tableColumn>
    <tableColumn id="44" xr3:uid="{00000000-0010-0000-0200-00002C000000}" name="38" dataDxfId="627" dataCellStyle="パーセント">
      <calculatedColumnFormula>INDEX(Python0831!$B$1:$BV$49,MATCH($D6,Python0831!$A$1:$A$49,0),MATCH(AS$5,Python0831!$B$1:$BV$1,0))</calculatedColumnFormula>
    </tableColumn>
    <tableColumn id="45" xr3:uid="{00000000-0010-0000-0200-00002D000000}" name="39" dataDxfId="626">
      <calculatedColumnFormula>INDEX(Python0831!$B$1:$BV$49,MATCH($D6,Python0831!$A$1:$A$49,0),MATCH(AT$5,Python0831!$B$1:$BV$1,0))</calculatedColumnFormula>
    </tableColumn>
    <tableColumn id="46" xr3:uid="{00000000-0010-0000-0200-00002E000000}" name="40" dataDxfId="625">
      <calculatedColumnFormula>INDEX(Python0831!$B$1:$BV$49,MATCH($D6,Python0831!$A$1:$A$49,0),MATCH(AU$5,Python0831!$B$1:$BV$1,0))</calculatedColumnFormula>
    </tableColumn>
    <tableColumn id="47" xr3:uid="{00000000-0010-0000-0200-00002F000000}" name="41" dataDxfId="624">
      <calculatedColumnFormula>INDEX(Python0831!$B$1:$BV$49,MATCH($D6,Python0831!$A$1:$A$49,0),MATCH(AV$5,Python0831!$B$1:$BV$1,0))</calculatedColumnFormula>
    </tableColumn>
    <tableColumn id="48" xr3:uid="{00000000-0010-0000-0200-000030000000}" name="42" dataDxfId="623">
      <calculatedColumnFormula>INDEX(Python0831!$B$1:$BV$49,MATCH($D6,Python0831!$A$1:$A$49,0),MATCH(AW$5,Python0831!$B$1:$BV$1,0))</calculatedColumnFormula>
    </tableColumn>
    <tableColumn id="49" xr3:uid="{00000000-0010-0000-0200-000031000000}" name="43" dataDxfId="622">
      <calculatedColumnFormula>INDEX(Python0831!$B$1:$BV$49,MATCH($D6,Python0831!$A$1:$A$49,0),MATCH(AX$5,Python0831!$B$1:$BV$1,0))</calculatedColumnFormula>
    </tableColumn>
    <tableColumn id="50" xr3:uid="{00000000-0010-0000-0200-000032000000}" name="44" dataDxfId="621">
      <calculatedColumnFormula>INDEX(Python0831!$B$1:$BV$49,MATCH($D6,Python0831!$A$1:$A$49,0),MATCH(AY$5,Python0831!$B$1:$BV$1,0))</calculatedColumnFormula>
    </tableColumn>
    <tableColumn id="51" xr3:uid="{00000000-0010-0000-0200-000033000000}" name="45" dataDxfId="620">
      <calculatedColumnFormula>INDEX(Python0831!$B$1:$BV$49,MATCH($D6,Python0831!$A$1:$A$49,0),MATCH(AZ$5,Python0831!$B$1:$BV$1,0))</calculatedColumnFormula>
    </tableColumn>
    <tableColumn id="52" xr3:uid="{00000000-0010-0000-0200-000034000000}" name="46" dataDxfId="619">
      <calculatedColumnFormula>INDEX(Python0831!$B$1:$BV$49,MATCH($D6,Python0831!$A$1:$A$49,0),MATCH(BA$5,Python0831!$B$1:$BV$1,0))</calculatedColumnFormula>
    </tableColumn>
    <tableColumn id="53" xr3:uid="{00000000-0010-0000-0200-000035000000}" name="47" dataDxfId="618">
      <calculatedColumnFormula>INDEX(Python0831!$B$1:$BV$49,MATCH($D6,Python0831!$A$1:$A$49,0),MATCH(BB$5,Python0831!$B$1:$BV$1,0))</calculatedColumnFormula>
    </tableColumn>
    <tableColumn id="54" xr3:uid="{00000000-0010-0000-0200-000036000000}" name="48" dataDxfId="617">
      <calculatedColumnFormula>INDEX(Python0831!$B$1:$BV$49,MATCH($D6,Python0831!$A$1:$A$49,0),MATCH(BC$5,Python0831!$B$1:$BV$1,0))</calculatedColumnFormula>
    </tableColumn>
    <tableColumn id="55" xr3:uid="{00000000-0010-0000-0200-000037000000}" name="49" dataDxfId="616">
      <calculatedColumnFormula>INDEX(Python0831!$B$1:$BV$49,MATCH($D6,Python0831!$A$1:$A$49,0),MATCH(BD$5,Python0831!$B$1:$BV$1,0))</calculatedColumnFormula>
    </tableColumn>
    <tableColumn id="56" xr3:uid="{00000000-0010-0000-0200-000038000000}" name="50" dataDxfId="615">
      <calculatedColumnFormula>INDEX(Python0831!$B$1:$BV$49,MATCH($D6,Python0831!$A$1:$A$49,0),MATCH(BE$5,Python0831!$B$1:$BV$1,0))</calculatedColumnFormula>
    </tableColumn>
    <tableColumn id="57" xr3:uid="{00000000-0010-0000-0200-000039000000}" name="51" dataDxfId="614">
      <calculatedColumnFormula>INDEX(Python0831!$B$1:$BV$49,MATCH($D6,Python0831!$A$1:$A$49,0),MATCH(BF$5,Python0831!$B$1:$BV$1,0))</calculatedColumnFormula>
    </tableColumn>
    <tableColumn id="58" xr3:uid="{00000000-0010-0000-0200-00003A000000}" name="52" dataDxfId="613">
      <calculatedColumnFormula>INDEX(Python0831!$B$1:$BV$49,MATCH($D6,Python0831!$A$1:$A$49,0),MATCH(BG$5,Python0831!$B$1:$BV$1,0))</calculatedColumnFormula>
    </tableColumn>
    <tableColumn id="59" xr3:uid="{00000000-0010-0000-0200-00003B000000}" name="53" dataDxfId="612" dataCellStyle="パーセント">
      <calculatedColumnFormula>INDEX(Python0831!$B$1:$BV$49,MATCH($D6,Python0831!$A$1:$A$49,0),MATCH(BH$5,Python0831!$B$1:$BV$1,0))</calculatedColumnFormula>
    </tableColumn>
    <tableColumn id="60" xr3:uid="{00000000-0010-0000-0200-00003C000000}" name="54" dataDxfId="611" dataCellStyle="パーセント">
      <calculatedColumnFormula>INDEX(Python0831!$B$1:$BV$49,MATCH($D6,Python0831!$A$1:$A$49,0),MATCH(BI$5,Python0831!$B$1:$BV$1,0))</calculatedColumnFormula>
    </tableColumn>
    <tableColumn id="61" xr3:uid="{00000000-0010-0000-0200-00003D000000}" name="55" dataDxfId="610">
      <calculatedColumnFormula>INDEX(Python0831!$B$1:$BV$49,MATCH($D6,Python0831!$A$1:$A$49,0),MATCH(BJ$5,Python0831!$B$1:$BV$1,0))</calculatedColumnFormula>
    </tableColumn>
    <tableColumn id="62" xr3:uid="{00000000-0010-0000-0200-00003E000000}" name="56" dataDxfId="609">
      <calculatedColumnFormula>INDEX(Python0831!$B$1:$BV$49,MATCH($D6,Python0831!$A$1:$A$49,0),MATCH(BK$5,Python0831!$B$1:$BV$1,0))</calculatedColumnFormula>
    </tableColumn>
    <tableColumn id="63" xr3:uid="{00000000-0010-0000-0200-00003F000000}" name="57" dataDxfId="608">
      <calculatedColumnFormula>INDEX(Python0831!$B$1:$BV$49,MATCH($D6,Python0831!$A$1:$A$49,0),MATCH(BL$5,Python0831!$B$1:$BV$1,0))</calculatedColumnFormula>
    </tableColumn>
    <tableColumn id="64" xr3:uid="{00000000-0010-0000-0200-000040000000}" name="58" dataDxfId="607">
      <calculatedColumnFormula>INDEX(Python0831!$B$1:$BV$49,MATCH($D6,Python0831!$A$1:$A$49,0),MATCH(BM$5,Python0831!$B$1:$BV$1,0))</calculatedColumnFormula>
    </tableColumn>
    <tableColumn id="65" xr3:uid="{00000000-0010-0000-0200-000041000000}" name="59" dataDxfId="606">
      <calculatedColumnFormula>INDEX(Python0831!$B$1:$BV$49,MATCH($D6,Python0831!$A$1:$A$49,0),MATCH(BN$5,Python0831!$B$1:$BV$1,0))</calculatedColumnFormula>
    </tableColumn>
    <tableColumn id="66" xr3:uid="{00000000-0010-0000-0200-000042000000}" name="60" dataDxfId="605">
      <calculatedColumnFormula>INDEX(Python0831!$B$1:$BV$49,MATCH($D6,Python0831!$A$1:$A$49,0),MATCH(BO$5,Python0831!$B$1:$BV$1,0))</calculatedColumnFormula>
    </tableColumn>
    <tableColumn id="67" xr3:uid="{00000000-0010-0000-0200-000043000000}" name="61" dataDxfId="604">
      <calculatedColumnFormula>INDEX(Python0831!$B$1:$BV$49,MATCH($D6,Python0831!$A$1:$A$49,0),MATCH(BP$5,Python0831!$B$1:$BV$1,0))</calculatedColumnFormula>
    </tableColumn>
    <tableColumn id="68" xr3:uid="{00000000-0010-0000-0200-000044000000}" name="62" dataDxfId="603">
      <calculatedColumnFormula>INDEX(Python0831!$B$1:$BV$49,MATCH($D6,Python0831!$A$1:$A$49,0),MATCH(BQ$5,Python0831!$B$1:$BV$1,0))</calculatedColumnFormula>
    </tableColumn>
    <tableColumn id="69" xr3:uid="{00000000-0010-0000-0200-000045000000}" name="63" dataDxfId="602">
      <calculatedColumnFormula>INDEX(Python0831!$B$1:$BV$49,MATCH($D6,Python0831!$A$1:$A$49,0),MATCH(BR$5,Python0831!$B$1:$BV$1,0))</calculatedColumnFormula>
    </tableColumn>
    <tableColumn id="70" xr3:uid="{00000000-0010-0000-0200-000046000000}" name="64" dataDxfId="601">
      <calculatedColumnFormula>INDEX(Python0831!$B$1:$BV$49,MATCH($D6,Python0831!$A$1:$A$49,0),MATCH(BS$5,Python0831!$B$1:$BV$1,0))</calculatedColumnFormula>
    </tableColumn>
    <tableColumn id="71" xr3:uid="{00000000-0010-0000-0200-000047000000}" name="65" dataDxfId="600">
      <calculatedColumnFormula>INDEX(Python0831!$B$1:$BV$49,MATCH($D6,Python0831!$A$1:$A$49,0),MATCH(BT$5,Python0831!$B$1:$BV$1,0))</calculatedColumnFormula>
    </tableColumn>
    <tableColumn id="72" xr3:uid="{00000000-0010-0000-0200-000048000000}" name="66" dataDxfId="599">
      <calculatedColumnFormula>INDEX(Python0831!$B$1:$BV$49,MATCH($D6,Python0831!$A$1:$A$49,0),MATCH(BU$5,Python0831!$B$1:$BV$1,0))</calculatedColumnFormula>
    </tableColumn>
    <tableColumn id="73" xr3:uid="{00000000-0010-0000-0200-000049000000}" name="67" dataDxfId="598">
      <calculatedColumnFormula>INDEX(Python0831!$B$1:$BV$49,MATCH($D6,Python0831!$A$1:$A$49,0),MATCH(BV$5,Python0831!$B$1:$BV$1,0))</calculatedColumnFormula>
    </tableColumn>
    <tableColumn id="74" xr3:uid="{00000000-0010-0000-0200-00004A000000}" name="68" dataDxfId="597">
      <calculatedColumnFormula>INDEX(Python0831!$B$1:$BV$49,MATCH($D6,Python0831!$A$1:$A$49,0),MATCH(BW$5,Python0831!$B$1:$BV$1,0))</calculatedColumnFormula>
    </tableColumn>
    <tableColumn id="75" xr3:uid="{00000000-0010-0000-0200-00004B000000}" name="69" dataDxfId="596" dataCellStyle="パーセント">
      <calculatedColumnFormula>INDEX(Python0831!$B$1:$BV$49,MATCH($D6,Python0831!$A$1:$A$49,0),MATCH(BX$5,Python0831!$B$1:$BV$1,0))</calculatedColumnFormula>
    </tableColumn>
    <tableColumn id="76" xr3:uid="{00000000-0010-0000-0200-00004C000000}" name="70" dataDxfId="595">
      <calculatedColumnFormula>INDEX(Python0831!$B$1:$BV$49,MATCH($D6,Python0831!$A$1:$A$49,0),MATCH(BY$5,Python0831!$B$1:$BV$1,0))</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生データ表2" displayName="生データ表2" ref="D57:BY65" totalsRowShown="0" headerRowDxfId="594" dataDxfId="592" headerRowBorderDxfId="593" tableBorderDxfId="591" totalsRowBorderDxfId="590">
  <autoFilter ref="D57:BY65"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autoFilter>
  <tableColumns count="74">
    <tableColumn id="1" xr3:uid="{00000000-0010-0000-0300-000001000000}" name="maxmin" dataDxfId="589"/>
    <tableColumn id="2" xr3:uid="{00000000-0010-0000-0300-000002000000}" name="00a" dataDxfId="588"/>
    <tableColumn id="3" xr3:uid="{00000000-0010-0000-0300-000003000000}" name="00b" dataDxfId="587"/>
    <tableColumn id="4" xr3:uid="{00000000-0010-0000-0300-000004000000}" name="00c" dataDxfId="586"/>
    <tableColumn id="5" xr3:uid="{00000000-0010-0000-0300-000005000000}" name="01" dataDxfId="585"/>
    <tableColumn id="6" xr3:uid="{00000000-0010-0000-0300-000006000000}" name="02" dataDxfId="584"/>
    <tableColumn id="7" xr3:uid="{00000000-0010-0000-0300-000007000000}" name="03" dataDxfId="583"/>
    <tableColumn id="8" xr3:uid="{00000000-0010-0000-0300-000008000000}" name="04" dataDxfId="582"/>
    <tableColumn id="9" xr3:uid="{00000000-0010-0000-0300-000009000000}" name="05" dataDxfId="581"/>
    <tableColumn id="10" xr3:uid="{00000000-0010-0000-0300-00000A000000}" name="06" dataDxfId="580"/>
    <tableColumn id="11" xr3:uid="{00000000-0010-0000-0300-00000B000000}" name="07" dataDxfId="579"/>
    <tableColumn id="12" xr3:uid="{00000000-0010-0000-0300-00000C000000}" name="08" dataDxfId="578"/>
    <tableColumn id="13" xr3:uid="{00000000-0010-0000-0300-00000D000000}" name="09" dataDxfId="577"/>
    <tableColumn id="14" xr3:uid="{00000000-0010-0000-0300-00000E000000}" name="10" dataDxfId="576"/>
    <tableColumn id="15" xr3:uid="{00000000-0010-0000-0300-00000F000000}" name="11" dataDxfId="575"/>
    <tableColumn id="16" xr3:uid="{00000000-0010-0000-0300-000010000000}" name="12" dataDxfId="574"/>
    <tableColumn id="17" xr3:uid="{00000000-0010-0000-0300-000011000000}" name="13" dataDxfId="573"/>
    <tableColumn id="18" xr3:uid="{00000000-0010-0000-0300-000012000000}" name="14" dataDxfId="572"/>
    <tableColumn id="19" xr3:uid="{00000000-0010-0000-0300-000013000000}" name="15" dataDxfId="571"/>
    <tableColumn id="20" xr3:uid="{00000000-0010-0000-0300-000014000000}" name="16" dataDxfId="570"/>
    <tableColumn id="21" xr3:uid="{00000000-0010-0000-0300-000015000000}" name="17" dataDxfId="569"/>
    <tableColumn id="22" xr3:uid="{00000000-0010-0000-0300-000016000000}" name="18" dataDxfId="568"/>
    <tableColumn id="23" xr3:uid="{00000000-0010-0000-0300-000017000000}" name="19" dataDxfId="567"/>
    <tableColumn id="24" xr3:uid="{00000000-0010-0000-0300-000018000000}" name="20" dataDxfId="566"/>
    <tableColumn id="25" xr3:uid="{00000000-0010-0000-0300-000019000000}" name="21" dataDxfId="565"/>
    <tableColumn id="26" xr3:uid="{00000000-0010-0000-0300-00001A000000}" name="22" dataDxfId="564"/>
    <tableColumn id="27" xr3:uid="{00000000-0010-0000-0300-00001B000000}" name="23" dataDxfId="563"/>
    <tableColumn id="28" xr3:uid="{00000000-0010-0000-0300-00001C000000}" name="24" dataDxfId="562"/>
    <tableColumn id="29" xr3:uid="{00000000-0010-0000-0300-00001D000000}" name="25" dataDxfId="561"/>
    <tableColumn id="30" xr3:uid="{00000000-0010-0000-0300-00001E000000}" name="26" dataDxfId="560"/>
    <tableColumn id="31" xr3:uid="{00000000-0010-0000-0300-00001F000000}" name="27" dataDxfId="559"/>
    <tableColumn id="32" xr3:uid="{00000000-0010-0000-0300-000020000000}" name="28" dataDxfId="558"/>
    <tableColumn id="33" xr3:uid="{00000000-0010-0000-0300-000021000000}" name="29" dataDxfId="557"/>
    <tableColumn id="34" xr3:uid="{00000000-0010-0000-0300-000022000000}" name="30" dataDxfId="556"/>
    <tableColumn id="35" xr3:uid="{00000000-0010-0000-0300-000023000000}" name="31" dataDxfId="555"/>
    <tableColumn id="36" xr3:uid="{00000000-0010-0000-0300-000024000000}" name="32" dataDxfId="554"/>
    <tableColumn id="37" xr3:uid="{00000000-0010-0000-0300-000025000000}" name="33" dataDxfId="553"/>
    <tableColumn id="38" xr3:uid="{00000000-0010-0000-0300-000026000000}" name="34" dataDxfId="552"/>
    <tableColumn id="39" xr3:uid="{00000000-0010-0000-0300-000027000000}" name="35" dataDxfId="551"/>
    <tableColumn id="40" xr3:uid="{00000000-0010-0000-0300-000028000000}" name="36" dataDxfId="550"/>
    <tableColumn id="41" xr3:uid="{00000000-0010-0000-0300-000029000000}" name="37" dataDxfId="549"/>
    <tableColumn id="42" xr3:uid="{00000000-0010-0000-0300-00002A000000}" name="38" dataDxfId="548"/>
    <tableColumn id="43" xr3:uid="{00000000-0010-0000-0300-00002B000000}" name="39" dataDxfId="547"/>
    <tableColumn id="44" xr3:uid="{00000000-0010-0000-0300-00002C000000}" name="40" dataDxfId="546"/>
    <tableColumn id="45" xr3:uid="{00000000-0010-0000-0300-00002D000000}" name="41" dataDxfId="545"/>
    <tableColumn id="46" xr3:uid="{00000000-0010-0000-0300-00002E000000}" name="42" dataDxfId="544"/>
    <tableColumn id="47" xr3:uid="{00000000-0010-0000-0300-00002F000000}" name="43" dataDxfId="543"/>
    <tableColumn id="48" xr3:uid="{00000000-0010-0000-0300-000030000000}" name="44" dataDxfId="542"/>
    <tableColumn id="49" xr3:uid="{00000000-0010-0000-0300-000031000000}" name="45" dataDxfId="541"/>
    <tableColumn id="50" xr3:uid="{00000000-0010-0000-0300-000032000000}" name="46" dataDxfId="540"/>
    <tableColumn id="51" xr3:uid="{00000000-0010-0000-0300-000033000000}" name="47" dataDxfId="539"/>
    <tableColumn id="52" xr3:uid="{00000000-0010-0000-0300-000034000000}" name="48" dataDxfId="538"/>
    <tableColumn id="53" xr3:uid="{00000000-0010-0000-0300-000035000000}" name="49" dataDxfId="537"/>
    <tableColumn id="54" xr3:uid="{00000000-0010-0000-0300-000036000000}" name="50" dataDxfId="536"/>
    <tableColumn id="55" xr3:uid="{00000000-0010-0000-0300-000037000000}" name="51" dataDxfId="535"/>
    <tableColumn id="56" xr3:uid="{00000000-0010-0000-0300-000038000000}" name="52" dataDxfId="534"/>
    <tableColumn id="57" xr3:uid="{00000000-0010-0000-0300-000039000000}" name="53" dataDxfId="533"/>
    <tableColumn id="58" xr3:uid="{00000000-0010-0000-0300-00003A000000}" name="54" dataDxfId="532"/>
    <tableColumn id="59" xr3:uid="{00000000-0010-0000-0300-00003B000000}" name="55" dataDxfId="531"/>
    <tableColumn id="60" xr3:uid="{00000000-0010-0000-0300-00003C000000}" name="56" dataDxfId="530"/>
    <tableColumn id="61" xr3:uid="{00000000-0010-0000-0300-00003D000000}" name="57" dataDxfId="529"/>
    <tableColumn id="62" xr3:uid="{00000000-0010-0000-0300-00003E000000}" name="58" dataDxfId="528"/>
    <tableColumn id="63" xr3:uid="{00000000-0010-0000-0300-00003F000000}" name="59" dataDxfId="527"/>
    <tableColumn id="64" xr3:uid="{00000000-0010-0000-0300-000040000000}" name="60" dataDxfId="526"/>
    <tableColumn id="65" xr3:uid="{00000000-0010-0000-0300-000041000000}" name="61" dataDxfId="525"/>
    <tableColumn id="66" xr3:uid="{00000000-0010-0000-0300-000042000000}" name="62" dataDxfId="524"/>
    <tableColumn id="67" xr3:uid="{00000000-0010-0000-0300-000043000000}" name="63" dataDxfId="523"/>
    <tableColumn id="68" xr3:uid="{00000000-0010-0000-0300-000044000000}" name="64" dataDxfId="522"/>
    <tableColumn id="69" xr3:uid="{00000000-0010-0000-0300-000045000000}" name="65" dataDxfId="521"/>
    <tableColumn id="70" xr3:uid="{00000000-0010-0000-0300-000046000000}" name="66" dataDxfId="520"/>
    <tableColumn id="71" xr3:uid="{00000000-0010-0000-0300-000047000000}" name="67" dataDxfId="519"/>
    <tableColumn id="72" xr3:uid="{00000000-0010-0000-0300-000048000000}" name="68" dataDxfId="518"/>
    <tableColumn id="73" xr3:uid="{00000000-0010-0000-0300-000049000000}" name="69" dataDxfId="517"/>
    <tableColumn id="74" xr3:uid="{00000000-0010-0000-0300-00004A000000}" name="70" dataDxfId="516"/>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スコア表" displayName="スコア表" ref="B5:DF53" totalsRowShown="0" dataDxfId="514" headerRowBorderDxfId="515" tableBorderDxfId="513" totalsRowBorderDxfId="512">
  <autoFilter ref="B5:DF53" xr:uid="{00000000-0009-0000-0100-000007000000}">
    <filterColumn colId="2">
      <filters>
        <filter val="London"/>
        <filter val="New York"/>
        <filter val="Paris"/>
        <filter val="Singapore"/>
        <filter val="Tokyo"/>
      </filters>
    </filterColumn>
  </autoFilter>
  <sortState xmlns:xlrd2="http://schemas.microsoft.com/office/spreadsheetml/2017/richdata2" ref="B6:DF53">
    <sortCondition ref="C5:C53"/>
  </sortState>
  <tableColumns count="109">
    <tableColumn id="1" xr3:uid="{00000000-0010-0000-0400-000001000000}" name="Rank" dataDxfId="511">
      <calculatedColumnFormula>INDEX(順位表[Comprehensive],MATCH($C6,順位表['#],0))</calculatedColumnFormula>
    </tableColumn>
    <tableColumn id="2" xr3:uid="{00000000-0010-0000-0400-000002000000}" name="#" dataDxfId="510"/>
    <tableColumn id="3" xr3:uid="{00000000-0010-0000-0400-000003000000}" name="City Name" dataDxfId="509">
      <calculatedColumnFormula>INDEX(都市マスタ[City Name],MATCH($C6,都市マスタ['#],0))</calculatedColumnFormula>
    </tableColumn>
    <tableColumn id="4" xr3:uid="{00000000-0010-0000-0400-000004000000}" name="00a" dataDxfId="508">
      <calculatedColumnFormula>IFERROR(ROUND(
(INDEX(生データ表[],MATCH($C6,生データ表['#],0),MATCH(E$5,生データ表[#Headers],0))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calculatedColumnFormula>
    </tableColumn>
    <tableColumn id="5" xr3:uid="{00000000-0010-0000-0400-000005000000}" name="00b" dataDxfId="507">
      <calculatedColumnFormula>IFERROR(ROUND(
(INDEX(生データ表[],MATCH($C6,生データ表['#],0),MATCH(F$5,生データ表[#Headers],0))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calculatedColumnFormula>
    </tableColumn>
    <tableColumn id="6" xr3:uid="{00000000-0010-0000-0400-000006000000}" name="00c" dataDxfId="506">
      <calculatedColumnFormula>IFERROR(ROUND(
(INDEX(生データ表[],MATCH($C6,生データ表['#],0),MATCH(G$5,生データ表[#Headers],0))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calculatedColumnFormula>
    </tableColumn>
    <tableColumn id="7" xr3:uid="{00000000-0010-0000-0400-000007000000}" name="01" dataDxfId="505">
      <calculatedColumnFormula>IFERROR(ROUND(
(INDEX(生データ表[],MATCH($C6,生データ表['#],0),MATCH(H$5,生データ表[#Headers],0))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calculatedColumnFormula>
    </tableColumn>
    <tableColumn id="8" xr3:uid="{00000000-0010-0000-0400-000008000000}" name="02" dataDxfId="504">
      <calculatedColumnFormula>IFERROR(ROUND(
(INDEX(生データ表[],MATCH($C6,生データ表['#],0),MATCH(I$5,生データ表[#Headers],0))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calculatedColumnFormula>
    </tableColumn>
    <tableColumn id="9" xr3:uid="{00000000-0010-0000-0400-000009000000}" name="03" dataDxfId="503">
      <calculatedColumnFormula>IFERROR(ROUND(
(INDEX(生データ表[],MATCH($C6,生データ表['#],0),MATCH(J$5,生データ表[#Headers],0))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calculatedColumnFormula>
    </tableColumn>
    <tableColumn id="10" xr3:uid="{00000000-0010-0000-0400-00000A000000}" name="04" dataDxfId="502">
      <calculatedColumnFormula>IFERROR(ROUND(
(INDEX(生データ表[],MATCH($C6,生データ表['#],0),MATCH(K$5,生データ表[#Headers],0))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calculatedColumnFormula>
    </tableColumn>
    <tableColumn id="11" xr3:uid="{00000000-0010-0000-0400-00000B000000}" name="05" dataDxfId="501">
      <calculatedColumnFormula>IFERROR(ROUND(
(INDEX(生データ表[],MATCH($C6,生データ表['#],0),MATCH(L$5,生データ表[#Headers],0))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calculatedColumnFormula>
    </tableColumn>
    <tableColumn id="12" xr3:uid="{00000000-0010-0000-0400-00000C000000}" name="06" dataDxfId="500">
      <calculatedColumnFormula>IFERROR(ROUND(
(INDEX(生データ表[],MATCH($C6,生データ表['#],0),MATCH(M$5,生データ表[#Headers],0))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calculatedColumnFormula>
    </tableColumn>
    <tableColumn id="13" xr3:uid="{00000000-0010-0000-0400-00000D000000}" name="07" dataDxfId="499">
      <calculatedColumnFormula>IFERROR(ROUND(
(INDEX(生データ表[],MATCH($C6,生データ表['#],0),MATCH(N$5,生データ表[#Headers],0))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calculatedColumnFormula>
    </tableColumn>
    <tableColumn id="14" xr3:uid="{00000000-0010-0000-0400-00000E000000}" name="08" dataDxfId="498">
      <calculatedColumnFormula>IFERROR(ROUND(
(INDEX(生データ表[],MATCH($C6,生データ表['#],0),MATCH(O$5,生データ表[#Headers],0))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calculatedColumnFormula>
    </tableColumn>
    <tableColumn id="15" xr3:uid="{00000000-0010-0000-0400-00000F000000}" name="09" dataDxfId="497">
      <calculatedColumnFormula>IFERROR(ROUND(
(INDEX(生データ表[],MATCH($C6,生データ表['#],0),MATCH(P$5,生データ表[#Headers],0))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calculatedColumnFormula>
    </tableColumn>
    <tableColumn id="16" xr3:uid="{00000000-0010-0000-0400-000010000000}" name="10" dataDxfId="496">
      <calculatedColumnFormula>IFERROR(ROUND(
(INDEX(生データ表[],MATCH($C6,生データ表['#],0),MATCH(Q$5,生データ表[#Headers],0))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calculatedColumnFormula>
    </tableColumn>
    <tableColumn id="17" xr3:uid="{00000000-0010-0000-0400-000011000000}" name="11" dataDxfId="495">
      <calculatedColumnFormula>IFERROR(ROUND(
(INDEX(生データ表[],MATCH($C6,生データ表['#],0),MATCH(R$5,生データ表[#Headers],0))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calculatedColumnFormula>
    </tableColumn>
    <tableColumn id="18" xr3:uid="{00000000-0010-0000-0400-000012000000}" name="12" dataDxfId="494">
      <calculatedColumnFormula>IFERROR(ROUND(
(INDEX(生データ表[],MATCH($C6,生データ表['#],0),MATCH(S$5,生データ表[#Headers],0))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calculatedColumnFormula>
    </tableColumn>
    <tableColumn id="19" xr3:uid="{00000000-0010-0000-0400-000013000000}" name="13" dataDxfId="493">
      <calculatedColumnFormula>IFERROR(ROUND(
(INDEX(生データ表[],MATCH($C6,生データ表['#],0),MATCH(T$5,生データ表[#Headers],0))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calculatedColumnFormula>
    </tableColumn>
    <tableColumn id="20" xr3:uid="{00000000-0010-0000-0400-000014000000}" name="14" dataDxfId="492">
      <calculatedColumnFormula>IFERROR(ROUND(
(INDEX(生データ表[],MATCH($C6,生データ表['#],0),MATCH(U$5,生データ表[#Headers],0))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calculatedColumnFormula>
    </tableColumn>
    <tableColumn id="21" xr3:uid="{00000000-0010-0000-0400-000015000000}" name="15" dataDxfId="491">
      <calculatedColumnFormula>IFERROR(ROUND(
(INDEX(生データ表[],MATCH($C6,生データ表['#],0),MATCH(V$5,生データ表[#Headers],0))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calculatedColumnFormula>
    </tableColumn>
    <tableColumn id="22" xr3:uid="{00000000-0010-0000-0400-000016000000}" name="16" dataDxfId="490">
      <calculatedColumnFormula>IFERROR(ROUND(
(INDEX(生データ表[],MATCH($C6,生データ表['#],0),MATCH(W$5,生データ表[#Headers],0))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calculatedColumnFormula>
    </tableColumn>
    <tableColumn id="23" xr3:uid="{00000000-0010-0000-0400-000017000000}" name="17" dataDxfId="489">
      <calculatedColumnFormula>IFERROR(ROUND(
(INDEX(生データ表[],MATCH($C6,生データ表['#],0),MATCH(X$5,生データ表[#Headers],0))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calculatedColumnFormula>
    </tableColumn>
    <tableColumn id="24" xr3:uid="{00000000-0010-0000-0400-000018000000}" name="18" dataDxfId="488">
      <calculatedColumnFormula>IFERROR(ROUND(
(INDEX(生データ表[],MATCH($C6,生データ表['#],0),MATCH(Y$5,生データ表[#Headers],0))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calculatedColumnFormula>
    </tableColumn>
    <tableColumn id="25" xr3:uid="{00000000-0010-0000-0400-000019000000}" name="19" dataDxfId="487">
      <calculatedColumnFormula>IFERROR(ROUND(
(INDEX(生データ表[],MATCH($C6,生データ表['#],0),MATCH(Z$5,生データ表[#Headers],0))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calculatedColumnFormula>
    </tableColumn>
    <tableColumn id="26" xr3:uid="{00000000-0010-0000-0400-00001A000000}" name="20" dataDxfId="486">
      <calculatedColumnFormula>IFERROR(ROUND(
(INDEX(生データ表[],MATCH($C6,生データ表['#],0),MATCH(AA$5,生データ表[#Headers],0))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calculatedColumnFormula>
    </tableColumn>
    <tableColumn id="27" xr3:uid="{00000000-0010-0000-0400-00001B000000}" name="21" dataDxfId="485">
      <calculatedColumnFormula>IFERROR(ROUND(
(INDEX(生データ表[],MATCH($C6,生データ表['#],0),MATCH(AB$5,生データ表[#Headers],0))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calculatedColumnFormula>
    </tableColumn>
    <tableColumn id="28" xr3:uid="{00000000-0010-0000-0400-00001C000000}" name="22" dataDxfId="484">
      <calculatedColumnFormula>IFERROR(ROUND(
(INDEX(生データ表[],MATCH($C6,生データ表['#],0),MATCH(AC$5,生データ表[#Headers],0))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calculatedColumnFormula>
    </tableColumn>
    <tableColumn id="29" xr3:uid="{00000000-0010-0000-0400-00001D000000}" name="23" dataDxfId="483">
      <calculatedColumnFormula>IFERROR(ROUND(
(INDEX(生データ表[],MATCH($C6,生データ表['#],0),MATCH(AD$5,生データ表[#Headers],0))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calculatedColumnFormula>
    </tableColumn>
    <tableColumn id="30" xr3:uid="{00000000-0010-0000-0400-00001E000000}" name="24" dataDxfId="482">
      <calculatedColumnFormula>IFERROR(ROUND(
(INDEX(生データ表[],MATCH($C6,生データ表['#],0),MATCH(AE$5,生データ表[#Headers],0))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calculatedColumnFormula>
    </tableColumn>
    <tableColumn id="31" xr3:uid="{00000000-0010-0000-0400-00001F000000}" name="25" dataDxfId="481">
      <calculatedColumnFormula>IFERROR(ROUND(
(INDEX(生データ表[],MATCH($C6,生データ表['#],0),MATCH(AF$5,生データ表[#Headers],0))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calculatedColumnFormula>
    </tableColumn>
    <tableColumn id="32" xr3:uid="{00000000-0010-0000-0400-000020000000}" name="26" dataDxfId="480">
      <calculatedColumnFormula>IFERROR(ROUND(
(INDEX(生データ表[],MATCH($C6,生データ表['#],0),MATCH(AG$5,生データ表[#Headers],0))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calculatedColumnFormula>
    </tableColumn>
    <tableColumn id="33" xr3:uid="{00000000-0010-0000-0400-000021000000}" name="27" dataDxfId="479">
      <calculatedColumnFormula>IFERROR(ROUND(
(INDEX(生データ表[],MATCH($C6,生データ表['#],0),MATCH(AH$5,生データ表[#Headers],0))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calculatedColumnFormula>
    </tableColumn>
    <tableColumn id="34" xr3:uid="{00000000-0010-0000-0400-000022000000}" name="28" dataDxfId="478">
      <calculatedColumnFormula>IFERROR(ROUND(
(INDEX(生データ表[],MATCH($C6,生データ表['#],0),MATCH(AI$5,生データ表[#Headers],0))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calculatedColumnFormula>
    </tableColumn>
    <tableColumn id="35" xr3:uid="{00000000-0010-0000-0400-000023000000}" name="29" dataDxfId="477">
      <calculatedColumnFormula>IFERROR(ROUND(
(INDEX(生データ表[],MATCH($C6,生データ表['#],0),MATCH(AJ$5,生データ表[#Headers],0))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calculatedColumnFormula>
    </tableColumn>
    <tableColumn id="36" xr3:uid="{00000000-0010-0000-0400-000024000000}" name="30" dataDxfId="476">
      <calculatedColumnFormula>IFERROR(ROUND(
(INDEX(生データ表[],MATCH($C6,生データ表['#],0),MATCH(AK$5,生データ表[#Headers],0))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calculatedColumnFormula>
    </tableColumn>
    <tableColumn id="37" xr3:uid="{00000000-0010-0000-0400-000025000000}" name="31" dataDxfId="475">
      <calculatedColumnFormula>IFERROR(ROUND(
(INDEX(生データ表[],MATCH($C6,生データ表['#],0),MATCH(AL$5,生データ表[#Headers],0))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calculatedColumnFormula>
    </tableColumn>
    <tableColumn id="38" xr3:uid="{00000000-0010-0000-0400-000026000000}" name="32" dataDxfId="474">
      <calculatedColumnFormula>IFERROR(ROUND(
(INDEX(生データ表[],MATCH($C6,生データ表['#],0),MATCH(AM$5,生データ表[#Headers],0))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calculatedColumnFormula>
    </tableColumn>
    <tableColumn id="39" xr3:uid="{00000000-0010-0000-0400-000027000000}" name="33" dataDxfId="473">
      <calculatedColumnFormula>IFERROR(ROUND(
(INDEX(生データ表[],MATCH($C6,生データ表['#],0),MATCH(AN$5,生データ表[#Headers],0))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calculatedColumnFormula>
    </tableColumn>
    <tableColumn id="40" xr3:uid="{00000000-0010-0000-0400-000028000000}" name="34" dataDxfId="472">
      <calculatedColumnFormula>IFERROR(ROUND(
(INDEX(生データ表[],MATCH($C6,生データ表['#],0),MATCH(AO$5,生データ表[#Headers],0))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calculatedColumnFormula>
    </tableColumn>
    <tableColumn id="41" xr3:uid="{00000000-0010-0000-0400-000029000000}" name="35" dataDxfId="471">
      <calculatedColumnFormula>IFERROR(ROUND(
(INDEX(生データ表[],MATCH($C6,生データ表['#],0),MATCH(AP$5,生データ表[#Headers],0))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calculatedColumnFormula>
    </tableColumn>
    <tableColumn id="42" xr3:uid="{00000000-0010-0000-0400-00002A000000}" name="36" dataDxfId="470">
      <calculatedColumnFormula>IFERROR(ROUND(
(INDEX(生データ表[],MATCH($C6,生データ表['#],0),MATCH(AQ$5,生データ表[#Headers],0))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calculatedColumnFormula>
    </tableColumn>
    <tableColumn id="43" xr3:uid="{00000000-0010-0000-0400-00002B000000}" name="37" dataDxfId="469">
      <calculatedColumnFormula>IFERROR(ROUND(
(INDEX(生データ表[],MATCH($C6,生データ表['#],0),MATCH(AR$5,生データ表[#Headers],0))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calculatedColumnFormula>
    </tableColumn>
    <tableColumn id="44" xr3:uid="{00000000-0010-0000-0400-00002C000000}" name="38" dataDxfId="468">
      <calculatedColumnFormula>IFERROR(ROUND(
(INDEX(生データ表[],MATCH($C6,生データ表['#],0),MATCH(AS$5,生データ表[#Headers],0))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calculatedColumnFormula>
    </tableColumn>
    <tableColumn id="45" xr3:uid="{00000000-0010-0000-0400-00002D000000}" name="39" dataDxfId="467">
      <calculatedColumnFormula>IFERROR(ROUND(
(INDEX(生データ表[],MATCH($C6,生データ表['#],0),MATCH(AT$5,生データ表[#Headers],0))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calculatedColumnFormula>
    </tableColumn>
    <tableColumn id="46" xr3:uid="{00000000-0010-0000-0400-00002E000000}" name="40" dataDxfId="466">
      <calculatedColumnFormula>IFERROR(ROUND(
(INDEX(生データ表[],MATCH($C6,生データ表['#],0),MATCH(AU$5,生データ表[#Headers],0))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calculatedColumnFormula>
    </tableColumn>
    <tableColumn id="47" xr3:uid="{00000000-0010-0000-0400-00002F000000}" name="41" dataDxfId="465">
      <calculatedColumnFormula>IFERROR(ROUND(
(INDEX(生データ表[],MATCH($C6,生データ表['#],0),MATCH(AV$5,生データ表[#Headers],0))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calculatedColumnFormula>
    </tableColumn>
    <tableColumn id="48" xr3:uid="{00000000-0010-0000-0400-000030000000}" name="42" dataDxfId="464">
      <calculatedColumnFormula>IFERROR(ROUND(
(INDEX(生データ表[],MATCH($C6,生データ表['#],0),MATCH(AW$5,生データ表[#Headers],0))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calculatedColumnFormula>
    </tableColumn>
    <tableColumn id="49" xr3:uid="{00000000-0010-0000-0400-000031000000}" name="43" dataDxfId="463">
      <calculatedColumnFormula>IFERROR(ROUND(
(INDEX(生データ表[],MATCH($C6,生データ表['#],0),MATCH(AX$5,生データ表[#Headers],0))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calculatedColumnFormula>
    </tableColumn>
    <tableColumn id="50" xr3:uid="{00000000-0010-0000-0400-000032000000}" name="44" dataDxfId="462">
      <calculatedColumnFormula>IFERROR(ROUND(
(INDEX(生データ表[],MATCH($C6,生データ表['#],0),MATCH(AY$5,生データ表[#Headers],0))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calculatedColumnFormula>
    </tableColumn>
    <tableColumn id="51" xr3:uid="{00000000-0010-0000-0400-000033000000}" name="45" dataDxfId="461">
      <calculatedColumnFormula>IFERROR(ROUND(
(INDEX(生データ表[],MATCH($C6,生データ表['#],0),MATCH(AZ$5,生データ表[#Headers],0))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calculatedColumnFormula>
    </tableColumn>
    <tableColumn id="52" xr3:uid="{00000000-0010-0000-0400-000034000000}" name="46" dataDxfId="460">
      <calculatedColumnFormula>IFERROR(ROUND(
(INDEX(生データ表[],MATCH($C6,生データ表['#],0),MATCH(BA$5,生データ表[#Headers],0))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calculatedColumnFormula>
    </tableColumn>
    <tableColumn id="53" xr3:uid="{00000000-0010-0000-0400-000035000000}" name="47" dataDxfId="459">
      <calculatedColumnFormula>IFERROR(ROUND(
(INDEX(生データ表[],MATCH($C6,生データ表['#],0),MATCH(BB$5,生データ表[#Headers],0))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calculatedColumnFormula>
    </tableColumn>
    <tableColumn id="54" xr3:uid="{00000000-0010-0000-0400-000036000000}" name="48" dataDxfId="458">
      <calculatedColumnFormula>IFERROR(ROUND(
(INDEX(生データ表[],MATCH($C6,生データ表['#],0),MATCH(BC$5,生データ表[#Headers],0))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calculatedColumnFormula>
    </tableColumn>
    <tableColumn id="55" xr3:uid="{00000000-0010-0000-0400-000037000000}" name="49" dataDxfId="457">
      <calculatedColumnFormula>IFERROR(ROUND(
(INDEX(生データ表[],MATCH($C6,生データ表['#],0),MATCH(BD$5,生データ表[#Headers],0))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calculatedColumnFormula>
    </tableColumn>
    <tableColumn id="56" xr3:uid="{00000000-0010-0000-0400-000038000000}" name="50" dataDxfId="456">
      <calculatedColumnFormula>IFERROR(ROUND(
(INDEX(生データ表[],MATCH($C6,生データ表['#],0),MATCH(BE$5,生データ表[#Headers],0))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calculatedColumnFormula>
    </tableColumn>
    <tableColumn id="57" xr3:uid="{00000000-0010-0000-0400-000039000000}" name="51" dataDxfId="455">
      <calculatedColumnFormula>IFERROR(ROUND(
(INDEX(生データ表[],MATCH($C6,生データ表['#],0),MATCH(BF$5,生データ表[#Headers],0))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calculatedColumnFormula>
    </tableColumn>
    <tableColumn id="58" xr3:uid="{00000000-0010-0000-0400-00003A000000}" name="52" dataDxfId="454">
      <calculatedColumnFormula>IFERROR(ROUND(
(INDEX(生データ表[],MATCH($C6,生データ表['#],0),MATCH(BG$5,生データ表[#Headers],0))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calculatedColumnFormula>
    </tableColumn>
    <tableColumn id="59" xr3:uid="{00000000-0010-0000-0400-00003B000000}" name="53" dataDxfId="453">
      <calculatedColumnFormula>IFERROR(ROUND(
(INDEX(生データ表[],MATCH($C6,生データ表['#],0),MATCH(BH$5,生データ表[#Headers],0))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calculatedColumnFormula>
    </tableColumn>
    <tableColumn id="60" xr3:uid="{00000000-0010-0000-0400-00003C000000}" name="54" dataDxfId="452">
      <calculatedColumnFormula>IFERROR(ROUND(
(INDEX(生データ表[],MATCH($C6,生データ表['#],0),MATCH(BI$5,生データ表[#Headers],0))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calculatedColumnFormula>
    </tableColumn>
    <tableColumn id="61" xr3:uid="{00000000-0010-0000-0400-00003D000000}" name="55" dataDxfId="451">
      <calculatedColumnFormula>IFERROR(ROUND(
(INDEX(生データ表[],MATCH($C6,生データ表['#],0),MATCH(BJ$5,生データ表[#Headers],0))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calculatedColumnFormula>
    </tableColumn>
    <tableColumn id="62" xr3:uid="{00000000-0010-0000-0400-00003E000000}" name="56" dataDxfId="450">
      <calculatedColumnFormula>IFERROR(ROUND(
(INDEX(生データ表[],MATCH($C6,生データ表['#],0),MATCH(BK$5,生データ表[#Headers],0))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calculatedColumnFormula>
    </tableColumn>
    <tableColumn id="63" xr3:uid="{00000000-0010-0000-0400-00003F000000}" name="57" dataDxfId="449">
      <calculatedColumnFormula>IFERROR(ROUND(
(INDEX(生データ表[],MATCH($C6,生データ表['#],0),MATCH(BL$5,生データ表[#Headers],0))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calculatedColumnFormula>
    </tableColumn>
    <tableColumn id="64" xr3:uid="{00000000-0010-0000-0400-000040000000}" name="58" dataDxfId="448">
      <calculatedColumnFormula>IFERROR(ROUND(
(INDEX(生データ表[],MATCH($C6,生データ表['#],0),MATCH(BM$5,生データ表[#Headers],0))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calculatedColumnFormula>
    </tableColumn>
    <tableColumn id="65" xr3:uid="{00000000-0010-0000-0400-000041000000}" name="59" dataDxfId="447">
      <calculatedColumnFormula>IFERROR(ROUND(
(INDEX(生データ表[],MATCH($C6,生データ表['#],0),MATCH(BN$5,生データ表[#Headers],0))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calculatedColumnFormula>
    </tableColumn>
    <tableColumn id="66" xr3:uid="{00000000-0010-0000-0400-000042000000}" name="60" dataDxfId="446">
      <calculatedColumnFormula>IFERROR(ROUND(
(INDEX(生データ表[],MATCH($C6,生データ表['#],0),MATCH(BO$5,生データ表[#Headers],0))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calculatedColumnFormula>
    </tableColumn>
    <tableColumn id="67" xr3:uid="{00000000-0010-0000-0400-000043000000}" name="61" dataDxfId="445">
      <calculatedColumnFormula>IFERROR(ROUND(
(INDEX(生データ表[],MATCH($C6,生データ表['#],0),MATCH(BP$5,生データ表[#Headers],0))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calculatedColumnFormula>
    </tableColumn>
    <tableColumn id="68" xr3:uid="{00000000-0010-0000-0400-000044000000}" name="62" dataDxfId="444">
      <calculatedColumnFormula>IFERROR(ROUND(
(INDEX(生データ表[],MATCH($C6,生データ表['#],0),MATCH(BQ$5,生データ表[#Headers],0))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calculatedColumnFormula>
    </tableColumn>
    <tableColumn id="69" xr3:uid="{00000000-0010-0000-0400-000045000000}" name="63" dataDxfId="443">
      <calculatedColumnFormula>IFERROR(ROUND(
(INDEX(生データ表[],MATCH($C6,生データ表['#],0),MATCH(BR$5,生データ表[#Headers],0))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calculatedColumnFormula>
    </tableColumn>
    <tableColumn id="70" xr3:uid="{00000000-0010-0000-0400-000046000000}" name="64" dataDxfId="442">
      <calculatedColumnFormula>IFERROR(ROUND(
(INDEX(生データ表[],MATCH($C6,生データ表['#],0),MATCH(BS$5,生データ表[#Headers],0))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calculatedColumnFormula>
    </tableColumn>
    <tableColumn id="71" xr3:uid="{00000000-0010-0000-0400-000047000000}" name="65" dataDxfId="441">
      <calculatedColumnFormula>IFERROR(ROUND(
(INDEX(生データ表[],MATCH($C6,生データ表['#],0),MATCH(BT$5,生データ表[#Headers],0))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calculatedColumnFormula>
    </tableColumn>
    <tableColumn id="72" xr3:uid="{00000000-0010-0000-0400-000048000000}" name="66" dataDxfId="440">
      <calculatedColumnFormula>IFERROR(ROUND(
(INDEX(生データ表[],MATCH($C6,生データ表['#],0),MATCH(BU$5,生データ表[#Headers],0))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calculatedColumnFormula>
    </tableColumn>
    <tableColumn id="73" xr3:uid="{00000000-0010-0000-0400-000049000000}" name="67" dataDxfId="439">
      <calculatedColumnFormula>IFERROR(ROUND(
(INDEX(生データ表[],MATCH($C6,生データ表['#],0),MATCH(BV$5,生データ表[#Headers],0))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calculatedColumnFormula>
    </tableColumn>
    <tableColumn id="74" xr3:uid="{00000000-0010-0000-0400-00004A000000}" name="68" dataDxfId="438">
      <calculatedColumnFormula>IFERROR(ROUND(
(INDEX(生データ表[],MATCH($C6,生データ表['#],0),MATCH(BW$5,生データ表[#Headers],0))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calculatedColumnFormula>
    </tableColumn>
    <tableColumn id="75" xr3:uid="{00000000-0010-0000-0400-00004B000000}" name="69" dataDxfId="437">
      <calculatedColumnFormula>IFERROR(ROUND(
(INDEX(生データ表[],MATCH($C6,生データ表['#],0),MATCH(BX$5,生データ表[#Headers],0))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calculatedColumnFormula>
    </tableColumn>
    <tableColumn id="76" xr3:uid="{00000000-0010-0000-0400-00004C000000}" name="70" dataDxfId="436">
      <calculatedColumnFormula>IFERROR(ROUND(
(INDEX(生データ表[],MATCH($C6,生データ表['#],0),MATCH(BY$5,生データ表[#Headers],0))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calculatedColumnFormula>
    </tableColumn>
    <tableColumn id="77" xr3:uid="{00000000-0010-0000-0400-00004D000000}" name="Ec1" dataDxfId="435">
      <calculatedColumnFormula>IFERROR(AVERAGEIF($63:$63,BZ$5,6:6),"-")</calculatedColumnFormula>
    </tableColumn>
    <tableColumn id="78" xr3:uid="{00000000-0010-0000-0400-00004E000000}" name="Ec2" dataDxfId="434">
      <calculatedColumnFormula>IFERROR(AVERAGEIF($63:$63,CA$5,6:6),"-")</calculatedColumnFormula>
    </tableColumn>
    <tableColumn id="79" xr3:uid="{00000000-0010-0000-0400-00004F000000}" name="Ec3" dataDxfId="433">
      <calculatedColumnFormula>IFERROR(AVERAGEIF($63:$63,CB$5,6:6),"-")</calculatedColumnFormula>
    </tableColumn>
    <tableColumn id="80" xr3:uid="{00000000-0010-0000-0400-000050000000}" name="Ec4" dataDxfId="432">
      <calculatedColumnFormula>IFERROR(AVERAGEIF($63:$63,CC$5,6:6),"-")</calculatedColumnFormula>
    </tableColumn>
    <tableColumn id="81" xr3:uid="{00000000-0010-0000-0400-000051000000}" name="Ec5" dataDxfId="431">
      <calculatedColumnFormula>IFERROR(AVERAGEIF($63:$63,CD$5,6:6),"-")</calculatedColumnFormula>
    </tableColumn>
    <tableColumn id="82" xr3:uid="{00000000-0010-0000-0400-000052000000}" name="Ec6" dataDxfId="430">
      <calculatedColumnFormula>IFERROR(AVERAGEIF($63:$63,CE$5,6:6),"-")</calculatedColumnFormula>
    </tableColumn>
    <tableColumn id="83" xr3:uid="{00000000-0010-0000-0400-000053000000}" name="RD1" dataDxfId="429">
      <calculatedColumnFormula>IFERROR(AVERAGEIF($63:$63,CF$5,6:6),"-")</calculatedColumnFormula>
    </tableColumn>
    <tableColumn id="84" xr3:uid="{00000000-0010-0000-0400-000054000000}" name="RD2" dataDxfId="428">
      <calculatedColumnFormula>IFERROR(AVERAGEIF($63:$63,CG$5,6:6),"-")</calculatedColumnFormula>
    </tableColumn>
    <tableColumn id="85" xr3:uid="{00000000-0010-0000-0400-000055000000}" name="RD3" dataDxfId="427">
      <calculatedColumnFormula>IFERROR(AVERAGEIF($63:$63,CH$5,6:6),"-")</calculatedColumnFormula>
    </tableColumn>
    <tableColumn id="86" xr3:uid="{00000000-0010-0000-0400-000056000000}" name="CI1" dataDxfId="426">
      <calculatedColumnFormula>IFERROR(AVERAGEIF($63:$63,CI$5,6:6),"-")</calculatedColumnFormula>
    </tableColumn>
    <tableColumn id="87" xr3:uid="{00000000-0010-0000-0400-000057000000}" name="CI2" dataDxfId="425">
      <calculatedColumnFormula>IFERROR(AVERAGEIF($63:$63,CJ$5,6:6),"-")</calculatedColumnFormula>
    </tableColumn>
    <tableColumn id="88" xr3:uid="{00000000-0010-0000-0400-000058000000}" name="CI3" dataDxfId="424">
      <calculatedColumnFormula>IFERROR(AVERAGEIF($63:$63,CK$5,6:6),"-")</calculatedColumnFormula>
    </tableColumn>
    <tableColumn id="89" xr3:uid="{00000000-0010-0000-0400-000059000000}" name="CI4" dataDxfId="423">
      <calculatedColumnFormula>IFERROR(AVERAGEIF($63:$63,CL$5,6:6),"-")</calculatedColumnFormula>
    </tableColumn>
    <tableColumn id="90" xr3:uid="{00000000-0010-0000-0400-00005A000000}" name="CI5" dataDxfId="422">
      <calculatedColumnFormula>IFERROR(AVERAGEIF($63:$63,CM$5,6:6),"-")</calculatedColumnFormula>
    </tableColumn>
    <tableColumn id="91" xr3:uid="{00000000-0010-0000-0400-00005B000000}" name="Li1" dataDxfId="421">
      <calculatedColumnFormula>IFERROR(AVERAGEIF($63:$63,CN$5,6:6),"-")</calculatedColumnFormula>
    </tableColumn>
    <tableColumn id="92" xr3:uid="{00000000-0010-0000-0400-00005C000000}" name="Li2" dataDxfId="420">
      <calculatedColumnFormula>IFERROR(AVERAGEIF($63:$63,CO$5,6:6),"-")</calculatedColumnFormula>
    </tableColumn>
    <tableColumn id="93" xr3:uid="{00000000-0010-0000-0400-00005D000000}" name="Li3" dataDxfId="419">
      <calculatedColumnFormula>IFERROR(AVERAGEIF($63:$63,CP$5,6:6),"-")</calculatedColumnFormula>
    </tableColumn>
    <tableColumn id="94" xr3:uid="{00000000-0010-0000-0400-00005E000000}" name="Li4" dataDxfId="418">
      <calculatedColumnFormula>IFERROR(AVERAGEIF($63:$63,CQ$5,6:6),"-")</calculatedColumnFormula>
    </tableColumn>
    <tableColumn id="95" xr3:uid="{00000000-0010-0000-0400-00005F000000}" name="Li5" dataDxfId="417">
      <calculatedColumnFormula>IFERROR(AVERAGEIF($63:$63,CR$5,6:6),"-")</calculatedColumnFormula>
    </tableColumn>
    <tableColumn id="96" xr3:uid="{00000000-0010-0000-0400-000060000000}" name="En1" dataDxfId="416">
      <calculatedColumnFormula>IFERROR(AVERAGEIF($63:$63,CS$5,6:6),"-")</calculatedColumnFormula>
    </tableColumn>
    <tableColumn id="97" xr3:uid="{00000000-0010-0000-0400-000061000000}" name="En2" dataDxfId="415">
      <calculatedColumnFormula>IFERROR(AVERAGEIF($63:$63,CT$5,6:6),"-")</calculatedColumnFormula>
    </tableColumn>
    <tableColumn id="98" xr3:uid="{00000000-0010-0000-0400-000062000000}" name="En3" dataDxfId="414">
      <calculatedColumnFormula>IFERROR(AVERAGEIF($63:$63,CU$5,6:6),"-")</calculatedColumnFormula>
    </tableColumn>
    <tableColumn id="99" xr3:uid="{00000000-0010-0000-0400-000063000000}" name="Ac1" dataDxfId="413">
      <calculatedColumnFormula>IFERROR(AVERAGEIF($63:$63,CV$5,6:6),"-")</calculatedColumnFormula>
    </tableColumn>
    <tableColumn id="100" xr3:uid="{00000000-0010-0000-0400-000064000000}" name="Ac2" dataDxfId="412">
      <calculatedColumnFormula>IFERROR(AVERAGEIF($63:$63,CW$5,6:6),"-")</calculatedColumnFormula>
    </tableColumn>
    <tableColumn id="101" xr3:uid="{00000000-0010-0000-0400-000065000000}" name="Ac3" dataDxfId="411">
      <calculatedColumnFormula>IFERROR(AVERAGEIF($63:$63,CX$5,6:6),"-")</calculatedColumnFormula>
    </tableColumn>
    <tableColumn id="102" xr3:uid="{00000000-0010-0000-0400-000066000000}" name="Ac4" dataDxfId="410">
      <calculatedColumnFormula>IFERROR(AVERAGEIF($63:$63,CY$5,6:6),"-")</calculatedColumnFormula>
    </tableColumn>
    <tableColumn id="103" xr3:uid="{00000000-0010-0000-0400-000067000000}" name="Economy" dataDxfId="409">
      <calculatedColumnFormula>SUMIF($64:$64,CZ$5,6:6)</calculatedColumnFormula>
    </tableColumn>
    <tableColumn id="104" xr3:uid="{00000000-0010-0000-0400-000068000000}" name="R&amp;D" dataDxfId="408">
      <calculatedColumnFormula>SUMIF($64:$64,DA$5,6:6)</calculatedColumnFormula>
    </tableColumn>
    <tableColumn id="105" xr3:uid="{00000000-0010-0000-0400-000069000000}" name="Cultural Interaction" dataDxfId="407">
      <calculatedColumnFormula>SUMIF($64:$64,DB$5,6:6)</calculatedColumnFormula>
    </tableColumn>
    <tableColumn id="106" xr3:uid="{00000000-0010-0000-0400-00006A000000}" name="Livability" dataDxfId="406">
      <calculatedColumnFormula>SUMIF($64:$64,DC$5,6:6)</calculatedColumnFormula>
    </tableColumn>
    <tableColumn id="107" xr3:uid="{00000000-0010-0000-0400-00006B000000}" name="Environment" dataDxfId="405">
      <calculatedColumnFormula>SUMIF($64:$64,DD$5,6:6)</calculatedColumnFormula>
    </tableColumn>
    <tableColumn id="108" xr3:uid="{00000000-0010-0000-0400-00006C000000}" name="Accessibility" dataDxfId="404">
      <calculatedColumnFormula>SUMIF($64:$64,DE$5,6:6)</calculatedColumnFormula>
    </tableColumn>
    <tableColumn id="109" xr3:uid="{00000000-0010-0000-0400-00006D000000}" name="Comprehensive" dataDxfId="403">
      <calculatedColumnFormula>SUM(CZ6:DE6)</calculatedColumnFormula>
    </tableColumn>
  </tableColumns>
  <tableStyleInfo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スコア表2" displayName="スコア表2" ref="D57:DF61" totalsRowShown="0" dataDxfId="401" headerRowBorderDxfId="402" tableBorderDxfId="400" totalsRowBorderDxfId="399">
  <autoFilter ref="D57:DF61" xr:uid="{00000000-0009-0000-0100-00000A000000}"/>
  <tableColumns count="107">
    <tableColumn id="1" xr3:uid="{00000000-0010-0000-0500-000001000000}" name="maxmin" dataDxfId="398"/>
    <tableColumn id="2" xr3:uid="{00000000-0010-0000-0500-000002000000}" name="00a" dataDxfId="397"/>
    <tableColumn id="3" xr3:uid="{00000000-0010-0000-0500-000003000000}" name="00b" dataDxfId="396"/>
    <tableColumn id="4" xr3:uid="{00000000-0010-0000-0500-000004000000}" name="00c" dataDxfId="395"/>
    <tableColumn id="5" xr3:uid="{00000000-0010-0000-0500-000005000000}" name="01" dataDxfId="394"/>
    <tableColumn id="6" xr3:uid="{00000000-0010-0000-0500-000006000000}" name="02" dataDxfId="393"/>
    <tableColumn id="7" xr3:uid="{00000000-0010-0000-0500-000007000000}" name="03" dataDxfId="392"/>
    <tableColumn id="8" xr3:uid="{00000000-0010-0000-0500-000008000000}" name="04" dataDxfId="391"/>
    <tableColumn id="9" xr3:uid="{00000000-0010-0000-0500-000009000000}" name="05" dataDxfId="390"/>
    <tableColumn id="10" xr3:uid="{00000000-0010-0000-0500-00000A000000}" name="06" dataDxfId="389"/>
    <tableColumn id="11" xr3:uid="{00000000-0010-0000-0500-00000B000000}" name="07" dataDxfId="388"/>
    <tableColumn id="12" xr3:uid="{00000000-0010-0000-0500-00000C000000}" name="08" dataDxfId="387"/>
    <tableColumn id="13" xr3:uid="{00000000-0010-0000-0500-00000D000000}" name="09" dataDxfId="386"/>
    <tableColumn id="14" xr3:uid="{00000000-0010-0000-0500-00000E000000}" name="10" dataDxfId="385"/>
    <tableColumn id="15" xr3:uid="{00000000-0010-0000-0500-00000F000000}" name="11" dataDxfId="384"/>
    <tableColumn id="16" xr3:uid="{00000000-0010-0000-0500-000010000000}" name="12" dataDxfId="383"/>
    <tableColumn id="17" xr3:uid="{00000000-0010-0000-0500-000011000000}" name="13" dataDxfId="382"/>
    <tableColumn id="18" xr3:uid="{00000000-0010-0000-0500-000012000000}" name="14" dataDxfId="381"/>
    <tableColumn id="19" xr3:uid="{00000000-0010-0000-0500-000013000000}" name="15" dataDxfId="380"/>
    <tableColumn id="20" xr3:uid="{00000000-0010-0000-0500-000014000000}" name="16" dataDxfId="379"/>
    <tableColumn id="21" xr3:uid="{00000000-0010-0000-0500-000015000000}" name="17" dataDxfId="378"/>
    <tableColumn id="22" xr3:uid="{00000000-0010-0000-0500-000016000000}" name="18" dataDxfId="377"/>
    <tableColumn id="23" xr3:uid="{00000000-0010-0000-0500-000017000000}" name="19" dataDxfId="376"/>
    <tableColumn id="24" xr3:uid="{00000000-0010-0000-0500-000018000000}" name="20" dataDxfId="375"/>
    <tableColumn id="25" xr3:uid="{00000000-0010-0000-0500-000019000000}" name="21" dataDxfId="374"/>
    <tableColumn id="26" xr3:uid="{00000000-0010-0000-0500-00001A000000}" name="22" dataDxfId="373"/>
    <tableColumn id="27" xr3:uid="{00000000-0010-0000-0500-00001B000000}" name="23" dataDxfId="372"/>
    <tableColumn id="28" xr3:uid="{00000000-0010-0000-0500-00001C000000}" name="24" dataDxfId="371"/>
    <tableColumn id="29" xr3:uid="{00000000-0010-0000-0500-00001D000000}" name="25" dataDxfId="370"/>
    <tableColumn id="30" xr3:uid="{00000000-0010-0000-0500-00001E000000}" name="26" dataDxfId="369"/>
    <tableColumn id="31" xr3:uid="{00000000-0010-0000-0500-00001F000000}" name="27" dataDxfId="368"/>
    <tableColumn id="32" xr3:uid="{00000000-0010-0000-0500-000020000000}" name="28" dataDxfId="367"/>
    <tableColumn id="33" xr3:uid="{00000000-0010-0000-0500-000021000000}" name="29" dataDxfId="366"/>
    <tableColumn id="34" xr3:uid="{00000000-0010-0000-0500-000022000000}" name="30" dataDxfId="365"/>
    <tableColumn id="35" xr3:uid="{00000000-0010-0000-0500-000023000000}" name="31" dataDxfId="364"/>
    <tableColumn id="36" xr3:uid="{00000000-0010-0000-0500-000024000000}" name="32" dataDxfId="363"/>
    <tableColumn id="37" xr3:uid="{00000000-0010-0000-0500-000025000000}" name="33" dataDxfId="362"/>
    <tableColumn id="38" xr3:uid="{00000000-0010-0000-0500-000026000000}" name="34" dataDxfId="361"/>
    <tableColumn id="39" xr3:uid="{00000000-0010-0000-0500-000027000000}" name="35" dataDxfId="360"/>
    <tableColumn id="40" xr3:uid="{00000000-0010-0000-0500-000028000000}" name="36" dataDxfId="359"/>
    <tableColumn id="41" xr3:uid="{00000000-0010-0000-0500-000029000000}" name="37" dataDxfId="358"/>
    <tableColumn id="42" xr3:uid="{00000000-0010-0000-0500-00002A000000}" name="38" dataDxfId="357"/>
    <tableColumn id="43" xr3:uid="{00000000-0010-0000-0500-00002B000000}" name="39" dataDxfId="356"/>
    <tableColumn id="44" xr3:uid="{00000000-0010-0000-0500-00002C000000}" name="40" dataDxfId="355"/>
    <tableColumn id="45" xr3:uid="{00000000-0010-0000-0500-00002D000000}" name="41" dataDxfId="354"/>
    <tableColumn id="46" xr3:uid="{00000000-0010-0000-0500-00002E000000}" name="42" dataDxfId="353"/>
    <tableColumn id="47" xr3:uid="{00000000-0010-0000-0500-00002F000000}" name="43" dataDxfId="352"/>
    <tableColumn id="48" xr3:uid="{00000000-0010-0000-0500-000030000000}" name="44" dataDxfId="351"/>
    <tableColumn id="49" xr3:uid="{00000000-0010-0000-0500-000031000000}" name="45" dataDxfId="350"/>
    <tableColumn id="50" xr3:uid="{00000000-0010-0000-0500-000032000000}" name="46" dataDxfId="349"/>
    <tableColumn id="51" xr3:uid="{00000000-0010-0000-0500-000033000000}" name="47" dataDxfId="348"/>
    <tableColumn id="52" xr3:uid="{00000000-0010-0000-0500-000034000000}" name="48" dataDxfId="347"/>
    <tableColumn id="53" xr3:uid="{00000000-0010-0000-0500-000035000000}" name="49" dataDxfId="346"/>
    <tableColumn id="54" xr3:uid="{00000000-0010-0000-0500-000036000000}" name="50" dataDxfId="345"/>
    <tableColumn id="55" xr3:uid="{00000000-0010-0000-0500-000037000000}" name="51" dataDxfId="344"/>
    <tableColumn id="56" xr3:uid="{00000000-0010-0000-0500-000038000000}" name="52" dataDxfId="343"/>
    <tableColumn id="57" xr3:uid="{00000000-0010-0000-0500-000039000000}" name="53" dataDxfId="342"/>
    <tableColumn id="58" xr3:uid="{00000000-0010-0000-0500-00003A000000}" name="54" dataDxfId="341"/>
    <tableColumn id="59" xr3:uid="{00000000-0010-0000-0500-00003B000000}" name="55" dataDxfId="340"/>
    <tableColumn id="60" xr3:uid="{00000000-0010-0000-0500-00003C000000}" name="56" dataDxfId="339"/>
    <tableColumn id="61" xr3:uid="{00000000-0010-0000-0500-00003D000000}" name="57" dataDxfId="338"/>
    <tableColumn id="62" xr3:uid="{00000000-0010-0000-0500-00003E000000}" name="58" dataDxfId="337"/>
    <tableColumn id="63" xr3:uid="{00000000-0010-0000-0500-00003F000000}" name="59" dataDxfId="336"/>
    <tableColumn id="64" xr3:uid="{00000000-0010-0000-0500-000040000000}" name="60" dataDxfId="335"/>
    <tableColumn id="65" xr3:uid="{00000000-0010-0000-0500-000041000000}" name="61" dataDxfId="334"/>
    <tableColumn id="66" xr3:uid="{00000000-0010-0000-0500-000042000000}" name="62" dataDxfId="333"/>
    <tableColumn id="67" xr3:uid="{00000000-0010-0000-0500-000043000000}" name="63" dataDxfId="332"/>
    <tableColumn id="68" xr3:uid="{00000000-0010-0000-0500-000044000000}" name="64" dataDxfId="331"/>
    <tableColumn id="69" xr3:uid="{00000000-0010-0000-0500-000045000000}" name="65" dataDxfId="330"/>
    <tableColumn id="70" xr3:uid="{00000000-0010-0000-0500-000046000000}" name="66" dataDxfId="329"/>
    <tableColumn id="71" xr3:uid="{00000000-0010-0000-0500-000047000000}" name="67" dataDxfId="328"/>
    <tableColumn id="72" xr3:uid="{00000000-0010-0000-0500-000048000000}" name="68" dataDxfId="327"/>
    <tableColumn id="73" xr3:uid="{00000000-0010-0000-0500-000049000000}" name="69" dataDxfId="326"/>
    <tableColumn id="74" xr3:uid="{00000000-0010-0000-0500-00004A000000}" name="70" dataDxfId="325"/>
    <tableColumn id="75" xr3:uid="{00000000-0010-0000-0500-00004B000000}" name="Ec1" dataDxfId="324"/>
    <tableColumn id="76" xr3:uid="{00000000-0010-0000-0500-00004C000000}" name="Ec2" dataDxfId="323"/>
    <tableColumn id="77" xr3:uid="{00000000-0010-0000-0500-00004D000000}" name="Ec3" dataDxfId="322"/>
    <tableColumn id="78" xr3:uid="{00000000-0010-0000-0500-00004E000000}" name="Ec4" dataDxfId="321"/>
    <tableColumn id="79" xr3:uid="{00000000-0010-0000-0500-00004F000000}" name="Ec5" dataDxfId="320"/>
    <tableColumn id="80" xr3:uid="{00000000-0010-0000-0500-000050000000}" name="Ec6" dataDxfId="319"/>
    <tableColumn id="81" xr3:uid="{00000000-0010-0000-0500-000051000000}" name="RD1" dataDxfId="318"/>
    <tableColumn id="82" xr3:uid="{00000000-0010-0000-0500-000052000000}" name="RD2" dataDxfId="317"/>
    <tableColumn id="83" xr3:uid="{00000000-0010-0000-0500-000053000000}" name="RD3" dataDxfId="316"/>
    <tableColumn id="84" xr3:uid="{00000000-0010-0000-0500-000054000000}" name="CI1" dataDxfId="315"/>
    <tableColumn id="85" xr3:uid="{00000000-0010-0000-0500-000055000000}" name="CI2" dataDxfId="314"/>
    <tableColumn id="86" xr3:uid="{00000000-0010-0000-0500-000056000000}" name="CI3" dataDxfId="313"/>
    <tableColumn id="87" xr3:uid="{00000000-0010-0000-0500-000057000000}" name="CI4" dataDxfId="312"/>
    <tableColumn id="88" xr3:uid="{00000000-0010-0000-0500-000058000000}" name="CI5" dataDxfId="311"/>
    <tableColumn id="89" xr3:uid="{00000000-0010-0000-0500-000059000000}" name="Li1" dataDxfId="310"/>
    <tableColumn id="90" xr3:uid="{00000000-0010-0000-0500-00005A000000}" name="Li2" dataDxfId="309"/>
    <tableColumn id="91" xr3:uid="{00000000-0010-0000-0500-00005B000000}" name="Li3" dataDxfId="308"/>
    <tableColumn id="92" xr3:uid="{00000000-0010-0000-0500-00005C000000}" name="Li4" dataDxfId="307"/>
    <tableColumn id="93" xr3:uid="{00000000-0010-0000-0500-00005D000000}" name="Li5" dataDxfId="306"/>
    <tableColumn id="94" xr3:uid="{00000000-0010-0000-0500-00005E000000}" name="En1" dataDxfId="305"/>
    <tableColumn id="95" xr3:uid="{00000000-0010-0000-0500-00005F000000}" name="En2" dataDxfId="304"/>
    <tableColumn id="96" xr3:uid="{00000000-0010-0000-0500-000060000000}" name="En3" dataDxfId="303"/>
    <tableColumn id="97" xr3:uid="{00000000-0010-0000-0500-000061000000}" name="Ac1" dataDxfId="302"/>
    <tableColumn id="98" xr3:uid="{00000000-0010-0000-0500-000062000000}" name="Ac2" dataDxfId="301"/>
    <tableColumn id="99" xr3:uid="{00000000-0010-0000-0500-000063000000}" name="Ac3" dataDxfId="300"/>
    <tableColumn id="100" xr3:uid="{00000000-0010-0000-0500-000064000000}" name="Ac4" dataDxfId="299"/>
    <tableColumn id="101" xr3:uid="{00000000-0010-0000-0500-000065000000}" name="Economy" dataDxfId="298"/>
    <tableColumn id="102" xr3:uid="{00000000-0010-0000-0500-000066000000}" name="R&amp;D" dataDxfId="297"/>
    <tableColumn id="103" xr3:uid="{00000000-0010-0000-0500-000067000000}" name="Cultural Interaction" dataDxfId="296"/>
    <tableColumn id="104" xr3:uid="{00000000-0010-0000-0500-000068000000}" name="Livability" dataDxfId="295"/>
    <tableColumn id="105" xr3:uid="{00000000-0010-0000-0500-000069000000}" name="Environment" dataDxfId="294"/>
    <tableColumn id="106" xr3:uid="{00000000-0010-0000-0500-00006A000000}" name="Accessibility" dataDxfId="293"/>
    <tableColumn id="107" xr3:uid="{00000000-0010-0000-0500-00006B000000}" name="Comprehensive" dataDxfId="292"/>
  </tableColumns>
  <tableStyleInfo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順位表" displayName="順位表" ref="B5:DF53" totalsRowShown="0" dataDxfId="290" headerRowBorderDxfId="291" tableBorderDxfId="289" totalsRowBorderDxfId="288">
  <autoFilter ref="B5:DF53" xr:uid="{00000000-0009-0000-0100-000008000000}"/>
  <tableColumns count="109">
    <tableColumn id="1" xr3:uid="{00000000-0010-0000-0600-000001000000}" name="Rank" dataDxfId="287">
      <calculatedColumnFormula>INDEX(順位表[Comprehensive],MATCH($C6,順位表['#],0))</calculatedColumnFormula>
    </tableColumn>
    <tableColumn id="2" xr3:uid="{00000000-0010-0000-0600-000002000000}" name="#" dataDxfId="286"/>
    <tableColumn id="3" xr3:uid="{00000000-0010-0000-0600-000003000000}" name="City Name" dataDxfId="285">
      <calculatedColumnFormula>INDEX(都市マスタ[City Name],MATCH($C6,都市マスタ['#],0))</calculatedColumnFormula>
    </tableColumn>
    <tableColumn id="4" xr3:uid="{00000000-0010-0000-0600-000004000000}" name="00a" dataDxfId="284">
      <calculatedColumnFormula>IFERROR(_xlfn.RANK.EQ(INDEX(スコア表[],MATCH($C6,スコア表['#],0),MATCH(E$5,スコア表[#Headers],0)),スコア表[00a],0),"-")</calculatedColumnFormula>
    </tableColumn>
    <tableColumn id="5" xr3:uid="{00000000-0010-0000-0600-000005000000}" name="00b" dataDxfId="283">
      <calculatedColumnFormula>IFERROR(_xlfn.RANK.EQ(INDEX(スコア表[],MATCH($C6,スコア表['#],0),MATCH(F$5,スコア表[#Headers],0)),スコア表[00b],0),"-")</calculatedColumnFormula>
    </tableColumn>
    <tableColumn id="6" xr3:uid="{00000000-0010-0000-0600-000006000000}" name="00c" dataDxfId="282">
      <calculatedColumnFormula>IFERROR(_xlfn.RANK.EQ(INDEX(スコア表[],MATCH($C6,スコア表['#],0),MATCH(G$5,スコア表[#Headers],0)),スコア表[00c],0),"-")</calculatedColumnFormula>
    </tableColumn>
    <tableColumn id="7" xr3:uid="{00000000-0010-0000-0600-000007000000}" name="01" dataDxfId="281">
      <calculatedColumnFormula>IFERROR(_xlfn.RANK.EQ(INDEX(スコア表[],MATCH($C6,スコア表['#],0),MATCH(H$5,スコア表[#Headers],0)),スコア表[01],0),"-")</calculatedColumnFormula>
    </tableColumn>
    <tableColumn id="8" xr3:uid="{00000000-0010-0000-0600-000008000000}" name="02" dataDxfId="280">
      <calculatedColumnFormula>IFERROR(_xlfn.RANK.EQ(INDEX(スコア表[],MATCH($C6,スコア表['#],0),MATCH(I$5,スコア表[#Headers],0)),スコア表[02],0),"-")</calculatedColumnFormula>
    </tableColumn>
    <tableColumn id="9" xr3:uid="{00000000-0010-0000-0600-000009000000}" name="03" dataDxfId="279">
      <calculatedColumnFormula>IFERROR(_xlfn.RANK.EQ(INDEX(スコア表[],MATCH($C6,スコア表['#],0),MATCH(J$5,スコア表[#Headers],0)),スコア表[03],0),"-")</calculatedColumnFormula>
    </tableColumn>
    <tableColumn id="10" xr3:uid="{00000000-0010-0000-0600-00000A000000}" name="04" dataDxfId="278">
      <calculatedColumnFormula>IFERROR(_xlfn.RANK.EQ(INDEX(スコア表[],MATCH($C6,スコア表['#],0),MATCH(K$5,スコア表[#Headers],0)),スコア表[04],0),"-")</calculatedColumnFormula>
    </tableColumn>
    <tableColumn id="11" xr3:uid="{00000000-0010-0000-0600-00000B000000}" name="05" dataDxfId="277">
      <calculatedColumnFormula>IFERROR(_xlfn.RANK.EQ(INDEX(スコア表[],MATCH($C6,スコア表['#],0),MATCH(L$5,スコア表[#Headers],0)),スコア表[05],0),"-")</calculatedColumnFormula>
    </tableColumn>
    <tableColumn id="12" xr3:uid="{00000000-0010-0000-0600-00000C000000}" name="06" dataDxfId="276">
      <calculatedColumnFormula>IFERROR(_xlfn.RANK.EQ(INDEX(スコア表[],MATCH($C6,スコア表['#],0),MATCH(M$5,スコア表[#Headers],0)),スコア表[06],0),"-")</calculatedColumnFormula>
    </tableColumn>
    <tableColumn id="13" xr3:uid="{00000000-0010-0000-0600-00000D000000}" name="07" dataDxfId="275">
      <calculatedColumnFormula>IFERROR(_xlfn.RANK.EQ(INDEX(スコア表[],MATCH($C6,スコア表['#],0),MATCH(N$5,スコア表[#Headers],0)),スコア表[07],0),"-")</calculatedColumnFormula>
    </tableColumn>
    <tableColumn id="14" xr3:uid="{00000000-0010-0000-0600-00000E000000}" name="08" dataDxfId="274">
      <calculatedColumnFormula>IFERROR(_xlfn.RANK.EQ(INDEX(スコア表[],MATCH($C6,スコア表['#],0),MATCH(O$5,スコア表[#Headers],0)),スコア表[08],0),"-")</calculatedColumnFormula>
    </tableColumn>
    <tableColumn id="15" xr3:uid="{00000000-0010-0000-0600-00000F000000}" name="09" dataDxfId="273">
      <calculatedColumnFormula>IFERROR(_xlfn.RANK.EQ(INDEX(スコア表[],MATCH($C6,スコア表['#],0),MATCH(P$5,スコア表[#Headers],0)),スコア表[09],0),"-")</calculatedColumnFormula>
    </tableColumn>
    <tableColumn id="16" xr3:uid="{00000000-0010-0000-0600-000010000000}" name="10" dataDxfId="272">
      <calculatedColumnFormula>IFERROR(_xlfn.RANK.EQ(INDEX(スコア表[],MATCH($C6,スコア表['#],0),MATCH(Q$5,スコア表[#Headers],0)),スコア表[10],0),"-")</calculatedColumnFormula>
    </tableColumn>
    <tableColumn id="17" xr3:uid="{00000000-0010-0000-0600-000011000000}" name="11" dataDxfId="271">
      <calculatedColumnFormula>IFERROR(_xlfn.RANK.EQ(INDEX(スコア表[],MATCH($C6,スコア表['#],0),MATCH(R$5,スコア表[#Headers],0)),スコア表[11],0),"-")</calculatedColumnFormula>
    </tableColumn>
    <tableColumn id="18" xr3:uid="{00000000-0010-0000-0600-000012000000}" name="12" dataDxfId="270">
      <calculatedColumnFormula>IFERROR(_xlfn.RANK.EQ(INDEX(スコア表[],MATCH($C6,スコア表['#],0),MATCH(S$5,スコア表[#Headers],0)),スコア表[12],0),"-")</calculatedColumnFormula>
    </tableColumn>
    <tableColumn id="19" xr3:uid="{00000000-0010-0000-0600-000013000000}" name="13" dataDxfId="269">
      <calculatedColumnFormula>IFERROR(_xlfn.RANK.EQ(INDEX(スコア表[],MATCH($C6,スコア表['#],0),MATCH(T$5,スコア表[#Headers],0)),スコア表[13],0),"-")</calculatedColumnFormula>
    </tableColumn>
    <tableColumn id="20" xr3:uid="{00000000-0010-0000-0600-000014000000}" name="14" dataDxfId="268">
      <calculatedColumnFormula>IFERROR(_xlfn.RANK.EQ(INDEX(スコア表[],MATCH($C6,スコア表['#],0),MATCH(U$5,スコア表[#Headers],0)),スコア表[14],0),"-")</calculatedColumnFormula>
    </tableColumn>
    <tableColumn id="21" xr3:uid="{00000000-0010-0000-0600-000015000000}" name="15" dataDxfId="267">
      <calculatedColumnFormula>IFERROR(_xlfn.RANK.EQ(INDEX(スコア表[],MATCH($C6,スコア表['#],0),MATCH(V$5,スコア表[#Headers],0)),スコア表[15],0),"-")</calculatedColumnFormula>
    </tableColumn>
    <tableColumn id="22" xr3:uid="{00000000-0010-0000-0600-000016000000}" name="16" dataDxfId="266">
      <calculatedColumnFormula>IFERROR(_xlfn.RANK.EQ(INDEX(スコア表[],MATCH($C6,スコア表['#],0),MATCH(W$5,スコア表[#Headers],0)),スコア表[16],0),"-")</calculatedColumnFormula>
    </tableColumn>
    <tableColumn id="23" xr3:uid="{00000000-0010-0000-0600-000017000000}" name="17" dataDxfId="265">
      <calculatedColumnFormula>IFERROR(_xlfn.RANK.EQ(INDEX(スコア表[],MATCH($C6,スコア表['#],0),MATCH(X$5,スコア表[#Headers],0)),スコア表[17],0),"-")</calculatedColumnFormula>
    </tableColumn>
    <tableColumn id="24" xr3:uid="{00000000-0010-0000-0600-000018000000}" name="18" dataDxfId="264">
      <calculatedColumnFormula>IFERROR(_xlfn.RANK.EQ(INDEX(スコア表[],MATCH($C6,スコア表['#],0),MATCH(Y$5,スコア表[#Headers],0)),スコア表[18],0),"-")</calculatedColumnFormula>
    </tableColumn>
    <tableColumn id="25" xr3:uid="{00000000-0010-0000-0600-000019000000}" name="19" dataDxfId="263">
      <calculatedColumnFormula>IFERROR(_xlfn.RANK.EQ(INDEX(スコア表[],MATCH($C6,スコア表['#],0),MATCH(Z$5,スコア表[#Headers],0)),スコア表[19],0),"-")</calculatedColumnFormula>
    </tableColumn>
    <tableColumn id="26" xr3:uid="{00000000-0010-0000-0600-00001A000000}" name="20" dataDxfId="262">
      <calculatedColumnFormula>IFERROR(_xlfn.RANK.EQ(INDEX(スコア表[],MATCH($C6,スコア表['#],0),MATCH(AA$5,スコア表[#Headers],0)),スコア表[20],0),"-")</calculatedColumnFormula>
    </tableColumn>
    <tableColumn id="27" xr3:uid="{00000000-0010-0000-0600-00001B000000}" name="21" dataDxfId="261">
      <calculatedColumnFormula>IFERROR(_xlfn.RANK.EQ(INDEX(スコア表[],MATCH($C6,スコア表['#],0),MATCH(AB$5,スコア表[#Headers],0)),スコア表[21],0),"-")</calculatedColumnFormula>
    </tableColumn>
    <tableColumn id="28" xr3:uid="{00000000-0010-0000-0600-00001C000000}" name="22" dataDxfId="260">
      <calculatedColumnFormula>IFERROR(_xlfn.RANK.EQ(INDEX(スコア表[],MATCH($C6,スコア表['#],0),MATCH(AC$5,スコア表[#Headers],0)),スコア表[22],0),"-")</calculatedColumnFormula>
    </tableColumn>
    <tableColumn id="29" xr3:uid="{00000000-0010-0000-0600-00001D000000}" name="23" dataDxfId="259">
      <calculatedColumnFormula>IFERROR(_xlfn.RANK.EQ(INDEX(スコア表[],MATCH($C6,スコア表['#],0),MATCH(AD$5,スコア表[#Headers],0)),スコア表[23],0),"-")</calculatedColumnFormula>
    </tableColumn>
    <tableColumn id="30" xr3:uid="{00000000-0010-0000-0600-00001E000000}" name="24" dataDxfId="258">
      <calculatedColumnFormula>IFERROR(_xlfn.RANK.EQ(INDEX(スコア表[],MATCH($C6,スコア表['#],0),MATCH(AE$5,スコア表[#Headers],0)),スコア表[24],0),"-")</calculatedColumnFormula>
    </tableColumn>
    <tableColumn id="31" xr3:uid="{00000000-0010-0000-0600-00001F000000}" name="25" dataDxfId="257">
      <calculatedColumnFormula>IFERROR(_xlfn.RANK.EQ(INDEX(スコア表[],MATCH($C6,スコア表['#],0),MATCH(AF$5,スコア表[#Headers],0)),スコア表[25],0),"-")</calculatedColumnFormula>
    </tableColumn>
    <tableColumn id="32" xr3:uid="{00000000-0010-0000-0600-000020000000}" name="26" dataDxfId="256">
      <calculatedColumnFormula>IFERROR(_xlfn.RANK.EQ(INDEX(スコア表[],MATCH($C6,スコア表['#],0),MATCH(AG$5,スコア表[#Headers],0)),スコア表[26],0),"-")</calculatedColumnFormula>
    </tableColumn>
    <tableColumn id="33" xr3:uid="{00000000-0010-0000-0600-000021000000}" name="27" dataDxfId="255">
      <calculatedColumnFormula>IFERROR(_xlfn.RANK.EQ(INDEX(スコア表[],MATCH($C6,スコア表['#],0),MATCH(AH$5,スコア表[#Headers],0)),スコア表[27],0),"-")</calculatedColumnFormula>
    </tableColumn>
    <tableColumn id="34" xr3:uid="{00000000-0010-0000-0600-000022000000}" name="28" dataDxfId="254">
      <calculatedColumnFormula>IFERROR(_xlfn.RANK.EQ(INDEX(スコア表[],MATCH($C6,スコア表['#],0),MATCH(AI$5,スコア表[#Headers],0)),スコア表[28],0),"-")</calculatedColumnFormula>
    </tableColumn>
    <tableColumn id="35" xr3:uid="{00000000-0010-0000-0600-000023000000}" name="29" dataDxfId="253">
      <calculatedColumnFormula>IFERROR(_xlfn.RANK.EQ(INDEX(スコア表[],MATCH($C6,スコア表['#],0),MATCH(AJ$5,スコア表[#Headers],0)),スコア表[29],0),"-")</calculatedColumnFormula>
    </tableColumn>
    <tableColumn id="36" xr3:uid="{00000000-0010-0000-0600-000024000000}" name="30" dataDxfId="252">
      <calculatedColumnFormula>IFERROR(_xlfn.RANK.EQ(INDEX(スコア表[],MATCH($C6,スコア表['#],0),MATCH(AK$5,スコア表[#Headers],0)),スコア表[30],0),"-")</calculatedColumnFormula>
    </tableColumn>
    <tableColumn id="37" xr3:uid="{00000000-0010-0000-0600-000025000000}" name="31" dataDxfId="251">
      <calculatedColumnFormula>IFERROR(_xlfn.RANK.EQ(INDEX(スコア表[],MATCH($C6,スコア表['#],0),MATCH(AL$5,スコア表[#Headers],0)),スコア表[31],0),"-")</calculatedColumnFormula>
    </tableColumn>
    <tableColumn id="38" xr3:uid="{00000000-0010-0000-0600-000026000000}" name="32" dataDxfId="250">
      <calculatedColumnFormula>IFERROR(_xlfn.RANK.EQ(INDEX(スコア表[],MATCH($C6,スコア表['#],0),MATCH(AM$5,スコア表[#Headers],0)),スコア表[32],0),"-")</calculatedColumnFormula>
    </tableColumn>
    <tableColumn id="39" xr3:uid="{00000000-0010-0000-0600-000027000000}" name="33" dataDxfId="249">
      <calculatedColumnFormula>IFERROR(_xlfn.RANK.EQ(INDEX(スコア表[],MATCH($C6,スコア表['#],0),MATCH(AN$5,スコア表[#Headers],0)),スコア表[33],0),"-")</calculatedColumnFormula>
    </tableColumn>
    <tableColumn id="40" xr3:uid="{00000000-0010-0000-0600-000028000000}" name="34" dataDxfId="248">
      <calculatedColumnFormula>IFERROR(_xlfn.RANK.EQ(INDEX(スコア表[],MATCH($C6,スコア表['#],0),MATCH(AO$5,スコア表[#Headers],0)),スコア表[34],0),"-")</calculatedColumnFormula>
    </tableColumn>
    <tableColumn id="41" xr3:uid="{00000000-0010-0000-0600-000029000000}" name="35" dataDxfId="247">
      <calculatedColumnFormula>IFERROR(_xlfn.RANK.EQ(INDEX(スコア表[],MATCH($C6,スコア表['#],0),MATCH(AP$5,スコア表[#Headers],0)),スコア表[35],0),"-")</calculatedColumnFormula>
    </tableColumn>
    <tableColumn id="42" xr3:uid="{00000000-0010-0000-0600-00002A000000}" name="36" dataDxfId="246">
      <calculatedColumnFormula>IFERROR(_xlfn.RANK.EQ(INDEX(スコア表[],MATCH($C6,スコア表['#],0),MATCH(AQ$5,スコア表[#Headers],0)),スコア表[36],0),"-")</calculatedColumnFormula>
    </tableColumn>
    <tableColumn id="43" xr3:uid="{00000000-0010-0000-0600-00002B000000}" name="37" dataDxfId="245">
      <calculatedColumnFormula>IFERROR(_xlfn.RANK.EQ(INDEX(スコア表[],MATCH($C6,スコア表['#],0),MATCH(AR$5,スコア表[#Headers],0)),スコア表[37],0),"-")</calculatedColumnFormula>
    </tableColumn>
    <tableColumn id="44" xr3:uid="{00000000-0010-0000-0600-00002C000000}" name="38" dataDxfId="244">
      <calculatedColumnFormula>IFERROR(_xlfn.RANK.EQ(INDEX(スコア表[],MATCH($C6,スコア表['#],0),MATCH(AS$5,スコア表[#Headers],0)),スコア表[38],0),"-")</calculatedColumnFormula>
    </tableColumn>
    <tableColumn id="45" xr3:uid="{00000000-0010-0000-0600-00002D000000}" name="39" dataDxfId="243">
      <calculatedColumnFormula>IFERROR(_xlfn.RANK.EQ(INDEX(スコア表[],MATCH($C6,スコア表['#],0),MATCH(AT$5,スコア表[#Headers],0)),スコア表[39],0),"-")</calculatedColumnFormula>
    </tableColumn>
    <tableColumn id="46" xr3:uid="{00000000-0010-0000-0600-00002E000000}" name="40" dataDxfId="242">
      <calculatedColumnFormula>IFERROR(_xlfn.RANK.EQ(INDEX(スコア表[],MATCH($C6,スコア表['#],0),MATCH(AU$5,スコア表[#Headers],0)),スコア表[40],0),"-")</calculatedColumnFormula>
    </tableColumn>
    <tableColumn id="47" xr3:uid="{00000000-0010-0000-0600-00002F000000}" name="41" dataDxfId="241">
      <calculatedColumnFormula>IFERROR(_xlfn.RANK.EQ(INDEX(スコア表[],MATCH($C6,スコア表['#],0),MATCH(AV$5,スコア表[#Headers],0)),スコア表[41],0),"-")</calculatedColumnFormula>
    </tableColumn>
    <tableColumn id="48" xr3:uid="{00000000-0010-0000-0600-000030000000}" name="42" dataDxfId="240">
      <calculatedColumnFormula>IFERROR(_xlfn.RANK.EQ(INDEX(スコア表[],MATCH($C6,スコア表['#],0),MATCH(AW$5,スコア表[#Headers],0)),スコア表[42],0),"-")</calculatedColumnFormula>
    </tableColumn>
    <tableColumn id="49" xr3:uid="{00000000-0010-0000-0600-000031000000}" name="43" dataDxfId="239">
      <calculatedColumnFormula>IFERROR(_xlfn.RANK.EQ(INDEX(スコア表[],MATCH($C6,スコア表['#],0),MATCH(AX$5,スコア表[#Headers],0)),スコア表[43],0),"-")</calculatedColumnFormula>
    </tableColumn>
    <tableColumn id="50" xr3:uid="{00000000-0010-0000-0600-000032000000}" name="44" dataDxfId="238">
      <calculatedColumnFormula>IFERROR(_xlfn.RANK.EQ(INDEX(スコア表[],MATCH($C6,スコア表['#],0),MATCH(AY$5,スコア表[#Headers],0)),スコア表[44],0),"-")</calculatedColumnFormula>
    </tableColumn>
    <tableColumn id="51" xr3:uid="{00000000-0010-0000-0600-000033000000}" name="45" dataDxfId="237">
      <calculatedColumnFormula>IFERROR(_xlfn.RANK.EQ(INDEX(スコア表[],MATCH($C6,スコア表['#],0),MATCH(AZ$5,スコア表[#Headers],0)),スコア表[45],0),"-")</calculatedColumnFormula>
    </tableColumn>
    <tableColumn id="52" xr3:uid="{00000000-0010-0000-0600-000034000000}" name="46" dataDxfId="236">
      <calculatedColumnFormula>IFERROR(_xlfn.RANK.EQ(INDEX(スコア表[],MATCH($C6,スコア表['#],0),MATCH(BA$5,スコア表[#Headers],0)),スコア表[46],0),"-")</calculatedColumnFormula>
    </tableColumn>
    <tableColumn id="53" xr3:uid="{00000000-0010-0000-0600-000035000000}" name="47" dataDxfId="235">
      <calculatedColumnFormula>IFERROR(_xlfn.RANK.EQ(INDEX(スコア表[],MATCH($C6,スコア表['#],0),MATCH(BB$5,スコア表[#Headers],0)),スコア表[47],0),"-")</calculatedColumnFormula>
    </tableColumn>
    <tableColumn id="54" xr3:uid="{00000000-0010-0000-0600-000036000000}" name="48" dataDxfId="234">
      <calculatedColumnFormula>IFERROR(_xlfn.RANK.EQ(INDEX(スコア表[],MATCH($C6,スコア表['#],0),MATCH(BC$5,スコア表[#Headers],0)),スコア表[48],0),"-")</calculatedColumnFormula>
    </tableColumn>
    <tableColumn id="55" xr3:uid="{00000000-0010-0000-0600-000037000000}" name="49" dataDxfId="233">
      <calculatedColumnFormula>IFERROR(_xlfn.RANK.EQ(INDEX(スコア表[],MATCH($C6,スコア表['#],0),MATCH(BD$5,スコア表[#Headers],0)),スコア表[49],0),"-")</calculatedColumnFormula>
    </tableColumn>
    <tableColumn id="56" xr3:uid="{00000000-0010-0000-0600-000038000000}" name="50" dataDxfId="232">
      <calculatedColumnFormula>IFERROR(_xlfn.RANK.EQ(INDEX(スコア表[],MATCH($C6,スコア表['#],0),MATCH(BE$5,スコア表[#Headers],0)),スコア表[50],0),"-")</calculatedColumnFormula>
    </tableColumn>
    <tableColumn id="57" xr3:uid="{00000000-0010-0000-0600-000039000000}" name="51" dataDxfId="231">
      <calculatedColumnFormula>IFERROR(_xlfn.RANK.EQ(INDEX(スコア表[],MATCH($C6,スコア表['#],0),MATCH(BF$5,スコア表[#Headers],0)),スコア表[51],0),"-")</calculatedColumnFormula>
    </tableColumn>
    <tableColumn id="58" xr3:uid="{00000000-0010-0000-0600-00003A000000}" name="52" dataDxfId="230">
      <calculatedColumnFormula>IFERROR(_xlfn.RANK.EQ(INDEX(スコア表[],MATCH($C6,スコア表['#],0),MATCH(BG$5,スコア表[#Headers],0)),スコア表[52],0),"-")</calculatedColumnFormula>
    </tableColumn>
    <tableColumn id="59" xr3:uid="{00000000-0010-0000-0600-00003B000000}" name="53" dataDxfId="229">
      <calculatedColumnFormula>IFERROR(_xlfn.RANK.EQ(INDEX(スコア表[],MATCH($C6,スコア表['#],0),MATCH(BH$5,スコア表[#Headers],0)),スコア表[53],0),"-")</calculatedColumnFormula>
    </tableColumn>
    <tableColumn id="60" xr3:uid="{00000000-0010-0000-0600-00003C000000}" name="54" dataDxfId="228">
      <calculatedColumnFormula>IFERROR(_xlfn.RANK.EQ(INDEX(スコア表[],MATCH($C6,スコア表['#],0),MATCH(BI$5,スコア表[#Headers],0)),スコア表[54],0),"-")</calculatedColumnFormula>
    </tableColumn>
    <tableColumn id="61" xr3:uid="{00000000-0010-0000-0600-00003D000000}" name="55" dataDxfId="227">
      <calculatedColumnFormula>IFERROR(_xlfn.RANK.EQ(INDEX(スコア表[],MATCH($C6,スコア表['#],0),MATCH(BJ$5,スコア表[#Headers],0)),スコア表[55],0),"-")</calculatedColumnFormula>
    </tableColumn>
    <tableColumn id="62" xr3:uid="{00000000-0010-0000-0600-00003E000000}" name="56" dataDxfId="226">
      <calculatedColumnFormula>IFERROR(_xlfn.RANK.EQ(INDEX(スコア表[],MATCH($C6,スコア表['#],0),MATCH(BK$5,スコア表[#Headers],0)),スコア表[56],0),"-")</calculatedColumnFormula>
    </tableColumn>
    <tableColumn id="63" xr3:uid="{00000000-0010-0000-0600-00003F000000}" name="57" dataDxfId="225">
      <calculatedColumnFormula>IFERROR(_xlfn.RANK.EQ(INDEX(スコア表[],MATCH($C6,スコア表['#],0),MATCH(BL$5,スコア表[#Headers],0)),スコア表[57],0),"-")</calculatedColumnFormula>
    </tableColumn>
    <tableColumn id="64" xr3:uid="{00000000-0010-0000-0600-000040000000}" name="58" dataDxfId="224">
      <calculatedColumnFormula>IFERROR(_xlfn.RANK.EQ(INDEX(スコア表[],MATCH($C6,スコア表['#],0),MATCH(BM$5,スコア表[#Headers],0)),スコア表[58],0),"-")</calculatedColumnFormula>
    </tableColumn>
    <tableColumn id="65" xr3:uid="{00000000-0010-0000-0600-000041000000}" name="59" dataDxfId="223">
      <calculatedColumnFormula>IFERROR(_xlfn.RANK.EQ(INDEX(スコア表[],MATCH($C6,スコア表['#],0),MATCH(BN$5,スコア表[#Headers],0)),スコア表[59],0),"-")</calculatedColumnFormula>
    </tableColumn>
    <tableColumn id="66" xr3:uid="{00000000-0010-0000-0600-000042000000}" name="60" dataDxfId="222">
      <calculatedColumnFormula>IFERROR(_xlfn.RANK.EQ(INDEX(スコア表[],MATCH($C6,スコア表['#],0),MATCH(BO$5,スコア表[#Headers],0)),スコア表[60],0),"-")</calculatedColumnFormula>
    </tableColumn>
    <tableColumn id="67" xr3:uid="{00000000-0010-0000-0600-000043000000}" name="61" dataDxfId="221">
      <calculatedColumnFormula>IFERROR(_xlfn.RANK.EQ(INDEX(スコア表[],MATCH($C6,スコア表['#],0),MATCH(BP$5,スコア表[#Headers],0)),スコア表[61],0),"-")</calculatedColumnFormula>
    </tableColumn>
    <tableColumn id="68" xr3:uid="{00000000-0010-0000-0600-000044000000}" name="62" dataDxfId="220">
      <calculatedColumnFormula>IFERROR(_xlfn.RANK.EQ(INDEX(スコア表[],MATCH($C6,スコア表['#],0),MATCH(BQ$5,スコア表[#Headers],0)),スコア表[62],0),"-")</calculatedColumnFormula>
    </tableColumn>
    <tableColumn id="69" xr3:uid="{00000000-0010-0000-0600-000045000000}" name="63" dataDxfId="219">
      <calculatedColumnFormula>IFERROR(_xlfn.RANK.EQ(INDEX(スコア表[],MATCH($C6,スコア表['#],0),MATCH(BR$5,スコア表[#Headers],0)),スコア表[63],0),"-")</calculatedColumnFormula>
    </tableColumn>
    <tableColumn id="70" xr3:uid="{00000000-0010-0000-0600-000046000000}" name="64" dataDxfId="218">
      <calculatedColumnFormula>IFERROR(_xlfn.RANK.EQ(INDEX(スコア表[],MATCH($C6,スコア表['#],0),MATCH(BS$5,スコア表[#Headers],0)),スコア表[64],0),"-")</calculatedColumnFormula>
    </tableColumn>
    <tableColumn id="71" xr3:uid="{00000000-0010-0000-0600-000047000000}" name="65" dataDxfId="217">
      <calculatedColumnFormula>IFERROR(_xlfn.RANK.EQ(INDEX(スコア表[],MATCH($C6,スコア表['#],0),MATCH(BT$5,スコア表[#Headers],0)),スコア表[65],0),"-")</calculatedColumnFormula>
    </tableColumn>
    <tableColumn id="72" xr3:uid="{00000000-0010-0000-0600-000048000000}" name="66" dataDxfId="216">
      <calculatedColumnFormula>IFERROR(_xlfn.RANK.EQ(INDEX(スコア表[],MATCH($C6,スコア表['#],0),MATCH(BU$5,スコア表[#Headers],0)),スコア表[66],0),"-")</calculatedColumnFormula>
    </tableColumn>
    <tableColumn id="73" xr3:uid="{00000000-0010-0000-0600-000049000000}" name="67" dataDxfId="215">
      <calculatedColumnFormula>IFERROR(_xlfn.RANK.EQ(INDEX(スコア表[],MATCH($C6,スコア表['#],0),MATCH(BV$5,スコア表[#Headers],0)),スコア表[67],0),"-")</calculatedColumnFormula>
    </tableColumn>
    <tableColumn id="74" xr3:uid="{00000000-0010-0000-0600-00004A000000}" name="68" dataDxfId="214">
      <calculatedColumnFormula>IFERROR(_xlfn.RANK.EQ(INDEX(スコア表[],MATCH($C6,スコア表['#],0),MATCH(BW$5,スコア表[#Headers],0)),スコア表[68],0),"-")</calculatedColumnFormula>
    </tableColumn>
    <tableColumn id="75" xr3:uid="{00000000-0010-0000-0600-00004B000000}" name="69" dataDxfId="213">
      <calculatedColumnFormula>IFERROR(_xlfn.RANK.EQ(INDEX(スコア表[],MATCH($C6,スコア表['#],0),MATCH(BX$5,スコア表[#Headers],0)),スコア表[69],0),"-")</calculatedColumnFormula>
    </tableColumn>
    <tableColumn id="76" xr3:uid="{00000000-0010-0000-0600-00004C000000}" name="70" dataDxfId="212">
      <calculatedColumnFormula>IFERROR(_xlfn.RANK.EQ(INDEX(スコア表[],MATCH($C6,スコア表['#],0),MATCH(BY$5,スコア表[#Headers],0)),スコア表[70],0),"-")</calculatedColumnFormula>
    </tableColumn>
    <tableColumn id="77" xr3:uid="{00000000-0010-0000-0600-00004D000000}" name="Ec1" dataDxfId="211">
      <calculatedColumnFormula>IFERROR(_xlfn.RANK.EQ(INDEX(スコア表[],MATCH($C6,スコア表['#],0),MATCH(BZ$5,スコア表[#Headers],0)),スコア表[Ec1],0),"-")</calculatedColumnFormula>
    </tableColumn>
    <tableColumn id="78" xr3:uid="{00000000-0010-0000-0600-00004E000000}" name="Ec2" dataDxfId="210">
      <calculatedColumnFormula>IFERROR(_xlfn.RANK.EQ(INDEX(スコア表[],MATCH($C6,スコア表['#],0),MATCH(CA$5,スコア表[#Headers],0)),スコア表[Ec2],0),"-")</calculatedColumnFormula>
    </tableColumn>
    <tableColumn id="79" xr3:uid="{00000000-0010-0000-0600-00004F000000}" name="Ec3" dataDxfId="209">
      <calculatedColumnFormula>IFERROR(_xlfn.RANK.EQ(INDEX(スコア表[],MATCH($C6,スコア表['#],0),MATCH(CB$5,スコア表[#Headers],0)),スコア表[Ec3],0),"-")</calculatedColumnFormula>
    </tableColumn>
    <tableColumn id="80" xr3:uid="{00000000-0010-0000-0600-000050000000}" name="Ec4" dataDxfId="208">
      <calculatedColumnFormula>IFERROR(_xlfn.RANK.EQ(INDEX(スコア表[],MATCH($C6,スコア表['#],0),MATCH(CC$5,スコア表[#Headers],0)),スコア表[Ec4],0),"-")</calculatedColumnFormula>
    </tableColumn>
    <tableColumn id="81" xr3:uid="{00000000-0010-0000-0600-000051000000}" name="Ec5" dataDxfId="207">
      <calculatedColumnFormula>IFERROR(_xlfn.RANK.EQ(INDEX(スコア表[],MATCH($C6,スコア表['#],0),MATCH(CD$5,スコア表[#Headers],0)),スコア表[Ec5],0),"-")</calculatedColumnFormula>
    </tableColumn>
    <tableColumn id="82" xr3:uid="{00000000-0010-0000-0600-000052000000}" name="Ec6" dataDxfId="206">
      <calculatedColumnFormula>IFERROR(_xlfn.RANK.EQ(INDEX(スコア表[],MATCH($C6,スコア表['#],0),MATCH(CE$5,スコア表[#Headers],0)),スコア表[Ec6],0),"-")</calculatedColumnFormula>
    </tableColumn>
    <tableColumn id="83" xr3:uid="{00000000-0010-0000-0600-000053000000}" name="RD1" dataDxfId="205">
      <calculatedColumnFormula>IFERROR(_xlfn.RANK.EQ(INDEX(スコア表[],MATCH($C6,スコア表['#],0),MATCH(CF$5,スコア表[#Headers],0)),スコア表[RD1],0),"-")</calculatedColumnFormula>
    </tableColumn>
    <tableColumn id="84" xr3:uid="{00000000-0010-0000-0600-000054000000}" name="RD2" dataDxfId="204">
      <calculatedColumnFormula>IFERROR(_xlfn.RANK.EQ(INDEX(スコア表[],MATCH($C6,スコア表['#],0),MATCH(CG$5,スコア表[#Headers],0)),スコア表[RD2],0),"-")</calculatedColumnFormula>
    </tableColumn>
    <tableColumn id="85" xr3:uid="{00000000-0010-0000-0600-000055000000}" name="RD3" dataDxfId="203">
      <calculatedColumnFormula>IFERROR(_xlfn.RANK.EQ(INDEX(スコア表[],MATCH($C6,スコア表['#],0),MATCH(CH$5,スコア表[#Headers],0)),スコア表[RD3],0),"-")</calculatedColumnFormula>
    </tableColumn>
    <tableColumn id="86" xr3:uid="{00000000-0010-0000-0600-000056000000}" name="CI1" dataDxfId="202">
      <calculatedColumnFormula>IFERROR(_xlfn.RANK.EQ(INDEX(スコア表[],MATCH($C6,スコア表['#],0),MATCH(CI$5,スコア表[#Headers],0)),スコア表[CI1],0),"-")</calculatedColumnFormula>
    </tableColumn>
    <tableColumn id="87" xr3:uid="{00000000-0010-0000-0600-000057000000}" name="CI2" dataDxfId="201">
      <calculatedColumnFormula>IFERROR(_xlfn.RANK.EQ(INDEX(スコア表[],MATCH($C6,スコア表['#],0),MATCH(CJ$5,スコア表[#Headers],0)),スコア表[CI2],0),"-")</calculatedColumnFormula>
    </tableColumn>
    <tableColumn id="88" xr3:uid="{00000000-0010-0000-0600-000058000000}" name="CI3" dataDxfId="200">
      <calculatedColumnFormula>IFERROR(_xlfn.RANK.EQ(INDEX(スコア表[],MATCH($C6,スコア表['#],0),MATCH(CK$5,スコア表[#Headers],0)),スコア表[CI3],0),"-")</calculatedColumnFormula>
    </tableColumn>
    <tableColumn id="89" xr3:uid="{00000000-0010-0000-0600-000059000000}" name="CI4" dataDxfId="199">
      <calculatedColumnFormula>IFERROR(_xlfn.RANK.EQ(INDEX(スコア表[],MATCH($C6,スコア表['#],0),MATCH(CL$5,スコア表[#Headers],0)),スコア表[CI4],0),"-")</calculatedColumnFormula>
    </tableColumn>
    <tableColumn id="90" xr3:uid="{00000000-0010-0000-0600-00005A000000}" name="CI5" dataDxfId="198">
      <calculatedColumnFormula>IFERROR(_xlfn.RANK.EQ(INDEX(スコア表[],MATCH($C6,スコア表['#],0),MATCH(CM$5,スコア表[#Headers],0)),スコア表[CI5],0),"-")</calculatedColumnFormula>
    </tableColumn>
    <tableColumn id="91" xr3:uid="{00000000-0010-0000-0600-00005B000000}" name="Li1" dataDxfId="197">
      <calculatedColumnFormula>IFERROR(_xlfn.RANK.EQ(INDEX(スコア表[],MATCH($C6,スコア表['#],0),MATCH(CN$5,スコア表[#Headers],0)),スコア表[Li1],0),"-")</calculatedColumnFormula>
    </tableColumn>
    <tableColumn id="92" xr3:uid="{00000000-0010-0000-0600-00005C000000}" name="Li2" dataDxfId="196">
      <calculatedColumnFormula>IFERROR(_xlfn.RANK.EQ(INDEX(スコア表[],MATCH($C6,スコア表['#],0),MATCH(CO$5,スコア表[#Headers],0)),スコア表[Li2],0),"-")</calculatedColumnFormula>
    </tableColumn>
    <tableColumn id="93" xr3:uid="{00000000-0010-0000-0600-00005D000000}" name="Li3" dataDxfId="195">
      <calculatedColumnFormula>IFERROR(_xlfn.RANK.EQ(INDEX(スコア表[],MATCH($C6,スコア表['#],0),MATCH(CP$5,スコア表[#Headers],0)),スコア表[Li3],0),"-")</calculatedColumnFormula>
    </tableColumn>
    <tableColumn id="94" xr3:uid="{00000000-0010-0000-0600-00005E000000}" name="Li4" dataDxfId="194">
      <calculatedColumnFormula>IFERROR(_xlfn.RANK.EQ(INDEX(スコア表[],MATCH($C6,スコア表['#],0),MATCH(CQ$5,スコア表[#Headers],0)),スコア表[Li4],0),"-")</calculatedColumnFormula>
    </tableColumn>
    <tableColumn id="95" xr3:uid="{00000000-0010-0000-0600-00005F000000}" name="Li5" dataDxfId="193">
      <calculatedColumnFormula>IFERROR(_xlfn.RANK.EQ(INDEX(スコア表[],MATCH($C6,スコア表['#],0),MATCH(CR$5,スコア表[#Headers],0)),スコア表[Li5],0),"-")</calculatedColumnFormula>
    </tableColumn>
    <tableColumn id="96" xr3:uid="{00000000-0010-0000-0600-000060000000}" name="En1" dataDxfId="192">
      <calculatedColumnFormula>IFERROR(_xlfn.RANK.EQ(INDEX(スコア表[],MATCH($C6,スコア表['#],0),MATCH(CS$5,スコア表[#Headers],0)),スコア表[En1],0),"-")</calculatedColumnFormula>
    </tableColumn>
    <tableColumn id="97" xr3:uid="{00000000-0010-0000-0600-000061000000}" name="En2" dataDxfId="191">
      <calculatedColumnFormula>IFERROR(_xlfn.RANK.EQ(INDEX(スコア表[],MATCH($C6,スコア表['#],0),MATCH(CT$5,スコア表[#Headers],0)),スコア表[En2],0),"-")</calculatedColumnFormula>
    </tableColumn>
    <tableColumn id="98" xr3:uid="{00000000-0010-0000-0600-000062000000}" name="En3" dataDxfId="190">
      <calculatedColumnFormula>IFERROR(_xlfn.RANK.EQ(INDEX(スコア表[],MATCH($C6,スコア表['#],0),MATCH(CU$5,スコア表[#Headers],0)),スコア表[En3],0),"-")</calculatedColumnFormula>
    </tableColumn>
    <tableColumn id="99" xr3:uid="{00000000-0010-0000-0600-000063000000}" name="Ac1" dataDxfId="189">
      <calculatedColumnFormula>IFERROR(_xlfn.RANK.EQ(INDEX(スコア表[],MATCH($C6,スコア表['#],0),MATCH(CV$5,スコア表[#Headers],0)),スコア表[Ac1],0),"-")</calculatedColumnFormula>
    </tableColumn>
    <tableColumn id="100" xr3:uid="{00000000-0010-0000-0600-000064000000}" name="Ac2" dataDxfId="188">
      <calculatedColumnFormula>IFERROR(_xlfn.RANK.EQ(INDEX(スコア表[],MATCH($C6,スコア表['#],0),MATCH(CW$5,スコア表[#Headers],0)),スコア表[Ac2],0),"-")</calculatedColumnFormula>
    </tableColumn>
    <tableColumn id="101" xr3:uid="{00000000-0010-0000-0600-000065000000}" name="Ac3" dataDxfId="187">
      <calculatedColumnFormula>IFERROR(_xlfn.RANK.EQ(INDEX(スコア表[],MATCH($C6,スコア表['#],0),MATCH(CX$5,スコア表[#Headers],0)),スコア表[Ac3],0),"-")</calculatedColumnFormula>
    </tableColumn>
    <tableColumn id="102" xr3:uid="{00000000-0010-0000-0600-000066000000}" name="Ac4" dataDxfId="186">
      <calculatedColumnFormula>IFERROR(_xlfn.RANK.EQ(INDEX(スコア表[],MATCH($C6,スコア表['#],0),MATCH(CY$5,スコア表[#Headers],0)),スコア表[Ac4],0),"-")</calculatedColumnFormula>
    </tableColumn>
    <tableColumn id="103" xr3:uid="{00000000-0010-0000-0600-000067000000}" name="Economy" dataDxfId="185">
      <calculatedColumnFormula>IFERROR(_xlfn.RANK.EQ(INDEX(スコア表[],MATCH($C6,スコア表['#],0),MATCH(CZ$5,スコア表[#Headers],0)),スコア表[Economy],0),"-")</calculatedColumnFormula>
    </tableColumn>
    <tableColumn id="104" xr3:uid="{00000000-0010-0000-0600-000068000000}" name="R&amp;D" dataDxfId="184">
      <calculatedColumnFormula>IFERROR(_xlfn.RANK.EQ(INDEX(スコア表[],MATCH($C6,スコア表['#],0),MATCH(DA$5,スコア表[#Headers],0)),スコア表[R&amp;D],0),"-")</calculatedColumnFormula>
    </tableColumn>
    <tableColumn id="105" xr3:uid="{00000000-0010-0000-0600-000069000000}" name="Cultural Interaction" dataDxfId="183">
      <calculatedColumnFormula>IFERROR(_xlfn.RANK.EQ(INDEX(スコア表[],MATCH($C6,スコア表['#],0),MATCH(DB$5,スコア表[#Headers],0)),スコア表[Cultural Interaction],0),"-")</calculatedColumnFormula>
    </tableColumn>
    <tableColumn id="106" xr3:uid="{00000000-0010-0000-0600-00006A000000}" name="Livability" dataDxfId="182">
      <calculatedColumnFormula>IFERROR(_xlfn.RANK.EQ(INDEX(スコア表[],MATCH($C6,スコア表['#],0),MATCH(DC$5,スコア表[#Headers],0)),スコア表[Livability],0),"-")</calculatedColumnFormula>
    </tableColumn>
    <tableColumn id="107" xr3:uid="{00000000-0010-0000-0600-00006B000000}" name="Environment" dataDxfId="181">
      <calculatedColumnFormula>IFERROR(_xlfn.RANK.EQ(INDEX(スコア表[],MATCH($C6,スコア表['#],0),MATCH(DD$5,スコア表[#Headers],0)),スコア表[Environment],0),"-")</calculatedColumnFormula>
    </tableColumn>
    <tableColumn id="108" xr3:uid="{00000000-0010-0000-0600-00006C000000}" name="Accessibility" dataDxfId="180">
      <calculatedColumnFormula>IFERROR(_xlfn.RANK.EQ(INDEX(スコア表[],MATCH($C6,スコア表['#],0),MATCH(DE$5,スコア表[#Headers],0)),スコア表[Accessibility],0),"-")</calculatedColumnFormula>
    </tableColumn>
    <tableColumn id="109" xr3:uid="{00000000-0010-0000-0600-00006D000000}" name="Comprehensive" dataDxfId="179">
      <calculatedColumnFormula>IFERROR(_xlfn.RANK.EQ(INDEX(スコア表[],MATCH($C6,スコア表['#],0),MATCH(DF$5,スコア表[#Headers],0)),スコア表[Comprehensive],0),"-")</calculatedColumnFormula>
    </tableColumn>
  </tableColumns>
  <tableStyleInfo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偏差値表" displayName="偏差値表" ref="B5:DG53" totalsRowShown="0" dataDxfId="177" headerRowBorderDxfId="178" tableBorderDxfId="176" totalsRowBorderDxfId="175">
  <autoFilter ref="B5:DG53" xr:uid="{00000000-0009-0000-0100-000004000000}"/>
  <sortState xmlns:xlrd2="http://schemas.microsoft.com/office/spreadsheetml/2017/richdata2" ref="B6:DG53">
    <sortCondition ref="B5:B53"/>
  </sortState>
  <tableColumns count="110">
    <tableColumn id="1" xr3:uid="{00000000-0010-0000-0700-000001000000}" name="Rank" dataDxfId="174">
      <calculatedColumnFormula>INDEX(順位表[Comprehensive],MATCH($C6,順位表['#],0))</calculatedColumnFormula>
    </tableColumn>
    <tableColumn id="2" xr3:uid="{00000000-0010-0000-0700-000002000000}" name="#" dataDxfId="173"/>
    <tableColumn id="3" xr3:uid="{00000000-0010-0000-0700-000003000000}" name="City Name" dataDxfId="172">
      <calculatedColumnFormula>INDEX(都市マスタ[City Name],MATCH($C6,都市マスタ['#],0))</calculatedColumnFormula>
    </tableColumn>
    <tableColumn id="4" xr3:uid="{00000000-0010-0000-0700-000004000000}" name="00a" dataDxfId="171">
      <calculatedColumnFormula>IFERROR(
(INDEX(スコア表[],MATCH($C6,スコア表['#],0),MATCH(E$5,スコア表[#Headers],0))
-
INDEX(スコア表2[],MATCH("average",スコア表2[maxmin],0),MATCH(E$5,スコア表2[#Headers],0)))
/
INDEX(スコア表2[],MATCH("stdev.p",スコア表2[maxmin],0),MATCH(E$5,スコア表2[#Headers],0))
*10+50,"-")</calculatedColumnFormula>
    </tableColumn>
    <tableColumn id="5" xr3:uid="{00000000-0010-0000-0700-000005000000}" name="00b" dataDxfId="170">
      <calculatedColumnFormula>IFERROR(
(INDEX(スコア表[],MATCH($C6,スコア表['#],0),MATCH(F$5,スコア表[#Headers],0))
-
INDEX(スコア表2[],MATCH("average",スコア表2[maxmin],0),MATCH(F$5,スコア表2[#Headers],0)))
/
INDEX(スコア表2[],MATCH("stdev.p",スコア表2[maxmin],0),MATCH(F$5,スコア表2[#Headers],0))
*10+50,"-")</calculatedColumnFormula>
    </tableColumn>
    <tableColumn id="6" xr3:uid="{00000000-0010-0000-0700-000006000000}" name="00c" dataDxfId="169">
      <calculatedColumnFormula>IFERROR(
(INDEX(スコア表[],MATCH($C6,スコア表['#],0),MATCH(G$5,スコア表[#Headers],0))
-
INDEX(スコア表2[],MATCH("average",スコア表2[maxmin],0),MATCH(G$5,スコア表2[#Headers],0)))
/
INDEX(スコア表2[],MATCH("stdev.p",スコア表2[maxmin],0),MATCH(G$5,スコア表2[#Headers],0))
*10+50,"-")</calculatedColumnFormula>
    </tableColumn>
    <tableColumn id="7" xr3:uid="{00000000-0010-0000-0700-000007000000}" name="01" dataDxfId="168">
      <calculatedColumnFormula>IFERROR(
(INDEX(スコア表[],MATCH($C6,スコア表['#],0),MATCH(H$5,スコア表[#Headers],0))
-
INDEX(スコア表2[],MATCH("average",スコア表2[maxmin],0),MATCH(H$5,スコア表2[#Headers],0)))
/
INDEX(スコア表2[],MATCH("stdev.p",スコア表2[maxmin],0),MATCH(H$5,スコア表2[#Headers],0))
*10+50,"-")</calculatedColumnFormula>
    </tableColumn>
    <tableColumn id="8" xr3:uid="{00000000-0010-0000-0700-000008000000}" name="02" dataDxfId="167">
      <calculatedColumnFormula>IFERROR(
(INDEX(スコア表[],MATCH($C6,スコア表['#],0),MATCH(I$5,スコア表[#Headers],0))
-
INDEX(スコア表2[],MATCH("average",スコア表2[maxmin],0),MATCH(I$5,スコア表2[#Headers],0)))
/
INDEX(スコア表2[],MATCH("stdev.p",スコア表2[maxmin],0),MATCH(I$5,スコア表2[#Headers],0))
*10+50,"-")</calculatedColumnFormula>
    </tableColumn>
    <tableColumn id="9" xr3:uid="{00000000-0010-0000-0700-000009000000}" name="03" dataDxfId="166">
      <calculatedColumnFormula>IFERROR(
(INDEX(スコア表[],MATCH($C6,スコア表['#],0),MATCH(J$5,スコア表[#Headers],0))
-
INDEX(スコア表2[],MATCH("average",スコア表2[maxmin],0),MATCH(J$5,スコア表2[#Headers],0)))
/
INDEX(スコア表2[],MATCH("stdev.p",スコア表2[maxmin],0),MATCH(J$5,スコア表2[#Headers],0))
*10+50,"-")</calculatedColumnFormula>
    </tableColumn>
    <tableColumn id="10" xr3:uid="{00000000-0010-0000-0700-00000A000000}" name="04" dataDxfId="165">
      <calculatedColumnFormula>IFERROR(
(INDEX(スコア表[],MATCH($C6,スコア表['#],0),MATCH(K$5,スコア表[#Headers],0))
-
INDEX(スコア表2[],MATCH("average",スコア表2[maxmin],0),MATCH(K$5,スコア表2[#Headers],0)))
/
INDEX(スコア表2[],MATCH("stdev.p",スコア表2[maxmin],0),MATCH(K$5,スコア表2[#Headers],0))
*10+50,"-")</calculatedColumnFormula>
    </tableColumn>
    <tableColumn id="11" xr3:uid="{00000000-0010-0000-0700-00000B000000}" name="05" dataDxfId="164">
      <calculatedColumnFormula>IFERROR(
(INDEX(スコア表[],MATCH($C6,スコア表['#],0),MATCH(L$5,スコア表[#Headers],0))
-
INDEX(スコア表2[],MATCH("average",スコア表2[maxmin],0),MATCH(L$5,スコア表2[#Headers],0)))
/
INDEX(スコア表2[],MATCH("stdev.p",スコア表2[maxmin],0),MATCH(L$5,スコア表2[#Headers],0))
*10+50,"-")</calculatedColumnFormula>
    </tableColumn>
    <tableColumn id="12" xr3:uid="{00000000-0010-0000-0700-00000C000000}" name="06" dataDxfId="163">
      <calculatedColumnFormula>IFERROR(
(INDEX(スコア表[],MATCH($C6,スコア表['#],0),MATCH(M$5,スコア表[#Headers],0))
-
INDEX(スコア表2[],MATCH("average",スコア表2[maxmin],0),MATCH(M$5,スコア表2[#Headers],0)))
/
INDEX(スコア表2[],MATCH("stdev.p",スコア表2[maxmin],0),MATCH(M$5,スコア表2[#Headers],0))
*10+50,"-")</calculatedColumnFormula>
    </tableColumn>
    <tableColumn id="13" xr3:uid="{00000000-0010-0000-0700-00000D000000}" name="07" dataDxfId="162">
      <calculatedColumnFormula>IFERROR(
(INDEX(スコア表[],MATCH($C6,スコア表['#],0),MATCH(N$5,スコア表[#Headers],0))
-
INDEX(スコア表2[],MATCH("average",スコア表2[maxmin],0),MATCH(N$5,スコア表2[#Headers],0)))
/
INDEX(スコア表2[],MATCH("stdev.p",スコア表2[maxmin],0),MATCH(N$5,スコア表2[#Headers],0))
*10+50,"-")</calculatedColumnFormula>
    </tableColumn>
    <tableColumn id="14" xr3:uid="{00000000-0010-0000-0700-00000E000000}" name="08" dataDxfId="161">
      <calculatedColumnFormula>IFERROR(
(INDEX(スコア表[],MATCH($C6,スコア表['#],0),MATCH(O$5,スコア表[#Headers],0))
-
INDEX(スコア表2[],MATCH("average",スコア表2[maxmin],0),MATCH(O$5,スコア表2[#Headers],0)))
/
INDEX(スコア表2[],MATCH("stdev.p",スコア表2[maxmin],0),MATCH(O$5,スコア表2[#Headers],0))
*10+50,"-")</calculatedColumnFormula>
    </tableColumn>
    <tableColumn id="15" xr3:uid="{00000000-0010-0000-0700-00000F000000}" name="09" dataDxfId="160">
      <calculatedColumnFormula>IFERROR(
(INDEX(スコア表[],MATCH($C6,スコア表['#],0),MATCH(P$5,スコア表[#Headers],0))
-
INDEX(スコア表2[],MATCH("average",スコア表2[maxmin],0),MATCH(P$5,スコア表2[#Headers],0)))
/
INDEX(スコア表2[],MATCH("stdev.p",スコア表2[maxmin],0),MATCH(P$5,スコア表2[#Headers],0))
*10+50,"-")</calculatedColumnFormula>
    </tableColumn>
    <tableColumn id="16" xr3:uid="{00000000-0010-0000-0700-000010000000}" name="10" dataDxfId="159">
      <calculatedColumnFormula>IFERROR(
(INDEX(スコア表[],MATCH($C6,スコア表['#],0),MATCH(Q$5,スコア表[#Headers],0))
-
INDEX(スコア表2[],MATCH("average",スコア表2[maxmin],0),MATCH(Q$5,スコア表2[#Headers],0)))
/
INDEX(スコア表2[],MATCH("stdev.p",スコア表2[maxmin],0),MATCH(Q$5,スコア表2[#Headers],0))
*10+50,"-")</calculatedColumnFormula>
    </tableColumn>
    <tableColumn id="17" xr3:uid="{00000000-0010-0000-0700-000011000000}" name="11" dataDxfId="158">
      <calculatedColumnFormula>IFERROR(
(INDEX(スコア表[],MATCH($C6,スコア表['#],0),MATCH(R$5,スコア表[#Headers],0))
-
INDEX(スコア表2[],MATCH("average",スコア表2[maxmin],0),MATCH(R$5,スコア表2[#Headers],0)))
/
INDEX(スコア表2[],MATCH("stdev.p",スコア表2[maxmin],0),MATCH(R$5,スコア表2[#Headers],0))
*10+50,"-")</calculatedColumnFormula>
    </tableColumn>
    <tableColumn id="18" xr3:uid="{00000000-0010-0000-0700-000012000000}" name="12" dataDxfId="157">
      <calculatedColumnFormula>IFERROR(
(INDEX(スコア表[],MATCH($C6,スコア表['#],0),MATCH(S$5,スコア表[#Headers],0))
-
INDEX(スコア表2[],MATCH("average",スコア表2[maxmin],0),MATCH(S$5,スコア表2[#Headers],0)))
/
INDEX(スコア表2[],MATCH("stdev.p",スコア表2[maxmin],0),MATCH(S$5,スコア表2[#Headers],0))
*10+50,"-")</calculatedColumnFormula>
    </tableColumn>
    <tableColumn id="19" xr3:uid="{00000000-0010-0000-0700-000013000000}" name="13" dataDxfId="156">
      <calculatedColumnFormula>IFERROR(
(INDEX(スコア表[],MATCH($C6,スコア表['#],0),MATCH(T$5,スコア表[#Headers],0))
-
INDEX(スコア表2[],MATCH("average",スコア表2[maxmin],0),MATCH(T$5,スコア表2[#Headers],0)))
/
INDEX(スコア表2[],MATCH("stdev.p",スコア表2[maxmin],0),MATCH(T$5,スコア表2[#Headers],0))
*10+50,"-")</calculatedColumnFormula>
    </tableColumn>
    <tableColumn id="20" xr3:uid="{00000000-0010-0000-0700-000014000000}" name="14" dataDxfId="155">
      <calculatedColumnFormula>IFERROR(
(INDEX(スコア表[],MATCH($C6,スコア表['#],0),MATCH(U$5,スコア表[#Headers],0))
-
INDEX(スコア表2[],MATCH("average",スコア表2[maxmin],0),MATCH(U$5,スコア表2[#Headers],0)))
/
INDEX(スコア表2[],MATCH("stdev.p",スコア表2[maxmin],0),MATCH(U$5,スコア表2[#Headers],0))
*10+50,"-")</calculatedColumnFormula>
    </tableColumn>
    <tableColumn id="21" xr3:uid="{00000000-0010-0000-0700-000015000000}" name="15" dataDxfId="154">
      <calculatedColumnFormula>IFERROR(
(INDEX(スコア表[],MATCH($C6,スコア表['#],0),MATCH(V$5,スコア表[#Headers],0))
-
INDEX(スコア表2[],MATCH("average",スコア表2[maxmin],0),MATCH(V$5,スコア表2[#Headers],0)))
/
INDEX(スコア表2[],MATCH("stdev.p",スコア表2[maxmin],0),MATCH(V$5,スコア表2[#Headers],0))
*10+50,"-")</calculatedColumnFormula>
    </tableColumn>
    <tableColumn id="22" xr3:uid="{00000000-0010-0000-0700-000016000000}" name="16" dataDxfId="153">
      <calculatedColumnFormula>IFERROR(
(INDEX(スコア表[],MATCH($C6,スコア表['#],0),MATCH(W$5,スコア表[#Headers],0))
-
INDEX(スコア表2[],MATCH("average",スコア表2[maxmin],0),MATCH(W$5,スコア表2[#Headers],0)))
/
INDEX(スコア表2[],MATCH("stdev.p",スコア表2[maxmin],0),MATCH(W$5,スコア表2[#Headers],0))
*10+50,"-")</calculatedColumnFormula>
    </tableColumn>
    <tableColumn id="23" xr3:uid="{00000000-0010-0000-0700-000017000000}" name="17" dataDxfId="152">
      <calculatedColumnFormula>IFERROR(
(INDEX(スコア表[],MATCH($C6,スコア表['#],0),MATCH(X$5,スコア表[#Headers],0))
-
INDEX(スコア表2[],MATCH("average",スコア表2[maxmin],0),MATCH(X$5,スコア表2[#Headers],0)))
/
INDEX(スコア表2[],MATCH("stdev.p",スコア表2[maxmin],0),MATCH(X$5,スコア表2[#Headers],0))
*10+50,"-")</calculatedColumnFormula>
    </tableColumn>
    <tableColumn id="24" xr3:uid="{00000000-0010-0000-0700-000018000000}" name="18" dataDxfId="151">
      <calculatedColumnFormula>IFERROR(
(INDEX(スコア表[],MATCH($C6,スコア表['#],0),MATCH(Y$5,スコア表[#Headers],0))
-
INDEX(スコア表2[],MATCH("average",スコア表2[maxmin],0),MATCH(Y$5,スコア表2[#Headers],0)))
/
INDEX(スコア表2[],MATCH("stdev.p",スコア表2[maxmin],0),MATCH(Y$5,スコア表2[#Headers],0))
*10+50,"-")</calculatedColumnFormula>
    </tableColumn>
    <tableColumn id="25" xr3:uid="{00000000-0010-0000-0700-000019000000}" name="19" dataDxfId="150">
      <calculatedColumnFormula>IFERROR(
(INDEX(スコア表[],MATCH($C6,スコア表['#],0),MATCH(Z$5,スコア表[#Headers],0))
-
INDEX(スコア表2[],MATCH("average",スコア表2[maxmin],0),MATCH(Z$5,スコア表2[#Headers],0)))
/
INDEX(スコア表2[],MATCH("stdev.p",スコア表2[maxmin],0),MATCH(Z$5,スコア表2[#Headers],0))
*10+50,"-")</calculatedColumnFormula>
    </tableColumn>
    <tableColumn id="26" xr3:uid="{00000000-0010-0000-0700-00001A000000}" name="20" dataDxfId="149">
      <calculatedColumnFormula>IFERROR(
(INDEX(スコア表[],MATCH($C6,スコア表['#],0),MATCH(AA$5,スコア表[#Headers],0))
-
INDEX(スコア表2[],MATCH("average",スコア表2[maxmin],0),MATCH(AA$5,スコア表2[#Headers],0)))
/
INDEX(スコア表2[],MATCH("stdev.p",スコア表2[maxmin],0),MATCH(AA$5,スコア表2[#Headers],0))
*10+50,"-")</calculatedColumnFormula>
    </tableColumn>
    <tableColumn id="27" xr3:uid="{00000000-0010-0000-0700-00001B000000}" name="21" dataDxfId="148">
      <calculatedColumnFormula>IFERROR(
(INDEX(スコア表[],MATCH($C6,スコア表['#],0),MATCH(AB$5,スコア表[#Headers],0))
-
INDEX(スコア表2[],MATCH("average",スコア表2[maxmin],0),MATCH(AB$5,スコア表2[#Headers],0)))
/
INDEX(スコア表2[],MATCH("stdev.p",スコア表2[maxmin],0),MATCH(AB$5,スコア表2[#Headers],0))
*10+50,"-")</calculatedColumnFormula>
    </tableColumn>
    <tableColumn id="28" xr3:uid="{00000000-0010-0000-0700-00001C000000}" name="22" dataDxfId="147">
      <calculatedColumnFormula>IFERROR(
(INDEX(スコア表[],MATCH($C6,スコア表['#],0),MATCH(AC$5,スコア表[#Headers],0))
-
INDEX(スコア表2[],MATCH("average",スコア表2[maxmin],0),MATCH(AC$5,スコア表2[#Headers],0)))
/
INDEX(スコア表2[],MATCH("stdev.p",スコア表2[maxmin],0),MATCH(AC$5,スコア表2[#Headers],0))
*10+50,"-")</calculatedColumnFormula>
    </tableColumn>
    <tableColumn id="29" xr3:uid="{00000000-0010-0000-0700-00001D000000}" name="23" dataDxfId="146">
      <calculatedColumnFormula>IFERROR(
(INDEX(スコア表[],MATCH($C6,スコア表['#],0),MATCH(AD$5,スコア表[#Headers],0))
-
INDEX(スコア表2[],MATCH("average",スコア表2[maxmin],0),MATCH(AD$5,スコア表2[#Headers],0)))
/
INDEX(スコア表2[],MATCH("stdev.p",スコア表2[maxmin],0),MATCH(AD$5,スコア表2[#Headers],0))
*10+50,"-")</calculatedColumnFormula>
    </tableColumn>
    <tableColumn id="30" xr3:uid="{00000000-0010-0000-0700-00001E000000}" name="24" dataDxfId="145">
      <calculatedColumnFormula>IFERROR(
(INDEX(スコア表[],MATCH($C6,スコア表['#],0),MATCH(AE$5,スコア表[#Headers],0))
-
INDEX(スコア表2[],MATCH("average",スコア表2[maxmin],0),MATCH(AE$5,スコア表2[#Headers],0)))
/
INDEX(スコア表2[],MATCH("stdev.p",スコア表2[maxmin],0),MATCH(AE$5,スコア表2[#Headers],0))
*10+50,"-")</calculatedColumnFormula>
    </tableColumn>
    <tableColumn id="31" xr3:uid="{00000000-0010-0000-0700-00001F000000}" name="25" dataDxfId="144">
      <calculatedColumnFormula>IFERROR(
(INDEX(スコア表[],MATCH($C6,スコア表['#],0),MATCH(AF$5,スコア表[#Headers],0))
-
INDEX(スコア表2[],MATCH("average",スコア表2[maxmin],0),MATCH(AF$5,スコア表2[#Headers],0)))
/
INDEX(スコア表2[],MATCH("stdev.p",スコア表2[maxmin],0),MATCH(AF$5,スコア表2[#Headers],0))
*10+50,"-")</calculatedColumnFormula>
    </tableColumn>
    <tableColumn id="32" xr3:uid="{00000000-0010-0000-0700-000020000000}" name="26" dataDxfId="143">
      <calculatedColumnFormula>IFERROR(
(INDEX(スコア表[],MATCH($C6,スコア表['#],0),MATCH(AG$5,スコア表[#Headers],0))
-
INDEX(スコア表2[],MATCH("average",スコア表2[maxmin],0),MATCH(AG$5,スコア表2[#Headers],0)))
/
INDEX(スコア表2[],MATCH("stdev.p",スコア表2[maxmin],0),MATCH(AG$5,スコア表2[#Headers],0))
*10+50,"-")</calculatedColumnFormula>
    </tableColumn>
    <tableColumn id="33" xr3:uid="{00000000-0010-0000-0700-000021000000}" name="27" dataDxfId="142">
      <calculatedColumnFormula>IFERROR(
(INDEX(スコア表[],MATCH($C6,スコア表['#],0),MATCH(AH$5,スコア表[#Headers],0))
-
INDEX(スコア表2[],MATCH("average",スコア表2[maxmin],0),MATCH(AH$5,スコア表2[#Headers],0)))
/
INDEX(スコア表2[],MATCH("stdev.p",スコア表2[maxmin],0),MATCH(AH$5,スコア表2[#Headers],0))
*10+50,"-")</calculatedColumnFormula>
    </tableColumn>
    <tableColumn id="34" xr3:uid="{00000000-0010-0000-0700-000022000000}" name="28" dataDxfId="141">
      <calculatedColumnFormula>IFERROR(
(INDEX(スコア表[],MATCH($C6,スコア表['#],0),MATCH(AI$5,スコア表[#Headers],0))
-
INDEX(スコア表2[],MATCH("average",スコア表2[maxmin],0),MATCH(AI$5,スコア表2[#Headers],0)))
/
INDEX(スコア表2[],MATCH("stdev.p",スコア表2[maxmin],0),MATCH(AI$5,スコア表2[#Headers],0))
*10+50,"-")</calculatedColumnFormula>
    </tableColumn>
    <tableColumn id="35" xr3:uid="{00000000-0010-0000-0700-000023000000}" name="29" dataDxfId="140">
      <calculatedColumnFormula>IFERROR(
(INDEX(スコア表[],MATCH($C6,スコア表['#],0),MATCH(AJ$5,スコア表[#Headers],0))
-
INDEX(スコア表2[],MATCH("average",スコア表2[maxmin],0),MATCH(AJ$5,スコア表2[#Headers],0)))
/
INDEX(スコア表2[],MATCH("stdev.p",スコア表2[maxmin],0),MATCH(AJ$5,スコア表2[#Headers],0))
*10+50,"-")</calculatedColumnFormula>
    </tableColumn>
    <tableColumn id="36" xr3:uid="{00000000-0010-0000-0700-000024000000}" name="30" dataDxfId="139">
      <calculatedColumnFormula>IFERROR(
(INDEX(スコア表[],MATCH($C6,スコア表['#],0),MATCH(AK$5,スコア表[#Headers],0))
-
INDEX(スコア表2[],MATCH("average",スコア表2[maxmin],0),MATCH(AK$5,スコア表2[#Headers],0)))
/
INDEX(スコア表2[],MATCH("stdev.p",スコア表2[maxmin],0),MATCH(AK$5,スコア表2[#Headers],0))
*10+50,"-")</calculatedColumnFormula>
    </tableColumn>
    <tableColumn id="37" xr3:uid="{00000000-0010-0000-0700-000025000000}" name="31" dataDxfId="138">
      <calculatedColumnFormula>IFERROR(
(INDEX(スコア表[],MATCH($C6,スコア表['#],0),MATCH(AL$5,スコア表[#Headers],0))
-
INDEX(スコア表2[],MATCH("average",スコア表2[maxmin],0),MATCH(AL$5,スコア表2[#Headers],0)))
/
INDEX(スコア表2[],MATCH("stdev.p",スコア表2[maxmin],0),MATCH(AL$5,スコア表2[#Headers],0))
*10+50,"-")</calculatedColumnFormula>
    </tableColumn>
    <tableColumn id="38" xr3:uid="{00000000-0010-0000-0700-000026000000}" name="32" dataDxfId="137">
      <calculatedColumnFormula>IFERROR(
(INDEX(スコア表[],MATCH($C6,スコア表['#],0),MATCH(AM$5,スコア表[#Headers],0))
-
INDEX(スコア表2[],MATCH("average",スコア表2[maxmin],0),MATCH(AM$5,スコア表2[#Headers],0)))
/
INDEX(スコア表2[],MATCH("stdev.p",スコア表2[maxmin],0),MATCH(AM$5,スコア表2[#Headers],0))
*10+50,"-")</calculatedColumnFormula>
    </tableColumn>
    <tableColumn id="39" xr3:uid="{00000000-0010-0000-0700-000027000000}" name="33" dataDxfId="136">
      <calculatedColumnFormula>IFERROR(
(INDEX(スコア表[],MATCH($C6,スコア表['#],0),MATCH(AN$5,スコア表[#Headers],0))
-
INDEX(スコア表2[],MATCH("average",スコア表2[maxmin],0),MATCH(AN$5,スコア表2[#Headers],0)))
/
INDEX(スコア表2[],MATCH("stdev.p",スコア表2[maxmin],0),MATCH(AN$5,スコア表2[#Headers],0))
*10+50,"-")</calculatedColumnFormula>
    </tableColumn>
    <tableColumn id="40" xr3:uid="{00000000-0010-0000-0700-000028000000}" name="34" dataDxfId="135">
      <calculatedColumnFormula>IFERROR(
(INDEX(スコア表[],MATCH($C6,スコア表['#],0),MATCH(AO$5,スコア表[#Headers],0))
-
INDEX(スコア表2[],MATCH("average",スコア表2[maxmin],0),MATCH(AO$5,スコア表2[#Headers],0)))
/
INDEX(スコア表2[],MATCH("stdev.p",スコア表2[maxmin],0),MATCH(AO$5,スコア表2[#Headers],0))
*10+50,"-")</calculatedColumnFormula>
    </tableColumn>
    <tableColumn id="41" xr3:uid="{00000000-0010-0000-0700-000029000000}" name="35" dataDxfId="134">
      <calculatedColumnFormula>IFERROR(
(INDEX(スコア表[],MATCH($C6,スコア表['#],0),MATCH(AP$5,スコア表[#Headers],0))
-
INDEX(スコア表2[],MATCH("average",スコア表2[maxmin],0),MATCH(AP$5,スコア表2[#Headers],0)))
/
INDEX(スコア表2[],MATCH("stdev.p",スコア表2[maxmin],0),MATCH(AP$5,スコア表2[#Headers],0))
*10+50,"-")</calculatedColumnFormula>
    </tableColumn>
    <tableColumn id="42" xr3:uid="{00000000-0010-0000-0700-00002A000000}" name="36" dataDxfId="133">
      <calculatedColumnFormula>IFERROR(
(INDEX(スコア表[],MATCH($C6,スコア表['#],0),MATCH(AQ$5,スコア表[#Headers],0))
-
INDEX(スコア表2[],MATCH("average",スコア表2[maxmin],0),MATCH(AQ$5,スコア表2[#Headers],0)))
/
INDEX(スコア表2[],MATCH("stdev.p",スコア表2[maxmin],0),MATCH(AQ$5,スコア表2[#Headers],0))
*10+50,"-")</calculatedColumnFormula>
    </tableColumn>
    <tableColumn id="43" xr3:uid="{00000000-0010-0000-0700-00002B000000}" name="37" dataDxfId="132">
      <calculatedColumnFormula>IFERROR(
(INDEX(スコア表[],MATCH($C6,スコア表['#],0),MATCH(AR$5,スコア表[#Headers],0))
-
INDEX(スコア表2[],MATCH("average",スコア表2[maxmin],0),MATCH(AR$5,スコア表2[#Headers],0)))
/
INDEX(スコア表2[],MATCH("stdev.p",スコア表2[maxmin],0),MATCH(AR$5,スコア表2[#Headers],0))
*10+50,"-")</calculatedColumnFormula>
    </tableColumn>
    <tableColumn id="44" xr3:uid="{00000000-0010-0000-0700-00002C000000}" name="38" dataDxfId="131">
      <calculatedColumnFormula>IFERROR(
(INDEX(スコア表[],MATCH($C6,スコア表['#],0),MATCH(AS$5,スコア表[#Headers],0))
-
INDEX(スコア表2[],MATCH("average",スコア表2[maxmin],0),MATCH(AS$5,スコア表2[#Headers],0)))
/
INDEX(スコア表2[],MATCH("stdev.p",スコア表2[maxmin],0),MATCH(AS$5,スコア表2[#Headers],0))
*10+50,"-")</calculatedColumnFormula>
    </tableColumn>
    <tableColumn id="45" xr3:uid="{00000000-0010-0000-0700-00002D000000}" name="39" dataDxfId="130">
      <calculatedColumnFormula>IFERROR(
(INDEX(スコア表[],MATCH($C6,スコア表['#],0),MATCH(AT$5,スコア表[#Headers],0))
-
INDEX(スコア表2[],MATCH("average",スコア表2[maxmin],0),MATCH(AT$5,スコア表2[#Headers],0)))
/
INDEX(スコア表2[],MATCH("stdev.p",スコア表2[maxmin],0),MATCH(AT$5,スコア表2[#Headers],0))
*10+50,"-")</calculatedColumnFormula>
    </tableColumn>
    <tableColumn id="46" xr3:uid="{00000000-0010-0000-0700-00002E000000}" name="40" dataDxfId="129">
      <calculatedColumnFormula>IFERROR(
(INDEX(スコア表[],MATCH($C6,スコア表['#],0),MATCH(AU$5,スコア表[#Headers],0))
-
INDEX(スコア表2[],MATCH("average",スコア表2[maxmin],0),MATCH(AU$5,スコア表2[#Headers],0)))
/
INDEX(スコア表2[],MATCH("stdev.p",スコア表2[maxmin],0),MATCH(AU$5,スコア表2[#Headers],0))
*10+50,"-")</calculatedColumnFormula>
    </tableColumn>
    <tableColumn id="47" xr3:uid="{00000000-0010-0000-0700-00002F000000}" name="41" dataDxfId="128">
      <calculatedColumnFormula>IFERROR(
(INDEX(スコア表[],MATCH($C6,スコア表['#],0),MATCH(AV$5,スコア表[#Headers],0))
-
INDEX(スコア表2[],MATCH("average",スコア表2[maxmin],0),MATCH(AV$5,スコア表2[#Headers],0)))
/
INDEX(スコア表2[],MATCH("stdev.p",スコア表2[maxmin],0),MATCH(AV$5,スコア表2[#Headers],0))
*10+50,"-")</calculatedColumnFormula>
    </tableColumn>
    <tableColumn id="48" xr3:uid="{00000000-0010-0000-0700-000030000000}" name="42" dataDxfId="127">
      <calculatedColumnFormula>IFERROR(
(INDEX(スコア表[],MATCH($C6,スコア表['#],0),MATCH(AW$5,スコア表[#Headers],0))
-
INDEX(スコア表2[],MATCH("average",スコア表2[maxmin],0),MATCH(AW$5,スコア表2[#Headers],0)))
/
INDEX(スコア表2[],MATCH("stdev.p",スコア表2[maxmin],0),MATCH(AW$5,スコア表2[#Headers],0))
*10+50,"-")</calculatedColumnFormula>
    </tableColumn>
    <tableColumn id="49" xr3:uid="{00000000-0010-0000-0700-000031000000}" name="43" dataDxfId="126">
      <calculatedColumnFormula>IFERROR(
(INDEX(スコア表[],MATCH($C6,スコア表['#],0),MATCH(AX$5,スコア表[#Headers],0))
-
INDEX(スコア表2[],MATCH("average",スコア表2[maxmin],0),MATCH(AX$5,スコア表2[#Headers],0)))
/
INDEX(スコア表2[],MATCH("stdev.p",スコア表2[maxmin],0),MATCH(AX$5,スコア表2[#Headers],0))
*10+50,"-")</calculatedColumnFormula>
    </tableColumn>
    <tableColumn id="50" xr3:uid="{00000000-0010-0000-0700-000032000000}" name="44" dataDxfId="125">
      <calculatedColumnFormula>IFERROR(
(INDEX(スコア表[],MATCH($C6,スコア表['#],0),MATCH(AY$5,スコア表[#Headers],0))
-
INDEX(スコア表2[],MATCH("average",スコア表2[maxmin],0),MATCH(AY$5,スコア表2[#Headers],0)))
/
INDEX(スコア表2[],MATCH("stdev.p",スコア表2[maxmin],0),MATCH(AY$5,スコア表2[#Headers],0))
*10+50,"-")</calculatedColumnFormula>
    </tableColumn>
    <tableColumn id="51" xr3:uid="{00000000-0010-0000-0700-000033000000}" name="45" dataDxfId="124">
      <calculatedColumnFormula>IFERROR(
(INDEX(スコア表[],MATCH($C6,スコア表['#],0),MATCH(AZ$5,スコア表[#Headers],0))
-
INDEX(スコア表2[],MATCH("average",スコア表2[maxmin],0),MATCH(AZ$5,スコア表2[#Headers],0)))
/
INDEX(スコア表2[],MATCH("stdev.p",スコア表2[maxmin],0),MATCH(AZ$5,スコア表2[#Headers],0))
*10+50,"-")</calculatedColumnFormula>
    </tableColumn>
    <tableColumn id="52" xr3:uid="{00000000-0010-0000-0700-000034000000}" name="46" dataDxfId="123">
      <calculatedColumnFormula>IFERROR(
(INDEX(スコア表[],MATCH($C6,スコア表['#],0),MATCH(BA$5,スコア表[#Headers],0))
-
INDEX(スコア表2[],MATCH("average",スコア表2[maxmin],0),MATCH(BA$5,スコア表2[#Headers],0)))
/
INDEX(スコア表2[],MATCH("stdev.p",スコア表2[maxmin],0),MATCH(BA$5,スコア表2[#Headers],0))
*10+50,"-")</calculatedColumnFormula>
    </tableColumn>
    <tableColumn id="53" xr3:uid="{00000000-0010-0000-0700-000035000000}" name="47" dataDxfId="122">
      <calculatedColumnFormula>IFERROR(
(INDEX(スコア表[],MATCH($C6,スコア表['#],0),MATCH(BB$5,スコア表[#Headers],0))
-
INDEX(スコア表2[],MATCH("average",スコア表2[maxmin],0),MATCH(BB$5,スコア表2[#Headers],0)))
/
INDEX(スコア表2[],MATCH("stdev.p",スコア表2[maxmin],0),MATCH(BB$5,スコア表2[#Headers],0))
*10+50,"-")</calculatedColumnFormula>
    </tableColumn>
    <tableColumn id="54" xr3:uid="{00000000-0010-0000-0700-000036000000}" name="48" dataDxfId="121">
      <calculatedColumnFormula>IFERROR(
(INDEX(スコア表[],MATCH($C6,スコア表['#],0),MATCH(BC$5,スコア表[#Headers],0))
-
INDEX(スコア表2[],MATCH("average",スコア表2[maxmin],0),MATCH(BC$5,スコア表2[#Headers],0)))
/
INDEX(スコア表2[],MATCH("stdev.p",スコア表2[maxmin],0),MATCH(BC$5,スコア表2[#Headers],0))
*10+50,"-")</calculatedColumnFormula>
    </tableColumn>
    <tableColumn id="55" xr3:uid="{00000000-0010-0000-0700-000037000000}" name="49" dataDxfId="120">
      <calculatedColumnFormula>IFERROR(
(INDEX(スコア表[],MATCH($C6,スコア表['#],0),MATCH(BD$5,スコア表[#Headers],0))
-
INDEX(スコア表2[],MATCH("average",スコア表2[maxmin],0),MATCH(BD$5,スコア表2[#Headers],0)))
/
INDEX(スコア表2[],MATCH("stdev.p",スコア表2[maxmin],0),MATCH(BD$5,スコア表2[#Headers],0))
*10+50,"-")</calculatedColumnFormula>
    </tableColumn>
    <tableColumn id="56" xr3:uid="{00000000-0010-0000-0700-000038000000}" name="50" dataDxfId="119">
      <calculatedColumnFormula>IFERROR(
(INDEX(スコア表[],MATCH($C6,スコア表['#],0),MATCH(BE$5,スコア表[#Headers],0))
-
INDEX(スコア表2[],MATCH("average",スコア表2[maxmin],0),MATCH(BE$5,スコア表2[#Headers],0)))
/
INDEX(スコア表2[],MATCH("stdev.p",スコア表2[maxmin],0),MATCH(BE$5,スコア表2[#Headers],0))
*10+50,"-")</calculatedColumnFormula>
    </tableColumn>
    <tableColumn id="57" xr3:uid="{00000000-0010-0000-0700-000039000000}" name="51" dataDxfId="118">
      <calculatedColumnFormula>IFERROR(
(INDEX(スコア表[],MATCH($C6,スコア表['#],0),MATCH(BF$5,スコア表[#Headers],0))
-
INDEX(スコア表2[],MATCH("average",スコア表2[maxmin],0),MATCH(BF$5,スコア表2[#Headers],0)))
/
INDEX(スコア表2[],MATCH("stdev.p",スコア表2[maxmin],0),MATCH(BF$5,スコア表2[#Headers],0))
*10+50,"-")</calculatedColumnFormula>
    </tableColumn>
    <tableColumn id="58" xr3:uid="{00000000-0010-0000-0700-00003A000000}" name="52" dataDxfId="117">
      <calculatedColumnFormula>IFERROR(
(INDEX(スコア表[],MATCH($C6,スコア表['#],0),MATCH(BG$5,スコア表[#Headers],0))
-
INDEX(スコア表2[],MATCH("average",スコア表2[maxmin],0),MATCH(BG$5,スコア表2[#Headers],0)))
/
INDEX(スコア表2[],MATCH("stdev.p",スコア表2[maxmin],0),MATCH(BG$5,スコア表2[#Headers],0))
*10+50,"-")</calculatedColumnFormula>
    </tableColumn>
    <tableColumn id="59" xr3:uid="{00000000-0010-0000-0700-00003B000000}" name="53" dataDxfId="116">
      <calculatedColumnFormula>IFERROR(
(INDEX(スコア表[],MATCH($C6,スコア表['#],0),MATCH(BH$5,スコア表[#Headers],0))
-
INDEX(スコア表2[],MATCH("average",スコア表2[maxmin],0),MATCH(BH$5,スコア表2[#Headers],0)))
/
INDEX(スコア表2[],MATCH("stdev.p",スコア表2[maxmin],0),MATCH(BH$5,スコア表2[#Headers],0))
*10+50,"-")</calculatedColumnFormula>
    </tableColumn>
    <tableColumn id="60" xr3:uid="{00000000-0010-0000-0700-00003C000000}" name="54" dataDxfId="115">
      <calculatedColumnFormula>IFERROR(
(INDEX(スコア表[],MATCH($C6,スコア表['#],0),MATCH(BI$5,スコア表[#Headers],0))
-
INDEX(スコア表2[],MATCH("average",スコア表2[maxmin],0),MATCH(BI$5,スコア表2[#Headers],0)))
/
INDEX(スコア表2[],MATCH("stdev.p",スコア表2[maxmin],0),MATCH(BI$5,スコア表2[#Headers],0))
*10+50,"-")</calculatedColumnFormula>
    </tableColumn>
    <tableColumn id="61" xr3:uid="{00000000-0010-0000-0700-00003D000000}" name="55" dataDxfId="114">
      <calculatedColumnFormula>IFERROR(
(INDEX(スコア表[],MATCH($C6,スコア表['#],0),MATCH(BJ$5,スコア表[#Headers],0))
-
INDEX(スコア表2[],MATCH("average",スコア表2[maxmin],0),MATCH(BJ$5,スコア表2[#Headers],0)))
/
INDEX(スコア表2[],MATCH("stdev.p",スコア表2[maxmin],0),MATCH(BJ$5,スコア表2[#Headers],0))
*10+50,"-")</calculatedColumnFormula>
    </tableColumn>
    <tableColumn id="62" xr3:uid="{00000000-0010-0000-0700-00003E000000}" name="56" dataDxfId="113">
      <calculatedColumnFormula>IFERROR(
(INDEX(スコア表[],MATCH($C6,スコア表['#],0),MATCH(BK$5,スコア表[#Headers],0))
-
INDEX(スコア表2[],MATCH("average",スコア表2[maxmin],0),MATCH(BK$5,スコア表2[#Headers],0)))
/
INDEX(スコア表2[],MATCH("stdev.p",スコア表2[maxmin],0),MATCH(BK$5,スコア表2[#Headers],0))
*10+50,"-")</calculatedColumnFormula>
    </tableColumn>
    <tableColumn id="63" xr3:uid="{00000000-0010-0000-0700-00003F000000}" name="57" dataDxfId="112">
      <calculatedColumnFormula>IFERROR(
(INDEX(スコア表[],MATCH($C6,スコア表['#],0),MATCH(BL$5,スコア表[#Headers],0))
-
INDEX(スコア表2[],MATCH("average",スコア表2[maxmin],0),MATCH(BL$5,スコア表2[#Headers],0)))
/
INDEX(スコア表2[],MATCH("stdev.p",スコア表2[maxmin],0),MATCH(BL$5,スコア表2[#Headers],0))
*10+50,"-")</calculatedColumnFormula>
    </tableColumn>
    <tableColumn id="64" xr3:uid="{00000000-0010-0000-0700-000040000000}" name="58" dataDxfId="111">
      <calculatedColumnFormula>IFERROR(
(INDEX(スコア表[],MATCH($C6,スコア表['#],0),MATCH(BM$5,スコア表[#Headers],0))
-
INDEX(スコア表2[],MATCH("average",スコア表2[maxmin],0),MATCH(BM$5,スコア表2[#Headers],0)))
/
INDEX(スコア表2[],MATCH("stdev.p",スコア表2[maxmin],0),MATCH(BM$5,スコア表2[#Headers],0))
*10+50,"-")</calculatedColumnFormula>
    </tableColumn>
    <tableColumn id="65" xr3:uid="{00000000-0010-0000-0700-000041000000}" name="59" dataDxfId="110">
      <calculatedColumnFormula>IFERROR(
(INDEX(スコア表[],MATCH($C6,スコア表['#],0),MATCH(BN$5,スコア表[#Headers],0))
-
INDEX(スコア表2[],MATCH("average",スコア表2[maxmin],0),MATCH(BN$5,スコア表2[#Headers],0)))
/
INDEX(スコア表2[],MATCH("stdev.p",スコア表2[maxmin],0),MATCH(BN$5,スコア表2[#Headers],0))
*10+50,"-")</calculatedColumnFormula>
    </tableColumn>
    <tableColumn id="66" xr3:uid="{00000000-0010-0000-0700-000042000000}" name="60" dataDxfId="109">
      <calculatedColumnFormula>IFERROR(
(INDEX(スコア表[],MATCH($C6,スコア表['#],0),MATCH(BO$5,スコア表[#Headers],0))
-
INDEX(スコア表2[],MATCH("average",スコア表2[maxmin],0),MATCH(BO$5,スコア表2[#Headers],0)))
/
INDEX(スコア表2[],MATCH("stdev.p",スコア表2[maxmin],0),MATCH(BO$5,スコア表2[#Headers],0))
*10+50,"-")</calculatedColumnFormula>
    </tableColumn>
    <tableColumn id="67" xr3:uid="{00000000-0010-0000-0700-000043000000}" name="61" dataDxfId="108">
      <calculatedColumnFormula>IFERROR(
(INDEX(スコア表[],MATCH($C6,スコア表['#],0),MATCH(BP$5,スコア表[#Headers],0))
-
INDEX(スコア表2[],MATCH("average",スコア表2[maxmin],0),MATCH(BP$5,スコア表2[#Headers],0)))
/
INDEX(スコア表2[],MATCH("stdev.p",スコア表2[maxmin],0),MATCH(BP$5,スコア表2[#Headers],0))
*10+50,"-")</calculatedColumnFormula>
    </tableColumn>
    <tableColumn id="68" xr3:uid="{00000000-0010-0000-0700-000044000000}" name="62" dataDxfId="107">
      <calculatedColumnFormula>IFERROR(
(INDEX(スコア表[],MATCH($C6,スコア表['#],0),MATCH(BQ$5,スコア表[#Headers],0))
-
INDEX(スコア表2[],MATCH("average",スコア表2[maxmin],0),MATCH(BQ$5,スコア表2[#Headers],0)))
/
INDEX(スコア表2[],MATCH("stdev.p",スコア表2[maxmin],0),MATCH(BQ$5,スコア表2[#Headers],0))
*10+50,"-")</calculatedColumnFormula>
    </tableColumn>
    <tableColumn id="69" xr3:uid="{00000000-0010-0000-0700-000045000000}" name="63" dataDxfId="106">
      <calculatedColumnFormula>IFERROR(
(INDEX(スコア表[],MATCH($C6,スコア表['#],0),MATCH(BR$5,スコア表[#Headers],0))
-
INDEX(スコア表2[],MATCH("average",スコア表2[maxmin],0),MATCH(BR$5,スコア表2[#Headers],0)))
/
INDEX(スコア表2[],MATCH("stdev.p",スコア表2[maxmin],0),MATCH(BR$5,スコア表2[#Headers],0))
*10+50,"-")</calculatedColumnFormula>
    </tableColumn>
    <tableColumn id="70" xr3:uid="{00000000-0010-0000-0700-000046000000}" name="64" dataDxfId="105">
      <calculatedColumnFormula>IFERROR(
(INDEX(スコア表[],MATCH($C6,スコア表['#],0),MATCH(BS$5,スコア表[#Headers],0))
-
INDEX(スコア表2[],MATCH("average",スコア表2[maxmin],0),MATCH(BS$5,スコア表2[#Headers],0)))
/
INDEX(スコア表2[],MATCH("stdev.p",スコア表2[maxmin],0),MATCH(BS$5,スコア表2[#Headers],0))
*10+50,"-")</calculatedColumnFormula>
    </tableColumn>
    <tableColumn id="71" xr3:uid="{00000000-0010-0000-0700-000047000000}" name="65" dataDxfId="104">
      <calculatedColumnFormula>IFERROR(
(INDEX(スコア表[],MATCH($C6,スコア表['#],0),MATCH(BT$5,スコア表[#Headers],0))
-
INDEX(スコア表2[],MATCH("average",スコア表2[maxmin],0),MATCH(BT$5,スコア表2[#Headers],0)))
/
INDEX(スコア表2[],MATCH("stdev.p",スコア表2[maxmin],0),MATCH(BT$5,スコア表2[#Headers],0))
*10+50,"-")</calculatedColumnFormula>
    </tableColumn>
    <tableColumn id="72" xr3:uid="{00000000-0010-0000-0700-000048000000}" name="66" dataDxfId="103">
      <calculatedColumnFormula>IFERROR(
(INDEX(スコア表[],MATCH($C6,スコア表['#],0),MATCH(BU$5,スコア表[#Headers],0))
-
INDEX(スコア表2[],MATCH("average",スコア表2[maxmin],0),MATCH(BU$5,スコア表2[#Headers],0)))
/
INDEX(スコア表2[],MATCH("stdev.p",スコア表2[maxmin],0),MATCH(BU$5,スコア表2[#Headers],0))
*10+50,"-")</calculatedColumnFormula>
    </tableColumn>
    <tableColumn id="73" xr3:uid="{00000000-0010-0000-0700-000049000000}" name="67" dataDxfId="102">
      <calculatedColumnFormula>IFERROR(
(INDEX(スコア表[],MATCH($C6,スコア表['#],0),MATCH(BV$5,スコア表[#Headers],0))
-
INDEX(スコア表2[],MATCH("average",スコア表2[maxmin],0),MATCH(BV$5,スコア表2[#Headers],0)))
/
INDEX(スコア表2[],MATCH("stdev.p",スコア表2[maxmin],0),MATCH(BV$5,スコア表2[#Headers],0))
*10+50,"-")</calculatedColumnFormula>
    </tableColumn>
    <tableColumn id="74" xr3:uid="{00000000-0010-0000-0700-00004A000000}" name="68" dataDxfId="101">
      <calculatedColumnFormula>IFERROR(
(INDEX(スコア表[],MATCH($C6,スコア表['#],0),MATCH(BW$5,スコア表[#Headers],0))
-
INDEX(スコア表2[],MATCH("average",スコア表2[maxmin],0),MATCH(BW$5,スコア表2[#Headers],0)))
/
INDEX(スコア表2[],MATCH("stdev.p",スコア表2[maxmin],0),MATCH(BW$5,スコア表2[#Headers],0))
*10+50,"-")</calculatedColumnFormula>
    </tableColumn>
    <tableColumn id="75" xr3:uid="{00000000-0010-0000-0700-00004B000000}" name="69" dataDxfId="100">
      <calculatedColumnFormula>IFERROR(
(INDEX(スコア表[],MATCH($C6,スコア表['#],0),MATCH(BX$5,スコア表[#Headers],0))
-
INDEX(スコア表2[],MATCH("average",スコア表2[maxmin],0),MATCH(BX$5,スコア表2[#Headers],0)))
/
INDEX(スコア表2[],MATCH("stdev.p",スコア表2[maxmin],0),MATCH(BX$5,スコア表2[#Headers],0))
*10+50,"-")</calculatedColumnFormula>
    </tableColumn>
    <tableColumn id="76" xr3:uid="{00000000-0010-0000-0700-00004C000000}" name="70" dataDxfId="99">
      <calculatedColumnFormula>IFERROR(
(INDEX(スコア表[],MATCH($C6,スコア表['#],0),MATCH(BY$5,スコア表[#Headers],0))
-
INDEX(スコア表2[],MATCH("average",スコア表2[maxmin],0),MATCH(BY$5,スコア表2[#Headers],0)))
/
INDEX(スコア表2[],MATCH("stdev.p",スコア表2[maxmin],0),MATCH(BY$5,スコア表2[#Headers],0))
*10+50,"-")</calculatedColumnFormula>
    </tableColumn>
    <tableColumn id="77" xr3:uid="{00000000-0010-0000-0700-00004D000000}" name="Ec1" dataDxfId="98">
      <calculatedColumnFormula>IFERROR(
(INDEX(スコア表[],MATCH($C6,スコア表['#],0),MATCH(BZ$5,スコア表[#Headers],0))
-
INDEX(スコア表2[],MATCH("average",スコア表2[maxmin],0),MATCH(BZ$5,スコア表2[#Headers],0)))
/
INDEX(スコア表2[],MATCH("stdev.p",スコア表2[maxmin],0),MATCH(BZ$5,スコア表2[#Headers],0))
*10+50,"-")</calculatedColumnFormula>
    </tableColumn>
    <tableColumn id="78" xr3:uid="{00000000-0010-0000-0700-00004E000000}" name="Ec2" dataDxfId="97">
      <calculatedColumnFormula>IFERROR(
(INDEX(スコア表[],MATCH($C6,スコア表['#],0),MATCH(CA$5,スコア表[#Headers],0))
-
INDEX(スコア表2[],MATCH("average",スコア表2[maxmin],0),MATCH(CA$5,スコア表2[#Headers],0)))
/
INDEX(スコア表2[],MATCH("stdev.p",スコア表2[maxmin],0),MATCH(CA$5,スコア表2[#Headers],0))
*10+50,"-")</calculatedColumnFormula>
    </tableColumn>
    <tableColumn id="79" xr3:uid="{00000000-0010-0000-0700-00004F000000}" name="Ec3" dataDxfId="96">
      <calculatedColumnFormula>IFERROR(
(INDEX(スコア表[],MATCH($C6,スコア表['#],0),MATCH(CB$5,スコア表[#Headers],0))
-
INDEX(スコア表2[],MATCH("average",スコア表2[maxmin],0),MATCH(CB$5,スコア表2[#Headers],0)))
/
INDEX(スコア表2[],MATCH("stdev.p",スコア表2[maxmin],0),MATCH(CB$5,スコア表2[#Headers],0))
*10+50,"-")</calculatedColumnFormula>
    </tableColumn>
    <tableColumn id="80" xr3:uid="{00000000-0010-0000-0700-000050000000}" name="Ec4" dataDxfId="95">
      <calculatedColumnFormula>IFERROR(
(INDEX(スコア表[],MATCH($C6,スコア表['#],0),MATCH(CC$5,スコア表[#Headers],0))
-
INDEX(スコア表2[],MATCH("average",スコア表2[maxmin],0),MATCH(CC$5,スコア表2[#Headers],0)))
/
INDEX(スコア表2[],MATCH("stdev.p",スコア表2[maxmin],0),MATCH(CC$5,スコア表2[#Headers],0))
*10+50,"-")</calculatedColumnFormula>
    </tableColumn>
    <tableColumn id="81" xr3:uid="{00000000-0010-0000-0700-000051000000}" name="Ec5" dataDxfId="94">
      <calculatedColumnFormula>IFERROR(
(INDEX(スコア表[],MATCH($C6,スコア表['#],0),MATCH(CD$5,スコア表[#Headers],0))
-
INDEX(スコア表2[],MATCH("average",スコア表2[maxmin],0),MATCH(CD$5,スコア表2[#Headers],0)))
/
INDEX(スコア表2[],MATCH("stdev.p",スコア表2[maxmin],0),MATCH(CD$5,スコア表2[#Headers],0))
*10+50,"-")</calculatedColumnFormula>
    </tableColumn>
    <tableColumn id="82" xr3:uid="{00000000-0010-0000-0700-000052000000}" name="Ec6" dataDxfId="93">
      <calculatedColumnFormula>IFERROR(
(INDEX(スコア表[],MATCH($C6,スコア表['#],0),MATCH(CE$5,スコア表[#Headers],0))
-
INDEX(スコア表2[],MATCH("average",スコア表2[maxmin],0),MATCH(CE$5,スコア表2[#Headers],0)))
/
INDEX(スコア表2[],MATCH("stdev.p",スコア表2[maxmin],0),MATCH(CE$5,スコア表2[#Headers],0))
*10+50,"-")</calculatedColumnFormula>
    </tableColumn>
    <tableColumn id="83" xr3:uid="{00000000-0010-0000-0700-000053000000}" name="RD1" dataDxfId="92">
      <calculatedColumnFormula>IFERROR(
(INDEX(スコア表[],MATCH($C6,スコア表['#],0),MATCH(CF$5,スコア表[#Headers],0))
-
INDEX(スコア表2[],MATCH("average",スコア表2[maxmin],0),MATCH(CF$5,スコア表2[#Headers],0)))
/
INDEX(スコア表2[],MATCH("stdev.p",スコア表2[maxmin],0),MATCH(CF$5,スコア表2[#Headers],0))
*10+50,"-")</calculatedColumnFormula>
    </tableColumn>
    <tableColumn id="84" xr3:uid="{00000000-0010-0000-0700-000054000000}" name="RD2" dataDxfId="91">
      <calculatedColumnFormula>IFERROR(
(INDEX(スコア表[],MATCH($C6,スコア表['#],0),MATCH(CG$5,スコア表[#Headers],0))
-
INDEX(スコア表2[],MATCH("average",スコア表2[maxmin],0),MATCH(CG$5,スコア表2[#Headers],0)))
/
INDEX(スコア表2[],MATCH("stdev.p",スコア表2[maxmin],0),MATCH(CG$5,スコア表2[#Headers],0))
*10+50,"-")</calculatedColumnFormula>
    </tableColumn>
    <tableColumn id="85" xr3:uid="{00000000-0010-0000-0700-000055000000}" name="RD3" dataDxfId="90">
      <calculatedColumnFormula>IFERROR(
(INDEX(スコア表[],MATCH($C6,スコア表['#],0),MATCH(CH$5,スコア表[#Headers],0))
-
INDEX(スコア表2[],MATCH("average",スコア表2[maxmin],0),MATCH(CH$5,スコア表2[#Headers],0)))
/
INDEX(スコア表2[],MATCH("stdev.p",スコア表2[maxmin],0),MATCH(CH$5,スコア表2[#Headers],0))
*10+50,"-")</calculatedColumnFormula>
    </tableColumn>
    <tableColumn id="86" xr3:uid="{00000000-0010-0000-0700-000056000000}" name="CI1" dataDxfId="89">
      <calculatedColumnFormula>IFERROR(
(INDEX(スコア表[],MATCH($C6,スコア表['#],0),MATCH(CI$5,スコア表[#Headers],0))
-
INDEX(スコア表2[],MATCH("average",スコア表2[maxmin],0),MATCH(CI$5,スコア表2[#Headers],0)))
/
INDEX(スコア表2[],MATCH("stdev.p",スコア表2[maxmin],0),MATCH(CI$5,スコア表2[#Headers],0))
*10+50,"-")</calculatedColumnFormula>
    </tableColumn>
    <tableColumn id="87" xr3:uid="{00000000-0010-0000-0700-000057000000}" name="CI2" dataDxfId="88">
      <calculatedColumnFormula>IFERROR(
(INDEX(スコア表[],MATCH($C6,スコア表['#],0),MATCH(CJ$5,スコア表[#Headers],0))
-
INDEX(スコア表2[],MATCH("average",スコア表2[maxmin],0),MATCH(CJ$5,スコア表2[#Headers],0)))
/
INDEX(スコア表2[],MATCH("stdev.p",スコア表2[maxmin],0),MATCH(CJ$5,スコア表2[#Headers],0))
*10+50,"-")</calculatedColumnFormula>
    </tableColumn>
    <tableColumn id="88" xr3:uid="{00000000-0010-0000-0700-000058000000}" name="CI3" dataDxfId="87">
      <calculatedColumnFormula>IFERROR(
(INDEX(スコア表[],MATCH($C6,スコア表['#],0),MATCH(CK$5,スコア表[#Headers],0))
-
INDEX(スコア表2[],MATCH("average",スコア表2[maxmin],0),MATCH(CK$5,スコア表2[#Headers],0)))
/
INDEX(スコア表2[],MATCH("stdev.p",スコア表2[maxmin],0),MATCH(CK$5,スコア表2[#Headers],0))
*10+50,"-")</calculatedColumnFormula>
    </tableColumn>
    <tableColumn id="89" xr3:uid="{00000000-0010-0000-0700-000059000000}" name="CI4" dataDxfId="86">
      <calculatedColumnFormula>IFERROR(
(INDEX(スコア表[],MATCH($C6,スコア表['#],0),MATCH(CL$5,スコア表[#Headers],0))
-
INDEX(スコア表2[],MATCH("average",スコア表2[maxmin],0),MATCH(CL$5,スコア表2[#Headers],0)))
/
INDEX(スコア表2[],MATCH("stdev.p",スコア表2[maxmin],0),MATCH(CL$5,スコア表2[#Headers],0))
*10+50,"-")</calculatedColumnFormula>
    </tableColumn>
    <tableColumn id="90" xr3:uid="{00000000-0010-0000-0700-00005A000000}" name="CI5" dataDxfId="85">
      <calculatedColumnFormula>IFERROR(
(INDEX(スコア表[],MATCH($C6,スコア表['#],0),MATCH(CM$5,スコア表[#Headers],0))
-
INDEX(スコア表2[],MATCH("average",スコア表2[maxmin],0),MATCH(CM$5,スコア表2[#Headers],0)))
/
INDEX(スコア表2[],MATCH("stdev.p",スコア表2[maxmin],0),MATCH(CM$5,スコア表2[#Headers],0))
*10+50,"-")</calculatedColumnFormula>
    </tableColumn>
    <tableColumn id="91" xr3:uid="{00000000-0010-0000-0700-00005B000000}" name="Li1" dataDxfId="84">
      <calculatedColumnFormula>IFERROR(
(INDEX(スコア表[],MATCH($C6,スコア表['#],0),MATCH(CN$5,スコア表[#Headers],0))
-
INDEX(スコア表2[],MATCH("average",スコア表2[maxmin],0),MATCH(CN$5,スコア表2[#Headers],0)))
/
INDEX(スコア表2[],MATCH("stdev.p",スコア表2[maxmin],0),MATCH(CN$5,スコア表2[#Headers],0))
*10+50,"-")</calculatedColumnFormula>
    </tableColumn>
    <tableColumn id="92" xr3:uid="{00000000-0010-0000-0700-00005C000000}" name="Li2" dataDxfId="83">
      <calculatedColumnFormula>IFERROR(
(INDEX(スコア表[],MATCH($C6,スコア表['#],0),MATCH(CO$5,スコア表[#Headers],0))
-
INDEX(スコア表2[],MATCH("average",スコア表2[maxmin],0),MATCH(CO$5,スコア表2[#Headers],0)))
/
INDEX(スコア表2[],MATCH("stdev.p",スコア表2[maxmin],0),MATCH(CO$5,スコア表2[#Headers],0))
*10+50,"-")</calculatedColumnFormula>
    </tableColumn>
    <tableColumn id="93" xr3:uid="{00000000-0010-0000-0700-00005D000000}" name="Li3" dataDxfId="82">
      <calculatedColumnFormula>IFERROR(
(INDEX(スコア表[],MATCH($C6,スコア表['#],0),MATCH(CP$5,スコア表[#Headers],0))
-
INDEX(スコア表2[],MATCH("average",スコア表2[maxmin],0),MATCH(CP$5,スコア表2[#Headers],0)))
/
INDEX(スコア表2[],MATCH("stdev.p",スコア表2[maxmin],0),MATCH(CP$5,スコア表2[#Headers],0))
*10+50,"-")</calculatedColumnFormula>
    </tableColumn>
    <tableColumn id="94" xr3:uid="{00000000-0010-0000-0700-00005E000000}" name="Li4" dataDxfId="81">
      <calculatedColumnFormula>IFERROR(
(INDEX(スコア表[],MATCH($C6,スコア表['#],0),MATCH(CQ$5,スコア表[#Headers],0))
-
INDEX(スコア表2[],MATCH("average",スコア表2[maxmin],0),MATCH(CQ$5,スコア表2[#Headers],0)))
/
INDEX(スコア表2[],MATCH("stdev.p",スコア表2[maxmin],0),MATCH(CQ$5,スコア表2[#Headers],0))
*10+50,"-")</calculatedColumnFormula>
    </tableColumn>
    <tableColumn id="95" xr3:uid="{00000000-0010-0000-0700-00005F000000}" name="Li5" dataDxfId="80">
      <calculatedColumnFormula>IFERROR(
(INDEX(スコア表[],MATCH($C6,スコア表['#],0),MATCH(CR$5,スコア表[#Headers],0))
-
INDEX(スコア表2[],MATCH("average",スコア表2[maxmin],0),MATCH(CR$5,スコア表2[#Headers],0)))
/
INDEX(スコア表2[],MATCH("stdev.p",スコア表2[maxmin],0),MATCH(CR$5,スコア表2[#Headers],0))
*10+50,"-")</calculatedColumnFormula>
    </tableColumn>
    <tableColumn id="96" xr3:uid="{00000000-0010-0000-0700-000060000000}" name="En1" dataDxfId="79">
      <calculatedColumnFormula>IFERROR(
(INDEX(スコア表[],MATCH($C6,スコア表['#],0),MATCH(CS$5,スコア表[#Headers],0))
-
INDEX(スコア表2[],MATCH("average",スコア表2[maxmin],0),MATCH(CS$5,スコア表2[#Headers],0)))
/
INDEX(スコア表2[],MATCH("stdev.p",スコア表2[maxmin],0),MATCH(CS$5,スコア表2[#Headers],0))
*10+50,"-")</calculatedColumnFormula>
    </tableColumn>
    <tableColumn id="97" xr3:uid="{00000000-0010-0000-0700-000061000000}" name="En2" dataDxfId="78">
      <calculatedColumnFormula>IFERROR(
(INDEX(スコア表[],MATCH($C6,スコア表['#],0),MATCH(CT$5,スコア表[#Headers],0))
-
INDEX(スコア表2[],MATCH("average",スコア表2[maxmin],0),MATCH(CT$5,スコア表2[#Headers],0)))
/
INDEX(スコア表2[],MATCH("stdev.p",スコア表2[maxmin],0),MATCH(CT$5,スコア表2[#Headers],0))
*10+50,"-")</calculatedColumnFormula>
    </tableColumn>
    <tableColumn id="98" xr3:uid="{00000000-0010-0000-0700-000062000000}" name="En3" dataDxfId="77">
      <calculatedColumnFormula>IFERROR(
(INDEX(スコア表[],MATCH($C6,スコア表['#],0),MATCH(CU$5,スコア表[#Headers],0))
-
INDEX(スコア表2[],MATCH("average",スコア表2[maxmin],0),MATCH(CU$5,スコア表2[#Headers],0)))
/
INDEX(スコア表2[],MATCH("stdev.p",スコア表2[maxmin],0),MATCH(CU$5,スコア表2[#Headers],0))
*10+50,"-")</calculatedColumnFormula>
    </tableColumn>
    <tableColumn id="99" xr3:uid="{00000000-0010-0000-0700-000063000000}" name="Ac1" dataDxfId="76">
      <calculatedColumnFormula>IFERROR(
(INDEX(スコア表[],MATCH($C6,スコア表['#],0),MATCH(CV$5,スコア表[#Headers],0))
-
INDEX(スコア表2[],MATCH("average",スコア表2[maxmin],0),MATCH(CV$5,スコア表2[#Headers],0)))
/
INDEX(スコア表2[],MATCH("stdev.p",スコア表2[maxmin],0),MATCH(CV$5,スコア表2[#Headers],0))
*10+50,"-")</calculatedColumnFormula>
    </tableColumn>
    <tableColumn id="100" xr3:uid="{00000000-0010-0000-0700-000064000000}" name="Ac2" dataDxfId="75">
      <calculatedColumnFormula>IFERROR(
(INDEX(スコア表[],MATCH($C6,スコア表['#],0),MATCH(CW$5,スコア表[#Headers],0))
-
INDEX(スコア表2[],MATCH("average",スコア表2[maxmin],0),MATCH(CW$5,スコア表2[#Headers],0)))
/
INDEX(スコア表2[],MATCH("stdev.p",スコア表2[maxmin],0),MATCH(CW$5,スコア表2[#Headers],0))
*10+50,"-")</calculatedColumnFormula>
    </tableColumn>
    <tableColumn id="101" xr3:uid="{00000000-0010-0000-0700-000065000000}" name="Ac3" dataDxfId="74">
      <calculatedColumnFormula>IFERROR(
(INDEX(スコア表[],MATCH($C6,スコア表['#],0),MATCH(CX$5,スコア表[#Headers],0))
-
INDEX(スコア表2[],MATCH("average",スコア表2[maxmin],0),MATCH(CX$5,スコア表2[#Headers],0)))
/
INDEX(スコア表2[],MATCH("stdev.p",スコア表2[maxmin],0),MATCH(CX$5,スコア表2[#Headers],0))
*10+50,"-")</calculatedColumnFormula>
    </tableColumn>
    <tableColumn id="102" xr3:uid="{00000000-0010-0000-0700-000066000000}" name="Ac4" dataDxfId="73">
      <calculatedColumnFormula>IFERROR(
(INDEX(スコア表[],MATCH($C6,スコア表['#],0),MATCH(CY$5,スコア表[#Headers],0))
-
INDEX(スコア表2[],MATCH("average",スコア表2[maxmin],0),MATCH(CY$5,スコア表2[#Headers],0)))
/
INDEX(スコア表2[],MATCH("stdev.p",スコア表2[maxmin],0),MATCH(CY$5,スコア表2[#Headers],0))
*10+50,"-")</calculatedColumnFormula>
    </tableColumn>
    <tableColumn id="103" xr3:uid="{00000000-0010-0000-0700-000067000000}" name="Economy" dataDxfId="72">
      <calculatedColumnFormula>IFERROR(
(INDEX(スコア表[],MATCH($C6,スコア表['#],0),MATCH(CZ$5,スコア表[#Headers],0))
-
INDEX(スコア表2[],MATCH("average",スコア表2[maxmin],0),MATCH(CZ$5,スコア表2[#Headers],0)))
/
INDEX(スコア表2[],MATCH("stdev.p",スコア表2[maxmin],0),MATCH(CZ$5,スコア表2[#Headers],0))
*10+50,"-")</calculatedColumnFormula>
    </tableColumn>
    <tableColumn id="104" xr3:uid="{00000000-0010-0000-0700-000068000000}" name="R&amp;D" dataDxfId="71">
      <calculatedColumnFormula>IFERROR(
(INDEX(スコア表[],MATCH($C6,スコア表['#],0),MATCH(DA$5,スコア表[#Headers],0))
-
INDEX(スコア表2[],MATCH("average",スコア表2[maxmin],0),MATCH(DA$5,スコア表2[#Headers],0)))
/
INDEX(スコア表2[],MATCH("stdev.p",スコア表2[maxmin],0),MATCH(DA$5,スコア表2[#Headers],0))
*10+50,"-")</calculatedColumnFormula>
    </tableColumn>
    <tableColumn id="105" xr3:uid="{00000000-0010-0000-0700-000069000000}" name="Cultural Interaction" dataDxfId="70">
      <calculatedColumnFormula>IFERROR(
(INDEX(スコア表[],MATCH($C6,スコア表['#],0),MATCH(DB$5,スコア表[#Headers],0))
-
INDEX(スコア表2[],MATCH("average",スコア表2[maxmin],0),MATCH(DB$5,スコア表2[#Headers],0)))
/
INDEX(スコア表2[],MATCH("stdev.p",スコア表2[maxmin],0),MATCH(DB$5,スコア表2[#Headers],0))
*10+50,"-")</calculatedColumnFormula>
    </tableColumn>
    <tableColumn id="106" xr3:uid="{00000000-0010-0000-0700-00006A000000}" name="Livability" dataDxfId="69">
      <calculatedColumnFormula>IFERROR(
(INDEX(スコア表[],MATCH($C6,スコア表['#],0),MATCH(DC$5,スコア表[#Headers],0))
-
INDEX(スコア表2[],MATCH("average",スコア表2[maxmin],0),MATCH(DC$5,スコア表2[#Headers],0)))
/
INDEX(スコア表2[],MATCH("stdev.p",スコア表2[maxmin],0),MATCH(DC$5,スコア表2[#Headers],0))
*10+50,"-")</calculatedColumnFormula>
    </tableColumn>
    <tableColumn id="107" xr3:uid="{00000000-0010-0000-0700-00006B000000}" name="Environment" dataDxfId="68">
      <calculatedColumnFormula>IFERROR(
(INDEX(スコア表[],MATCH($C6,スコア表['#],0),MATCH(DD$5,スコア表[#Headers],0))
-
INDEX(スコア表2[],MATCH("average",スコア表2[maxmin],0),MATCH(DD$5,スコア表2[#Headers],0)))
/
INDEX(スコア表2[],MATCH("stdev.p",スコア表2[maxmin],0),MATCH(DD$5,スコア表2[#Headers],0))
*10+50,"-")</calculatedColumnFormula>
    </tableColumn>
    <tableColumn id="108" xr3:uid="{00000000-0010-0000-0700-00006C000000}" name="Accessibility" dataDxfId="67">
      <calculatedColumnFormula>IFERROR(
(INDEX(スコア表[],MATCH($C6,スコア表['#],0),MATCH(DE$5,スコア表[#Headers],0))
-
INDEX(スコア表2[],MATCH("average",スコア表2[maxmin],0),MATCH(DE$5,スコア表2[#Headers],0)))
/
INDEX(スコア表2[],MATCH("stdev.p",スコア表2[maxmin],0),MATCH(DE$5,スコア表2[#Headers],0))
*10+50,"-")</calculatedColumnFormula>
    </tableColumn>
    <tableColumn id="109" xr3:uid="{00000000-0010-0000-0700-00006D000000}" name="Comprehensive" dataDxfId="66">
      <calculatedColumnFormula>IFERROR(
(INDEX(スコア表[],MATCH($C6,スコア表['#],0),MATCH(DF$5,スコア表[#Headers],0))
-
INDEX(スコア表2[],MATCH("average",スコア表2[maxmin],0),MATCH(DF$5,スコア表2[#Headers],0)))
/
INDEX(スコア表2[],MATCH("stdev.p",スコア表2[maxmin],0),MATCH(DF$5,スコア表2[#Headers],0))
*10+50,"-")</calculatedColumnFormula>
    </tableColumn>
    <tableColumn id="110" xr3:uid="{24AA4012-23EE-487A-8043-13E4FE878AA7}" name="総合度" dataDxfId="65">
      <calculatedColumnFormula>IFERROR(_xlfn.STDEV.P(偏差値表[[#This Row],[Economy]:[Accessibility]]),"")</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前年結果表" displayName="前年結果表" ref="BM5:CB53" totalsRowShown="0" headerRowDxfId="31" dataDxfId="29" headerRowBorderDxfId="30" tableBorderDxfId="28" totalsRowBorderDxfId="27">
  <autoFilter ref="BM5:CB53" xr:uid="{00000000-0009-0000-0100-000002000000}"/>
  <sortState xmlns:xlrd2="http://schemas.microsoft.com/office/spreadsheetml/2017/richdata2" ref="BM6:CB53">
    <sortCondition ref="BM5:BM53"/>
  </sortState>
  <tableColumns count="16">
    <tableColumn id="16" xr3:uid="{00000000-0010-0000-0800-000010000000}" name="#" dataDxfId="26"/>
    <tableColumn id="1" xr3:uid="{00000000-0010-0000-0800-000001000000}" name="City Name" dataDxfId="25"/>
    <tableColumn id="2" xr3:uid="{00000000-0010-0000-0800-000002000000}" name="スEconomy" dataDxfId="24"/>
    <tableColumn id="3" xr3:uid="{00000000-0010-0000-0800-000003000000}" name="スR&amp;D" dataDxfId="23"/>
    <tableColumn id="4" xr3:uid="{00000000-0010-0000-0800-000004000000}" name="スCultural Interaction" dataDxfId="22"/>
    <tableColumn id="5" xr3:uid="{00000000-0010-0000-0800-000005000000}" name="スLivability" dataDxfId="21"/>
    <tableColumn id="6" xr3:uid="{00000000-0010-0000-0800-000006000000}" name="スEnvironment" dataDxfId="20"/>
    <tableColumn id="7" xr3:uid="{00000000-0010-0000-0800-000007000000}" name="スAccessibility" dataDxfId="19"/>
    <tableColumn id="8" xr3:uid="{00000000-0010-0000-0800-000008000000}" name="スComprehensive" dataDxfId="18"/>
    <tableColumn id="9" xr3:uid="{00000000-0010-0000-0800-000009000000}" name="順Economy" dataDxfId="17"/>
    <tableColumn id="10" xr3:uid="{00000000-0010-0000-0800-00000A000000}" name="順R&amp;D" dataDxfId="16"/>
    <tableColumn id="11" xr3:uid="{00000000-0010-0000-0800-00000B000000}" name="順Cultural Interaction" dataDxfId="15"/>
    <tableColumn id="12" xr3:uid="{00000000-0010-0000-0800-00000C000000}" name="順Livability" dataDxfId="14"/>
    <tableColumn id="13" xr3:uid="{00000000-0010-0000-0800-00000D000000}" name="順Environment" dataDxfId="13"/>
    <tableColumn id="14" xr3:uid="{00000000-0010-0000-0800-00000E000000}" name="順Accessibility" dataDxfId="12"/>
    <tableColumn id="15" xr3:uid="{00000000-0010-0000-0800-00000F000000}" name="順Comprehensive" dataDxfId="11"/>
  </tableColumns>
  <tableStyleInfo showFirstColumn="0" showLastColumn="0" showRowStripes="0"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6" Type="http://schemas.openxmlformats.org/officeDocument/2006/relationships/ctrlProp" Target="../ctrlProps/ctrlProp25.xml"/><Relationship Id="rId21" Type="http://schemas.openxmlformats.org/officeDocument/2006/relationships/ctrlProp" Target="../ctrlProps/ctrlProp20.xml"/><Relationship Id="rId42" Type="http://schemas.openxmlformats.org/officeDocument/2006/relationships/ctrlProp" Target="../ctrlProps/ctrlProp41.xml"/><Relationship Id="rId47" Type="http://schemas.openxmlformats.org/officeDocument/2006/relationships/ctrlProp" Target="../ctrlProps/ctrlProp46.xml"/><Relationship Id="rId63" Type="http://schemas.openxmlformats.org/officeDocument/2006/relationships/ctrlProp" Target="../ctrlProps/ctrlProp62.xml"/><Relationship Id="rId68" Type="http://schemas.openxmlformats.org/officeDocument/2006/relationships/ctrlProp" Target="../ctrlProps/ctrlProp67.xml"/><Relationship Id="rId2" Type="http://schemas.openxmlformats.org/officeDocument/2006/relationships/vmlDrawing" Target="../drawings/vmlDrawing3.vml"/><Relationship Id="rId16" Type="http://schemas.openxmlformats.org/officeDocument/2006/relationships/ctrlProp" Target="../ctrlProps/ctrlProp15.xml"/><Relationship Id="rId29" Type="http://schemas.openxmlformats.org/officeDocument/2006/relationships/ctrlProp" Target="../ctrlProps/ctrlProp28.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3" Type="http://schemas.openxmlformats.org/officeDocument/2006/relationships/ctrlProp" Target="../ctrlProps/ctrlProp52.xml"/><Relationship Id="rId58" Type="http://schemas.openxmlformats.org/officeDocument/2006/relationships/ctrlProp" Target="../ctrlProps/ctrlProp57.xml"/><Relationship Id="rId66" Type="http://schemas.openxmlformats.org/officeDocument/2006/relationships/ctrlProp" Target="../ctrlProps/ctrlProp65.xml"/><Relationship Id="rId74" Type="http://schemas.openxmlformats.org/officeDocument/2006/relationships/ctrlProp" Target="../ctrlProps/ctrlProp73.xml"/><Relationship Id="rId5" Type="http://schemas.openxmlformats.org/officeDocument/2006/relationships/ctrlProp" Target="../ctrlProps/ctrlProp4.xml"/><Relationship Id="rId61" Type="http://schemas.openxmlformats.org/officeDocument/2006/relationships/ctrlProp" Target="../ctrlProps/ctrlProp60.xml"/><Relationship Id="rId19" Type="http://schemas.openxmlformats.org/officeDocument/2006/relationships/ctrlProp" Target="../ctrlProps/ctrlProp1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48" Type="http://schemas.openxmlformats.org/officeDocument/2006/relationships/ctrlProp" Target="../ctrlProps/ctrlProp47.xml"/><Relationship Id="rId56" Type="http://schemas.openxmlformats.org/officeDocument/2006/relationships/ctrlProp" Target="../ctrlProps/ctrlProp55.xml"/><Relationship Id="rId64" Type="http://schemas.openxmlformats.org/officeDocument/2006/relationships/ctrlProp" Target="../ctrlProps/ctrlProp63.xml"/><Relationship Id="rId69" Type="http://schemas.openxmlformats.org/officeDocument/2006/relationships/ctrlProp" Target="../ctrlProps/ctrlProp68.xml"/><Relationship Id="rId8" Type="http://schemas.openxmlformats.org/officeDocument/2006/relationships/ctrlProp" Target="../ctrlProps/ctrlProp7.xml"/><Relationship Id="rId51" Type="http://schemas.openxmlformats.org/officeDocument/2006/relationships/ctrlProp" Target="../ctrlProps/ctrlProp50.xml"/><Relationship Id="rId72" Type="http://schemas.openxmlformats.org/officeDocument/2006/relationships/ctrlProp" Target="../ctrlProps/ctrlProp71.xml"/><Relationship Id="rId3" Type="http://schemas.openxmlformats.org/officeDocument/2006/relationships/ctrlProp" Target="../ctrlProps/ctrlProp2.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59" Type="http://schemas.openxmlformats.org/officeDocument/2006/relationships/ctrlProp" Target="../ctrlProps/ctrlProp58.xml"/><Relationship Id="rId67" Type="http://schemas.openxmlformats.org/officeDocument/2006/relationships/ctrlProp" Target="../ctrlProps/ctrlProp66.xml"/><Relationship Id="rId20" Type="http://schemas.openxmlformats.org/officeDocument/2006/relationships/ctrlProp" Target="../ctrlProps/ctrlProp19.xml"/><Relationship Id="rId41" Type="http://schemas.openxmlformats.org/officeDocument/2006/relationships/ctrlProp" Target="../ctrlProps/ctrlProp40.xml"/><Relationship Id="rId54" Type="http://schemas.openxmlformats.org/officeDocument/2006/relationships/ctrlProp" Target="../ctrlProps/ctrlProp53.xml"/><Relationship Id="rId62" Type="http://schemas.openxmlformats.org/officeDocument/2006/relationships/ctrlProp" Target="../ctrlProps/ctrlProp61.xml"/><Relationship Id="rId70" Type="http://schemas.openxmlformats.org/officeDocument/2006/relationships/ctrlProp" Target="../ctrlProps/ctrlProp69.xml"/><Relationship Id="rId75" Type="http://schemas.openxmlformats.org/officeDocument/2006/relationships/ctrlProp" Target="../ctrlProps/ctrlProp74.xml"/><Relationship Id="rId1" Type="http://schemas.openxmlformats.org/officeDocument/2006/relationships/drawing" Target="../drawings/drawing10.xml"/><Relationship Id="rId6" Type="http://schemas.openxmlformats.org/officeDocument/2006/relationships/ctrlProp" Target="../ctrlProps/ctrlProp5.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49" Type="http://schemas.openxmlformats.org/officeDocument/2006/relationships/ctrlProp" Target="../ctrlProps/ctrlProp48.xml"/><Relationship Id="rId57" Type="http://schemas.openxmlformats.org/officeDocument/2006/relationships/ctrlProp" Target="../ctrlProps/ctrlProp56.xml"/><Relationship Id="rId10" Type="http://schemas.openxmlformats.org/officeDocument/2006/relationships/ctrlProp" Target="../ctrlProps/ctrlProp9.xml"/><Relationship Id="rId31" Type="http://schemas.openxmlformats.org/officeDocument/2006/relationships/ctrlProp" Target="../ctrlProps/ctrlProp30.xml"/><Relationship Id="rId44" Type="http://schemas.openxmlformats.org/officeDocument/2006/relationships/ctrlProp" Target="../ctrlProps/ctrlProp43.xml"/><Relationship Id="rId52" Type="http://schemas.openxmlformats.org/officeDocument/2006/relationships/ctrlProp" Target="../ctrlProps/ctrlProp51.xml"/><Relationship Id="rId60" Type="http://schemas.openxmlformats.org/officeDocument/2006/relationships/ctrlProp" Target="../ctrlProps/ctrlProp59.xml"/><Relationship Id="rId65" Type="http://schemas.openxmlformats.org/officeDocument/2006/relationships/ctrlProp" Target="../ctrlProps/ctrlProp64.xml"/><Relationship Id="rId73" Type="http://schemas.openxmlformats.org/officeDocument/2006/relationships/ctrlProp" Target="../ctrlProps/ctrlProp72.xml"/><Relationship Id="rId4" Type="http://schemas.openxmlformats.org/officeDocument/2006/relationships/ctrlProp" Target="../ctrlProps/ctrlProp3.xml"/><Relationship Id="rId9" Type="http://schemas.openxmlformats.org/officeDocument/2006/relationships/ctrlProp" Target="../ctrlProps/ctrlProp8.xml"/><Relationship Id="rId13" Type="http://schemas.openxmlformats.org/officeDocument/2006/relationships/ctrlProp" Target="../ctrlProps/ctrlProp12.xml"/><Relationship Id="rId18" Type="http://schemas.openxmlformats.org/officeDocument/2006/relationships/ctrlProp" Target="../ctrlProps/ctrlProp17.xml"/><Relationship Id="rId39" Type="http://schemas.openxmlformats.org/officeDocument/2006/relationships/ctrlProp" Target="../ctrlProps/ctrlProp38.xml"/><Relationship Id="rId34" Type="http://schemas.openxmlformats.org/officeDocument/2006/relationships/ctrlProp" Target="../ctrlProps/ctrlProp33.xml"/><Relationship Id="rId50" Type="http://schemas.openxmlformats.org/officeDocument/2006/relationships/ctrlProp" Target="../ctrlProps/ctrlProp49.xml"/><Relationship Id="rId55" Type="http://schemas.openxmlformats.org/officeDocument/2006/relationships/ctrlProp" Target="../ctrlProps/ctrlProp54.xml"/><Relationship Id="rId76" Type="http://schemas.openxmlformats.org/officeDocument/2006/relationships/ctrlProp" Target="../ctrlProps/ctrlProp75.xml"/><Relationship Id="rId7" Type="http://schemas.openxmlformats.org/officeDocument/2006/relationships/ctrlProp" Target="../ctrlProps/ctrlProp6.xml"/><Relationship Id="rId71" Type="http://schemas.openxmlformats.org/officeDocument/2006/relationships/ctrlProp" Target="../ctrlProps/ctrlProp7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7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7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7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79.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80.xml"/><Relationship Id="rId2" Type="http://schemas.openxmlformats.org/officeDocument/2006/relationships/vmlDrawing" Target="../drawings/vmlDrawing8.vml"/><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21.bin"/><Relationship Id="rId4" Type="http://schemas.openxmlformats.org/officeDocument/2006/relationships/ctrlProp" Target="../ctrlProps/ctrlProp8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B2:E16"/>
  <sheetViews>
    <sheetView showGridLines="0" zoomScale="115" zoomScaleNormal="115" workbookViewId="0">
      <selection activeCell="C3" sqref="C3"/>
    </sheetView>
  </sheetViews>
  <sheetFormatPr defaultRowHeight="15.75"/>
  <cols>
    <col min="1" max="1" width="3.28515625" bestFit="1" customWidth="1"/>
    <col min="2" max="2" width="16.140625" style="282" bestFit="1" customWidth="1"/>
    <col min="3" max="3" width="20.5703125" customWidth="1"/>
  </cols>
  <sheetData>
    <row r="2" spans="2:5">
      <c r="B2" s="298" t="s">
        <v>1098</v>
      </c>
      <c r="C2" s="299" t="s">
        <v>656</v>
      </c>
      <c r="D2" t="s">
        <v>1112</v>
      </c>
    </row>
    <row r="4" spans="2:5">
      <c r="B4" s="298" t="s">
        <v>1099</v>
      </c>
      <c r="C4" t="s">
        <v>2075</v>
      </c>
    </row>
    <row r="5" spans="2:5">
      <c r="C5" s="87" t="s">
        <v>1100</v>
      </c>
      <c r="D5" t="s">
        <v>1107</v>
      </c>
    </row>
    <row r="6" spans="2:5">
      <c r="C6" s="87" t="s">
        <v>1101</v>
      </c>
      <c r="D6" t="s">
        <v>1110</v>
      </c>
    </row>
    <row r="7" spans="2:5">
      <c r="C7" s="87" t="s">
        <v>1102</v>
      </c>
      <c r="D7" t="s">
        <v>1108</v>
      </c>
    </row>
    <row r="8" spans="2:5">
      <c r="C8" s="87" t="s">
        <v>1103</v>
      </c>
    </row>
    <row r="9" spans="2:5">
      <c r="C9" s="87" t="s">
        <v>1104</v>
      </c>
      <c r="D9" t="s">
        <v>2077</v>
      </c>
    </row>
    <row r="10" spans="2:5">
      <c r="C10" s="87" t="s">
        <v>1105</v>
      </c>
    </row>
    <row r="11" spans="2:5">
      <c r="C11" s="87" t="s">
        <v>1106</v>
      </c>
      <c r="D11" t="s">
        <v>2384</v>
      </c>
    </row>
    <row r="12" spans="2:5">
      <c r="C12" s="87" t="s">
        <v>2076</v>
      </c>
      <c r="D12" t="s">
        <v>1109</v>
      </c>
    </row>
    <row r="14" spans="2:5">
      <c r="B14" s="298" t="s">
        <v>1111</v>
      </c>
      <c r="C14" s="365" t="s">
        <v>3840</v>
      </c>
      <c r="D14" s="366"/>
      <c r="E14" s="366"/>
    </row>
    <row r="15" spans="2:5">
      <c r="C15" s="87" t="s">
        <v>3838</v>
      </c>
    </row>
    <row r="16" spans="2:5">
      <c r="C16" t="s">
        <v>3839</v>
      </c>
    </row>
  </sheetData>
  <phoneticPr fontId="5"/>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1"/>
  </sheetPr>
  <dimension ref="A1"/>
  <sheetViews>
    <sheetView showGridLines="0" zoomScaleNormal="100" workbookViewId="0"/>
  </sheetViews>
  <sheetFormatPr defaultRowHeight="15.75"/>
  <sheetData/>
  <phoneticPr fontId="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52"/>
  <sheetViews>
    <sheetView showGridLines="0" zoomScale="115" zoomScaleNormal="115" workbookViewId="0">
      <pane ySplit="2" topLeftCell="A3" activePane="bottomLeft" state="frozen"/>
      <selection activeCell="R29" sqref="R29"/>
      <selection pane="bottomLeft" activeCell="D24" sqref="D24"/>
    </sheetView>
  </sheetViews>
  <sheetFormatPr defaultRowHeight="15.75"/>
  <cols>
    <col min="1" max="2" width="3.28515625" bestFit="1" customWidth="1"/>
    <col min="3" max="3" width="15.140625" bestFit="1" customWidth="1"/>
    <col min="4" max="4" width="16.42578125" bestFit="1" customWidth="1"/>
    <col min="5" max="5" width="13.42578125" bestFit="1" customWidth="1"/>
    <col min="6" max="6" width="16.42578125" bestFit="1" customWidth="1"/>
    <col min="7" max="7" width="17.28515625" customWidth="1"/>
  </cols>
  <sheetData>
    <row r="2" spans="2:6">
      <c r="B2" s="50" t="s">
        <v>208</v>
      </c>
      <c r="C2" s="52" t="s">
        <v>210</v>
      </c>
      <c r="D2" s="52" t="s">
        <v>209</v>
      </c>
      <c r="E2" s="52" t="s">
        <v>315</v>
      </c>
      <c r="F2" s="53" t="s">
        <v>316</v>
      </c>
    </row>
    <row r="3" spans="2:6">
      <c r="B3" s="44">
        <v>1</v>
      </c>
      <c r="C3" s="13" t="s">
        <v>105</v>
      </c>
      <c r="D3" s="13" t="s">
        <v>3566</v>
      </c>
      <c r="E3" s="13" t="s">
        <v>282</v>
      </c>
      <c r="F3" s="45" t="s">
        <v>317</v>
      </c>
    </row>
    <row r="4" spans="2:6">
      <c r="B4" s="44">
        <v>2</v>
      </c>
      <c r="C4" s="13" t="s">
        <v>106</v>
      </c>
      <c r="D4" s="13" t="s">
        <v>107</v>
      </c>
      <c r="E4" s="13" t="s">
        <v>282</v>
      </c>
      <c r="F4" s="45" t="s">
        <v>317</v>
      </c>
    </row>
    <row r="5" spans="2:6">
      <c r="B5" s="44">
        <v>3</v>
      </c>
      <c r="C5" s="13" t="s">
        <v>108</v>
      </c>
      <c r="D5" s="13" t="s">
        <v>109</v>
      </c>
      <c r="E5" s="13" t="s">
        <v>283</v>
      </c>
      <c r="F5" s="45" t="s">
        <v>318</v>
      </c>
    </row>
    <row r="6" spans="2:6">
      <c r="B6" s="44">
        <v>4</v>
      </c>
      <c r="C6" s="13" t="s">
        <v>110</v>
      </c>
      <c r="D6" s="13" t="s">
        <v>111</v>
      </c>
      <c r="E6" s="13" t="s">
        <v>284</v>
      </c>
      <c r="F6" s="45" t="s">
        <v>319</v>
      </c>
    </row>
    <row r="7" spans="2:6">
      <c r="B7" s="44">
        <v>5</v>
      </c>
      <c r="C7" s="13" t="s">
        <v>112</v>
      </c>
      <c r="D7" s="13" t="s">
        <v>113</v>
      </c>
      <c r="E7" s="13" t="s">
        <v>285</v>
      </c>
      <c r="F7" s="45" t="s">
        <v>320</v>
      </c>
    </row>
    <row r="8" spans="2:6">
      <c r="B8" s="44">
        <v>6</v>
      </c>
      <c r="C8" s="13" t="s">
        <v>114</v>
      </c>
      <c r="D8" s="13" t="s">
        <v>115</v>
      </c>
      <c r="E8" s="13" t="s">
        <v>286</v>
      </c>
      <c r="F8" s="45" t="s">
        <v>321</v>
      </c>
    </row>
    <row r="9" spans="2:6">
      <c r="B9" s="44">
        <v>7</v>
      </c>
      <c r="C9" s="13" t="s">
        <v>116</v>
      </c>
      <c r="D9" s="13" t="s">
        <v>117</v>
      </c>
      <c r="E9" s="13" t="s">
        <v>287</v>
      </c>
      <c r="F9" s="45" t="s">
        <v>322</v>
      </c>
    </row>
    <row r="10" spans="2:6">
      <c r="B10" s="44">
        <v>8</v>
      </c>
      <c r="C10" s="13" t="s">
        <v>118</v>
      </c>
      <c r="D10" s="13" t="s">
        <v>119</v>
      </c>
      <c r="E10" s="13" t="s">
        <v>288</v>
      </c>
      <c r="F10" s="45" t="s">
        <v>323</v>
      </c>
    </row>
    <row r="11" spans="2:6">
      <c r="B11" s="44">
        <v>9</v>
      </c>
      <c r="C11" s="13" t="s">
        <v>120</v>
      </c>
      <c r="D11" s="13" t="s">
        <v>121</v>
      </c>
      <c r="E11" s="13" t="s">
        <v>288</v>
      </c>
      <c r="F11" s="45" t="s">
        <v>323</v>
      </c>
    </row>
    <row r="12" spans="2:6">
      <c r="B12" s="44">
        <v>10</v>
      </c>
      <c r="C12" s="13" t="s">
        <v>122</v>
      </c>
      <c r="D12" s="13" t="s">
        <v>123</v>
      </c>
      <c r="E12" s="13" t="s">
        <v>289</v>
      </c>
      <c r="F12" s="45" t="s">
        <v>324</v>
      </c>
    </row>
    <row r="13" spans="2:6">
      <c r="B13" s="44">
        <v>11</v>
      </c>
      <c r="C13" s="13" t="s">
        <v>124</v>
      </c>
      <c r="D13" s="13" t="s">
        <v>125</v>
      </c>
      <c r="E13" s="13" t="s">
        <v>287</v>
      </c>
      <c r="F13" s="45" t="s">
        <v>322</v>
      </c>
    </row>
    <row r="14" spans="2:6">
      <c r="B14" s="44">
        <v>12</v>
      </c>
      <c r="C14" s="13" t="s">
        <v>126</v>
      </c>
      <c r="D14" s="13" t="s">
        <v>127</v>
      </c>
      <c r="E14" s="13" t="s">
        <v>290</v>
      </c>
      <c r="F14" s="45" t="s">
        <v>325</v>
      </c>
    </row>
    <row r="15" spans="2:6">
      <c r="B15" s="44">
        <v>13</v>
      </c>
      <c r="C15" s="13" t="s">
        <v>128</v>
      </c>
      <c r="D15" s="13" t="s">
        <v>129</v>
      </c>
      <c r="E15" s="13" t="s">
        <v>291</v>
      </c>
      <c r="F15" s="45" t="s">
        <v>326</v>
      </c>
    </row>
    <row r="16" spans="2:6">
      <c r="B16" s="44">
        <v>14</v>
      </c>
      <c r="C16" s="13" t="s">
        <v>130</v>
      </c>
      <c r="D16" s="13" t="s">
        <v>131</v>
      </c>
      <c r="E16" s="13" t="s">
        <v>292</v>
      </c>
      <c r="F16" s="45" t="s">
        <v>327</v>
      </c>
    </row>
    <row r="17" spans="2:6">
      <c r="B17" s="44">
        <v>15</v>
      </c>
      <c r="C17" s="13" t="s">
        <v>132</v>
      </c>
      <c r="D17" s="13" t="s">
        <v>133</v>
      </c>
      <c r="E17" s="13" t="s">
        <v>293</v>
      </c>
      <c r="F17" s="45" t="s">
        <v>328</v>
      </c>
    </row>
    <row r="18" spans="2:6">
      <c r="B18" s="44">
        <v>16</v>
      </c>
      <c r="C18" s="13" t="s">
        <v>134</v>
      </c>
      <c r="D18" s="13" t="s">
        <v>135</v>
      </c>
      <c r="E18" s="13" t="s">
        <v>294</v>
      </c>
      <c r="F18" s="45" t="s">
        <v>329</v>
      </c>
    </row>
    <row r="19" spans="2:6">
      <c r="B19" s="44">
        <v>17</v>
      </c>
      <c r="C19" s="13" t="s">
        <v>136</v>
      </c>
      <c r="D19" s="13" t="s">
        <v>137</v>
      </c>
      <c r="E19" s="13" t="s">
        <v>295</v>
      </c>
      <c r="F19" s="45" t="s">
        <v>330</v>
      </c>
    </row>
    <row r="20" spans="2:6">
      <c r="B20" s="44">
        <v>18</v>
      </c>
      <c r="C20" s="13" t="s">
        <v>138</v>
      </c>
      <c r="D20" s="13" t="s">
        <v>139</v>
      </c>
      <c r="E20" s="13" t="s">
        <v>296</v>
      </c>
      <c r="F20" s="45" t="s">
        <v>331</v>
      </c>
    </row>
    <row r="21" spans="2:6">
      <c r="B21" s="44">
        <v>19</v>
      </c>
      <c r="C21" s="13" t="s">
        <v>140</v>
      </c>
      <c r="D21" s="13" t="s">
        <v>141</v>
      </c>
      <c r="E21" s="13" t="s">
        <v>297</v>
      </c>
      <c r="F21" s="45" t="s">
        <v>332</v>
      </c>
    </row>
    <row r="22" spans="2:6">
      <c r="B22" s="44">
        <v>20</v>
      </c>
      <c r="C22" s="13" t="s">
        <v>142</v>
      </c>
      <c r="D22" s="13" t="s">
        <v>143</v>
      </c>
      <c r="E22" s="13" t="s">
        <v>298</v>
      </c>
      <c r="F22" s="45" t="s">
        <v>333</v>
      </c>
    </row>
    <row r="23" spans="2:6">
      <c r="B23" s="44">
        <v>21</v>
      </c>
      <c r="C23" s="13" t="s">
        <v>144</v>
      </c>
      <c r="D23" s="13" t="s">
        <v>145</v>
      </c>
      <c r="E23" s="13" t="s">
        <v>144</v>
      </c>
      <c r="F23" s="45" t="s">
        <v>145</v>
      </c>
    </row>
    <row r="24" spans="2:6">
      <c r="B24" s="44">
        <v>22</v>
      </c>
      <c r="C24" s="13" t="s">
        <v>146</v>
      </c>
      <c r="D24" s="13" t="s">
        <v>147</v>
      </c>
      <c r="E24" s="13" t="s">
        <v>146</v>
      </c>
      <c r="F24" s="45" t="s">
        <v>334</v>
      </c>
    </row>
    <row r="25" spans="2:6">
      <c r="B25" s="44">
        <v>23</v>
      </c>
      <c r="C25" s="13" t="s">
        <v>148</v>
      </c>
      <c r="D25" s="13" t="s">
        <v>149</v>
      </c>
      <c r="E25" s="13" t="s">
        <v>299</v>
      </c>
      <c r="F25" s="45" t="s">
        <v>335</v>
      </c>
    </row>
    <row r="26" spans="2:6">
      <c r="B26" s="44">
        <v>24</v>
      </c>
      <c r="C26" s="13" t="s">
        <v>150</v>
      </c>
      <c r="D26" s="13" t="s">
        <v>151</v>
      </c>
      <c r="E26" s="13" t="s">
        <v>299</v>
      </c>
      <c r="F26" s="45" t="s">
        <v>335</v>
      </c>
    </row>
    <row r="27" spans="2:6">
      <c r="B27" s="44">
        <v>25</v>
      </c>
      <c r="C27" s="13" t="s">
        <v>152</v>
      </c>
      <c r="D27" s="13" t="s">
        <v>153</v>
      </c>
      <c r="E27" s="13" t="s">
        <v>300</v>
      </c>
      <c r="F27" s="45" t="s">
        <v>336</v>
      </c>
    </row>
    <row r="28" spans="2:6">
      <c r="B28" s="44">
        <v>26</v>
      </c>
      <c r="C28" s="13" t="s">
        <v>154</v>
      </c>
      <c r="D28" s="13" t="s">
        <v>155</v>
      </c>
      <c r="E28" s="13" t="s">
        <v>301</v>
      </c>
      <c r="F28" s="45" t="s">
        <v>337</v>
      </c>
    </row>
    <row r="29" spans="2:6">
      <c r="B29" s="44">
        <v>27</v>
      </c>
      <c r="C29" s="13" t="s">
        <v>156</v>
      </c>
      <c r="D29" s="13" t="s">
        <v>157</v>
      </c>
      <c r="E29" s="13" t="s">
        <v>302</v>
      </c>
      <c r="F29" s="45" t="s">
        <v>338</v>
      </c>
    </row>
    <row r="30" spans="2:6">
      <c r="B30" s="44">
        <v>28</v>
      </c>
      <c r="C30" s="13" t="s">
        <v>158</v>
      </c>
      <c r="D30" s="13" t="s">
        <v>159</v>
      </c>
      <c r="E30" s="13" t="s">
        <v>302</v>
      </c>
      <c r="F30" s="45" t="s">
        <v>338</v>
      </c>
    </row>
    <row r="31" spans="2:6">
      <c r="B31" s="44">
        <v>29</v>
      </c>
      <c r="C31" s="13" t="s">
        <v>160</v>
      </c>
      <c r="D31" s="13" t="s">
        <v>161</v>
      </c>
      <c r="E31" s="13" t="s">
        <v>302</v>
      </c>
      <c r="F31" s="45" t="s">
        <v>338</v>
      </c>
    </row>
    <row r="32" spans="2:6">
      <c r="B32" s="44">
        <v>30</v>
      </c>
      <c r="C32" s="13" t="s">
        <v>162</v>
      </c>
      <c r="D32" s="13" t="s">
        <v>163</v>
      </c>
      <c r="E32" s="13" t="s">
        <v>303</v>
      </c>
      <c r="F32" s="45" t="s">
        <v>339</v>
      </c>
    </row>
    <row r="33" spans="2:6">
      <c r="B33" s="44">
        <v>31</v>
      </c>
      <c r="C33" s="13" t="s">
        <v>164</v>
      </c>
      <c r="D33" s="13" t="s">
        <v>165</v>
      </c>
      <c r="E33" s="13" t="s">
        <v>304</v>
      </c>
      <c r="F33" s="45" t="s">
        <v>340</v>
      </c>
    </row>
    <row r="34" spans="2:6">
      <c r="B34" s="44">
        <v>32</v>
      </c>
      <c r="C34" s="13" t="s">
        <v>166</v>
      </c>
      <c r="D34" s="13" t="s">
        <v>167</v>
      </c>
      <c r="E34" s="13" t="s">
        <v>305</v>
      </c>
      <c r="F34" s="45" t="s">
        <v>341</v>
      </c>
    </row>
    <row r="35" spans="2:6">
      <c r="B35" s="44">
        <v>33</v>
      </c>
      <c r="C35" s="13" t="s">
        <v>168</v>
      </c>
      <c r="D35" s="13" t="s">
        <v>169</v>
      </c>
      <c r="E35" s="13" t="s">
        <v>305</v>
      </c>
      <c r="F35" s="45" t="s">
        <v>341</v>
      </c>
    </row>
    <row r="36" spans="2:6">
      <c r="B36" s="44">
        <v>34</v>
      </c>
      <c r="C36" s="13" t="s">
        <v>170</v>
      </c>
      <c r="D36" s="13" t="s">
        <v>171</v>
      </c>
      <c r="E36" s="13" t="s">
        <v>306</v>
      </c>
      <c r="F36" s="45" t="s">
        <v>342</v>
      </c>
    </row>
    <row r="37" spans="2:6">
      <c r="B37" s="44">
        <v>35</v>
      </c>
      <c r="C37" s="13" t="s">
        <v>172</v>
      </c>
      <c r="D37" s="13" t="s">
        <v>173</v>
      </c>
      <c r="E37" s="13" t="s">
        <v>305</v>
      </c>
      <c r="F37" s="45" t="s">
        <v>341</v>
      </c>
    </row>
    <row r="38" spans="2:6">
      <c r="B38" s="44">
        <v>36</v>
      </c>
      <c r="C38" s="13" t="s">
        <v>174</v>
      </c>
      <c r="D38" s="13" t="s">
        <v>175</v>
      </c>
      <c r="E38" s="13" t="s">
        <v>304</v>
      </c>
      <c r="F38" s="45" t="s">
        <v>340</v>
      </c>
    </row>
    <row r="39" spans="2:6">
      <c r="B39" s="44">
        <v>37</v>
      </c>
      <c r="C39" s="14" t="s">
        <v>176</v>
      </c>
      <c r="D39" s="14" t="s">
        <v>177</v>
      </c>
      <c r="E39" s="14" t="s">
        <v>305</v>
      </c>
      <c r="F39" s="46" t="s">
        <v>343</v>
      </c>
    </row>
    <row r="40" spans="2:6">
      <c r="B40" s="44">
        <v>38</v>
      </c>
      <c r="C40" s="13" t="s">
        <v>178</v>
      </c>
      <c r="D40" s="13" t="s">
        <v>179</v>
      </c>
      <c r="E40" s="13" t="s">
        <v>305</v>
      </c>
      <c r="F40" s="45" t="s">
        <v>341</v>
      </c>
    </row>
    <row r="41" spans="2:6">
      <c r="B41" s="44">
        <v>39</v>
      </c>
      <c r="C41" s="13" t="s">
        <v>180</v>
      </c>
      <c r="D41" s="13" t="s">
        <v>181</v>
      </c>
      <c r="E41" s="13" t="s">
        <v>305</v>
      </c>
      <c r="F41" s="45" t="s">
        <v>341</v>
      </c>
    </row>
    <row r="42" spans="2:6">
      <c r="B42" s="44">
        <v>40</v>
      </c>
      <c r="C42" s="13" t="s">
        <v>182</v>
      </c>
      <c r="D42" s="13" t="s">
        <v>183</v>
      </c>
      <c r="E42" s="13" t="s">
        <v>307</v>
      </c>
      <c r="F42" s="45" t="s">
        <v>344</v>
      </c>
    </row>
    <row r="43" spans="2:6">
      <c r="B43" s="44">
        <v>41</v>
      </c>
      <c r="C43" s="13" t="s">
        <v>184</v>
      </c>
      <c r="D43" s="13" t="s">
        <v>185</v>
      </c>
      <c r="E43" s="13" t="s">
        <v>308</v>
      </c>
      <c r="F43" s="45" t="s">
        <v>345</v>
      </c>
    </row>
    <row r="44" spans="2:6">
      <c r="B44" s="44">
        <v>42</v>
      </c>
      <c r="C44" s="13" t="s">
        <v>186</v>
      </c>
      <c r="D44" s="13" t="s">
        <v>187</v>
      </c>
      <c r="E44" s="13" t="s">
        <v>309</v>
      </c>
      <c r="F44" s="45" t="s">
        <v>346</v>
      </c>
    </row>
    <row r="45" spans="2:6">
      <c r="B45" s="44">
        <v>43</v>
      </c>
      <c r="C45" s="13" t="s">
        <v>188</v>
      </c>
      <c r="D45" s="13" t="s">
        <v>189</v>
      </c>
      <c r="E45" s="13" t="s">
        <v>310</v>
      </c>
      <c r="F45" s="45" t="s">
        <v>347</v>
      </c>
    </row>
    <row r="46" spans="2:6">
      <c r="B46" s="44">
        <v>44</v>
      </c>
      <c r="C46" s="13" t="s">
        <v>190</v>
      </c>
      <c r="D46" s="13" t="s">
        <v>191</v>
      </c>
      <c r="E46" s="13" t="s">
        <v>311</v>
      </c>
      <c r="F46" s="45" t="s">
        <v>348</v>
      </c>
    </row>
    <row r="47" spans="2:6">
      <c r="B47" s="44">
        <v>45</v>
      </c>
      <c r="C47" s="14" t="s">
        <v>192</v>
      </c>
      <c r="D47" s="14" t="s">
        <v>193</v>
      </c>
      <c r="E47" s="14" t="s">
        <v>312</v>
      </c>
      <c r="F47" s="46" t="s">
        <v>349</v>
      </c>
    </row>
    <row r="48" spans="2:6">
      <c r="B48" s="44">
        <v>46</v>
      </c>
      <c r="C48" s="14" t="s">
        <v>194</v>
      </c>
      <c r="D48" s="14" t="s">
        <v>195</v>
      </c>
      <c r="E48" s="14" t="s">
        <v>313</v>
      </c>
      <c r="F48" s="46" t="s">
        <v>350</v>
      </c>
    </row>
    <row r="49" spans="2:6">
      <c r="B49" s="44">
        <v>47</v>
      </c>
      <c r="C49" s="14" t="s">
        <v>196</v>
      </c>
      <c r="D49" s="14" t="s">
        <v>197</v>
      </c>
      <c r="E49" s="14" t="s">
        <v>314</v>
      </c>
      <c r="F49" s="46" t="s">
        <v>351</v>
      </c>
    </row>
    <row r="50" spans="2:6">
      <c r="B50" s="44">
        <v>48</v>
      </c>
      <c r="C50" s="14" t="s">
        <v>198</v>
      </c>
      <c r="D50" s="14" t="s">
        <v>199</v>
      </c>
      <c r="E50" s="14" t="s">
        <v>303</v>
      </c>
      <c r="F50" s="46" t="s">
        <v>339</v>
      </c>
    </row>
    <row r="51" spans="2:6">
      <c r="B51" s="44">
        <v>49</v>
      </c>
      <c r="C51" s="13" t="s">
        <v>253</v>
      </c>
      <c r="D51" s="13" t="s">
        <v>253</v>
      </c>
      <c r="E51" s="13" t="s">
        <v>253</v>
      </c>
      <c r="F51" s="45" t="s">
        <v>253</v>
      </c>
    </row>
    <row r="52" spans="2:6">
      <c r="B52" s="47">
        <v>50</v>
      </c>
      <c r="C52" s="48" t="s">
        <v>253</v>
      </c>
      <c r="D52" s="48" t="s">
        <v>253</v>
      </c>
      <c r="E52" s="48" t="s">
        <v>253</v>
      </c>
      <c r="F52" s="49" t="s">
        <v>253</v>
      </c>
    </row>
  </sheetData>
  <phoneticPr fontId="5"/>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pageSetUpPr fitToPage="1"/>
  </sheetPr>
  <dimension ref="A1:I81"/>
  <sheetViews>
    <sheetView showGridLines="0" zoomScaleNormal="100" zoomScaleSheetLayoutView="85" workbookViewId="0">
      <pane ySplit="2" topLeftCell="A24" activePane="bottomLeft" state="frozen"/>
      <selection activeCell="G29" sqref="G29"/>
      <selection pane="bottomLeft" activeCell="G31" sqref="G31"/>
    </sheetView>
  </sheetViews>
  <sheetFormatPr defaultColWidth="9.28515625" defaultRowHeight="15.75" outlineLevelRow="1" outlineLevelCol="1"/>
  <cols>
    <col min="1" max="1" width="3.28515625" bestFit="1" customWidth="1"/>
    <col min="2" max="2" width="4.42578125" bestFit="1" customWidth="1"/>
    <col min="3" max="3" width="25.5703125" customWidth="1"/>
    <col min="4" max="4" width="34.42578125" customWidth="1"/>
    <col min="5" max="5" width="48.7109375" customWidth="1"/>
    <col min="6" max="6" width="2.7109375" style="2" customWidth="1" collapsed="1"/>
    <col min="7" max="7" width="99.7109375" customWidth="1" outlineLevel="1"/>
    <col min="8" max="8" width="117.85546875" customWidth="1"/>
    <col min="9" max="9" width="41.85546875" customWidth="1" outlineLevel="1"/>
    <col min="10" max="10" width="12.42578125" customWidth="1"/>
  </cols>
  <sheetData>
    <row r="1" spans="1:9">
      <c r="A1" s="2"/>
    </row>
    <row r="2" spans="1:9">
      <c r="B2" s="35" t="s">
        <v>208</v>
      </c>
      <c r="C2" s="36" t="str">
        <f>IF(JPEN!$C$2="EN",指標!$E$2,指標!$D$2)</f>
        <v>分野</v>
      </c>
      <c r="D2" s="36" t="str">
        <f>IF(JPEN!$C$2="EN",指標!$G$2,指標!$F$2)</f>
        <v>指標グループ</v>
      </c>
      <c r="E2" s="36" t="str">
        <f>IF(JPEN!$C$2="EN",指標!$I$2,指標!$H$2)</f>
        <v>指標</v>
      </c>
      <c r="F2" s="35" t="s">
        <v>382</v>
      </c>
      <c r="G2" s="36" t="s">
        <v>454</v>
      </c>
      <c r="H2" s="36" t="s">
        <v>544</v>
      </c>
      <c r="I2" s="357" t="s">
        <v>3605</v>
      </c>
    </row>
    <row r="3" spans="1:9" outlineLevel="1">
      <c r="B3" s="54" t="s">
        <v>1081</v>
      </c>
      <c r="C3" s="39" t="str">
        <f>IFERROR(INDEX(指標マスタ[],MATCH($B3,指標マスタ['#],0),MATCH(C$2,指標マスタ[#Headers],0))&amp;"","")</f>
        <v>基礎</v>
      </c>
      <c r="D3" s="40" t="str">
        <f>IFERROR(INDEX(指標マスタ[],MATCH($B3,指標マスタ['#],0),MATCH(D$2,指標マスタ[#Headers],0))&amp;"","")</f>
        <v>基礎</v>
      </c>
      <c r="E3" s="39" t="str">
        <f>IFERROR(INDEX(指標マスタ[],MATCH($B3,指標マスタ['#],0),MATCH(E$2,指標マスタ[#Headers],0))&amp;"","")</f>
        <v>人口</v>
      </c>
      <c r="F3" s="41" t="str">
        <f>IFERROR(INDEX(指標マスタ[],MATCH($B3,指標マスタ['#],0),MATCH(F$2,指標マスタ[#Headers],0))&amp;"","")</f>
        <v/>
      </c>
      <c r="G3" s="13"/>
      <c r="H3" s="92"/>
      <c r="I3" s="358"/>
    </row>
    <row r="4" spans="1:9" outlineLevel="1">
      <c r="B4" s="54" t="s">
        <v>1082</v>
      </c>
      <c r="C4" s="39" t="str">
        <f>IFERROR(INDEX(指標マスタ[],MATCH($B4,指標マスタ['#],0),MATCH(C$2,指標マスタ[#Headers],0))&amp;"","")</f>
        <v/>
      </c>
      <c r="D4" s="40" t="str">
        <f>IFERROR(INDEX(指標マスタ[],MATCH($B4,指標マスタ['#],0),MATCH(D$2,指標マスタ[#Headers],0))&amp;"","")</f>
        <v/>
      </c>
      <c r="E4" s="40" t="str">
        <f>IFERROR(INDEX(指標マスタ[],MATCH($B4,指標マスタ['#],0),MATCH(E$2,指標マスタ[#Headers],0))&amp;"","")</f>
        <v>面積</v>
      </c>
      <c r="F4" s="41" t="str">
        <f>IFERROR(INDEX(指標マスタ[],MATCH($B4,指標マスタ['#],0),MATCH(F$2,指標マスタ[#Headers],0))&amp;"","")</f>
        <v/>
      </c>
      <c r="G4" s="13"/>
      <c r="H4" s="13"/>
      <c r="I4" s="358"/>
    </row>
    <row r="5" spans="1:9" outlineLevel="1">
      <c r="B5" s="54" t="s">
        <v>1083</v>
      </c>
      <c r="C5" s="39" t="str">
        <f>IFERROR(INDEX(指標マスタ[],MATCH($B5,指標マスタ['#],0),MATCH(C$2,指標マスタ[#Headers],0))&amp;"","")</f>
        <v/>
      </c>
      <c r="D5" s="40" t="str">
        <f>IFERROR(INDEX(指標マスタ[],MATCH($B5,指標マスタ['#],0),MATCH(D$2,指標マスタ[#Headers],0))&amp;"","")</f>
        <v/>
      </c>
      <c r="E5" s="40" t="str">
        <f>IFERROR(INDEX(指標マスタ[],MATCH($B5,指標マスタ['#],0),MATCH(E$2,指標マスタ[#Headers],0))&amp;"","")</f>
        <v>為替</v>
      </c>
      <c r="F5" s="41" t="str">
        <f>IFERROR(INDEX(指標マスタ[],MATCH($B5,指標マスタ['#],0),MATCH(F$2,指標マスタ[#Headers],0))&amp;"","")</f>
        <v/>
      </c>
      <c r="G5" s="13"/>
      <c r="H5" s="13"/>
      <c r="I5" s="358"/>
    </row>
    <row r="6" spans="1:9">
      <c r="B6" s="132" t="s">
        <v>211</v>
      </c>
      <c r="C6" s="186" t="str">
        <f>IFERROR(INDEX(指標マスタ[],MATCH($B6,指標マスタ['#],0),MATCH(C$2,指標マスタ[#Headers],0))&amp;"","")</f>
        <v>経済</v>
      </c>
      <c r="D6" s="391" t="str">
        <f>IFERROR(INDEX(指標マスタ[],MATCH($B6,指標マスタ['#],0),MATCH(D$2,指標マスタ[#Headers],0))&amp;"","")</f>
        <v>市場の規模</v>
      </c>
      <c r="E6" s="392" t="str">
        <f>IFERROR(INDEX(指標マスタ[],MATCH($B6,指標マスタ['#],0),MATCH(E$2,指標マスタ[#Headers],0))&amp;"","")</f>
        <v>GDP</v>
      </c>
      <c r="F6" s="393" t="str">
        <f>IFERROR(INDEX(指標マスタ[],MATCH($B6,指標マスタ['#],0),MATCH(F$2,指標マスタ[#Headers],0))&amp;"","")</f>
        <v/>
      </c>
      <c r="G6" s="369" t="s">
        <v>3842</v>
      </c>
      <c r="H6" s="371" t="s">
        <v>3894</v>
      </c>
      <c r="I6" s="368"/>
    </row>
    <row r="7" spans="1:9">
      <c r="B7" s="132" t="s">
        <v>212</v>
      </c>
      <c r="C7" s="384" t="str">
        <f>IFERROR(INDEX(指標マスタ[],MATCH($B7,指標マスタ['#],0),MATCH(C$2,指標マスタ[#Headers],0))&amp;"","")</f>
        <v/>
      </c>
      <c r="D7" s="394" t="str">
        <f>IFERROR(INDEX(指標マスタ[],MATCH($B7,指標マスタ['#],0),MATCH(D$2,指標マスタ[#Headers],0))&amp;"","")</f>
        <v/>
      </c>
      <c r="E7" s="392" t="str">
        <f>IFERROR(INDEX(指標マスタ[],MATCH($B7,指標マスタ['#],0),MATCH(E$2,指標マスタ[#Headers],0))&amp;"","")</f>
        <v>1人あたりGDP</v>
      </c>
      <c r="F7" s="393" t="str">
        <f>IFERROR(INDEX(指標マスタ[],MATCH($B7,指標マスタ['#],0),MATCH(F$2,指標マスタ[#Headers],0))&amp;"","")</f>
        <v/>
      </c>
      <c r="G7" s="369" t="s">
        <v>3843</v>
      </c>
      <c r="H7" s="371" t="s">
        <v>3895</v>
      </c>
      <c r="I7" s="368"/>
    </row>
    <row r="8" spans="1:9" ht="31.5">
      <c r="B8" s="132" t="s">
        <v>213</v>
      </c>
      <c r="C8" s="384" t="str">
        <f>IFERROR(INDEX(指標マスタ[],MATCH($B8,指標マスタ['#],0),MATCH(C$2,指標マスタ[#Headers],0))&amp;"","")</f>
        <v/>
      </c>
      <c r="D8" s="391" t="str">
        <f>IFERROR(INDEX(指標マスタ[],MATCH($B8,指標マスタ['#],0),MATCH(D$2,指標マスタ[#Headers],0))&amp;"","")</f>
        <v>市場の魅力</v>
      </c>
      <c r="E8" s="392" t="str">
        <f>IFERROR(INDEX(指標マスタ[],MATCH($B8,指標マスタ['#],0),MATCH(E$2,指標マスタ[#Headers],0))&amp;"","")</f>
        <v>GDP成長率</v>
      </c>
      <c r="F8" s="393" t="str">
        <f>IFERROR(INDEX(指標マスタ[],MATCH($B8,指標マスタ['#],0),MATCH(F$2,指標マスタ[#Headers],0))&amp;"","")</f>
        <v/>
      </c>
      <c r="G8" s="369" t="s">
        <v>3844</v>
      </c>
      <c r="H8" s="371" t="s">
        <v>3896</v>
      </c>
      <c r="I8" s="368"/>
    </row>
    <row r="9" spans="1:9">
      <c r="B9" s="132" t="s">
        <v>214</v>
      </c>
      <c r="C9" s="384" t="str">
        <f>IFERROR(INDEX(指標マスタ[],MATCH($B9,指標マスタ['#],0),MATCH(C$2,指標マスタ[#Headers],0))&amp;"","")</f>
        <v/>
      </c>
      <c r="D9" s="394" t="str">
        <f>IFERROR(INDEX(指標マスタ[],MATCH($B9,指標マスタ['#],0),MATCH(D$2,指標マスタ[#Headers],0))&amp;"","")</f>
        <v/>
      </c>
      <c r="E9" s="392" t="str">
        <f>IFERROR(INDEX(指標マスタ[],MATCH($B9,指標マスタ['#],0),MATCH(E$2,指標マスタ[#Headers],0))&amp;"","")</f>
        <v>経済自由度</v>
      </c>
      <c r="F9" s="393" t="str">
        <f>IFERROR(INDEX(指標マスタ[],MATCH($B9,指標マスタ['#],0),MATCH(F$2,指標マスタ[#Headers],0))&amp;"","")</f>
        <v/>
      </c>
      <c r="G9" s="369" t="s">
        <v>2495</v>
      </c>
      <c r="H9" s="371" t="s">
        <v>2496</v>
      </c>
      <c r="I9" s="368"/>
    </row>
    <row r="10" spans="1:9">
      <c r="B10" s="132" t="s">
        <v>215</v>
      </c>
      <c r="C10" s="384" t="str">
        <f>IFERROR(INDEX(指標マスタ[],MATCH($B10,指標マスタ['#],0),MATCH(C$2,指標マスタ[#Headers],0))&amp;"","")</f>
        <v/>
      </c>
      <c r="D10" s="391" t="str">
        <f>IFERROR(INDEX(指標マスタ[],MATCH($B10,指標マスタ['#],0),MATCH(D$2,指標マスタ[#Headers],0))&amp;"","")</f>
        <v>経済集積</v>
      </c>
      <c r="E10" s="392" t="str">
        <f>IFERROR(INDEX(指標マスタ[],MATCH($B10,指標マスタ['#],0),MATCH(E$2,指標マスタ[#Headers],0))&amp;"","")</f>
        <v>上場株式時価総額</v>
      </c>
      <c r="F10" s="393" t="str">
        <f>IFERROR(INDEX(指標マスタ[],MATCH($B10,指標マスタ['#],0),MATCH(F$2,指標マスタ[#Headers],0))&amp;"","")</f>
        <v/>
      </c>
      <c r="G10" s="369" t="s">
        <v>3845</v>
      </c>
      <c r="H10" s="371" t="s">
        <v>3980</v>
      </c>
      <c r="I10" s="368"/>
    </row>
    <row r="11" spans="1:9" ht="31.5">
      <c r="B11" s="132" t="s">
        <v>216</v>
      </c>
      <c r="C11" s="384" t="str">
        <f>IFERROR(INDEX(指標マスタ[],MATCH($B11,指標マスタ['#],0),MATCH(C$2,指標マスタ[#Headers],0))&amp;"","")</f>
        <v/>
      </c>
      <c r="D11" s="394" t="str">
        <f>IFERROR(INDEX(指標マスタ[],MATCH($B11,指標マスタ['#],0),MATCH(D$2,指標マスタ[#Headers],0))&amp;"","")</f>
        <v/>
      </c>
      <c r="E11" s="392" t="str">
        <f>IFERROR(INDEX(指標マスタ[],MATCH($B11,指標マスタ['#],0),MATCH(E$2,指標マスタ[#Headers],0))&amp;"","")</f>
        <v>世界トップ500企業</v>
      </c>
      <c r="F11" s="393" t="str">
        <f>IFERROR(INDEX(指標マスタ[],MATCH($B11,指標マスタ['#],0),MATCH(F$2,指標マスタ[#Headers],0))&amp;"","")</f>
        <v/>
      </c>
      <c r="G11" s="374" t="s">
        <v>3969</v>
      </c>
      <c r="H11" s="374" t="s">
        <v>3981</v>
      </c>
      <c r="I11" s="368"/>
    </row>
    <row r="12" spans="1:9">
      <c r="B12" s="132" t="s">
        <v>217</v>
      </c>
      <c r="C12" s="384" t="str">
        <f>IFERROR(INDEX(指標マスタ[],MATCH($B12,指標マスタ['#],0),MATCH(C$2,指標マスタ[#Headers],0))&amp;"","")</f>
        <v/>
      </c>
      <c r="D12" s="391" t="str">
        <f>IFERROR(INDEX(指標マスタ[],MATCH($B12,指標マスタ['#],0),MATCH(D$2,指標マスタ[#Headers],0))&amp;"","")</f>
        <v>人的集積</v>
      </c>
      <c r="E12" s="392" t="str">
        <f>IFERROR(INDEX(指標マスタ[],MATCH($B12,指標マスタ['#],0),MATCH(E$2,指標マスタ[#Headers],0))&amp;"","")</f>
        <v>従業者数</v>
      </c>
      <c r="F12" s="393" t="str">
        <f>IFERROR(INDEX(指標マスタ[],MATCH($B12,指標マスタ['#],0),MATCH(F$2,指標マスタ[#Headers],0))&amp;"","")</f>
        <v/>
      </c>
      <c r="G12" s="369" t="s">
        <v>456</v>
      </c>
      <c r="H12" s="371" t="s">
        <v>455</v>
      </c>
      <c r="I12" s="368"/>
    </row>
    <row r="13" spans="1:9" ht="31.5">
      <c r="B13" s="132" t="s">
        <v>218</v>
      </c>
      <c r="C13" s="384" t="str">
        <f>IFERROR(INDEX(指標マスタ[],MATCH($B13,指標マスタ['#],0),MATCH(C$2,指標マスタ[#Headers],0))&amp;"","")</f>
        <v/>
      </c>
      <c r="D13" s="394" t="str">
        <f>IFERROR(INDEX(指標マスタ[],MATCH($B13,指標マスタ['#],0),MATCH(D$2,指標マスタ[#Headers],0))&amp;"","")</f>
        <v/>
      </c>
      <c r="E13" s="392" t="str">
        <f>IFERROR(INDEX(指標マスタ[],MATCH($B13,指標マスタ['#],0),MATCH(E$2,指標マスタ[#Headers],0))&amp;"","")</f>
        <v>ビジネスサポート人材の多さ</v>
      </c>
      <c r="F13" s="393" t="str">
        <f>IFERROR(INDEX(指標マスタ[],MATCH($B13,指標マスタ['#],0),MATCH(F$2,指標マスタ[#Headers],0))&amp;"","")</f>
        <v/>
      </c>
      <c r="G13" s="369" t="s">
        <v>3846</v>
      </c>
      <c r="H13" s="371" t="s">
        <v>3897</v>
      </c>
      <c r="I13" s="368"/>
    </row>
    <row r="14" spans="1:9">
      <c r="B14" s="132" t="s">
        <v>219</v>
      </c>
      <c r="C14" s="384" t="str">
        <f>IFERROR(INDEX(指標マスタ[],MATCH($B14,指標マスタ['#],0),MATCH(C$2,指標マスタ[#Headers],0))&amp;"","")</f>
        <v/>
      </c>
      <c r="D14" s="391" t="str">
        <f>IFERROR(INDEX(指標マスタ[],MATCH($B14,指標マスタ['#],0),MATCH(D$2,指標マスタ[#Headers],0))&amp;"","")</f>
        <v>ビジネス環境</v>
      </c>
      <c r="E14" s="392" t="str">
        <f>IFERROR(INDEX(指標マスタ[],MATCH($B14,指標マスタ['#],0),MATCH(E$2,指標マスタ[#Headers],0))&amp;"","")</f>
        <v>賃金水準の高さ</v>
      </c>
      <c r="F14" s="393" t="str">
        <f>IFERROR(INDEX(指標マスタ[],MATCH($B14,指標マスタ['#],0),MATCH(F$2,指標マスタ[#Headers],0))&amp;"","")</f>
        <v/>
      </c>
      <c r="G14" s="375" t="s">
        <v>3946</v>
      </c>
      <c r="H14" s="374" t="s">
        <v>3947</v>
      </c>
      <c r="I14" s="368"/>
    </row>
    <row r="15" spans="1:9" ht="63">
      <c r="B15" s="134" t="s">
        <v>611</v>
      </c>
      <c r="C15" s="384" t="str">
        <f>IFERROR(INDEX(指標マスタ[],MATCH($B15,指標マスタ['#],0),MATCH(C$2,指標マスタ[#Headers],0))&amp;"","")</f>
        <v/>
      </c>
      <c r="D15" s="395" t="str">
        <f>IFERROR(INDEX(指標マスタ[],MATCH($B15,指標マスタ['#],0),MATCH(D$2,指標マスタ[#Headers],0))&amp;"","")</f>
        <v/>
      </c>
      <c r="E15" s="392" t="str">
        <f>IFERROR(INDEX(指標マスタ[],MATCH($B15,指標マスタ['#],0),MATCH(E$2,指標マスタ[#Headers],0))&amp;"","")</f>
        <v>優秀な人材確保の容易性</v>
      </c>
      <c r="F15" s="393" t="str">
        <f>IFERROR(INDEX(指標マスタ[],MATCH($B15,指標マスタ['#],0),MATCH(F$2,指標マスタ[#Headers],0))&amp;"","")</f>
        <v/>
      </c>
      <c r="G15" s="369" t="s">
        <v>3847</v>
      </c>
      <c r="H15" s="371" t="s">
        <v>3950</v>
      </c>
      <c r="I15" s="368"/>
    </row>
    <row r="16" spans="1:9" ht="31.5">
      <c r="B16" s="134" t="s">
        <v>547</v>
      </c>
      <c r="C16" s="384" t="str">
        <f>IFERROR(INDEX(指標マスタ[],MATCH($B16,指標マスタ['#],0),MATCH(C$2,指標マスタ[#Headers],0))&amp;"","")</f>
        <v/>
      </c>
      <c r="D16" s="394" t="str">
        <f>IFERROR(INDEX(指標マスタ[],MATCH($B16,指標マスタ['#],0),MATCH(D$2,指標マスタ[#Headers],0))&amp;"","")</f>
        <v/>
      </c>
      <c r="E16" s="392" t="str">
        <f>IFERROR(INDEX(指標マスタ[],MATCH($B16,指標マスタ['#],0),MATCH(E$2,指標マスタ[#Headers],0))&amp;"","")</f>
        <v>ワークプレイス充実度</v>
      </c>
      <c r="F16" s="393" t="str">
        <f>IFERROR(INDEX(指標マスタ[],MATCH($B16,指標マスタ['#],0),MATCH(F$2,指標マスタ[#Headers],0))&amp;"","")</f>
        <v/>
      </c>
      <c r="G16" s="369" t="s">
        <v>3951</v>
      </c>
      <c r="H16" s="371" t="s">
        <v>3952</v>
      </c>
      <c r="I16" s="368"/>
    </row>
    <row r="17" spans="2:9">
      <c r="B17" s="134" t="s">
        <v>548</v>
      </c>
      <c r="C17" s="384" t="str">
        <f>IFERROR(INDEX(指標マスタ[],MATCH($B17,指標マスタ['#],0),MATCH(C$2,指標マスタ[#Headers],0))&amp;"","")</f>
        <v/>
      </c>
      <c r="D17" s="391" t="str">
        <f>IFERROR(INDEX(指標マスタ[],MATCH($B17,指標マスタ['#],0),MATCH(D$2,指標マスタ[#Headers],0))&amp;"","")</f>
        <v>ビジネスの容易性</v>
      </c>
      <c r="E17" s="392" t="str">
        <f>IFERROR(INDEX(指標マスタ[],MATCH($B17,指標マスタ['#],0),MATCH(E$2,指標マスタ[#Headers],0))&amp;"","")</f>
        <v>法人税率の低さ</v>
      </c>
      <c r="F17" s="393" t="str">
        <f>IFERROR(INDEX(指標マスタ[],MATCH($B17,指標マスタ['#],0),MATCH(F$2,指標マスタ[#Headers],0))&amp;"","")</f>
        <v/>
      </c>
      <c r="G17" s="376" t="s">
        <v>3953</v>
      </c>
      <c r="H17" s="374" t="s">
        <v>3954</v>
      </c>
      <c r="I17" s="368"/>
    </row>
    <row r="18" spans="2:9" ht="47.25">
      <c r="B18" s="134" t="s">
        <v>549</v>
      </c>
      <c r="C18" s="216" t="str">
        <f>IFERROR(INDEX(指標マスタ[],MATCH($B18,指標マスタ['#],0),MATCH(C$2,指標マスタ[#Headers],0))&amp;"","")</f>
        <v/>
      </c>
      <c r="D18" s="394" t="str">
        <f>IFERROR(INDEX(指標マスタ[],MATCH($B18,指標マスタ['#],0),MATCH(D$2,指標マスタ[#Headers],0))&amp;"","")</f>
        <v/>
      </c>
      <c r="E18" s="392" t="str">
        <f>IFERROR(INDEX(指標マスタ[],MATCH($B18,指標マスタ['#],0),MATCH(E$2,指標マスタ[#Headers],0))&amp;"","")</f>
        <v>政治・経済・商機のリスクの低さ</v>
      </c>
      <c r="F18" s="393" t="str">
        <f>IFERROR(INDEX(指標マスタ[],MATCH($B18,指標マスタ['#],0),MATCH(F$2,指標マスタ[#Headers],0))&amp;"","")</f>
        <v/>
      </c>
      <c r="G18" s="369" t="s">
        <v>3848</v>
      </c>
      <c r="H18" s="371" t="s">
        <v>457</v>
      </c>
      <c r="I18" s="368"/>
    </row>
    <row r="19" spans="2:9" ht="31.5">
      <c r="B19" s="142" t="s">
        <v>550</v>
      </c>
      <c r="C19" s="192" t="str">
        <f>IFERROR(INDEX(指標マスタ[],MATCH($B19,指標マスタ['#],0),MATCH(C$2,指標マスタ[#Headers],0))&amp;"","")</f>
        <v>研究・開発</v>
      </c>
      <c r="D19" s="396" t="str">
        <f>IFERROR(INDEX(指標マスタ[],MATCH($B19,指標マスタ['#],0),MATCH(D$2,指標マスタ[#Headers],0))&amp;"","")</f>
        <v>研究集積</v>
      </c>
      <c r="E19" s="397" t="str">
        <f>IFERROR(INDEX(指標マスタ[],MATCH($B19,指標マスタ['#],0),MATCH(E$2,指標マスタ[#Headers],0))&amp;"","")</f>
        <v>研究者数</v>
      </c>
      <c r="F19" s="398" t="str">
        <f>IFERROR(INDEX(指標マスタ[],MATCH($B19,指標マスタ['#],0),MATCH(F$2,指標マスタ[#Headers],0))&amp;"","")</f>
        <v/>
      </c>
      <c r="G19" s="369" t="s">
        <v>3849</v>
      </c>
      <c r="H19" s="371" t="s">
        <v>3898</v>
      </c>
      <c r="I19" s="368"/>
    </row>
    <row r="20" spans="2:9" ht="31.5">
      <c r="B20" s="142" t="s">
        <v>551</v>
      </c>
      <c r="C20" s="385" t="str">
        <f>IFERROR(INDEX(指標マスタ[],MATCH($B20,指標マスタ['#],0),MATCH(C$2,指標マスタ[#Headers],0))&amp;"","")</f>
        <v/>
      </c>
      <c r="D20" s="399" t="str">
        <f>IFERROR(INDEX(指標マスタ[],MATCH($B20,指標マスタ['#],0),MATCH(D$2,指標マスタ[#Headers],0))&amp;"","")</f>
        <v/>
      </c>
      <c r="E20" s="397" t="str">
        <f>IFERROR(INDEX(指標マスタ[],MATCH($B20,指標マスタ['#],0),MATCH(E$2,指標マスタ[#Headers],0))&amp;"","")</f>
        <v>世界トップ大学</v>
      </c>
      <c r="F20" s="398" t="str">
        <f>IFERROR(INDEX(指標マスタ[],MATCH($B20,指標マスタ['#],0),MATCH(F$2,指標マスタ[#Headers],0))&amp;"","")</f>
        <v/>
      </c>
      <c r="G20" s="369" t="s">
        <v>3850</v>
      </c>
      <c r="H20" s="371" t="s">
        <v>2498</v>
      </c>
      <c r="I20" s="368"/>
    </row>
    <row r="21" spans="2:9" ht="31.5">
      <c r="B21" s="142" t="s">
        <v>552</v>
      </c>
      <c r="C21" s="385" t="str">
        <f>IFERROR(INDEX(指標マスタ[],MATCH($B21,指標マスタ['#],0),MATCH(C$2,指標マスタ[#Headers],0))&amp;"","")</f>
        <v/>
      </c>
      <c r="D21" s="396" t="str">
        <f>IFERROR(INDEX(指標マスタ[],MATCH($B21,指標マスタ['#],0),MATCH(D$2,指標マスタ[#Headers],0))&amp;"","")</f>
        <v>研究環境</v>
      </c>
      <c r="E21" s="397" t="str">
        <f>IFERROR(INDEX(指標マスタ[],MATCH($B21,指標マスタ['#],0),MATCH(E$2,指標マスタ[#Headers],0))&amp;"","")</f>
        <v>研究開発費</v>
      </c>
      <c r="F21" s="398" t="str">
        <f>IFERROR(INDEX(指標マスタ[],MATCH($B21,指標マスタ['#],0),MATCH(F$2,指標マスタ[#Headers],0))&amp;"","")</f>
        <v/>
      </c>
      <c r="G21" s="369" t="s">
        <v>3851</v>
      </c>
      <c r="H21" s="371" t="s">
        <v>3899</v>
      </c>
      <c r="I21" s="368"/>
    </row>
    <row r="22" spans="2:9" ht="31.5">
      <c r="B22" s="142" t="s">
        <v>553</v>
      </c>
      <c r="C22" s="385" t="str">
        <f>IFERROR(INDEX(指標マスタ[],MATCH($B22,指標マスタ['#],0),MATCH(C$2,指標マスタ[#Headers],0))&amp;"","")</f>
        <v/>
      </c>
      <c r="D22" s="400" t="str">
        <f>IFERROR(INDEX(指標マスタ[],MATCH($B22,指標マスタ['#],0),MATCH(D$2,指標マスタ[#Headers],0))&amp;"","")</f>
        <v/>
      </c>
      <c r="E22" s="397" t="str">
        <f>IFERROR(INDEX(指標マスタ[],MATCH($B22,指標マスタ['#],0),MATCH(E$2,指標マスタ[#Headers],0))&amp;"","")</f>
        <v>留学生数</v>
      </c>
      <c r="F22" s="401" t="str">
        <f>IFERROR(INDEX(指標マスタ[],MATCH($B22,指標マスタ['#],0),MATCH(F$2,指標マスタ[#Headers],0))&amp;"","")</f>
        <v/>
      </c>
      <c r="G22" s="369" t="s">
        <v>3852</v>
      </c>
      <c r="H22" s="372" t="s">
        <v>3900</v>
      </c>
      <c r="I22" s="368"/>
    </row>
    <row r="23" spans="2:9">
      <c r="B23" s="142" t="s">
        <v>554</v>
      </c>
      <c r="C23" s="385" t="str">
        <f>IFERROR(INDEX(指標マスタ[],MATCH($B23,指標マスタ['#],0),MATCH(C$2,指標マスタ[#Headers],0))&amp;"","")</f>
        <v/>
      </c>
      <c r="D23" s="399" t="str">
        <f>IFERROR(INDEX(指標マスタ[],MATCH($B23,指標マスタ['#],0),MATCH(D$2,指標マスタ[#Headers],0))&amp;"","")</f>
        <v/>
      </c>
      <c r="E23" s="397" t="str">
        <f>IFERROR(INDEX(指標マスタ[],MATCH($B23,指標マスタ['#],0),MATCH(E$2,指標マスタ[#Headers],0))&amp;"","")</f>
        <v>学力の高さ</v>
      </c>
      <c r="F23" s="401" t="str">
        <f>IFERROR(INDEX(指標マスタ[],MATCH($B23,指標マスタ['#],0),MATCH(F$2,指標マスタ[#Headers],0))&amp;"","")</f>
        <v/>
      </c>
      <c r="G23" s="369" t="s">
        <v>3853</v>
      </c>
      <c r="H23" s="372" t="s">
        <v>3901</v>
      </c>
      <c r="I23" s="368"/>
    </row>
    <row r="24" spans="2:9" ht="31.5">
      <c r="B24" s="142" t="s">
        <v>555</v>
      </c>
      <c r="C24" s="385" t="str">
        <f>IFERROR(INDEX(指標マスタ[],MATCH($B24,指標マスタ['#],0),MATCH(C$2,指標マスタ[#Headers],0))&amp;"","")</f>
        <v/>
      </c>
      <c r="D24" s="396" t="str">
        <f>IFERROR(INDEX(指標マスタ[],MATCH($B24,指標マスタ['#],0),MATCH(D$2,指標マスタ[#Headers],0))&amp;"","")</f>
        <v>イノベーション</v>
      </c>
      <c r="E24" s="397" t="str">
        <f>IFERROR(INDEX(指標マスタ[],MATCH($B24,指標マスタ['#],0),MATCH(E$2,指標マスタ[#Headers],0))&amp;"","")</f>
        <v>特許登録件数</v>
      </c>
      <c r="F24" s="398" t="str">
        <f>IFERROR(INDEX(指標マスタ[],MATCH($B24,指標マスタ['#],0),MATCH(F$2,指標マスタ[#Headers],0))&amp;"","")</f>
        <v/>
      </c>
      <c r="G24" s="369" t="s">
        <v>3854</v>
      </c>
      <c r="H24" s="371" t="s">
        <v>3902</v>
      </c>
      <c r="I24" s="368"/>
    </row>
    <row r="25" spans="2:9" ht="47.25">
      <c r="B25" s="142" t="s">
        <v>556</v>
      </c>
      <c r="C25" s="385" t="str">
        <f>IFERROR(INDEX(指標マスタ[],MATCH($B25,指標マスタ['#],0),MATCH(C$2,指標マスタ[#Headers],0))&amp;"","")</f>
        <v/>
      </c>
      <c r="D25" s="400" t="str">
        <f>IFERROR(INDEX(指標マスタ[],MATCH($B25,指標マスタ['#],0),MATCH(D$2,指標マスタ[#Headers],0))&amp;"","")</f>
        <v/>
      </c>
      <c r="E25" s="397" t="str">
        <f>IFERROR(INDEX(指標マスタ[],MATCH($B25,指標マスタ['#],0),MATCH(E$2,指標マスタ[#Headers],0))&amp;"","")</f>
        <v>主要科学技術賞受賞者数</v>
      </c>
      <c r="F25" s="398" t="str">
        <f>IFERROR(INDEX(指標マスタ[],MATCH($B25,指標マスタ['#],0),MATCH(F$2,指標マスタ[#Headers],0))&amp;"","")</f>
        <v/>
      </c>
      <c r="G25" s="370" t="s">
        <v>3955</v>
      </c>
      <c r="H25" s="373" t="s">
        <v>3956</v>
      </c>
      <c r="I25" s="368"/>
    </row>
    <row r="26" spans="2:9">
      <c r="B26" s="142" t="s">
        <v>557</v>
      </c>
      <c r="C26" s="218" t="str">
        <f>IFERROR(INDEX(指標マスタ[],MATCH($B26,指標マスタ['#],0),MATCH(C$2,指標マスタ[#Headers],0))&amp;"","")</f>
        <v/>
      </c>
      <c r="D26" s="399" t="str">
        <f>IFERROR(INDEX(指標マスタ[],MATCH($B26,指標マスタ['#],0),MATCH(D$2,指標マスタ[#Headers],0))&amp;"","")</f>
        <v/>
      </c>
      <c r="E26" s="397" t="str">
        <f>IFERROR(INDEX(指標マスタ[],MATCH($B26,指標マスタ['#],0),MATCH(E$2,指標マスタ[#Headers],0))&amp;"","")</f>
        <v>スタートアップ数</v>
      </c>
      <c r="F26" s="398" t="str">
        <f>IFERROR(INDEX(指標マスタ[],MATCH($B26,指標マスタ['#],0),MATCH(F$2,指標マスタ[#Headers],0))&amp;"","")</f>
        <v/>
      </c>
      <c r="G26" s="369" t="s">
        <v>4385</v>
      </c>
      <c r="H26" s="371" t="s">
        <v>3903</v>
      </c>
      <c r="I26" s="368"/>
    </row>
    <row r="27" spans="2:9" ht="31.5">
      <c r="B27" s="150" t="s">
        <v>558</v>
      </c>
      <c r="C27" s="198" t="str">
        <f>IFERROR(INDEX(指標マスタ[],MATCH($B27,指標マスタ['#],0),MATCH(C$2,指標マスタ[#Headers],0))&amp;"","")</f>
        <v>文化・交流</v>
      </c>
      <c r="D27" s="402" t="str">
        <f>IFERROR(INDEX(指標マスタ[],MATCH($B27,指標マスタ['#],0),MATCH(D$2,指標マスタ[#Headers],0))&amp;"","")</f>
        <v>発信力</v>
      </c>
      <c r="E27" s="403" t="str">
        <f>IFERROR(INDEX(指標マスタ[],MATCH($B27,指標マスタ['#],0),MATCH(E$2,指標マスタ[#Headers],0))&amp;"","")</f>
        <v>国際コンベンション件数</v>
      </c>
      <c r="F27" s="404" t="str">
        <f>IFERROR(INDEX(指標マスタ[],MATCH($B27,指標マスタ['#],0),MATCH(F$2,指標マスタ[#Headers],0))&amp;"","")</f>
        <v/>
      </c>
      <c r="G27" s="377" t="s">
        <v>3957</v>
      </c>
      <c r="H27" s="374" t="s">
        <v>3982</v>
      </c>
      <c r="I27" s="368"/>
    </row>
    <row r="28" spans="2:9" ht="47.25">
      <c r="B28" s="150" t="s">
        <v>559</v>
      </c>
      <c r="C28" s="386" t="str">
        <f>IFERROR(INDEX(指標マスタ[],MATCH($B28,指標マスタ['#],0),MATCH(C$2,指標マスタ[#Headers],0))&amp;"","")</f>
        <v/>
      </c>
      <c r="D28" s="405" t="str">
        <f>IFERROR(INDEX(指標マスタ[],MATCH($B28,指標マスタ['#],0),MATCH(D$2,指標マスタ[#Headers],0))&amp;"","")</f>
        <v/>
      </c>
      <c r="E28" s="403" t="str">
        <f>IFERROR(INDEX(指標マスタ[],MATCH($B28,指標マスタ['#],0),MATCH(E$2,指標マスタ[#Headers],0))&amp;"","")</f>
        <v>文化イベント開催件数</v>
      </c>
      <c r="F28" s="404" t="str">
        <f>IFERROR(INDEX(指標マスタ[],MATCH($B28,指標マスタ['#],0),MATCH(F$2,指標マスタ[#Headers],0))&amp;"","")</f>
        <v/>
      </c>
      <c r="G28" s="369" t="s">
        <v>3855</v>
      </c>
      <c r="H28" s="371" t="s">
        <v>3904</v>
      </c>
      <c r="I28" s="368"/>
    </row>
    <row r="29" spans="2:9" ht="63">
      <c r="B29" s="150" t="s">
        <v>560</v>
      </c>
      <c r="C29" s="386" t="str">
        <f>IFERROR(INDEX(指標マスタ[],MATCH($B29,指標マスタ['#],0),MATCH(C$2,指標マスタ[#Headers],0))&amp;"","")</f>
        <v/>
      </c>
      <c r="D29" s="405" t="str">
        <f>IFERROR(INDEX(指標マスタ[],MATCH($B29,指標マスタ['#],0),MATCH(D$2,指標マスタ[#Headers],0))&amp;"","")</f>
        <v/>
      </c>
      <c r="E29" s="403" t="str">
        <f>IFERROR(INDEX(指標マスタ[],MATCH($B29,指標マスタ['#],0),MATCH(E$2,指標マスタ[#Headers],0))&amp;"","")</f>
        <v>コンテンツ輸出額</v>
      </c>
      <c r="F29" s="404" t="str">
        <f>IFERROR(INDEX(指標マスタ[],MATCH($B29,指標マスタ['#],0),MATCH(F$2,指標マスタ[#Headers],0))&amp;"","")</f>
        <v/>
      </c>
      <c r="G29" s="369" t="s">
        <v>3856</v>
      </c>
      <c r="H29" s="371" t="s">
        <v>3905</v>
      </c>
      <c r="I29" s="368"/>
    </row>
    <row r="30" spans="2:9" ht="47.25">
      <c r="B30" s="150" t="s">
        <v>561</v>
      </c>
      <c r="C30" s="386" t="str">
        <f>IFERROR(INDEX(指標マスタ[],MATCH($B30,指標マスタ['#],0),MATCH(C$2,指標マスタ[#Headers],0))&amp;"","")</f>
        <v/>
      </c>
      <c r="D30" s="406" t="str">
        <f>IFERROR(INDEX(指標マスタ[],MATCH($B30,指標マスタ['#],0),MATCH(D$2,指標マスタ[#Headers],0))&amp;"","")</f>
        <v/>
      </c>
      <c r="E30" s="403" t="str">
        <f>IFERROR(INDEX(指標マスタ[],MATCH($B30,指標マスタ['#],0),MATCH(E$2,指標マスタ[#Headers],0))&amp;"","")</f>
        <v>アート市場環境</v>
      </c>
      <c r="F30" s="407" t="str">
        <f>IFERROR(INDEX(指標マスタ[],MATCH($B30,指標マスタ['#],0),MATCH(F$2,指標マスタ[#Headers],0))&amp;"","")</f>
        <v/>
      </c>
      <c r="G30" s="371" t="s">
        <v>3857</v>
      </c>
      <c r="H30" s="372" t="s">
        <v>3906</v>
      </c>
      <c r="I30" s="368"/>
    </row>
    <row r="31" spans="2:9" ht="47.25">
      <c r="B31" s="150" t="s">
        <v>562</v>
      </c>
      <c r="C31" s="386" t="str">
        <f>IFERROR(INDEX(指標マスタ[],MATCH($B31,指標マスタ['#],0),MATCH(C$2,指標マスタ[#Headers],0))&amp;"","")</f>
        <v/>
      </c>
      <c r="D31" s="403" t="str">
        <f>IFERROR(INDEX(指標マスタ[],MATCH($B31,指標マスタ['#],0),MATCH(D$2,指標マスタ[#Headers],0))&amp;"","")</f>
        <v>観光資源</v>
      </c>
      <c r="E31" s="403" t="str">
        <f>IFERROR(INDEX(指標マスタ[],MATCH($B31,指標マスタ['#],0),MATCH(E$2,指標マスタ[#Headers],0))&amp;"","")</f>
        <v>観光地の充実度</v>
      </c>
      <c r="F31" s="407" t="str">
        <f>IFERROR(INDEX(指標マスタ[],MATCH($B31,指標マスタ['#],0),MATCH(F$2,指標マスタ[#Headers],0))&amp;"","")</f>
        <v>Q</v>
      </c>
      <c r="G31" s="369" t="s">
        <v>3858</v>
      </c>
      <c r="H31" s="372" t="s">
        <v>3907</v>
      </c>
      <c r="I31" s="368"/>
    </row>
    <row r="32" spans="2:9" ht="31.5">
      <c r="B32" s="150" t="s">
        <v>563</v>
      </c>
      <c r="C32" s="386" t="str">
        <f>IFERROR(INDEX(指標マスタ[],MATCH($B32,指標マスタ['#],0),MATCH(C$2,指標マスタ[#Headers],0))&amp;"","")</f>
        <v/>
      </c>
      <c r="D32" s="403" t="str">
        <f>IFERROR(INDEX(指標マスタ[],MATCH($B32,指標マスタ['#],0),MATCH(D$2,指標マスタ[#Headers],0))&amp;"","")</f>
        <v/>
      </c>
      <c r="E32" s="403" t="str">
        <f>IFERROR(INDEX(指標マスタ[],MATCH($B32,指標マスタ['#],0),MATCH(E$2,指標マスタ[#Headers],0))&amp;"","")</f>
        <v>世界遺産への近接性</v>
      </c>
      <c r="F32" s="404" t="str">
        <f>IFERROR(INDEX(指標マスタ[],MATCH($B32,指標マスタ['#],0),MATCH(F$2,指標マスタ[#Headers],0))&amp;"","")</f>
        <v/>
      </c>
      <c r="G32" s="369" t="s">
        <v>3859</v>
      </c>
      <c r="H32" s="371" t="s">
        <v>3908</v>
      </c>
      <c r="I32" s="368"/>
    </row>
    <row r="33" spans="2:9" ht="31.5">
      <c r="B33" s="150" t="s">
        <v>564</v>
      </c>
      <c r="C33" s="386" t="str">
        <f>IFERROR(INDEX(指標マスタ[],MATCH($B33,指標マスタ['#],0),MATCH(C$2,指標マスタ[#Headers],0))&amp;"","")</f>
        <v/>
      </c>
      <c r="D33" s="403" t="str">
        <f>IFERROR(INDEX(指標マスタ[],MATCH($B33,指標マスタ['#],0),MATCH(D$2,指標マスタ[#Headers],0))&amp;"","")</f>
        <v/>
      </c>
      <c r="E33" s="403" t="str">
        <f>IFERROR(INDEX(指標マスタ[],MATCH($B33,指標マスタ['#],0),MATCH(E$2,指標マスタ[#Headers],0))&amp;"","")</f>
        <v>ナイトライフ充実度</v>
      </c>
      <c r="F33" s="407" t="str">
        <f>IFERROR(INDEX(指標マスタ[],MATCH($B33,指標マスタ['#],0),MATCH(F$2,指標マスタ[#Headers],0))&amp;"","")</f>
        <v>Q</v>
      </c>
      <c r="G33" s="371" t="s">
        <v>3860</v>
      </c>
      <c r="H33" s="372" t="s">
        <v>3909</v>
      </c>
      <c r="I33" s="368"/>
    </row>
    <row r="34" spans="2:9" ht="31.5">
      <c r="B34" s="150" t="s">
        <v>565</v>
      </c>
      <c r="C34" s="386" t="str">
        <f>IFERROR(INDEX(指標マスタ[],MATCH($B34,指標マスタ['#],0),MATCH(C$2,指標マスタ[#Headers],0))&amp;"","")</f>
        <v/>
      </c>
      <c r="D34" s="402" t="str">
        <f>IFERROR(INDEX(指標マスタ[],MATCH($B34,指標マスタ['#],0),MATCH(D$2,指標マスタ[#Headers],0))&amp;"","")</f>
        <v>文化施設</v>
      </c>
      <c r="E34" s="403" t="str">
        <f>IFERROR(INDEX(指標マスタ[],MATCH($B34,指標マスタ['#],0),MATCH(E$2,指標マスタ[#Headers],0))&amp;"","")</f>
        <v>劇場・コンサートホール数</v>
      </c>
      <c r="F34" s="404" t="str">
        <f>IFERROR(INDEX(指標マスタ[],MATCH($B34,指標マスタ['#],0),MATCH(F$2,指標マスタ[#Headers],0))&amp;"","")</f>
        <v/>
      </c>
      <c r="G34" s="369" t="s">
        <v>3861</v>
      </c>
      <c r="H34" s="371" t="s">
        <v>3910</v>
      </c>
      <c r="I34" s="368"/>
    </row>
    <row r="35" spans="2:9">
      <c r="B35" s="150" t="s">
        <v>566</v>
      </c>
      <c r="C35" s="386" t="str">
        <f>IFERROR(INDEX(指標マスタ[],MATCH($B35,指標マスタ['#],0),MATCH(C$2,指標マスタ[#Headers],0))&amp;"","")</f>
        <v/>
      </c>
      <c r="D35" s="405" t="str">
        <f>IFERROR(INDEX(指標マスタ[],MATCH($B35,指標マスタ['#],0),MATCH(D$2,指標マスタ[#Headers],0))&amp;"","")</f>
        <v/>
      </c>
      <c r="E35" s="403" t="str">
        <f>IFERROR(INDEX(指標マスタ[],MATCH($B35,指標マスタ['#],0),MATCH(E$2,指標マスタ[#Headers],0))&amp;"","")</f>
        <v>美術館・博物館数</v>
      </c>
      <c r="F35" s="404" t="str">
        <f>IFERROR(INDEX(指標マスタ[],MATCH($B35,指標マスタ['#],0),MATCH(F$2,指標マスタ[#Headers],0))&amp;"","")</f>
        <v/>
      </c>
      <c r="G35" s="369" t="s">
        <v>3862</v>
      </c>
      <c r="H35" s="371" t="s">
        <v>3911</v>
      </c>
      <c r="I35" s="368"/>
    </row>
    <row r="36" spans="2:9" ht="31.5">
      <c r="B36" s="150" t="s">
        <v>567</v>
      </c>
      <c r="C36" s="386" t="str">
        <f>IFERROR(INDEX(指標マスタ[],MATCH($B36,指標マスタ['#],0),MATCH(C$2,指標マスタ[#Headers],0))&amp;"","")</f>
        <v/>
      </c>
      <c r="D36" s="406" t="str">
        <f>IFERROR(INDEX(指標マスタ[],MATCH($B36,指標マスタ['#],0),MATCH(D$2,指標マスタ[#Headers],0))&amp;"","")</f>
        <v/>
      </c>
      <c r="E36" s="403" t="str">
        <f>IFERROR(INDEX(指標マスタ[],MATCH($B36,指標マスタ['#],0),MATCH(E$2,指標マスタ[#Headers],0))&amp;"","")</f>
        <v>スタジアム数</v>
      </c>
      <c r="F36" s="404" t="str">
        <f>IFERROR(INDEX(指標マスタ[],MATCH($B36,指標マスタ['#],0),MATCH(F$2,指標マスタ[#Headers],0))&amp;"","")</f>
        <v/>
      </c>
      <c r="G36" s="369" t="s">
        <v>4386</v>
      </c>
      <c r="H36" s="371" t="s">
        <v>3912</v>
      </c>
      <c r="I36" s="368"/>
    </row>
    <row r="37" spans="2:9">
      <c r="B37" s="150" t="s">
        <v>568</v>
      </c>
      <c r="C37" s="386" t="str">
        <f>IFERROR(INDEX(指標マスタ[],MATCH($B37,指標マスタ['#],0),MATCH(C$2,指標マスタ[#Headers],0))&amp;"","")</f>
        <v/>
      </c>
      <c r="D37" s="402" t="str">
        <f>IFERROR(INDEX(指標マスタ[],MATCH($B37,指標マスタ['#],0),MATCH(D$2,指標マスタ[#Headers],0))&amp;"","")</f>
        <v>受入環境</v>
      </c>
      <c r="E37" s="403" t="str">
        <f>IFERROR(INDEX(指標マスタ[],MATCH($B37,指標マスタ['#],0),MATCH(E$2,指標マスタ[#Headers],0))&amp;"","")</f>
        <v>ホテル客室数</v>
      </c>
      <c r="F37" s="407" t="str">
        <f>IFERROR(INDEX(指標マスタ[],MATCH($B37,指標マスタ['#],0),MATCH(F$2,指標マスタ[#Headers],0))&amp;"","")</f>
        <v/>
      </c>
      <c r="G37" s="369" t="s">
        <v>3863</v>
      </c>
      <c r="H37" s="372" t="s">
        <v>3913</v>
      </c>
      <c r="I37" s="368"/>
    </row>
    <row r="38" spans="2:9">
      <c r="B38" s="150" t="s">
        <v>569</v>
      </c>
      <c r="C38" s="386" t="str">
        <f>IFERROR(INDEX(指標マスタ[],MATCH($B38,指標マスタ['#],0),MATCH(C$2,指標マスタ[#Headers],0))&amp;"","")</f>
        <v/>
      </c>
      <c r="D38" s="405" t="str">
        <f>IFERROR(INDEX(指標マスタ[],MATCH($B38,指標マスタ['#],0),MATCH(D$2,指標マスタ[#Headers],0))&amp;"","")</f>
        <v/>
      </c>
      <c r="E38" s="403" t="str">
        <f>IFERROR(INDEX(指標マスタ[],MATCH($B38,指標マスタ['#],0),MATCH(E$2,指標マスタ[#Headers],0))&amp;"","")</f>
        <v>ハイクラスホテル客室数</v>
      </c>
      <c r="F38" s="404" t="str">
        <f>IFERROR(INDEX(指標マスタ[],MATCH($B38,指標マスタ['#],0),MATCH(F$2,指標マスタ[#Headers],0))&amp;"","")</f>
        <v/>
      </c>
      <c r="G38" s="369" t="s">
        <v>3864</v>
      </c>
      <c r="H38" s="371" t="s">
        <v>3914</v>
      </c>
      <c r="I38" s="368"/>
    </row>
    <row r="39" spans="2:9" ht="31.5">
      <c r="B39" s="150" t="s">
        <v>570</v>
      </c>
      <c r="C39" s="386" t="str">
        <f>IFERROR(INDEX(指標マスタ[],MATCH($B39,指標マスタ['#],0),MATCH(C$2,指標マスタ[#Headers],0))&amp;"","")</f>
        <v/>
      </c>
      <c r="D39" s="405" t="str">
        <f>IFERROR(INDEX(指標マスタ[],MATCH($B39,指標マスタ['#],0),MATCH(D$2,指標マスタ[#Headers],0))&amp;"","")</f>
        <v/>
      </c>
      <c r="E39" s="403" t="str">
        <f>IFERROR(INDEX(指標マスタ[],MATCH($B39,指標マスタ['#],0),MATCH(E$2,指標マスタ[#Headers],0))&amp;"","")</f>
        <v>買物の魅力</v>
      </c>
      <c r="F39" s="404" t="str">
        <f>IFERROR(INDEX(指標マスタ[],MATCH($B39,指標マスタ['#],0),MATCH(F$2,指標マスタ[#Headers],0))&amp;"","")</f>
        <v>Q</v>
      </c>
      <c r="G39" s="369" t="s">
        <v>3865</v>
      </c>
      <c r="H39" s="371" t="s">
        <v>3915</v>
      </c>
      <c r="I39" s="368"/>
    </row>
    <row r="40" spans="2:9" ht="47.25">
      <c r="B40" s="150" t="s">
        <v>571</v>
      </c>
      <c r="C40" s="386" t="str">
        <f>IFERROR(INDEX(指標マスタ[],MATCH($B40,指標マスタ['#],0),MATCH(C$2,指標マスタ[#Headers],0))&amp;"","")</f>
        <v/>
      </c>
      <c r="D40" s="406" t="str">
        <f>IFERROR(INDEX(指標マスタ[],MATCH($B40,指標マスタ['#],0),MATCH(D$2,指標マスタ[#Headers],0))&amp;"","")</f>
        <v/>
      </c>
      <c r="E40" s="403" t="str">
        <f>IFERROR(INDEX(指標マスタ[],MATCH($B40,指標マスタ['#],0),MATCH(E$2,指標マスタ[#Headers],0))&amp;"","")</f>
        <v>食事の魅力</v>
      </c>
      <c r="F40" s="404" t="str">
        <f>IFERROR(INDEX(指標マスタ[],MATCH($B40,指標マスタ['#],0),MATCH(F$2,指標マスタ[#Headers],0))&amp;"","")</f>
        <v>Q</v>
      </c>
      <c r="G40" s="369" t="s">
        <v>3866</v>
      </c>
      <c r="H40" s="371" t="s">
        <v>3916</v>
      </c>
      <c r="I40" s="368"/>
    </row>
    <row r="41" spans="2:9">
      <c r="B41" s="150" t="s">
        <v>572</v>
      </c>
      <c r="C41" s="386" t="str">
        <f>IFERROR(INDEX(指標マスタ[],MATCH($B41,指標マスタ['#],0),MATCH(C$2,指標マスタ[#Headers],0))&amp;"","")</f>
        <v/>
      </c>
      <c r="D41" s="402" t="str">
        <f>IFERROR(INDEX(指標マスタ[],MATCH($B41,指標マスタ['#],0),MATCH(D$2,指標マスタ[#Headers],0))&amp;"","")</f>
        <v>外国人受入実績</v>
      </c>
      <c r="E41" s="403" t="str">
        <f>IFERROR(INDEX(指標マスタ[],MATCH($B41,指標マスタ['#],0),MATCH(E$2,指標マスタ[#Headers],0))&amp;"","")</f>
        <v>外国人居住者数</v>
      </c>
      <c r="F41" s="404" t="str">
        <f>IFERROR(INDEX(指標マスタ[],MATCH($B41,指標マスタ['#],0),MATCH(F$2,指標マスタ[#Headers],0))&amp;"","")</f>
        <v/>
      </c>
      <c r="G41" s="369" t="s">
        <v>3867</v>
      </c>
      <c r="H41" s="371" t="s">
        <v>3917</v>
      </c>
      <c r="I41" s="368"/>
    </row>
    <row r="42" spans="2:9">
      <c r="B42" s="150" t="s">
        <v>573</v>
      </c>
      <c r="C42" s="220" t="str">
        <f>IFERROR(INDEX(指標マスタ[],MATCH($B42,指標マスタ['#],0),MATCH(C$2,指標マスタ[#Headers],0))&amp;"","")</f>
        <v/>
      </c>
      <c r="D42" s="406" t="str">
        <f>IFERROR(INDEX(指標マスタ[],MATCH($B42,指標マスタ['#],0),MATCH(D$2,指標マスタ[#Headers],0))&amp;"","")</f>
        <v/>
      </c>
      <c r="E42" s="403" t="str">
        <f>IFERROR(INDEX(指標マスタ[],MATCH($B42,指標マスタ['#],0),MATCH(E$2,指標マスタ[#Headers],0))&amp;"","")</f>
        <v>外国人訪問者数</v>
      </c>
      <c r="F42" s="404" t="str">
        <f>IFERROR(INDEX(指標マスタ[],MATCH($B42,指標マスタ['#],0),MATCH(F$2,指標マスタ[#Headers],0))&amp;"","")</f>
        <v/>
      </c>
      <c r="G42" s="371" t="s">
        <v>3868</v>
      </c>
      <c r="H42" s="371" t="s">
        <v>3918</v>
      </c>
      <c r="I42" s="368"/>
    </row>
    <row r="43" spans="2:9">
      <c r="B43" s="157" t="s">
        <v>574</v>
      </c>
      <c r="C43" s="203" t="str">
        <f>IFERROR(INDEX(指標マスタ[],MATCH($B43,指標マスタ['#],0),MATCH(C$2,指標マスタ[#Headers],0))&amp;"","")</f>
        <v>居住</v>
      </c>
      <c r="D43" s="408" t="str">
        <f>IFERROR(INDEX(指標マスタ[],MATCH($B43,指標マスタ['#],0),MATCH(D$2,指標マスタ[#Headers],0))&amp;"","")</f>
        <v>就業環境</v>
      </c>
      <c r="E43" s="409" t="str">
        <f>IFERROR(INDEX(指標マスタ[],MATCH($B43,指標マスタ['#],0),MATCH(E$2,指標マスタ[#Headers],0))&amp;"","")</f>
        <v>完全失業率の低さ</v>
      </c>
      <c r="F43" s="410" t="str">
        <f>IFERROR(INDEX(指標マスタ[],MATCH($B43,指標マスタ['#],0),MATCH(F$2,指標マスタ[#Headers],0))&amp;"","")</f>
        <v/>
      </c>
      <c r="G43" s="369" t="s">
        <v>3869</v>
      </c>
      <c r="H43" s="371" t="s">
        <v>3919</v>
      </c>
      <c r="I43" s="368"/>
    </row>
    <row r="44" spans="2:9" ht="47.25">
      <c r="B44" s="157" t="s">
        <v>575</v>
      </c>
      <c r="C44" s="387" t="str">
        <f>IFERROR(INDEX(指標マスタ[],MATCH($B44,指標マスタ['#],0),MATCH(C$2,指標マスタ[#Headers],0))&amp;"","")</f>
        <v/>
      </c>
      <c r="D44" s="411" t="str">
        <f>IFERROR(INDEX(指標マスタ[],MATCH($B44,指標マスタ['#],0),MATCH(D$2,指標マスタ[#Headers],0))&amp;"","")</f>
        <v/>
      </c>
      <c r="E44" s="409" t="str">
        <f>IFERROR(INDEX(指標マスタ[],MATCH($B44,指標マスタ['#],0),MATCH(E$2,指標マスタ[#Headers],0))&amp;"","")</f>
        <v>1人あたりの総労働時間の短さ</v>
      </c>
      <c r="F44" s="410" t="str">
        <f>IFERROR(INDEX(指標マスタ[],MATCH($B44,指標マスタ['#],0),MATCH(F$2,指標マスタ[#Headers],0))&amp;"","")</f>
        <v/>
      </c>
      <c r="G44" s="369" t="s">
        <v>3870</v>
      </c>
      <c r="H44" s="371" t="s">
        <v>3920</v>
      </c>
      <c r="I44" s="356" t="s">
        <v>3606</v>
      </c>
    </row>
    <row r="45" spans="2:9">
      <c r="B45" s="157" t="s">
        <v>576</v>
      </c>
      <c r="C45" s="387" t="str">
        <f>IFERROR(INDEX(指標マスタ[],MATCH($B45,指標マスタ['#],0),MATCH(C$2,指標マスタ[#Headers],0))&amp;"","")</f>
        <v/>
      </c>
      <c r="D45" s="412" t="str">
        <f>IFERROR(INDEX(指標マスタ[],MATCH($B45,指標マスタ['#],0),MATCH(D$2,指標マスタ[#Headers],0))&amp;"","")</f>
        <v/>
      </c>
      <c r="E45" s="409" t="str">
        <f>IFERROR(INDEX(指標マスタ[],MATCH($B45,指標マスタ['#],0),MATCH(E$2,指標マスタ[#Headers],0))&amp;"","")</f>
        <v>働き方の柔軟性</v>
      </c>
      <c r="F45" s="413" t="str">
        <f>IFERROR(INDEX(指標マスタ[],MATCH($B45,指標マスタ['#],0),MATCH(F$2,指標マスタ[#Headers],0))&amp;"","")</f>
        <v>Q</v>
      </c>
      <c r="G45" s="369" t="s">
        <v>3871</v>
      </c>
      <c r="H45" s="372" t="s">
        <v>3603</v>
      </c>
      <c r="I45" s="368"/>
    </row>
    <row r="46" spans="2:9" ht="31.5">
      <c r="B46" s="157" t="s">
        <v>577</v>
      </c>
      <c r="C46" s="387" t="str">
        <f>IFERROR(INDEX(指標マスタ[],MATCH($B46,指標マスタ['#],0),MATCH(C$2,指標マスタ[#Headers],0))&amp;"","")</f>
        <v/>
      </c>
      <c r="D46" s="408" t="str">
        <f>IFERROR(INDEX(指標マスタ[],MATCH($B46,指標マスタ['#],0),MATCH(D$2,指標マスタ[#Headers],0))&amp;"","")</f>
        <v>居住コスト</v>
      </c>
      <c r="E46" s="409" t="str">
        <f>IFERROR(INDEX(指標マスタ[],MATCH($B46,指標マスタ['#],0),MATCH(E$2,指標マスタ[#Headers],0))&amp;"","")</f>
        <v>住宅賃料水準の低さ</v>
      </c>
      <c r="F46" s="410" t="str">
        <f>IFERROR(INDEX(指標マスタ[],MATCH($B46,指標マスタ['#],0),MATCH(F$2,指標マスタ[#Headers],0))&amp;"","")</f>
        <v/>
      </c>
      <c r="G46" s="371" t="s">
        <v>3872</v>
      </c>
      <c r="H46" s="371" t="s">
        <v>3921</v>
      </c>
      <c r="I46" s="368"/>
    </row>
    <row r="47" spans="2:9">
      <c r="B47" s="157" t="s">
        <v>578</v>
      </c>
      <c r="C47" s="387" t="str">
        <f>IFERROR(INDEX(指標マスタ[],MATCH($B47,指標マスタ['#],0),MATCH(C$2,指標マスタ[#Headers],0))&amp;"","")</f>
        <v/>
      </c>
      <c r="D47" s="412" t="str">
        <f>IFERROR(INDEX(指標マスタ[],MATCH($B47,指標マスタ['#],0),MATCH(D$2,指標マスタ[#Headers],0))&amp;"","")</f>
        <v/>
      </c>
      <c r="E47" s="409" t="str">
        <f>IFERROR(INDEX(指標マスタ[],MATCH($B47,指標マスタ['#],0),MATCH(E$2,指標マスタ[#Headers],0))&amp;"","")</f>
        <v>物価水準の低さ</v>
      </c>
      <c r="F47" s="410" t="str">
        <f>IFERROR(INDEX(指標マスタ[],MATCH($B47,指標マスタ['#],0),MATCH(F$2,指標マスタ[#Headers],0))&amp;"","")</f>
        <v/>
      </c>
      <c r="G47" s="374" t="s">
        <v>3962</v>
      </c>
      <c r="H47" s="374" t="s">
        <v>3983</v>
      </c>
      <c r="I47" s="368"/>
    </row>
    <row r="48" spans="2:9">
      <c r="B48" s="157" t="s">
        <v>579</v>
      </c>
      <c r="C48" s="387" t="str">
        <f>IFERROR(INDEX(指標マスタ[],MATCH($B48,指標マスタ['#],0),MATCH(C$2,指標マスタ[#Headers],0))&amp;"","")</f>
        <v/>
      </c>
      <c r="D48" s="408" t="str">
        <f>IFERROR(INDEX(指標マスタ[],MATCH($B48,指標マスタ['#],0),MATCH(D$2,指標マスタ[#Headers],0))&amp;"","")</f>
        <v>安全・安心</v>
      </c>
      <c r="E48" s="409" t="str">
        <f>IFERROR(INDEX(指標マスタ[],MATCH($B48,指標マスタ['#],0),MATCH(E$2,指標マスタ[#Headers],0))&amp;"","")</f>
        <v>殺人件数の少なさ</v>
      </c>
      <c r="F48" s="410" t="str">
        <f>IFERROR(INDEX(指標マスタ[],MATCH($B48,指標マスタ['#],0),MATCH(F$2,指標マスタ[#Headers],0))&amp;"","")</f>
        <v/>
      </c>
      <c r="G48" s="369" t="s">
        <v>3873</v>
      </c>
      <c r="H48" s="371" t="s">
        <v>3922</v>
      </c>
      <c r="I48" s="368"/>
    </row>
    <row r="49" spans="2:9">
      <c r="B49" s="157" t="s">
        <v>580</v>
      </c>
      <c r="C49" s="387" t="str">
        <f>IFERROR(INDEX(指標マスタ[],MATCH($B49,指標マスタ['#],0),MATCH(C$2,指標マスタ[#Headers],0))&amp;"","")</f>
        <v/>
      </c>
      <c r="D49" s="412" t="str">
        <f>IFERROR(INDEX(指標マスタ[],MATCH($B49,指標マスタ['#],0),MATCH(D$2,指標マスタ[#Headers],0))&amp;"","")</f>
        <v/>
      </c>
      <c r="E49" s="409" t="str">
        <f>IFERROR(INDEX(指標マスタ[],MATCH($B49,指標マスタ['#],0),MATCH(E$2,指標マスタ[#Headers],0))&amp;"","")</f>
        <v>自然災害の経済的リスクの少なさ</v>
      </c>
      <c r="F49" s="410" t="str">
        <f>IFERROR(INDEX(指標マスタ[],MATCH($B49,指標マスタ['#],0),MATCH(F$2,指標マスタ[#Headers],0))&amp;"","")</f>
        <v/>
      </c>
      <c r="G49" s="369" t="s">
        <v>3874</v>
      </c>
      <c r="H49" s="371" t="s">
        <v>3923</v>
      </c>
      <c r="I49" s="368"/>
    </row>
    <row r="50" spans="2:9">
      <c r="B50" s="157" t="s">
        <v>581</v>
      </c>
      <c r="C50" s="387" t="str">
        <f>IFERROR(INDEX(指標マスタ[],MATCH($B50,指標マスタ['#],0),MATCH(C$2,指標マスタ[#Headers],0))&amp;"","")</f>
        <v/>
      </c>
      <c r="D50" s="408" t="str">
        <f>IFERROR(INDEX(指標マスタ[],MATCH($B50,指標マスタ['#],0),MATCH(D$2,指標マスタ[#Headers],0))&amp;"","")</f>
        <v>生活良好性</v>
      </c>
      <c r="E50" s="409" t="str">
        <f>IFERROR(INDEX(指標マスタ[],MATCH($B50,指標マスタ['#],0),MATCH(E$2,指標マスタ[#Headers],0))&amp;"","")</f>
        <v>平均寿命</v>
      </c>
      <c r="F50" s="410" t="str">
        <f>IFERROR(INDEX(指標マスタ[],MATCH($B50,指標マスタ['#],0),MATCH(F$2,指標マスタ[#Headers],0))&amp;"","")</f>
        <v/>
      </c>
      <c r="G50" s="369" t="s">
        <v>3875</v>
      </c>
      <c r="H50" s="371" t="s">
        <v>3924</v>
      </c>
      <c r="I50" s="368"/>
    </row>
    <row r="51" spans="2:9" ht="78" customHeight="1">
      <c r="B51" s="157" t="s">
        <v>582</v>
      </c>
      <c r="C51" s="387" t="str">
        <f>IFERROR(INDEX(指標マスタ[],MATCH($B51,指標マスタ['#],0),MATCH(C$2,指標マスタ[#Headers],0))&amp;"","")</f>
        <v/>
      </c>
      <c r="D51" s="411" t="str">
        <f>IFERROR(INDEX(指標マスタ[],MATCH($B51,指標マスタ['#],0),MATCH(D$2,指標マスタ[#Headers],0))&amp;"","")</f>
        <v/>
      </c>
      <c r="E51" s="409" t="str">
        <f>IFERROR(INDEX(指標マスタ[],MATCH($B51,指標マスタ['#],0),MATCH(E$2,指標マスタ[#Headers],0))&amp;"","")</f>
        <v>社会の自由度・平等さ</v>
      </c>
      <c r="F51" s="410" t="str">
        <f>IFERROR(INDEX(指標マスタ[],MATCH($B51,指標マスタ['#],0),MATCH(F$2,指標マスタ[#Headers],0))&amp;"","")</f>
        <v/>
      </c>
      <c r="G51" s="369" t="s">
        <v>3876</v>
      </c>
      <c r="H51" s="371" t="s">
        <v>3925</v>
      </c>
      <c r="I51" s="368"/>
    </row>
    <row r="52" spans="2:9" ht="47.25">
      <c r="B52" s="157" t="s">
        <v>583</v>
      </c>
      <c r="C52" s="387" t="str">
        <f>IFERROR(INDEX(指標マスタ[],MATCH($B52,指標マスタ['#],0),MATCH(C$2,指標マスタ[#Headers],0))&amp;"","")</f>
        <v/>
      </c>
      <c r="D52" s="412" t="str">
        <f>IFERROR(INDEX(指標マスタ[],MATCH($B52,指標マスタ['#],0),MATCH(D$2,指標マスタ[#Headers],0))&amp;"","")</f>
        <v/>
      </c>
      <c r="E52" s="409" t="str">
        <f>IFERROR(INDEX(指標マスタ[],MATCH($B52,指標マスタ['#],0),MATCH(E$2,指標マスタ[#Headers],0))&amp;"","")</f>
        <v>メンタルヘルス水準</v>
      </c>
      <c r="F52" s="410" t="str">
        <f>IFERROR(INDEX(指標マスタ[],MATCH($B52,指標マスタ['#],0),MATCH(F$2,指標マスタ[#Headers],0))&amp;"","")</f>
        <v/>
      </c>
      <c r="G52" s="371" t="s">
        <v>3877</v>
      </c>
      <c r="H52" s="371" t="s">
        <v>3926</v>
      </c>
      <c r="I52" s="368"/>
    </row>
    <row r="53" spans="2:9" ht="31.5">
      <c r="B53" s="157" t="s">
        <v>584</v>
      </c>
      <c r="C53" s="387" t="str">
        <f>IFERROR(INDEX(指標マスタ[],MATCH($B53,指標マスタ['#],0),MATCH(C$2,指標マスタ[#Headers],0))&amp;"","")</f>
        <v/>
      </c>
      <c r="D53" s="408" t="str">
        <f>IFERROR(INDEX(指標マスタ[],MATCH($B53,指標マスタ['#],0),MATCH(D$2,指標マスタ[#Headers],0))&amp;"","")</f>
        <v>生活利便性</v>
      </c>
      <c r="E53" s="409" t="str">
        <f>IFERROR(INDEX(指標マスタ[],MATCH($B53,指標マスタ['#],0),MATCH(E$2,指標マスタ[#Headers],0))&amp;"","")</f>
        <v>医師数</v>
      </c>
      <c r="F53" s="410" t="str">
        <f>IFERROR(INDEX(指標マスタ[],MATCH($B53,指標マスタ['#],0),MATCH(F$2,指標マスタ[#Headers],0))&amp;"","")</f>
        <v/>
      </c>
      <c r="G53" s="369" t="s">
        <v>3878</v>
      </c>
      <c r="H53" s="371" t="s">
        <v>3927</v>
      </c>
      <c r="I53" s="368"/>
    </row>
    <row r="54" spans="2:9" ht="31.5">
      <c r="B54" s="157" t="s">
        <v>585</v>
      </c>
      <c r="C54" s="387" t="str">
        <f>IFERROR(INDEX(指標マスタ[],MATCH($B54,指標マスタ['#],0),MATCH(C$2,指標マスタ[#Headers],0))&amp;"","")</f>
        <v/>
      </c>
      <c r="D54" s="411" t="str">
        <f>IFERROR(INDEX(指標マスタ[],MATCH($B54,指標マスタ['#],0),MATCH(D$2,指標マスタ[#Headers],0))&amp;"","")</f>
        <v/>
      </c>
      <c r="E54" s="409" t="str">
        <f>IFERROR(INDEX(指標マスタ[],MATCH($B54,指標マスタ['#],0),MATCH(E$2,指標マスタ[#Headers],0))&amp;"","")</f>
        <v>ICT環境の充実度</v>
      </c>
      <c r="F54" s="410" t="str">
        <f>IFERROR(INDEX(指標マスタ[],MATCH($B54,指標マスタ['#],0),MATCH(F$2,指標マスタ[#Headers],0))&amp;"","")</f>
        <v/>
      </c>
      <c r="G54" s="374" t="s">
        <v>3963</v>
      </c>
      <c r="H54" s="374" t="s">
        <v>3984</v>
      </c>
      <c r="I54" s="368"/>
    </row>
    <row r="55" spans="2:9" ht="31.5">
      <c r="B55" s="157" t="s">
        <v>586</v>
      </c>
      <c r="C55" s="387" t="str">
        <f>IFERROR(INDEX(指標マスタ[],MATCH($B55,指標マスタ['#],0),MATCH(C$2,指標マスタ[#Headers],0))&amp;"","")</f>
        <v/>
      </c>
      <c r="D55" s="411" t="str">
        <f>IFERROR(INDEX(指標マスタ[],MATCH($B55,指標マスタ['#],0),MATCH(D$2,指標マスタ[#Headers],0))&amp;"","")</f>
        <v/>
      </c>
      <c r="E55" s="409" t="str">
        <f>IFERROR(INDEX(指標マスタ[],MATCH($B55,指標マスタ['#],0),MATCH(E$2,指標マスタ[#Headers],0))&amp;"","")</f>
        <v>小売店舗の多さ</v>
      </c>
      <c r="F55" s="410" t="str">
        <f>IFERROR(INDEX(指標マスタ[],MATCH($B55,指標マスタ['#],0),MATCH(F$2,指標マスタ[#Headers],0))&amp;"","")</f>
        <v>Q</v>
      </c>
      <c r="G55" s="369" t="s">
        <v>3879</v>
      </c>
      <c r="H55" s="371" t="s">
        <v>3928</v>
      </c>
      <c r="I55" s="368"/>
    </row>
    <row r="56" spans="2:9" ht="31.5">
      <c r="B56" s="157" t="s">
        <v>587</v>
      </c>
      <c r="C56" s="222" t="str">
        <f>IFERROR(INDEX(指標マスタ[],MATCH($B56,指標マスタ['#],0),MATCH(C$2,指標マスタ[#Headers],0))&amp;"","")</f>
        <v/>
      </c>
      <c r="D56" s="412" t="str">
        <f>IFERROR(INDEX(指標マスタ[],MATCH($B56,指標マスタ['#],0),MATCH(D$2,指標マスタ[#Headers],0))&amp;"","")</f>
        <v/>
      </c>
      <c r="E56" s="409" t="str">
        <f>IFERROR(INDEX(指標マスタ[],MATCH($B56,指標マスタ['#],0),MATCH(E$2,指標マスタ[#Headers],0))&amp;"","")</f>
        <v>飲食店の多さ</v>
      </c>
      <c r="F56" s="410" t="str">
        <f>IFERROR(INDEX(指標マスタ[],MATCH($B56,指標マスタ['#],0),MATCH(F$2,指標マスタ[#Headers],0))&amp;"","")</f>
        <v>Q</v>
      </c>
      <c r="G56" s="369" t="s">
        <v>3880</v>
      </c>
      <c r="H56" s="371" t="s">
        <v>3929</v>
      </c>
      <c r="I56" s="368"/>
    </row>
    <row r="57" spans="2:9" ht="47.25">
      <c r="B57" s="165" t="s">
        <v>588</v>
      </c>
      <c r="C57" s="388" t="str">
        <f>IFERROR(INDEX(指標マスタ[],MATCH($B57,指標マスタ['#],0),MATCH(C$2,指標マスタ[#Headers],0))&amp;"","")</f>
        <v>環境</v>
      </c>
      <c r="D57" s="414" t="str">
        <f>IFERROR(INDEX(指標マスタ[],MATCH($B57,指標マスタ['#],0),MATCH(D$2,指標マスタ[#Headers],0))&amp;"","")</f>
        <v>持続可能性</v>
      </c>
      <c r="E57" s="415" t="str">
        <f>IFERROR(INDEX(指標マスタ[],MATCH($B57,指標マスタ['#],0),MATCH(E$2,指標マスタ[#Headers],0))&amp;"","")</f>
        <v>環境への取り組み</v>
      </c>
      <c r="F57" s="416" t="str">
        <f>IFERROR(INDEX(指標マスタ[],MATCH($B57,指標マスタ['#],0),MATCH(F$2,指標マスタ[#Headers],0))&amp;"","")</f>
        <v/>
      </c>
      <c r="G57" s="380" t="s">
        <v>3964</v>
      </c>
      <c r="H57" s="371" t="s">
        <v>3985</v>
      </c>
      <c r="I57" s="368"/>
    </row>
    <row r="58" spans="2:9" ht="31.5">
      <c r="B58" s="165" t="s">
        <v>589</v>
      </c>
      <c r="C58" s="389" t="str">
        <f>IFERROR(INDEX(指標マスタ[],MATCH($B58,指標マスタ['#],0),MATCH(C$2,指標マスタ[#Headers],0))&amp;"","")</f>
        <v/>
      </c>
      <c r="D58" s="417" t="str">
        <f>IFERROR(INDEX(指標マスタ[],MATCH($B58,指標マスタ['#],0),MATCH(D$2,指標マスタ[#Headers],0))&amp;"","")</f>
        <v/>
      </c>
      <c r="E58" s="415" t="str">
        <f>IFERROR(INDEX(指標マスタ[],MATCH($B58,指標マスタ['#],0),MATCH(E$2,指標マスタ[#Headers],0))&amp;"","")</f>
        <v>再生可能エネルギー比率</v>
      </c>
      <c r="F58" s="416" t="str">
        <f>IFERROR(INDEX(指標マスタ[],MATCH($B58,指標マスタ['#],0),MATCH(F$2,指標マスタ[#Headers],0))&amp;"","")</f>
        <v/>
      </c>
      <c r="G58" s="376" t="s">
        <v>3965</v>
      </c>
      <c r="H58" s="374" t="s">
        <v>3975</v>
      </c>
      <c r="I58" s="368"/>
    </row>
    <row r="59" spans="2:9" ht="31.5">
      <c r="B59" s="165" t="s">
        <v>590</v>
      </c>
      <c r="C59" s="389" t="str">
        <f>IFERROR(INDEX(指標マスタ[],MATCH($B59,指標マスタ['#],0),MATCH(C$2,指標マスタ[#Headers],0))&amp;"","")</f>
        <v/>
      </c>
      <c r="D59" s="418" t="str">
        <f>IFERROR(INDEX(指標マスタ[],MATCH($B59,指標マスタ['#],0),MATCH(D$2,指標マスタ[#Headers],0))&amp;"","")</f>
        <v/>
      </c>
      <c r="E59" s="415" t="str">
        <f>IFERROR(INDEX(指標マスタ[],MATCH($B59,指標マスタ['#],0),MATCH(E$2,指標マスタ[#Headers],0))&amp;"","")</f>
        <v>リサイクル率</v>
      </c>
      <c r="F59" s="416" t="str">
        <f>IFERROR(INDEX(指標マスタ[],MATCH($B59,指標マスタ['#],0),MATCH(F$2,指標マスタ[#Headers],0))&amp;"","")</f>
        <v/>
      </c>
      <c r="G59" s="369" t="s">
        <v>459</v>
      </c>
      <c r="H59" s="371" t="s">
        <v>2188</v>
      </c>
      <c r="I59" s="368"/>
    </row>
    <row r="60" spans="2:9" ht="31.5">
      <c r="B60" s="165" t="s">
        <v>591</v>
      </c>
      <c r="C60" s="389" t="str">
        <f>IFERROR(INDEX(指標マスタ[],MATCH($B60,指標マスタ['#],0),MATCH(C$2,指標マスタ[#Headers],0))&amp;"","")</f>
        <v/>
      </c>
      <c r="D60" s="414" t="str">
        <f>IFERROR(INDEX(指標マスタ[],MATCH($B60,指標マスタ['#],0),MATCH(D$2,指標マスタ[#Headers],0))&amp;"","")</f>
        <v>空気環境</v>
      </c>
      <c r="E60" s="415" t="str">
        <f>IFERROR(INDEX(指標マスタ[],MATCH($B60,指標マスタ['#],0),MATCH(E$2,指標マスタ[#Headers],0))&amp;"","")</f>
        <v>1人あたりのCO2排出量の少なさ</v>
      </c>
      <c r="F60" s="416" t="str">
        <f>IFERROR(INDEX(指標マスタ[],MATCH($B60,指標マスタ['#],0),MATCH(F$2,指標マスタ[#Headers],0))&amp;"","")</f>
        <v/>
      </c>
      <c r="G60" s="369" t="s">
        <v>3881</v>
      </c>
      <c r="H60" s="371" t="s">
        <v>3930</v>
      </c>
      <c r="I60" s="368"/>
    </row>
    <row r="61" spans="2:9">
      <c r="B61" s="165" t="s">
        <v>592</v>
      </c>
      <c r="C61" s="389" t="str">
        <f>IFERROR(INDEX(指標マスタ[],MATCH($B61,指標マスタ['#],0),MATCH(C$2,指標マスタ[#Headers],0))&amp;"","")</f>
        <v/>
      </c>
      <c r="D61" s="417" t="str">
        <f>IFERROR(INDEX(指標マスタ[],MATCH($B61,指標マスタ['#],0),MATCH(D$2,指標マスタ[#Headers],0))&amp;"","")</f>
        <v/>
      </c>
      <c r="E61" s="415" t="str">
        <f>IFERROR(INDEX(指標マスタ[],MATCH($B61,指標マスタ['#],0),MATCH(E$2,指標マスタ[#Headers],0))&amp;"","")</f>
        <v>空気のきれいさ</v>
      </c>
      <c r="F61" s="416" t="str">
        <f>IFERROR(INDEX(指標マスタ[],MATCH($B61,指標マスタ['#],0),MATCH(F$2,指標マスタ[#Headers],0))&amp;"","")</f>
        <v/>
      </c>
      <c r="G61" s="369" t="s">
        <v>3882</v>
      </c>
      <c r="H61" s="371" t="s">
        <v>3931</v>
      </c>
      <c r="I61" s="368"/>
    </row>
    <row r="62" spans="2:9" ht="31.5">
      <c r="B62" s="165" t="s">
        <v>593</v>
      </c>
      <c r="C62" s="389" t="str">
        <f>IFERROR(INDEX(指標マスタ[],MATCH($B62,指標マスタ['#],0),MATCH(C$2,指標マスタ[#Headers],0))&amp;"","")</f>
        <v/>
      </c>
      <c r="D62" s="418" t="str">
        <f>IFERROR(INDEX(指標マスタ[],MATCH($B62,指標マスタ['#],0),MATCH(D$2,指標マスタ[#Headers],0))&amp;"","")</f>
        <v/>
      </c>
      <c r="E62" s="415" t="str">
        <f>IFERROR(INDEX(指標マスタ[],MATCH($B62,指標マスタ['#],0),MATCH(E$2,指標マスタ[#Headers],0))&amp;"","")</f>
        <v>気温の快適性</v>
      </c>
      <c r="F62" s="416" t="str">
        <f>IFERROR(INDEX(指標マスタ[],MATCH($B62,指標マスタ['#],0),MATCH(F$2,指標マスタ[#Headers],0))&amp;"","")</f>
        <v/>
      </c>
      <c r="G62" s="369" t="s">
        <v>3883</v>
      </c>
      <c r="H62" s="371" t="s">
        <v>3932</v>
      </c>
      <c r="I62" s="368"/>
    </row>
    <row r="63" spans="2:9">
      <c r="B63" s="165" t="s">
        <v>594</v>
      </c>
      <c r="C63" s="389" t="str">
        <f>IFERROR(INDEX(指標マスタ[],MATCH($B63,指標マスタ['#],0),MATCH(C$2,指標マスタ[#Headers],0))&amp;"","")</f>
        <v/>
      </c>
      <c r="D63" s="414" t="str">
        <f>IFERROR(INDEX(指標マスタ[],MATCH($B63,指標マスタ['#],0),MATCH(D$2,指標マスタ[#Headers],0))&amp;"","")</f>
        <v>都市環境</v>
      </c>
      <c r="E63" s="415" t="str">
        <f>IFERROR(INDEX(指標マスタ[],MATCH($B63,指標マスタ['#],0),MATCH(E$2,指標マスタ[#Headers],0))&amp;"","")</f>
        <v>水質の良好性</v>
      </c>
      <c r="F63" s="416" t="str">
        <f>IFERROR(INDEX(指標マスタ[],MATCH($B63,指標マスタ['#],0),MATCH(F$2,指標マスタ[#Headers],0))&amp;"","")</f>
        <v/>
      </c>
      <c r="G63" s="369" t="s">
        <v>3884</v>
      </c>
      <c r="H63" s="371" t="s">
        <v>3933</v>
      </c>
      <c r="I63" s="368"/>
    </row>
    <row r="64" spans="2:9" ht="31.5">
      <c r="B64" s="165" t="s">
        <v>595</v>
      </c>
      <c r="C64" s="389" t="str">
        <f>IFERROR(INDEX(指標マスタ[],MATCH($B64,指標マスタ['#],0),MATCH(C$2,指標マスタ[#Headers],0))&amp;"","")</f>
        <v/>
      </c>
      <c r="D64" s="417" t="str">
        <f>IFERROR(INDEX(指標マスタ[],MATCH($B64,指標マスタ['#],0),MATCH(D$2,指標マスタ[#Headers],0))&amp;"","")</f>
        <v/>
      </c>
      <c r="E64" s="415" t="str">
        <f>IFERROR(INDEX(指標マスタ[],MATCH($B64,指標マスタ['#],0),MATCH(E$2,指標マスタ[#Headers],0))&amp;"","")</f>
        <v>緑地の充実度</v>
      </c>
      <c r="F64" s="416" t="str">
        <f>IFERROR(INDEX(指標マスタ[],MATCH($B64,指標マスタ['#],0),MATCH(F$2,指標マスタ[#Headers],0))&amp;"","")</f>
        <v/>
      </c>
      <c r="G64" s="369" t="s">
        <v>3885</v>
      </c>
      <c r="H64" s="371" t="s">
        <v>3934</v>
      </c>
      <c r="I64" s="368"/>
    </row>
    <row r="65" spans="2:9" ht="47.25">
      <c r="B65" s="165" t="s">
        <v>596</v>
      </c>
      <c r="C65" s="390" t="str">
        <f>IFERROR(INDEX(指標マスタ[],MATCH($B65,指標マスタ['#],0),MATCH(C$2,指標マスタ[#Headers],0))&amp;"","")</f>
        <v/>
      </c>
      <c r="D65" s="418" t="str">
        <f>IFERROR(INDEX(指標マスタ[],MATCH($B65,指標マスタ['#],0),MATCH(D$2,指標マスタ[#Headers],0))&amp;"","")</f>
        <v/>
      </c>
      <c r="E65" s="415" t="str">
        <f>IFERROR(INDEX(指標マスタ[],MATCH($B65,指標マスタ['#],0),MATCH(E$2,指標マスタ[#Headers],0))&amp;"","")</f>
        <v>都市空間の清潔さ</v>
      </c>
      <c r="F65" s="416" t="str">
        <f>IFERROR(INDEX(指標マスタ[],MATCH($B65,指標マスタ['#],0),MATCH(F$2,指標マスタ[#Headers],0))&amp;"","")</f>
        <v>Q</v>
      </c>
      <c r="G65" s="375" t="s">
        <v>3966</v>
      </c>
      <c r="H65" s="374" t="s">
        <v>3986</v>
      </c>
      <c r="I65" s="356" t="s">
        <v>3604</v>
      </c>
    </row>
    <row r="66" spans="2:9" ht="31.5">
      <c r="B66" s="173" t="s">
        <v>597</v>
      </c>
      <c r="C66" s="213" t="str">
        <f>IFERROR(INDEX(指標マスタ[],MATCH($B66,指標マスタ['#],0),MATCH(C$2,指標マスタ[#Headers],0))&amp;"","")</f>
        <v>交通・アクセス</v>
      </c>
      <c r="D66" s="422" t="str">
        <f>IFERROR(INDEX(指標マスタ[],MATCH($B66,指標マスタ['#],0),MATCH(D$2,指標マスタ[#Headers],0))&amp;"","")</f>
        <v>国際ネットワーク</v>
      </c>
      <c r="E66" s="419" t="str">
        <f>IFERROR(INDEX(指標マスタ[],MATCH($B66,指標マスタ['#],0),MATCH(E$2,指標マスタ[#Headers],0))&amp;"","")</f>
        <v>国際線直行便就航都市数</v>
      </c>
      <c r="F66" s="420" t="str">
        <f>IFERROR(INDEX(指標マスタ[],MATCH($B66,指標マスタ['#],0),MATCH(F$2,指標マスタ[#Headers],0))&amp;"","")</f>
        <v/>
      </c>
      <c r="G66" s="369" t="s">
        <v>3886</v>
      </c>
      <c r="H66" s="371" t="s">
        <v>3935</v>
      </c>
      <c r="I66" s="368"/>
    </row>
    <row r="67" spans="2:9" ht="78.75">
      <c r="B67" s="173" t="s">
        <v>598</v>
      </c>
      <c r="C67" s="425" t="str">
        <f>IFERROR(INDEX(指標マスタ[],MATCH($B67,指標マスタ['#],0),MATCH(C$2,指標マスタ[#Headers],0))&amp;"","")</f>
        <v/>
      </c>
      <c r="D67" s="423" t="str">
        <f>IFERROR(INDEX(指標マスタ[],MATCH($B67,指標マスタ['#],0),MATCH(D$2,指標マスタ[#Headers],0))&amp;"","")</f>
        <v/>
      </c>
      <c r="E67" s="419" t="str">
        <f>IFERROR(INDEX(指標マスタ[],MATCH($B67,指標マスタ['#],0),MATCH(E$2,指標マスタ[#Headers],0))&amp;"","")</f>
        <v>国際貨物流通規模</v>
      </c>
      <c r="F67" s="420" t="str">
        <f>IFERROR(INDEX(指標マスタ[],MATCH($B67,指標マスタ['#],0),MATCH(F$2,指標マスタ[#Headers],0))&amp;"","")</f>
        <v/>
      </c>
      <c r="G67" s="369" t="s">
        <v>3887</v>
      </c>
      <c r="H67" s="371" t="s">
        <v>3936</v>
      </c>
      <c r="I67" s="356" t="s">
        <v>3608</v>
      </c>
    </row>
    <row r="68" spans="2:9">
      <c r="B68" s="173" t="s">
        <v>599</v>
      </c>
      <c r="C68" s="425" t="str">
        <f>IFERROR(INDEX(指標マスタ[],MATCH($B68,指標マスタ['#],0),MATCH(C$2,指標マスタ[#Headers],0))&amp;"","")</f>
        <v/>
      </c>
      <c r="D68" s="422" t="str">
        <f>IFERROR(INDEX(指標マスタ[],MATCH($B68,指標マスタ['#],0),MATCH(D$2,指標マスタ[#Headers],0))&amp;"","")</f>
        <v>航空キャパシティ</v>
      </c>
      <c r="E68" s="419" t="str">
        <f>IFERROR(INDEX(指標マスタ[],MATCH($B68,指標マスタ['#],0),MATCH(E$2,指標マスタ[#Headers],0))&amp;"","")</f>
        <v>国内・国際線旅客数</v>
      </c>
      <c r="F68" s="420" t="str">
        <f>IFERROR(INDEX(指標マスタ[],MATCH($B68,指標マスタ['#],0),MATCH(F$2,指標マスタ[#Headers],0))&amp;"","")</f>
        <v/>
      </c>
      <c r="G68" s="369" t="s">
        <v>3888</v>
      </c>
      <c r="H68" s="371" t="s">
        <v>3937</v>
      </c>
      <c r="I68" s="368" t="s">
        <v>3607</v>
      </c>
    </row>
    <row r="69" spans="2:9" ht="31.5">
      <c r="B69" s="173" t="s">
        <v>600</v>
      </c>
      <c r="C69" s="425" t="str">
        <f>IFERROR(INDEX(指標マスタ[],MATCH($B69,指標マスタ['#],0),MATCH(C$2,指標マスタ[#Headers],0))&amp;"","")</f>
        <v/>
      </c>
      <c r="D69" s="423" t="str">
        <f>IFERROR(INDEX(指標マスタ[],MATCH($B69,指標マスタ['#],0),MATCH(D$2,指標マスタ[#Headers],0))&amp;"","")</f>
        <v/>
      </c>
      <c r="E69" s="419" t="str">
        <f>IFERROR(INDEX(指標マスタ[],MATCH($B69,指標マスタ['#],0),MATCH(E$2,指標マスタ[#Headers],0))&amp;"","")</f>
        <v>航空機の発着回数</v>
      </c>
      <c r="F69" s="420" t="str">
        <f>IFERROR(INDEX(指標マスタ[],MATCH($B69,指標マスタ['#],0),MATCH(F$2,指標マスタ[#Headers],0))&amp;"","")</f>
        <v/>
      </c>
      <c r="G69" s="369" t="s">
        <v>3889</v>
      </c>
      <c r="H69" s="371" t="s">
        <v>3987</v>
      </c>
      <c r="I69" s="368" t="s">
        <v>3607</v>
      </c>
    </row>
    <row r="70" spans="2:9" ht="31.5">
      <c r="B70" s="173" t="s">
        <v>601</v>
      </c>
      <c r="C70" s="425" t="str">
        <f>IFERROR(INDEX(指標マスタ[],MATCH($B70,指標マスタ['#],0),MATCH(C$2,指標マスタ[#Headers],0))&amp;"","")</f>
        <v/>
      </c>
      <c r="D70" s="422" t="str">
        <f>IFERROR(INDEX(指標マスタ[],MATCH($B70,指標マスタ['#],0),MATCH(D$2,指標マスタ[#Headers],0))&amp;"","")</f>
        <v>都市内交通</v>
      </c>
      <c r="E70" s="419" t="str">
        <f>IFERROR(INDEX(指標マスタ[],MATCH($B70,指標マスタ['#],0),MATCH(E$2,指標マスタ[#Headers],0))&amp;"","")</f>
        <v>駅密度</v>
      </c>
      <c r="F70" s="420" t="str">
        <f>IFERROR(INDEX(指標マスタ[],MATCH($B70,指標マスタ['#],0),MATCH(F$2,指標マスタ[#Headers],0))&amp;"","")</f>
        <v/>
      </c>
      <c r="G70" s="369" t="s">
        <v>3890</v>
      </c>
      <c r="H70" s="371" t="s">
        <v>3938</v>
      </c>
      <c r="I70" s="368"/>
    </row>
    <row r="71" spans="2:9" ht="31.5">
      <c r="B71" s="173" t="s">
        <v>602</v>
      </c>
      <c r="C71" s="425" t="str">
        <f>IFERROR(INDEX(指標マスタ[],MATCH($B71,指標マスタ['#],0),MATCH(C$2,指標マスタ[#Headers],0))&amp;"","")</f>
        <v/>
      </c>
      <c r="D71" s="424" t="str">
        <f>IFERROR(INDEX(指標マスタ[],MATCH($B71,指標マスタ['#],0),MATCH(D$2,指標マスタ[#Headers],0))&amp;"","")</f>
        <v/>
      </c>
      <c r="E71" s="419" t="str">
        <f>IFERROR(INDEX(指標マスタ[],MATCH($B71,指標マスタ['#],0),MATCH(E$2,指標マスタ[#Headers],0))&amp;"","")</f>
        <v>公共交通機関利用率</v>
      </c>
      <c r="F71" s="421" t="str">
        <f>IFERROR(INDEX(指標マスタ[],MATCH($B71,指標マスタ['#],0),MATCH(F$2,指標マスタ[#Headers],0))&amp;"","")</f>
        <v/>
      </c>
      <c r="G71" s="369" t="s">
        <v>3891</v>
      </c>
      <c r="H71" s="372" t="s">
        <v>3939</v>
      </c>
      <c r="I71" s="368"/>
    </row>
    <row r="72" spans="2:9" ht="31.5">
      <c r="B72" s="173" t="s">
        <v>603</v>
      </c>
      <c r="C72" s="425" t="str">
        <f>IFERROR(INDEX(指標マスタ[],MATCH($B72,指標マスタ['#],0),MATCH(C$2,指標マスタ[#Headers],0))&amp;"","")</f>
        <v/>
      </c>
      <c r="D72" s="423" t="str">
        <f>IFERROR(INDEX(指標マスタ[],MATCH($B72,指標マスタ['#],0),MATCH(D$2,指標マスタ[#Headers],0))&amp;"","")</f>
        <v/>
      </c>
      <c r="E72" s="419" t="str">
        <f>IFERROR(INDEX(指標マスタ[],MATCH($B72,指標マスタ['#],0),MATCH(E$2,指標マスタ[#Headers],0))&amp;"","")</f>
        <v>空港アクセス時間の短さ</v>
      </c>
      <c r="F72" s="420" t="str">
        <f>IFERROR(INDEX(指標マスタ[],MATCH($B72,指標マスタ['#],0),MATCH(F$2,指標マスタ[#Headers],0))&amp;"","")</f>
        <v/>
      </c>
      <c r="G72" s="371" t="s">
        <v>3892</v>
      </c>
      <c r="H72" s="371" t="s">
        <v>3940</v>
      </c>
      <c r="I72" s="368" t="s">
        <v>3607</v>
      </c>
    </row>
    <row r="73" spans="2:9" ht="31.5">
      <c r="B73" s="173" t="s">
        <v>604</v>
      </c>
      <c r="C73" s="425" t="str">
        <f>IFERROR(INDEX(指標マスタ[],MATCH($B73,指標マスタ['#],0),MATCH(C$2,指標マスタ[#Headers],0))&amp;"","")</f>
        <v/>
      </c>
      <c r="D73" s="422" t="str">
        <f>IFERROR(INDEX(指標マスタ[],MATCH($B73,指標マスタ['#],0),MATCH(D$2,指標マスタ[#Headers],0))&amp;"","")</f>
        <v>移動の快適性</v>
      </c>
      <c r="E73" s="419" t="str">
        <f>IFERROR(INDEX(指標マスタ[],MATCH($B73,指標マスタ['#],0),MATCH(E$2,指標マスタ[#Headers],0))&amp;"","")</f>
        <v>通勤・通学時間の短さ</v>
      </c>
      <c r="F73" s="421" t="str">
        <f>IFERROR(INDEX(指標マスタ[],MATCH($B73,指標マスタ['#],0),MATCH(F$2,指標マスタ[#Headers],0))&amp;"","")</f>
        <v>Q</v>
      </c>
      <c r="G73" s="369" t="s">
        <v>3893</v>
      </c>
      <c r="H73" s="372" t="s">
        <v>3941</v>
      </c>
      <c r="I73" s="368"/>
    </row>
    <row r="74" spans="2:9">
      <c r="B74" s="173" t="s">
        <v>605</v>
      </c>
      <c r="C74" s="425" t="str">
        <f>IFERROR(INDEX(指標マスタ[],MATCH($B74,指標マスタ['#],0),MATCH(C$2,指標マスタ[#Headers],0))&amp;"","")</f>
        <v/>
      </c>
      <c r="D74" s="424" t="str">
        <f>IFERROR(INDEX(指標マスタ[],MATCH($B74,指標マスタ['#],0),MATCH(D$2,指標マスタ[#Headers],0))&amp;"","")</f>
        <v/>
      </c>
      <c r="E74" s="419" t="str">
        <f>IFERROR(INDEX(指標マスタ[],MATCH($B74,指標マスタ['#],0),MATCH(E$2,指標マスタ[#Headers],0))&amp;"","")</f>
        <v>自動車の移動速度</v>
      </c>
      <c r="F74" s="420" t="str">
        <f>IFERROR(INDEX(指標マスタ[],MATCH($B74,指標マスタ['#],0),MATCH(F$2,指標マスタ[#Headers],0))&amp;"","")</f>
        <v/>
      </c>
      <c r="G74" s="376" t="s">
        <v>3976</v>
      </c>
      <c r="H74" s="374" t="s">
        <v>3977</v>
      </c>
      <c r="I74" s="368"/>
    </row>
    <row r="75" spans="2:9" ht="31.5">
      <c r="B75" s="175" t="s">
        <v>606</v>
      </c>
      <c r="C75" s="226" t="str">
        <f>IFERROR(INDEX(指標マスタ[],MATCH($B75,指標マスタ['#],0),MATCH(C$2,指標マスタ[#Headers],0))&amp;"","")</f>
        <v/>
      </c>
      <c r="D75" s="423" t="str">
        <f>IFERROR(INDEX(指標マスタ[],MATCH($B75,指標マスタ['#],0),MATCH(D$2,指標マスタ[#Headers],0))&amp;"","")</f>
        <v/>
      </c>
      <c r="E75" s="419" t="str">
        <f>IFERROR(INDEX(指標マスタ[],MATCH($B75,指標マスタ['#],0),MATCH(E$2,指標マスタ[#Headers],0))&amp;"","")</f>
        <v>タクシー・自転車での移動のしやすさ</v>
      </c>
      <c r="F75" s="420" t="str">
        <f>IFERROR(INDEX(指標マスタ[],MATCH($B75,指標マスタ['#],0),MATCH(F$2,指標マスタ[#Headers],0))&amp;"","")</f>
        <v/>
      </c>
      <c r="G75" s="371" t="s">
        <v>3967</v>
      </c>
      <c r="H75" s="371" t="s">
        <v>3968</v>
      </c>
      <c r="I75" s="356" t="s">
        <v>3609</v>
      </c>
    </row>
    <row r="76" spans="2:9">
      <c r="F76" s="87" t="s">
        <v>3979</v>
      </c>
    </row>
    <row r="78" spans="2:9">
      <c r="F78" s="24"/>
    </row>
    <row r="79" spans="2:9">
      <c r="F79" s="24"/>
    </row>
    <row r="80" spans="2:9">
      <c r="F80" s="24"/>
    </row>
    <row r="81" spans="6:6">
      <c r="F81" s="24"/>
    </row>
  </sheetData>
  <phoneticPr fontId="5"/>
  <pageMargins left="0.23622047244094491" right="0.23622047244094491" top="0.74803149606299213" bottom="0.74803149606299213" header="0.31496062992125984" footer="0.31496062992125984"/>
  <pageSetup paperSize="8" scale="68" fitToHeight="0" orientation="landscape" r:id="rId1"/>
  <rowBreaks count="5" manualBreakCount="5">
    <brk id="18" max="16383" man="1"/>
    <brk id="26" max="16383" man="1"/>
    <brk id="42" max="16383" man="1"/>
    <brk id="56" max="16383" man="1"/>
    <brk id="65" max="16383" man="1"/>
  </row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B2:P76"/>
  <sheetViews>
    <sheetView showGridLines="0" zoomScaleNormal="100" zoomScaleSheetLayoutView="85" workbookViewId="0">
      <pane ySplit="2" topLeftCell="A3" activePane="bottomLeft" state="frozen"/>
      <selection activeCell="G29" sqref="G29"/>
      <selection pane="bottomLeft" activeCell="H25" sqref="H25"/>
    </sheetView>
  </sheetViews>
  <sheetFormatPr defaultColWidth="9.28515625" defaultRowHeight="15.75"/>
  <cols>
    <col min="1" max="1" width="3.28515625" bestFit="1" customWidth="1"/>
    <col min="2" max="2" width="4.28515625" style="2" bestFit="1" customWidth="1"/>
    <col min="3" max="3" width="4.7109375" style="2" bestFit="1" customWidth="1"/>
    <col min="4" max="4" width="14.42578125" bestFit="1" customWidth="1"/>
    <col min="5" max="5" width="17.7109375" bestFit="1" customWidth="1"/>
    <col min="6" max="6" width="22.42578125" customWidth="1"/>
    <col min="7" max="7" width="26.42578125" customWidth="1"/>
    <col min="8" max="8" width="36.85546875" customWidth="1"/>
    <col min="9" max="9" width="41" bestFit="1" customWidth="1"/>
    <col min="10" max="10" width="4.140625" style="2" customWidth="1"/>
    <col min="11" max="11" width="12.42578125" bestFit="1" customWidth="1"/>
    <col min="12" max="12" width="20.7109375" bestFit="1" customWidth="1"/>
    <col min="13" max="13" width="3.42578125" customWidth="1"/>
    <col min="14" max="14" width="47.28515625" bestFit="1" customWidth="1"/>
  </cols>
  <sheetData>
    <row r="2" spans="2:14">
      <c r="B2" s="35" t="s">
        <v>208</v>
      </c>
      <c r="C2" s="35" t="s">
        <v>252</v>
      </c>
      <c r="D2" s="36" t="s">
        <v>200</v>
      </c>
      <c r="E2" s="36" t="s">
        <v>201</v>
      </c>
      <c r="F2" s="36" t="s">
        <v>202</v>
      </c>
      <c r="G2" s="36" t="s">
        <v>203</v>
      </c>
      <c r="H2" s="36" t="s">
        <v>204</v>
      </c>
      <c r="I2" s="36" t="s">
        <v>205</v>
      </c>
      <c r="J2" s="35" t="s">
        <v>543</v>
      </c>
      <c r="K2" s="36" t="s">
        <v>206</v>
      </c>
      <c r="L2" s="36" t="s">
        <v>251</v>
      </c>
      <c r="N2" s="357" t="s">
        <v>3836</v>
      </c>
    </row>
    <row r="3" spans="2:14">
      <c r="B3" s="54" t="s">
        <v>1081</v>
      </c>
      <c r="C3" s="54" t="s">
        <v>253</v>
      </c>
      <c r="D3" s="39" t="s">
        <v>103</v>
      </c>
      <c r="E3" s="40" t="s">
        <v>104</v>
      </c>
      <c r="F3" s="40" t="s">
        <v>103</v>
      </c>
      <c r="G3" s="40" t="s">
        <v>104</v>
      </c>
      <c r="H3" s="40" t="s">
        <v>41</v>
      </c>
      <c r="I3" s="40" t="s">
        <v>64</v>
      </c>
      <c r="J3" s="41"/>
      <c r="K3" s="1" t="s">
        <v>221</v>
      </c>
      <c r="L3" s="234" t="s">
        <v>405</v>
      </c>
      <c r="N3" s="358"/>
    </row>
    <row r="4" spans="2:14">
      <c r="B4" s="54" t="s">
        <v>1082</v>
      </c>
      <c r="C4" s="54" t="s">
        <v>253</v>
      </c>
      <c r="D4" s="39"/>
      <c r="E4" s="40"/>
      <c r="F4" s="40"/>
      <c r="G4" s="40"/>
      <c r="H4" s="40" t="s">
        <v>42</v>
      </c>
      <c r="I4" s="40" t="s">
        <v>65</v>
      </c>
      <c r="J4" s="41"/>
      <c r="K4" s="1" t="s">
        <v>223</v>
      </c>
      <c r="L4" s="1" t="s">
        <v>223</v>
      </c>
      <c r="N4" s="358"/>
    </row>
    <row r="5" spans="2:14">
      <c r="B5" s="54" t="s">
        <v>1083</v>
      </c>
      <c r="C5" s="54" t="s">
        <v>253</v>
      </c>
      <c r="D5" s="39"/>
      <c r="E5" s="40"/>
      <c r="F5" s="40"/>
      <c r="G5" s="40"/>
      <c r="H5" s="40" t="s">
        <v>2457</v>
      </c>
      <c r="I5" s="40" t="s">
        <v>545</v>
      </c>
      <c r="J5" s="41"/>
      <c r="K5" s="1" t="s">
        <v>643</v>
      </c>
      <c r="L5" s="1" t="s">
        <v>643</v>
      </c>
      <c r="N5" s="358"/>
    </row>
    <row r="6" spans="2:14">
      <c r="B6" s="132" t="s">
        <v>211</v>
      </c>
      <c r="C6" s="133" t="s">
        <v>539</v>
      </c>
      <c r="D6" s="183" t="s">
        <v>0</v>
      </c>
      <c r="E6" s="184" t="s">
        <v>6</v>
      </c>
      <c r="F6" s="184" t="s">
        <v>11</v>
      </c>
      <c r="G6" s="184" t="s">
        <v>26</v>
      </c>
      <c r="H6" s="184" t="s">
        <v>43</v>
      </c>
      <c r="I6" s="184" t="s">
        <v>66</v>
      </c>
      <c r="J6" s="185"/>
      <c r="K6" s="184" t="s">
        <v>224</v>
      </c>
      <c r="L6" s="184" t="s">
        <v>406</v>
      </c>
      <c r="N6" s="358"/>
    </row>
    <row r="7" spans="2:14">
      <c r="B7" s="132" t="s">
        <v>212</v>
      </c>
      <c r="C7" s="133" t="s">
        <v>539</v>
      </c>
      <c r="D7" s="183"/>
      <c r="E7" s="184"/>
      <c r="F7" s="184"/>
      <c r="G7" s="184"/>
      <c r="H7" s="184" t="s">
        <v>44</v>
      </c>
      <c r="I7" s="184" t="s">
        <v>2508</v>
      </c>
      <c r="J7" s="185"/>
      <c r="K7" s="184" t="s">
        <v>399</v>
      </c>
      <c r="L7" s="184" t="s">
        <v>672</v>
      </c>
      <c r="N7" s="358"/>
    </row>
    <row r="8" spans="2:14">
      <c r="B8" s="132" t="s">
        <v>213</v>
      </c>
      <c r="C8" s="133" t="s">
        <v>542</v>
      </c>
      <c r="D8" s="183"/>
      <c r="E8" s="184"/>
      <c r="F8" s="184" t="s">
        <v>12</v>
      </c>
      <c r="G8" s="184" t="s">
        <v>27</v>
      </c>
      <c r="H8" s="184" t="s">
        <v>45</v>
      </c>
      <c r="I8" s="184" t="s">
        <v>67</v>
      </c>
      <c r="J8" s="185"/>
      <c r="K8" s="184" t="s">
        <v>231</v>
      </c>
      <c r="L8" s="184" t="s">
        <v>231</v>
      </c>
      <c r="N8" s="358"/>
    </row>
    <row r="9" spans="2:14">
      <c r="B9" s="132" t="s">
        <v>214</v>
      </c>
      <c r="C9" s="133" t="s">
        <v>542</v>
      </c>
      <c r="D9" s="183"/>
      <c r="E9" s="184"/>
      <c r="F9" s="184"/>
      <c r="G9" s="184"/>
      <c r="H9" s="184" t="s">
        <v>46</v>
      </c>
      <c r="I9" s="184" t="s">
        <v>68</v>
      </c>
      <c r="J9" s="185"/>
      <c r="K9" s="184" t="s">
        <v>400</v>
      </c>
      <c r="L9" s="184" t="s">
        <v>400</v>
      </c>
      <c r="N9" s="358"/>
    </row>
    <row r="10" spans="2:14">
      <c r="B10" s="132" t="s">
        <v>215</v>
      </c>
      <c r="C10" s="133" t="s">
        <v>541</v>
      </c>
      <c r="D10" s="183"/>
      <c r="E10" s="184"/>
      <c r="F10" s="184" t="s">
        <v>13</v>
      </c>
      <c r="G10" s="184" t="s">
        <v>28</v>
      </c>
      <c r="H10" s="355" t="s">
        <v>3832</v>
      </c>
      <c r="I10" s="184" t="s">
        <v>392</v>
      </c>
      <c r="J10" s="185"/>
      <c r="K10" s="184" t="s">
        <v>224</v>
      </c>
      <c r="L10" s="184" t="s">
        <v>2569</v>
      </c>
      <c r="N10" s="364" t="s">
        <v>3949</v>
      </c>
    </row>
    <row r="11" spans="2:14">
      <c r="B11" s="132" t="s">
        <v>216</v>
      </c>
      <c r="C11" s="133" t="s">
        <v>541</v>
      </c>
      <c r="D11" s="183"/>
      <c r="E11" s="184"/>
      <c r="F11" s="184"/>
      <c r="G11" s="184"/>
      <c r="H11" s="184" t="s">
        <v>47</v>
      </c>
      <c r="I11" s="184" t="s">
        <v>69</v>
      </c>
      <c r="J11" s="185"/>
      <c r="K11" s="184" t="s">
        <v>2570</v>
      </c>
      <c r="L11" s="184" t="s">
        <v>2569</v>
      </c>
      <c r="N11" s="358"/>
    </row>
    <row r="12" spans="2:14">
      <c r="B12" s="132" t="s">
        <v>217</v>
      </c>
      <c r="C12" s="133" t="s">
        <v>540</v>
      </c>
      <c r="D12" s="183"/>
      <c r="E12" s="184"/>
      <c r="F12" s="184" t="s">
        <v>14</v>
      </c>
      <c r="G12" s="184" t="s">
        <v>29</v>
      </c>
      <c r="H12" s="184" t="s">
        <v>48</v>
      </c>
      <c r="I12" s="184" t="s">
        <v>70</v>
      </c>
      <c r="J12" s="185"/>
      <c r="K12" s="184" t="s">
        <v>221</v>
      </c>
      <c r="L12" s="184" t="s">
        <v>405</v>
      </c>
      <c r="N12" s="358"/>
    </row>
    <row r="13" spans="2:14">
      <c r="B13" s="132" t="s">
        <v>218</v>
      </c>
      <c r="C13" s="133" t="s">
        <v>540</v>
      </c>
      <c r="D13" s="183"/>
      <c r="E13" s="184"/>
      <c r="F13" s="184"/>
      <c r="G13" s="184"/>
      <c r="H13" s="184" t="s">
        <v>384</v>
      </c>
      <c r="I13" s="184" t="s">
        <v>71</v>
      </c>
      <c r="J13" s="185"/>
      <c r="K13" s="184" t="s">
        <v>231</v>
      </c>
      <c r="L13" s="184" t="s">
        <v>231</v>
      </c>
      <c r="N13" s="358"/>
    </row>
    <row r="14" spans="2:14" ht="15.4" customHeight="1">
      <c r="B14" s="132" t="s">
        <v>219</v>
      </c>
      <c r="C14" s="133" t="s">
        <v>258</v>
      </c>
      <c r="D14" s="183"/>
      <c r="E14" s="184"/>
      <c r="F14" s="184" t="s">
        <v>15</v>
      </c>
      <c r="G14" s="184" t="s">
        <v>30</v>
      </c>
      <c r="H14" s="184" t="s">
        <v>2458</v>
      </c>
      <c r="I14" s="184" t="s">
        <v>72</v>
      </c>
      <c r="J14" s="185"/>
      <c r="K14" s="355" t="s">
        <v>402</v>
      </c>
      <c r="L14" s="355" t="s">
        <v>413</v>
      </c>
      <c r="N14" s="364" t="s">
        <v>3948</v>
      </c>
    </row>
    <row r="15" spans="2:14">
      <c r="B15" s="134" t="s">
        <v>611</v>
      </c>
      <c r="C15" s="133" t="s">
        <v>258</v>
      </c>
      <c r="D15" s="183"/>
      <c r="E15" s="184"/>
      <c r="F15" s="184"/>
      <c r="G15" s="184"/>
      <c r="H15" s="184" t="s">
        <v>49</v>
      </c>
      <c r="I15" s="184" t="s">
        <v>73</v>
      </c>
      <c r="J15" s="185"/>
      <c r="K15" s="184" t="s">
        <v>246</v>
      </c>
      <c r="L15" s="184" t="s">
        <v>407</v>
      </c>
      <c r="N15" s="358"/>
    </row>
    <row r="16" spans="2:14">
      <c r="B16" s="134" t="s">
        <v>547</v>
      </c>
      <c r="C16" s="133" t="s">
        <v>258</v>
      </c>
      <c r="D16" s="183"/>
      <c r="E16" s="184"/>
      <c r="F16" s="184"/>
      <c r="G16" s="184"/>
      <c r="H16" s="184" t="s">
        <v>3944</v>
      </c>
      <c r="I16" s="184" t="s">
        <v>74</v>
      </c>
      <c r="J16" s="185"/>
      <c r="K16" s="184" t="s">
        <v>246</v>
      </c>
      <c r="L16" s="184" t="s">
        <v>407</v>
      </c>
      <c r="N16" s="358"/>
    </row>
    <row r="17" spans="2:14">
      <c r="B17" s="134" t="s">
        <v>548</v>
      </c>
      <c r="C17" s="133" t="s">
        <v>259</v>
      </c>
      <c r="D17" s="183"/>
      <c r="E17" s="184"/>
      <c r="F17" s="184" t="s">
        <v>16</v>
      </c>
      <c r="G17" s="184" t="s">
        <v>31</v>
      </c>
      <c r="H17" s="184" t="s">
        <v>2459</v>
      </c>
      <c r="I17" s="184" t="s">
        <v>75</v>
      </c>
      <c r="J17" s="185"/>
      <c r="K17" s="184" t="s">
        <v>231</v>
      </c>
      <c r="L17" s="184" t="s">
        <v>231</v>
      </c>
      <c r="N17" s="358"/>
    </row>
    <row r="18" spans="2:14">
      <c r="B18" s="134" t="s">
        <v>549</v>
      </c>
      <c r="C18" s="133" t="s">
        <v>259</v>
      </c>
      <c r="D18" s="183"/>
      <c r="E18" s="184"/>
      <c r="F18" s="184"/>
      <c r="G18" s="184"/>
      <c r="H18" s="184" t="s">
        <v>3567</v>
      </c>
      <c r="I18" s="184" t="s">
        <v>76</v>
      </c>
      <c r="J18" s="185"/>
      <c r="K18" s="184" t="s">
        <v>246</v>
      </c>
      <c r="L18" s="184" t="s">
        <v>407</v>
      </c>
      <c r="N18" s="358"/>
    </row>
    <row r="19" spans="2:14">
      <c r="B19" s="142" t="s">
        <v>550</v>
      </c>
      <c r="C19" s="143" t="s">
        <v>260</v>
      </c>
      <c r="D19" s="187" t="s">
        <v>1</v>
      </c>
      <c r="E19" s="188" t="s">
        <v>442</v>
      </c>
      <c r="F19" s="188" t="s">
        <v>17</v>
      </c>
      <c r="G19" s="188" t="s">
        <v>32</v>
      </c>
      <c r="H19" s="188" t="s">
        <v>50</v>
      </c>
      <c r="I19" s="188" t="s">
        <v>77</v>
      </c>
      <c r="J19" s="189"/>
      <c r="K19" s="188" t="s">
        <v>221</v>
      </c>
      <c r="L19" s="188" t="s">
        <v>405</v>
      </c>
      <c r="N19" s="358"/>
    </row>
    <row r="20" spans="2:14" ht="15.4" customHeight="1">
      <c r="B20" s="142" t="s">
        <v>551</v>
      </c>
      <c r="C20" s="143" t="s">
        <v>260</v>
      </c>
      <c r="D20" s="187"/>
      <c r="E20" s="188"/>
      <c r="F20" s="188"/>
      <c r="G20" s="188"/>
      <c r="H20" s="188" t="s">
        <v>2460</v>
      </c>
      <c r="I20" s="188" t="s">
        <v>78</v>
      </c>
      <c r="J20" s="189"/>
      <c r="K20" s="188" t="s">
        <v>400</v>
      </c>
      <c r="L20" s="188" t="s">
        <v>400</v>
      </c>
      <c r="N20" s="358"/>
    </row>
    <row r="21" spans="2:14">
      <c r="B21" s="142" t="s">
        <v>552</v>
      </c>
      <c r="C21" s="143" t="s">
        <v>261</v>
      </c>
      <c r="D21" s="187"/>
      <c r="E21" s="188"/>
      <c r="F21" s="188" t="s">
        <v>18</v>
      </c>
      <c r="G21" s="188" t="s">
        <v>383</v>
      </c>
      <c r="H21" s="188" t="s">
        <v>51</v>
      </c>
      <c r="I21" s="188" t="s">
        <v>3942</v>
      </c>
      <c r="J21" s="189"/>
      <c r="K21" s="188" t="s">
        <v>224</v>
      </c>
      <c r="L21" s="188" t="s">
        <v>406</v>
      </c>
      <c r="N21" s="358"/>
    </row>
    <row r="22" spans="2:14">
      <c r="B22" s="142" t="s">
        <v>553</v>
      </c>
      <c r="C22" s="143" t="s">
        <v>261</v>
      </c>
      <c r="D22" s="187"/>
      <c r="E22" s="188"/>
      <c r="F22" s="188"/>
      <c r="G22" s="188"/>
      <c r="H22" s="188" t="s">
        <v>2461</v>
      </c>
      <c r="I22" s="190" t="s">
        <v>397</v>
      </c>
      <c r="J22" s="191"/>
      <c r="K22" s="188" t="s">
        <v>221</v>
      </c>
      <c r="L22" s="188" t="s">
        <v>405</v>
      </c>
      <c r="N22" s="358"/>
    </row>
    <row r="23" spans="2:14">
      <c r="B23" s="142" t="s">
        <v>554</v>
      </c>
      <c r="C23" s="143" t="s">
        <v>261</v>
      </c>
      <c r="D23" s="187"/>
      <c r="E23" s="188"/>
      <c r="F23" s="188"/>
      <c r="G23" s="188"/>
      <c r="H23" s="188" t="s">
        <v>419</v>
      </c>
      <c r="I23" s="190" t="s">
        <v>391</v>
      </c>
      <c r="J23" s="191"/>
      <c r="K23" s="188" t="s">
        <v>400</v>
      </c>
      <c r="L23" s="188" t="s">
        <v>400</v>
      </c>
      <c r="N23" s="358"/>
    </row>
    <row r="24" spans="2:14">
      <c r="B24" s="142" t="s">
        <v>555</v>
      </c>
      <c r="C24" s="143" t="s">
        <v>262</v>
      </c>
      <c r="D24" s="187"/>
      <c r="E24" s="188"/>
      <c r="F24" s="188" t="s">
        <v>19</v>
      </c>
      <c r="G24" s="188" t="s">
        <v>33</v>
      </c>
      <c r="H24" s="188" t="s">
        <v>2462</v>
      </c>
      <c r="I24" s="190" t="s">
        <v>79</v>
      </c>
      <c r="J24" s="191"/>
      <c r="K24" s="188" t="s">
        <v>236</v>
      </c>
      <c r="L24" s="188" t="s">
        <v>408</v>
      </c>
      <c r="N24" s="358"/>
    </row>
    <row r="25" spans="2:14">
      <c r="B25" s="142" t="s">
        <v>556</v>
      </c>
      <c r="C25" s="143" t="s">
        <v>262</v>
      </c>
      <c r="D25" s="187"/>
      <c r="E25" s="188"/>
      <c r="F25" s="188"/>
      <c r="G25" s="188"/>
      <c r="H25" s="188" t="s">
        <v>420</v>
      </c>
      <c r="I25" s="190" t="s">
        <v>80</v>
      </c>
      <c r="J25" s="191"/>
      <c r="K25" s="188" t="s">
        <v>400</v>
      </c>
      <c r="L25" s="188" t="s">
        <v>400</v>
      </c>
      <c r="N25" s="358"/>
    </row>
    <row r="26" spans="2:14" ht="15.4" customHeight="1">
      <c r="B26" s="142" t="s">
        <v>557</v>
      </c>
      <c r="C26" s="143" t="s">
        <v>262</v>
      </c>
      <c r="D26" s="187"/>
      <c r="E26" s="188"/>
      <c r="F26" s="188"/>
      <c r="G26" s="188"/>
      <c r="H26" s="188" t="s">
        <v>2528</v>
      </c>
      <c r="I26" s="190" t="s">
        <v>2497</v>
      </c>
      <c r="J26" s="191"/>
      <c r="K26" s="188" t="s">
        <v>2503</v>
      </c>
      <c r="L26" s="188" t="s">
        <v>2502</v>
      </c>
      <c r="N26" s="358"/>
    </row>
    <row r="27" spans="2:14">
      <c r="B27" s="150" t="s">
        <v>558</v>
      </c>
      <c r="C27" s="151" t="s">
        <v>263</v>
      </c>
      <c r="D27" s="193" t="s">
        <v>2</v>
      </c>
      <c r="E27" s="194" t="s">
        <v>7</v>
      </c>
      <c r="F27" s="194" t="s">
        <v>438</v>
      </c>
      <c r="G27" s="194" t="s">
        <v>34</v>
      </c>
      <c r="H27" s="194" t="s">
        <v>2463</v>
      </c>
      <c r="I27" s="195" t="s">
        <v>81</v>
      </c>
      <c r="J27" s="196"/>
      <c r="K27" s="194" t="s">
        <v>236</v>
      </c>
      <c r="L27" s="194" t="s">
        <v>409</v>
      </c>
      <c r="N27" s="358"/>
    </row>
    <row r="28" spans="2:14">
      <c r="B28" s="150" t="s">
        <v>559</v>
      </c>
      <c r="C28" s="151" t="s">
        <v>263</v>
      </c>
      <c r="D28" s="193"/>
      <c r="E28" s="194"/>
      <c r="F28" s="194"/>
      <c r="G28" s="194"/>
      <c r="H28" s="194" t="s">
        <v>421</v>
      </c>
      <c r="I28" s="195" t="s">
        <v>422</v>
      </c>
      <c r="J28" s="196"/>
      <c r="K28" s="194" t="s">
        <v>246</v>
      </c>
      <c r="L28" s="194" t="s">
        <v>407</v>
      </c>
      <c r="N28" s="358"/>
    </row>
    <row r="29" spans="2:14">
      <c r="B29" s="150" t="s">
        <v>560</v>
      </c>
      <c r="C29" s="151" t="s">
        <v>263</v>
      </c>
      <c r="D29" s="193"/>
      <c r="E29" s="194"/>
      <c r="F29" s="194"/>
      <c r="G29" s="194"/>
      <c r="H29" s="194" t="s">
        <v>52</v>
      </c>
      <c r="I29" s="195" t="s">
        <v>82</v>
      </c>
      <c r="J29" s="196"/>
      <c r="K29" s="194" t="s">
        <v>246</v>
      </c>
      <c r="L29" s="194" t="s">
        <v>407</v>
      </c>
      <c r="N29" s="358"/>
    </row>
    <row r="30" spans="2:14" ht="15.4" customHeight="1">
      <c r="B30" s="150" t="s">
        <v>561</v>
      </c>
      <c r="C30" s="151" t="s">
        <v>368</v>
      </c>
      <c r="D30" s="193"/>
      <c r="E30" s="194"/>
      <c r="F30" s="194"/>
      <c r="G30" s="194"/>
      <c r="H30" s="194" t="s">
        <v>2537</v>
      </c>
      <c r="I30" s="195" t="s">
        <v>2536</v>
      </c>
      <c r="J30" s="196"/>
      <c r="K30" s="194" t="s">
        <v>246</v>
      </c>
      <c r="L30" s="194" t="s">
        <v>407</v>
      </c>
      <c r="N30" s="358"/>
    </row>
    <row r="31" spans="2:14">
      <c r="B31" s="150" t="s">
        <v>562</v>
      </c>
      <c r="C31" s="151" t="s">
        <v>264</v>
      </c>
      <c r="D31" s="193"/>
      <c r="E31" s="194"/>
      <c r="F31" s="194" t="s">
        <v>378</v>
      </c>
      <c r="G31" s="194" t="s">
        <v>380</v>
      </c>
      <c r="H31" s="194" t="s">
        <v>393</v>
      </c>
      <c r="I31" s="195" t="s">
        <v>430</v>
      </c>
      <c r="J31" s="196" t="s">
        <v>382</v>
      </c>
      <c r="K31" s="194" t="s">
        <v>246</v>
      </c>
      <c r="L31" s="194" t="s">
        <v>407</v>
      </c>
      <c r="N31" s="358"/>
    </row>
    <row r="32" spans="2:14">
      <c r="B32" s="150" t="s">
        <v>563</v>
      </c>
      <c r="C32" s="151" t="s">
        <v>264</v>
      </c>
      <c r="D32" s="193"/>
      <c r="E32" s="194"/>
      <c r="F32" s="194"/>
      <c r="G32" s="194"/>
      <c r="H32" s="194" t="s">
        <v>376</v>
      </c>
      <c r="I32" s="195" t="s">
        <v>83</v>
      </c>
      <c r="J32" s="196"/>
      <c r="K32" s="194" t="s">
        <v>400</v>
      </c>
      <c r="L32" s="194" t="s">
        <v>400</v>
      </c>
      <c r="N32" s="358"/>
    </row>
    <row r="33" spans="2:16">
      <c r="B33" s="150" t="s">
        <v>564</v>
      </c>
      <c r="C33" s="151" t="s">
        <v>264</v>
      </c>
      <c r="D33" s="193"/>
      <c r="E33" s="194"/>
      <c r="F33" s="194"/>
      <c r="G33" s="194"/>
      <c r="H33" s="194" t="s">
        <v>374</v>
      </c>
      <c r="I33" s="195" t="s">
        <v>375</v>
      </c>
      <c r="J33" s="196" t="s">
        <v>382</v>
      </c>
      <c r="K33" s="194" t="s">
        <v>246</v>
      </c>
      <c r="L33" s="194" t="s">
        <v>407</v>
      </c>
      <c r="N33" s="358"/>
    </row>
    <row r="34" spans="2:16">
      <c r="B34" s="150" t="s">
        <v>565</v>
      </c>
      <c r="C34" s="151" t="s">
        <v>265</v>
      </c>
      <c r="D34" s="193"/>
      <c r="E34" s="194"/>
      <c r="F34" s="194" t="s">
        <v>377</v>
      </c>
      <c r="G34" s="194" t="s">
        <v>379</v>
      </c>
      <c r="H34" s="194" t="s">
        <v>53</v>
      </c>
      <c r="I34" s="195" t="s">
        <v>398</v>
      </c>
      <c r="J34" s="196"/>
      <c r="K34" s="194" t="s">
        <v>434</v>
      </c>
      <c r="L34" s="194" t="s">
        <v>460</v>
      </c>
      <c r="N34" s="358"/>
    </row>
    <row r="35" spans="2:16">
      <c r="B35" s="150" t="s">
        <v>566</v>
      </c>
      <c r="C35" s="151" t="s">
        <v>265</v>
      </c>
      <c r="D35" s="193"/>
      <c r="E35" s="194"/>
      <c r="F35" s="194"/>
      <c r="G35" s="194"/>
      <c r="H35" s="194" t="s">
        <v>54</v>
      </c>
      <c r="I35" s="195" t="s">
        <v>84</v>
      </c>
      <c r="J35" s="196"/>
      <c r="K35" s="194" t="s">
        <v>239</v>
      </c>
      <c r="L35" s="194" t="s">
        <v>410</v>
      </c>
      <c r="N35" s="358"/>
    </row>
    <row r="36" spans="2:16" ht="15.4" customHeight="1">
      <c r="B36" s="150" t="s">
        <v>567</v>
      </c>
      <c r="C36" s="151" t="s">
        <v>265</v>
      </c>
      <c r="D36" s="193"/>
      <c r="E36" s="194"/>
      <c r="F36" s="194"/>
      <c r="G36" s="194"/>
      <c r="H36" s="194" t="s">
        <v>55</v>
      </c>
      <c r="I36" s="195" t="s">
        <v>85</v>
      </c>
      <c r="J36" s="196"/>
      <c r="K36" s="194" t="s">
        <v>239</v>
      </c>
      <c r="L36" s="194" t="s">
        <v>410</v>
      </c>
      <c r="N36" s="358"/>
    </row>
    <row r="37" spans="2:16">
      <c r="B37" s="150" t="s">
        <v>568</v>
      </c>
      <c r="C37" s="151" t="s">
        <v>266</v>
      </c>
      <c r="D37" s="193"/>
      <c r="E37" s="194"/>
      <c r="F37" s="194" t="s">
        <v>20</v>
      </c>
      <c r="G37" s="194" t="s">
        <v>394</v>
      </c>
      <c r="H37" s="194" t="s">
        <v>395</v>
      </c>
      <c r="I37" s="195" t="s">
        <v>381</v>
      </c>
      <c r="J37" s="196"/>
      <c r="K37" s="194" t="s">
        <v>240</v>
      </c>
      <c r="L37" s="194" t="s">
        <v>411</v>
      </c>
      <c r="N37" s="358"/>
    </row>
    <row r="38" spans="2:16">
      <c r="B38" s="150" t="s">
        <v>569</v>
      </c>
      <c r="C38" s="151" t="s">
        <v>266</v>
      </c>
      <c r="D38" s="193"/>
      <c r="E38" s="194"/>
      <c r="F38" s="194"/>
      <c r="G38" s="194"/>
      <c r="H38" s="194" t="s">
        <v>56</v>
      </c>
      <c r="I38" s="195" t="s">
        <v>429</v>
      </c>
      <c r="J38" s="196"/>
      <c r="K38" s="194" t="s">
        <v>240</v>
      </c>
      <c r="L38" s="194" t="s">
        <v>411</v>
      </c>
      <c r="N38" s="358"/>
    </row>
    <row r="39" spans="2:16">
      <c r="B39" s="150" t="s">
        <v>570</v>
      </c>
      <c r="C39" s="151" t="s">
        <v>266</v>
      </c>
      <c r="D39" s="193"/>
      <c r="E39" s="194"/>
      <c r="F39" s="194"/>
      <c r="G39" s="194"/>
      <c r="H39" s="194" t="s">
        <v>57</v>
      </c>
      <c r="I39" s="195" t="s">
        <v>86</v>
      </c>
      <c r="J39" s="196" t="s">
        <v>382</v>
      </c>
      <c r="K39" s="194" t="s">
        <v>246</v>
      </c>
      <c r="L39" s="194" t="s">
        <v>407</v>
      </c>
      <c r="N39" s="358"/>
    </row>
    <row r="40" spans="2:16" ht="15.4" customHeight="1">
      <c r="B40" s="150" t="s">
        <v>571</v>
      </c>
      <c r="C40" s="151" t="s">
        <v>266</v>
      </c>
      <c r="D40" s="193"/>
      <c r="E40" s="194"/>
      <c r="F40" s="194"/>
      <c r="G40" s="194"/>
      <c r="H40" s="194" t="s">
        <v>58</v>
      </c>
      <c r="I40" s="195" t="s">
        <v>87</v>
      </c>
      <c r="J40" s="196" t="s">
        <v>382</v>
      </c>
      <c r="K40" s="194" t="s">
        <v>246</v>
      </c>
      <c r="L40" s="194" t="s">
        <v>407</v>
      </c>
      <c r="N40" s="358"/>
    </row>
    <row r="41" spans="2:16">
      <c r="B41" s="150" t="s">
        <v>572</v>
      </c>
      <c r="C41" s="151" t="s">
        <v>267</v>
      </c>
      <c r="D41" s="193"/>
      <c r="E41" s="194"/>
      <c r="F41" s="194" t="s">
        <v>437</v>
      </c>
      <c r="G41" s="194" t="s">
        <v>35</v>
      </c>
      <c r="H41" s="194" t="s">
        <v>59</v>
      </c>
      <c r="I41" s="195" t="s">
        <v>88</v>
      </c>
      <c r="J41" s="196"/>
      <c r="K41" s="194" t="s">
        <v>221</v>
      </c>
      <c r="L41" s="194" t="s">
        <v>405</v>
      </c>
      <c r="N41" s="358"/>
    </row>
    <row r="42" spans="2:16" ht="15.4" customHeight="1">
      <c r="B42" s="150" t="s">
        <v>573</v>
      </c>
      <c r="C42" s="151" t="s">
        <v>267</v>
      </c>
      <c r="D42" s="193"/>
      <c r="E42" s="194"/>
      <c r="F42" s="197"/>
      <c r="G42" s="197"/>
      <c r="H42" s="194" t="s">
        <v>2464</v>
      </c>
      <c r="I42" s="195" t="s">
        <v>89</v>
      </c>
      <c r="J42" s="196"/>
      <c r="K42" s="194" t="s">
        <v>221</v>
      </c>
      <c r="L42" s="194" t="s">
        <v>405</v>
      </c>
      <c r="N42" s="358"/>
    </row>
    <row r="43" spans="2:16">
      <c r="B43" s="157" t="s">
        <v>574</v>
      </c>
      <c r="C43" s="158" t="s">
        <v>268</v>
      </c>
      <c r="D43" s="199" t="s">
        <v>3</v>
      </c>
      <c r="E43" s="200" t="s">
        <v>8</v>
      </c>
      <c r="F43" s="200" t="s">
        <v>21</v>
      </c>
      <c r="G43" s="200" t="s">
        <v>36</v>
      </c>
      <c r="H43" s="200" t="s">
        <v>2465</v>
      </c>
      <c r="I43" s="201" t="s">
        <v>90</v>
      </c>
      <c r="J43" s="202"/>
      <c r="K43" s="200" t="s">
        <v>231</v>
      </c>
      <c r="L43" s="200" t="s">
        <v>231</v>
      </c>
      <c r="N43" s="358"/>
    </row>
    <row r="44" spans="2:16">
      <c r="B44" s="157" t="s">
        <v>575</v>
      </c>
      <c r="C44" s="158" t="s">
        <v>268</v>
      </c>
      <c r="D44" s="199"/>
      <c r="E44" s="200"/>
      <c r="F44" s="200"/>
      <c r="G44" s="200"/>
      <c r="H44" s="200" t="s">
        <v>3831</v>
      </c>
      <c r="I44" s="201" t="s">
        <v>3830</v>
      </c>
      <c r="J44" s="202"/>
      <c r="K44" s="200" t="s">
        <v>401</v>
      </c>
      <c r="L44" s="200" t="s">
        <v>412</v>
      </c>
      <c r="N44" s="358"/>
    </row>
    <row r="45" spans="2:16">
      <c r="B45" s="157" t="s">
        <v>576</v>
      </c>
      <c r="C45" s="158" t="s">
        <v>268</v>
      </c>
      <c r="D45" s="199"/>
      <c r="E45" s="200"/>
      <c r="F45" s="200"/>
      <c r="G45" s="200"/>
      <c r="H45" s="200" t="s">
        <v>433</v>
      </c>
      <c r="I45" s="201" t="s">
        <v>432</v>
      </c>
      <c r="J45" s="202" t="s">
        <v>382</v>
      </c>
      <c r="K45" s="200" t="s">
        <v>400</v>
      </c>
      <c r="L45" s="200" t="s">
        <v>400</v>
      </c>
      <c r="N45" s="358"/>
    </row>
    <row r="46" spans="2:16">
      <c r="B46" s="157" t="s">
        <v>577</v>
      </c>
      <c r="C46" s="158" t="s">
        <v>269</v>
      </c>
      <c r="D46" s="199"/>
      <c r="E46" s="200"/>
      <c r="F46" s="200" t="s">
        <v>22</v>
      </c>
      <c r="G46" s="200" t="s">
        <v>37</v>
      </c>
      <c r="H46" s="200" t="s">
        <v>3945</v>
      </c>
      <c r="I46" s="201" t="s">
        <v>91</v>
      </c>
      <c r="J46" s="202"/>
      <c r="K46" s="200" t="s">
        <v>402</v>
      </c>
      <c r="L46" s="200" t="s">
        <v>413</v>
      </c>
      <c r="N46" s="358"/>
    </row>
    <row r="47" spans="2:16">
      <c r="B47" s="157" t="s">
        <v>578</v>
      </c>
      <c r="C47" s="158" t="s">
        <v>269</v>
      </c>
      <c r="D47" s="199"/>
      <c r="E47" s="200"/>
      <c r="F47" s="200"/>
      <c r="G47" s="200"/>
      <c r="H47" s="200" t="s">
        <v>2466</v>
      </c>
      <c r="I47" s="201" t="s">
        <v>92</v>
      </c>
      <c r="J47" s="202"/>
      <c r="K47" s="360" t="s">
        <v>400</v>
      </c>
      <c r="L47" s="360" t="s">
        <v>400</v>
      </c>
      <c r="N47" s="364" t="s">
        <v>3837</v>
      </c>
      <c r="P47" s="359"/>
    </row>
    <row r="48" spans="2:16">
      <c r="B48" s="157" t="s">
        <v>579</v>
      </c>
      <c r="C48" s="158" t="s">
        <v>270</v>
      </c>
      <c r="D48" s="199"/>
      <c r="E48" s="200"/>
      <c r="F48" s="200" t="s">
        <v>23</v>
      </c>
      <c r="G48" s="200" t="s">
        <v>38</v>
      </c>
      <c r="H48" s="200" t="s">
        <v>3601</v>
      </c>
      <c r="I48" s="201" t="s">
        <v>93</v>
      </c>
      <c r="J48" s="202"/>
      <c r="K48" s="200" t="s">
        <v>403</v>
      </c>
      <c r="L48" s="200" t="s">
        <v>427</v>
      </c>
      <c r="N48" s="358"/>
    </row>
    <row r="49" spans="2:14">
      <c r="B49" s="157" t="s">
        <v>580</v>
      </c>
      <c r="C49" s="158" t="s">
        <v>270</v>
      </c>
      <c r="D49" s="199"/>
      <c r="E49" s="200"/>
      <c r="F49" s="200"/>
      <c r="G49" s="200"/>
      <c r="H49" s="200" t="s">
        <v>2467</v>
      </c>
      <c r="I49" s="201" t="s">
        <v>94</v>
      </c>
      <c r="J49" s="202"/>
      <c r="K49" s="200" t="s">
        <v>231</v>
      </c>
      <c r="L49" s="200" t="s">
        <v>231</v>
      </c>
      <c r="N49" s="358"/>
    </row>
    <row r="50" spans="2:14">
      <c r="B50" s="157" t="s">
        <v>581</v>
      </c>
      <c r="C50" s="158" t="s">
        <v>271</v>
      </c>
      <c r="D50" s="199"/>
      <c r="E50" s="200"/>
      <c r="F50" s="200" t="s">
        <v>24</v>
      </c>
      <c r="G50" s="200" t="s">
        <v>39</v>
      </c>
      <c r="H50" s="200" t="s">
        <v>60</v>
      </c>
      <c r="I50" s="201" t="s">
        <v>95</v>
      </c>
      <c r="J50" s="202"/>
      <c r="K50" s="200" t="s">
        <v>242</v>
      </c>
      <c r="L50" s="200" t="s">
        <v>414</v>
      </c>
      <c r="N50" s="358"/>
    </row>
    <row r="51" spans="2:14">
      <c r="B51" s="157" t="s">
        <v>582</v>
      </c>
      <c r="C51" s="158" t="s">
        <v>271</v>
      </c>
      <c r="D51" s="199"/>
      <c r="E51" s="200"/>
      <c r="F51" s="200"/>
      <c r="G51" s="200"/>
      <c r="H51" s="200" t="s">
        <v>2468</v>
      </c>
      <c r="I51" s="201" t="s">
        <v>96</v>
      </c>
      <c r="J51" s="202"/>
      <c r="K51" s="200" t="s">
        <v>246</v>
      </c>
      <c r="L51" s="200" t="s">
        <v>407</v>
      </c>
      <c r="N51" s="358"/>
    </row>
    <row r="52" spans="2:14">
      <c r="B52" s="157" t="s">
        <v>583</v>
      </c>
      <c r="C52" s="158" t="s">
        <v>271</v>
      </c>
      <c r="D52" s="199"/>
      <c r="E52" s="200"/>
      <c r="F52" s="200"/>
      <c r="G52" s="200"/>
      <c r="H52" s="200" t="s">
        <v>2469</v>
      </c>
      <c r="I52" s="201" t="s">
        <v>97</v>
      </c>
      <c r="J52" s="202"/>
      <c r="K52" s="200" t="s">
        <v>246</v>
      </c>
      <c r="L52" s="200" t="s">
        <v>407</v>
      </c>
      <c r="N52" s="358"/>
    </row>
    <row r="53" spans="2:14">
      <c r="B53" s="157" t="s">
        <v>584</v>
      </c>
      <c r="C53" s="158" t="s">
        <v>272</v>
      </c>
      <c r="D53" s="199"/>
      <c r="E53" s="200"/>
      <c r="F53" s="200" t="s">
        <v>25</v>
      </c>
      <c r="G53" s="200" t="s">
        <v>40</v>
      </c>
      <c r="H53" s="200" t="s">
        <v>2470</v>
      </c>
      <c r="I53" s="201" t="s">
        <v>98</v>
      </c>
      <c r="J53" s="202"/>
      <c r="K53" s="200" t="s">
        <v>243</v>
      </c>
      <c r="L53" s="200" t="s">
        <v>428</v>
      </c>
      <c r="N53" s="358"/>
    </row>
    <row r="54" spans="2:14">
      <c r="B54" s="157" t="s">
        <v>585</v>
      </c>
      <c r="C54" s="158" t="s">
        <v>272</v>
      </c>
      <c r="D54" s="199"/>
      <c r="E54" s="200"/>
      <c r="F54" s="200"/>
      <c r="G54" s="200"/>
      <c r="H54" s="200" t="s">
        <v>61</v>
      </c>
      <c r="I54" s="201" t="s">
        <v>99</v>
      </c>
      <c r="J54" s="202"/>
      <c r="K54" s="200" t="s">
        <v>400</v>
      </c>
      <c r="L54" s="200" t="s">
        <v>400</v>
      </c>
      <c r="N54" s="358"/>
    </row>
    <row r="55" spans="2:14">
      <c r="B55" s="157" t="s">
        <v>586</v>
      </c>
      <c r="C55" s="158" t="s">
        <v>272</v>
      </c>
      <c r="D55" s="199"/>
      <c r="E55" s="200"/>
      <c r="F55" s="200"/>
      <c r="G55" s="200"/>
      <c r="H55" s="200" t="s">
        <v>423</v>
      </c>
      <c r="I55" s="201" t="s">
        <v>425</v>
      </c>
      <c r="J55" s="202" t="s">
        <v>382</v>
      </c>
      <c r="K55" s="200" t="s">
        <v>246</v>
      </c>
      <c r="L55" s="200" t="s">
        <v>407</v>
      </c>
      <c r="N55" s="358"/>
    </row>
    <row r="56" spans="2:14">
      <c r="B56" s="157" t="s">
        <v>587</v>
      </c>
      <c r="C56" s="158" t="s">
        <v>272</v>
      </c>
      <c r="D56" s="199"/>
      <c r="E56" s="200"/>
      <c r="F56" s="200"/>
      <c r="G56" s="200"/>
      <c r="H56" s="200" t="s">
        <v>424</v>
      </c>
      <c r="I56" s="201" t="s">
        <v>426</v>
      </c>
      <c r="J56" s="202" t="s">
        <v>382</v>
      </c>
      <c r="K56" s="200" t="s">
        <v>246</v>
      </c>
      <c r="L56" s="200" t="s">
        <v>407</v>
      </c>
      <c r="N56" s="358"/>
    </row>
    <row r="57" spans="2:14">
      <c r="B57" s="165" t="s">
        <v>588</v>
      </c>
      <c r="C57" s="166" t="s">
        <v>273</v>
      </c>
      <c r="D57" s="204" t="s">
        <v>4</v>
      </c>
      <c r="E57" s="205" t="s">
        <v>9</v>
      </c>
      <c r="F57" s="204" t="s">
        <v>2489</v>
      </c>
      <c r="G57" s="204" t="s">
        <v>2490</v>
      </c>
      <c r="H57" s="205" t="s">
        <v>2486</v>
      </c>
      <c r="I57" s="206" t="s">
        <v>2512</v>
      </c>
      <c r="J57" s="207"/>
      <c r="K57" s="205" t="s">
        <v>246</v>
      </c>
      <c r="L57" s="205" t="s">
        <v>407</v>
      </c>
      <c r="N57" s="358"/>
    </row>
    <row r="58" spans="2:14">
      <c r="B58" s="165" t="s">
        <v>589</v>
      </c>
      <c r="C58" s="166" t="s">
        <v>273</v>
      </c>
      <c r="D58" s="204"/>
      <c r="E58" s="205"/>
      <c r="F58" s="205"/>
      <c r="G58" s="205"/>
      <c r="H58" s="205" t="s">
        <v>2471</v>
      </c>
      <c r="I58" s="206" t="s">
        <v>2475</v>
      </c>
      <c r="J58" s="207"/>
      <c r="K58" s="205" t="s">
        <v>231</v>
      </c>
      <c r="L58" s="205" t="s">
        <v>231</v>
      </c>
      <c r="N58" s="358"/>
    </row>
    <row r="59" spans="2:14">
      <c r="B59" s="165" t="s">
        <v>590</v>
      </c>
      <c r="C59" s="166" t="s">
        <v>273</v>
      </c>
      <c r="D59" s="204"/>
      <c r="E59" s="205"/>
      <c r="F59" s="205"/>
      <c r="G59" s="205"/>
      <c r="H59" s="205" t="s">
        <v>62</v>
      </c>
      <c r="I59" s="206" t="s">
        <v>2476</v>
      </c>
      <c r="J59" s="207"/>
      <c r="K59" s="205" t="s">
        <v>231</v>
      </c>
      <c r="L59" s="205" t="s">
        <v>231</v>
      </c>
      <c r="N59" s="358"/>
    </row>
    <row r="60" spans="2:14">
      <c r="B60" s="165" t="s">
        <v>591</v>
      </c>
      <c r="C60" s="166" t="s">
        <v>274</v>
      </c>
      <c r="D60" s="204"/>
      <c r="E60" s="205"/>
      <c r="F60" s="205" t="s">
        <v>2488</v>
      </c>
      <c r="G60" s="205" t="s">
        <v>2514</v>
      </c>
      <c r="H60" s="205" t="s">
        <v>3568</v>
      </c>
      <c r="I60" s="206" t="s">
        <v>2529</v>
      </c>
      <c r="J60" s="207"/>
      <c r="K60" s="205" t="s">
        <v>2481</v>
      </c>
      <c r="L60" s="205" t="s">
        <v>2482</v>
      </c>
      <c r="N60" s="358"/>
    </row>
    <row r="61" spans="2:14">
      <c r="B61" s="165" t="s">
        <v>592</v>
      </c>
      <c r="C61" s="166" t="s">
        <v>274</v>
      </c>
      <c r="D61" s="204"/>
      <c r="E61" s="205"/>
      <c r="F61" s="205"/>
      <c r="G61" s="205"/>
      <c r="H61" s="205" t="s">
        <v>2477</v>
      </c>
      <c r="I61" s="206" t="s">
        <v>2491</v>
      </c>
      <c r="J61" s="207"/>
      <c r="K61" s="205" t="s">
        <v>2480</v>
      </c>
      <c r="L61" s="205" t="s">
        <v>2480</v>
      </c>
      <c r="N61" s="358"/>
    </row>
    <row r="62" spans="2:14">
      <c r="B62" s="165" t="s">
        <v>593</v>
      </c>
      <c r="C62" s="166" t="s">
        <v>274</v>
      </c>
      <c r="D62" s="204"/>
      <c r="E62" s="205"/>
      <c r="F62" s="205"/>
      <c r="G62" s="205"/>
      <c r="H62" s="205" t="s">
        <v>2492</v>
      </c>
      <c r="I62" s="206" t="s">
        <v>2494</v>
      </c>
      <c r="J62" s="207"/>
      <c r="K62" s="205" t="s">
        <v>400</v>
      </c>
      <c r="L62" s="205" t="s">
        <v>400</v>
      </c>
      <c r="N62" s="358"/>
    </row>
    <row r="63" spans="2:14">
      <c r="B63" s="165" t="s">
        <v>594</v>
      </c>
      <c r="C63" s="166" t="s">
        <v>275</v>
      </c>
      <c r="D63" s="204"/>
      <c r="E63" s="205"/>
      <c r="F63" s="205" t="s">
        <v>2505</v>
      </c>
      <c r="G63" s="205" t="s">
        <v>2506</v>
      </c>
      <c r="H63" s="205" t="s">
        <v>2487</v>
      </c>
      <c r="I63" s="206" t="s">
        <v>2507</v>
      </c>
      <c r="J63" s="207"/>
      <c r="K63" s="205" t="s">
        <v>400</v>
      </c>
      <c r="L63" s="205" t="s">
        <v>400</v>
      </c>
      <c r="N63" s="358"/>
    </row>
    <row r="64" spans="2:14">
      <c r="B64" s="165" t="s">
        <v>595</v>
      </c>
      <c r="C64" s="166" t="s">
        <v>275</v>
      </c>
      <c r="D64" s="204"/>
      <c r="E64" s="205"/>
      <c r="F64" s="205"/>
      <c r="G64" s="205"/>
      <c r="H64" s="205" t="s">
        <v>2493</v>
      </c>
      <c r="I64" s="206" t="s">
        <v>2485</v>
      </c>
      <c r="J64" s="207"/>
      <c r="K64" s="205" t="s">
        <v>246</v>
      </c>
      <c r="L64" s="205" t="s">
        <v>407</v>
      </c>
      <c r="N64" s="358"/>
    </row>
    <row r="65" spans="2:14">
      <c r="B65" s="165" t="s">
        <v>596</v>
      </c>
      <c r="C65" s="166" t="s">
        <v>275</v>
      </c>
      <c r="D65" s="204"/>
      <c r="E65" s="205"/>
      <c r="F65" s="205"/>
      <c r="G65" s="205"/>
      <c r="H65" s="205" t="s">
        <v>2500</v>
      </c>
      <c r="I65" s="206" t="s">
        <v>2501</v>
      </c>
      <c r="J65" s="207" t="s">
        <v>382</v>
      </c>
      <c r="K65" s="205" t="s">
        <v>246</v>
      </c>
      <c r="L65" s="205" t="s">
        <v>407</v>
      </c>
      <c r="N65" s="358"/>
    </row>
    <row r="66" spans="2:14">
      <c r="B66" s="173" t="s">
        <v>597</v>
      </c>
      <c r="C66" s="174" t="s">
        <v>276</v>
      </c>
      <c r="D66" s="209" t="s">
        <v>5</v>
      </c>
      <c r="E66" s="210" t="s">
        <v>10</v>
      </c>
      <c r="F66" s="210" t="s">
        <v>388</v>
      </c>
      <c r="G66" s="210" t="s">
        <v>389</v>
      </c>
      <c r="H66" s="210" t="s">
        <v>2472</v>
      </c>
      <c r="I66" s="211" t="s">
        <v>100</v>
      </c>
      <c r="J66" s="212"/>
      <c r="K66" s="210" t="s">
        <v>247</v>
      </c>
      <c r="L66" s="210" t="s">
        <v>415</v>
      </c>
      <c r="N66" s="358"/>
    </row>
    <row r="67" spans="2:14">
      <c r="B67" s="173" t="s">
        <v>598</v>
      </c>
      <c r="C67" s="174" t="s">
        <v>276</v>
      </c>
      <c r="D67" s="209"/>
      <c r="E67" s="210"/>
      <c r="F67" s="210"/>
      <c r="G67" s="210"/>
      <c r="H67" s="210" t="s">
        <v>63</v>
      </c>
      <c r="I67" s="211" t="s">
        <v>101</v>
      </c>
      <c r="J67" s="212"/>
      <c r="K67" s="210" t="s">
        <v>246</v>
      </c>
      <c r="L67" s="210" t="s">
        <v>407</v>
      </c>
      <c r="N67" s="358"/>
    </row>
    <row r="68" spans="2:14">
      <c r="B68" s="173" t="s">
        <v>599</v>
      </c>
      <c r="C68" s="174" t="s">
        <v>277</v>
      </c>
      <c r="D68" s="209"/>
      <c r="E68" s="210"/>
      <c r="F68" s="210" t="s">
        <v>396</v>
      </c>
      <c r="G68" s="210" t="s">
        <v>3943</v>
      </c>
      <c r="H68" s="210" t="s">
        <v>2504</v>
      </c>
      <c r="I68" s="211" t="s">
        <v>102</v>
      </c>
      <c r="J68" s="212"/>
      <c r="K68" s="210" t="s">
        <v>2538</v>
      </c>
      <c r="L68" s="210" t="s">
        <v>2539</v>
      </c>
      <c r="N68" s="358"/>
    </row>
    <row r="69" spans="2:14" ht="15.4" customHeight="1">
      <c r="B69" s="173" t="s">
        <v>600</v>
      </c>
      <c r="C69" s="174" t="s">
        <v>277</v>
      </c>
      <c r="D69" s="209"/>
      <c r="E69" s="210"/>
      <c r="F69" s="210"/>
      <c r="G69" s="210"/>
      <c r="H69" s="210" t="s">
        <v>3569</v>
      </c>
      <c r="I69" s="211" t="s">
        <v>3570</v>
      </c>
      <c r="J69" s="212"/>
      <c r="K69" s="210" t="s">
        <v>2478</v>
      </c>
      <c r="L69" s="210" t="s">
        <v>2479</v>
      </c>
      <c r="N69" s="358"/>
    </row>
    <row r="70" spans="2:14">
      <c r="B70" s="173" t="s">
        <v>601</v>
      </c>
      <c r="C70" s="174" t="s">
        <v>278</v>
      </c>
      <c r="D70" s="209"/>
      <c r="E70" s="210"/>
      <c r="F70" s="210" t="s">
        <v>390</v>
      </c>
      <c r="G70" s="210" t="s">
        <v>3973</v>
      </c>
      <c r="H70" s="210" t="s">
        <v>385</v>
      </c>
      <c r="I70" s="211" t="s">
        <v>386</v>
      </c>
      <c r="J70" s="212"/>
      <c r="K70" s="210" t="s">
        <v>249</v>
      </c>
      <c r="L70" s="210" t="s">
        <v>416</v>
      </c>
      <c r="N70" s="358"/>
    </row>
    <row r="71" spans="2:14">
      <c r="B71" s="173" t="s">
        <v>602</v>
      </c>
      <c r="C71" s="174" t="s">
        <v>278</v>
      </c>
      <c r="D71" s="209"/>
      <c r="E71" s="210"/>
      <c r="F71" s="210"/>
      <c r="G71" s="210"/>
      <c r="H71" s="210" t="s">
        <v>2473</v>
      </c>
      <c r="I71" s="211" t="s">
        <v>431</v>
      </c>
      <c r="J71" s="212"/>
      <c r="K71" s="210" t="s">
        <v>231</v>
      </c>
      <c r="L71" s="210" t="s">
        <v>231</v>
      </c>
      <c r="N71" s="358"/>
    </row>
    <row r="72" spans="2:14" ht="15.4" customHeight="1">
      <c r="B72" s="173" t="s">
        <v>603</v>
      </c>
      <c r="C72" s="174" t="s">
        <v>278</v>
      </c>
      <c r="D72" s="209"/>
      <c r="E72" s="210"/>
      <c r="F72" s="210"/>
      <c r="G72" s="210"/>
      <c r="H72" s="210" t="s">
        <v>387</v>
      </c>
      <c r="I72" s="211" t="s">
        <v>3974</v>
      </c>
      <c r="J72" s="212"/>
      <c r="K72" s="210" t="s">
        <v>404</v>
      </c>
      <c r="L72" s="210" t="s">
        <v>461</v>
      </c>
      <c r="N72" s="358"/>
    </row>
    <row r="73" spans="2:14">
      <c r="B73" s="173" t="s">
        <v>604</v>
      </c>
      <c r="C73" s="174" t="s">
        <v>279</v>
      </c>
      <c r="D73" s="209"/>
      <c r="E73" s="210"/>
      <c r="F73" s="210" t="s">
        <v>439</v>
      </c>
      <c r="G73" s="210" t="s">
        <v>440</v>
      </c>
      <c r="H73" s="210" t="s">
        <v>3970</v>
      </c>
      <c r="I73" s="211" t="s">
        <v>3972</v>
      </c>
      <c r="J73" s="212" t="s">
        <v>382</v>
      </c>
      <c r="K73" s="210" t="s">
        <v>404</v>
      </c>
      <c r="L73" s="210" t="s">
        <v>3602</v>
      </c>
      <c r="N73" s="358"/>
    </row>
    <row r="74" spans="2:14">
      <c r="B74" s="173" t="s">
        <v>605</v>
      </c>
      <c r="C74" s="174" t="s">
        <v>279</v>
      </c>
      <c r="D74" s="209"/>
      <c r="E74" s="210"/>
      <c r="F74" s="210"/>
      <c r="G74" s="210"/>
      <c r="H74" s="378" t="s">
        <v>3959</v>
      </c>
      <c r="I74" s="379" t="s">
        <v>3960</v>
      </c>
      <c r="J74" s="212"/>
      <c r="K74" s="210" t="s">
        <v>3961</v>
      </c>
      <c r="L74" s="210" t="s">
        <v>3961</v>
      </c>
      <c r="N74" s="364" t="s">
        <v>3949</v>
      </c>
    </row>
    <row r="75" spans="2:14">
      <c r="B75" s="175" t="s">
        <v>606</v>
      </c>
      <c r="C75" s="176" t="s">
        <v>279</v>
      </c>
      <c r="D75" s="213"/>
      <c r="E75" s="214"/>
      <c r="F75" s="214"/>
      <c r="G75" s="214"/>
      <c r="H75" s="214" t="s">
        <v>3971</v>
      </c>
      <c r="I75" s="325" t="s">
        <v>2511</v>
      </c>
      <c r="J75" s="326"/>
      <c r="K75" s="210" t="s">
        <v>246</v>
      </c>
      <c r="L75" s="210" t="s">
        <v>407</v>
      </c>
      <c r="N75" s="358"/>
    </row>
    <row r="76" spans="2:14">
      <c r="H76" s="27"/>
      <c r="I76" s="27"/>
      <c r="J76" s="24"/>
      <c r="K76" s="27"/>
      <c r="L76" s="27"/>
    </row>
  </sheetData>
  <phoneticPr fontId="9"/>
  <pageMargins left="0.25" right="0.25" top="0.75" bottom="0.75" header="0.3" footer="0.3"/>
  <pageSetup paperSize="9" scale="41"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B1:K53"/>
  <sheetViews>
    <sheetView showGridLines="0" zoomScaleNormal="100" workbookViewId="0">
      <pane ySplit="3" topLeftCell="A4" activePane="bottomLeft" state="frozen"/>
      <selection pane="bottomLeft" activeCell="F26" sqref="F26"/>
    </sheetView>
  </sheetViews>
  <sheetFormatPr defaultRowHeight="15.75"/>
  <cols>
    <col min="1" max="1" width="3.28515625" customWidth="1"/>
    <col min="2" max="2" width="3.28515625" style="2" bestFit="1" customWidth="1"/>
    <col min="3" max="3" width="15.140625" customWidth="1"/>
    <col min="4" max="4" width="48.7109375" customWidth="1"/>
    <col min="5" max="5" width="14.42578125" customWidth="1"/>
    <col min="6" max="6" width="16" customWidth="1"/>
    <col min="7" max="7" width="14.7109375" customWidth="1"/>
    <col min="8" max="8" width="3.28515625" customWidth="1"/>
    <col min="9" max="9" width="14.140625" bestFit="1" customWidth="1"/>
    <col min="10" max="10" width="36.7109375" style="87" bestFit="1" customWidth="1"/>
    <col min="11" max="11" width="45.42578125" bestFit="1" customWidth="1"/>
  </cols>
  <sheetData>
    <row r="1" spans="2:11">
      <c r="B1" s="429" t="s">
        <v>522</v>
      </c>
      <c r="C1" s="429"/>
      <c r="D1" s="429"/>
      <c r="E1" s="429"/>
      <c r="F1" s="429"/>
      <c r="G1" s="429"/>
    </row>
    <row r="2" spans="2:11">
      <c r="B2" s="430" t="s">
        <v>521</v>
      </c>
      <c r="C2" s="431"/>
      <c r="D2" s="431"/>
      <c r="E2" s="431"/>
      <c r="F2" s="431"/>
      <c r="G2" s="432"/>
      <c r="I2" s="433" t="s">
        <v>471</v>
      </c>
      <c r="J2" s="433"/>
      <c r="K2" s="433"/>
    </row>
    <row r="3" spans="2:11">
      <c r="B3" s="35" t="s">
        <v>523</v>
      </c>
      <c r="C3" s="36" t="s">
        <v>209</v>
      </c>
      <c r="D3" s="36" t="s">
        <v>468</v>
      </c>
      <c r="E3" s="36" t="s">
        <v>524</v>
      </c>
      <c r="F3" s="36" t="s">
        <v>525</v>
      </c>
      <c r="G3" s="36" t="s">
        <v>465</v>
      </c>
      <c r="I3" s="36" t="s">
        <v>472</v>
      </c>
      <c r="J3" s="88" t="s">
        <v>473</v>
      </c>
      <c r="K3" s="36" t="s">
        <v>536</v>
      </c>
    </row>
    <row r="4" spans="2:11">
      <c r="B4" s="3">
        <v>1</v>
      </c>
      <c r="C4" s="13" t="s">
        <v>105</v>
      </c>
      <c r="D4" s="13" t="s">
        <v>469</v>
      </c>
      <c r="E4" s="13">
        <v>40.406441999999998</v>
      </c>
      <c r="F4" s="13">
        <v>-3.6908859999999999</v>
      </c>
      <c r="G4" s="13"/>
      <c r="I4" s="13" t="s">
        <v>526</v>
      </c>
      <c r="J4" s="89" t="s">
        <v>527</v>
      </c>
      <c r="K4" s="37" t="s">
        <v>621</v>
      </c>
    </row>
    <row r="5" spans="2:11">
      <c r="B5" s="3">
        <v>2</v>
      </c>
      <c r="C5" s="13" t="s">
        <v>106</v>
      </c>
      <c r="D5" s="13" t="s">
        <v>470</v>
      </c>
      <c r="E5" s="13">
        <v>41.379092800000002</v>
      </c>
      <c r="F5" s="13">
        <v>2.1401327999999999</v>
      </c>
      <c r="G5" s="13"/>
      <c r="I5" s="13" t="s">
        <v>528</v>
      </c>
      <c r="J5" s="89" t="s">
        <v>476</v>
      </c>
      <c r="K5" s="37" t="s">
        <v>622</v>
      </c>
    </row>
    <row r="6" spans="2:11">
      <c r="B6" s="3">
        <v>3</v>
      </c>
      <c r="C6" s="13" t="s">
        <v>108</v>
      </c>
      <c r="D6" s="13" t="s">
        <v>1086</v>
      </c>
      <c r="E6" s="13">
        <v>51.503165299999999</v>
      </c>
      <c r="F6" s="13">
        <v>-0.1123051</v>
      </c>
      <c r="G6" s="13" t="s">
        <v>1087</v>
      </c>
      <c r="I6" s="13" t="s">
        <v>529</v>
      </c>
      <c r="J6" s="89" t="s">
        <v>530</v>
      </c>
      <c r="K6" s="37" t="s">
        <v>623</v>
      </c>
    </row>
    <row r="7" spans="2:11">
      <c r="B7" s="3">
        <v>4</v>
      </c>
      <c r="C7" s="13" t="s">
        <v>110</v>
      </c>
      <c r="D7" s="13" t="s">
        <v>474</v>
      </c>
      <c r="E7" s="13">
        <v>48.880948099999998</v>
      </c>
      <c r="F7" s="13">
        <v>2.3553137</v>
      </c>
      <c r="G7" s="13" t="s">
        <v>624</v>
      </c>
    </row>
    <row r="8" spans="2:11">
      <c r="B8" s="3">
        <v>5</v>
      </c>
      <c r="C8" s="13" t="s">
        <v>112</v>
      </c>
      <c r="D8" s="13" t="s">
        <v>475</v>
      </c>
      <c r="E8" s="13">
        <v>50.845487200000001</v>
      </c>
      <c r="F8" s="13">
        <v>4.3570162999999997</v>
      </c>
      <c r="G8" s="13"/>
      <c r="I8" s="430" t="s">
        <v>531</v>
      </c>
      <c r="J8" s="432"/>
    </row>
    <row r="9" spans="2:11">
      <c r="B9" s="3">
        <v>6</v>
      </c>
      <c r="C9" s="13" t="s">
        <v>114</v>
      </c>
      <c r="D9" s="13" t="s">
        <v>477</v>
      </c>
      <c r="E9" s="13">
        <v>52.379128299999998</v>
      </c>
      <c r="F9" s="13">
        <v>4.9002720000000002</v>
      </c>
      <c r="G9" s="13"/>
      <c r="I9" s="36" t="s">
        <v>533</v>
      </c>
      <c r="J9" s="90" t="s">
        <v>532</v>
      </c>
    </row>
    <row r="10" spans="2:11">
      <c r="B10" s="3">
        <v>7</v>
      </c>
      <c r="C10" s="13" t="s">
        <v>116</v>
      </c>
      <c r="D10" s="13" t="s">
        <v>478</v>
      </c>
      <c r="E10" s="13">
        <v>46.210552999999997</v>
      </c>
      <c r="F10" s="13">
        <v>6.1430195999999997</v>
      </c>
      <c r="G10" s="13"/>
      <c r="I10" s="36" t="s">
        <v>534</v>
      </c>
      <c r="J10" s="90">
        <v>35.660463800000002</v>
      </c>
    </row>
    <row r="11" spans="2:11">
      <c r="B11" s="3">
        <v>8</v>
      </c>
      <c r="C11" s="13" t="s">
        <v>118</v>
      </c>
      <c r="D11" s="13" t="s">
        <v>479</v>
      </c>
      <c r="E11" s="13">
        <v>50.106528999999988</v>
      </c>
      <c r="F11" s="13">
        <v>8.6621617999999998</v>
      </c>
      <c r="G11" s="13"/>
      <c r="I11" s="36" t="s">
        <v>535</v>
      </c>
      <c r="J11" s="90">
        <v>139.7292487</v>
      </c>
    </row>
    <row r="12" spans="2:11">
      <c r="B12" s="3">
        <v>9</v>
      </c>
      <c r="C12" s="13" t="s">
        <v>120</v>
      </c>
      <c r="D12" s="13" t="s">
        <v>480</v>
      </c>
      <c r="E12" s="13">
        <v>52.525083899999998</v>
      </c>
      <c r="F12" s="13">
        <v>13.369401999999999</v>
      </c>
      <c r="G12" s="13"/>
      <c r="I12" s="36" t="s">
        <v>538</v>
      </c>
      <c r="J12" s="91">
        <f>d(J10,J11,E4,F4)</f>
        <v>10779.076159093738</v>
      </c>
    </row>
    <row r="13" spans="2:11">
      <c r="B13" s="3">
        <v>10</v>
      </c>
      <c r="C13" s="13" t="s">
        <v>122</v>
      </c>
      <c r="D13" s="13" t="s">
        <v>481</v>
      </c>
      <c r="E13" s="13">
        <v>45.483970900000003</v>
      </c>
      <c r="F13" s="13">
        <v>9.2060969000000004</v>
      </c>
      <c r="G13" s="13"/>
      <c r="I13" s="36" t="s">
        <v>528</v>
      </c>
      <c r="J13" s="91">
        <f>mind(J10,J11)</f>
        <v>4.122971207566354</v>
      </c>
    </row>
    <row r="14" spans="2:11">
      <c r="B14" s="3">
        <v>11</v>
      </c>
      <c r="C14" s="13" t="s">
        <v>124</v>
      </c>
      <c r="D14" s="13" t="s">
        <v>482</v>
      </c>
      <c r="E14" s="13">
        <v>47.377923000000003</v>
      </c>
      <c r="F14" s="13">
        <v>8.5401898000000003</v>
      </c>
      <c r="G14" s="13"/>
      <c r="I14" s="36" t="s">
        <v>529</v>
      </c>
      <c r="J14" s="90" t="str">
        <f>mincity(J10,J11)</f>
        <v>Tokyo</v>
      </c>
    </row>
    <row r="15" spans="2:11">
      <c r="B15" s="3">
        <v>12</v>
      </c>
      <c r="C15" s="13" t="s">
        <v>126</v>
      </c>
      <c r="D15" s="13" t="s">
        <v>483</v>
      </c>
      <c r="E15" s="13">
        <v>55.672761100000002</v>
      </c>
      <c r="F15" s="13">
        <v>12.5649245</v>
      </c>
      <c r="G15" s="13"/>
    </row>
    <row r="16" spans="2:11">
      <c r="B16" s="3">
        <v>13</v>
      </c>
      <c r="C16" s="13" t="s">
        <v>128</v>
      </c>
      <c r="D16" s="13" t="s">
        <v>484</v>
      </c>
      <c r="E16" s="13">
        <v>48.185222699999997</v>
      </c>
      <c r="F16" s="13">
        <v>16.376484699999999</v>
      </c>
      <c r="G16" s="13"/>
    </row>
    <row r="17" spans="2:11">
      <c r="B17" s="3">
        <v>14</v>
      </c>
      <c r="C17" s="13" t="s">
        <v>130</v>
      </c>
      <c r="D17" s="13" t="s">
        <v>485</v>
      </c>
      <c r="E17" s="13">
        <v>59.330668499999987</v>
      </c>
      <c r="F17" s="13">
        <v>18.057932300000001</v>
      </c>
      <c r="G17" s="13"/>
      <c r="K17" s="38"/>
    </row>
    <row r="18" spans="2:11">
      <c r="B18" s="3">
        <v>15</v>
      </c>
      <c r="C18" s="13" t="s">
        <v>132</v>
      </c>
      <c r="D18" s="13" t="s">
        <v>486</v>
      </c>
      <c r="E18" s="13">
        <v>41.014948100000012</v>
      </c>
      <c r="F18" s="13">
        <v>28.976462000000001</v>
      </c>
      <c r="G18" s="13"/>
    </row>
    <row r="19" spans="2:11">
      <c r="B19" s="3">
        <v>16</v>
      </c>
      <c r="C19" s="13" t="s">
        <v>134</v>
      </c>
      <c r="D19" s="13" t="s">
        <v>487</v>
      </c>
      <c r="E19" s="13">
        <v>30.062379100000001</v>
      </c>
      <c r="F19" s="13">
        <v>31.246569999999991</v>
      </c>
      <c r="G19" s="13"/>
    </row>
    <row r="20" spans="2:11">
      <c r="B20" s="3">
        <v>17</v>
      </c>
      <c r="C20" s="13" t="s">
        <v>136</v>
      </c>
      <c r="D20" s="13" t="s">
        <v>488</v>
      </c>
      <c r="E20" s="13">
        <v>55.776027700000007</v>
      </c>
      <c r="F20" s="13">
        <v>37.655425100000002</v>
      </c>
      <c r="G20" s="13"/>
    </row>
    <row r="21" spans="2:11">
      <c r="B21" s="3">
        <v>18</v>
      </c>
      <c r="C21" s="13" t="s">
        <v>138</v>
      </c>
      <c r="D21" s="13" t="s">
        <v>489</v>
      </c>
      <c r="E21" s="13">
        <v>18.971302999999999</v>
      </c>
      <c r="F21" s="13">
        <v>72.819378999999998</v>
      </c>
      <c r="G21" s="13"/>
    </row>
    <row r="22" spans="2:11">
      <c r="B22" s="3">
        <v>19</v>
      </c>
      <c r="C22" s="13" t="s">
        <v>140</v>
      </c>
      <c r="D22" s="13" t="s">
        <v>490</v>
      </c>
      <c r="E22" s="13">
        <v>13.739452099999999</v>
      </c>
      <c r="F22" s="13">
        <v>100.5168329</v>
      </c>
      <c r="G22" s="13"/>
    </row>
    <row r="23" spans="2:11">
      <c r="B23" s="3">
        <v>20</v>
      </c>
      <c r="C23" s="13" t="s">
        <v>142</v>
      </c>
      <c r="D23" s="13" t="s">
        <v>491</v>
      </c>
      <c r="E23" s="13">
        <v>3.1344473000000002</v>
      </c>
      <c r="F23" s="13">
        <v>101.6863149</v>
      </c>
      <c r="G23" s="13"/>
    </row>
    <row r="24" spans="2:11">
      <c r="B24" s="3">
        <v>21</v>
      </c>
      <c r="C24" s="13" t="s">
        <v>144</v>
      </c>
      <c r="D24" s="13" t="s">
        <v>492</v>
      </c>
      <c r="E24" s="13">
        <v>1.2830173</v>
      </c>
      <c r="F24" s="13">
        <v>103.8513365</v>
      </c>
      <c r="G24" s="13"/>
    </row>
    <row r="25" spans="2:11">
      <c r="B25" s="3">
        <v>22</v>
      </c>
      <c r="C25" s="13" t="s">
        <v>146</v>
      </c>
      <c r="D25" s="13" t="s">
        <v>493</v>
      </c>
      <c r="E25" s="13">
        <v>22.284376999999999</v>
      </c>
      <c r="F25" s="13">
        <v>114.158056</v>
      </c>
      <c r="G25" s="13"/>
    </row>
    <row r="26" spans="2:11">
      <c r="B26" s="3">
        <v>23</v>
      </c>
      <c r="C26" s="13" t="s">
        <v>148</v>
      </c>
      <c r="D26" s="13" t="s">
        <v>494</v>
      </c>
      <c r="E26" s="13">
        <v>39.904979999999988</v>
      </c>
      <c r="F26" s="13">
        <v>116.427217</v>
      </c>
      <c r="G26" s="13"/>
    </row>
    <row r="27" spans="2:11">
      <c r="B27" s="3">
        <v>24</v>
      </c>
      <c r="C27" s="13" t="s">
        <v>150</v>
      </c>
      <c r="D27" s="13" t="s">
        <v>495</v>
      </c>
      <c r="E27" s="13">
        <v>31.250824600000001</v>
      </c>
      <c r="F27" s="13">
        <v>121.45061440000001</v>
      </c>
      <c r="G27" s="13"/>
    </row>
    <row r="28" spans="2:11">
      <c r="B28" s="3">
        <v>25</v>
      </c>
      <c r="C28" s="13" t="s">
        <v>152</v>
      </c>
      <c r="D28" s="13" t="s">
        <v>496</v>
      </c>
      <c r="E28" s="13">
        <v>25.0471778</v>
      </c>
      <c r="F28" s="13">
        <v>121.51720469999999</v>
      </c>
      <c r="G28" s="13"/>
    </row>
    <row r="29" spans="2:11">
      <c r="B29" s="3">
        <v>26</v>
      </c>
      <c r="C29" s="13" t="s">
        <v>154</v>
      </c>
      <c r="D29" s="13" t="s">
        <v>497</v>
      </c>
      <c r="E29" s="13">
        <v>37.553606700000003</v>
      </c>
      <c r="F29" s="13">
        <v>126.96961949999999</v>
      </c>
      <c r="G29" s="13"/>
    </row>
    <row r="30" spans="2:11">
      <c r="B30" s="3">
        <v>27</v>
      </c>
      <c r="C30" s="13" t="s">
        <v>156</v>
      </c>
      <c r="D30" s="13" t="s">
        <v>498</v>
      </c>
      <c r="E30" s="13">
        <v>33.590044900000002</v>
      </c>
      <c r="F30" s="13">
        <v>130.42061050000001</v>
      </c>
      <c r="G30" s="13"/>
    </row>
    <row r="31" spans="2:11">
      <c r="B31" s="3">
        <v>28</v>
      </c>
      <c r="C31" s="13" t="s">
        <v>158</v>
      </c>
      <c r="D31" s="13" t="s">
        <v>499</v>
      </c>
      <c r="E31" s="13">
        <v>34.7024854</v>
      </c>
      <c r="F31" s="13">
        <v>135.49595059999999</v>
      </c>
      <c r="G31" s="13"/>
    </row>
    <row r="32" spans="2:11">
      <c r="B32" s="3">
        <v>29</v>
      </c>
      <c r="C32" s="13" t="s">
        <v>160</v>
      </c>
      <c r="D32" s="13" t="s">
        <v>500</v>
      </c>
      <c r="E32" s="13">
        <v>35.681167299999998</v>
      </c>
      <c r="F32" s="13">
        <v>139.7670516</v>
      </c>
      <c r="G32" s="13"/>
    </row>
    <row r="33" spans="2:7">
      <c r="B33" s="3">
        <v>30</v>
      </c>
      <c r="C33" s="13" t="s">
        <v>162</v>
      </c>
      <c r="D33" s="13" t="s">
        <v>501</v>
      </c>
      <c r="E33" s="13">
        <v>-33.883173300000003</v>
      </c>
      <c r="F33" s="13">
        <v>151.20695119999999</v>
      </c>
      <c r="G33" s="13"/>
    </row>
    <row r="34" spans="2:7">
      <c r="B34" s="3">
        <v>31</v>
      </c>
      <c r="C34" s="13" t="s">
        <v>164</v>
      </c>
      <c r="D34" s="13" t="s">
        <v>502</v>
      </c>
      <c r="E34" s="13">
        <v>49.273697499999997</v>
      </c>
      <c r="F34" s="13">
        <v>-123.0978918</v>
      </c>
      <c r="G34" s="13"/>
    </row>
    <row r="35" spans="2:7">
      <c r="B35" s="3">
        <v>32</v>
      </c>
      <c r="C35" s="13" t="s">
        <v>166</v>
      </c>
      <c r="D35" s="13" t="s">
        <v>503</v>
      </c>
      <c r="E35" s="13">
        <v>37.7766874</v>
      </c>
      <c r="F35" s="13">
        <v>-122.394857</v>
      </c>
      <c r="G35" s="13"/>
    </row>
    <row r="36" spans="2:7">
      <c r="B36" s="3">
        <v>33</v>
      </c>
      <c r="C36" s="13" t="s">
        <v>168</v>
      </c>
      <c r="D36" s="13" t="s">
        <v>504</v>
      </c>
      <c r="E36" s="13">
        <v>34.056218999999999</v>
      </c>
      <c r="F36" s="13">
        <v>-118.2365021</v>
      </c>
      <c r="G36" s="13"/>
    </row>
    <row r="37" spans="2:7">
      <c r="B37" s="3">
        <v>34</v>
      </c>
      <c r="C37" s="13" t="s">
        <v>170</v>
      </c>
      <c r="D37" s="13" t="s">
        <v>505</v>
      </c>
      <c r="E37" s="13">
        <v>19.447186500000001</v>
      </c>
      <c r="F37" s="13">
        <v>-99.1520869</v>
      </c>
      <c r="G37" s="13"/>
    </row>
    <row r="38" spans="2:7">
      <c r="B38" s="3">
        <v>35</v>
      </c>
      <c r="C38" s="13" t="s">
        <v>172</v>
      </c>
      <c r="D38" s="13" t="s">
        <v>506</v>
      </c>
      <c r="E38" s="13">
        <v>41.878664000000001</v>
      </c>
      <c r="F38" s="13">
        <v>-87.64040039999999</v>
      </c>
      <c r="G38" s="13"/>
    </row>
    <row r="39" spans="2:7">
      <c r="B39" s="3">
        <v>36</v>
      </c>
      <c r="C39" s="13" t="s">
        <v>174</v>
      </c>
      <c r="D39" s="13" t="s">
        <v>507</v>
      </c>
      <c r="E39" s="13">
        <v>43.645229899999997</v>
      </c>
      <c r="F39" s="13">
        <v>-79.38060999999999</v>
      </c>
      <c r="G39" s="13"/>
    </row>
    <row r="40" spans="2:7">
      <c r="B40" s="3">
        <v>37</v>
      </c>
      <c r="C40" s="13" t="s">
        <v>373</v>
      </c>
      <c r="D40" s="13" t="s">
        <v>508</v>
      </c>
      <c r="E40" s="13">
        <v>38.897334999999998</v>
      </c>
      <c r="F40" s="13">
        <v>-77.006325399999994</v>
      </c>
      <c r="G40" s="13"/>
    </row>
    <row r="41" spans="2:7">
      <c r="B41" s="3">
        <v>38</v>
      </c>
      <c r="C41" s="13" t="s">
        <v>178</v>
      </c>
      <c r="D41" s="13" t="s">
        <v>509</v>
      </c>
      <c r="E41" s="13">
        <v>40.752726199999998</v>
      </c>
      <c r="F41" s="13">
        <v>-73.977229399999999</v>
      </c>
      <c r="G41" s="13"/>
    </row>
    <row r="42" spans="2:7">
      <c r="B42" s="3">
        <v>39</v>
      </c>
      <c r="C42" s="13" t="s">
        <v>180</v>
      </c>
      <c r="D42" s="13" t="s">
        <v>510</v>
      </c>
      <c r="E42" s="13">
        <v>42.351940399999997</v>
      </c>
      <c r="F42" s="13">
        <v>-71.055079800000001</v>
      </c>
      <c r="G42" s="13"/>
    </row>
    <row r="43" spans="2:7">
      <c r="B43" s="3">
        <v>40</v>
      </c>
      <c r="C43" s="13" t="s">
        <v>182</v>
      </c>
      <c r="D43" s="13" t="s">
        <v>511</v>
      </c>
      <c r="E43" s="13">
        <v>-23.535079400000001</v>
      </c>
      <c r="F43" s="13">
        <v>-46.635309300000003</v>
      </c>
      <c r="G43" s="13"/>
    </row>
    <row r="44" spans="2:7">
      <c r="B44" s="3">
        <v>41</v>
      </c>
      <c r="C44" s="13" t="s">
        <v>184</v>
      </c>
      <c r="D44" s="13" t="s">
        <v>512</v>
      </c>
      <c r="E44" s="13">
        <v>-26.1972089</v>
      </c>
      <c r="F44" s="13">
        <v>28.042179999999998</v>
      </c>
      <c r="G44" s="13"/>
    </row>
    <row r="45" spans="2:7">
      <c r="B45" s="3">
        <v>42</v>
      </c>
      <c r="C45" s="13" t="s">
        <v>186</v>
      </c>
      <c r="D45" s="13" t="s">
        <v>513</v>
      </c>
      <c r="E45" s="13">
        <v>-6.2099237</v>
      </c>
      <c r="F45" s="13">
        <v>106.8502075</v>
      </c>
      <c r="G45" s="13"/>
    </row>
    <row r="46" spans="2:7">
      <c r="B46" s="3">
        <v>43</v>
      </c>
      <c r="C46" s="13" t="s">
        <v>188</v>
      </c>
      <c r="D46" s="13" t="s">
        <v>514</v>
      </c>
      <c r="E46" s="13">
        <v>-34.586707500000003</v>
      </c>
      <c r="F46" s="13">
        <v>-58.374364399999997</v>
      </c>
      <c r="G46" s="13"/>
    </row>
    <row r="47" spans="2:7">
      <c r="B47" s="3">
        <v>44</v>
      </c>
      <c r="C47" s="13" t="s">
        <v>190</v>
      </c>
      <c r="D47" s="13" t="s">
        <v>515</v>
      </c>
      <c r="E47" s="13">
        <v>25.201376100000001</v>
      </c>
      <c r="F47" s="13">
        <v>55.269478199999988</v>
      </c>
      <c r="G47" s="13"/>
    </row>
    <row r="48" spans="2:7">
      <c r="B48" s="3">
        <v>45</v>
      </c>
      <c r="C48" s="13" t="s">
        <v>369</v>
      </c>
      <c r="D48" s="13" t="s">
        <v>516</v>
      </c>
      <c r="E48" s="13">
        <v>53.351890500000003</v>
      </c>
      <c r="F48" s="13">
        <v>-6.2491608999999997</v>
      </c>
      <c r="G48" s="13"/>
    </row>
    <row r="49" spans="2:7">
      <c r="B49" s="3">
        <v>46</v>
      </c>
      <c r="C49" s="13" t="s">
        <v>370</v>
      </c>
      <c r="D49" s="13" t="s">
        <v>517</v>
      </c>
      <c r="E49" s="13">
        <v>60.171872899999997</v>
      </c>
      <c r="F49" s="13">
        <v>24.939233000000002</v>
      </c>
      <c r="G49" s="13"/>
    </row>
    <row r="50" spans="2:7">
      <c r="B50" s="3">
        <v>47</v>
      </c>
      <c r="C50" s="13" t="s">
        <v>371</v>
      </c>
      <c r="D50" s="13" t="s">
        <v>518</v>
      </c>
      <c r="E50" s="13">
        <v>32.083368399999998</v>
      </c>
      <c r="F50" s="13">
        <v>34.799038699999997</v>
      </c>
      <c r="G50" s="13"/>
    </row>
    <row r="51" spans="2:7">
      <c r="B51" s="3">
        <v>48</v>
      </c>
      <c r="C51" s="13" t="s">
        <v>372</v>
      </c>
      <c r="D51" s="13" t="s">
        <v>519</v>
      </c>
      <c r="E51" s="13">
        <v>-37.818430999999997</v>
      </c>
      <c r="F51" s="13">
        <v>144.9524854</v>
      </c>
      <c r="G51" s="13"/>
    </row>
    <row r="52" spans="2:7">
      <c r="B52" s="3">
        <v>49</v>
      </c>
      <c r="C52" s="13" t="s">
        <v>520</v>
      </c>
      <c r="D52" s="13"/>
      <c r="E52" s="13">
        <v>999999</v>
      </c>
      <c r="F52" s="13">
        <v>999999</v>
      </c>
      <c r="G52" s="13"/>
    </row>
    <row r="53" spans="2:7">
      <c r="B53" s="3">
        <v>50</v>
      </c>
      <c r="C53" s="13" t="s">
        <v>520</v>
      </c>
      <c r="D53" s="13"/>
      <c r="E53" s="13">
        <v>999999</v>
      </c>
      <c r="F53" s="13">
        <v>999999</v>
      </c>
      <c r="G53" s="13"/>
    </row>
  </sheetData>
  <mergeCells count="4">
    <mergeCell ref="B1:G1"/>
    <mergeCell ref="B2:G2"/>
    <mergeCell ref="I2:K2"/>
    <mergeCell ref="I8:J8"/>
  </mergeCells>
  <phoneticPr fontId="5"/>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90D1D-4C9D-428B-B400-B46A5E3BC3BF}">
  <sheetPr codeName="Sheet20"/>
  <dimension ref="A1:BV49"/>
  <sheetViews>
    <sheetView zoomScaleNormal="100" workbookViewId="0">
      <pane xSplit="1" ySplit="1" topLeftCell="B2" activePane="bottomRight" state="frozen"/>
      <selection pane="topRight" activeCell="B1" sqref="B1"/>
      <selection pane="bottomLeft" activeCell="A2" sqref="A2"/>
      <selection pane="bottomRight" activeCell="K27" sqref="K27"/>
    </sheetView>
  </sheetViews>
  <sheetFormatPr defaultRowHeight="15.75"/>
  <cols>
    <col min="1" max="1" width="16.140625" bestFit="1" customWidth="1"/>
  </cols>
  <sheetData>
    <row r="1" spans="1:74">
      <c r="A1" t="s">
        <v>3833</v>
      </c>
      <c r="B1" t="s">
        <v>1088</v>
      </c>
      <c r="C1" t="s">
        <v>1089</v>
      </c>
      <c r="D1" t="s">
        <v>1090</v>
      </c>
      <c r="E1" t="s">
        <v>659</v>
      </c>
      <c r="F1" t="s">
        <v>660</v>
      </c>
      <c r="G1" t="s">
        <v>661</v>
      </c>
      <c r="H1" t="s">
        <v>662</v>
      </c>
      <c r="I1" t="s">
        <v>663</v>
      </c>
      <c r="J1" t="s">
        <v>664</v>
      </c>
      <c r="K1" t="s">
        <v>665</v>
      </c>
      <c r="L1" t="s">
        <v>666</v>
      </c>
      <c r="M1" t="s">
        <v>667</v>
      </c>
      <c r="N1" t="s">
        <v>546</v>
      </c>
      <c r="O1" t="s">
        <v>547</v>
      </c>
      <c r="P1" t="s">
        <v>548</v>
      </c>
      <c r="Q1" t="s">
        <v>549</v>
      </c>
      <c r="R1" t="s">
        <v>550</v>
      </c>
      <c r="S1" t="s">
        <v>551</v>
      </c>
      <c r="T1" t="s">
        <v>552</v>
      </c>
      <c r="U1" t="s">
        <v>553</v>
      </c>
      <c r="V1" t="s">
        <v>554</v>
      </c>
      <c r="W1" t="s">
        <v>555</v>
      </c>
      <c r="X1" t="s">
        <v>556</v>
      </c>
      <c r="Y1" t="s">
        <v>557</v>
      </c>
      <c r="Z1" t="s">
        <v>558</v>
      </c>
      <c r="AA1" t="s">
        <v>559</v>
      </c>
      <c r="AB1" t="s">
        <v>560</v>
      </c>
      <c r="AC1" t="s">
        <v>561</v>
      </c>
      <c r="AD1" t="s">
        <v>562</v>
      </c>
      <c r="AE1" t="s">
        <v>563</v>
      </c>
      <c r="AF1" t="s">
        <v>564</v>
      </c>
      <c r="AG1" t="s">
        <v>565</v>
      </c>
      <c r="AH1" t="s">
        <v>566</v>
      </c>
      <c r="AI1" t="s">
        <v>567</v>
      </c>
      <c r="AJ1" t="s">
        <v>568</v>
      </c>
      <c r="AK1" t="s">
        <v>569</v>
      </c>
      <c r="AL1" t="s">
        <v>570</v>
      </c>
      <c r="AM1" t="s">
        <v>571</v>
      </c>
      <c r="AN1" t="s">
        <v>572</v>
      </c>
      <c r="AO1" t="s">
        <v>573</v>
      </c>
      <c r="AP1" t="s">
        <v>574</v>
      </c>
      <c r="AQ1" t="s">
        <v>575</v>
      </c>
      <c r="AR1" t="s">
        <v>576</v>
      </c>
      <c r="AS1" t="s">
        <v>577</v>
      </c>
      <c r="AT1" t="s">
        <v>578</v>
      </c>
      <c r="AU1" t="s">
        <v>579</v>
      </c>
      <c r="AV1" t="s">
        <v>580</v>
      </c>
      <c r="AW1" t="s">
        <v>581</v>
      </c>
      <c r="AX1" t="s">
        <v>582</v>
      </c>
      <c r="AY1" t="s">
        <v>583</v>
      </c>
      <c r="AZ1" t="s">
        <v>584</v>
      </c>
      <c r="BA1" t="s">
        <v>585</v>
      </c>
      <c r="BB1" t="s">
        <v>586</v>
      </c>
      <c r="BC1" t="s">
        <v>587</v>
      </c>
      <c r="BD1" t="s">
        <v>588</v>
      </c>
      <c r="BE1" t="s">
        <v>589</v>
      </c>
      <c r="BF1" t="s">
        <v>590</v>
      </c>
      <c r="BG1" t="s">
        <v>591</v>
      </c>
      <c r="BH1" t="s">
        <v>592</v>
      </c>
      <c r="BI1" t="s">
        <v>593</v>
      </c>
      <c r="BJ1" t="s">
        <v>594</v>
      </c>
      <c r="BK1" t="s">
        <v>595</v>
      </c>
      <c r="BL1" t="s">
        <v>596</v>
      </c>
      <c r="BM1" t="s">
        <v>597</v>
      </c>
      <c r="BN1" t="s">
        <v>598</v>
      </c>
      <c r="BO1" t="s">
        <v>599</v>
      </c>
      <c r="BP1" t="s">
        <v>600</v>
      </c>
      <c r="BQ1" t="s">
        <v>601</v>
      </c>
      <c r="BR1" t="s">
        <v>602</v>
      </c>
      <c r="BS1" t="s">
        <v>603</v>
      </c>
      <c r="BT1" t="s">
        <v>604</v>
      </c>
      <c r="BU1" t="s">
        <v>605</v>
      </c>
      <c r="BV1" t="s">
        <v>606</v>
      </c>
    </row>
    <row r="2" spans="1:74">
      <c r="A2" t="s">
        <v>105</v>
      </c>
      <c r="B2">
        <v>3280782</v>
      </c>
      <c r="C2">
        <v>604.98</v>
      </c>
      <c r="D2">
        <v>0.95099999999999996</v>
      </c>
      <c r="E2">
        <v>137624.988518564</v>
      </c>
      <c r="F2">
        <v>41636.308896984599</v>
      </c>
      <c r="G2">
        <v>1.1520139338321699E-2</v>
      </c>
      <c r="H2">
        <v>64.9583333333333</v>
      </c>
      <c r="I2">
        <v>665497.68000000005</v>
      </c>
      <c r="J2">
        <v>284908</v>
      </c>
      <c r="K2">
        <v>1609600</v>
      </c>
      <c r="L2">
        <v>0.224217196819085</v>
      </c>
      <c r="M2">
        <v>36.460508139435497</v>
      </c>
      <c r="N2">
        <v>49.078996184870597</v>
      </c>
      <c r="O2">
        <v>47.586263635925697</v>
      </c>
      <c r="P2">
        <v>0.25</v>
      </c>
      <c r="Q2">
        <v>82.400288315896006</v>
      </c>
      <c r="R2">
        <v>11220.839073184001</v>
      </c>
      <c r="S2">
        <v>3</v>
      </c>
      <c r="T2">
        <v>1364.46319460158</v>
      </c>
      <c r="U2">
        <v>14680.44</v>
      </c>
      <c r="V2">
        <v>479.21369442168702</v>
      </c>
      <c r="W2">
        <v>150.67815978119501</v>
      </c>
      <c r="X2">
        <v>0</v>
      </c>
      <c r="Y2">
        <v>133.666666666666</v>
      </c>
      <c r="Z2">
        <v>37</v>
      </c>
      <c r="AA2">
        <v>40.625</v>
      </c>
      <c r="AB2">
        <v>7.3367859866977696</v>
      </c>
      <c r="AC2">
        <v>6.6338933518346401</v>
      </c>
      <c r="AD2">
        <v>56.591299552505099</v>
      </c>
      <c r="AE2">
        <v>9.1999999999999993</v>
      </c>
      <c r="AF2">
        <v>60.258226849639698</v>
      </c>
      <c r="AG2">
        <v>111.5</v>
      </c>
      <c r="AH2">
        <v>94</v>
      </c>
      <c r="AI2">
        <v>8</v>
      </c>
      <c r="AJ2">
        <v>46910</v>
      </c>
      <c r="AK2">
        <v>6024</v>
      </c>
      <c r="AL2">
        <v>58.0010579244817</v>
      </c>
      <c r="AM2">
        <v>51.711343422592101</v>
      </c>
      <c r="AN2">
        <v>512218</v>
      </c>
      <c r="AO2">
        <v>4306511</v>
      </c>
      <c r="AP2">
        <v>6.9010684931506805E-2</v>
      </c>
      <c r="AQ2">
        <v>1903.77716633147</v>
      </c>
      <c r="AR2">
        <v>0.13068181818181801</v>
      </c>
      <c r="AS2">
        <v>1387.69208037825</v>
      </c>
      <c r="AT2">
        <v>27.124699026468701</v>
      </c>
      <c r="AU2">
        <v>5.4456212364706502</v>
      </c>
      <c r="AV2">
        <v>1.8E-3</v>
      </c>
      <c r="AW2">
        <v>83.2</v>
      </c>
      <c r="AX2">
        <v>72.130800318070399</v>
      </c>
      <c r="AY2">
        <v>9.5531927274883301</v>
      </c>
      <c r="AZ2">
        <v>4878.8549388630399</v>
      </c>
      <c r="BA2">
        <v>67.460880031689896</v>
      </c>
      <c r="BB2">
        <v>67.341499050377394</v>
      </c>
      <c r="BC2">
        <v>69.856980097421598</v>
      </c>
      <c r="BD2">
        <v>21.740909090909</v>
      </c>
      <c r="BE2">
        <v>0.16669999999999999</v>
      </c>
      <c r="BF2">
        <v>0.19670145089999999</v>
      </c>
      <c r="BG2">
        <v>6.2468132690967701</v>
      </c>
      <c r="BH2">
        <v>9.5</v>
      </c>
      <c r="BI2">
        <v>0.85066371681415898</v>
      </c>
      <c r="BJ2">
        <v>84.8</v>
      </c>
      <c r="BK2">
        <v>51.258509813315897</v>
      </c>
      <c r="BL2">
        <v>58.434097569339997</v>
      </c>
      <c r="BM2">
        <v>169</v>
      </c>
      <c r="BN2">
        <v>6.2024728007827603</v>
      </c>
      <c r="BO2">
        <v>50602864</v>
      </c>
      <c r="BP2">
        <v>334681</v>
      </c>
      <c r="BQ2">
        <v>0.79577471545947598</v>
      </c>
      <c r="BR2">
        <v>0.32796281951975198</v>
      </c>
      <c r="BS2">
        <v>22</v>
      </c>
      <c r="BT2">
        <v>30.385000000000002</v>
      </c>
      <c r="BU2">
        <v>33.333333333333336</v>
      </c>
      <c r="BV2">
        <v>51.866405383181402</v>
      </c>
    </row>
    <row r="3" spans="1:74">
      <c r="A3" t="s">
        <v>106</v>
      </c>
      <c r="B3">
        <v>1636193</v>
      </c>
      <c r="C3">
        <v>101.4</v>
      </c>
      <c r="D3">
        <v>0.95099999999999996</v>
      </c>
      <c r="E3">
        <v>99217.243778747797</v>
      </c>
      <c r="F3">
        <v>60619.114050894001</v>
      </c>
      <c r="G3">
        <v>9.8594582416772995E-3</v>
      </c>
      <c r="H3">
        <v>64.9583333333333</v>
      </c>
      <c r="I3">
        <v>0</v>
      </c>
      <c r="J3">
        <v>0</v>
      </c>
      <c r="K3">
        <v>691400</v>
      </c>
      <c r="L3">
        <v>0.233005496094879</v>
      </c>
      <c r="M3">
        <v>26.947326500149899</v>
      </c>
      <c r="N3">
        <v>49.157366090826699</v>
      </c>
      <c r="O3">
        <v>43.264563852441903</v>
      </c>
      <c r="P3">
        <v>0.25</v>
      </c>
      <c r="Q3">
        <v>82.400288315896006</v>
      </c>
      <c r="R3">
        <v>5121.0923235274404</v>
      </c>
      <c r="S3">
        <v>56</v>
      </c>
      <c r="T3">
        <v>622.72900859161098</v>
      </c>
      <c r="U3">
        <v>21262.99</v>
      </c>
      <c r="V3">
        <v>479.21369442168702</v>
      </c>
      <c r="W3">
        <v>72.2873229268383</v>
      </c>
      <c r="X3">
        <v>0</v>
      </c>
      <c r="Y3">
        <v>162.666666666666</v>
      </c>
      <c r="Z3">
        <v>70</v>
      </c>
      <c r="AA3">
        <v>42.1875</v>
      </c>
      <c r="AB3">
        <v>5.2332261303012997</v>
      </c>
      <c r="AC3">
        <v>4.7328564563811399</v>
      </c>
      <c r="AD3">
        <v>62.895710403356098</v>
      </c>
      <c r="AE3">
        <v>4</v>
      </c>
      <c r="AF3">
        <v>56.751966619610698</v>
      </c>
      <c r="AG3">
        <v>63.5</v>
      </c>
      <c r="AH3">
        <v>56</v>
      </c>
      <c r="AI3">
        <v>4</v>
      </c>
      <c r="AJ3">
        <v>54556</v>
      </c>
      <c r="AK3">
        <v>6870</v>
      </c>
      <c r="AL3">
        <v>61.3316571960492</v>
      </c>
      <c r="AM3">
        <v>49.994255121770202</v>
      </c>
      <c r="AN3">
        <v>359480</v>
      </c>
      <c r="AO3">
        <v>5513125</v>
      </c>
      <c r="AP3">
        <v>9.6999999999999906E-2</v>
      </c>
      <c r="AQ3">
        <v>1824.3741907585099</v>
      </c>
      <c r="AR3">
        <v>-4.8648648648648603E-2</v>
      </c>
      <c r="AS3">
        <v>1487.5945626477501</v>
      </c>
      <c r="AT3">
        <v>29.740617972684198</v>
      </c>
      <c r="AU3">
        <v>24.156118143459899</v>
      </c>
      <c r="AV3">
        <v>2.3999999999999998E-3</v>
      </c>
      <c r="AW3">
        <v>83.2</v>
      </c>
      <c r="AX3">
        <v>72.130800318070399</v>
      </c>
      <c r="AY3">
        <v>9.5531927274883301</v>
      </c>
      <c r="AZ3">
        <v>4461.8506929523601</v>
      </c>
      <c r="BA3">
        <v>67.460880031689896</v>
      </c>
      <c r="BB3">
        <v>64.662123382522594</v>
      </c>
      <c r="BC3">
        <v>68.025103700910407</v>
      </c>
      <c r="BD3">
        <v>32.4768740031897</v>
      </c>
      <c r="BE3">
        <v>0.16669999999999999</v>
      </c>
      <c r="BF3">
        <v>0.19670145089999999</v>
      </c>
      <c r="BG3">
        <v>9.0948572542999901</v>
      </c>
      <c r="BH3">
        <v>13</v>
      </c>
      <c r="BI3">
        <v>0.73634615384615298</v>
      </c>
      <c r="BJ3">
        <v>49.7</v>
      </c>
      <c r="BK3">
        <v>34.141102648590802</v>
      </c>
      <c r="BL3">
        <v>41.2979692007845</v>
      </c>
      <c r="BM3">
        <v>162.00000000000099</v>
      </c>
      <c r="BN3">
        <v>5.2473720529203298</v>
      </c>
      <c r="BO3">
        <v>41616302</v>
      </c>
      <c r="BP3">
        <v>278561</v>
      </c>
      <c r="BQ3">
        <v>0.862619791558072</v>
      </c>
      <c r="BR3">
        <v>0.48871313231174801</v>
      </c>
      <c r="BS3">
        <v>18</v>
      </c>
      <c r="BT3">
        <v>27.772500000000001</v>
      </c>
      <c r="BU3">
        <v>33.333333333333336</v>
      </c>
      <c r="BV3">
        <v>52.468236528108498</v>
      </c>
    </row>
    <row r="4" spans="1:74">
      <c r="A4" t="s">
        <v>108</v>
      </c>
      <c r="B4">
        <v>8796628</v>
      </c>
      <c r="C4">
        <v>1572.14714599999</v>
      </c>
      <c r="D4">
        <v>0.81100000000000005</v>
      </c>
      <c r="E4">
        <v>725531.99808908603</v>
      </c>
      <c r="F4">
        <v>82478.422196446903</v>
      </c>
      <c r="G4">
        <v>2.6222699073008299E-2</v>
      </c>
      <c r="H4">
        <v>69.941666666666606</v>
      </c>
      <c r="I4">
        <v>3095983.43</v>
      </c>
      <c r="J4">
        <v>1036817.3</v>
      </c>
      <c r="K4">
        <v>6344000</v>
      </c>
      <c r="L4">
        <v>0.34252837326607799</v>
      </c>
      <c r="M4">
        <v>60.506179016820496</v>
      </c>
      <c r="N4">
        <v>79.7525403737978</v>
      </c>
      <c r="O4">
        <v>63.815508249978599</v>
      </c>
      <c r="P4">
        <v>0.25</v>
      </c>
      <c r="Q4">
        <v>95.159862172720494</v>
      </c>
      <c r="R4">
        <v>53586.924894415097</v>
      </c>
      <c r="S4">
        <v>793</v>
      </c>
      <c r="T4">
        <v>8416.8563320928697</v>
      </c>
      <c r="U4">
        <v>141792.04999999999</v>
      </c>
      <c r="V4">
        <v>503.666666666666</v>
      </c>
      <c r="W4">
        <v>1138.2089386745499</v>
      </c>
      <c r="X4">
        <v>3.9</v>
      </c>
      <c r="Y4">
        <v>1896.3333333333301</v>
      </c>
      <c r="Z4">
        <v>102</v>
      </c>
      <c r="AA4">
        <v>37.5</v>
      </c>
      <c r="AB4">
        <v>121.53314323874299</v>
      </c>
      <c r="AC4">
        <v>46.157388409121602</v>
      </c>
      <c r="AD4">
        <v>85.563728072485901</v>
      </c>
      <c r="AE4">
        <v>6</v>
      </c>
      <c r="AF4">
        <v>70.635688953785404</v>
      </c>
      <c r="AG4">
        <v>199</v>
      </c>
      <c r="AH4">
        <v>292</v>
      </c>
      <c r="AI4">
        <v>20</v>
      </c>
      <c r="AJ4">
        <v>131717</v>
      </c>
      <c r="AK4">
        <v>21113</v>
      </c>
      <c r="AL4">
        <v>64.042536638367494</v>
      </c>
      <c r="AM4">
        <v>33.593806764190902</v>
      </c>
      <c r="AN4">
        <v>1944000</v>
      </c>
      <c r="AO4">
        <v>16117938.625770301</v>
      </c>
      <c r="AP4">
        <v>4.5117101556253897E-2</v>
      </c>
      <c r="AQ4">
        <v>1998.5959552147201</v>
      </c>
      <c r="AR4">
        <v>0.53529411764705803</v>
      </c>
      <c r="AS4">
        <v>3412.26960110041</v>
      </c>
      <c r="AT4">
        <v>44.514340420953197</v>
      </c>
      <c r="AU4">
        <v>12.732151456217</v>
      </c>
      <c r="AV4">
        <v>2.5000000000000001E-3</v>
      </c>
      <c r="AW4">
        <v>81.400000000000006</v>
      </c>
      <c r="AX4">
        <v>79.475088821136595</v>
      </c>
      <c r="AY4">
        <v>14.5932110497432</v>
      </c>
      <c r="AZ4">
        <v>4132.4473515467198</v>
      </c>
      <c r="BA4">
        <v>82.082491616209495</v>
      </c>
      <c r="BB4">
        <v>60.0452053823253</v>
      </c>
      <c r="BC4">
        <v>59.981622404390897</v>
      </c>
      <c r="BD4">
        <v>54.393939393939299</v>
      </c>
      <c r="BE4">
        <v>0.12590000000000001</v>
      </c>
      <c r="BF4">
        <v>0.26642251848112802</v>
      </c>
      <c r="BG4">
        <v>3.0829560481778402</v>
      </c>
      <c r="BH4">
        <v>9.6</v>
      </c>
      <c r="BI4">
        <v>0.92255107886194399</v>
      </c>
      <c r="BJ4">
        <v>59.4</v>
      </c>
      <c r="BK4">
        <v>80.182762836578306</v>
      </c>
      <c r="BL4">
        <v>50.582134095148398</v>
      </c>
      <c r="BM4">
        <v>380.00000000000301</v>
      </c>
      <c r="BN4">
        <v>22.045064397046701</v>
      </c>
      <c r="BO4">
        <v>134004325</v>
      </c>
      <c r="BP4">
        <v>955582</v>
      </c>
      <c r="BQ4">
        <v>0.91354937334747899</v>
      </c>
      <c r="BR4">
        <v>0.81412938525909195</v>
      </c>
      <c r="BS4">
        <v>45.125309530121498</v>
      </c>
      <c r="BT4">
        <v>36.697499999999998</v>
      </c>
      <c r="BU4">
        <v>16.513761467889907</v>
      </c>
      <c r="BV4">
        <v>33.340412924906197</v>
      </c>
    </row>
    <row r="5" spans="1:74">
      <c r="A5" t="s">
        <v>110</v>
      </c>
      <c r="B5">
        <v>2102650</v>
      </c>
      <c r="C5">
        <v>105.4</v>
      </c>
      <c r="D5">
        <v>0.95099999999999996</v>
      </c>
      <c r="E5">
        <v>288843.09538589697</v>
      </c>
      <c r="F5">
        <v>134824.34625358001</v>
      </c>
      <c r="G5">
        <v>1.13511376841199E-2</v>
      </c>
      <c r="H5">
        <v>63.6</v>
      </c>
      <c r="I5">
        <v>2967238.1958727399</v>
      </c>
      <c r="J5">
        <v>1672092.2</v>
      </c>
      <c r="K5">
        <v>2105368</v>
      </c>
      <c r="L5">
        <v>0.28116082319100499</v>
      </c>
      <c r="M5">
        <v>39.833036151406198</v>
      </c>
      <c r="N5">
        <v>52.1726486570075</v>
      </c>
      <c r="O5">
        <v>38.417214725626799</v>
      </c>
      <c r="P5">
        <v>0.25</v>
      </c>
      <c r="Q5">
        <v>82.832899226868903</v>
      </c>
      <c r="R5">
        <v>22750.284511998099</v>
      </c>
      <c r="S5">
        <v>571</v>
      </c>
      <c r="T5">
        <v>7622.4017538625303</v>
      </c>
      <c r="U5">
        <v>51486.999999999898</v>
      </c>
      <c r="V5">
        <v>493.666666666666</v>
      </c>
      <c r="W5">
        <v>897.77886682266103</v>
      </c>
      <c r="X5">
        <v>6.25</v>
      </c>
      <c r="Y5">
        <v>458.33333333333297</v>
      </c>
      <c r="Z5">
        <v>153</v>
      </c>
      <c r="AA5">
        <v>12.5</v>
      </c>
      <c r="AB5">
        <v>17.974988366573999</v>
      </c>
      <c r="AC5">
        <v>30.099998961973501</v>
      </c>
      <c r="AD5">
        <v>70.414481822125794</v>
      </c>
      <c r="AE5">
        <v>8.375</v>
      </c>
      <c r="AF5">
        <v>43.944377219870603</v>
      </c>
      <c r="AG5">
        <v>248.5</v>
      </c>
      <c r="AH5">
        <v>200</v>
      </c>
      <c r="AI5">
        <v>10</v>
      </c>
      <c r="AJ5">
        <v>126961</v>
      </c>
      <c r="AK5">
        <v>9448</v>
      </c>
      <c r="AL5">
        <v>75.821568656218801</v>
      </c>
      <c r="AM5">
        <v>54.875665730277902</v>
      </c>
      <c r="AN5">
        <v>309006</v>
      </c>
      <c r="AO5">
        <v>7333554.41354544</v>
      </c>
      <c r="AP5">
        <v>5.7490410958904101E-2</v>
      </c>
      <c r="AQ5">
        <v>1716.6064742548399</v>
      </c>
      <c r="AR5">
        <v>0.36969696969696902</v>
      </c>
      <c r="AS5">
        <v>2088.6111111111099</v>
      </c>
      <c r="AT5">
        <v>39.638502618539697</v>
      </c>
      <c r="AU5">
        <v>8.4019257213753296</v>
      </c>
      <c r="AV5">
        <v>1.8E-3</v>
      </c>
      <c r="AW5">
        <v>82.5</v>
      </c>
      <c r="AX5">
        <v>74.2539220047356</v>
      </c>
      <c r="AY5">
        <v>20.701695668115299</v>
      </c>
      <c r="AZ5">
        <v>7117.8734278973498</v>
      </c>
      <c r="BA5">
        <v>73.069888299046099</v>
      </c>
      <c r="BB5">
        <v>81.863440052274697</v>
      </c>
      <c r="BC5">
        <v>71.467155376470004</v>
      </c>
      <c r="BD5">
        <v>60.153846153846096</v>
      </c>
      <c r="BE5">
        <v>0.1164</v>
      </c>
      <c r="BF5">
        <v>0.24308169424999901</v>
      </c>
      <c r="BG5">
        <v>13.369108873728401</v>
      </c>
      <c r="BH5">
        <v>12.7</v>
      </c>
      <c r="BI5">
        <v>0.91018658013674802</v>
      </c>
      <c r="BJ5">
        <v>57.5</v>
      </c>
      <c r="BK5">
        <v>40.9966821797587</v>
      </c>
      <c r="BL5">
        <v>20.755121000098999</v>
      </c>
      <c r="BM5">
        <v>313.00000000000102</v>
      </c>
      <c r="BN5">
        <v>22.3929934257004</v>
      </c>
      <c r="BO5">
        <v>91275726</v>
      </c>
      <c r="BP5">
        <v>619429</v>
      </c>
      <c r="BQ5">
        <v>1.7220564842543</v>
      </c>
      <c r="BR5">
        <v>0.70101724900486495</v>
      </c>
      <c r="BS5">
        <v>37.490339720770798</v>
      </c>
      <c r="BT5">
        <v>35.2575</v>
      </c>
      <c r="BU5">
        <v>22.929936305732483</v>
      </c>
      <c r="BV5">
        <v>52.468132894439997</v>
      </c>
    </row>
    <row r="6" spans="1:74">
      <c r="A6" t="s">
        <v>112</v>
      </c>
      <c r="B6">
        <v>1222637</v>
      </c>
      <c r="C6">
        <v>162.41978599999999</v>
      </c>
      <c r="D6">
        <v>0.95099999999999996</v>
      </c>
      <c r="E6">
        <v>107356.606093636</v>
      </c>
      <c r="F6">
        <v>87999.382028768698</v>
      </c>
      <c r="G6">
        <v>5.2876857546804001E-3</v>
      </c>
      <c r="H6">
        <v>67.099999999999994</v>
      </c>
      <c r="I6">
        <v>336073.06570765498</v>
      </c>
      <c r="J6">
        <v>0</v>
      </c>
      <c r="K6">
        <v>795647.267120854</v>
      </c>
      <c r="L6">
        <v>0.26507830477975602</v>
      </c>
      <c r="M6">
        <v>44.115309495978003</v>
      </c>
      <c r="N6">
        <v>70.9664234997189</v>
      </c>
      <c r="O6">
        <v>14.630545735364899</v>
      </c>
      <c r="P6">
        <v>0.25</v>
      </c>
      <c r="Q6">
        <v>79.514771803524098</v>
      </c>
      <c r="R6">
        <v>10672.5131155496</v>
      </c>
      <c r="S6">
        <v>356</v>
      </c>
      <c r="T6">
        <v>2924.88699199231</v>
      </c>
      <c r="U6">
        <v>32967.29</v>
      </c>
      <c r="V6">
        <v>500</v>
      </c>
      <c r="W6">
        <v>154.30327699513899</v>
      </c>
      <c r="X6">
        <v>0.55000000000000004</v>
      </c>
      <c r="Y6">
        <v>41.6666666666666</v>
      </c>
      <c r="Z6">
        <v>319</v>
      </c>
      <c r="AA6">
        <v>26.5625</v>
      </c>
      <c r="AB6">
        <v>14.791373814557801</v>
      </c>
      <c r="AC6">
        <v>4.94666572472007</v>
      </c>
      <c r="AD6">
        <v>20.740651968882698</v>
      </c>
      <c r="AE6">
        <v>19.125</v>
      </c>
      <c r="AF6">
        <v>16.4013262546469</v>
      </c>
      <c r="AG6">
        <v>46</v>
      </c>
      <c r="AH6">
        <v>79</v>
      </c>
      <c r="AI6">
        <v>4</v>
      </c>
      <c r="AJ6">
        <v>24013</v>
      </c>
      <c r="AK6">
        <v>1842</v>
      </c>
      <c r="AL6">
        <v>25.703580235930001</v>
      </c>
      <c r="AM6">
        <v>26.805015016697102</v>
      </c>
      <c r="AN6">
        <v>438737</v>
      </c>
      <c r="AO6">
        <v>1658902.6884977301</v>
      </c>
      <c r="AP6">
        <v>0.115249469223804</v>
      </c>
      <c r="AQ6">
        <v>1862.97684230603</v>
      </c>
      <c r="AR6">
        <v>0.17307692307692299</v>
      </c>
      <c r="AS6">
        <v>1492.1778959810799</v>
      </c>
      <c r="AT6">
        <v>35.448420882630302</v>
      </c>
      <c r="AU6">
        <v>1.63938457503053</v>
      </c>
      <c r="AV6">
        <v>1.9E-3</v>
      </c>
      <c r="AW6">
        <v>81.400000000000006</v>
      </c>
      <c r="AX6">
        <v>79.959329266441699</v>
      </c>
      <c r="AY6">
        <v>27.930551068438799</v>
      </c>
      <c r="AZ6">
        <v>7637.5562725500504</v>
      </c>
      <c r="BA6">
        <v>72.640145403164098</v>
      </c>
      <c r="BB6">
        <v>41.4454222617249</v>
      </c>
      <c r="BC6">
        <v>35.192831480089097</v>
      </c>
      <c r="BD6">
        <v>23.939393939393899</v>
      </c>
      <c r="BE6">
        <v>8.8599999999999998E-2</v>
      </c>
      <c r="BF6">
        <v>0.32447239379999998</v>
      </c>
      <c r="BG6">
        <v>13.030946240852201</v>
      </c>
      <c r="BH6">
        <v>10.6</v>
      </c>
      <c r="BI6">
        <v>0.96090981826494404</v>
      </c>
      <c r="BJ6">
        <v>55.7</v>
      </c>
      <c r="BK6">
        <v>71.659222325436204</v>
      </c>
      <c r="BL6">
        <v>38.246109882646799</v>
      </c>
      <c r="BM6">
        <v>257.00000000000102</v>
      </c>
      <c r="BN6">
        <v>7.16557898731772</v>
      </c>
      <c r="BO6">
        <v>27147529</v>
      </c>
      <c r="BP6">
        <v>203618</v>
      </c>
      <c r="BQ6">
        <v>1.2191268640839099</v>
      </c>
      <c r="BR6">
        <v>0.46158106050117598</v>
      </c>
      <c r="BS6">
        <v>27.6066729682837</v>
      </c>
      <c r="BT6">
        <v>31.835000000000001</v>
      </c>
      <c r="BU6">
        <v>23.529411764705884</v>
      </c>
      <c r="BV6">
        <v>42.738337759378801</v>
      </c>
    </row>
    <row r="7" spans="1:74">
      <c r="A7" t="s">
        <v>114</v>
      </c>
      <c r="B7">
        <v>872380</v>
      </c>
      <c r="C7">
        <v>164.73</v>
      </c>
      <c r="D7">
        <v>0.95099999999999996</v>
      </c>
      <c r="E7">
        <v>106574.468085106</v>
      </c>
      <c r="F7">
        <v>122072.104018912</v>
      </c>
      <c r="G7">
        <v>2.11542534328144E-2</v>
      </c>
      <c r="H7">
        <v>77.95</v>
      </c>
      <c r="I7">
        <v>1333919.39871687</v>
      </c>
      <c r="J7">
        <v>411906</v>
      </c>
      <c r="K7">
        <v>581675</v>
      </c>
      <c r="L7">
        <v>0.348166931705849</v>
      </c>
      <c r="M7">
        <v>59.119399449430801</v>
      </c>
      <c r="N7">
        <v>81.212182417272203</v>
      </c>
      <c r="O7">
        <v>21.8323010222833</v>
      </c>
      <c r="P7">
        <v>0.25800000000000001</v>
      </c>
      <c r="Q7">
        <v>81.551986046212406</v>
      </c>
      <c r="R7">
        <v>6588.7925534783399</v>
      </c>
      <c r="S7">
        <v>480</v>
      </c>
      <c r="T7">
        <v>1337.8136050603</v>
      </c>
      <c r="U7">
        <v>25056.36</v>
      </c>
      <c r="V7">
        <v>502.33333333333297</v>
      </c>
      <c r="W7">
        <v>123.321991279069</v>
      </c>
      <c r="X7">
        <v>1</v>
      </c>
      <c r="Y7">
        <v>193</v>
      </c>
      <c r="Z7">
        <v>47</v>
      </c>
      <c r="AA7">
        <v>34.375</v>
      </c>
      <c r="AB7">
        <v>20.1180615465675</v>
      </c>
      <c r="AC7">
        <v>5.1451519745031202</v>
      </c>
      <c r="AD7">
        <v>35.920296603217899</v>
      </c>
      <c r="AE7">
        <v>19.999999999999901</v>
      </c>
      <c r="AF7">
        <v>50.665659842230198</v>
      </c>
      <c r="AG7">
        <v>66.5</v>
      </c>
      <c r="AH7">
        <v>86</v>
      </c>
      <c r="AI7">
        <v>3</v>
      </c>
      <c r="AJ7">
        <v>46655</v>
      </c>
      <c r="AK7">
        <v>3886</v>
      </c>
      <c r="AL7">
        <v>45.7282721879237</v>
      </c>
      <c r="AM7">
        <v>24.179790675774299</v>
      </c>
      <c r="AN7">
        <v>160346</v>
      </c>
      <c r="AO7">
        <v>5327000</v>
      </c>
      <c r="AP7">
        <v>4.2999999999999997E-2</v>
      </c>
      <c r="AQ7">
        <v>1933.8758389858799</v>
      </c>
      <c r="AR7">
        <v>0.44767441860465101</v>
      </c>
      <c r="AS7">
        <v>2312.1631205673698</v>
      </c>
      <c r="AT7">
        <v>38.951827271196798</v>
      </c>
      <c r="AU7">
        <v>16.048052454205699</v>
      </c>
      <c r="AV7">
        <v>2.8E-3</v>
      </c>
      <c r="AW7">
        <v>81.8</v>
      </c>
      <c r="AX7">
        <v>84.985042009492503</v>
      </c>
      <c r="AY7">
        <v>17.2464074157859</v>
      </c>
      <c r="AZ7">
        <v>4945.6464692685104</v>
      </c>
      <c r="BA7">
        <v>82.998372364540998</v>
      </c>
      <c r="BB7">
        <v>35.890890286689803</v>
      </c>
      <c r="BC7">
        <v>26.027715700558701</v>
      </c>
      <c r="BD7">
        <v>26.296969696969601</v>
      </c>
      <c r="BE7">
        <v>0.10630000000000001</v>
      </c>
      <c r="BF7">
        <v>0.27801868269999902</v>
      </c>
      <c r="BG7">
        <v>16.579924218158801</v>
      </c>
      <c r="BH7">
        <v>10.1</v>
      </c>
      <c r="BI7">
        <v>0.99883258057107804</v>
      </c>
      <c r="BJ7">
        <v>79.2</v>
      </c>
      <c r="BK7">
        <v>77.488253647080199</v>
      </c>
      <c r="BL7">
        <v>58.497612079492399</v>
      </c>
      <c r="BM7">
        <v>278.99999999999699</v>
      </c>
      <c r="BN7">
        <v>17.171120788802099</v>
      </c>
      <c r="BO7">
        <v>52472188</v>
      </c>
      <c r="BP7">
        <v>396208</v>
      </c>
      <c r="BQ7">
        <v>0.77349302342661197</v>
      </c>
      <c r="BR7">
        <v>0.52166427546628402</v>
      </c>
      <c r="BS7">
        <v>21</v>
      </c>
      <c r="BT7">
        <v>24.272500000000001</v>
      </c>
      <c r="BU7">
        <v>46.753246753246756</v>
      </c>
      <c r="BV7">
        <v>73.8808998811718</v>
      </c>
    </row>
    <row r="8" spans="1:74">
      <c r="A8" t="s">
        <v>116</v>
      </c>
      <c r="B8">
        <v>204784</v>
      </c>
      <c r="C8">
        <v>15.89</v>
      </c>
      <c r="D8">
        <v>0.95499999999999996</v>
      </c>
      <c r="E8">
        <v>24324.391272471999</v>
      </c>
      <c r="F8">
        <v>121930.995601127</v>
      </c>
      <c r="G8">
        <v>2.2085146549862999E-2</v>
      </c>
      <c r="H8">
        <v>83.808333333333294</v>
      </c>
      <c r="I8">
        <v>0</v>
      </c>
      <c r="J8">
        <v>0</v>
      </c>
      <c r="K8">
        <v>167757.35686999999</v>
      </c>
      <c r="L8">
        <v>0.27108954247894301</v>
      </c>
      <c r="M8">
        <v>86.063733315748706</v>
      </c>
      <c r="N8">
        <v>59.752315168637601</v>
      </c>
      <c r="O8">
        <v>31.776708547235799</v>
      </c>
      <c r="P8">
        <v>0.14000000000000001</v>
      </c>
      <c r="Q8">
        <v>82.492965720818901</v>
      </c>
      <c r="R8">
        <v>1576.41351953405</v>
      </c>
      <c r="S8">
        <v>227</v>
      </c>
      <c r="T8">
        <v>762.76585171741499</v>
      </c>
      <c r="U8">
        <v>17930.849999999999</v>
      </c>
      <c r="V8">
        <v>498</v>
      </c>
      <c r="W8">
        <v>21.328450718402699</v>
      </c>
      <c r="X8">
        <v>5.2</v>
      </c>
      <c r="Y8">
        <v>32.6666666666666</v>
      </c>
      <c r="Z8">
        <v>87</v>
      </c>
      <c r="AA8">
        <v>29.6875</v>
      </c>
      <c r="AB8">
        <v>0.44439659292705602</v>
      </c>
      <c r="AC8">
        <v>2.4553770820723901</v>
      </c>
      <c r="AD8">
        <v>6.2599997908748799</v>
      </c>
      <c r="AE8">
        <v>3.6413043478260798</v>
      </c>
      <c r="AF8">
        <v>14.026354737046599</v>
      </c>
      <c r="AG8">
        <v>30</v>
      </c>
      <c r="AH8">
        <v>32</v>
      </c>
      <c r="AI8">
        <v>1</v>
      </c>
      <c r="AJ8">
        <v>13773</v>
      </c>
      <c r="AK8">
        <v>1967</v>
      </c>
      <c r="AL8">
        <v>24.295879039430702</v>
      </c>
      <c r="AM8">
        <v>6.6868679130162603</v>
      </c>
      <c r="AN8">
        <v>100832</v>
      </c>
      <c r="AO8">
        <v>686104</v>
      </c>
      <c r="AP8">
        <v>3.9060273972602699E-2</v>
      </c>
      <c r="AQ8">
        <v>2081.6628398334801</v>
      </c>
      <c r="AR8">
        <v>0.5</v>
      </c>
      <c r="AS8">
        <v>3042.87472647702</v>
      </c>
      <c r="AT8">
        <v>75.146159703636002</v>
      </c>
      <c r="AU8">
        <v>9.8800561187187501</v>
      </c>
      <c r="AV8">
        <v>1.9E-3</v>
      </c>
      <c r="AW8">
        <v>83.4</v>
      </c>
      <c r="AX8">
        <v>85.178660917249104</v>
      </c>
      <c r="AY8">
        <v>18.146920476119501</v>
      </c>
      <c r="AZ8">
        <v>6245.66099955748</v>
      </c>
      <c r="BA8">
        <v>74.775015194431006</v>
      </c>
      <c r="BB8">
        <v>26.549128001485101</v>
      </c>
      <c r="BC8">
        <v>25.297098226076798</v>
      </c>
      <c r="BD8">
        <v>60.151515151515099</v>
      </c>
      <c r="BE8">
        <v>0.24359999999999901</v>
      </c>
      <c r="BF8">
        <v>0.29977892249999999</v>
      </c>
      <c r="BG8">
        <v>5.1442168572819096</v>
      </c>
      <c r="BH8">
        <v>11.6</v>
      </c>
      <c r="BI8">
        <v>0.922900588370138</v>
      </c>
      <c r="BJ8">
        <v>81.8</v>
      </c>
      <c r="BK8">
        <v>72.935693636481602</v>
      </c>
      <c r="BL8">
        <v>77.834005361605904</v>
      </c>
      <c r="BM8">
        <v>140</v>
      </c>
      <c r="BN8">
        <v>0.13689424747586501</v>
      </c>
      <c r="BO8">
        <v>13997289</v>
      </c>
      <c r="BP8">
        <v>123468</v>
      </c>
      <c r="BQ8">
        <v>0.30557749073643897</v>
      </c>
      <c r="BR8">
        <v>0.26667689004753797</v>
      </c>
      <c r="BS8">
        <v>8</v>
      </c>
      <c r="BT8">
        <v>27</v>
      </c>
      <c r="BU8">
        <v>31.03448275862069</v>
      </c>
      <c r="BV8">
        <v>40.166578991388498</v>
      </c>
    </row>
    <row r="9" spans="1:74">
      <c r="A9" t="s">
        <v>118</v>
      </c>
      <c r="B9">
        <v>764474</v>
      </c>
      <c r="C9">
        <v>248.3</v>
      </c>
      <c r="D9">
        <v>0.95099999999999996</v>
      </c>
      <c r="E9">
        <v>87506.728411243894</v>
      </c>
      <c r="F9">
        <v>116114.264119396</v>
      </c>
      <c r="G9">
        <v>1.696529958987E-4</v>
      </c>
      <c r="H9">
        <v>73.741666666666603</v>
      </c>
      <c r="I9">
        <v>1889663.94</v>
      </c>
      <c r="J9">
        <v>85238.7</v>
      </c>
      <c r="K9">
        <v>739500</v>
      </c>
      <c r="L9">
        <v>0.34100000000000003</v>
      </c>
      <c r="M9">
        <v>55.337426599509598</v>
      </c>
      <c r="N9">
        <v>54.429500952317298</v>
      </c>
      <c r="O9">
        <v>16.641942325817499</v>
      </c>
      <c r="P9">
        <v>0.31924999999999998</v>
      </c>
      <c r="Q9">
        <v>88.142677989742296</v>
      </c>
      <c r="R9">
        <v>7360.9035028242497</v>
      </c>
      <c r="S9">
        <v>3</v>
      </c>
      <c r="T9">
        <v>1981.6147992392901</v>
      </c>
      <c r="U9">
        <v>10708.88</v>
      </c>
      <c r="V9">
        <v>500.33333333333297</v>
      </c>
      <c r="W9">
        <v>261.10987525757201</v>
      </c>
      <c r="X9">
        <v>0</v>
      </c>
      <c r="Y9">
        <v>51</v>
      </c>
      <c r="Z9">
        <v>4</v>
      </c>
      <c r="AA9">
        <v>18.0555555555555</v>
      </c>
      <c r="AB9">
        <v>6.0204996089008702</v>
      </c>
      <c r="AC9">
        <v>3.1213668354488302</v>
      </c>
      <c r="AD9">
        <v>11.740658716293501</v>
      </c>
      <c r="AE9">
        <v>13.5</v>
      </c>
      <c r="AF9">
        <v>27.982593205277301</v>
      </c>
      <c r="AG9">
        <v>36</v>
      </c>
      <c r="AH9">
        <v>47</v>
      </c>
      <c r="AI9">
        <v>2</v>
      </c>
      <c r="AJ9">
        <v>39044</v>
      </c>
      <c r="AK9">
        <v>1897</v>
      </c>
      <c r="AL9">
        <v>20.078004530366801</v>
      </c>
      <c r="AM9">
        <v>8.0028392404716193</v>
      </c>
      <c r="AN9">
        <v>240007</v>
      </c>
      <c r="AO9">
        <v>1846919.35047798</v>
      </c>
      <c r="AP9">
        <v>5.8334246575342398E-2</v>
      </c>
      <c r="AQ9">
        <v>1730.1496921788601</v>
      </c>
      <c r="AR9">
        <v>0.31736526946107702</v>
      </c>
      <c r="AS9">
        <v>1642.74822695035</v>
      </c>
      <c r="AT9">
        <v>34.567502501581302</v>
      </c>
      <c r="AU9">
        <v>88.291842756181396</v>
      </c>
      <c r="AV9">
        <v>1.6000000000000001E-3</v>
      </c>
      <c r="AW9">
        <v>81.7</v>
      </c>
      <c r="AX9">
        <v>85.865123117358806</v>
      </c>
      <c r="AY9">
        <v>18.258152374010201</v>
      </c>
      <c r="AZ9">
        <v>8193.5296162397699</v>
      </c>
      <c r="BA9">
        <v>78.202806665819907</v>
      </c>
      <c r="BB9">
        <v>21.793402184099001</v>
      </c>
      <c r="BC9">
        <v>13.67069265934</v>
      </c>
      <c r="BD9">
        <v>11.239393939393899</v>
      </c>
      <c r="BE9">
        <v>0.15640000000000001</v>
      </c>
      <c r="BF9">
        <v>0.47149249189999998</v>
      </c>
      <c r="BG9">
        <v>17.214691900164699</v>
      </c>
      <c r="BH9">
        <v>10</v>
      </c>
      <c r="BI9">
        <v>0.96788832057839402</v>
      </c>
      <c r="BJ9">
        <v>76.099999999999994</v>
      </c>
      <c r="BK9">
        <v>87.630456711819306</v>
      </c>
      <c r="BL9">
        <v>50.310299114762003</v>
      </c>
      <c r="BM9">
        <v>301.000000000005</v>
      </c>
      <c r="BN9">
        <v>24.8683138824148</v>
      </c>
      <c r="BO9">
        <v>50295569</v>
      </c>
      <c r="BP9">
        <v>376955</v>
      </c>
      <c r="BQ9">
        <v>0.79895781432131396</v>
      </c>
      <c r="BR9">
        <v>0.51851275668948305</v>
      </c>
      <c r="BS9">
        <v>13.8618323216504</v>
      </c>
      <c r="BT9">
        <v>24.33</v>
      </c>
      <c r="BU9">
        <v>40</v>
      </c>
      <c r="BV9">
        <v>52.2675954774517</v>
      </c>
    </row>
    <row r="10" spans="1:74">
      <c r="A10" t="s">
        <v>120</v>
      </c>
      <c r="B10">
        <v>3677472</v>
      </c>
      <c r="C10">
        <v>891.12</v>
      </c>
      <c r="D10">
        <v>0.95099999999999996</v>
      </c>
      <c r="E10">
        <v>195576.08747044901</v>
      </c>
      <c r="F10">
        <v>52376.155133643697</v>
      </c>
      <c r="G10">
        <v>3.2011868710691803E-2</v>
      </c>
      <c r="H10">
        <v>73.741666666666603</v>
      </c>
      <c r="I10">
        <v>0</v>
      </c>
      <c r="J10">
        <v>59209.8</v>
      </c>
      <c r="K10">
        <v>2160351</v>
      </c>
      <c r="L10">
        <v>0.238155744136022</v>
      </c>
      <c r="M10">
        <v>46.946269864553997</v>
      </c>
      <c r="N10">
        <v>51.282016253108502</v>
      </c>
      <c r="O10">
        <v>20.705478920503399</v>
      </c>
      <c r="P10">
        <v>0.30174999999999902</v>
      </c>
      <c r="Q10">
        <v>88.142677989742296</v>
      </c>
      <c r="R10">
        <v>20451.355261323999</v>
      </c>
      <c r="S10">
        <v>399</v>
      </c>
      <c r="T10">
        <v>5505.6703616329996</v>
      </c>
      <c r="U10">
        <v>21276.86</v>
      </c>
      <c r="V10">
        <v>500.33333333333297</v>
      </c>
      <c r="W10">
        <v>741.39687359187803</v>
      </c>
      <c r="X10">
        <v>2.1</v>
      </c>
      <c r="Y10">
        <v>408</v>
      </c>
      <c r="Z10">
        <v>41</v>
      </c>
      <c r="AA10">
        <v>36.8055555555555</v>
      </c>
      <c r="AB10">
        <v>13.492980908472999</v>
      </c>
      <c r="AC10">
        <v>15.383285595725599</v>
      </c>
      <c r="AD10">
        <v>41.165846757675403</v>
      </c>
      <c r="AE10">
        <v>9.4</v>
      </c>
      <c r="AF10">
        <v>47.144790995954203</v>
      </c>
      <c r="AG10">
        <v>123</v>
      </c>
      <c r="AH10">
        <v>242</v>
      </c>
      <c r="AI10">
        <v>8</v>
      </c>
      <c r="AJ10">
        <v>60619</v>
      </c>
      <c r="AK10">
        <v>6070</v>
      </c>
      <c r="AL10">
        <v>25.2942684482719</v>
      </c>
      <c r="AM10">
        <v>7.2484916984666201</v>
      </c>
      <c r="AN10">
        <v>811334</v>
      </c>
      <c r="AO10">
        <v>3326401.2303980999</v>
      </c>
      <c r="AP10">
        <v>8.7999999999999995E-2</v>
      </c>
      <c r="AQ10">
        <v>1750.2383748852001</v>
      </c>
      <c r="AR10">
        <v>0.43636363636363601</v>
      </c>
      <c r="AS10">
        <v>1852.77186761229</v>
      </c>
      <c r="AT10">
        <v>41.480629361586502</v>
      </c>
      <c r="AU10">
        <v>13.052444722896601</v>
      </c>
      <c r="AV10">
        <v>1.6999999999999999E-3</v>
      </c>
      <c r="AW10">
        <v>81.7</v>
      </c>
      <c r="AX10">
        <v>85.865123117358806</v>
      </c>
      <c r="AY10">
        <v>18.258152374010201</v>
      </c>
      <c r="AZ10">
        <v>4767.6567357225604</v>
      </c>
      <c r="BA10">
        <v>78.202806665819907</v>
      </c>
      <c r="BB10">
        <v>31.9529389510759</v>
      </c>
      <c r="BC10">
        <v>27.583090019830902</v>
      </c>
      <c r="BD10">
        <v>33.396969696969599</v>
      </c>
      <c r="BE10">
        <v>0.15640000000000001</v>
      </c>
      <c r="BF10">
        <v>0.47149249189999998</v>
      </c>
      <c r="BG10">
        <v>7.7651043166736704</v>
      </c>
      <c r="BH10">
        <v>12.6</v>
      </c>
      <c r="BI10">
        <v>1.0165451266368599</v>
      </c>
      <c r="BJ10">
        <v>70.900000000000006</v>
      </c>
      <c r="BK10">
        <v>90.659956500411596</v>
      </c>
      <c r="BL10">
        <v>47.0102776178516</v>
      </c>
      <c r="BM10">
        <v>152</v>
      </c>
      <c r="BN10">
        <v>0</v>
      </c>
      <c r="BO10">
        <v>19846114</v>
      </c>
      <c r="BP10">
        <v>148008</v>
      </c>
      <c r="BQ10">
        <v>1.3146198299390499</v>
      </c>
      <c r="BR10">
        <v>0.75906842539159103</v>
      </c>
      <c r="BS10">
        <v>35</v>
      </c>
      <c r="BT10">
        <v>29.23</v>
      </c>
      <c r="BU10">
        <v>27.06766917293233</v>
      </c>
      <c r="BV10">
        <v>50.790806400860902</v>
      </c>
    </row>
    <row r="11" spans="1:74">
      <c r="A11" t="s">
        <v>122</v>
      </c>
      <c r="B11">
        <v>1396673</v>
      </c>
      <c r="C11">
        <v>181.77</v>
      </c>
      <c r="D11">
        <v>0.95099999999999996</v>
      </c>
      <c r="E11">
        <v>93105.469081796502</v>
      </c>
      <c r="F11">
        <v>67161.852780486297</v>
      </c>
      <c r="G11">
        <v>8.1658968930339998E-3</v>
      </c>
      <c r="H11">
        <v>62.266666666666602</v>
      </c>
      <c r="I11">
        <v>0</v>
      </c>
      <c r="J11">
        <v>0</v>
      </c>
      <c r="K11">
        <v>992342.70145398099</v>
      </c>
      <c r="L11">
        <v>0.36445365736526802</v>
      </c>
      <c r="M11">
        <v>24.897554955536101</v>
      </c>
      <c r="N11">
        <v>34.578624137007303</v>
      </c>
      <c r="O11">
        <v>22.542357806455101</v>
      </c>
      <c r="P11">
        <v>0.27899999999999903</v>
      </c>
      <c r="Q11">
        <v>68.106539814495306</v>
      </c>
      <c r="R11">
        <v>6920.8472246603797</v>
      </c>
      <c r="S11">
        <v>8</v>
      </c>
      <c r="T11">
        <v>1244.58705679527</v>
      </c>
      <c r="U11">
        <v>16178.68</v>
      </c>
      <c r="V11">
        <v>477</v>
      </c>
      <c r="W11">
        <v>305.49055257998901</v>
      </c>
      <c r="X11">
        <v>0</v>
      </c>
      <c r="Y11">
        <v>242.666666666666</v>
      </c>
      <c r="Z11">
        <v>25</v>
      </c>
      <c r="AA11">
        <v>42.3611111111111</v>
      </c>
      <c r="AB11">
        <v>2.7054622279074798</v>
      </c>
      <c r="AC11">
        <v>5.2432632598961497</v>
      </c>
      <c r="AD11">
        <v>33.092891141561999</v>
      </c>
      <c r="AE11">
        <v>8.2724637681159408</v>
      </c>
      <c r="AF11">
        <v>39.8721445635842</v>
      </c>
      <c r="AG11">
        <v>64.5</v>
      </c>
      <c r="AH11">
        <v>86</v>
      </c>
      <c r="AI11">
        <v>3</v>
      </c>
      <c r="AJ11">
        <v>36887</v>
      </c>
      <c r="AK11">
        <v>2719</v>
      </c>
      <c r="AL11">
        <v>53.8885492602545</v>
      </c>
      <c r="AM11">
        <v>30.8826435848637</v>
      </c>
      <c r="AN11">
        <v>287954</v>
      </c>
      <c r="AO11">
        <v>2483493.1666617198</v>
      </c>
      <c r="AP11">
        <v>5.510052E-2</v>
      </c>
      <c r="AQ11">
        <v>1924.93358017178</v>
      </c>
      <c r="AR11">
        <v>2.9239766081871298E-2</v>
      </c>
      <c r="AS11">
        <v>2012.7895981087399</v>
      </c>
      <c r="AT11">
        <v>36.513414510091302</v>
      </c>
      <c r="AU11">
        <v>5.0494667402446103</v>
      </c>
      <c r="AV11">
        <v>5.9999999999999995E-4</v>
      </c>
      <c r="AW11">
        <v>83</v>
      </c>
      <c r="AX11">
        <v>60.206250791464299</v>
      </c>
      <c r="AY11">
        <v>7.6948750487864901</v>
      </c>
      <c r="AZ11">
        <v>7673.7325612531604</v>
      </c>
      <c r="BA11">
        <v>68.828977987434399</v>
      </c>
      <c r="BB11">
        <v>36.511975135040601</v>
      </c>
      <c r="BC11">
        <v>43.7366032484939</v>
      </c>
      <c r="BD11">
        <v>32.150303030303</v>
      </c>
      <c r="BE11">
        <v>0.1852</v>
      </c>
      <c r="BF11">
        <v>0.30282947524999998</v>
      </c>
      <c r="BG11">
        <v>9.6281953493112997</v>
      </c>
      <c r="BH11">
        <v>28.6</v>
      </c>
      <c r="BI11">
        <v>0.80146886475505896</v>
      </c>
      <c r="BJ11">
        <v>61.2</v>
      </c>
      <c r="BK11">
        <v>46.508160582658697</v>
      </c>
      <c r="BL11">
        <v>43.069771499931399</v>
      </c>
      <c r="BM11">
        <v>225.99999999999901</v>
      </c>
      <c r="BN11">
        <v>8.5880976871563099</v>
      </c>
      <c r="BO11">
        <v>42159123</v>
      </c>
      <c r="BP11">
        <v>323423</v>
      </c>
      <c r="BQ11">
        <v>1.58518323319527</v>
      </c>
      <c r="BR11">
        <v>0.51807760141093395</v>
      </c>
      <c r="BS11">
        <v>38.164193097659997</v>
      </c>
      <c r="BT11">
        <v>31.387499999999999</v>
      </c>
      <c r="BU11">
        <v>21.818181818181817</v>
      </c>
      <c r="BV11">
        <v>46.298435586049202</v>
      </c>
    </row>
    <row r="12" spans="1:74">
      <c r="A12" t="s">
        <v>124</v>
      </c>
      <c r="B12">
        <v>443169</v>
      </c>
      <c r="C12">
        <v>87.9</v>
      </c>
      <c r="D12">
        <v>0.95499999999999996</v>
      </c>
      <c r="E12">
        <v>89580.962800875204</v>
      </c>
      <c r="F12">
        <v>202379.32277019601</v>
      </c>
      <c r="G12">
        <v>2.04064068307903E-2</v>
      </c>
      <c r="H12">
        <v>83.808333333333294</v>
      </c>
      <c r="I12">
        <v>1830524.61</v>
      </c>
      <c r="J12">
        <v>205440.4</v>
      </c>
      <c r="K12">
        <v>516000</v>
      </c>
      <c r="L12">
        <v>0.27586081736337797</v>
      </c>
      <c r="M12">
        <v>96.774633375411796</v>
      </c>
      <c r="N12">
        <v>76.554823005628194</v>
      </c>
      <c r="O12">
        <v>36.293857120054803</v>
      </c>
      <c r="P12">
        <v>0.19649999999999901</v>
      </c>
      <c r="Q12">
        <v>82.492965720818901</v>
      </c>
      <c r="R12">
        <v>4561.5250194841801</v>
      </c>
      <c r="S12">
        <v>309</v>
      </c>
      <c r="T12">
        <v>2207.1464584023302</v>
      </c>
      <c r="U12">
        <v>14383.31</v>
      </c>
      <c r="V12">
        <v>498</v>
      </c>
      <c r="W12">
        <v>63.743056505097499</v>
      </c>
      <c r="X12">
        <v>0.8</v>
      </c>
      <c r="Y12">
        <v>130.666666666666</v>
      </c>
      <c r="Z12">
        <v>15</v>
      </c>
      <c r="AA12">
        <v>12.5</v>
      </c>
      <c r="AB12">
        <v>2.0729707068510499</v>
      </c>
      <c r="AC12">
        <v>3.57748108065985</v>
      </c>
      <c r="AD12">
        <v>9.5612648281470207</v>
      </c>
      <c r="AE12">
        <v>5.73623188405797</v>
      </c>
      <c r="AF12">
        <v>22.613212390053199</v>
      </c>
      <c r="AG12">
        <v>27</v>
      </c>
      <c r="AH12">
        <v>51</v>
      </c>
      <c r="AI12">
        <v>3</v>
      </c>
      <c r="AJ12">
        <v>17146</v>
      </c>
      <c r="AK12">
        <v>1738</v>
      </c>
      <c r="AL12">
        <v>25.634077755536101</v>
      </c>
      <c r="AM12">
        <v>6.6074660574409796</v>
      </c>
      <c r="AN12">
        <v>146788</v>
      </c>
      <c r="AO12">
        <v>1094678</v>
      </c>
      <c r="AP12">
        <v>1.8060273972602701E-2</v>
      </c>
      <c r="AQ12">
        <v>1911.3397071542299</v>
      </c>
      <c r="AR12">
        <v>0.39548022598869997</v>
      </c>
      <c r="AS12">
        <v>3100.4212253829301</v>
      </c>
      <c r="AT12">
        <v>84.624180286767796</v>
      </c>
      <c r="AU12">
        <v>2.29755654861055</v>
      </c>
      <c r="AV12">
        <v>1.8E-3</v>
      </c>
      <c r="AW12">
        <v>83.4</v>
      </c>
      <c r="AX12">
        <v>85.178660917249104</v>
      </c>
      <c r="AY12">
        <v>18.146920476119501</v>
      </c>
      <c r="AZ12">
        <v>8791.4086696542399</v>
      </c>
      <c r="BA12">
        <v>74.775015194431006</v>
      </c>
      <c r="BB12">
        <v>16.284242763749599</v>
      </c>
      <c r="BC12">
        <v>20.1052292370995</v>
      </c>
      <c r="BD12">
        <v>12.984848484848399</v>
      </c>
      <c r="BE12">
        <v>0.24359999999999901</v>
      </c>
      <c r="BF12">
        <v>0.29977892249999999</v>
      </c>
      <c r="BG12">
        <v>8.5382975725502508</v>
      </c>
      <c r="BH12">
        <v>10.4</v>
      </c>
      <c r="BI12">
        <v>0.98303635351205099</v>
      </c>
      <c r="BJ12">
        <v>84.5</v>
      </c>
      <c r="BK12">
        <v>80.770668118888594</v>
      </c>
      <c r="BL12">
        <v>87.811126256339506</v>
      </c>
      <c r="BM12">
        <v>202.00000000000199</v>
      </c>
      <c r="BN12">
        <v>2.9660420286437499</v>
      </c>
      <c r="BO12">
        <v>22503234</v>
      </c>
      <c r="BP12">
        <v>195762</v>
      </c>
      <c r="BQ12">
        <v>0.87535218700542405</v>
      </c>
      <c r="BR12">
        <v>0.72724462988718896</v>
      </c>
      <c r="BS12">
        <v>9</v>
      </c>
      <c r="BT12">
        <v>29.3675</v>
      </c>
      <c r="BU12">
        <v>28.571428571428573</v>
      </c>
      <c r="BV12">
        <v>30.2547009252959</v>
      </c>
    </row>
    <row r="13" spans="1:74">
      <c r="A13" t="s">
        <v>126</v>
      </c>
      <c r="B13">
        <v>815979</v>
      </c>
      <c r="C13">
        <v>183.2</v>
      </c>
      <c r="D13">
        <v>7.077</v>
      </c>
      <c r="E13">
        <v>81935.816375198701</v>
      </c>
      <c r="F13">
        <v>102543.720190779</v>
      </c>
      <c r="G13">
        <v>2.8578176488938501E-2</v>
      </c>
      <c r="H13">
        <v>77.591666666666598</v>
      </c>
      <c r="I13">
        <v>603052.52154488605</v>
      </c>
      <c r="J13">
        <v>81529</v>
      </c>
      <c r="K13">
        <v>502251</v>
      </c>
      <c r="L13">
        <v>0.18179356536871</v>
      </c>
      <c r="M13">
        <v>52.047585143202298</v>
      </c>
      <c r="N13">
        <v>78.314815236919202</v>
      </c>
      <c r="O13">
        <v>39.555456022971001</v>
      </c>
      <c r="P13">
        <v>0.22</v>
      </c>
      <c r="Q13">
        <v>98.337755419812495</v>
      </c>
      <c r="R13">
        <v>7316.5580213009598</v>
      </c>
      <c r="S13">
        <v>124</v>
      </c>
      <c r="T13">
        <v>1720.88012216171</v>
      </c>
      <c r="U13">
        <v>12486.06</v>
      </c>
      <c r="V13">
        <v>501</v>
      </c>
      <c r="W13">
        <v>59.533482217526597</v>
      </c>
      <c r="X13">
        <v>2</v>
      </c>
      <c r="Y13">
        <v>79.3333333333333</v>
      </c>
      <c r="Z13">
        <v>56</v>
      </c>
      <c r="AA13">
        <v>31.25</v>
      </c>
      <c r="AB13">
        <v>9.1920242215336803</v>
      </c>
      <c r="AC13">
        <v>2.4770957086076399</v>
      </c>
      <c r="AD13">
        <v>25.740355440435799</v>
      </c>
      <c r="AE13">
        <v>7</v>
      </c>
      <c r="AF13">
        <v>17.396443922693202</v>
      </c>
      <c r="AG13">
        <v>33</v>
      </c>
      <c r="AH13">
        <v>37</v>
      </c>
      <c r="AI13">
        <v>5</v>
      </c>
      <c r="AJ13">
        <v>26619</v>
      </c>
      <c r="AK13">
        <v>2227</v>
      </c>
      <c r="AL13">
        <v>26.307212625458</v>
      </c>
      <c r="AM13">
        <v>31.3164456987828</v>
      </c>
      <c r="AN13">
        <v>121415</v>
      </c>
      <c r="AO13">
        <v>4524114</v>
      </c>
      <c r="AP13">
        <v>3.2909589041095803E-2</v>
      </c>
      <c r="AQ13">
        <v>1873.36706535041</v>
      </c>
      <c r="AR13">
        <v>0.372093023255813</v>
      </c>
      <c r="AS13">
        <v>2251.4411764705801</v>
      </c>
      <c r="AT13">
        <v>51.374850431962301</v>
      </c>
      <c r="AU13">
        <v>3.7545382981679101</v>
      </c>
      <c r="AV13">
        <v>1.6999999999999999E-3</v>
      </c>
      <c r="AW13">
        <v>81.3</v>
      </c>
      <c r="AX13">
        <v>90.259958339676402</v>
      </c>
      <c r="AY13">
        <v>12.754888494067901</v>
      </c>
      <c r="AZ13">
        <v>5330.5240685220697</v>
      </c>
      <c r="BA13">
        <v>80.839136894846405</v>
      </c>
      <c r="BB13">
        <v>24.1619094841659</v>
      </c>
      <c r="BC13">
        <v>22.601783463329799</v>
      </c>
      <c r="BD13">
        <v>73.727272727272705</v>
      </c>
      <c r="BE13">
        <v>0.40409999999999902</v>
      </c>
      <c r="BF13">
        <v>0.22425958425</v>
      </c>
      <c r="BG13">
        <v>7.6181305451339902</v>
      </c>
      <c r="BH13">
        <v>8.6999999999999993</v>
      </c>
      <c r="BI13">
        <v>1.1423132566816401</v>
      </c>
      <c r="BJ13">
        <v>81.5</v>
      </c>
      <c r="BK13">
        <v>71.367139031172698</v>
      </c>
      <c r="BL13">
        <v>73.654312860467201</v>
      </c>
      <c r="BM13">
        <v>181.00000000000199</v>
      </c>
      <c r="BN13">
        <v>3.1447649292721902</v>
      </c>
      <c r="BO13">
        <v>22110432</v>
      </c>
      <c r="BP13">
        <v>198057</v>
      </c>
      <c r="BQ13">
        <v>0.17825353626292201</v>
      </c>
      <c r="BR13">
        <v>0.63490186805391302</v>
      </c>
      <c r="BS13">
        <v>13</v>
      </c>
      <c r="BT13">
        <v>27.307500000000001</v>
      </c>
      <c r="BU13">
        <v>35.643564356435647</v>
      </c>
      <c r="BV13">
        <v>73.951664581900502</v>
      </c>
    </row>
    <row r="14" spans="1:74">
      <c r="A14" t="s">
        <v>128</v>
      </c>
      <c r="B14">
        <v>1982442</v>
      </c>
      <c r="C14">
        <v>414.87</v>
      </c>
      <c r="D14">
        <v>0.95099999999999996</v>
      </c>
      <c r="E14">
        <v>120043.98336325301</v>
      </c>
      <c r="F14">
        <v>60553.5916628349</v>
      </c>
      <c r="G14">
        <v>5.7447918286531998E-3</v>
      </c>
      <c r="H14">
        <v>71.05</v>
      </c>
      <c r="I14">
        <v>123048</v>
      </c>
      <c r="J14">
        <v>65522.5</v>
      </c>
      <c r="K14">
        <v>1071092.45</v>
      </c>
      <c r="L14">
        <v>0.194909781763489</v>
      </c>
      <c r="M14">
        <v>44.802246190092603</v>
      </c>
      <c r="N14">
        <v>65.070510816948897</v>
      </c>
      <c r="O14">
        <v>22.0295634775519</v>
      </c>
      <c r="P14">
        <v>0.24</v>
      </c>
      <c r="Q14">
        <v>86.379897495803903</v>
      </c>
      <c r="R14">
        <v>11506.805886600199</v>
      </c>
      <c r="S14">
        <v>85</v>
      </c>
      <c r="T14">
        <v>3113.03980875662</v>
      </c>
      <c r="U14">
        <v>16021.2</v>
      </c>
      <c r="V14">
        <v>491</v>
      </c>
      <c r="W14">
        <v>274.22772227607499</v>
      </c>
      <c r="X14">
        <v>1</v>
      </c>
      <c r="Y14">
        <v>65</v>
      </c>
      <c r="Z14">
        <v>195</v>
      </c>
      <c r="AA14">
        <v>31.25</v>
      </c>
      <c r="AB14">
        <v>12.622615918560101</v>
      </c>
      <c r="AC14">
        <v>5.5428958006951197</v>
      </c>
      <c r="AD14">
        <v>37.879177034168599</v>
      </c>
      <c r="AE14">
        <v>13.5</v>
      </c>
      <c r="AF14">
        <v>16.838750705446898</v>
      </c>
      <c r="AG14">
        <v>67</v>
      </c>
      <c r="AH14">
        <v>155</v>
      </c>
      <c r="AI14">
        <v>4</v>
      </c>
      <c r="AJ14">
        <v>41148</v>
      </c>
      <c r="AK14">
        <v>4778</v>
      </c>
      <c r="AL14">
        <v>22.085604261926999</v>
      </c>
      <c r="AM14">
        <v>28.592723847293801</v>
      </c>
      <c r="AN14">
        <v>621727</v>
      </c>
      <c r="AO14">
        <v>4190914</v>
      </c>
      <c r="AP14">
        <v>0.10456656889662801</v>
      </c>
      <c r="AQ14">
        <v>1740.2892619166701</v>
      </c>
      <c r="AR14">
        <v>0.40350877192982398</v>
      </c>
      <c r="AS14">
        <v>1228.2505910165401</v>
      </c>
      <c r="AT14">
        <v>36.595416944187001</v>
      </c>
      <c r="AU14">
        <v>7.2880643890077197</v>
      </c>
      <c r="AV14">
        <v>1.6000000000000001E-3</v>
      </c>
      <c r="AW14">
        <v>81.599999999999994</v>
      </c>
      <c r="AX14">
        <v>72.731507919330497</v>
      </c>
      <c r="AY14">
        <v>19.481711742249399</v>
      </c>
      <c r="AZ14">
        <v>6002.6440252164002</v>
      </c>
      <c r="BA14">
        <v>65.897355636216702</v>
      </c>
      <c r="BB14">
        <v>34.882884473079002</v>
      </c>
      <c r="BC14">
        <v>29.699927082205299</v>
      </c>
      <c r="BD14">
        <v>20.9648484848484</v>
      </c>
      <c r="BE14">
        <v>0.308</v>
      </c>
      <c r="BF14">
        <v>0.33355555554999999</v>
      </c>
      <c r="BG14">
        <v>8.04958288017672</v>
      </c>
      <c r="BH14">
        <v>10.5</v>
      </c>
      <c r="BI14">
        <v>1.0714911779276699</v>
      </c>
      <c r="BJ14">
        <v>90.9</v>
      </c>
      <c r="BK14">
        <v>85.053802919194297</v>
      </c>
      <c r="BL14">
        <v>77.701838542765699</v>
      </c>
      <c r="BM14">
        <v>199.99999999999901</v>
      </c>
      <c r="BN14">
        <v>1.7809031379464799</v>
      </c>
      <c r="BO14">
        <v>23682133</v>
      </c>
      <c r="BP14">
        <v>197092</v>
      </c>
      <c r="BQ14">
        <v>1.62019732067549</v>
      </c>
      <c r="BR14">
        <v>0.61458795679834199</v>
      </c>
      <c r="BS14">
        <v>17</v>
      </c>
      <c r="BT14">
        <v>25.057500000000001</v>
      </c>
      <c r="BU14">
        <v>27.272727272727273</v>
      </c>
      <c r="BV14">
        <v>56.458944182013703</v>
      </c>
    </row>
    <row r="15" spans="1:74">
      <c r="A15" t="s">
        <v>130</v>
      </c>
      <c r="B15">
        <v>984748</v>
      </c>
      <c r="C15">
        <v>187.21</v>
      </c>
      <c r="D15">
        <v>10.122</v>
      </c>
      <c r="E15">
        <v>83692.588536812604</v>
      </c>
      <c r="F15">
        <v>85507.921714818207</v>
      </c>
      <c r="G15">
        <v>2.5367778215752999E-2</v>
      </c>
      <c r="H15">
        <v>77.533333333333303</v>
      </c>
      <c r="I15">
        <v>913688.83027222694</v>
      </c>
      <c r="J15">
        <v>0</v>
      </c>
      <c r="K15">
        <v>696142</v>
      </c>
      <c r="L15">
        <v>0.281301803367703</v>
      </c>
      <c r="M15">
        <v>47.318525183859997</v>
      </c>
      <c r="N15">
        <v>72.807908961894</v>
      </c>
      <c r="O15">
        <v>23.7125255383548</v>
      </c>
      <c r="P15">
        <v>0.20599999999999999</v>
      </c>
      <c r="Q15">
        <v>92.312283982385196</v>
      </c>
      <c r="R15">
        <v>11311.842038922099</v>
      </c>
      <c r="S15">
        <v>223</v>
      </c>
      <c r="T15">
        <v>2624.1242610801</v>
      </c>
      <c r="U15">
        <v>6957.02</v>
      </c>
      <c r="V15">
        <v>502.33333333333297</v>
      </c>
      <c r="W15">
        <v>127.728441522026</v>
      </c>
      <c r="X15">
        <v>0.55000000000000004</v>
      </c>
      <c r="Y15">
        <v>183</v>
      </c>
      <c r="Z15">
        <v>47</v>
      </c>
      <c r="AA15">
        <v>35.9375</v>
      </c>
      <c r="AB15">
        <v>58.142775000566701</v>
      </c>
      <c r="AC15">
        <v>3.5117480017832698</v>
      </c>
      <c r="AD15">
        <v>26.324737244865599</v>
      </c>
      <c r="AE15">
        <v>3</v>
      </c>
      <c r="AF15">
        <v>20.332072288898601</v>
      </c>
      <c r="AG15">
        <v>40</v>
      </c>
      <c r="AH15">
        <v>72</v>
      </c>
      <c r="AI15">
        <v>4</v>
      </c>
      <c r="AJ15">
        <v>27726</v>
      </c>
      <c r="AK15">
        <v>1334</v>
      </c>
      <c r="AL15">
        <v>15.0777666275967</v>
      </c>
      <c r="AM15">
        <v>18.5272924980776</v>
      </c>
      <c r="AN15">
        <v>108612</v>
      </c>
      <c r="AO15">
        <v>4650342.1030131197</v>
      </c>
      <c r="AP15">
        <v>8.1999999999999906E-2</v>
      </c>
      <c r="AQ15">
        <v>1865.9829833834201</v>
      </c>
      <c r="AR15">
        <v>0.476190476190476</v>
      </c>
      <c r="AS15">
        <v>1920.92322926374</v>
      </c>
      <c r="AT15">
        <v>42.117377448493997</v>
      </c>
      <c r="AU15">
        <v>45.696970189327601</v>
      </c>
      <c r="AV15">
        <v>5.9999999999999995E-4</v>
      </c>
      <c r="AW15">
        <v>82.4</v>
      </c>
      <c r="AX15">
        <v>91.456823166300296</v>
      </c>
      <c r="AY15">
        <v>24.188487364298201</v>
      </c>
      <c r="AZ15">
        <v>8306.2715313624103</v>
      </c>
      <c r="BA15">
        <v>77.657245447824494</v>
      </c>
      <c r="BB15">
        <v>14.8842294830905</v>
      </c>
      <c r="BC15">
        <v>23.417537267473602</v>
      </c>
      <c r="BD15">
        <v>50.042424242424197</v>
      </c>
      <c r="BE15">
        <v>0.45899999999999902</v>
      </c>
      <c r="BF15">
        <v>0.26187421275</v>
      </c>
      <c r="BG15">
        <v>4.7902502378799801</v>
      </c>
      <c r="BH15">
        <v>6.8</v>
      </c>
      <c r="BI15">
        <v>1.20296130204507</v>
      </c>
      <c r="BJ15">
        <v>86.1</v>
      </c>
      <c r="BK15">
        <v>88.553722395446499</v>
      </c>
      <c r="BL15">
        <v>70.311885534421506</v>
      </c>
      <c r="BM15">
        <v>156.99999999999901</v>
      </c>
      <c r="BN15">
        <v>0.95464205558331205</v>
      </c>
      <c r="BO15">
        <v>18999443</v>
      </c>
      <c r="BP15">
        <v>177500</v>
      </c>
      <c r="BQ15">
        <v>0.61433808033471604</v>
      </c>
      <c r="BR15">
        <v>0.76002747252747205</v>
      </c>
      <c r="BS15">
        <v>24.3752157892207</v>
      </c>
      <c r="BT15">
        <v>31.015000000000001</v>
      </c>
      <c r="BU15">
        <v>39.130434782608695</v>
      </c>
      <c r="BV15">
        <v>36.032164696768902</v>
      </c>
    </row>
    <row r="16" spans="1:74">
      <c r="A16" t="s">
        <v>132</v>
      </c>
      <c r="B16">
        <v>15907951</v>
      </c>
      <c r="C16">
        <v>5196</v>
      </c>
      <c r="D16">
        <v>16.571999999999999</v>
      </c>
      <c r="E16">
        <v>247322.095427174</v>
      </c>
      <c r="F16">
        <v>15612.881555162499</v>
      </c>
      <c r="G16">
        <v>0.10364093915054901</v>
      </c>
      <c r="H16">
        <v>56.933333333333302</v>
      </c>
      <c r="I16">
        <v>330011.02</v>
      </c>
      <c r="J16">
        <v>54466.7</v>
      </c>
      <c r="K16">
        <v>6279000</v>
      </c>
      <c r="L16">
        <v>8.7343912591050898E-2</v>
      </c>
      <c r="M16">
        <v>7.4932429417034898</v>
      </c>
      <c r="N16">
        <v>14.1774891774891</v>
      </c>
      <c r="O16">
        <v>7.6914500173711096</v>
      </c>
      <c r="P16">
        <v>0.2</v>
      </c>
      <c r="Q16">
        <v>45.308031615329298</v>
      </c>
      <c r="R16">
        <v>29735.774122077699</v>
      </c>
      <c r="S16">
        <v>7</v>
      </c>
      <c r="T16">
        <v>1568.4471101090001</v>
      </c>
      <c r="U16">
        <v>7954.66</v>
      </c>
      <c r="V16">
        <v>462.666666666666</v>
      </c>
      <c r="W16">
        <v>384.45647463277402</v>
      </c>
      <c r="X16">
        <v>0</v>
      </c>
      <c r="Y16">
        <v>163.333333333333</v>
      </c>
      <c r="Z16">
        <v>14</v>
      </c>
      <c r="AA16">
        <v>25</v>
      </c>
      <c r="AB16">
        <v>9.72153255631439</v>
      </c>
      <c r="AC16">
        <v>2.8776271273589602</v>
      </c>
      <c r="AD16">
        <v>63.484611698087797</v>
      </c>
      <c r="AE16">
        <v>3</v>
      </c>
      <c r="AF16">
        <v>42.446691355767797</v>
      </c>
      <c r="AG16">
        <v>70</v>
      </c>
      <c r="AH16">
        <v>50</v>
      </c>
      <c r="AI16">
        <v>10</v>
      </c>
      <c r="AJ16">
        <v>91716</v>
      </c>
      <c r="AK16">
        <v>18166</v>
      </c>
      <c r="AL16">
        <v>66.484678863166394</v>
      </c>
      <c r="AM16">
        <v>35.904816042229101</v>
      </c>
      <c r="AN16">
        <v>740954</v>
      </c>
      <c r="AO16">
        <v>16018726</v>
      </c>
      <c r="AP16">
        <v>0.10199999999999999</v>
      </c>
      <c r="AQ16">
        <v>2483.87553720408</v>
      </c>
      <c r="AR16">
        <v>7.2222222222222202E-2</v>
      </c>
      <c r="AS16">
        <v>2140.46439802336</v>
      </c>
      <c r="AT16">
        <v>25.085705925625302</v>
      </c>
      <c r="AU16">
        <v>25.489260143197999</v>
      </c>
      <c r="AV16">
        <v>8.9999999999999993E-3</v>
      </c>
      <c r="AW16">
        <v>78.599999999999994</v>
      </c>
      <c r="AX16">
        <v>14.918467113216</v>
      </c>
      <c r="AY16">
        <v>3.4302787379908701</v>
      </c>
      <c r="AZ16">
        <v>2295.02863954128</v>
      </c>
      <c r="BA16">
        <v>57.110417581285297</v>
      </c>
      <c r="BB16">
        <v>74.0907237282415</v>
      </c>
      <c r="BC16">
        <v>41.540999189362601</v>
      </c>
      <c r="BD16">
        <v>49.466666666666598</v>
      </c>
      <c r="BE16">
        <v>0.15240000000000001</v>
      </c>
      <c r="BF16">
        <v>0.11984579519999999</v>
      </c>
      <c r="BG16">
        <v>7.5325950582885799</v>
      </c>
      <c r="BH16">
        <v>17.899999999999999</v>
      </c>
      <c r="BI16">
        <v>0.79924760601915101</v>
      </c>
      <c r="BJ16">
        <v>43.6</v>
      </c>
      <c r="BK16">
        <v>49.709355268923296</v>
      </c>
      <c r="BL16">
        <v>34.5005752865939</v>
      </c>
      <c r="BM16">
        <v>269.99999999999602</v>
      </c>
      <c r="BN16">
        <v>16.879752334315199</v>
      </c>
      <c r="BO16">
        <v>95069464</v>
      </c>
      <c r="BP16">
        <v>619628</v>
      </c>
      <c r="BQ16">
        <v>0.47109863155200998</v>
      </c>
      <c r="BR16">
        <v>0.36672738312082498</v>
      </c>
      <c r="BS16">
        <v>43.237670194501099</v>
      </c>
      <c r="BT16">
        <v>44.44</v>
      </c>
      <c r="BU16">
        <v>29.032258064516128</v>
      </c>
      <c r="BV16">
        <v>56.9029868286839</v>
      </c>
    </row>
    <row r="17" spans="1:74">
      <c r="A17" t="s">
        <v>134</v>
      </c>
      <c r="B17">
        <v>10100166</v>
      </c>
      <c r="C17">
        <v>3085.1</v>
      </c>
      <c r="D17">
        <v>19.207999999999998</v>
      </c>
      <c r="E17">
        <v>37551.536510575199</v>
      </c>
      <c r="F17">
        <v>3745.5437095619</v>
      </c>
      <c r="G17">
        <v>5.4722071846704301E-2</v>
      </c>
      <c r="H17">
        <v>49.55</v>
      </c>
      <c r="I17">
        <v>38852.959999999999</v>
      </c>
      <c r="J17">
        <v>0</v>
      </c>
      <c r="K17">
        <v>2663300</v>
      </c>
      <c r="L17">
        <v>9.4769646678932104E-2</v>
      </c>
      <c r="M17">
        <v>0</v>
      </c>
      <c r="N17">
        <v>5.7395428330282696</v>
      </c>
      <c r="O17">
        <v>2.8823981552651801</v>
      </c>
      <c r="P17">
        <v>0.22500000000000001</v>
      </c>
      <c r="Q17">
        <v>17.219418338762399</v>
      </c>
      <c r="R17">
        <v>8560.8562538874703</v>
      </c>
      <c r="S17">
        <v>6</v>
      </c>
      <c r="T17">
        <v>379.291649530624</v>
      </c>
      <c r="U17">
        <v>38443.5</v>
      </c>
      <c r="V17">
        <v>373.93340415516599</v>
      </c>
      <c r="W17">
        <v>54.258012798900097</v>
      </c>
      <c r="X17">
        <v>0</v>
      </c>
      <c r="Y17">
        <v>99</v>
      </c>
      <c r="Z17">
        <v>3</v>
      </c>
      <c r="AA17">
        <v>17.1875</v>
      </c>
      <c r="AB17">
        <v>0.21970337912663801</v>
      </c>
      <c r="AC17">
        <v>0</v>
      </c>
      <c r="AD17">
        <v>52.954505968188499</v>
      </c>
      <c r="AE17">
        <v>5</v>
      </c>
      <c r="AF17">
        <v>37.869197845253701</v>
      </c>
      <c r="AG17">
        <v>7.5</v>
      </c>
      <c r="AH17">
        <v>36</v>
      </c>
      <c r="AI17">
        <v>10</v>
      </c>
      <c r="AJ17">
        <v>18811</v>
      </c>
      <c r="AK17">
        <v>9682</v>
      </c>
      <c r="AL17">
        <v>30.765140669643799</v>
      </c>
      <c r="AM17">
        <v>21.488355984480801</v>
      </c>
      <c r="AN17">
        <v>52857.797014662698</v>
      </c>
      <c r="AO17">
        <v>1036619.07331794</v>
      </c>
      <c r="AP17">
        <v>0.13699999999999901</v>
      </c>
      <c r="AQ17">
        <v>2070.0657387518499</v>
      </c>
      <c r="AR17">
        <v>-8.8541666666666602E-2</v>
      </c>
      <c r="AS17">
        <v>419.39670000637</v>
      </c>
      <c r="AT17">
        <v>28.446722917816299</v>
      </c>
      <c r="AU17">
        <v>10.2596970733912</v>
      </c>
      <c r="AV17">
        <v>2.8999999999999998E-3</v>
      </c>
      <c r="AW17">
        <v>71.8</v>
      </c>
      <c r="AX17">
        <v>7.1630543767363397</v>
      </c>
      <c r="AY17">
        <v>6.1285848064738202</v>
      </c>
      <c r="AZ17">
        <v>783.11265160417099</v>
      </c>
      <c r="BA17">
        <v>56.081471137462501</v>
      </c>
      <c r="BB17">
        <v>49.264861152550601</v>
      </c>
      <c r="BC17">
        <v>35.415141384417701</v>
      </c>
      <c r="BD17">
        <v>0</v>
      </c>
      <c r="BE17">
        <v>6.2100000000000002E-2</v>
      </c>
      <c r="BF17">
        <v>2.1029219547160201E-2</v>
      </c>
      <c r="BG17">
        <v>1.8065977476100199</v>
      </c>
      <c r="BH17">
        <v>47.4</v>
      </c>
      <c r="BI17">
        <v>0.72374013357619904</v>
      </c>
      <c r="BJ17">
        <v>25.6</v>
      </c>
      <c r="BK17">
        <v>0.11934640039731099</v>
      </c>
      <c r="BL17">
        <v>28.231719292351698</v>
      </c>
      <c r="BM17">
        <v>143.00000000000099</v>
      </c>
      <c r="BN17">
        <v>3.6669574539188998</v>
      </c>
      <c r="BO17">
        <v>20009336</v>
      </c>
      <c r="BP17">
        <v>154276</v>
      </c>
      <c r="BQ17">
        <v>0.190985931710274</v>
      </c>
      <c r="BR17">
        <v>0.24639187160835899</v>
      </c>
      <c r="BS17">
        <v>24</v>
      </c>
      <c r="BT17">
        <v>42.667499999999997</v>
      </c>
      <c r="BU17">
        <v>28.125</v>
      </c>
      <c r="BV17">
        <v>58.516195155052898</v>
      </c>
    </row>
    <row r="18" spans="1:74">
      <c r="A18" t="s">
        <v>136</v>
      </c>
      <c r="B18">
        <v>13015126</v>
      </c>
      <c r="C18">
        <v>2511</v>
      </c>
      <c r="D18">
        <v>69.896000000000001</v>
      </c>
      <c r="E18">
        <v>319514.35342055501</v>
      </c>
      <c r="F18">
        <v>25247.972423700801</v>
      </c>
      <c r="G18">
        <v>3.0639835001034999E-2</v>
      </c>
      <c r="H18">
        <v>53.841666666666598</v>
      </c>
      <c r="I18">
        <v>530104.32999999996</v>
      </c>
      <c r="J18">
        <v>55876.9</v>
      </c>
      <c r="K18">
        <v>7144390</v>
      </c>
      <c r="L18">
        <v>0.10066020307278301</v>
      </c>
      <c r="M18">
        <v>16.6131214484776</v>
      </c>
      <c r="N18">
        <v>30.1454596901633</v>
      </c>
      <c r="O18">
        <v>13.9116867572881</v>
      </c>
      <c r="P18">
        <v>0.2</v>
      </c>
      <c r="Q18">
        <v>35.503273525816802</v>
      </c>
      <c r="R18">
        <v>39974.9095526452</v>
      </c>
      <c r="S18">
        <v>47</v>
      </c>
      <c r="T18">
        <v>1630.5162189463699</v>
      </c>
      <c r="U18">
        <v>36343.72</v>
      </c>
      <c r="V18">
        <v>481.666666666666</v>
      </c>
      <c r="W18">
        <v>3251.83300022294</v>
      </c>
      <c r="X18">
        <v>0.35</v>
      </c>
      <c r="Y18">
        <v>33.6666666666666</v>
      </c>
      <c r="Z18">
        <v>14</v>
      </c>
      <c r="AA18">
        <v>77.7777777777777</v>
      </c>
      <c r="AB18">
        <v>4.7221203746801201</v>
      </c>
      <c r="AC18">
        <v>2.25988700564971</v>
      </c>
      <c r="AD18">
        <v>55.484220179785197</v>
      </c>
      <c r="AE18">
        <v>4</v>
      </c>
      <c r="AF18">
        <v>25.799043880168799</v>
      </c>
      <c r="AG18">
        <v>227.5</v>
      </c>
      <c r="AH18">
        <v>295</v>
      </c>
      <c r="AI18">
        <v>12</v>
      </c>
      <c r="AJ18">
        <v>51572</v>
      </c>
      <c r="AK18">
        <v>7175</v>
      </c>
      <c r="AL18">
        <v>25.459026898116001</v>
      </c>
      <c r="AM18">
        <v>22.0485375973036</v>
      </c>
      <c r="AN18">
        <v>55386</v>
      </c>
      <c r="AO18">
        <v>829319.23732557404</v>
      </c>
      <c r="AP18">
        <v>2.5999999999999999E-2</v>
      </c>
      <c r="AQ18">
        <v>1638.4115804724199</v>
      </c>
      <c r="AR18">
        <v>0.754285714285714</v>
      </c>
      <c r="AS18">
        <v>1086.3885948484101</v>
      </c>
      <c r="AT18">
        <v>28.550502995155298</v>
      </c>
      <c r="AU18">
        <v>52.339680650407701</v>
      </c>
      <c r="AV18">
        <v>8.9999999999999998E-4</v>
      </c>
      <c r="AW18">
        <v>73.2</v>
      </c>
      <c r="AX18">
        <v>14.979797533132601</v>
      </c>
      <c r="AY18">
        <v>52.193980871726197</v>
      </c>
      <c r="AZ18">
        <v>4609.0202488074401</v>
      </c>
      <c r="BA18">
        <v>63.8865163117392</v>
      </c>
      <c r="BB18">
        <v>61.248065786777403</v>
      </c>
      <c r="BC18">
        <v>17.047352259871701</v>
      </c>
      <c r="BD18">
        <v>37.787878787878803</v>
      </c>
      <c r="BE18">
        <v>2.69E-2</v>
      </c>
      <c r="BF18">
        <v>0.111</v>
      </c>
      <c r="BG18">
        <v>24.320492755059998</v>
      </c>
      <c r="BH18">
        <v>10.8</v>
      </c>
      <c r="BI18">
        <v>1.3431979811883401</v>
      </c>
      <c r="BJ18">
        <v>51.1</v>
      </c>
      <c r="BK18">
        <v>90.140734949179006</v>
      </c>
      <c r="BL18">
        <v>65.281388557857099</v>
      </c>
      <c r="BM18">
        <v>113</v>
      </c>
      <c r="BN18">
        <v>1.5501419938746599</v>
      </c>
      <c r="BO18">
        <v>66027940</v>
      </c>
      <c r="BP18">
        <v>409988</v>
      </c>
      <c r="BQ18">
        <v>1.3018874344917</v>
      </c>
      <c r="BR18">
        <v>0.59743973852648702</v>
      </c>
      <c r="BS18">
        <v>47.996599999939399</v>
      </c>
      <c r="BT18">
        <v>44.022500000000001</v>
      </c>
      <c r="BU18">
        <v>22.216945168479125</v>
      </c>
      <c r="BV18">
        <v>46.020591154890397</v>
      </c>
    </row>
    <row r="19" spans="1:74">
      <c r="A19" t="s">
        <v>138</v>
      </c>
      <c r="B19">
        <v>14103407.1623627</v>
      </c>
      <c r="C19">
        <v>603</v>
      </c>
      <c r="D19">
        <v>78.597999999999999</v>
      </c>
      <c r="E19">
        <v>31944.354628004101</v>
      </c>
      <c r="F19">
        <v>2297.6971177649102</v>
      </c>
      <c r="G19">
        <v>1.8914025080739302E-2</v>
      </c>
      <c r="H19">
        <v>52.933333333333302</v>
      </c>
      <c r="I19">
        <v>3387366.67</v>
      </c>
      <c r="J19">
        <v>369784.1</v>
      </c>
      <c r="K19">
        <v>5673052.2370840898</v>
      </c>
      <c r="L19">
        <v>2.4480112215215798E-2</v>
      </c>
      <c r="M19">
        <v>8.1165525532992593</v>
      </c>
      <c r="N19">
        <v>16.094221965582602</v>
      </c>
      <c r="O19">
        <v>12.2921980757135</v>
      </c>
      <c r="P19">
        <v>0.34596666666666598</v>
      </c>
      <c r="Q19">
        <v>55.641340215681304</v>
      </c>
      <c r="R19">
        <v>3561.4307948882501</v>
      </c>
      <c r="S19">
        <v>1</v>
      </c>
      <c r="T19">
        <v>184.546527575081</v>
      </c>
      <c r="U19">
        <v>0</v>
      </c>
      <c r="V19">
        <v>347.65624189781602</v>
      </c>
      <c r="W19">
        <v>140.70420622602899</v>
      </c>
      <c r="X19">
        <v>0</v>
      </c>
      <c r="Y19">
        <v>291.666666666666</v>
      </c>
      <c r="Z19">
        <v>8</v>
      </c>
      <c r="AA19">
        <v>35.9375</v>
      </c>
      <c r="AB19">
        <v>0.68408337126792196</v>
      </c>
      <c r="AC19">
        <v>0.173837461973055</v>
      </c>
      <c r="AD19">
        <v>34.865522071796001</v>
      </c>
      <c r="AE19">
        <v>3</v>
      </c>
      <c r="AF19">
        <v>34.315110859201397</v>
      </c>
      <c r="AG19">
        <v>13</v>
      </c>
      <c r="AH19">
        <v>12</v>
      </c>
      <c r="AI19">
        <v>3</v>
      </c>
      <c r="AJ19">
        <v>11471</v>
      </c>
      <c r="AK19">
        <v>3141</v>
      </c>
      <c r="AL19">
        <v>36.140005826589103</v>
      </c>
      <c r="AM19">
        <v>28.720436877156001</v>
      </c>
      <c r="AN19">
        <v>76731</v>
      </c>
      <c r="AO19">
        <v>70959.812344612699</v>
      </c>
      <c r="AP19">
        <v>7.1999999999999995E-2</v>
      </c>
      <c r="AQ19">
        <v>2613.2941455945502</v>
      </c>
      <c r="AR19">
        <v>0.686746987951807</v>
      </c>
      <c r="AS19">
        <v>920.35743751352504</v>
      </c>
      <c r="AT19">
        <v>0</v>
      </c>
      <c r="AU19">
        <v>10.329926192288999</v>
      </c>
      <c r="AV19">
        <v>2.2000000000000001E-3</v>
      </c>
      <c r="AW19">
        <v>70.8</v>
      </c>
      <c r="AX19">
        <v>27.389148101746301</v>
      </c>
      <c r="AY19">
        <v>70.179963116438103</v>
      </c>
      <c r="AZ19">
        <v>838.37464337573101</v>
      </c>
      <c r="BA19">
        <v>48.533034455918397</v>
      </c>
      <c r="BB19">
        <v>50</v>
      </c>
      <c r="BC19">
        <v>26.311686009107699</v>
      </c>
      <c r="BD19">
        <v>31.248289345063501</v>
      </c>
      <c r="BE19">
        <v>0.254</v>
      </c>
      <c r="BF19">
        <v>0.1666</v>
      </c>
      <c r="BG19">
        <v>1.5699962953894899</v>
      </c>
      <c r="BH19">
        <v>46.7</v>
      </c>
      <c r="BI19">
        <v>1.5231402125471301</v>
      </c>
      <c r="BJ19">
        <v>24</v>
      </c>
      <c r="BK19">
        <v>27.508877875224901</v>
      </c>
      <c r="BL19">
        <v>20.103663306877198</v>
      </c>
      <c r="BM19">
        <v>54.000000000000099</v>
      </c>
      <c r="BN19">
        <v>6.2610644282008296</v>
      </c>
      <c r="BO19">
        <v>38332106</v>
      </c>
      <c r="BP19">
        <v>287911</v>
      </c>
      <c r="BQ19">
        <v>0.13687325105902901</v>
      </c>
      <c r="BR19">
        <v>0.39247311827956899</v>
      </c>
      <c r="BS19">
        <v>35</v>
      </c>
      <c r="BT19">
        <v>46.912500000000001</v>
      </c>
      <c r="BU19">
        <v>28.346456692913385</v>
      </c>
      <c r="BV19">
        <v>56.923498475909902</v>
      </c>
    </row>
    <row r="20" spans="1:74">
      <c r="A20" t="s">
        <v>140</v>
      </c>
      <c r="B20">
        <v>8824607</v>
      </c>
      <c r="C20">
        <v>1568.7370000000001</v>
      </c>
      <c r="D20">
        <v>35.043999999999997</v>
      </c>
      <c r="E20">
        <v>170654.72954826901</v>
      </c>
      <c r="F20">
        <v>19338.5076013322</v>
      </c>
      <c r="G20">
        <v>1.10934393967643E-2</v>
      </c>
      <c r="H20">
        <v>60.591666666666598</v>
      </c>
      <c r="I20">
        <v>604355.03</v>
      </c>
      <c r="J20">
        <v>96162.4</v>
      </c>
      <c r="K20">
        <v>5642756.5324999997</v>
      </c>
      <c r="L20">
        <v>0.13730540800157601</v>
      </c>
      <c r="M20">
        <v>5.9853223918418603</v>
      </c>
      <c r="N20">
        <v>22.280970476820102</v>
      </c>
      <c r="O20">
        <v>48.529680413005899</v>
      </c>
      <c r="P20">
        <v>0.2</v>
      </c>
      <c r="Q20">
        <v>78.841334148181502</v>
      </c>
      <c r="R20">
        <v>19322.212833035399</v>
      </c>
      <c r="S20">
        <v>3</v>
      </c>
      <c r="T20">
        <v>932.58310329265601</v>
      </c>
      <c r="U20">
        <v>2749.02</v>
      </c>
      <c r="V20">
        <v>412.666666666666</v>
      </c>
      <c r="W20">
        <v>328.20455636920798</v>
      </c>
      <c r="X20">
        <v>0</v>
      </c>
      <c r="Y20">
        <v>31</v>
      </c>
      <c r="Z20">
        <v>47</v>
      </c>
      <c r="AA20">
        <v>17.1875</v>
      </c>
      <c r="AB20">
        <v>2.7801094358099201</v>
      </c>
      <c r="AC20">
        <v>1.0157357658611199</v>
      </c>
      <c r="AD20">
        <v>35.416279107460802</v>
      </c>
      <c r="AE20">
        <v>1</v>
      </c>
      <c r="AF20">
        <v>42.196091757530198</v>
      </c>
      <c r="AG20">
        <v>15</v>
      </c>
      <c r="AH20">
        <v>37</v>
      </c>
      <c r="AI20">
        <v>5</v>
      </c>
      <c r="AJ20">
        <v>146403</v>
      </c>
      <c r="AK20">
        <v>33038</v>
      </c>
      <c r="AL20">
        <v>66.357529324060494</v>
      </c>
      <c r="AM20">
        <v>43.144935583869199</v>
      </c>
      <c r="AN20">
        <v>49543</v>
      </c>
      <c r="AO20">
        <v>9832457</v>
      </c>
      <c r="AP20">
        <v>1.39790807380778E-2</v>
      </c>
      <c r="AQ20">
        <v>2142.7590993396402</v>
      </c>
      <c r="AR20">
        <v>0.70967741935483797</v>
      </c>
      <c r="AS20">
        <v>1029.35181423258</v>
      </c>
      <c r="AT20">
        <v>16.720917989593701</v>
      </c>
      <c r="AU20">
        <v>4.0795017840454504</v>
      </c>
      <c r="AV20">
        <v>2.3E-3</v>
      </c>
      <c r="AW20">
        <v>77.7</v>
      </c>
      <c r="AX20">
        <v>30.0131194129698</v>
      </c>
      <c r="AY20">
        <v>15.7205650841845</v>
      </c>
      <c r="AZ20">
        <v>1054.1089151261299</v>
      </c>
      <c r="BA20">
        <v>59.1949526440021</v>
      </c>
      <c r="BB20">
        <v>34.655492284400196</v>
      </c>
      <c r="BC20">
        <v>27.904901449366101</v>
      </c>
      <c r="BD20">
        <v>18.512121212121201</v>
      </c>
      <c r="BE20">
        <v>0.1812</v>
      </c>
      <c r="BF20">
        <v>0.37508075283173198</v>
      </c>
      <c r="BG20">
        <v>9.4766905834265405</v>
      </c>
      <c r="BH20">
        <v>18</v>
      </c>
      <c r="BI20">
        <v>1.86950096623849</v>
      </c>
      <c r="BJ20">
        <v>30</v>
      </c>
      <c r="BK20">
        <v>55.364338477577903</v>
      </c>
      <c r="BL20">
        <v>39.2450494133452</v>
      </c>
      <c r="BM20">
        <v>131.00000000000099</v>
      </c>
      <c r="BN20">
        <v>15.425811536234599</v>
      </c>
      <c r="BO20">
        <v>44884940</v>
      </c>
      <c r="BP20">
        <v>360026</v>
      </c>
      <c r="BQ20">
        <v>0.28647889756541101</v>
      </c>
      <c r="BR20">
        <v>0.206627413391756</v>
      </c>
      <c r="BS20">
        <v>34.9687185947001</v>
      </c>
      <c r="BT20">
        <v>40.97</v>
      </c>
      <c r="BU20">
        <v>29.032258064516128</v>
      </c>
      <c r="BV20">
        <v>49.413982108809002</v>
      </c>
    </row>
    <row r="21" spans="1:74">
      <c r="A21" t="s">
        <v>142</v>
      </c>
      <c r="B21">
        <v>1945200</v>
      </c>
      <c r="C21">
        <v>242.71</v>
      </c>
      <c r="D21">
        <v>4.3997999999999999</v>
      </c>
      <c r="E21">
        <v>55836.0686709777</v>
      </c>
      <c r="F21">
        <v>31968.435057241299</v>
      </c>
      <c r="G21">
        <v>2.63285235095405E-2</v>
      </c>
      <c r="H21">
        <v>67.316666666666606</v>
      </c>
      <c r="I21">
        <v>381207.16</v>
      </c>
      <c r="J21">
        <v>85365.4</v>
      </c>
      <c r="K21">
        <v>855600</v>
      </c>
      <c r="L21">
        <v>0.23480598410472101</v>
      </c>
      <c r="M21">
        <v>14.3759591881332</v>
      </c>
      <c r="N21">
        <v>37.696864816418802</v>
      </c>
      <c r="O21">
        <v>18.709390064803699</v>
      </c>
      <c r="P21">
        <v>0.24</v>
      </c>
      <c r="Q21">
        <v>86.365262393782203</v>
      </c>
      <c r="R21">
        <v>1419.9685025941401</v>
      </c>
      <c r="S21">
        <v>5</v>
      </c>
      <c r="T21">
        <v>187.570519958955</v>
      </c>
      <c r="U21">
        <v>11678.99</v>
      </c>
      <c r="V21">
        <v>431</v>
      </c>
      <c r="W21">
        <v>241.750364440195</v>
      </c>
      <c r="X21">
        <v>0</v>
      </c>
      <c r="Y21">
        <v>55.6666666666666</v>
      </c>
      <c r="Z21">
        <v>27</v>
      </c>
      <c r="AA21">
        <v>35.9375</v>
      </c>
      <c r="AB21">
        <v>2.9174283743311098</v>
      </c>
      <c r="AC21">
        <v>0.26075619295958202</v>
      </c>
      <c r="AD21">
        <v>25.682185900238998</v>
      </c>
      <c r="AE21">
        <v>0</v>
      </c>
      <c r="AF21">
        <v>22.19173407948</v>
      </c>
      <c r="AG21">
        <v>10.5</v>
      </c>
      <c r="AH21">
        <v>18</v>
      </c>
      <c r="AI21">
        <v>6</v>
      </c>
      <c r="AJ21">
        <v>87646</v>
      </c>
      <c r="AK21">
        <v>14471</v>
      </c>
      <c r="AL21">
        <v>26.295907102228799</v>
      </c>
      <c r="AM21">
        <v>21.5526339396433</v>
      </c>
      <c r="AN21">
        <v>1135800</v>
      </c>
      <c r="AO21">
        <v>467814.50614938501</v>
      </c>
      <c r="AP21">
        <v>4.2000000000000003E-2</v>
      </c>
      <c r="AQ21">
        <v>2215.5165774265101</v>
      </c>
      <c r="AR21">
        <v>0.41860465116279</v>
      </c>
      <c r="AS21">
        <v>619.63432583727399</v>
      </c>
      <c r="AT21">
        <v>10.094074988290201</v>
      </c>
      <c r="AU21">
        <v>7.4085365853658498</v>
      </c>
      <c r="AV21">
        <v>1.2999999999999999E-3</v>
      </c>
      <c r="AW21">
        <v>74.7</v>
      </c>
      <c r="AX21">
        <v>40.542840897758197</v>
      </c>
      <c r="AY21">
        <v>9.2878426001898298</v>
      </c>
      <c r="AZ21">
        <v>2438.74704568576</v>
      </c>
      <c r="BA21">
        <v>68.0037973015652</v>
      </c>
      <c r="BB21">
        <v>40.567569201430302</v>
      </c>
      <c r="BC21">
        <v>30.648363340205499</v>
      </c>
      <c r="BD21">
        <v>47.818181818181799</v>
      </c>
      <c r="BE21">
        <v>3.8899999999999997E-2</v>
      </c>
      <c r="BF21">
        <v>0.315</v>
      </c>
      <c r="BG21">
        <v>20.9216515566848</v>
      </c>
      <c r="BH21">
        <v>17.600000000000001</v>
      </c>
      <c r="BI21">
        <v>1.6220625142596301</v>
      </c>
      <c r="BJ21">
        <v>35</v>
      </c>
      <c r="BK21">
        <v>51.578703351766499</v>
      </c>
      <c r="BL21">
        <v>54.263678488013802</v>
      </c>
      <c r="BM21">
        <v>94.022222222222396</v>
      </c>
      <c r="BN21">
        <v>20.778866996096198</v>
      </c>
      <c r="BO21">
        <v>25399296</v>
      </c>
      <c r="BP21">
        <v>216818</v>
      </c>
      <c r="BQ21">
        <v>0.36923946797319701</v>
      </c>
      <c r="BR21">
        <v>0.12980826485649599</v>
      </c>
      <c r="BS21">
        <v>45</v>
      </c>
      <c r="BT21">
        <v>34.825000000000003</v>
      </c>
      <c r="BU21">
        <v>37.113402061855673</v>
      </c>
      <c r="BV21">
        <v>55.688681346249297</v>
      </c>
    </row>
    <row r="22" spans="1:74">
      <c r="A22" t="s">
        <v>144</v>
      </c>
      <c r="B22">
        <v>5637000</v>
      </c>
      <c r="C22">
        <v>734.3</v>
      </c>
      <c r="D22">
        <v>1.379</v>
      </c>
      <c r="E22">
        <v>423634.07738095202</v>
      </c>
      <c r="F22">
        <v>72766.468261244605</v>
      </c>
      <c r="G22">
        <v>2.8006106205105501E-2</v>
      </c>
      <c r="H22">
        <v>83.933333333333294</v>
      </c>
      <c r="I22">
        <v>619361.68000000005</v>
      </c>
      <c r="J22">
        <v>431710.9</v>
      </c>
      <c r="K22">
        <v>3656200</v>
      </c>
      <c r="L22">
        <v>0.16776981565559801</v>
      </c>
      <c r="M22">
        <v>74.082364861677902</v>
      </c>
      <c r="N22">
        <v>74.627741084482693</v>
      </c>
      <c r="O22">
        <v>54.535975213757901</v>
      </c>
      <c r="P22">
        <v>0.17</v>
      </c>
      <c r="Q22">
        <v>100</v>
      </c>
      <c r="R22">
        <v>42292.974326800002</v>
      </c>
      <c r="S22">
        <v>347</v>
      </c>
      <c r="T22">
        <v>7078.2992881029104</v>
      </c>
      <c r="U22">
        <v>14247</v>
      </c>
      <c r="V22">
        <v>556.33333333333303</v>
      </c>
      <c r="W22">
        <v>5859.2</v>
      </c>
      <c r="X22">
        <v>0</v>
      </c>
      <c r="Y22">
        <v>574.66666666666595</v>
      </c>
      <c r="Z22">
        <v>140</v>
      </c>
      <c r="AA22">
        <v>34.375</v>
      </c>
      <c r="AB22">
        <v>77.794452382560095</v>
      </c>
      <c r="AC22">
        <v>2.6071535001399502</v>
      </c>
      <c r="AD22">
        <v>43.452461992248097</v>
      </c>
      <c r="AE22">
        <v>1</v>
      </c>
      <c r="AF22">
        <v>21.869623828590999</v>
      </c>
      <c r="AG22">
        <v>32</v>
      </c>
      <c r="AH22">
        <v>13</v>
      </c>
      <c r="AI22">
        <v>3</v>
      </c>
      <c r="AJ22">
        <v>71727</v>
      </c>
      <c r="AK22">
        <v>18846</v>
      </c>
      <c r="AL22">
        <v>48.747341475018501</v>
      </c>
      <c r="AM22">
        <v>40.220889430153399</v>
      </c>
      <c r="AN22">
        <v>2083300</v>
      </c>
      <c r="AO22">
        <v>6305744</v>
      </c>
      <c r="AP22">
        <v>2.1000000000000001E-2</v>
      </c>
      <c r="AQ22">
        <v>2242.4932735426</v>
      </c>
      <c r="AR22">
        <v>0.66666666666666596</v>
      </c>
      <c r="AS22">
        <v>4138.4133184523798</v>
      </c>
      <c r="AT22">
        <v>63.442139880606703</v>
      </c>
      <c r="AU22">
        <v>1.0526315789473599</v>
      </c>
      <c r="AV22">
        <v>2.3999999999999998E-3</v>
      </c>
      <c r="AW22">
        <v>83.2</v>
      </c>
      <c r="AX22">
        <v>53.839918278260797</v>
      </c>
      <c r="AY22">
        <v>17.423644347563201</v>
      </c>
      <c r="AZ22">
        <v>2503.5065572620802</v>
      </c>
      <c r="BA22">
        <v>80.081562182254203</v>
      </c>
      <c r="BB22">
        <v>55.274360298370901</v>
      </c>
      <c r="BC22">
        <v>45.693000810484897</v>
      </c>
      <c r="BD22">
        <v>7.7626666666666599</v>
      </c>
      <c r="BE22">
        <v>1.21999999999999E-2</v>
      </c>
      <c r="BF22">
        <v>0.58708874758086804</v>
      </c>
      <c r="BG22">
        <v>7.6158184949962697</v>
      </c>
      <c r="BH22">
        <v>13.3</v>
      </c>
      <c r="BI22">
        <v>1.5470576312411299</v>
      </c>
      <c r="BJ22">
        <v>75.5</v>
      </c>
      <c r="BK22">
        <v>75.935427995319998</v>
      </c>
      <c r="BL22">
        <v>92.339349878833403</v>
      </c>
      <c r="BM22">
        <v>135.00000000000099</v>
      </c>
      <c r="BN22">
        <v>61.506305468198001</v>
      </c>
      <c r="BO22">
        <v>32202000</v>
      </c>
      <c r="BP22">
        <v>220215</v>
      </c>
      <c r="BQ22">
        <v>0.346957775940331</v>
      </c>
      <c r="BR22">
        <v>0.72854932762108704</v>
      </c>
      <c r="BS22">
        <v>18</v>
      </c>
      <c r="BT22">
        <v>38.862499999999997</v>
      </c>
      <c r="BU22">
        <v>36.363636363636367</v>
      </c>
      <c r="BV22">
        <v>59.7410624454808</v>
      </c>
    </row>
    <row r="23" spans="1:74">
      <c r="A23" t="s">
        <v>146</v>
      </c>
      <c r="B23">
        <v>7346100</v>
      </c>
      <c r="C23">
        <v>1114.4000000000001</v>
      </c>
      <c r="D23">
        <v>7.8310000000000004</v>
      </c>
      <c r="E23">
        <v>368936.06072301499</v>
      </c>
      <c r="F23">
        <v>49766.113469702803</v>
      </c>
      <c r="G23">
        <v>8.9999999999999993E-3</v>
      </c>
      <c r="H23">
        <v>48.2916666666666</v>
      </c>
      <c r="I23">
        <v>4566809.0599999996</v>
      </c>
      <c r="J23">
        <v>366825.2</v>
      </c>
      <c r="K23">
        <v>3654100</v>
      </c>
      <c r="L23">
        <v>0.22600000000000001</v>
      </c>
      <c r="M23">
        <v>41.995066685185499</v>
      </c>
      <c r="N23">
        <v>41.437801777811401</v>
      </c>
      <c r="O23">
        <v>52.656437393664802</v>
      </c>
      <c r="P23">
        <v>0.16500000000000001</v>
      </c>
      <c r="Q23">
        <v>98.3868053078196</v>
      </c>
      <c r="R23">
        <v>34150.534724999998</v>
      </c>
      <c r="S23">
        <v>694</v>
      </c>
      <c r="T23">
        <v>3579.8666425410302</v>
      </c>
      <c r="U23">
        <v>31349.31</v>
      </c>
      <c r="V23">
        <v>530.66666666666595</v>
      </c>
      <c r="W23">
        <v>7461.4</v>
      </c>
      <c r="X23">
        <v>0</v>
      </c>
      <c r="Y23">
        <v>133.333333333333</v>
      </c>
      <c r="Z23">
        <v>16</v>
      </c>
      <c r="AA23">
        <v>21.875</v>
      </c>
      <c r="AB23">
        <v>52.374485959221502</v>
      </c>
      <c r="AC23">
        <v>5.1303445051081402</v>
      </c>
      <c r="AD23">
        <v>31.701265236024099</v>
      </c>
      <c r="AE23">
        <v>1</v>
      </c>
      <c r="AF23">
        <v>22.680396116546699</v>
      </c>
      <c r="AG23">
        <v>17</v>
      </c>
      <c r="AH23">
        <v>27</v>
      </c>
      <c r="AI23">
        <v>6</v>
      </c>
      <c r="AJ23">
        <v>66813</v>
      </c>
      <c r="AK23">
        <v>15164</v>
      </c>
      <c r="AL23">
        <v>39.478198068871599</v>
      </c>
      <c r="AM23">
        <v>35.421262615376797</v>
      </c>
      <c r="AN23">
        <v>676218</v>
      </c>
      <c r="AO23">
        <v>196000</v>
      </c>
      <c r="AP23">
        <v>4.2999999999999997E-2</v>
      </c>
      <c r="AQ23">
        <v>2006.44923710086</v>
      </c>
      <c r="AR23">
        <v>0.40526315789473599</v>
      </c>
      <c r="AS23">
        <v>2773.58580985462</v>
      </c>
      <c r="AT23">
        <v>42.339354228944998</v>
      </c>
      <c r="AU23">
        <v>4.0540540540540499</v>
      </c>
      <c r="AV23">
        <v>2.8E-3</v>
      </c>
      <c r="AW23">
        <v>85.492682926829204</v>
      </c>
      <c r="AX23">
        <v>42.081236393764399</v>
      </c>
      <c r="AY23">
        <v>23.073286052009401</v>
      </c>
      <c r="AZ23">
        <v>3157.7962522387602</v>
      </c>
      <c r="BA23">
        <v>68.748585650552201</v>
      </c>
      <c r="BB23">
        <v>40.852235152933901</v>
      </c>
      <c r="BC23">
        <v>53.789951868440603</v>
      </c>
      <c r="BD23">
        <v>25.424242424242401</v>
      </c>
      <c r="BE23">
        <v>7.6E-3</v>
      </c>
      <c r="BF23">
        <v>0.35411949137780802</v>
      </c>
      <c r="BG23">
        <v>4.6508225112062203</v>
      </c>
      <c r="BH23">
        <v>14.4</v>
      </c>
      <c r="BI23">
        <v>0.95598690892675697</v>
      </c>
      <c r="BJ23">
        <v>47</v>
      </c>
      <c r="BK23">
        <v>73.464915784131307</v>
      </c>
      <c r="BL23">
        <v>51.938792441652602</v>
      </c>
      <c r="BM23">
        <v>100</v>
      </c>
      <c r="BN23">
        <v>67.515856236786405</v>
      </c>
      <c r="BO23">
        <v>5650458</v>
      </c>
      <c r="BP23">
        <v>79478</v>
      </c>
      <c r="BQ23">
        <v>0.528394411065092</v>
      </c>
      <c r="BR23">
        <v>0.83333333333333304</v>
      </c>
      <c r="BS23">
        <v>26</v>
      </c>
      <c r="BT23">
        <v>41.427500000000002</v>
      </c>
      <c r="BU23">
        <v>36.363636363636367</v>
      </c>
      <c r="BV23">
        <v>46.9763863517624</v>
      </c>
    </row>
    <row r="24" spans="1:74">
      <c r="A24" t="s">
        <v>148</v>
      </c>
      <c r="B24">
        <v>21886000</v>
      </c>
      <c r="C24">
        <v>16406.160599999999</v>
      </c>
      <c r="D24">
        <v>6.73</v>
      </c>
      <c r="E24">
        <v>624141.35151890805</v>
      </c>
      <c r="F24">
        <v>28517.835672069301</v>
      </c>
      <c r="G24">
        <v>5.81274755558975E-2</v>
      </c>
      <c r="H24">
        <v>48.2916666666666</v>
      </c>
      <c r="I24">
        <v>44003.11</v>
      </c>
      <c r="J24">
        <v>5258097.7</v>
      </c>
      <c r="K24">
        <v>11580000</v>
      </c>
      <c r="L24">
        <v>0.31312607944732201</v>
      </c>
      <c r="M24">
        <v>23.7623006873606</v>
      </c>
      <c r="N24">
        <v>32.757401718101001</v>
      </c>
      <c r="O24">
        <v>54.150653343581801</v>
      </c>
      <c r="P24">
        <v>0.25</v>
      </c>
      <c r="Q24">
        <v>81.758518623569302</v>
      </c>
      <c r="R24">
        <v>37289.927824581799</v>
      </c>
      <c r="S24">
        <v>376</v>
      </c>
      <c r="T24">
        <v>5930.6152075514201</v>
      </c>
      <c r="U24">
        <v>20757.47</v>
      </c>
      <c r="V24">
        <v>578.66666666666595</v>
      </c>
      <c r="W24">
        <v>6131.4387477897399</v>
      </c>
      <c r="X24">
        <v>0.65</v>
      </c>
      <c r="Y24">
        <v>49</v>
      </c>
      <c r="Z24">
        <v>19</v>
      </c>
      <c r="AA24">
        <v>66.8402777777777</v>
      </c>
      <c r="AB24">
        <v>8.3969197254130403</v>
      </c>
      <c r="AC24">
        <v>13.4024186929216</v>
      </c>
      <c r="AD24">
        <v>47.7537275358006</v>
      </c>
      <c r="AE24">
        <v>7</v>
      </c>
      <c r="AF24">
        <v>27.3509564582458</v>
      </c>
      <c r="AG24">
        <v>33</v>
      </c>
      <c r="AH24">
        <v>77</v>
      </c>
      <c r="AI24">
        <v>13</v>
      </c>
      <c r="AJ24">
        <v>69625</v>
      </c>
      <c r="AK24">
        <v>17651</v>
      </c>
      <c r="AL24">
        <v>30.490234375683201</v>
      </c>
      <c r="AM24">
        <v>31.876526988448902</v>
      </c>
      <c r="AN24">
        <v>62812</v>
      </c>
      <c r="AO24">
        <v>189442</v>
      </c>
      <c r="AP24">
        <v>3.2300000000000002E-2</v>
      </c>
      <c r="AQ24">
        <v>2054.19151064075</v>
      </c>
      <c r="AR24">
        <v>0.61111111111111105</v>
      </c>
      <c r="AS24">
        <v>1478.8705052696801</v>
      </c>
      <c r="AT24">
        <v>16.150124641789599</v>
      </c>
      <c r="AU24">
        <v>4.61799900870919</v>
      </c>
      <c r="AV24">
        <v>3.2000000000000002E-3</v>
      </c>
      <c r="AW24">
        <v>77.400000000000006</v>
      </c>
      <c r="AX24">
        <v>12.762011705458001</v>
      </c>
      <c r="AY24">
        <v>60.236406619385299</v>
      </c>
      <c r="AZ24">
        <v>2679.7224915962602</v>
      </c>
      <c r="BA24">
        <v>77.985444348579605</v>
      </c>
      <c r="BB24">
        <v>35.035061735802898</v>
      </c>
      <c r="BC24">
        <v>50.5927315915457</v>
      </c>
      <c r="BD24">
        <v>23.718787878787801</v>
      </c>
      <c r="BE24">
        <v>0.10009999999999999</v>
      </c>
      <c r="BF24">
        <v>0.38500000000000001</v>
      </c>
      <c r="BG24">
        <v>16.584104056172801</v>
      </c>
      <c r="BH24">
        <v>29.8</v>
      </c>
      <c r="BI24">
        <v>1.1476969708596301</v>
      </c>
      <c r="BJ24">
        <v>31.6</v>
      </c>
      <c r="BK24">
        <v>59.996662595220599</v>
      </c>
      <c r="BL24">
        <v>73.007774596416695</v>
      </c>
      <c r="BM24">
        <v>59.000000000000199</v>
      </c>
      <c r="BN24">
        <v>6.3132540636674497</v>
      </c>
      <c r="BO24">
        <v>12703342</v>
      </c>
      <c r="BP24">
        <v>245143</v>
      </c>
      <c r="BQ24">
        <v>0.58887328944001205</v>
      </c>
      <c r="BR24">
        <v>0.45162601626016202</v>
      </c>
      <c r="BS24">
        <v>40</v>
      </c>
      <c r="BT24">
        <v>37.645000000000003</v>
      </c>
      <c r="BU24">
        <v>24.315897013615174</v>
      </c>
      <c r="BV24">
        <v>68.227487568726602</v>
      </c>
    </row>
    <row r="25" spans="1:74">
      <c r="A25" t="s">
        <v>150</v>
      </c>
      <c r="B25">
        <v>24894300</v>
      </c>
      <c r="C25">
        <v>6340.5</v>
      </c>
      <c r="D25">
        <v>6.73</v>
      </c>
      <c r="E25">
        <v>669789.987600744</v>
      </c>
      <c r="F25">
        <v>26905.3553464344</v>
      </c>
      <c r="G25">
        <v>5.8964761252097098E-2</v>
      </c>
      <c r="H25">
        <v>48.2916666666666</v>
      </c>
      <c r="I25">
        <v>6724470.8899999997</v>
      </c>
      <c r="J25">
        <v>481887.6</v>
      </c>
      <c r="K25">
        <v>13762000</v>
      </c>
      <c r="L25">
        <v>0.230126435111175</v>
      </c>
      <c r="M25">
        <v>18.8417360171028</v>
      </c>
      <c r="N25">
        <v>38.471687432386702</v>
      </c>
      <c r="O25">
        <v>50.886136804164202</v>
      </c>
      <c r="P25">
        <v>0.25</v>
      </c>
      <c r="Q25">
        <v>80.760100559671997</v>
      </c>
      <c r="R25">
        <v>40541.436696483703</v>
      </c>
      <c r="S25">
        <v>303</v>
      </c>
      <c r="T25">
        <v>6447.7373659503801</v>
      </c>
      <c r="U25">
        <v>16942.240000000002</v>
      </c>
      <c r="V25">
        <v>578.66666666666595</v>
      </c>
      <c r="W25">
        <v>7209.9932808461499</v>
      </c>
      <c r="X25">
        <v>0</v>
      </c>
      <c r="Y25">
        <v>74.3333333333333</v>
      </c>
      <c r="Z25">
        <v>17</v>
      </c>
      <c r="AA25">
        <v>25.231481481481399</v>
      </c>
      <c r="AB25">
        <v>9.0257436876416595</v>
      </c>
      <c r="AC25">
        <v>2.8674898695475401</v>
      </c>
      <c r="AD25">
        <v>37.486428667166201</v>
      </c>
      <c r="AE25">
        <v>1</v>
      </c>
      <c r="AF25">
        <v>39.5444169431278</v>
      </c>
      <c r="AG25">
        <v>21</v>
      </c>
      <c r="AH25">
        <v>42</v>
      </c>
      <c r="AI25">
        <v>11</v>
      </c>
      <c r="AJ25">
        <v>86840</v>
      </c>
      <c r="AK25">
        <v>21633</v>
      </c>
      <c r="AL25">
        <v>42.958712928063903</v>
      </c>
      <c r="AM25">
        <v>36.184031185139297</v>
      </c>
      <c r="AN25">
        <v>163954</v>
      </c>
      <c r="AO25">
        <v>929294.740398583</v>
      </c>
      <c r="AP25">
        <v>2.7E-2</v>
      </c>
      <c r="AQ25">
        <v>1946.9234338428</v>
      </c>
      <c r="AR25">
        <v>0.77319587628865905</v>
      </c>
      <c r="AS25">
        <v>1633.4857408555399</v>
      </c>
      <c r="AT25">
        <v>25.8459253249212</v>
      </c>
      <c r="AU25">
        <v>5.2220789497997497</v>
      </c>
      <c r="AV25">
        <v>6.7000000000000002E-3</v>
      </c>
      <c r="AW25">
        <v>77.400000000000006</v>
      </c>
      <c r="AX25">
        <v>12.762011705458001</v>
      </c>
      <c r="AY25">
        <v>60.236406619385299</v>
      </c>
      <c r="AZ25">
        <v>2562.8899834701601</v>
      </c>
      <c r="BA25">
        <v>77.985444348579605</v>
      </c>
      <c r="BB25">
        <v>37.196740187162199</v>
      </c>
      <c r="BC25">
        <v>53.9322998998475</v>
      </c>
      <c r="BD25">
        <v>19.779393939393898</v>
      </c>
      <c r="BE25">
        <v>0.10009999999999999</v>
      </c>
      <c r="BF25">
        <v>0.4</v>
      </c>
      <c r="BG25">
        <v>15.6388047771785</v>
      </c>
      <c r="BH25">
        <v>25.4</v>
      </c>
      <c r="BI25">
        <v>0.98265773975099202</v>
      </c>
      <c r="BJ25">
        <v>36.1</v>
      </c>
      <c r="BK25">
        <v>46.5506067376446</v>
      </c>
      <c r="BL25">
        <v>75.214686111266701</v>
      </c>
      <c r="BM25">
        <v>53.999999999999901</v>
      </c>
      <c r="BN25">
        <v>80.701347024928097</v>
      </c>
      <c r="BO25">
        <v>28889974</v>
      </c>
      <c r="BP25">
        <v>476797</v>
      </c>
      <c r="BQ25">
        <v>0.79577471545947598</v>
      </c>
      <c r="BR25">
        <v>0.63637735849056598</v>
      </c>
      <c r="BS25">
        <v>42.361577757044699</v>
      </c>
      <c r="BT25">
        <v>39.517499999999998</v>
      </c>
      <c r="BU25">
        <v>32.490070131586506</v>
      </c>
      <c r="BV25">
        <v>63.974283169266101</v>
      </c>
    </row>
    <row r="26" spans="1:74">
      <c r="A26" t="s">
        <v>152</v>
      </c>
      <c r="B26">
        <v>2480681</v>
      </c>
      <c r="C26">
        <v>271.79969999999997</v>
      </c>
      <c r="D26">
        <v>29.812999999999999</v>
      </c>
      <c r="E26">
        <v>83341.277290808503</v>
      </c>
      <c r="F26">
        <v>32976.255319148899</v>
      </c>
      <c r="G26">
        <v>3.8063189313885602E-2</v>
      </c>
      <c r="H26">
        <v>80.716666666666598</v>
      </c>
      <c r="I26">
        <v>1592376.7</v>
      </c>
      <c r="J26">
        <v>335911.1</v>
      </c>
      <c r="K26">
        <v>1168000</v>
      </c>
      <c r="L26">
        <v>0.20376712328767099</v>
      </c>
      <c r="M26">
        <v>25.533413099024699</v>
      </c>
      <c r="N26">
        <v>50.845176012771802</v>
      </c>
      <c r="O26">
        <v>30.012064164083601</v>
      </c>
      <c r="P26">
        <v>0.2</v>
      </c>
      <c r="Q26">
        <v>90.354382196931994</v>
      </c>
      <c r="R26">
        <v>18114.656698964402</v>
      </c>
      <c r="S26">
        <v>17</v>
      </c>
      <c r="T26">
        <v>3172.2909457854798</v>
      </c>
      <c r="U26">
        <v>6683.17</v>
      </c>
      <c r="V26">
        <v>516.66666666666595</v>
      </c>
      <c r="W26">
        <v>7230.3894470166797</v>
      </c>
      <c r="X26">
        <v>0</v>
      </c>
      <c r="Y26">
        <v>42</v>
      </c>
      <c r="Z26">
        <v>27</v>
      </c>
      <c r="AA26">
        <v>0</v>
      </c>
      <c r="AB26">
        <v>1.03600335935332</v>
      </c>
      <c r="AC26">
        <v>1.8750833727763601</v>
      </c>
      <c r="AD26">
        <v>20.903643327166002</v>
      </c>
      <c r="AE26">
        <v>0</v>
      </c>
      <c r="AF26">
        <v>22.476378530782998</v>
      </c>
      <c r="AG26">
        <v>28.5</v>
      </c>
      <c r="AH26">
        <v>72</v>
      </c>
      <c r="AI26">
        <v>3</v>
      </c>
      <c r="AJ26">
        <v>50734</v>
      </c>
      <c r="AK26">
        <v>2866</v>
      </c>
      <c r="AL26">
        <v>30.022919621588201</v>
      </c>
      <c r="AM26">
        <v>21.525747063816102</v>
      </c>
      <c r="AN26">
        <v>68044</v>
      </c>
      <c r="AO26">
        <v>84996.806445962502</v>
      </c>
      <c r="AP26">
        <v>3.6999999999999998E-2</v>
      </c>
      <c r="AQ26">
        <v>2145.54894453938</v>
      </c>
      <c r="AR26">
        <v>0.55428571428571405</v>
      </c>
      <c r="AS26">
        <v>1039.45206215093</v>
      </c>
      <c r="AT26">
        <v>31.7164704259052</v>
      </c>
      <c r="AU26">
        <v>8.0623022468426999</v>
      </c>
      <c r="AV26">
        <v>5.9900000000000002E-2</v>
      </c>
      <c r="AW26">
        <v>84.17</v>
      </c>
      <c r="AX26">
        <v>64.599166337217397</v>
      </c>
      <c r="AY26">
        <v>31.9038076935947</v>
      </c>
      <c r="AZ26">
        <v>5147.3768694967202</v>
      </c>
      <c r="BA26">
        <v>70.483055555555495</v>
      </c>
      <c r="BB26">
        <v>60.953937721734903</v>
      </c>
      <c r="BC26">
        <v>83.222816775910005</v>
      </c>
      <c r="BD26">
        <v>7.44</v>
      </c>
      <c r="BE26">
        <v>1.7899999999999999E-2</v>
      </c>
      <c r="BF26">
        <v>0.57294737966968501</v>
      </c>
      <c r="BG26">
        <v>10.820224044769599</v>
      </c>
      <c r="BH26">
        <v>9.9</v>
      </c>
      <c r="BI26">
        <v>1.00940758651957</v>
      </c>
      <c r="BJ26">
        <v>55.7</v>
      </c>
      <c r="BK26">
        <v>71.159981882784606</v>
      </c>
      <c r="BL26">
        <v>62.780658301962397</v>
      </c>
      <c r="BM26">
        <v>73.000000000000597</v>
      </c>
      <c r="BN26">
        <v>31.838688243401101</v>
      </c>
      <c r="BO26">
        <v>8116582</v>
      </c>
      <c r="BP26">
        <v>118391</v>
      </c>
      <c r="BQ26">
        <v>0.40425355545341402</v>
      </c>
      <c r="BR26">
        <v>0.45899301098274098</v>
      </c>
      <c r="BS26">
        <v>27.138922270482801</v>
      </c>
      <c r="BT26">
        <v>31.892499999999998</v>
      </c>
      <c r="BU26">
        <v>28.346456692913385</v>
      </c>
      <c r="BV26">
        <v>48.493662196638198</v>
      </c>
    </row>
    <row r="27" spans="1:74">
      <c r="A27" t="s">
        <v>154</v>
      </c>
      <c r="B27">
        <v>9667669</v>
      </c>
      <c r="C27">
        <v>605.24</v>
      </c>
      <c r="D27">
        <v>1291.729</v>
      </c>
      <c r="E27">
        <v>412034.05762859603</v>
      </c>
      <c r="F27">
        <v>42320.554126297699</v>
      </c>
      <c r="G27">
        <v>3.5283824424346702E-2</v>
      </c>
      <c r="H27">
        <v>73.733333333333306</v>
      </c>
      <c r="I27">
        <v>1644507.58</v>
      </c>
      <c r="J27">
        <v>728271.39999999898</v>
      </c>
      <c r="K27">
        <v>5147000</v>
      </c>
      <c r="L27">
        <v>0.216423788893265</v>
      </c>
      <c r="M27">
        <v>42.177120890399003</v>
      </c>
      <c r="N27">
        <v>48.033983781454303</v>
      </c>
      <c r="O27">
        <v>26.111806787802401</v>
      </c>
      <c r="P27">
        <v>0.24</v>
      </c>
      <c r="Q27">
        <v>95.984362298456702</v>
      </c>
      <c r="R27">
        <v>85071.343785637902</v>
      </c>
      <c r="S27">
        <v>307</v>
      </c>
      <c r="T27">
        <v>14868.0121247895</v>
      </c>
      <c r="U27">
        <v>36438.82</v>
      </c>
      <c r="V27">
        <v>519.66666666666595</v>
      </c>
      <c r="W27">
        <v>22806.3750202101</v>
      </c>
      <c r="X27">
        <v>0</v>
      </c>
      <c r="Y27">
        <v>250.666666666666</v>
      </c>
      <c r="Z27">
        <v>265</v>
      </c>
      <c r="AA27">
        <v>17.1875</v>
      </c>
      <c r="AB27">
        <v>26.269192469221199</v>
      </c>
      <c r="AC27">
        <v>9.2697022472311801</v>
      </c>
      <c r="AD27">
        <v>30.4197543162507</v>
      </c>
      <c r="AE27">
        <v>7</v>
      </c>
      <c r="AF27">
        <v>40.648796298708398</v>
      </c>
      <c r="AG27">
        <v>54.5</v>
      </c>
      <c r="AH27">
        <v>75</v>
      </c>
      <c r="AI27">
        <v>10</v>
      </c>
      <c r="AJ27">
        <v>77744</v>
      </c>
      <c r="AK27">
        <v>9792</v>
      </c>
      <c r="AL27">
        <v>50.500355762034602</v>
      </c>
      <c r="AM27">
        <v>59.515753215364001</v>
      </c>
      <c r="AN27">
        <v>226569</v>
      </c>
      <c r="AO27">
        <v>2635166.0079999999</v>
      </c>
      <c r="AP27">
        <v>3.4000000000000002E-2</v>
      </c>
      <c r="AQ27">
        <v>2264.7970470093701</v>
      </c>
      <c r="AR27">
        <v>4.1666666666666602E-2</v>
      </c>
      <c r="AS27">
        <v>1639.2893094752901</v>
      </c>
      <c r="AT27">
        <v>33.182298983300903</v>
      </c>
      <c r="AU27">
        <v>4.9301424492762802</v>
      </c>
      <c r="AV27">
        <v>1.0699999999999999E-2</v>
      </c>
      <c r="AW27">
        <v>83.3</v>
      </c>
      <c r="AX27">
        <v>58.012991802688497</v>
      </c>
      <c r="AY27">
        <v>46.433226005326702</v>
      </c>
      <c r="AZ27">
        <v>2496.78959621178</v>
      </c>
      <c r="BA27">
        <v>77.814796457521993</v>
      </c>
      <c r="BB27">
        <v>45.638207392734202</v>
      </c>
      <c r="BC27">
        <v>50.731763362750598</v>
      </c>
      <c r="BD27">
        <v>34.409696969696903</v>
      </c>
      <c r="BE27">
        <v>2.1299999999999999E-2</v>
      </c>
      <c r="BF27">
        <v>0.59015214882902201</v>
      </c>
      <c r="BG27">
        <v>4.5909577511019597</v>
      </c>
      <c r="BH27">
        <v>18.3</v>
      </c>
      <c r="BI27">
        <v>1.0604101780572299</v>
      </c>
      <c r="BJ27">
        <v>63.6</v>
      </c>
      <c r="BK27">
        <v>50.437957418086903</v>
      </c>
      <c r="BL27">
        <v>67.7219876857598</v>
      </c>
      <c r="BM27">
        <v>134.99999999999801</v>
      </c>
      <c r="BN27">
        <v>38.177965850969997</v>
      </c>
      <c r="BO27">
        <v>42447962</v>
      </c>
      <c r="BP27">
        <v>264171</v>
      </c>
      <c r="BQ27">
        <v>0.70983104618985304</v>
      </c>
      <c r="BR27">
        <v>0.71261430876815401</v>
      </c>
      <c r="BS27">
        <v>29.978650093966799</v>
      </c>
      <c r="BT27">
        <v>40.935000000000002</v>
      </c>
      <c r="BU27">
        <v>21.526014923398979</v>
      </c>
      <c r="BV27">
        <v>53.0591860706555</v>
      </c>
    </row>
    <row r="28" spans="1:74">
      <c r="A28" t="s">
        <v>156</v>
      </c>
      <c r="B28">
        <v>1633502</v>
      </c>
      <c r="C28">
        <v>343.47</v>
      </c>
      <c r="D28">
        <v>131.45400000000001</v>
      </c>
      <c r="E28">
        <v>68927.543681900395</v>
      </c>
      <c r="F28">
        <v>42550.676916253302</v>
      </c>
      <c r="G28">
        <v>-2.74844257044932E-2</v>
      </c>
      <c r="H28">
        <v>69.2916666666666</v>
      </c>
      <c r="I28">
        <v>0</v>
      </c>
      <c r="J28">
        <v>0</v>
      </c>
      <c r="K28">
        <v>952085</v>
      </c>
      <c r="L28">
        <v>0.24503169359878499</v>
      </c>
      <c r="M28">
        <v>23.246759250964999</v>
      </c>
      <c r="N28">
        <v>10.2451086283421</v>
      </c>
      <c r="O28">
        <v>14.80246779478</v>
      </c>
      <c r="P28">
        <v>0.30580073231836502</v>
      </c>
      <c r="Q28">
        <v>85.017164445328206</v>
      </c>
      <c r="R28">
        <v>10562.334812752801</v>
      </c>
      <c r="S28">
        <v>3</v>
      </c>
      <c r="T28">
        <v>2537.06565825602</v>
      </c>
      <c r="U28">
        <v>2723.9</v>
      </c>
      <c r="V28">
        <v>520</v>
      </c>
      <c r="W28">
        <v>3242.3234111798401</v>
      </c>
      <c r="X28">
        <v>0</v>
      </c>
      <c r="Y28">
        <v>16.3333333333333</v>
      </c>
      <c r="Z28">
        <v>2</v>
      </c>
      <c r="AA28">
        <v>3.125</v>
      </c>
      <c r="AB28">
        <v>1.46703816984374</v>
      </c>
      <c r="AC28">
        <v>0</v>
      </c>
      <c r="AD28">
        <v>0</v>
      </c>
      <c r="AE28">
        <v>6</v>
      </c>
      <c r="AF28">
        <v>23.533245784021499</v>
      </c>
      <c r="AG28">
        <v>11.5</v>
      </c>
      <c r="AH28">
        <v>7</v>
      </c>
      <c r="AI28">
        <v>2</v>
      </c>
      <c r="AJ28">
        <v>36998</v>
      </c>
      <c r="AK28">
        <v>372</v>
      </c>
      <c r="AL28">
        <v>26.4101535024</v>
      </c>
      <c r="AM28">
        <v>37.553778912240702</v>
      </c>
      <c r="AN28">
        <v>40228</v>
      </c>
      <c r="AO28">
        <v>402000</v>
      </c>
      <c r="AP28">
        <v>2.8999999999999901E-2</v>
      </c>
      <c r="AQ28">
        <v>2006.5053429059799</v>
      </c>
      <c r="AR28">
        <v>0.278481012658227</v>
      </c>
      <c r="AS28">
        <v>722.44472622635794</v>
      </c>
      <c r="AT28">
        <v>31.8283420136903</v>
      </c>
      <c r="AU28">
        <v>5.2278585243416797</v>
      </c>
      <c r="AV28">
        <v>6.4000000000000003E-3</v>
      </c>
      <c r="AW28">
        <v>84.3</v>
      </c>
      <c r="AX28">
        <v>59.566200587695498</v>
      </c>
      <c r="AY28">
        <v>27.111998667526102</v>
      </c>
      <c r="AZ28">
        <v>3139.5767936143998</v>
      </c>
      <c r="BA28">
        <v>70.539136108090403</v>
      </c>
      <c r="BB28">
        <v>16.800344757565799</v>
      </c>
      <c r="BC28">
        <v>7.7435797416213497</v>
      </c>
      <c r="BD28">
        <v>24.9180035650623</v>
      </c>
      <c r="BE28">
        <v>7.0699999999999999E-2</v>
      </c>
      <c r="BF28">
        <v>0.19495537316228101</v>
      </c>
      <c r="BG28">
        <v>8.8426502969272907</v>
      </c>
      <c r="BH28">
        <v>10.3</v>
      </c>
      <c r="BI28">
        <v>0.89658867341202897</v>
      </c>
      <c r="BJ28">
        <v>59.3</v>
      </c>
      <c r="BK28">
        <v>62.139222561916</v>
      </c>
      <c r="BL28">
        <v>69.099266289654494</v>
      </c>
      <c r="BM28">
        <v>11.999999999999901</v>
      </c>
      <c r="BN28">
        <v>1.0601704719332801</v>
      </c>
      <c r="BO28">
        <v>13465443</v>
      </c>
      <c r="BP28">
        <v>154122</v>
      </c>
      <c r="BQ28">
        <v>0.251464810085194</v>
      </c>
      <c r="BR28">
        <v>0.42659929951515302</v>
      </c>
      <c r="BS28">
        <v>8</v>
      </c>
      <c r="BT28">
        <v>26.872499999999999</v>
      </c>
      <c r="BU28">
        <v>26.1</v>
      </c>
      <c r="BV28">
        <v>53.533172038310802</v>
      </c>
    </row>
    <row r="29" spans="1:74">
      <c r="A29" t="s">
        <v>158</v>
      </c>
      <c r="B29">
        <v>2760091</v>
      </c>
      <c r="C29">
        <v>225.33</v>
      </c>
      <c r="D29">
        <v>131.45400000000001</v>
      </c>
      <c r="E29">
        <v>187251.55328425</v>
      </c>
      <c r="F29">
        <v>67997.044571284496</v>
      </c>
      <c r="G29">
        <v>-2.6536689791348701E-2</v>
      </c>
      <c r="H29">
        <v>69.2916666666666</v>
      </c>
      <c r="I29">
        <v>0</v>
      </c>
      <c r="J29">
        <v>303622.59999999998</v>
      </c>
      <c r="K29">
        <v>2381704</v>
      </c>
      <c r="L29">
        <v>0.25963973692784598</v>
      </c>
      <c r="M29">
        <v>32.6753192942125</v>
      </c>
      <c r="N29">
        <v>15.828031452644201</v>
      </c>
      <c r="O29">
        <v>20.756000359316101</v>
      </c>
      <c r="P29">
        <v>0.30580073231836502</v>
      </c>
      <c r="Q29">
        <v>85.827585047341103</v>
      </c>
      <c r="R29">
        <v>26422.383582214501</v>
      </c>
      <c r="S29">
        <v>137</v>
      </c>
      <c r="T29">
        <v>6346.6386158074101</v>
      </c>
      <c r="U29">
        <v>6845.34</v>
      </c>
      <c r="V29">
        <v>520</v>
      </c>
      <c r="W29">
        <v>8110.8878279782602</v>
      </c>
      <c r="X29">
        <v>3.45</v>
      </c>
      <c r="Y29">
        <v>29.3333333333333</v>
      </c>
      <c r="Z29">
        <v>5</v>
      </c>
      <c r="AA29">
        <v>26.5625</v>
      </c>
      <c r="AB29">
        <v>4.0512714388716198</v>
      </c>
      <c r="AC29">
        <v>0.69534984789221999</v>
      </c>
      <c r="AD29">
        <v>12.062427428409899</v>
      </c>
      <c r="AE29">
        <v>11</v>
      </c>
      <c r="AF29">
        <v>19.004850429639198</v>
      </c>
      <c r="AG29">
        <v>79</v>
      </c>
      <c r="AH29">
        <v>36</v>
      </c>
      <c r="AI29">
        <v>6</v>
      </c>
      <c r="AJ29">
        <v>107062</v>
      </c>
      <c r="AK29">
        <v>1770</v>
      </c>
      <c r="AL29">
        <v>38.620192674256998</v>
      </c>
      <c r="AM29">
        <v>41.320073305303403</v>
      </c>
      <c r="AN29">
        <v>154722</v>
      </c>
      <c r="AO29">
        <v>1878422.9911010701</v>
      </c>
      <c r="AP29">
        <v>3.1E-2</v>
      </c>
      <c r="AQ29">
        <v>1961.0425764102599</v>
      </c>
      <c r="AR29">
        <v>0.19875776397515499</v>
      </c>
      <c r="AS29">
        <v>968.18188440769597</v>
      </c>
      <c r="AT29">
        <v>35.580013051650802</v>
      </c>
      <c r="AU29">
        <v>18.580270594317199</v>
      </c>
      <c r="AV29">
        <v>8.8999999999999999E-3</v>
      </c>
      <c r="AW29">
        <v>84.3</v>
      </c>
      <c r="AX29">
        <v>59.566200587695498</v>
      </c>
      <c r="AY29">
        <v>27.111998667526102</v>
      </c>
      <c r="AZ29">
        <v>4587.5864147005504</v>
      </c>
      <c r="BA29">
        <v>70.539136108090403</v>
      </c>
      <c r="BB29">
        <v>49.429651737344003</v>
      </c>
      <c r="BC29">
        <v>49.7240626988999</v>
      </c>
      <c r="BD29">
        <v>18.705882352941099</v>
      </c>
      <c r="BE29">
        <v>7.0699999999999999E-2</v>
      </c>
      <c r="BF29">
        <v>0.19495537316228101</v>
      </c>
      <c r="BG29">
        <v>13.9837888273311</v>
      </c>
      <c r="BH29">
        <v>10.199999999999999</v>
      </c>
      <c r="BI29">
        <v>0.98648049645390001</v>
      </c>
      <c r="BJ29">
        <v>48.4</v>
      </c>
      <c r="BK29">
        <v>21.040702460716599</v>
      </c>
      <c r="BL29">
        <v>56.036955388157203</v>
      </c>
      <c r="BM29">
        <v>35.999999999999901</v>
      </c>
      <c r="BN29">
        <v>11.753808390426901</v>
      </c>
      <c r="BO29">
        <v>7939949</v>
      </c>
      <c r="BP29">
        <v>80051</v>
      </c>
      <c r="BQ29">
        <v>0.92946486765666803</v>
      </c>
      <c r="BR29">
        <v>0.80697447415864099</v>
      </c>
      <c r="BS29">
        <v>45</v>
      </c>
      <c r="BT29">
        <v>30.94</v>
      </c>
      <c r="BU29">
        <v>28.346456692913385</v>
      </c>
      <c r="BV29">
        <v>50.906957121818998</v>
      </c>
    </row>
    <row r="30" spans="1:74">
      <c r="A30" t="s">
        <v>160</v>
      </c>
      <c r="B30">
        <v>9748492</v>
      </c>
      <c r="C30">
        <v>627.53</v>
      </c>
      <c r="D30">
        <v>131.45400000000001</v>
      </c>
      <c r="E30">
        <v>822428.10811323498</v>
      </c>
      <c r="F30">
        <v>85208.783717600803</v>
      </c>
      <c r="G30">
        <v>-2.69856239340804E-2</v>
      </c>
      <c r="H30">
        <v>69.2916666666666</v>
      </c>
      <c r="I30">
        <v>5380475.46</v>
      </c>
      <c r="J30">
        <v>1862563</v>
      </c>
      <c r="K30">
        <v>8365553</v>
      </c>
      <c r="L30">
        <v>0.27474776622657199</v>
      </c>
      <c r="M30">
        <v>38.991109100708002</v>
      </c>
      <c r="N30">
        <v>25.060752754331101</v>
      </c>
      <c r="O30">
        <v>31.081361513759099</v>
      </c>
      <c r="P30">
        <v>0.30624783195220601</v>
      </c>
      <c r="Q30">
        <v>84.580785105238206</v>
      </c>
      <c r="R30">
        <v>92806.5999147439</v>
      </c>
      <c r="S30">
        <v>167</v>
      </c>
      <c r="T30">
        <v>22292.082354643298</v>
      </c>
      <c r="U30">
        <v>8797.4399999999896</v>
      </c>
      <c r="V30">
        <v>520</v>
      </c>
      <c r="W30">
        <v>28488.872673517399</v>
      </c>
      <c r="X30">
        <v>2</v>
      </c>
      <c r="Y30">
        <v>361.666666666666</v>
      </c>
      <c r="Z30">
        <v>258</v>
      </c>
      <c r="AA30">
        <v>85.9375</v>
      </c>
      <c r="AB30">
        <v>15.621390643401501</v>
      </c>
      <c r="AC30">
        <v>10.519673043932</v>
      </c>
      <c r="AD30">
        <v>43.0474756739873</v>
      </c>
      <c r="AE30">
        <v>4.125</v>
      </c>
      <c r="AF30">
        <v>26.131010001680899</v>
      </c>
      <c r="AG30">
        <v>159</v>
      </c>
      <c r="AH30">
        <v>144</v>
      </c>
      <c r="AI30">
        <v>11</v>
      </c>
      <c r="AJ30">
        <v>174002</v>
      </c>
      <c r="AK30">
        <v>6029</v>
      </c>
      <c r="AL30">
        <v>85.653334020804607</v>
      </c>
      <c r="AM30">
        <v>82.964203794166195</v>
      </c>
      <c r="AN30">
        <v>485444</v>
      </c>
      <c r="AO30">
        <v>3244046.1816920899</v>
      </c>
      <c r="AP30">
        <v>2.5999999999999999E-2</v>
      </c>
      <c r="AQ30">
        <v>1970.80495513815</v>
      </c>
      <c r="AR30">
        <v>0.40828402366863897</v>
      </c>
      <c r="AS30">
        <v>1613.1817705819601</v>
      </c>
      <c r="AT30">
        <v>37.266823728009101</v>
      </c>
      <c r="AU30">
        <v>6.2163816783753898</v>
      </c>
      <c r="AV30">
        <v>6.0000000000000001E-3</v>
      </c>
      <c r="AW30">
        <v>84.3</v>
      </c>
      <c r="AX30">
        <v>59.566200587695498</v>
      </c>
      <c r="AY30">
        <v>27.111998667526102</v>
      </c>
      <c r="AZ30">
        <v>4579.5698702601403</v>
      </c>
      <c r="BA30">
        <v>70.539136108090403</v>
      </c>
      <c r="BB30">
        <v>66.118194167269706</v>
      </c>
      <c r="BC30">
        <v>62.810728774059797</v>
      </c>
      <c r="BD30">
        <v>43.909090909090899</v>
      </c>
      <c r="BE30">
        <v>7.0699999999999999E-2</v>
      </c>
      <c r="BF30">
        <v>0.252</v>
      </c>
      <c r="BG30">
        <v>4.3792104231040501</v>
      </c>
      <c r="BH30">
        <v>9.1999999999999993</v>
      </c>
      <c r="BI30">
        <v>0.86386279533162502</v>
      </c>
      <c r="BJ30">
        <v>62.6</v>
      </c>
      <c r="BK30">
        <v>35.307772598984698</v>
      </c>
      <c r="BL30">
        <v>72.266232366053202</v>
      </c>
      <c r="BM30">
        <v>104</v>
      </c>
      <c r="BN30">
        <v>37.474100852024002</v>
      </c>
      <c r="BO30">
        <v>65757482</v>
      </c>
      <c r="BP30">
        <v>534295</v>
      </c>
      <c r="BQ30">
        <v>1.4101127957941899</v>
      </c>
      <c r="BR30">
        <v>0.88064192577733102</v>
      </c>
      <c r="BS30">
        <v>29.3818239573102</v>
      </c>
      <c r="BT30">
        <v>39.597499999999997</v>
      </c>
      <c r="BU30">
        <v>25.174825174825173</v>
      </c>
      <c r="BV30">
        <v>52.647247720662101</v>
      </c>
    </row>
    <row r="31" spans="1:74">
      <c r="A31" t="s">
        <v>162</v>
      </c>
      <c r="B31">
        <v>5297089</v>
      </c>
      <c r="C31">
        <v>12368.9</v>
      </c>
      <c r="D31">
        <v>1.4419999999999999</v>
      </c>
      <c r="E31">
        <v>379015.94446046097</v>
      </c>
      <c r="F31">
        <v>70692.594984368203</v>
      </c>
      <c r="G31">
        <v>4.7339440290925003E-2</v>
      </c>
      <c r="H31">
        <v>74.75</v>
      </c>
      <c r="I31">
        <v>1679171.93</v>
      </c>
      <c r="J31">
        <v>0</v>
      </c>
      <c r="K31">
        <v>2430703</v>
      </c>
      <c r="L31">
        <v>0.292049058930688</v>
      </c>
      <c r="M31">
        <v>63.087911456726196</v>
      </c>
      <c r="N31">
        <v>87.573712603652694</v>
      </c>
      <c r="O31">
        <v>11.8535307705839</v>
      </c>
      <c r="P31">
        <v>0.3</v>
      </c>
      <c r="Q31">
        <v>90.893187148011904</v>
      </c>
      <c r="R31">
        <v>24826.1153678232</v>
      </c>
      <c r="S31">
        <v>372</v>
      </c>
      <c r="T31">
        <v>5136.5451452940197</v>
      </c>
      <c r="U31">
        <v>59016.83</v>
      </c>
      <c r="V31">
        <v>499</v>
      </c>
      <c r="W31">
        <v>3887.9431583502201</v>
      </c>
      <c r="X31">
        <v>0</v>
      </c>
      <c r="Y31">
        <v>272.666666666666</v>
      </c>
      <c r="Z31">
        <v>27</v>
      </c>
      <c r="AA31">
        <v>26.5625</v>
      </c>
      <c r="AB31">
        <v>8.9748251816457199</v>
      </c>
      <c r="AC31">
        <v>1.34688815744029</v>
      </c>
      <c r="AD31">
        <v>47.090456233597003</v>
      </c>
      <c r="AE31">
        <v>4</v>
      </c>
      <c r="AF31">
        <v>31.674844074100498</v>
      </c>
      <c r="AG31">
        <v>36.5</v>
      </c>
      <c r="AH31">
        <v>27</v>
      </c>
      <c r="AI31">
        <v>13</v>
      </c>
      <c r="AJ31">
        <v>39821</v>
      </c>
      <c r="AK31">
        <v>13219</v>
      </c>
      <c r="AL31">
        <v>26.676027196312099</v>
      </c>
      <c r="AM31">
        <v>30.286148544431001</v>
      </c>
      <c r="AN31">
        <v>1254303.1736999999</v>
      </c>
      <c r="AO31">
        <v>1444000</v>
      </c>
      <c r="AP31">
        <v>6.0684846738953101E-2</v>
      </c>
      <c r="AQ31">
        <v>2047.66400246731</v>
      </c>
      <c r="AR31">
        <v>0.55333333333333301</v>
      </c>
      <c r="AS31">
        <v>3031.1786786786702</v>
      </c>
      <c r="AT31">
        <v>44.384099916986699</v>
      </c>
      <c r="AU31">
        <v>5.6634880025614001</v>
      </c>
      <c r="AV31">
        <v>1.2999999999999999E-3</v>
      </c>
      <c r="AW31">
        <v>83</v>
      </c>
      <c r="AX31">
        <v>79.253361164482399</v>
      </c>
      <c r="AY31">
        <v>22.6390838973483</v>
      </c>
      <c r="AZ31">
        <v>3918.0589414818</v>
      </c>
      <c r="BA31">
        <v>78.319994691271006</v>
      </c>
      <c r="BB31">
        <v>26.101298885980899</v>
      </c>
      <c r="BC31">
        <v>24.782596624918099</v>
      </c>
      <c r="BD31">
        <v>58.954545454545404</v>
      </c>
      <c r="BE31">
        <v>8.3499999999999894E-2</v>
      </c>
      <c r="BF31">
        <v>0.252320262889971</v>
      </c>
      <c r="BG31">
        <v>17.422959306355601</v>
      </c>
      <c r="BH31">
        <v>3.1</v>
      </c>
      <c r="BI31">
        <v>0.53585564610011605</v>
      </c>
      <c r="BJ31">
        <v>68.2</v>
      </c>
      <c r="BK31">
        <v>80.771180619408995</v>
      </c>
      <c r="BL31">
        <v>73.325958561801102</v>
      </c>
      <c r="BM31">
        <v>49.000000000000398</v>
      </c>
      <c r="BN31">
        <v>8.3825865547047602</v>
      </c>
      <c r="BO31">
        <v>29071991</v>
      </c>
      <c r="BP31">
        <v>271760</v>
      </c>
      <c r="BQ31">
        <v>0.27374650211805901</v>
      </c>
      <c r="BR31">
        <v>0.35961443400889698</v>
      </c>
      <c r="BS31">
        <v>15</v>
      </c>
      <c r="BT31">
        <v>34.905000000000001</v>
      </c>
      <c r="BU31">
        <v>27.906976744186046</v>
      </c>
      <c r="BV31">
        <v>54.150461865378901</v>
      </c>
    </row>
    <row r="32" spans="1:74">
      <c r="A32" t="s">
        <v>164</v>
      </c>
      <c r="B32">
        <v>706012</v>
      </c>
      <c r="C32">
        <v>115.18</v>
      </c>
      <c r="D32">
        <v>1.3009999999999999</v>
      </c>
      <c r="E32">
        <v>37408.861381084098</v>
      </c>
      <c r="F32">
        <v>53962.741900054301</v>
      </c>
      <c r="G32">
        <v>5.5956438820629499E-2</v>
      </c>
      <c r="H32">
        <v>73.6666666666666</v>
      </c>
      <c r="I32">
        <v>0</v>
      </c>
      <c r="J32">
        <v>0</v>
      </c>
      <c r="K32">
        <v>359280</v>
      </c>
      <c r="L32">
        <v>0.28750556668893301</v>
      </c>
      <c r="M32">
        <v>53.024812675611699</v>
      </c>
      <c r="N32">
        <v>92.402530196941299</v>
      </c>
      <c r="O32">
        <v>31.3457706788965</v>
      </c>
      <c r="P32">
        <v>0.27</v>
      </c>
      <c r="Q32">
        <v>88.015470662541702</v>
      </c>
      <c r="R32">
        <v>3471.4032382955502</v>
      </c>
      <c r="S32">
        <v>162</v>
      </c>
      <c r="T32">
        <v>578.95321446763705</v>
      </c>
      <c r="U32">
        <v>27557.79</v>
      </c>
      <c r="V32">
        <v>516.66666666666595</v>
      </c>
      <c r="W32">
        <v>480.38419519567799</v>
      </c>
      <c r="X32">
        <v>0</v>
      </c>
      <c r="Y32">
        <v>181.666666666666</v>
      </c>
      <c r="Z32">
        <v>18</v>
      </c>
      <c r="AA32">
        <v>53.4722222222222</v>
      </c>
      <c r="AB32">
        <v>5.9125574630217503</v>
      </c>
      <c r="AC32">
        <v>1.47761842677096</v>
      </c>
      <c r="AD32">
        <v>37.240691343319597</v>
      </c>
      <c r="AE32">
        <v>0</v>
      </c>
      <c r="AF32">
        <v>15.301608089594</v>
      </c>
      <c r="AG32">
        <v>34</v>
      </c>
      <c r="AH32">
        <v>35</v>
      </c>
      <c r="AI32">
        <v>3</v>
      </c>
      <c r="AJ32">
        <v>18473</v>
      </c>
      <c r="AK32">
        <v>1342</v>
      </c>
      <c r="AL32">
        <v>21.5605659813016</v>
      </c>
      <c r="AM32">
        <v>28.684509725843199</v>
      </c>
      <c r="AN32">
        <v>112570</v>
      </c>
      <c r="AO32">
        <v>2677640</v>
      </c>
      <c r="AP32">
        <v>5.0980769230769198E-2</v>
      </c>
      <c r="AQ32">
        <v>2396.8248888888802</v>
      </c>
      <c r="AR32">
        <v>0.62424242424242404</v>
      </c>
      <c r="AS32">
        <v>2607.8728070175398</v>
      </c>
      <c r="AT32">
        <v>44.098711813713201</v>
      </c>
      <c r="AU32">
        <v>18.413284760032401</v>
      </c>
      <c r="AV32">
        <v>1.6000000000000001E-3</v>
      </c>
      <c r="AW32">
        <v>82.2</v>
      </c>
      <c r="AX32">
        <v>80.806079161340307</v>
      </c>
      <c r="AY32">
        <v>20.791605759410299</v>
      </c>
      <c r="AZ32">
        <v>3007.6372468401701</v>
      </c>
      <c r="BA32">
        <v>79.105141392263306</v>
      </c>
      <c r="BB32">
        <v>27.187929032910301</v>
      </c>
      <c r="BC32">
        <v>31.346534433132501</v>
      </c>
      <c r="BD32">
        <v>59.988142292490103</v>
      </c>
      <c r="BE32">
        <v>0.16109999999999999</v>
      </c>
      <c r="BF32">
        <v>0.19625999999999999</v>
      </c>
      <c r="BG32">
        <v>14.5516662249458</v>
      </c>
      <c r="BH32">
        <v>7.6</v>
      </c>
      <c r="BI32">
        <v>0.98443935926773396</v>
      </c>
      <c r="BJ32">
        <v>67</v>
      </c>
      <c r="BK32">
        <v>80.292600232552104</v>
      </c>
      <c r="BL32">
        <v>64.972828295275605</v>
      </c>
      <c r="BM32">
        <v>67.000000000000099</v>
      </c>
      <c r="BN32">
        <v>5.20424138010842</v>
      </c>
      <c r="BO32">
        <v>19013416</v>
      </c>
      <c r="BP32">
        <v>205703</v>
      </c>
      <c r="BQ32">
        <v>0.111408460164326</v>
      </c>
      <c r="BR32">
        <v>0.29524787327662</v>
      </c>
      <c r="BS32">
        <v>22</v>
      </c>
      <c r="BT32">
        <v>30.172499999999999</v>
      </c>
      <c r="BU32">
        <v>26.666666666666668</v>
      </c>
      <c r="BV32">
        <v>52.433803300388597</v>
      </c>
    </row>
    <row r="33" spans="1:74">
      <c r="A33" t="s">
        <v>166</v>
      </c>
      <c r="B33">
        <v>815201</v>
      </c>
      <c r="C33">
        <v>121.496430899999</v>
      </c>
      <c r="D33">
        <v>1</v>
      </c>
      <c r="E33">
        <v>185843.773376764</v>
      </c>
      <c r="F33">
        <v>227972.94578486099</v>
      </c>
      <c r="G33">
        <v>5.2481212705951498E-2</v>
      </c>
      <c r="H33">
        <v>70.616666666666603</v>
      </c>
      <c r="I33">
        <v>0</v>
      </c>
      <c r="J33">
        <v>146088</v>
      </c>
      <c r="K33">
        <v>910916</v>
      </c>
      <c r="L33">
        <v>0.194638144461179</v>
      </c>
      <c r="M33">
        <v>96.765431972224903</v>
      </c>
      <c r="N33">
        <v>90.519480519480496</v>
      </c>
      <c r="O33">
        <v>40.2273256109277</v>
      </c>
      <c r="P33">
        <v>0.27983599999999997</v>
      </c>
      <c r="Q33">
        <v>95.976777923657707</v>
      </c>
      <c r="R33">
        <v>27099.509191531401</v>
      </c>
      <c r="S33">
        <v>391</v>
      </c>
      <c r="T33">
        <v>11975.498167558801</v>
      </c>
      <c r="U33">
        <v>13700.3999999999</v>
      </c>
      <c r="V33">
        <v>495</v>
      </c>
      <c r="W33">
        <v>5040.6319887413201</v>
      </c>
      <c r="X33">
        <v>10</v>
      </c>
      <c r="Y33">
        <v>1082.6666666666599</v>
      </c>
      <c r="Z33">
        <v>10</v>
      </c>
      <c r="AA33">
        <v>26.5625</v>
      </c>
      <c r="AB33">
        <v>20.4950749834546</v>
      </c>
      <c r="AC33">
        <v>9.6007310841397508</v>
      </c>
      <c r="AD33">
        <v>29.1405046104726</v>
      </c>
      <c r="AE33">
        <v>0</v>
      </c>
      <c r="AF33">
        <v>21.938523831184199</v>
      </c>
      <c r="AG33">
        <v>62</v>
      </c>
      <c r="AH33">
        <v>38</v>
      </c>
      <c r="AI33">
        <v>3</v>
      </c>
      <c r="AJ33">
        <v>36170</v>
      </c>
      <c r="AK33">
        <v>2565</v>
      </c>
      <c r="AL33">
        <v>23.144820881521301</v>
      </c>
      <c r="AM33">
        <v>40.418204149792601</v>
      </c>
      <c r="AN33">
        <v>109442</v>
      </c>
      <c r="AO33">
        <v>956682.66073292505</v>
      </c>
      <c r="AP33">
        <v>2.5000000000000001E-2</v>
      </c>
      <c r="AQ33">
        <v>1993.15606936416</v>
      </c>
      <c r="AR33">
        <v>0.70469798657718097</v>
      </c>
      <c r="AS33">
        <v>4210.76</v>
      </c>
      <c r="AT33">
        <v>55.1415103965249</v>
      </c>
      <c r="AU33">
        <v>54.451772745526398</v>
      </c>
      <c r="AV33">
        <v>3.3E-3</v>
      </c>
      <c r="AW33">
        <v>78.5</v>
      </c>
      <c r="AX33">
        <v>67.750995245412895</v>
      </c>
      <c r="AY33">
        <v>52.542387828333801</v>
      </c>
      <c r="AZ33">
        <v>5574.0312708595102</v>
      </c>
      <c r="BA33">
        <v>88.068681249780397</v>
      </c>
      <c r="BB33">
        <v>17.7381815955981</v>
      </c>
      <c r="BC33">
        <v>29.3387051484608</v>
      </c>
      <c r="BD33">
        <v>48.931212121212099</v>
      </c>
      <c r="BE33">
        <v>0.08</v>
      </c>
      <c r="BF33">
        <v>0.23619984556450299</v>
      </c>
      <c r="BG33">
        <v>44.5287245308309</v>
      </c>
      <c r="BH33">
        <v>8.1</v>
      </c>
      <c r="BI33">
        <v>0.81165714285714197</v>
      </c>
      <c r="BJ33">
        <v>55.1</v>
      </c>
      <c r="BK33">
        <v>44.063778479531202</v>
      </c>
      <c r="BL33">
        <v>21.6773001803491</v>
      </c>
      <c r="BM33">
        <v>51</v>
      </c>
      <c r="BN33">
        <v>3.1982619313192302</v>
      </c>
      <c r="BO33">
        <v>42281641</v>
      </c>
      <c r="BP33">
        <v>324808</v>
      </c>
      <c r="BQ33">
        <v>0.78622541887396202</v>
      </c>
      <c r="BR33">
        <v>0.26039999999999902</v>
      </c>
      <c r="BS33">
        <v>16</v>
      </c>
      <c r="BT33">
        <v>34.9</v>
      </c>
      <c r="BU33">
        <v>29.26829268292683</v>
      </c>
      <c r="BV33">
        <v>43.9500966279087</v>
      </c>
    </row>
    <row r="34" spans="1:74">
      <c r="A34" t="s">
        <v>168</v>
      </c>
      <c r="B34">
        <v>3849297</v>
      </c>
      <c r="C34">
        <v>1215.9744051</v>
      </c>
      <c r="D34">
        <v>1</v>
      </c>
      <c r="E34">
        <v>325752.77138380398</v>
      </c>
      <c r="F34">
        <v>84626.562040758305</v>
      </c>
      <c r="G34">
        <v>2.22389152565323E-2</v>
      </c>
      <c r="H34">
        <v>70.616666666666603</v>
      </c>
      <c r="I34">
        <v>0</v>
      </c>
      <c r="J34">
        <v>82722</v>
      </c>
      <c r="K34">
        <v>2514429.4259705702</v>
      </c>
      <c r="L34">
        <v>0.16370990402369501</v>
      </c>
      <c r="M34">
        <v>87.039279069453897</v>
      </c>
      <c r="N34">
        <v>86.255411255411204</v>
      </c>
      <c r="O34">
        <v>42.401046945231201</v>
      </c>
      <c r="P34">
        <v>0.27983599999999997</v>
      </c>
      <c r="Q34">
        <v>92.650342411677698</v>
      </c>
      <c r="R34">
        <v>70291.731166197002</v>
      </c>
      <c r="S34">
        <v>512</v>
      </c>
      <c r="T34">
        <v>31111.129640377199</v>
      </c>
      <c r="U34">
        <v>17217.36</v>
      </c>
      <c r="V34">
        <v>495</v>
      </c>
      <c r="W34">
        <v>13351.164000175901</v>
      </c>
      <c r="X34">
        <v>6.1</v>
      </c>
      <c r="Y34">
        <v>620.33333333333303</v>
      </c>
      <c r="Z34">
        <v>4</v>
      </c>
      <c r="AA34">
        <v>25</v>
      </c>
      <c r="AB34">
        <v>48.954492667280299</v>
      </c>
      <c r="AC34">
        <v>24.087092230524</v>
      </c>
      <c r="AD34">
        <v>41.713668448972101</v>
      </c>
      <c r="AE34">
        <v>0.25</v>
      </c>
      <c r="AF34">
        <v>29.1893710350638</v>
      </c>
      <c r="AG34">
        <v>72</v>
      </c>
      <c r="AH34">
        <v>63</v>
      </c>
      <c r="AI34">
        <v>4</v>
      </c>
      <c r="AJ34">
        <v>19681</v>
      </c>
      <c r="AK34">
        <v>428</v>
      </c>
      <c r="AL34">
        <v>32.041502719855401</v>
      </c>
      <c r="AM34">
        <v>28.9986471983377</v>
      </c>
      <c r="AN34">
        <v>679091</v>
      </c>
      <c r="AO34">
        <v>1304774.6663021401</v>
      </c>
      <c r="AP34">
        <v>0.05</v>
      </c>
      <c r="AQ34">
        <v>2019.6563802219</v>
      </c>
      <c r="AR34">
        <v>0.430379746835443</v>
      </c>
      <c r="AS34">
        <v>3283.1025</v>
      </c>
      <c r="AT34">
        <v>52.893799325968502</v>
      </c>
      <c r="AU34">
        <v>87.737124576968299</v>
      </c>
      <c r="AV34">
        <v>5.3E-3</v>
      </c>
      <c r="AW34">
        <v>78.5</v>
      </c>
      <c r="AX34">
        <v>67.750995245412895</v>
      </c>
      <c r="AY34">
        <v>52.542387828333801</v>
      </c>
      <c r="AZ34">
        <v>3250.65722434188</v>
      </c>
      <c r="BA34">
        <v>88.068681249780397</v>
      </c>
      <c r="BB34">
        <v>25.192874912915801</v>
      </c>
      <c r="BC34">
        <v>34.431700304223398</v>
      </c>
      <c r="BD34">
        <v>45.5818181818181</v>
      </c>
      <c r="BE34">
        <v>0.08</v>
      </c>
      <c r="BF34">
        <v>0.23619984556450299</v>
      </c>
      <c r="BG34">
        <v>16.5296494113839</v>
      </c>
      <c r="BH34">
        <v>10.5</v>
      </c>
      <c r="BI34">
        <v>0.48710340104998801</v>
      </c>
      <c r="BJ34">
        <v>39.1</v>
      </c>
      <c r="BK34">
        <v>30.177702159317001</v>
      </c>
      <c r="BL34">
        <v>26.846238245584502</v>
      </c>
      <c r="BM34">
        <v>74</v>
      </c>
      <c r="BN34">
        <v>29.306094968582599</v>
      </c>
      <c r="BO34">
        <v>65924298</v>
      </c>
      <c r="BP34">
        <v>484337</v>
      </c>
      <c r="BQ34">
        <v>0.143239448782705</v>
      </c>
      <c r="BR34">
        <v>3.3488674542104697E-2</v>
      </c>
      <c r="BS34">
        <v>35</v>
      </c>
      <c r="BT34">
        <v>42.097499999999997</v>
      </c>
      <c r="BU34">
        <v>41.379310344827587</v>
      </c>
      <c r="BV34">
        <v>42.826642484542198</v>
      </c>
    </row>
    <row r="35" spans="1:74">
      <c r="A35" t="s">
        <v>170</v>
      </c>
      <c r="B35">
        <v>9310964</v>
      </c>
      <c r="C35">
        <v>1494.3</v>
      </c>
      <c r="D35">
        <v>20.11</v>
      </c>
      <c r="E35">
        <v>182492.90080851901</v>
      </c>
      <c r="F35">
        <v>19711.575574422401</v>
      </c>
      <c r="G35">
        <v>1.9958661668764099E-2</v>
      </c>
      <c r="H35">
        <v>63.191666666666599</v>
      </c>
      <c r="I35">
        <v>454370.43</v>
      </c>
      <c r="J35">
        <v>42724.3</v>
      </c>
      <c r="K35">
        <v>4385718</v>
      </c>
      <c r="L35">
        <v>7.74898052425705E-2</v>
      </c>
      <c r="M35">
        <v>6.3799618288504796</v>
      </c>
      <c r="N35">
        <v>18.842971369297999</v>
      </c>
      <c r="O35">
        <v>18.811602625531101</v>
      </c>
      <c r="P35">
        <v>0.3</v>
      </c>
      <c r="Q35">
        <v>63.449642309919099</v>
      </c>
      <c r="R35">
        <v>3524.10897529876</v>
      </c>
      <c r="S35">
        <v>0</v>
      </c>
      <c r="T35">
        <v>255.56794776836301</v>
      </c>
      <c r="U35">
        <v>0</v>
      </c>
      <c r="V35">
        <v>416</v>
      </c>
      <c r="W35">
        <v>647.88550875903297</v>
      </c>
      <c r="X35">
        <v>0</v>
      </c>
      <c r="Y35">
        <v>90.3333333333333</v>
      </c>
      <c r="Z35">
        <v>11</v>
      </c>
      <c r="AA35">
        <v>7.8125</v>
      </c>
      <c r="AB35">
        <v>3.91462843933241</v>
      </c>
      <c r="AC35">
        <v>6.6200327377020498</v>
      </c>
      <c r="AD35">
        <v>55.511935560062597</v>
      </c>
      <c r="AE35">
        <v>13</v>
      </c>
      <c r="AF35">
        <v>44.277046368897501</v>
      </c>
      <c r="AG35">
        <v>62.5</v>
      </c>
      <c r="AH35">
        <v>126</v>
      </c>
      <c r="AI35">
        <v>10</v>
      </c>
      <c r="AJ35">
        <v>36981</v>
      </c>
      <c r="AK35">
        <v>2196</v>
      </c>
      <c r="AL35">
        <v>51.617737896952399</v>
      </c>
      <c r="AM35">
        <v>58.3333333333333</v>
      </c>
      <c r="AN35">
        <v>104629</v>
      </c>
      <c r="AO35">
        <v>3210003</v>
      </c>
      <c r="AP35">
        <v>5.2535309789272497E-2</v>
      </c>
      <c r="AQ35">
        <v>2751.2950034116998</v>
      </c>
      <c r="AR35">
        <v>0.53191489361702105</v>
      </c>
      <c r="AS35">
        <v>880.99499605600397</v>
      </c>
      <c r="AT35">
        <v>13.602577463888201</v>
      </c>
      <c r="AU35">
        <v>149.175820620276</v>
      </c>
      <c r="AV35">
        <v>1.09E-2</v>
      </c>
      <c r="AW35">
        <v>76</v>
      </c>
      <c r="AX35">
        <v>39.223567825761798</v>
      </c>
      <c r="AY35">
        <v>12.0349471674154</v>
      </c>
      <c r="AZ35">
        <v>2855.2222537590201</v>
      </c>
      <c r="BA35">
        <v>50.914141417675701</v>
      </c>
      <c r="BB35">
        <v>45.953011667913103</v>
      </c>
      <c r="BC35">
        <v>25.338857805215401</v>
      </c>
      <c r="BD35">
        <v>43.893939393939299</v>
      </c>
      <c r="BE35">
        <v>9.2200000000000004E-2</v>
      </c>
      <c r="BF35">
        <v>0.1</v>
      </c>
      <c r="BG35">
        <v>6.2663847557737897</v>
      </c>
      <c r="BH35">
        <v>22.1</v>
      </c>
      <c r="BI35">
        <v>0.49586801876797298</v>
      </c>
      <c r="BJ35">
        <v>32.4</v>
      </c>
      <c r="BK35">
        <v>55.560733633488802</v>
      </c>
      <c r="BL35">
        <v>30.655206687596799</v>
      </c>
      <c r="BM35">
        <v>58.000000000000497</v>
      </c>
      <c r="BN35">
        <v>5.56913044966897</v>
      </c>
      <c r="BO35">
        <v>46258521</v>
      </c>
      <c r="BP35">
        <v>357324</v>
      </c>
      <c r="BQ35">
        <v>0.47109863155200998</v>
      </c>
      <c r="BR35">
        <v>0.204238921001926</v>
      </c>
      <c r="BS35">
        <v>20</v>
      </c>
      <c r="BT35">
        <v>46.352499999999999</v>
      </c>
      <c r="BU35">
        <v>23.376623376623378</v>
      </c>
      <c r="BV35">
        <v>55.642156509165702</v>
      </c>
    </row>
    <row r="36" spans="1:74">
      <c r="A36" t="s">
        <v>172</v>
      </c>
      <c r="B36">
        <v>2696555</v>
      </c>
      <c r="C36">
        <v>589.81842269999902</v>
      </c>
      <c r="D36">
        <v>1</v>
      </c>
      <c r="E36">
        <v>227957.33637424</v>
      </c>
      <c r="F36">
        <v>84536.505420523506</v>
      </c>
      <c r="G36">
        <v>9.7297917050037999E-3</v>
      </c>
      <c r="H36">
        <v>70.616666666666603</v>
      </c>
      <c r="I36">
        <v>0</v>
      </c>
      <c r="J36">
        <v>178007</v>
      </c>
      <c r="K36">
        <v>1789087.24074272</v>
      </c>
      <c r="L36">
        <v>0.20060005561886801</v>
      </c>
      <c r="M36">
        <v>92.032607124314595</v>
      </c>
      <c r="N36">
        <v>86.277056277056204</v>
      </c>
      <c r="O36">
        <v>25.110406913694501</v>
      </c>
      <c r="P36">
        <v>0.28505000000000003</v>
      </c>
      <c r="Q36">
        <v>95.976777923657707</v>
      </c>
      <c r="R36">
        <v>48402.213006976403</v>
      </c>
      <c r="S36">
        <v>366</v>
      </c>
      <c r="T36">
        <v>21735.513303924101</v>
      </c>
      <c r="U36">
        <v>17470.1499999999</v>
      </c>
      <c r="V36">
        <v>495</v>
      </c>
      <c r="W36">
        <v>9228.7021432864003</v>
      </c>
      <c r="X36">
        <v>4.2</v>
      </c>
      <c r="Y36">
        <v>286</v>
      </c>
      <c r="Z36">
        <v>25</v>
      </c>
      <c r="AA36">
        <v>15.625</v>
      </c>
      <c r="AB36">
        <v>27.307738752132099</v>
      </c>
      <c r="AC36">
        <v>7.6892672220381399</v>
      </c>
      <c r="AD36">
        <v>36.107114263926398</v>
      </c>
      <c r="AE36">
        <v>0.5</v>
      </c>
      <c r="AF36">
        <v>38.624690336877201</v>
      </c>
      <c r="AG36">
        <v>82</v>
      </c>
      <c r="AH36">
        <v>75</v>
      </c>
      <c r="AI36">
        <v>4</v>
      </c>
      <c r="AJ36">
        <v>47920</v>
      </c>
      <c r="AK36">
        <v>2287</v>
      </c>
      <c r="AL36">
        <v>39.656634311431297</v>
      </c>
      <c r="AM36">
        <v>39.192967010138297</v>
      </c>
      <c r="AN36">
        <v>278347</v>
      </c>
      <c r="AO36">
        <v>705443.81990891497</v>
      </c>
      <c r="AP36">
        <v>5.2999999999999999E-2</v>
      </c>
      <c r="AQ36">
        <v>2145.5558611156598</v>
      </c>
      <c r="AR36">
        <v>0.66666666666666596</v>
      </c>
      <c r="AS36">
        <v>2646.3775000000001</v>
      </c>
      <c r="AT36">
        <v>44.686676485852203</v>
      </c>
      <c r="AU36">
        <v>286.23424876317802</v>
      </c>
      <c r="AV36">
        <v>2E-3</v>
      </c>
      <c r="AW36">
        <v>78.5</v>
      </c>
      <c r="AX36">
        <v>67.750995245412895</v>
      </c>
      <c r="AY36">
        <v>52.542387828333801</v>
      </c>
      <c r="AZ36">
        <v>3485.8275061505301</v>
      </c>
      <c r="BA36">
        <v>88.068681249780397</v>
      </c>
      <c r="BB36">
        <v>25.553115821978601</v>
      </c>
      <c r="BC36">
        <v>34.043952796415098</v>
      </c>
      <c r="BD36">
        <v>35.734387351778601</v>
      </c>
      <c r="BE36">
        <v>0.08</v>
      </c>
      <c r="BF36">
        <v>0.23619984556450299</v>
      </c>
      <c r="BG36">
        <v>16.512059138025801</v>
      </c>
      <c r="BH36">
        <v>11.8</v>
      </c>
      <c r="BI36">
        <v>1.1370175839232699</v>
      </c>
      <c r="BJ36">
        <v>46.2</v>
      </c>
      <c r="BK36">
        <v>54.8737310503316</v>
      </c>
      <c r="BL36">
        <v>50.731263553865404</v>
      </c>
      <c r="BM36">
        <v>73.000000000000597</v>
      </c>
      <c r="BN36">
        <v>19.265631984861699</v>
      </c>
      <c r="BO36">
        <v>68340619</v>
      </c>
      <c r="BP36">
        <v>676204</v>
      </c>
      <c r="BQ36">
        <v>0.33104228163114202</v>
      </c>
      <c r="BR36">
        <v>0.272657351621587</v>
      </c>
      <c r="BS36">
        <v>18</v>
      </c>
      <c r="BT36">
        <v>35.82</v>
      </c>
      <c r="BU36">
        <v>33.333333333333336</v>
      </c>
      <c r="BV36">
        <v>45.655157624980902</v>
      </c>
    </row>
    <row r="37" spans="1:74">
      <c r="A37" t="s">
        <v>174</v>
      </c>
      <c r="B37">
        <v>3025647</v>
      </c>
      <c r="C37">
        <v>630</v>
      </c>
      <c r="D37">
        <v>1.3009999999999999</v>
      </c>
      <c r="E37">
        <v>148248.366669026</v>
      </c>
      <c r="F37">
        <v>53052.784494540501</v>
      </c>
      <c r="G37">
        <v>4.1076730270947603E-2</v>
      </c>
      <c r="H37">
        <v>73.6666666666666</v>
      </c>
      <c r="I37">
        <v>2744719.7</v>
      </c>
      <c r="J37">
        <v>308488.8</v>
      </c>
      <c r="K37">
        <v>1609464.7881939099</v>
      </c>
      <c r="L37">
        <v>0.27680630434912201</v>
      </c>
      <c r="M37">
        <v>50.009523803527799</v>
      </c>
      <c r="N37">
        <v>90.173092967504104</v>
      </c>
      <c r="O37">
        <v>32.286711736265097</v>
      </c>
      <c r="P37">
        <v>0.26500000000000001</v>
      </c>
      <c r="Q37">
        <v>88.015470662541702</v>
      </c>
      <c r="R37">
        <v>13502.660825376301</v>
      </c>
      <c r="S37">
        <v>185</v>
      </c>
      <c r="T37">
        <v>2287.3581832794598</v>
      </c>
      <c r="U37">
        <v>35369.199999999997</v>
      </c>
      <c r="V37">
        <v>516.66666666666595</v>
      </c>
      <c r="W37">
        <v>1897.92662436348</v>
      </c>
      <c r="X37">
        <v>0</v>
      </c>
      <c r="Y37">
        <v>413.33333333333297</v>
      </c>
      <c r="Z37">
        <v>19</v>
      </c>
      <c r="AA37">
        <v>39.062499999999901</v>
      </c>
      <c r="AB37">
        <v>24.026009116540301</v>
      </c>
      <c r="AC37">
        <v>5.7498916670134701</v>
      </c>
      <c r="AD37">
        <v>37.400973325933201</v>
      </c>
      <c r="AE37">
        <v>0</v>
      </c>
      <c r="AF37">
        <v>29.976053486976198</v>
      </c>
      <c r="AG37">
        <v>60</v>
      </c>
      <c r="AH37">
        <v>73</v>
      </c>
      <c r="AI37">
        <v>4</v>
      </c>
      <c r="AJ37">
        <v>20455</v>
      </c>
      <c r="AK37">
        <v>1604</v>
      </c>
      <c r="AL37">
        <v>30.427654087890598</v>
      </c>
      <c r="AM37">
        <v>34.739136894070398</v>
      </c>
      <c r="AN37">
        <v>477230</v>
      </c>
      <c r="AO37">
        <v>1730000</v>
      </c>
      <c r="AP37">
        <v>6.4000000000000001E-2</v>
      </c>
      <c r="AQ37">
        <v>2000.97032134406</v>
      </c>
      <c r="AR37">
        <v>0.57232704402515699</v>
      </c>
      <c r="AS37">
        <v>2378.1997607655499</v>
      </c>
      <c r="AT37">
        <v>49.011484428310801</v>
      </c>
      <c r="AU37">
        <v>23.4660553593991</v>
      </c>
      <c r="AV37">
        <v>8.0000000000000004E-4</v>
      </c>
      <c r="AW37">
        <v>82.2</v>
      </c>
      <c r="AX37">
        <v>80.806079161340307</v>
      </c>
      <c r="AY37">
        <v>20.791605759410299</v>
      </c>
      <c r="AZ37">
        <v>2947.9146754421299</v>
      </c>
      <c r="BA37">
        <v>79.105141392263306</v>
      </c>
      <c r="BB37">
        <v>39.451891867276103</v>
      </c>
      <c r="BC37">
        <v>37.878033699680401</v>
      </c>
      <c r="BD37">
        <v>39.619696969696903</v>
      </c>
      <c r="BE37">
        <v>0.16109999999999999</v>
      </c>
      <c r="BF37">
        <v>0.19625999999999999</v>
      </c>
      <c r="BG37">
        <v>14.306285875880601</v>
      </c>
      <c r="BH37">
        <v>8.5</v>
      </c>
      <c r="BI37">
        <v>1.1675817890642799</v>
      </c>
      <c r="BJ37">
        <v>62.2</v>
      </c>
      <c r="BK37">
        <v>66.867196462476002</v>
      </c>
      <c r="BL37">
        <v>64.662250081194898</v>
      </c>
      <c r="BM37">
        <v>152.99999999999901</v>
      </c>
      <c r="BN37">
        <v>3.88708533279708</v>
      </c>
      <c r="BO37">
        <v>35627429</v>
      </c>
      <c r="BP37">
        <v>329047</v>
      </c>
      <c r="BQ37">
        <v>0.92628176879482904</v>
      </c>
      <c r="BR37">
        <v>0.332175771336984</v>
      </c>
      <c r="BS37">
        <v>24</v>
      </c>
      <c r="BT37">
        <v>35.479999999999997</v>
      </c>
      <c r="BU37">
        <v>26.666666666666668</v>
      </c>
      <c r="BV37">
        <v>57.656154923340402</v>
      </c>
    </row>
    <row r="38" spans="1:74">
      <c r="A38" t="s">
        <v>373</v>
      </c>
      <c r="B38">
        <v>670050</v>
      </c>
      <c r="C38">
        <v>158.32608870000001</v>
      </c>
      <c r="D38">
        <v>1</v>
      </c>
      <c r="E38">
        <v>153670.5</v>
      </c>
      <c r="F38">
        <v>229341.84016118199</v>
      </c>
      <c r="G38">
        <v>1.54490217464131E-2</v>
      </c>
      <c r="H38">
        <v>70.616666666666603</v>
      </c>
      <c r="I38">
        <v>0</v>
      </c>
      <c r="J38">
        <v>593045</v>
      </c>
      <c r="K38">
        <v>869482</v>
      </c>
      <c r="L38">
        <v>0.13536220416293801</v>
      </c>
      <c r="M38">
        <v>92.504678341869294</v>
      </c>
      <c r="N38">
        <v>93.181818181818102</v>
      </c>
      <c r="O38">
        <v>37.769469851647997</v>
      </c>
      <c r="P38">
        <v>0.275175</v>
      </c>
      <c r="Q38">
        <v>95.976777923657707</v>
      </c>
      <c r="R38">
        <v>35179.825521536397</v>
      </c>
      <c r="S38">
        <v>167</v>
      </c>
      <c r="T38">
        <v>15984.3472660633</v>
      </c>
      <c r="U38">
        <v>16790.7</v>
      </c>
      <c r="V38">
        <v>495</v>
      </c>
      <c r="W38">
        <v>6802.0640631830302</v>
      </c>
      <c r="X38">
        <v>5.6</v>
      </c>
      <c r="Y38">
        <v>157.666666666666</v>
      </c>
      <c r="Z38">
        <v>45</v>
      </c>
      <c r="AA38">
        <v>12.5</v>
      </c>
      <c r="AB38">
        <v>13.495360774656801</v>
      </c>
      <c r="AC38">
        <v>4.1818600445676699</v>
      </c>
      <c r="AD38">
        <v>32.862093801500698</v>
      </c>
      <c r="AE38">
        <v>0</v>
      </c>
      <c r="AF38">
        <v>17.070396785637001</v>
      </c>
      <c r="AG38">
        <v>39.5</v>
      </c>
      <c r="AH38">
        <v>119</v>
      </c>
      <c r="AI38">
        <v>5</v>
      </c>
      <c r="AJ38">
        <v>47053</v>
      </c>
      <c r="AK38">
        <v>3645</v>
      </c>
      <c r="AL38">
        <v>0.50949265257964105</v>
      </c>
      <c r="AM38">
        <v>18.177718815210799</v>
      </c>
      <c r="AN38">
        <v>44326</v>
      </c>
      <c r="AO38">
        <v>617426.52201204898</v>
      </c>
      <c r="AP38">
        <v>4.7E-2</v>
      </c>
      <c r="AQ38">
        <v>2180.9884169884099</v>
      </c>
      <c r="AR38">
        <v>0.70547945205479401</v>
      </c>
      <c r="AS38">
        <v>3424.3</v>
      </c>
      <c r="AT38">
        <v>48.443679800787102</v>
      </c>
      <c r="AU38">
        <v>277.77154272631299</v>
      </c>
      <c r="AV38">
        <v>1.1999999999999999E-3</v>
      </c>
      <c r="AW38">
        <v>78.5</v>
      </c>
      <c r="AX38">
        <v>67.750995245412895</v>
      </c>
      <c r="AY38">
        <v>52.542387828333801</v>
      </c>
      <c r="AZ38">
        <v>6649.3304024027402</v>
      </c>
      <c r="BA38">
        <v>88.068681249780397</v>
      </c>
      <c r="BB38">
        <v>22.702133575080101</v>
      </c>
      <c r="BC38">
        <v>28.116591005544201</v>
      </c>
      <c r="BD38">
        <v>41.062937062937003</v>
      </c>
      <c r="BE38">
        <v>0.08</v>
      </c>
      <c r="BF38">
        <v>0.23619984556450299</v>
      </c>
      <c r="BG38">
        <v>44.796103277835797</v>
      </c>
      <c r="BH38">
        <v>9.8000000000000007</v>
      </c>
      <c r="BI38">
        <v>0.98608417930877101</v>
      </c>
      <c r="BJ38">
        <v>51.6</v>
      </c>
      <c r="BK38">
        <v>74.333655119432706</v>
      </c>
      <c r="BL38">
        <v>57.571795732952602</v>
      </c>
      <c r="BM38">
        <v>65.999999999999901</v>
      </c>
      <c r="BN38">
        <v>1.93989854757905</v>
      </c>
      <c r="BO38">
        <v>44030570</v>
      </c>
      <c r="BP38">
        <v>229658</v>
      </c>
      <c r="BQ38">
        <v>0.26101410667070801</v>
      </c>
      <c r="BR38">
        <v>0.19704311094545901</v>
      </c>
      <c r="BS38">
        <v>37.589648964344498</v>
      </c>
      <c r="BT38">
        <v>31.08</v>
      </c>
      <c r="BU38">
        <v>29.032258064516128</v>
      </c>
      <c r="BV38">
        <v>48.529943945244497</v>
      </c>
    </row>
    <row r="39" spans="1:74">
      <c r="A39" t="s">
        <v>178</v>
      </c>
      <c r="B39">
        <v>8467513</v>
      </c>
      <c r="C39">
        <v>778.16249549999895</v>
      </c>
      <c r="D39">
        <v>1</v>
      </c>
      <c r="E39">
        <v>905077.36801702098</v>
      </c>
      <c r="F39">
        <v>106888.217120776</v>
      </c>
      <c r="G39">
        <v>3.0302904506341401E-2</v>
      </c>
      <c r="H39">
        <v>70.616666666666603</v>
      </c>
      <c r="I39">
        <v>40297980.32</v>
      </c>
      <c r="J39">
        <v>1183274.8</v>
      </c>
      <c r="K39">
        <v>5751282</v>
      </c>
      <c r="L39">
        <v>0.17147550754770799</v>
      </c>
      <c r="M39">
        <v>100</v>
      </c>
      <c r="N39">
        <v>87.099567099567096</v>
      </c>
      <c r="O39">
        <v>57.9965730256488</v>
      </c>
      <c r="P39">
        <v>0.34076218250000001</v>
      </c>
      <c r="Q39">
        <v>98.194403425871201</v>
      </c>
      <c r="R39">
        <v>102333.390527417</v>
      </c>
      <c r="S39">
        <v>371</v>
      </c>
      <c r="T39">
        <v>44733.281477682802</v>
      </c>
      <c r="U39">
        <v>39437.46</v>
      </c>
      <c r="V39">
        <v>495</v>
      </c>
      <c r="W39">
        <v>19307.480818166801</v>
      </c>
      <c r="X39">
        <v>9.6</v>
      </c>
      <c r="Y39">
        <v>1443</v>
      </c>
      <c r="Z39">
        <v>39</v>
      </c>
      <c r="AA39">
        <v>31.25</v>
      </c>
      <c r="AB39">
        <v>110.281243433163</v>
      </c>
      <c r="AC39">
        <v>100</v>
      </c>
      <c r="AD39">
        <v>69.068737813450895</v>
      </c>
      <c r="AE39">
        <v>1.25</v>
      </c>
      <c r="AF39">
        <v>54.358945524244298</v>
      </c>
      <c r="AG39">
        <v>197.5</v>
      </c>
      <c r="AH39">
        <v>167</v>
      </c>
      <c r="AI39">
        <v>6</v>
      </c>
      <c r="AJ39">
        <v>128561</v>
      </c>
      <c r="AK39">
        <v>12444</v>
      </c>
      <c r="AL39">
        <v>65.063161259183403</v>
      </c>
      <c r="AM39">
        <v>56.232304794099299</v>
      </c>
      <c r="AN39">
        <v>1257717</v>
      </c>
      <c r="AO39">
        <v>3014765.5761299701</v>
      </c>
      <c r="AP39">
        <v>5.7000000000000002E-2</v>
      </c>
      <c r="AQ39">
        <v>2067.0377837143001</v>
      </c>
      <c r="AR39">
        <v>0.78709677419354795</v>
      </c>
      <c r="AS39">
        <v>4613.7375000000002</v>
      </c>
      <c r="AT39">
        <v>64.006438354829498</v>
      </c>
      <c r="AU39">
        <v>56.382981158566601</v>
      </c>
      <c r="AV39">
        <v>2.0999999999999999E-3</v>
      </c>
      <c r="AW39">
        <v>78.5</v>
      </c>
      <c r="AX39">
        <v>67.750995245412895</v>
      </c>
      <c r="AY39">
        <v>52.542387828333801</v>
      </c>
      <c r="AZ39">
        <v>3602.2271099729201</v>
      </c>
      <c r="BA39">
        <v>88.068681249780397</v>
      </c>
      <c r="BB39">
        <v>51.713073430742099</v>
      </c>
      <c r="BC39">
        <v>54.606881729240399</v>
      </c>
      <c r="BD39">
        <v>47.894545454545401</v>
      </c>
      <c r="BE39">
        <v>0.08</v>
      </c>
      <c r="BF39">
        <v>0.23619984556450299</v>
      </c>
      <c r="BG39">
        <v>6.2465535712788398</v>
      </c>
      <c r="BH39">
        <v>9.9</v>
      </c>
      <c r="BI39">
        <v>1.01118466103629</v>
      </c>
      <c r="BJ39">
        <v>50.2</v>
      </c>
      <c r="BK39">
        <v>50.664966497512196</v>
      </c>
      <c r="BL39">
        <v>27.7950641548276</v>
      </c>
      <c r="BM39">
        <v>140</v>
      </c>
      <c r="BN39">
        <v>24.228704044496499</v>
      </c>
      <c r="BO39">
        <v>127850557</v>
      </c>
      <c r="BP39">
        <v>1189262</v>
      </c>
      <c r="BQ39">
        <v>0.97402825172239904</v>
      </c>
      <c r="BR39">
        <v>0.68266475644699098</v>
      </c>
      <c r="BS39">
        <v>31.1442556405913</v>
      </c>
      <c r="BT39">
        <v>34.472499999999997</v>
      </c>
      <c r="BU39">
        <v>24.489795918367346</v>
      </c>
      <c r="BV39">
        <v>40.444042789689803</v>
      </c>
    </row>
    <row r="40" spans="1:74">
      <c r="A40" t="s">
        <v>180</v>
      </c>
      <c r="B40">
        <v>654776</v>
      </c>
      <c r="C40">
        <v>125.2001166</v>
      </c>
      <c r="D40">
        <v>1</v>
      </c>
      <c r="E40">
        <v>107347.173884023</v>
      </c>
      <c r="F40">
        <v>163944.88173669099</v>
      </c>
      <c r="G40">
        <v>2.8083399217038101E-2</v>
      </c>
      <c r="H40">
        <v>70.616666666666603</v>
      </c>
      <c r="I40">
        <v>0</v>
      </c>
      <c r="J40">
        <v>171426</v>
      </c>
      <c r="K40">
        <v>729323.66070241504</v>
      </c>
      <c r="L40">
        <v>0.143018807177517</v>
      </c>
      <c r="M40">
        <v>88.608112393890096</v>
      </c>
      <c r="N40">
        <v>100</v>
      </c>
      <c r="O40">
        <v>41.694499210365301</v>
      </c>
      <c r="P40">
        <v>0.2732</v>
      </c>
      <c r="Q40">
        <v>95.976777923657707</v>
      </c>
      <c r="R40">
        <v>29145.569203662999</v>
      </c>
      <c r="S40">
        <v>620</v>
      </c>
      <c r="T40">
        <v>12996.7943519358</v>
      </c>
      <c r="U40">
        <v>39061.31</v>
      </c>
      <c r="V40">
        <v>495</v>
      </c>
      <c r="W40">
        <v>5555.34800044645</v>
      </c>
      <c r="X40">
        <v>15.35</v>
      </c>
      <c r="Y40">
        <v>268.666666666666</v>
      </c>
      <c r="Z40">
        <v>15</v>
      </c>
      <c r="AA40">
        <v>20.3125</v>
      </c>
      <c r="AB40">
        <v>9.7329208404003804</v>
      </c>
      <c r="AC40">
        <v>6.2420390806765402</v>
      </c>
      <c r="AD40">
        <v>31.595318854660899</v>
      </c>
      <c r="AE40">
        <v>0</v>
      </c>
      <c r="AF40">
        <v>16.926033930401399</v>
      </c>
      <c r="AG40">
        <v>48.5</v>
      </c>
      <c r="AH40">
        <v>41</v>
      </c>
      <c r="AI40">
        <v>2</v>
      </c>
      <c r="AJ40">
        <v>36057</v>
      </c>
      <c r="AK40">
        <v>3115</v>
      </c>
      <c r="AL40">
        <v>11.341883155700501</v>
      </c>
      <c r="AM40">
        <v>29.122823147186299</v>
      </c>
      <c r="AN40">
        <v>85349</v>
      </c>
      <c r="AO40">
        <v>448891.34250675299</v>
      </c>
      <c r="AP40">
        <v>3.5999999999999997E-2</v>
      </c>
      <c r="AQ40">
        <v>2076.5467181467102</v>
      </c>
      <c r="AR40">
        <v>0.56976744186046502</v>
      </c>
      <c r="AS40">
        <v>3391.6025</v>
      </c>
      <c r="AT40">
        <v>58.796275499553403</v>
      </c>
      <c r="AU40">
        <v>83.175228696027503</v>
      </c>
      <c r="AV40">
        <v>1.1000000000000001E-3</v>
      </c>
      <c r="AW40">
        <v>78.5</v>
      </c>
      <c r="AX40">
        <v>67.750995245412895</v>
      </c>
      <c r="AY40">
        <v>52.542387828333801</v>
      </c>
      <c r="AZ40">
        <v>5488.6872978695501</v>
      </c>
      <c r="BA40">
        <v>88.068681249780397</v>
      </c>
      <c r="BB40">
        <v>21.586824719976299</v>
      </c>
      <c r="BC40">
        <v>32.268620458489998</v>
      </c>
      <c r="BD40">
        <v>33.224242424242398</v>
      </c>
      <c r="BE40">
        <v>0.08</v>
      </c>
      <c r="BF40">
        <v>0.23619984556450299</v>
      </c>
      <c r="BG40">
        <v>32.022468508092302</v>
      </c>
      <c r="BH40">
        <v>7</v>
      </c>
      <c r="BI40">
        <v>1.0529709811146899</v>
      </c>
      <c r="BJ40">
        <v>62</v>
      </c>
      <c r="BK40">
        <v>72.020077203234706</v>
      </c>
      <c r="BL40">
        <v>60.879274336676502</v>
      </c>
      <c r="BM40">
        <v>50.999999999999901</v>
      </c>
      <c r="BN40">
        <v>1.2550783041217699</v>
      </c>
      <c r="BO40">
        <v>36112473</v>
      </c>
      <c r="BP40">
        <v>358653</v>
      </c>
      <c r="BQ40">
        <v>0.30557749073643897</v>
      </c>
      <c r="BR40">
        <v>0.21789394320180899</v>
      </c>
      <c r="BS40">
        <v>9</v>
      </c>
      <c r="BT40">
        <v>34.4925</v>
      </c>
      <c r="BU40">
        <v>32.142857142857146</v>
      </c>
      <c r="BV40">
        <v>37.540326636335202</v>
      </c>
    </row>
    <row r="41" spans="1:74">
      <c r="A41" t="s">
        <v>182</v>
      </c>
      <c r="B41">
        <v>12396372</v>
      </c>
      <c r="C41">
        <v>1521.202</v>
      </c>
      <c r="D41">
        <v>5.165</v>
      </c>
      <c r="E41">
        <v>161460.03266239099</v>
      </c>
      <c r="F41">
        <v>13024.781174878501</v>
      </c>
      <c r="G41">
        <v>6.7263512305062003E-3</v>
      </c>
      <c r="H41">
        <v>53.5</v>
      </c>
      <c r="I41">
        <v>794417.9</v>
      </c>
      <c r="J41">
        <v>235818.6</v>
      </c>
      <c r="K41">
        <v>5894259.7848384799</v>
      </c>
      <c r="L41">
        <v>0.29949458262297102</v>
      </c>
      <c r="M41">
        <v>2.8874708350499998</v>
      </c>
      <c r="N41">
        <v>26.003491226235301</v>
      </c>
      <c r="O41">
        <v>31.249766309801601</v>
      </c>
      <c r="P41">
        <v>0.34</v>
      </c>
      <c r="Q41">
        <v>30</v>
      </c>
      <c r="R41">
        <v>19274.251807420202</v>
      </c>
      <c r="S41">
        <v>2</v>
      </c>
      <c r="T41">
        <v>1091.55259848128</v>
      </c>
      <c r="U41">
        <v>3469.17</v>
      </c>
      <c r="V41">
        <v>400.33333333333297</v>
      </c>
      <c r="W41">
        <v>591.42659448828795</v>
      </c>
      <c r="X41">
        <v>0</v>
      </c>
      <c r="Y41">
        <v>209.333333333333</v>
      </c>
      <c r="Z41">
        <v>10</v>
      </c>
      <c r="AA41">
        <v>45.370370370370303</v>
      </c>
      <c r="AB41">
        <v>2.5188933321060198</v>
      </c>
      <c r="AC41">
        <v>3.2819290393752798</v>
      </c>
      <c r="AD41">
        <v>54.524041517699501</v>
      </c>
      <c r="AE41">
        <v>0</v>
      </c>
      <c r="AF41">
        <v>58.113456464379901</v>
      </c>
      <c r="AG41">
        <v>121.5</v>
      </c>
      <c r="AH41">
        <v>67</v>
      </c>
      <c r="AI41">
        <v>10</v>
      </c>
      <c r="AJ41">
        <v>38180</v>
      </c>
      <c r="AK41">
        <v>1638</v>
      </c>
      <c r="AL41">
        <v>57.856913010833402</v>
      </c>
      <c r="AM41">
        <v>51.275338623619703</v>
      </c>
      <c r="AN41">
        <v>529373</v>
      </c>
      <c r="AO41">
        <v>1236685.80070693</v>
      </c>
      <c r="AP41">
        <v>0.157797021367241</v>
      </c>
      <c r="AQ41">
        <v>2090.36156891152</v>
      </c>
      <c r="AR41">
        <v>0.78142076502732205</v>
      </c>
      <c r="AS41">
        <v>666.32900834105601</v>
      </c>
      <c r="AT41">
        <v>16.0810753940236</v>
      </c>
      <c r="AU41">
        <v>45.174507509132503</v>
      </c>
      <c r="AV41">
        <v>2.0999999999999999E-3</v>
      </c>
      <c r="AW41">
        <v>75.900000000000006</v>
      </c>
      <c r="AX41">
        <v>45.221308953922097</v>
      </c>
      <c r="AY41">
        <v>22.397996886861598</v>
      </c>
      <c r="AZ41">
        <v>2439.0635810513099</v>
      </c>
      <c r="BA41">
        <v>53.740104848076598</v>
      </c>
      <c r="BB41">
        <v>47.299564650468398</v>
      </c>
      <c r="BC41">
        <v>37.275673029208797</v>
      </c>
      <c r="BD41">
        <v>41.169696969696901</v>
      </c>
      <c r="BE41">
        <v>0.44169999999999998</v>
      </c>
      <c r="BF41">
        <v>3.00854890999246E-2</v>
      </c>
      <c r="BG41">
        <v>3.6966387277316199</v>
      </c>
      <c r="BH41">
        <v>13.5</v>
      </c>
      <c r="BI41">
        <v>0.35205992509363299</v>
      </c>
      <c r="BJ41">
        <v>26.7</v>
      </c>
      <c r="BK41">
        <v>46.234392519677698</v>
      </c>
      <c r="BL41">
        <v>24.140721903550599</v>
      </c>
      <c r="BM41">
        <v>49.000000000000099</v>
      </c>
      <c r="BN41">
        <v>8.5556597110167107</v>
      </c>
      <c r="BO41">
        <v>34481318</v>
      </c>
      <c r="BP41">
        <v>226412</v>
      </c>
      <c r="BQ41">
        <v>0.251464810085194</v>
      </c>
      <c r="BR41">
        <v>0.36159320764140301</v>
      </c>
      <c r="BS41">
        <v>28</v>
      </c>
      <c r="BT41">
        <v>46.03</v>
      </c>
      <c r="BU41">
        <v>27.06766917293233</v>
      </c>
      <c r="BV41">
        <v>50.359700158831302</v>
      </c>
    </row>
    <row r="42" spans="1:74">
      <c r="A42" t="s">
        <v>184</v>
      </c>
      <c r="B42">
        <v>4949347</v>
      </c>
      <c r="C42">
        <v>1643</v>
      </c>
      <c r="D42">
        <v>16.376999999999999</v>
      </c>
      <c r="E42">
        <v>48316.469442253401</v>
      </c>
      <c r="F42">
        <v>9814.07974088429</v>
      </c>
      <c r="G42">
        <v>2.4205777308554002E-3</v>
      </c>
      <c r="H42">
        <v>55.741666666666603</v>
      </c>
      <c r="I42">
        <v>1171748.1299999999</v>
      </c>
      <c r="J42">
        <v>0</v>
      </c>
      <c r="K42">
        <v>1862000</v>
      </c>
      <c r="L42">
        <v>0.238003710595065</v>
      </c>
      <c r="M42">
        <v>22.0991342182819</v>
      </c>
      <c r="N42">
        <v>27.331257274474201</v>
      </c>
      <c r="O42">
        <v>8.7562904144404001</v>
      </c>
      <c r="P42">
        <v>0.27</v>
      </c>
      <c r="Q42">
        <v>44.948974519424802</v>
      </c>
      <c r="R42">
        <v>3362.4759216664002</v>
      </c>
      <c r="S42">
        <v>2</v>
      </c>
      <c r="T42">
        <v>282.71816318680197</v>
      </c>
      <c r="U42">
        <v>6256.02</v>
      </c>
      <c r="V42">
        <v>338.23603562403298</v>
      </c>
      <c r="W42">
        <v>586.13505111328902</v>
      </c>
      <c r="X42">
        <v>0</v>
      </c>
      <c r="Y42">
        <v>39.6666666666666</v>
      </c>
      <c r="Z42">
        <v>6</v>
      </c>
      <c r="AA42">
        <v>25.462962962962902</v>
      </c>
      <c r="AB42">
        <v>2.7528693255301202</v>
      </c>
      <c r="AC42">
        <v>2.0091906553566701</v>
      </c>
      <c r="AD42">
        <v>36.359014546066803</v>
      </c>
      <c r="AE42">
        <v>0</v>
      </c>
      <c r="AF42">
        <v>33.758332894541603</v>
      </c>
      <c r="AG42">
        <v>11</v>
      </c>
      <c r="AH42">
        <v>22</v>
      </c>
      <c r="AI42">
        <v>11</v>
      </c>
      <c r="AJ42">
        <v>8122</v>
      </c>
      <c r="AK42">
        <v>869</v>
      </c>
      <c r="AL42">
        <v>23.977880982135702</v>
      </c>
      <c r="AM42">
        <v>32.619543908026202</v>
      </c>
      <c r="AN42">
        <v>540956.79</v>
      </c>
      <c r="AO42">
        <v>937942.35960838397</v>
      </c>
      <c r="AP42">
        <v>0.34928219178082098</v>
      </c>
      <c r="AQ42">
        <v>2105.7721420612302</v>
      </c>
      <c r="AR42">
        <v>0.75531914893617003</v>
      </c>
      <c r="AS42">
        <v>680.48397457569797</v>
      </c>
      <c r="AT42">
        <v>14.600229427084599</v>
      </c>
      <c r="AU42">
        <v>394.196478681244</v>
      </c>
      <c r="AV42">
        <v>8.0000000000000004E-4</v>
      </c>
      <c r="AW42">
        <v>65.3</v>
      </c>
      <c r="AX42">
        <v>63.038346811117698</v>
      </c>
      <c r="AY42">
        <v>52.495874606464398</v>
      </c>
      <c r="AZ42">
        <v>1119.5705730971899</v>
      </c>
      <c r="BA42">
        <v>50.3857102926153</v>
      </c>
      <c r="BB42">
        <v>31.265267344713401</v>
      </c>
      <c r="BC42">
        <v>15.5120263048059</v>
      </c>
      <c r="BD42">
        <v>28.6969696969696</v>
      </c>
      <c r="BE42">
        <v>6.2100000000000002E-2</v>
      </c>
      <c r="BF42">
        <v>0.34499999999999997</v>
      </c>
      <c r="BG42">
        <v>8.1350232197211607</v>
      </c>
      <c r="BH42">
        <v>21.7</v>
      </c>
      <c r="BI42">
        <v>0.61806782436333796</v>
      </c>
      <c r="BJ42">
        <v>42.7</v>
      </c>
      <c r="BK42">
        <v>34.6653539725976</v>
      </c>
      <c r="BL42">
        <v>20.9659755871138</v>
      </c>
      <c r="BM42">
        <v>63</v>
      </c>
      <c r="BN42">
        <v>3.3513110261414298</v>
      </c>
      <c r="BO42">
        <v>14789778</v>
      </c>
      <c r="BP42">
        <v>161028</v>
      </c>
      <c r="BQ42">
        <v>0.101859163578813</v>
      </c>
      <c r="BR42">
        <v>1.08306937774598E-2</v>
      </c>
      <c r="BS42">
        <v>24</v>
      </c>
      <c r="BT42">
        <v>37.982500000000002</v>
      </c>
      <c r="BU42">
        <v>43.902439024390247</v>
      </c>
      <c r="BV42">
        <v>45.161070105270397</v>
      </c>
    </row>
    <row r="43" spans="1:74">
      <c r="A43" t="s">
        <v>186</v>
      </c>
      <c r="B43">
        <v>10748230</v>
      </c>
      <c r="C43">
        <v>661.23</v>
      </c>
      <c r="D43">
        <v>14848.8212</v>
      </c>
      <c r="E43">
        <v>203557.90041408499</v>
      </c>
      <c r="F43">
        <v>19199.345781649899</v>
      </c>
      <c r="G43">
        <v>3.8070832750821897E-2</v>
      </c>
      <c r="H43">
        <v>63.475000000000001</v>
      </c>
      <c r="I43">
        <v>610288.39</v>
      </c>
      <c r="J43">
        <v>84888.3</v>
      </c>
      <c r="K43">
        <v>4875102</v>
      </c>
      <c r="L43">
        <v>0.16099888781814201</v>
      </c>
      <c r="M43">
        <v>2.8739324347213699</v>
      </c>
      <c r="N43">
        <v>16.612397933892801</v>
      </c>
      <c r="O43">
        <v>9.7821797070890106</v>
      </c>
      <c r="P43">
        <v>0.22</v>
      </c>
      <c r="Q43">
        <v>55.05078607019</v>
      </c>
      <c r="R43">
        <v>3899.85863912693</v>
      </c>
      <c r="S43">
        <v>0</v>
      </c>
      <c r="T43">
        <v>107.81692185272701</v>
      </c>
      <c r="U43">
        <v>0</v>
      </c>
      <c r="V43">
        <v>382</v>
      </c>
      <c r="W43">
        <v>163.88751568736501</v>
      </c>
      <c r="X43">
        <v>0</v>
      </c>
      <c r="Y43">
        <v>125.666666666666</v>
      </c>
      <c r="Z43">
        <v>10</v>
      </c>
      <c r="AA43">
        <v>31.25</v>
      </c>
      <c r="AB43">
        <v>0.95440459537801603</v>
      </c>
      <c r="AC43">
        <v>0.70864949464041305</v>
      </c>
      <c r="AD43">
        <v>16.921421446055199</v>
      </c>
      <c r="AE43">
        <v>0</v>
      </c>
      <c r="AF43">
        <v>28.497257852877802</v>
      </c>
      <c r="AG43">
        <v>7.5</v>
      </c>
      <c r="AH43">
        <v>33</v>
      </c>
      <c r="AI43">
        <v>3</v>
      </c>
      <c r="AJ43">
        <v>78811</v>
      </c>
      <c r="AK43">
        <v>8255</v>
      </c>
      <c r="AL43">
        <v>32.122149957403799</v>
      </c>
      <c r="AM43">
        <v>29.962721761309599</v>
      </c>
      <c r="AN43">
        <v>7326</v>
      </c>
      <c r="AO43">
        <v>935182</v>
      </c>
      <c r="AP43">
        <v>7.1800000000000003E-2</v>
      </c>
      <c r="AQ43">
        <v>2372.05440619828</v>
      </c>
      <c r="AR43">
        <v>0.78865979381443296</v>
      </c>
      <c r="AS43">
        <v>746.56334338194404</v>
      </c>
      <c r="AT43">
        <v>6.2489637750347304</v>
      </c>
      <c r="AU43">
        <v>2.0735778955088202</v>
      </c>
      <c r="AV43">
        <v>5.5999999999999999E-3</v>
      </c>
      <c r="AW43">
        <v>71.3</v>
      </c>
      <c r="AX43">
        <v>35.269060044444998</v>
      </c>
      <c r="AY43">
        <v>7.6797842080996297</v>
      </c>
      <c r="AZ43">
        <v>650.48284034721303</v>
      </c>
      <c r="BA43">
        <v>56.429935290032198</v>
      </c>
      <c r="BB43">
        <v>44.288755001592897</v>
      </c>
      <c r="BC43">
        <v>23.675024154471899</v>
      </c>
      <c r="BD43">
        <v>20.690909090908999</v>
      </c>
      <c r="BE43">
        <v>0.26750000000000002</v>
      </c>
      <c r="BF43">
        <v>7.4999999999999997E-2</v>
      </c>
      <c r="BG43">
        <v>9.2853197481289307</v>
      </c>
      <c r="BH43">
        <v>36.200000000000003</v>
      </c>
      <c r="BI43">
        <v>1.4126875071567599</v>
      </c>
      <c r="BJ43">
        <v>22</v>
      </c>
      <c r="BK43">
        <v>17.404885996175</v>
      </c>
      <c r="BL43">
        <v>38.754275945970697</v>
      </c>
      <c r="BM43">
        <v>44.999999999999901</v>
      </c>
      <c r="BN43">
        <v>10.661518121809401</v>
      </c>
      <c r="BO43">
        <v>39603449</v>
      </c>
      <c r="BP43">
        <v>371301</v>
      </c>
      <c r="BQ43">
        <v>0.21963382146681501</v>
      </c>
      <c r="BR43">
        <v>0.21595421630460099</v>
      </c>
      <c r="BS43">
        <v>50</v>
      </c>
      <c r="BT43">
        <v>46.84</v>
      </c>
      <c r="BU43">
        <v>26.470588235294116</v>
      </c>
      <c r="BV43">
        <v>54.147429079460998</v>
      </c>
    </row>
    <row r="44" spans="1:74">
      <c r="A44" t="s">
        <v>188</v>
      </c>
      <c r="B44">
        <v>3078836</v>
      </c>
      <c r="C44">
        <v>204.02</v>
      </c>
      <c r="D44">
        <v>130.792</v>
      </c>
      <c r="E44">
        <v>81860.786401688805</v>
      </c>
      <c r="F44">
        <v>26588.225680643201</v>
      </c>
      <c r="G44">
        <v>-3.2488087320887002E-3</v>
      </c>
      <c r="H44">
        <v>50.991666666666603</v>
      </c>
      <c r="I44">
        <v>52947.83</v>
      </c>
      <c r="J44">
        <v>0</v>
      </c>
      <c r="K44">
        <v>1604073.5560000001</v>
      </c>
      <c r="L44">
        <v>0.31579162819887502</v>
      </c>
      <c r="M44">
        <v>1.8477857978754699</v>
      </c>
      <c r="N44">
        <v>54.850728292465497</v>
      </c>
      <c r="O44">
        <v>19.6237520450562</v>
      </c>
      <c r="P44">
        <v>0.35</v>
      </c>
      <c r="Q44">
        <v>5.2234868532630099</v>
      </c>
      <c r="R44">
        <v>4942.5016625886001</v>
      </c>
      <c r="S44">
        <v>0</v>
      </c>
      <c r="T44">
        <v>178.31574037658501</v>
      </c>
      <c r="U44">
        <v>0</v>
      </c>
      <c r="V44">
        <v>395</v>
      </c>
      <c r="W44">
        <v>148.24609859409901</v>
      </c>
      <c r="X44">
        <v>0</v>
      </c>
      <c r="Y44">
        <v>47.6666666666666</v>
      </c>
      <c r="Z44">
        <v>15</v>
      </c>
      <c r="AA44">
        <v>29.6875</v>
      </c>
      <c r="AB44">
        <v>3.1044988022753199</v>
      </c>
      <c r="AC44">
        <v>2.87179269957451</v>
      </c>
      <c r="AD44">
        <v>62.194045788401603</v>
      </c>
      <c r="AE44">
        <v>1.125</v>
      </c>
      <c r="AF44">
        <v>50.709922144932897</v>
      </c>
      <c r="AG44">
        <v>89</v>
      </c>
      <c r="AH44">
        <v>138</v>
      </c>
      <c r="AI44">
        <v>20</v>
      </c>
      <c r="AJ44">
        <v>28226</v>
      </c>
      <c r="AK44">
        <v>1770</v>
      </c>
      <c r="AL44">
        <v>58.186374623763299</v>
      </c>
      <c r="AM44">
        <v>49.743191163315799</v>
      </c>
      <c r="AN44">
        <v>381778</v>
      </c>
      <c r="AO44">
        <v>81776.028985859797</v>
      </c>
      <c r="AP44">
        <v>9.3638356164383499E-2</v>
      </c>
      <c r="AQ44">
        <v>1884.02275756877</v>
      </c>
      <c r="AR44">
        <v>0.35978835978835899</v>
      </c>
      <c r="AS44">
        <v>467.38</v>
      </c>
      <c r="AT44">
        <v>77.315626557595607</v>
      </c>
      <c r="AU44">
        <v>46.675161763707401</v>
      </c>
      <c r="AV44">
        <v>1.6999999999999999E-3</v>
      </c>
      <c r="AW44">
        <v>76.599999999999994</v>
      </c>
      <c r="AX44">
        <v>58.076462228750302</v>
      </c>
      <c r="AY44">
        <v>15.5916455025869</v>
      </c>
      <c r="AZ44">
        <v>5022.4892162981396</v>
      </c>
      <c r="BA44">
        <v>51.144655187042801</v>
      </c>
      <c r="BB44">
        <v>65.409065474306004</v>
      </c>
      <c r="BC44">
        <v>36.224925149329998</v>
      </c>
      <c r="BD44">
        <v>45.5936969696969</v>
      </c>
      <c r="BE44">
        <v>8.1000000000000003E-2</v>
      </c>
      <c r="BF44">
        <v>5.6601085267468598E-2</v>
      </c>
      <c r="BG44">
        <v>9.15297178535703</v>
      </c>
      <c r="BH44">
        <v>14.2</v>
      </c>
      <c r="BI44">
        <v>0.58965063795003003</v>
      </c>
      <c r="BJ44">
        <v>45.9</v>
      </c>
      <c r="BK44">
        <v>42.595474066422497</v>
      </c>
      <c r="BL44">
        <v>41.644007541601802</v>
      </c>
      <c r="BM44">
        <v>40.000000000000298</v>
      </c>
      <c r="BN44">
        <v>3.1929562483006499</v>
      </c>
      <c r="BO44">
        <v>7513387</v>
      </c>
      <c r="BP44">
        <v>46609</v>
      </c>
      <c r="BQ44">
        <v>0.36605636911135903</v>
      </c>
      <c r="BR44">
        <v>0.65810531750128998</v>
      </c>
      <c r="BS44">
        <v>40</v>
      </c>
      <c r="BT44">
        <v>41.844999999999999</v>
      </c>
      <c r="BU44">
        <v>24.324324324324323</v>
      </c>
      <c r="BV44">
        <v>54.205266085951003</v>
      </c>
    </row>
    <row r="45" spans="1:74">
      <c r="A45" t="s">
        <v>190</v>
      </c>
      <c r="B45">
        <v>3478300</v>
      </c>
      <c r="C45">
        <v>4758.5</v>
      </c>
      <c r="D45">
        <v>3.673</v>
      </c>
      <c r="E45">
        <v>123640.284737697</v>
      </c>
      <c r="F45">
        <v>35546.181967540797</v>
      </c>
      <c r="G45">
        <v>1.6607734020874E-3</v>
      </c>
      <c r="H45">
        <v>70.874999999999901</v>
      </c>
      <c r="I45">
        <v>158759.69</v>
      </c>
      <c r="J45">
        <v>0</v>
      </c>
      <c r="K45">
        <v>2358173.19942</v>
      </c>
      <c r="L45">
        <v>0.19799999999999901</v>
      </c>
      <c r="M45">
        <v>66.184250527426599</v>
      </c>
      <c r="N45">
        <v>37.886681481044398</v>
      </c>
      <c r="O45">
        <v>40.556959394319598</v>
      </c>
      <c r="P45">
        <v>0.09</v>
      </c>
      <c r="Q45">
        <v>90.048028281859501</v>
      </c>
      <c r="R45">
        <v>9088.4790563219103</v>
      </c>
      <c r="S45">
        <v>3</v>
      </c>
      <c r="T45">
        <v>2312.3657830356801</v>
      </c>
      <c r="U45">
        <v>10680.69</v>
      </c>
      <c r="V45">
        <v>433.666666666666</v>
      </c>
      <c r="W45">
        <v>144.99254232945901</v>
      </c>
      <c r="X45">
        <v>0</v>
      </c>
      <c r="Y45">
        <v>343</v>
      </c>
      <c r="Z45">
        <v>73</v>
      </c>
      <c r="AA45">
        <v>52.6041666666666</v>
      </c>
      <c r="AB45">
        <v>10.166419134446301</v>
      </c>
      <c r="AC45">
        <v>1.4630593474729401</v>
      </c>
      <c r="AD45">
        <v>63.197026022304797</v>
      </c>
      <c r="AE45">
        <v>0</v>
      </c>
      <c r="AF45">
        <v>46.262457088523298</v>
      </c>
      <c r="AG45">
        <v>9.5</v>
      </c>
      <c r="AH45">
        <v>3</v>
      </c>
      <c r="AI45">
        <v>8</v>
      </c>
      <c r="AJ45">
        <v>87549</v>
      </c>
      <c r="AK45">
        <v>28305</v>
      </c>
      <c r="AL45">
        <v>55.590861099388697</v>
      </c>
      <c r="AM45">
        <v>38.886056689488697</v>
      </c>
      <c r="AN45">
        <v>3265250</v>
      </c>
      <c r="AO45">
        <v>14360000</v>
      </c>
      <c r="AP45">
        <v>4.5731715767312001E-3</v>
      </c>
      <c r="AQ45">
        <v>2331.4524772539098</v>
      </c>
      <c r="AR45">
        <v>0.81770833333333304</v>
      </c>
      <c r="AS45">
        <v>2291.7356384426898</v>
      </c>
      <c r="AT45">
        <v>30.9841623344523</v>
      </c>
      <c r="AU45">
        <v>4.4897959183673404</v>
      </c>
      <c r="AV45">
        <v>5.1000000000000004E-3</v>
      </c>
      <c r="AW45">
        <v>76.099999999999994</v>
      </c>
      <c r="AX45">
        <v>34.746908817709603</v>
      </c>
      <c r="AY45">
        <v>7.3018141121171203</v>
      </c>
      <c r="AZ45">
        <v>2920.5273803507798</v>
      </c>
      <c r="BA45">
        <v>71.630653166184402</v>
      </c>
      <c r="BB45">
        <v>46.547206800574799</v>
      </c>
      <c r="BC45">
        <v>53.235387959154998</v>
      </c>
      <c r="BD45">
        <v>38.030303030303003</v>
      </c>
      <c r="BE45">
        <v>6.7999999999999996E-3</v>
      </c>
      <c r="BF45">
        <v>0.206436446442954</v>
      </c>
      <c r="BG45">
        <v>15.886839878163601</v>
      </c>
      <c r="BH45">
        <v>43.7</v>
      </c>
      <c r="BI45">
        <v>1.4778151529713199</v>
      </c>
      <c r="BJ45">
        <v>61.3</v>
      </c>
      <c r="BK45">
        <v>28.5066458170445</v>
      </c>
      <c r="BL45">
        <v>99.374325536847195</v>
      </c>
      <c r="BM45">
        <v>277.00000000000398</v>
      </c>
      <c r="BN45">
        <v>41.008091484930603</v>
      </c>
      <c r="BO45">
        <v>66984377</v>
      </c>
      <c r="BP45">
        <v>356829</v>
      </c>
      <c r="BQ45">
        <v>9.5492965855137196E-2</v>
      </c>
      <c r="BR45">
        <v>0.11376284246575299</v>
      </c>
      <c r="BS45">
        <v>16.191112384310099</v>
      </c>
      <c r="BT45">
        <v>34.914999999999999</v>
      </c>
      <c r="BU45">
        <v>49.315068493150683</v>
      </c>
      <c r="BV45">
        <v>44.988285984647902</v>
      </c>
    </row>
    <row r="46" spans="1:74">
      <c r="A46" t="s">
        <v>369</v>
      </c>
      <c r="B46">
        <v>592713</v>
      </c>
      <c r="C46">
        <v>116.01</v>
      </c>
      <c r="D46">
        <v>0.95099999999999996</v>
      </c>
      <c r="E46">
        <v>82317.182938534199</v>
      </c>
      <c r="F46">
        <v>148438.12056737501</v>
      </c>
      <c r="G46">
        <v>0.11513805671250001</v>
      </c>
      <c r="H46">
        <v>81.983333333333306</v>
      </c>
      <c r="I46">
        <v>131182.58301896899</v>
      </c>
      <c r="J46">
        <v>126648.3</v>
      </c>
      <c r="K46">
        <v>315605.21599264699</v>
      </c>
      <c r="L46">
        <v>0.21315541837618099</v>
      </c>
      <c r="M46">
        <v>44.838588452772498</v>
      </c>
      <c r="N46">
        <v>78.892870824008497</v>
      </c>
      <c r="O46">
        <v>18.538958037093</v>
      </c>
      <c r="P46">
        <v>0.125</v>
      </c>
      <c r="Q46">
        <v>87.897974990204304</v>
      </c>
      <c r="R46">
        <v>2924.9738265548299</v>
      </c>
      <c r="S46">
        <v>44</v>
      </c>
      <c r="T46">
        <v>643.39256817514899</v>
      </c>
      <c r="U46">
        <v>18100.55</v>
      </c>
      <c r="V46">
        <v>504.666666666666</v>
      </c>
      <c r="W46">
        <v>14.4502895366437</v>
      </c>
      <c r="X46">
        <v>0</v>
      </c>
      <c r="Y46">
        <v>98.6666666666666</v>
      </c>
      <c r="Z46">
        <v>21</v>
      </c>
      <c r="AA46">
        <v>31.25</v>
      </c>
      <c r="AB46">
        <v>7.3217486266271798</v>
      </c>
      <c r="AC46">
        <v>0.78226857887874801</v>
      </c>
      <c r="AD46">
        <v>35.332846642737302</v>
      </c>
      <c r="AE46">
        <v>2</v>
      </c>
      <c r="AF46">
        <v>39.101995638706498</v>
      </c>
      <c r="AG46">
        <v>29</v>
      </c>
      <c r="AH46">
        <v>80</v>
      </c>
      <c r="AI46">
        <v>5</v>
      </c>
      <c r="AJ46">
        <v>29416</v>
      </c>
      <c r="AK46">
        <v>1755</v>
      </c>
      <c r="AL46">
        <v>10.667568577185399</v>
      </c>
      <c r="AM46">
        <v>20.483572049906002</v>
      </c>
      <c r="AN46">
        <v>91876</v>
      </c>
      <c r="AO46">
        <v>1191426.4964766901</v>
      </c>
      <c r="AP46">
        <v>5.0219178082191701E-2</v>
      </c>
      <c r="AQ46">
        <v>2032.00167238207</v>
      </c>
      <c r="AR46">
        <v>0.311764705882352</v>
      </c>
      <c r="AS46">
        <v>2909.81678486997</v>
      </c>
      <c r="AT46">
        <v>44.147366470379801</v>
      </c>
      <c r="AU46">
        <v>13.3333333333333</v>
      </c>
      <c r="AV46">
        <v>6.9999999999999999E-4</v>
      </c>
      <c r="AW46">
        <v>81.8</v>
      </c>
      <c r="AX46">
        <v>86.760892911362404</v>
      </c>
      <c r="AY46">
        <v>15.7554639186252</v>
      </c>
      <c r="AZ46">
        <v>4189.4837630805296</v>
      </c>
      <c r="BA46">
        <v>70.451691932529798</v>
      </c>
      <c r="BB46">
        <v>29.222469482675798</v>
      </c>
      <c r="BC46">
        <v>27.4411037015293</v>
      </c>
      <c r="BD46">
        <v>11.9393939393939</v>
      </c>
      <c r="BE46">
        <v>0.115</v>
      </c>
      <c r="BF46">
        <v>0.28858990605000001</v>
      </c>
      <c r="BG46">
        <v>9.4690413745668902</v>
      </c>
      <c r="BH46">
        <v>7.1</v>
      </c>
      <c r="BI46">
        <v>1.0947439094571201</v>
      </c>
      <c r="BJ46">
        <v>60</v>
      </c>
      <c r="BK46">
        <v>69.345723838744306</v>
      </c>
      <c r="BL46">
        <v>54.779806281201999</v>
      </c>
      <c r="BM46">
        <v>190.00000000000099</v>
      </c>
      <c r="BN46">
        <v>2.2374382837239999</v>
      </c>
      <c r="BO46">
        <v>28084926</v>
      </c>
      <c r="BP46">
        <v>209767</v>
      </c>
      <c r="BQ46">
        <v>0.27056340325622202</v>
      </c>
      <c r="BR46">
        <v>0.48701938876109102</v>
      </c>
      <c r="BS46">
        <v>14</v>
      </c>
      <c r="BT46">
        <v>34.207500000000003</v>
      </c>
      <c r="BU46">
        <v>21.05263157894737</v>
      </c>
      <c r="BV46">
        <v>44.240116084565003</v>
      </c>
    </row>
    <row r="47" spans="1:74">
      <c r="A47" t="s">
        <v>370</v>
      </c>
      <c r="B47">
        <v>658457</v>
      </c>
      <c r="C47">
        <v>214</v>
      </c>
      <c r="D47">
        <v>0.95099999999999996</v>
      </c>
      <c r="E47">
        <v>45198.148736219497</v>
      </c>
      <c r="F47">
        <v>68642.521434534894</v>
      </c>
      <c r="G47">
        <v>2.0202403811980501E-2</v>
      </c>
      <c r="H47">
        <v>77.05</v>
      </c>
      <c r="I47">
        <v>296475.86876173498</v>
      </c>
      <c r="J47">
        <v>0</v>
      </c>
      <c r="K47">
        <v>342900</v>
      </c>
      <c r="L47">
        <v>0.30059473998804498</v>
      </c>
      <c r="M47">
        <v>47.977269288526699</v>
      </c>
      <c r="N47">
        <v>73.666910469254006</v>
      </c>
      <c r="O47">
        <v>13.994528905859299</v>
      </c>
      <c r="P47">
        <v>0.2</v>
      </c>
      <c r="Q47">
        <v>88.998528083020901</v>
      </c>
      <c r="R47">
        <v>5508.1257630043501</v>
      </c>
      <c r="S47">
        <v>92</v>
      </c>
      <c r="T47">
        <v>1047.97563316166</v>
      </c>
      <c r="U47">
        <v>3947.21</v>
      </c>
      <c r="V47">
        <v>516.33333333333303</v>
      </c>
      <c r="W47">
        <v>93.543807249667196</v>
      </c>
      <c r="X47">
        <v>0.45</v>
      </c>
      <c r="Y47">
        <v>73</v>
      </c>
      <c r="Z47">
        <v>56</v>
      </c>
      <c r="AA47">
        <v>31.25</v>
      </c>
      <c r="AB47">
        <v>0.60654468464451206</v>
      </c>
      <c r="AC47">
        <v>0.78226857887874801</v>
      </c>
      <c r="AD47">
        <v>10.637462125577001</v>
      </c>
      <c r="AE47">
        <v>3</v>
      </c>
      <c r="AF47">
        <v>1.97889182058047</v>
      </c>
      <c r="AG47">
        <v>33</v>
      </c>
      <c r="AH47">
        <v>72</v>
      </c>
      <c r="AI47">
        <v>3</v>
      </c>
      <c r="AJ47">
        <v>16103</v>
      </c>
      <c r="AK47">
        <v>469</v>
      </c>
      <c r="AL47">
        <v>4.8975345055127297</v>
      </c>
      <c r="AM47">
        <v>1.2820512820512799</v>
      </c>
      <c r="AN47">
        <v>68033</v>
      </c>
      <c r="AO47">
        <v>764315</v>
      </c>
      <c r="AP47">
        <v>0.14130000000000001</v>
      </c>
      <c r="AQ47">
        <v>1762.01494913397</v>
      </c>
      <c r="AR47">
        <v>0.68208092485549099</v>
      </c>
      <c r="AS47">
        <v>1420.83037825059</v>
      </c>
      <c r="AT47">
        <v>39.125153947182802</v>
      </c>
      <c r="AU47">
        <v>12.1496164517956</v>
      </c>
      <c r="AV47">
        <v>1.5E-3</v>
      </c>
      <c r="AW47">
        <v>81.599999999999994</v>
      </c>
      <c r="AX47">
        <v>98.054589087965098</v>
      </c>
      <c r="AY47">
        <v>26.445332272165899</v>
      </c>
      <c r="AZ47">
        <v>4420.7711007535099</v>
      </c>
      <c r="BA47">
        <v>75.700500346529594</v>
      </c>
      <c r="BB47">
        <v>4.2687670167250102</v>
      </c>
      <c r="BC47">
        <v>9.2057461629416792</v>
      </c>
      <c r="BD47">
        <v>33.830303030303</v>
      </c>
      <c r="BE47">
        <v>0.38840000000000002</v>
      </c>
      <c r="BF47">
        <v>0.26969385844999999</v>
      </c>
      <c r="BG47">
        <v>8.6903790662414497</v>
      </c>
      <c r="BH47">
        <v>5.5</v>
      </c>
      <c r="BI47">
        <v>1.3552566209347601</v>
      </c>
      <c r="BJ47">
        <v>86.3</v>
      </c>
      <c r="BK47">
        <v>90.457942983252906</v>
      </c>
      <c r="BL47">
        <v>67.077358254526303</v>
      </c>
      <c r="BM47">
        <v>122.00000000000099</v>
      </c>
      <c r="BN47">
        <v>2.27210187301892</v>
      </c>
      <c r="BO47">
        <v>12875064</v>
      </c>
      <c r="BP47">
        <v>127723</v>
      </c>
      <c r="BQ47">
        <v>0.60478878374920197</v>
      </c>
      <c r="BR47">
        <v>0.66666666666666596</v>
      </c>
      <c r="BS47">
        <v>22</v>
      </c>
      <c r="BT47">
        <v>24.77</v>
      </c>
      <c r="BU47">
        <v>29.75206611570248</v>
      </c>
      <c r="BV47">
        <v>42.079741226014697</v>
      </c>
    </row>
    <row r="48" spans="1:74">
      <c r="A48" t="s">
        <v>371</v>
      </c>
      <c r="B48">
        <v>1481400</v>
      </c>
      <c r="C48">
        <v>172</v>
      </c>
      <c r="D48">
        <v>3.3610000000000002</v>
      </c>
      <c r="E48">
        <v>82859.116063931098</v>
      </c>
      <c r="F48">
        <v>55932.979657034601</v>
      </c>
      <c r="G48">
        <v>3.5800809263769301E-2</v>
      </c>
      <c r="H48">
        <v>68.858333333333306</v>
      </c>
      <c r="I48">
        <v>269637.28999999998</v>
      </c>
      <c r="J48">
        <v>0</v>
      </c>
      <c r="K48">
        <v>722893</v>
      </c>
      <c r="L48">
        <v>0.24771140369369499</v>
      </c>
      <c r="M48">
        <v>48.087775427069701</v>
      </c>
      <c r="N48">
        <v>39.527296603488999</v>
      </c>
      <c r="O48">
        <v>17.3066738897883</v>
      </c>
      <c r="P48">
        <v>0.23</v>
      </c>
      <c r="Q48">
        <v>82.597270063686807</v>
      </c>
      <c r="R48">
        <v>9987.5580718296605</v>
      </c>
      <c r="S48">
        <v>2</v>
      </c>
      <c r="T48">
        <v>4087.5979167870901</v>
      </c>
      <c r="U48">
        <v>2358.58</v>
      </c>
      <c r="V48">
        <v>465</v>
      </c>
      <c r="W48">
        <v>799.57646082963697</v>
      </c>
      <c r="X48">
        <v>0.35</v>
      </c>
      <c r="Y48">
        <v>247.333333333333</v>
      </c>
      <c r="Z48">
        <v>5</v>
      </c>
      <c r="AA48">
        <v>31.25</v>
      </c>
      <c r="AB48">
        <v>5.0246042093451502</v>
      </c>
      <c r="AC48">
        <v>1.2991936126211601</v>
      </c>
      <c r="AD48">
        <v>24.822924334699501</v>
      </c>
      <c r="AE48">
        <v>14</v>
      </c>
      <c r="AF48">
        <v>46.318892848223697</v>
      </c>
      <c r="AG48">
        <v>22</v>
      </c>
      <c r="AH48">
        <v>39</v>
      </c>
      <c r="AI48">
        <v>2</v>
      </c>
      <c r="AJ48">
        <v>17196</v>
      </c>
      <c r="AK48">
        <v>1640</v>
      </c>
      <c r="AL48">
        <v>24.398101846900602</v>
      </c>
      <c r="AM48">
        <v>31.4052687722921</v>
      </c>
      <c r="AN48">
        <v>195921.68674698699</v>
      </c>
      <c r="AO48">
        <v>231169.29313366101</v>
      </c>
      <c r="AP48">
        <v>3.7499999999999999E-2</v>
      </c>
      <c r="AQ48">
        <v>2346.5369904942299</v>
      </c>
      <c r="AR48">
        <v>0.344444444444444</v>
      </c>
      <c r="AS48">
        <v>2267.40563118811</v>
      </c>
      <c r="AT48">
        <v>50.359706612577497</v>
      </c>
      <c r="AU48">
        <v>18.404255319148898</v>
      </c>
      <c r="AV48">
        <v>2.7000000000000001E-3</v>
      </c>
      <c r="AW48">
        <v>82.6</v>
      </c>
      <c r="AX48">
        <v>53.627634031339902</v>
      </c>
      <c r="AY48">
        <v>6.9540273705083502</v>
      </c>
      <c r="AZ48">
        <v>3984.96266067128</v>
      </c>
      <c r="BA48">
        <v>72.778646007400795</v>
      </c>
      <c r="BB48">
        <v>27.700118413319199</v>
      </c>
      <c r="BC48">
        <v>16.823018629731099</v>
      </c>
      <c r="BD48">
        <v>19.2715151515151</v>
      </c>
      <c r="BE48">
        <v>5.0700000000000002E-2</v>
      </c>
      <c r="BF48">
        <v>7.1730000000000002E-2</v>
      </c>
      <c r="BG48">
        <v>6.7098143538177997</v>
      </c>
      <c r="BH48">
        <v>19.5</v>
      </c>
      <c r="BI48">
        <v>0.73460020196456399</v>
      </c>
      <c r="BJ48">
        <v>64.599999999999994</v>
      </c>
      <c r="BK48">
        <v>37.602076182373203</v>
      </c>
      <c r="BL48">
        <v>62.297264191634902</v>
      </c>
      <c r="BM48">
        <v>155.00000000000199</v>
      </c>
      <c r="BN48">
        <v>5.8780907220115397</v>
      </c>
      <c r="BO48">
        <v>20004418</v>
      </c>
      <c r="BP48">
        <v>128269</v>
      </c>
      <c r="BQ48">
        <v>4.4563384065730599E-2</v>
      </c>
      <c r="BR48">
        <v>0.24563275103347099</v>
      </c>
      <c r="BS48">
        <v>36</v>
      </c>
      <c r="BT48">
        <v>32.802185929648203</v>
      </c>
      <c r="BU48">
        <v>29.75206611570248</v>
      </c>
      <c r="BV48">
        <v>58.094766806378402</v>
      </c>
    </row>
    <row r="49" spans="1:74">
      <c r="A49" t="s">
        <v>372</v>
      </c>
      <c r="B49">
        <v>5031195</v>
      </c>
      <c r="C49">
        <v>9992.7000000000007</v>
      </c>
      <c r="D49">
        <v>1.4419999999999999</v>
      </c>
      <c r="E49">
        <v>307143.05847737199</v>
      </c>
      <c r="F49">
        <v>60267.876501211802</v>
      </c>
      <c r="G49">
        <v>4.7782691765543901E-2</v>
      </c>
      <c r="H49">
        <v>74.75</v>
      </c>
      <c r="I49">
        <v>0</v>
      </c>
      <c r="J49">
        <v>71502</v>
      </c>
      <c r="K49">
        <v>2444990</v>
      </c>
      <c r="L49">
        <v>0.23854992644141601</v>
      </c>
      <c r="M49">
        <v>52.918866612924198</v>
      </c>
      <c r="N49">
        <v>83.699253729193799</v>
      </c>
      <c r="O49">
        <v>13.245473375679801</v>
      </c>
      <c r="P49">
        <v>0.3</v>
      </c>
      <c r="Q49">
        <v>90.893187148011904</v>
      </c>
      <c r="R49">
        <v>24972.036408057302</v>
      </c>
      <c r="S49">
        <v>328</v>
      </c>
      <c r="T49">
        <v>5166.73633709772</v>
      </c>
      <c r="U49">
        <v>73505.929999999993</v>
      </c>
      <c r="V49">
        <v>499</v>
      </c>
      <c r="W49">
        <v>3910.7954129874001</v>
      </c>
      <c r="X49">
        <v>0</v>
      </c>
      <c r="Y49">
        <v>176.666666666666</v>
      </c>
      <c r="Z49">
        <v>17</v>
      </c>
      <c r="AA49">
        <v>25</v>
      </c>
      <c r="AB49">
        <v>7.23484557322735</v>
      </c>
      <c r="AC49">
        <v>0.95610604085180295</v>
      </c>
      <c r="AD49">
        <v>43.294351828869097</v>
      </c>
      <c r="AE49">
        <v>1</v>
      </c>
      <c r="AF49">
        <v>28.637417465054099</v>
      </c>
      <c r="AG49">
        <v>39.5</v>
      </c>
      <c r="AH49">
        <v>23</v>
      </c>
      <c r="AI49">
        <v>16</v>
      </c>
      <c r="AJ49">
        <v>38416</v>
      </c>
      <c r="AK49">
        <v>6453</v>
      </c>
      <c r="AL49">
        <v>27.616303700157999</v>
      </c>
      <c r="AM49">
        <v>30.291800160822099</v>
      </c>
      <c r="AN49">
        <v>1970615</v>
      </c>
      <c r="AO49">
        <v>692980.35841834894</v>
      </c>
      <c r="AP49">
        <v>3.9438610449315001E-2</v>
      </c>
      <c r="AQ49">
        <v>1800.3622043969699</v>
      </c>
      <c r="AR49">
        <v>0.42635658914728602</v>
      </c>
      <c r="AS49">
        <v>2149.7597597597601</v>
      </c>
      <c r="AT49">
        <v>46.772451090452499</v>
      </c>
      <c r="AU49">
        <v>21.863593043004599</v>
      </c>
      <c r="AV49">
        <v>1.8E-3</v>
      </c>
      <c r="AW49">
        <v>83</v>
      </c>
      <c r="AX49">
        <v>79.253361164482399</v>
      </c>
      <c r="AY49">
        <v>22.6390838973483</v>
      </c>
      <c r="AZ49">
        <v>4165.3856555781604</v>
      </c>
      <c r="BA49">
        <v>78.319994691271006</v>
      </c>
      <c r="BB49">
        <v>26.933478086617601</v>
      </c>
      <c r="BC49">
        <v>24.821600513294101</v>
      </c>
      <c r="BD49">
        <v>62.969696969696898</v>
      </c>
      <c r="BE49">
        <v>8.3499999999999894E-2</v>
      </c>
      <c r="BF49">
        <v>0.252320262889971</v>
      </c>
      <c r="BG49">
        <v>14.8536739950381</v>
      </c>
      <c r="BH49">
        <v>4.8</v>
      </c>
      <c r="BI49">
        <v>0.837493077019277</v>
      </c>
      <c r="BJ49">
        <v>69.400000000000006</v>
      </c>
      <c r="BK49">
        <v>96.744436810491095</v>
      </c>
      <c r="BL49">
        <v>70.940034150907707</v>
      </c>
      <c r="BM49">
        <v>37</v>
      </c>
      <c r="BN49">
        <v>5.9553288593760296</v>
      </c>
      <c r="BO49">
        <v>25866561</v>
      </c>
      <c r="BP49">
        <v>208154</v>
      </c>
      <c r="BQ49">
        <v>2.8132227740923401</v>
      </c>
      <c r="BR49">
        <v>0.29572671120635302</v>
      </c>
      <c r="BS49">
        <v>22</v>
      </c>
      <c r="BT49">
        <v>31.75</v>
      </c>
      <c r="BU49">
        <v>29.26829268292683</v>
      </c>
      <c r="BV49">
        <v>65.175582272960796</v>
      </c>
    </row>
  </sheetData>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2">
    <tabColor theme="1"/>
  </sheetPr>
  <dimension ref="A1"/>
  <sheetViews>
    <sheetView zoomScaleNormal="100" workbookViewId="0"/>
  </sheetViews>
  <sheetFormatPr defaultRowHeight="15.75"/>
  <sheetData/>
  <phoneticPr fontId="5"/>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BY65"/>
  <sheetViews>
    <sheetView showGridLines="0" zoomScaleNormal="100" zoomScaleSheetLayoutView="100" workbookViewId="0">
      <pane xSplit="4" ySplit="5" topLeftCell="E27" activePane="bottomRight" state="frozen"/>
      <selection activeCell="I27" sqref="I27"/>
      <selection pane="topRight" activeCell="I27" sqref="I27"/>
      <selection pane="bottomLeft" activeCell="I27" sqref="I27"/>
      <selection pane="bottomRight" activeCell="I70" sqref="I70"/>
    </sheetView>
  </sheetViews>
  <sheetFormatPr defaultRowHeight="15.75"/>
  <cols>
    <col min="1" max="1" width="3.28515625" style="2" customWidth="1"/>
    <col min="2" max="2" width="8.140625" bestFit="1" customWidth="1"/>
    <col min="3" max="3" width="3.28515625" style="2" customWidth="1"/>
    <col min="4" max="4" width="16" customWidth="1"/>
    <col min="5" max="5" width="15.140625" bestFit="1" customWidth="1"/>
    <col min="6" max="7" width="9.85546875" customWidth="1"/>
    <col min="8" max="69" width="11.140625" customWidth="1"/>
    <col min="70" max="70" width="13.5703125" customWidth="1"/>
    <col min="71" max="77" width="11.140625" customWidth="1"/>
  </cols>
  <sheetData>
    <row r="1" spans="1:77">
      <c r="B1" t="s">
        <v>2526</v>
      </c>
      <c r="C1"/>
      <c r="D1" s="86"/>
      <c r="AK1" s="15"/>
    </row>
    <row r="2" spans="1:77" ht="15.4" customHeight="1">
      <c r="B2" t="s">
        <v>441</v>
      </c>
      <c r="D2" s="36" t="str">
        <f>IF(JPEN!$C$2="EN",指標!$E$2,指標!$D$2)</f>
        <v>分野</v>
      </c>
      <c r="E2" s="39" t="str">
        <f>IFERROR(INDEX(指標マスタ[],MATCH(E$5,指標マスタ['#],0),MATCH($D2,指標マスタ[#Headers],0))&amp;"","")</f>
        <v>基礎</v>
      </c>
      <c r="F2" s="39" t="str">
        <f>IFERROR(INDEX(指標マスタ[],MATCH(F$5,指標マスタ['#],0),MATCH($D2,指標マスタ[#Headers],0))&amp;"","")</f>
        <v/>
      </c>
      <c r="G2" s="39" t="str">
        <f>IFERROR(INDEX(指標マスタ[],MATCH(G$5,指標マスタ['#],0),MATCH($D2,指標マスタ[#Headers],0))&amp;"","")</f>
        <v/>
      </c>
      <c r="H2" s="183" t="str">
        <f>IFERROR(INDEX(指標マスタ[],MATCH(H$5,指標マスタ['#],0),MATCH($D2,指標マスタ[#Headers],0))&amp;"","")</f>
        <v>経済</v>
      </c>
      <c r="I2" s="183" t="str">
        <f>IFERROR(INDEX(指標マスタ[],MATCH(I$5,指標マスタ['#],0),MATCH($D2,指標マスタ[#Headers],0))&amp;"","")</f>
        <v/>
      </c>
      <c r="J2" s="183" t="str">
        <f>IFERROR(INDEX(指標マスタ[],MATCH(J$5,指標マスタ['#],0),MATCH($D2,指標マスタ[#Headers],0))&amp;"","")</f>
        <v/>
      </c>
      <c r="K2" s="183" t="str">
        <f>IFERROR(INDEX(指標マスタ[],MATCH(K$5,指標マスタ['#],0),MATCH($D2,指標マスタ[#Headers],0))&amp;"","")</f>
        <v/>
      </c>
      <c r="L2" s="183" t="str">
        <f>IFERROR(INDEX(指標マスタ[],MATCH(L$5,指標マスタ['#],0),MATCH($D2,指標マスタ[#Headers],0))&amp;"","")</f>
        <v/>
      </c>
      <c r="M2" s="183" t="str">
        <f>IFERROR(INDEX(指標マスタ[],MATCH(M$5,指標マスタ['#],0),MATCH($D2,指標マスタ[#Headers],0))&amp;"","")</f>
        <v/>
      </c>
      <c r="N2" s="183" t="str">
        <f>IFERROR(INDEX(指標マスタ[],MATCH(N$5,指標マスタ['#],0),MATCH($D2,指標マスタ[#Headers],0))&amp;"","")</f>
        <v/>
      </c>
      <c r="O2" s="183" t="str">
        <f>IFERROR(INDEX(指標マスタ[],MATCH(O$5,指標マスタ['#],0),MATCH($D2,指標マスタ[#Headers],0))&amp;"","")</f>
        <v/>
      </c>
      <c r="P2" s="183" t="str">
        <f>IFERROR(INDEX(指標マスタ[],MATCH(P$5,指標マスタ['#],0),MATCH($D2,指標マスタ[#Headers],0))&amp;"","")</f>
        <v/>
      </c>
      <c r="Q2" s="183" t="str">
        <f>IFERROR(INDEX(指標マスタ[],MATCH(Q$5,指標マスタ['#],0),MATCH($D2,指標マスタ[#Headers],0))&amp;"","")</f>
        <v/>
      </c>
      <c r="R2" s="183" t="str">
        <f>IFERROR(INDEX(指標マスタ[],MATCH(R$5,指標マスタ['#],0),MATCH($D2,指標マスタ[#Headers],0))&amp;"","")</f>
        <v/>
      </c>
      <c r="S2" s="183" t="str">
        <f>IFERROR(INDEX(指標マスタ[],MATCH(S$5,指標マスタ['#],0),MATCH($D2,指標マスタ[#Headers],0))&amp;"","")</f>
        <v/>
      </c>
      <c r="T2" s="183" t="str">
        <f>IFERROR(INDEX(指標マスタ[],MATCH(T$5,指標マスタ['#],0),MATCH($D2,指標マスタ[#Headers],0))&amp;"","")</f>
        <v/>
      </c>
      <c r="U2" s="187" t="str">
        <f>IFERROR(INDEX(指標マスタ[],MATCH(U$5,指標マスタ['#],0),MATCH($D2,指標マスタ[#Headers],0))&amp;"","")</f>
        <v>研究・開発</v>
      </c>
      <c r="V2" s="187" t="str">
        <f>IFERROR(INDEX(指標マスタ[],MATCH(V$5,指標マスタ['#],0),MATCH($D2,指標マスタ[#Headers],0))&amp;"","")</f>
        <v/>
      </c>
      <c r="W2" s="187" t="str">
        <f>IFERROR(INDEX(指標マスタ[],MATCH(W$5,指標マスタ['#],0),MATCH($D2,指標マスタ[#Headers],0))&amp;"","")</f>
        <v/>
      </c>
      <c r="X2" s="187" t="str">
        <f>IFERROR(INDEX(指標マスタ[],MATCH(X$5,指標マスタ['#],0),MATCH($D2,指標マスタ[#Headers],0))&amp;"","")</f>
        <v/>
      </c>
      <c r="Y2" s="187" t="str">
        <f>IFERROR(INDEX(指標マスタ[],MATCH(Y$5,指標マスタ['#],0),MATCH($D2,指標マスタ[#Headers],0))&amp;"","")</f>
        <v/>
      </c>
      <c r="Z2" s="187" t="str">
        <f>IFERROR(INDEX(指標マスタ[],MATCH(Z$5,指標マスタ['#],0),MATCH($D2,指標マスタ[#Headers],0))&amp;"","")</f>
        <v/>
      </c>
      <c r="AA2" s="187" t="str">
        <f>IFERROR(INDEX(指標マスタ[],MATCH(AA$5,指標マスタ['#],0),MATCH($D2,指標マスタ[#Headers],0))&amp;"","")</f>
        <v/>
      </c>
      <c r="AB2" s="187" t="str">
        <f>IFERROR(INDEX(指標マスタ[],MATCH(AB$5,指標マスタ['#],0),MATCH($D2,指標マスタ[#Headers],0))&amp;"","")</f>
        <v/>
      </c>
      <c r="AC2" s="193" t="str">
        <f>IFERROR(INDEX(指標マスタ[],MATCH(AC$5,指標マスタ['#],0),MATCH($D2,指標マスタ[#Headers],0))&amp;"","")</f>
        <v>文化・交流</v>
      </c>
      <c r="AD2" s="193" t="str">
        <f>IFERROR(INDEX(指標マスタ[],MATCH(AD$5,指標マスタ['#],0),MATCH($D2,指標マスタ[#Headers],0))&amp;"","")</f>
        <v/>
      </c>
      <c r="AE2" s="193" t="str">
        <f>IFERROR(INDEX(指標マスタ[],MATCH(AE$5,指標マスタ['#],0),MATCH($D2,指標マスタ[#Headers],0))&amp;"","")</f>
        <v/>
      </c>
      <c r="AF2" s="193" t="str">
        <f>IFERROR(INDEX(指標マスタ[],MATCH(AF$5,指標マスタ['#],0),MATCH($D2,指標マスタ[#Headers],0))&amp;"","")</f>
        <v/>
      </c>
      <c r="AG2" s="193" t="str">
        <f>IFERROR(INDEX(指標マスタ[],MATCH(AG$5,指標マスタ['#],0),MATCH($D2,指標マスタ[#Headers],0))&amp;"","")</f>
        <v/>
      </c>
      <c r="AH2" s="193" t="str">
        <f>IFERROR(INDEX(指標マスタ[],MATCH(AH$5,指標マスタ['#],0),MATCH($D2,指標マスタ[#Headers],0))&amp;"","")</f>
        <v/>
      </c>
      <c r="AI2" s="193" t="str">
        <f>IFERROR(INDEX(指標マスタ[],MATCH(AI$5,指標マスタ['#],0),MATCH($D2,指標マスタ[#Headers],0))&amp;"","")</f>
        <v/>
      </c>
      <c r="AJ2" s="193" t="str">
        <f>IFERROR(INDEX(指標マスタ[],MATCH(AJ$5,指標マスタ['#],0),MATCH($D2,指標マスタ[#Headers],0))&amp;"","")</f>
        <v/>
      </c>
      <c r="AK2" s="193" t="str">
        <f>IFERROR(INDEX(指標マスタ[],MATCH(AK$5,指標マスタ['#],0),MATCH($D2,指標マスタ[#Headers],0))&amp;"","")</f>
        <v/>
      </c>
      <c r="AL2" s="193" t="str">
        <f>IFERROR(INDEX(指標マスタ[],MATCH(AL$5,指標マスタ['#],0),MATCH($D2,指標マスタ[#Headers],0))&amp;"","")</f>
        <v/>
      </c>
      <c r="AM2" s="193" t="str">
        <f>IFERROR(INDEX(指標マスタ[],MATCH(AM$5,指標マスタ['#],0),MATCH($D2,指標マスタ[#Headers],0))&amp;"","")</f>
        <v/>
      </c>
      <c r="AN2" s="193" t="str">
        <f>IFERROR(INDEX(指標マスタ[],MATCH(AN$5,指標マスタ['#],0),MATCH($D2,指標マスタ[#Headers],0))&amp;"","")</f>
        <v/>
      </c>
      <c r="AO2" s="193" t="str">
        <f>IFERROR(INDEX(指標マスタ[],MATCH(AO$5,指標マスタ['#],0),MATCH($D2,指標マスタ[#Headers],0))&amp;"","")</f>
        <v/>
      </c>
      <c r="AP2" s="193" t="str">
        <f>IFERROR(INDEX(指標マスタ[],MATCH(AP$5,指標マスタ['#],0),MATCH($D2,指標マスタ[#Headers],0))&amp;"","")</f>
        <v/>
      </c>
      <c r="AQ2" s="193" t="str">
        <f>IFERROR(INDEX(指標マスタ[],MATCH(AQ$5,指標マスタ['#],0),MATCH($D2,指標マスタ[#Headers],0))&amp;"","")</f>
        <v/>
      </c>
      <c r="AR2" s="193" t="str">
        <f>IFERROR(INDEX(指標マスタ[],MATCH(AR$5,指標マスタ['#],0),MATCH($D2,指標マスタ[#Headers],0))&amp;"","")</f>
        <v/>
      </c>
      <c r="AS2" s="199" t="str">
        <f>IFERROR(INDEX(指標マスタ[],MATCH(AS$5,指標マスタ['#],0),MATCH($D2,指標マスタ[#Headers],0))&amp;"","")</f>
        <v>居住</v>
      </c>
      <c r="AT2" s="199" t="str">
        <f>IFERROR(INDEX(指標マスタ[],MATCH(AT$5,指標マスタ['#],0),MATCH($D2,指標マスタ[#Headers],0))&amp;"","")</f>
        <v/>
      </c>
      <c r="AU2" s="199" t="str">
        <f>IFERROR(INDEX(指標マスタ[],MATCH(AU$5,指標マスタ['#],0),MATCH($D2,指標マスタ[#Headers],0))&amp;"","")</f>
        <v/>
      </c>
      <c r="AV2" s="199" t="str">
        <f>IFERROR(INDEX(指標マスタ[],MATCH(AV$5,指標マスタ['#],0),MATCH($D2,指標マスタ[#Headers],0))&amp;"","")</f>
        <v/>
      </c>
      <c r="AW2" s="199" t="str">
        <f>IFERROR(INDEX(指標マスタ[],MATCH(AW$5,指標マスタ['#],0),MATCH($D2,指標マスタ[#Headers],0))&amp;"","")</f>
        <v/>
      </c>
      <c r="AX2" s="199" t="str">
        <f>IFERROR(INDEX(指標マスタ[],MATCH(AX$5,指標マスタ['#],0),MATCH($D2,指標マスタ[#Headers],0))&amp;"","")</f>
        <v/>
      </c>
      <c r="AY2" s="199" t="str">
        <f>IFERROR(INDEX(指標マスタ[],MATCH(AY$5,指標マスタ['#],0),MATCH($D2,指標マスタ[#Headers],0))&amp;"","")</f>
        <v/>
      </c>
      <c r="AZ2" s="199" t="str">
        <f>IFERROR(INDEX(指標マスタ[],MATCH(AZ$5,指標マスタ['#],0),MATCH($D2,指標マスタ[#Headers],0))&amp;"","")</f>
        <v/>
      </c>
      <c r="BA2" s="199" t="str">
        <f>IFERROR(INDEX(指標マスタ[],MATCH(BA$5,指標マスタ['#],0),MATCH($D2,指標マスタ[#Headers],0))&amp;"","")</f>
        <v/>
      </c>
      <c r="BB2" s="199" t="str">
        <f>IFERROR(INDEX(指標マスタ[],MATCH(BB$5,指標マスタ['#],0),MATCH($D2,指標マスタ[#Headers],0))&amp;"","")</f>
        <v/>
      </c>
      <c r="BC2" s="199" t="str">
        <f>IFERROR(INDEX(指標マスタ[],MATCH(BC$5,指標マスタ['#],0),MATCH($D2,指標マスタ[#Headers],0))&amp;"","")</f>
        <v/>
      </c>
      <c r="BD2" s="199" t="str">
        <f>IFERROR(INDEX(指標マスタ[],MATCH(BD$5,指標マスタ['#],0),MATCH($D2,指標マスタ[#Headers],0))&amp;"","")</f>
        <v/>
      </c>
      <c r="BE2" s="199" t="str">
        <f>IFERROR(INDEX(指標マスタ[],MATCH(BE$5,指標マスタ['#],0),MATCH($D2,指標マスタ[#Headers],0))&amp;"","")</f>
        <v/>
      </c>
      <c r="BF2" s="199" t="str">
        <f>IFERROR(INDEX(指標マスタ[],MATCH(BF$5,指標マスタ['#],0),MATCH($D2,指標マスタ[#Headers],0))&amp;"","")</f>
        <v/>
      </c>
      <c r="BG2" s="204" t="str">
        <f>IFERROR(INDEX(指標マスタ[],MATCH(BG$5,指標マスタ['#],0),MATCH($D2,指標マスタ[#Headers],0))&amp;"","")</f>
        <v>環境</v>
      </c>
      <c r="BH2" s="204" t="str">
        <f>IFERROR(INDEX(指標マスタ[],MATCH(BH$5,指標マスタ['#],0),MATCH($D2,指標マスタ[#Headers],0))&amp;"","")</f>
        <v/>
      </c>
      <c r="BI2" s="204" t="str">
        <f>IFERROR(INDEX(指標マスタ[],MATCH(BI$5,指標マスタ['#],0),MATCH($D2,指標マスタ[#Headers],0))&amp;"","")</f>
        <v/>
      </c>
      <c r="BJ2" s="204" t="str">
        <f>IFERROR(INDEX(指標マスタ[],MATCH(BJ$5,指標マスタ['#],0),MATCH($D2,指標マスタ[#Headers],0))&amp;"","")</f>
        <v/>
      </c>
      <c r="BK2" s="204" t="str">
        <f>IFERROR(INDEX(指標マスタ[],MATCH(BK$5,指標マスタ['#],0),MATCH($D2,指標マスタ[#Headers],0))&amp;"","")</f>
        <v/>
      </c>
      <c r="BL2" s="204" t="str">
        <f>IFERROR(INDEX(指標マスタ[],MATCH(BL$5,指標マスタ['#],0),MATCH($D2,指標マスタ[#Headers],0))&amp;"","")</f>
        <v/>
      </c>
      <c r="BM2" s="204" t="str">
        <f>IFERROR(INDEX(指標マスタ[],MATCH(BM$5,指標マスタ['#],0),MATCH($D2,指標マスタ[#Headers],0))&amp;"","")</f>
        <v/>
      </c>
      <c r="BN2" s="204" t="str">
        <f>IFERROR(INDEX(指標マスタ[],MATCH(BN$5,指標マスタ['#],0),MATCH($D2,指標マスタ[#Headers],0))&amp;"","")</f>
        <v/>
      </c>
      <c r="BO2" s="204" t="str">
        <f>IFERROR(INDEX(指標マスタ[],MATCH(BO$5,指標マスタ['#],0),MATCH($D2,指標マスタ[#Headers],0))&amp;"","")</f>
        <v/>
      </c>
      <c r="BP2" s="209" t="str">
        <f>IFERROR(INDEX(指標マスタ[],MATCH(BP$5,指標マスタ['#],0),MATCH($D2,指標マスタ[#Headers],0))&amp;"","")</f>
        <v>交通・アクセス</v>
      </c>
      <c r="BQ2" s="209" t="str">
        <f>IFERROR(INDEX(指標マスタ[],MATCH(BQ$5,指標マスタ['#],0),MATCH($D2,指標マスタ[#Headers],0))&amp;"","")</f>
        <v/>
      </c>
      <c r="BR2" s="209" t="str">
        <f>IFERROR(INDEX(指標マスタ[],MATCH(BR$5,指標マスタ['#],0),MATCH($D2,指標マスタ[#Headers],0))&amp;"","")</f>
        <v/>
      </c>
      <c r="BS2" s="209" t="str">
        <f>IFERROR(INDEX(指標マスタ[],MATCH(BS$5,指標マスタ['#],0),MATCH($D2,指標マスタ[#Headers],0))&amp;"","")</f>
        <v/>
      </c>
      <c r="BT2" s="209" t="str">
        <f>IFERROR(INDEX(指標マスタ[],MATCH(BT$5,指標マスタ['#],0),MATCH($D2,指標マスタ[#Headers],0))&amp;"","")</f>
        <v/>
      </c>
      <c r="BU2" s="209" t="str">
        <f>IFERROR(INDEX(指標マスタ[],MATCH(BU$5,指標マスタ['#],0),MATCH($D2,指標マスタ[#Headers],0))&amp;"","")</f>
        <v/>
      </c>
      <c r="BV2" s="209" t="str">
        <f>IFERROR(INDEX(指標マスタ[],MATCH(BV$5,指標マスタ['#],0),MATCH($D2,指標マスタ[#Headers],0))&amp;"","")</f>
        <v/>
      </c>
      <c r="BW2" s="209" t="str">
        <f>IFERROR(INDEX(指標マスタ[],MATCH(BW$5,指標マスタ['#],0),MATCH($D2,指標マスタ[#Headers],0))&amp;"","")</f>
        <v/>
      </c>
      <c r="BX2" s="209" t="str">
        <f>IFERROR(INDEX(指標マスタ[],MATCH(BX$5,指標マスタ['#],0),MATCH($D2,指標マスタ[#Headers],0))&amp;"","")</f>
        <v/>
      </c>
      <c r="BY2" s="209" t="str">
        <f>IFERROR(INDEX(指標マスタ[],MATCH(BY$5,指標マスタ['#],0),MATCH($D2,指標マスタ[#Headers],0))&amp;"","")</f>
        <v/>
      </c>
    </row>
    <row r="3" spans="1:77" ht="15.4" customHeight="1">
      <c r="B3" s="25">
        <f>COUNTIF(生データ表[00a]:生データ表[70],"-")+COUNTIF(生データ表[00a]:生データ表[70],"")</f>
        <v>0</v>
      </c>
      <c r="D3" s="36" t="str">
        <f>IF(JPEN!$C$2="EN",指標!$G$2,指標!$F$2)</f>
        <v>指標グループ</v>
      </c>
      <c r="E3" s="39" t="str">
        <f>IFERROR(INDEX(指標マスタ[],MATCH(E$5,指標マスタ['#],0),MATCH($D3,指標マスタ[#Headers],0))&amp;"","")</f>
        <v>基礎</v>
      </c>
      <c r="F3" s="39" t="str">
        <f>IFERROR(INDEX(指標マスタ[],MATCH(F$5,指標マスタ['#],0),MATCH($D3,指標マスタ[#Headers],0))&amp;"","")</f>
        <v/>
      </c>
      <c r="G3" s="39" t="str">
        <f>IFERROR(INDEX(指標マスタ[],MATCH(G$5,指標マスタ['#],0),MATCH($D3,指標マスタ[#Headers],0))&amp;"","")</f>
        <v/>
      </c>
      <c r="H3" s="183" t="str">
        <f>IFERROR(INDEX(指標マスタ[],MATCH(H$5,指標マスタ['#],0),MATCH($D3,指標マスタ[#Headers],0))&amp;"","")</f>
        <v>市場の規模</v>
      </c>
      <c r="I3" s="183" t="str">
        <f>IFERROR(INDEX(指標マスタ[],MATCH(I$5,指標マスタ['#],0),MATCH($D3,指標マスタ[#Headers],0))&amp;"","")</f>
        <v/>
      </c>
      <c r="J3" s="183" t="str">
        <f>IFERROR(INDEX(指標マスタ[],MATCH(J$5,指標マスタ['#],0),MATCH($D3,指標マスタ[#Headers],0))&amp;"","")</f>
        <v>市場の魅力</v>
      </c>
      <c r="K3" s="183" t="str">
        <f>IFERROR(INDEX(指標マスタ[],MATCH(K$5,指標マスタ['#],0),MATCH($D3,指標マスタ[#Headers],0))&amp;"","")</f>
        <v/>
      </c>
      <c r="L3" s="183" t="str">
        <f>IFERROR(INDEX(指標マスタ[],MATCH(L$5,指標マスタ['#],0),MATCH($D3,指標マスタ[#Headers],0))&amp;"","")</f>
        <v>経済集積</v>
      </c>
      <c r="M3" s="183" t="str">
        <f>IFERROR(INDEX(指標マスタ[],MATCH(M$5,指標マスタ['#],0),MATCH($D3,指標マスタ[#Headers],0))&amp;"","")</f>
        <v/>
      </c>
      <c r="N3" s="183" t="str">
        <f>IFERROR(INDEX(指標マスタ[],MATCH(N$5,指標マスタ['#],0),MATCH($D3,指標マスタ[#Headers],0))&amp;"","")</f>
        <v>人的集積</v>
      </c>
      <c r="O3" s="183" t="str">
        <f>IFERROR(INDEX(指標マスタ[],MATCH(O$5,指標マスタ['#],0),MATCH($D3,指標マスタ[#Headers],0))&amp;"","")</f>
        <v/>
      </c>
      <c r="P3" s="183" t="str">
        <f>IFERROR(INDEX(指標マスタ[],MATCH(P$5,指標マスタ['#],0),MATCH($D3,指標マスタ[#Headers],0))&amp;"","")</f>
        <v>ビジネス環境</v>
      </c>
      <c r="Q3" s="183" t="str">
        <f>IFERROR(INDEX(指標マスタ[],MATCH(Q$5,指標マスタ['#],0),MATCH($D3,指標マスタ[#Headers],0))&amp;"","")</f>
        <v/>
      </c>
      <c r="R3" s="183" t="str">
        <f>IFERROR(INDEX(指標マスタ[],MATCH(R$5,指標マスタ['#],0),MATCH($D3,指標マスタ[#Headers],0))&amp;"","")</f>
        <v/>
      </c>
      <c r="S3" s="183" t="str">
        <f>IFERROR(INDEX(指標マスタ[],MATCH(S$5,指標マスタ['#],0),MATCH($D3,指標マスタ[#Headers],0))&amp;"","")</f>
        <v>ビジネスの容易性</v>
      </c>
      <c r="T3" s="183" t="str">
        <f>IFERROR(INDEX(指標マスタ[],MATCH(T$5,指標マスタ['#],0),MATCH($D3,指標マスタ[#Headers],0))&amp;"","")</f>
        <v/>
      </c>
      <c r="U3" s="187" t="str">
        <f>IFERROR(INDEX(指標マスタ[],MATCH(U$5,指標マスタ['#],0),MATCH($D3,指標マスタ[#Headers],0))&amp;"","")</f>
        <v>研究集積</v>
      </c>
      <c r="V3" s="187" t="str">
        <f>IFERROR(INDEX(指標マスタ[],MATCH(V$5,指標マスタ['#],0),MATCH($D3,指標マスタ[#Headers],0))&amp;"","")</f>
        <v/>
      </c>
      <c r="W3" s="188" t="str">
        <f>IFERROR(INDEX(指標マスタ[],MATCH(W$5,指標マスタ['#],0),MATCH($D3,指標マスタ[#Headers],0))&amp;"","")</f>
        <v>研究環境</v>
      </c>
      <c r="X3" s="188" t="str">
        <f>IFERROR(INDEX(指標マスタ[],MATCH(X$5,指標マスタ['#],0),MATCH($D3,指標マスタ[#Headers],0))&amp;"","")</f>
        <v/>
      </c>
      <c r="Y3" s="188" t="str">
        <f>IFERROR(INDEX(指標マスタ[],MATCH(Y$5,指標マスタ['#],0),MATCH($D3,指標マスタ[#Headers],0))&amp;"","")</f>
        <v/>
      </c>
      <c r="Z3" s="188" t="str">
        <f>IFERROR(INDEX(指標マスタ[],MATCH(Z$5,指標マスタ['#],0),MATCH($D3,指標マスタ[#Headers],0))&amp;"","")</f>
        <v>イノベーション</v>
      </c>
      <c r="AA3" s="188" t="str">
        <f>IFERROR(INDEX(指標マスタ[],MATCH(AA$5,指標マスタ['#],0),MATCH($D3,指標マスタ[#Headers],0))&amp;"","")</f>
        <v/>
      </c>
      <c r="AB3" s="188" t="str">
        <f>IFERROR(INDEX(指標マスタ[],MATCH(AB$5,指標マスタ['#],0),MATCH($D3,指標マスタ[#Headers],0))&amp;"","")</f>
        <v/>
      </c>
      <c r="AC3" s="194" t="str">
        <f>IFERROR(INDEX(指標マスタ[],MATCH(AC$5,指標マスタ['#],0),MATCH($D3,指標マスタ[#Headers],0))&amp;"","")</f>
        <v>発信力</v>
      </c>
      <c r="AD3" s="194" t="str">
        <f>IFERROR(INDEX(指標マスタ[],MATCH(AD$5,指標マスタ['#],0),MATCH($D3,指標マスタ[#Headers],0))&amp;"","")</f>
        <v/>
      </c>
      <c r="AE3" s="194" t="str">
        <f>IFERROR(INDEX(指標マスタ[],MATCH(AE$5,指標マスタ['#],0),MATCH($D3,指標マスタ[#Headers],0))&amp;"","")</f>
        <v/>
      </c>
      <c r="AF3" s="194" t="str">
        <f>IFERROR(INDEX(指標マスタ[],MATCH(AF$5,指標マスタ['#],0),MATCH($D3,指標マスタ[#Headers],0))&amp;"","")</f>
        <v/>
      </c>
      <c r="AG3" s="193" t="str">
        <f>IFERROR(INDEX(指標マスタ[],MATCH(AG$5,指標マスタ['#],0),MATCH($D3,指標マスタ[#Headers],0))&amp;"","")</f>
        <v>観光資源</v>
      </c>
      <c r="AH3" s="193" t="str">
        <f>IFERROR(INDEX(指標マスタ[],MATCH(AH$5,指標マスタ['#],0),MATCH($D3,指標マスタ[#Headers],0))&amp;"","")</f>
        <v/>
      </c>
      <c r="AI3" s="193" t="str">
        <f>IFERROR(INDEX(指標マスタ[],MATCH(AI$5,指標マスタ['#],0),MATCH($D3,指標マスタ[#Headers],0))&amp;"","")</f>
        <v/>
      </c>
      <c r="AJ3" s="194" t="str">
        <f>IFERROR(INDEX(指標マスタ[],MATCH(AJ$5,指標マスタ['#],0),MATCH($D3,指標マスタ[#Headers],0))&amp;"","")</f>
        <v>文化施設</v>
      </c>
      <c r="AK3" s="194" t="str">
        <f>IFERROR(INDEX(指標マスタ[],MATCH(AK$5,指標マスタ['#],0),MATCH($D3,指標マスタ[#Headers],0))&amp;"","")</f>
        <v/>
      </c>
      <c r="AL3" s="194" t="str">
        <f>IFERROR(INDEX(指標マスタ[],MATCH(AL$5,指標マスタ['#],0),MATCH($D3,指標マスタ[#Headers],0))&amp;"","")</f>
        <v/>
      </c>
      <c r="AM3" s="194" t="str">
        <f>IFERROR(INDEX(指標マスタ[],MATCH(AM$5,指標マスタ['#],0),MATCH($D3,指標マスタ[#Headers],0))&amp;"","")</f>
        <v>受入環境</v>
      </c>
      <c r="AN3" s="194" t="str">
        <f>IFERROR(INDEX(指標マスタ[],MATCH(AN$5,指標マスタ['#],0),MATCH($D3,指標マスタ[#Headers],0))&amp;"","")</f>
        <v/>
      </c>
      <c r="AO3" s="194" t="str">
        <f>IFERROR(INDEX(指標マスタ[],MATCH(AO$5,指標マスタ['#],0),MATCH($D3,指標マスタ[#Headers],0))&amp;"","")</f>
        <v/>
      </c>
      <c r="AP3" s="194" t="str">
        <f>IFERROR(INDEX(指標マスタ[],MATCH(AP$5,指標マスタ['#],0),MATCH($D3,指標マスタ[#Headers],0))&amp;"","")</f>
        <v/>
      </c>
      <c r="AQ3" s="194" t="str">
        <f>IFERROR(INDEX(指標マスタ[],MATCH(AQ$5,指標マスタ['#],0),MATCH($D3,指標マスタ[#Headers],0))&amp;"","")</f>
        <v>外国人受入実績</v>
      </c>
      <c r="AR3" s="194" t="str">
        <f>IFERROR(INDEX(指標マスタ[],MATCH(AR$5,指標マスタ['#],0),MATCH($D3,指標マスタ[#Headers],0))&amp;"","")</f>
        <v/>
      </c>
      <c r="AS3" s="199" t="str">
        <f>IFERROR(INDEX(指標マスタ[],MATCH(AS$5,指標マスタ['#],0),MATCH($D3,指標マスタ[#Headers],0))&amp;"","")</f>
        <v>就業環境</v>
      </c>
      <c r="AT3" s="199" t="str">
        <f>IFERROR(INDEX(指標マスタ[],MATCH(AT$5,指標マスタ['#],0),MATCH($D3,指標マスタ[#Headers],0))&amp;"","")</f>
        <v/>
      </c>
      <c r="AU3" s="199" t="str">
        <f>IFERROR(INDEX(指標マスタ[],MATCH(AU$5,指標マスタ['#],0),MATCH($D3,指標マスタ[#Headers],0))&amp;"","")</f>
        <v/>
      </c>
      <c r="AV3" s="199" t="str">
        <f>IFERROR(INDEX(指標マスタ[],MATCH(AV$5,指標マスタ['#],0),MATCH($D3,指標マスタ[#Headers],0))&amp;"","")</f>
        <v>居住コスト</v>
      </c>
      <c r="AW3" s="199" t="str">
        <f>IFERROR(INDEX(指標マスタ[],MATCH(AW$5,指標マスタ['#],0),MATCH($D3,指標マスタ[#Headers],0))&amp;"","")</f>
        <v/>
      </c>
      <c r="AX3" s="199" t="str">
        <f>IFERROR(INDEX(指標マスタ[],MATCH(AX$5,指標マスタ['#],0),MATCH($D3,指標マスタ[#Headers],0))&amp;"","")</f>
        <v>安全・安心</v>
      </c>
      <c r="AY3" s="199" t="str">
        <f>IFERROR(INDEX(指標マスタ[],MATCH(AY$5,指標マスタ['#],0),MATCH($D3,指標マスタ[#Headers],0))&amp;"","")</f>
        <v/>
      </c>
      <c r="AZ3" s="199" t="str">
        <f>IFERROR(INDEX(指標マスタ[],MATCH(AZ$5,指標マスタ['#],0),MATCH($D3,指標マスタ[#Headers],0))&amp;"","")</f>
        <v>生活良好性</v>
      </c>
      <c r="BA3" s="199" t="str">
        <f>IFERROR(INDEX(指標マスタ[],MATCH(BA$5,指標マスタ['#],0),MATCH($D3,指標マスタ[#Headers],0))&amp;"","")</f>
        <v/>
      </c>
      <c r="BB3" s="199" t="str">
        <f>IFERROR(INDEX(指標マスタ[],MATCH(BB$5,指標マスタ['#],0),MATCH($D3,指標マスタ[#Headers],0))&amp;"","")</f>
        <v/>
      </c>
      <c r="BC3" s="199" t="str">
        <f>IFERROR(INDEX(指標マスタ[],MATCH(BC$5,指標マスタ['#],0),MATCH($D3,指標マスタ[#Headers],0))&amp;"","")</f>
        <v>生活利便性</v>
      </c>
      <c r="BD3" s="199" t="str">
        <f>IFERROR(INDEX(指標マスタ[],MATCH(BD$5,指標マスタ['#],0),MATCH($D3,指標マスタ[#Headers],0))&amp;"","")</f>
        <v/>
      </c>
      <c r="BE3" s="199" t="str">
        <f>IFERROR(INDEX(指標マスタ[],MATCH(BE$5,指標マスタ['#],0),MATCH($D3,指標マスタ[#Headers],0))&amp;"","")</f>
        <v/>
      </c>
      <c r="BF3" s="199" t="str">
        <f>IFERROR(INDEX(指標マスタ[],MATCH(BF$5,指標マスタ['#],0),MATCH($D3,指標マスタ[#Headers],0))&amp;"","")</f>
        <v/>
      </c>
      <c r="BG3" s="204" t="str">
        <f>IFERROR(INDEX(指標マスタ[],MATCH(BG$5,指標マスタ['#],0),MATCH($D3,指標マスタ[#Headers],0))&amp;"","")</f>
        <v>持続可能性</v>
      </c>
      <c r="BH3" s="204" t="str">
        <f>IFERROR(INDEX(指標マスタ[],MATCH(BH$5,指標マスタ['#],0),MATCH($D3,指標マスタ[#Headers],0))&amp;"","")</f>
        <v/>
      </c>
      <c r="BI3" s="204" t="str">
        <f>IFERROR(INDEX(指標マスタ[],MATCH(BI$5,指標マスタ['#],0),MATCH($D3,指標マスタ[#Headers],0))&amp;"","")</f>
        <v/>
      </c>
      <c r="BJ3" s="204" t="str">
        <f>IFERROR(INDEX(指標マスタ[],MATCH(BJ$5,指標マスタ['#],0),MATCH($D3,指標マスタ[#Headers],0))&amp;"","")</f>
        <v>空気環境</v>
      </c>
      <c r="BK3" s="204" t="str">
        <f>IFERROR(INDEX(指標マスタ[],MATCH(BK$5,指標マスタ['#],0),MATCH($D3,指標マスタ[#Headers],0))&amp;"","")</f>
        <v/>
      </c>
      <c r="BL3" s="204" t="str">
        <f>IFERROR(INDEX(指標マスタ[],MATCH(BL$5,指標マスタ['#],0),MATCH($D3,指標マスタ[#Headers],0))&amp;"","")</f>
        <v/>
      </c>
      <c r="BM3" s="204" t="str">
        <f>IFERROR(INDEX(指標マスタ[],MATCH(BM$5,指標マスタ['#],0),MATCH($D3,指標マスタ[#Headers],0))&amp;"","")</f>
        <v>都市環境</v>
      </c>
      <c r="BN3" s="204" t="str">
        <f>IFERROR(INDEX(指標マスタ[],MATCH(BN$5,指標マスタ['#],0),MATCH($D3,指標マスタ[#Headers],0))&amp;"","")</f>
        <v/>
      </c>
      <c r="BO3" s="204" t="str">
        <f>IFERROR(INDEX(指標マスタ[],MATCH(BO$5,指標マスタ['#],0),MATCH($D3,指標マスタ[#Headers],0))&amp;"","")</f>
        <v/>
      </c>
      <c r="BP3" s="209" t="str">
        <f>IFERROR(INDEX(指標マスタ[],MATCH(BP$5,指標マスタ['#],0),MATCH($D3,指標マスタ[#Headers],0))&amp;"","")</f>
        <v>国際ネットワーク</v>
      </c>
      <c r="BQ3" s="209" t="str">
        <f>IFERROR(INDEX(指標マスタ[],MATCH(BQ$5,指標マスタ['#],0),MATCH($D3,指標マスタ[#Headers],0))&amp;"","")</f>
        <v/>
      </c>
      <c r="BR3" s="209" t="str">
        <f>IFERROR(INDEX(指標マスタ[],MATCH(BR$5,指標マスタ['#],0),MATCH($D3,指標マスタ[#Headers],0))&amp;"","")</f>
        <v>航空キャパシティ</v>
      </c>
      <c r="BS3" s="209" t="str">
        <f>IFERROR(INDEX(指標マスタ[],MATCH(BS$5,指標マスタ['#],0),MATCH($D3,指標マスタ[#Headers],0))&amp;"","")</f>
        <v/>
      </c>
      <c r="BT3" s="209" t="str">
        <f>IFERROR(INDEX(指標マスタ[],MATCH(BT$5,指標マスタ['#],0),MATCH($D3,指標マスタ[#Headers],0))&amp;"","")</f>
        <v>都市内交通</v>
      </c>
      <c r="BU3" s="209" t="str">
        <f>IFERROR(INDEX(指標マスタ[],MATCH(BU$5,指標マスタ['#],0),MATCH($D3,指標マスタ[#Headers],0))&amp;"","")</f>
        <v/>
      </c>
      <c r="BV3" s="209" t="str">
        <f>IFERROR(INDEX(指標マスタ[],MATCH(BV$5,指標マスタ['#],0),MATCH($D3,指標マスタ[#Headers],0))&amp;"","")</f>
        <v/>
      </c>
      <c r="BW3" s="209" t="str">
        <f>IFERROR(INDEX(指標マスタ[],MATCH(BW$5,指標マスタ['#],0),MATCH($D3,指標マスタ[#Headers],0))&amp;"","")</f>
        <v>移動の快適性</v>
      </c>
      <c r="BX3" s="209" t="str">
        <f>IFERROR(INDEX(指標マスタ[],MATCH(BX$5,指標マスタ['#],0),MATCH($D3,指標マスタ[#Headers],0))&amp;"","")</f>
        <v/>
      </c>
      <c r="BY3" s="209" t="str">
        <f>IFERROR(INDEX(指標マスタ[],MATCH(BY$5,指標マスタ['#],0),MATCH($D3,指標マスタ[#Headers],0))&amp;"","")</f>
        <v/>
      </c>
    </row>
    <row r="4" spans="1:77">
      <c r="D4" s="36" t="str">
        <f>IF(JPEN!$C$2="EN",指標!$I$2,指標!$H$2)</f>
        <v>指標</v>
      </c>
      <c r="E4" s="43" t="str">
        <f>IFERROR(INDEX(指標マスタ[],MATCH(E$5,指標マスタ['#],0),MATCH($D4,指標マスタ[#Headers],0))&amp;"","")</f>
        <v>人口</v>
      </c>
      <c r="F4" s="43" t="str">
        <f>IFERROR(INDEX(指標マスタ[],MATCH(F$5,指標マスタ['#],0),MATCH($D4,指標マスタ[#Headers],0))&amp;"","")</f>
        <v>面積</v>
      </c>
      <c r="G4" s="43" t="str">
        <f>IFERROR(INDEX(指標マスタ[],MATCH(G$5,指標マスタ['#],0),MATCH($D4,指標マスタ[#Headers],0))&amp;"","")</f>
        <v>為替</v>
      </c>
      <c r="H4" s="183" t="str">
        <f>IFERROR(INDEX(指標マスタ[],MATCH(H$5,指標マスタ['#],0),MATCH($D4,指標マスタ[#Headers],0))&amp;"","")</f>
        <v>GDP</v>
      </c>
      <c r="I4" s="183" t="str">
        <f>IFERROR(INDEX(指標マスタ[],MATCH(I$5,指標マスタ['#],0),MATCH($D4,指標マスタ[#Headers],0))&amp;"","")</f>
        <v>1人あたりGDP</v>
      </c>
      <c r="J4" s="183" t="str">
        <f>IFERROR(INDEX(指標マスタ[],MATCH(J$5,指標マスタ['#],0),MATCH($D4,指標マスタ[#Headers],0))&amp;"","")</f>
        <v>GDP成長率</v>
      </c>
      <c r="K4" s="183" t="str">
        <f>IFERROR(INDEX(指標マスタ[],MATCH(K$5,指標マスタ['#],0),MATCH($D4,指標マスタ[#Headers],0))&amp;"","")</f>
        <v>経済自由度</v>
      </c>
      <c r="L4" s="183" t="str">
        <f>IFERROR(INDEX(指標マスタ[],MATCH(L$5,指標マスタ['#],0),MATCH($D4,指標マスタ[#Headers],0))&amp;"","")</f>
        <v>上場株式時価総額</v>
      </c>
      <c r="M4" s="183" t="str">
        <f>IFERROR(INDEX(指標マスタ[],MATCH(M$5,指標マスタ['#],0),MATCH($D4,指標マスタ[#Headers],0))&amp;"","")</f>
        <v>世界トップ500企業</v>
      </c>
      <c r="N4" s="183" t="str">
        <f>IFERROR(INDEX(指標マスタ[],MATCH(N$5,指標マスタ['#],0),MATCH($D4,指標マスタ[#Headers],0))&amp;"","")</f>
        <v>従業者数</v>
      </c>
      <c r="O4" s="183" t="str">
        <f>IFERROR(INDEX(指標マスタ[],MATCH(O$5,指標マスタ['#],0),MATCH($D4,指標マスタ[#Headers],0))&amp;"","")</f>
        <v>ビジネスサポート人材の多さ</v>
      </c>
      <c r="P4" s="183" t="str">
        <f>IFERROR(INDEX(指標マスタ[],MATCH(P$5,指標マスタ['#],0),MATCH($D4,指標マスタ[#Headers],0))&amp;"","")</f>
        <v>賃金水準の高さ</v>
      </c>
      <c r="Q4" s="183" t="str">
        <f>IFERROR(INDEX(指標マスタ[],MATCH(Q$5,指標マスタ['#],0),MATCH($D4,指標マスタ[#Headers],0))&amp;"","")</f>
        <v>優秀な人材確保の容易性</v>
      </c>
      <c r="R4" s="183" t="str">
        <f>IFERROR(INDEX(指標マスタ[],MATCH(R$5,指標マスタ['#],0),MATCH($D4,指標マスタ[#Headers],0))&amp;"","")</f>
        <v>ワークプレイス充実度</v>
      </c>
      <c r="S4" s="183" t="str">
        <f>IFERROR(INDEX(指標マスタ[],MATCH(S$5,指標マスタ['#],0),MATCH($D4,指標マスタ[#Headers],0))&amp;"","")</f>
        <v>法人税率の低さ</v>
      </c>
      <c r="T4" s="183" t="str">
        <f>IFERROR(INDEX(指標マスタ[],MATCH(T$5,指標マスタ['#],0),MATCH($D4,指標マスタ[#Headers],0))&amp;"","")</f>
        <v>政治・経済・商機のリスクの低さ</v>
      </c>
      <c r="U4" s="187" t="str">
        <f>IFERROR(INDEX(指標マスタ[],MATCH(U$5,指標マスタ['#],0),MATCH($D4,指標マスタ[#Headers],0))&amp;"","")</f>
        <v>研究者数</v>
      </c>
      <c r="V4" s="187" t="str">
        <f>IFERROR(INDEX(指標マスタ[],MATCH(V$5,指標マスタ['#],0),MATCH($D4,指標マスタ[#Headers],0))&amp;"","")</f>
        <v>世界トップ大学</v>
      </c>
      <c r="W4" s="187" t="str">
        <f>IFERROR(INDEX(指標マスタ[],MATCH(W$5,指標マスタ['#],0),MATCH($D4,指標マスタ[#Headers],0))&amp;"","")</f>
        <v>研究開発費</v>
      </c>
      <c r="X4" s="187" t="str">
        <f>IFERROR(INDEX(指標マスタ[],MATCH(X$5,指標マスタ['#],0),MATCH($D4,指標マスタ[#Headers],0))&amp;"","")</f>
        <v>留学生数</v>
      </c>
      <c r="Y4" s="187" t="str">
        <f>IFERROR(INDEX(指標マスタ[],MATCH(Y$5,指標マスタ['#],0),MATCH($D4,指標マスタ[#Headers],0))&amp;"","")</f>
        <v>学力の高さ</v>
      </c>
      <c r="Z4" s="187" t="str">
        <f>IFERROR(INDEX(指標マスタ[],MATCH(Z$5,指標マスタ['#],0),MATCH($D4,指標マスタ[#Headers],0))&amp;"","")</f>
        <v>特許登録件数</v>
      </c>
      <c r="AA4" s="187" t="str">
        <f>IFERROR(INDEX(指標マスタ[],MATCH(AA$5,指標マスタ['#],0),MATCH($D4,指標マスタ[#Headers],0))&amp;"","")</f>
        <v>主要科学技術賞受賞者数</v>
      </c>
      <c r="AB4" s="187" t="str">
        <f>IFERROR(INDEX(指標マスタ[],MATCH(AB$5,指標マスタ['#],0),MATCH($D4,指標マスタ[#Headers],0))&amp;"","")</f>
        <v>スタートアップ数</v>
      </c>
      <c r="AC4" s="193" t="str">
        <f>IFERROR(INDEX(指標マスタ[],MATCH(AC$5,指標マスタ['#],0),MATCH($D4,指標マスタ[#Headers],0))&amp;"","")</f>
        <v>国際コンベンション件数</v>
      </c>
      <c r="AD4" s="193" t="str">
        <f>IFERROR(INDEX(指標マスタ[],MATCH(AD$5,指標マスタ['#],0),MATCH($D4,指標マスタ[#Headers],0))&amp;"","")</f>
        <v>文化イベント開催件数</v>
      </c>
      <c r="AE4" s="193" t="str">
        <f>IFERROR(INDEX(指標マスタ[],MATCH(AE$5,指標マスタ['#],0),MATCH($D4,指標マスタ[#Headers],0))&amp;"","")</f>
        <v>コンテンツ輸出額</v>
      </c>
      <c r="AF4" s="193" t="str">
        <f>IFERROR(INDEX(指標マスタ[],MATCH(AF$5,指標マスタ['#],0),MATCH($D4,指標マスタ[#Headers],0))&amp;"","")</f>
        <v>アート市場環境</v>
      </c>
      <c r="AG4" s="193" t="str">
        <f>IFERROR(INDEX(指標マスタ[],MATCH(AG$5,指標マスタ['#],0),MATCH($D4,指標マスタ[#Headers],0))&amp;"","")</f>
        <v>観光地の充実度</v>
      </c>
      <c r="AH4" s="193" t="str">
        <f>IFERROR(INDEX(指標マスタ[],MATCH(AH$5,指標マスタ['#],0),MATCH($D4,指標マスタ[#Headers],0))&amp;"","")</f>
        <v>世界遺産への近接性</v>
      </c>
      <c r="AI4" s="193" t="str">
        <f>IFERROR(INDEX(指標マスタ[],MATCH(AI$5,指標マスタ['#],0),MATCH($D4,指標マスタ[#Headers],0))&amp;"","")</f>
        <v>ナイトライフ充実度</v>
      </c>
      <c r="AJ4" s="193" t="str">
        <f>IFERROR(INDEX(指標マスタ[],MATCH(AJ$5,指標マスタ['#],0),MATCH($D4,指標マスタ[#Headers],0))&amp;"","")</f>
        <v>劇場・コンサートホール数</v>
      </c>
      <c r="AK4" s="193" t="str">
        <f>IFERROR(INDEX(指標マスタ[],MATCH(AK$5,指標マスタ['#],0),MATCH($D4,指標マスタ[#Headers],0))&amp;"","")</f>
        <v>美術館・博物館数</v>
      </c>
      <c r="AL4" s="193" t="str">
        <f>IFERROR(INDEX(指標マスタ[],MATCH(AL$5,指標マスタ['#],0),MATCH($D4,指標マスタ[#Headers],0))&amp;"","")</f>
        <v>スタジアム数</v>
      </c>
      <c r="AM4" s="193" t="str">
        <f>IFERROR(INDEX(指標マスタ[],MATCH(AM$5,指標マスタ['#],0),MATCH($D4,指標マスタ[#Headers],0))&amp;"","")</f>
        <v>ホテル客室数</v>
      </c>
      <c r="AN4" s="193" t="str">
        <f>IFERROR(INDEX(指標マスタ[],MATCH(AN$5,指標マスタ['#],0),MATCH($D4,指標マスタ[#Headers],0))&amp;"","")</f>
        <v>ハイクラスホテル客室数</v>
      </c>
      <c r="AO4" s="193" t="str">
        <f>IFERROR(INDEX(指標マスタ[],MATCH(AO$5,指標マスタ['#],0),MATCH($D4,指標マスタ[#Headers],0))&amp;"","")</f>
        <v>買物の魅力</v>
      </c>
      <c r="AP4" s="193" t="str">
        <f>IFERROR(INDEX(指標マスタ[],MATCH(AP$5,指標マスタ['#],0),MATCH($D4,指標マスタ[#Headers],0))&amp;"","")</f>
        <v>食事の魅力</v>
      </c>
      <c r="AQ4" s="193" t="str">
        <f>IFERROR(INDEX(指標マスタ[],MATCH(AQ$5,指標マスタ['#],0),MATCH($D4,指標マスタ[#Headers],0))&amp;"","")</f>
        <v>外国人居住者数</v>
      </c>
      <c r="AR4" s="193" t="str">
        <f>IFERROR(INDEX(指標マスタ[],MATCH(AR$5,指標マスタ['#],0),MATCH($D4,指標マスタ[#Headers],0))&amp;"","")</f>
        <v>外国人訪問者数</v>
      </c>
      <c r="AS4" s="199" t="str">
        <f>IFERROR(INDEX(指標マスタ[],MATCH(AS$5,指標マスタ['#],0),MATCH($D4,指標マスタ[#Headers],0))&amp;"","")</f>
        <v>完全失業率の低さ</v>
      </c>
      <c r="AT4" s="199" t="str">
        <f>IFERROR(INDEX(指標マスタ[],MATCH(AT$5,指標マスタ['#],0),MATCH($D4,指標マスタ[#Headers],0))&amp;"","")</f>
        <v>1人あたりの総労働時間の短さ</v>
      </c>
      <c r="AU4" s="199" t="str">
        <f>IFERROR(INDEX(指標マスタ[],MATCH(AU$5,指標マスタ['#],0),MATCH($D4,指標マスタ[#Headers],0))&amp;"","")</f>
        <v>働き方の柔軟性</v>
      </c>
      <c r="AV4" s="199" t="str">
        <f>IFERROR(INDEX(指標マスタ[],MATCH(AV$5,指標マスタ['#],0),MATCH($D4,指標マスタ[#Headers],0))&amp;"","")</f>
        <v>住宅賃料水準の低さ</v>
      </c>
      <c r="AW4" s="199" t="str">
        <f>IFERROR(INDEX(指標マスタ[],MATCH(AW$5,指標マスタ['#],0),MATCH($D4,指標マスタ[#Headers],0))&amp;"","")</f>
        <v>物価水準の低さ</v>
      </c>
      <c r="AX4" s="199" t="str">
        <f>IFERROR(INDEX(指標マスタ[],MATCH(AX$5,指標マスタ['#],0),MATCH($D4,指標マスタ[#Headers],0))&amp;"","")</f>
        <v>殺人件数の少なさ</v>
      </c>
      <c r="AY4" s="199" t="str">
        <f>IFERROR(INDEX(指標マスタ[],MATCH(AY$5,指標マスタ['#],0),MATCH($D4,指標マスタ[#Headers],0))&amp;"","")</f>
        <v>自然災害の経済的リスクの少なさ</v>
      </c>
      <c r="AZ4" s="199" t="str">
        <f>IFERROR(INDEX(指標マスタ[],MATCH(AZ$5,指標マスタ['#],0),MATCH($D4,指標マスタ[#Headers],0))&amp;"","")</f>
        <v>平均寿命</v>
      </c>
      <c r="BA4" s="199" t="str">
        <f>IFERROR(INDEX(指標マスタ[],MATCH(BA$5,指標マスタ['#],0),MATCH($D4,指標マスタ[#Headers],0))&amp;"","")</f>
        <v>社会の自由度・平等さ</v>
      </c>
      <c r="BB4" s="199" t="str">
        <f>IFERROR(INDEX(指標マスタ[],MATCH(BB$5,指標マスタ['#],0),MATCH($D4,指標マスタ[#Headers],0))&amp;"","")</f>
        <v>メンタルヘルス水準</v>
      </c>
      <c r="BC4" s="199" t="str">
        <f>IFERROR(INDEX(指標マスタ[],MATCH(BC$5,指標マスタ['#],0),MATCH($D4,指標マスタ[#Headers],0))&amp;"","")</f>
        <v>医師数</v>
      </c>
      <c r="BD4" s="199" t="str">
        <f>IFERROR(INDEX(指標マスタ[],MATCH(BD$5,指標マスタ['#],0),MATCH($D4,指標マスタ[#Headers],0))&amp;"","")</f>
        <v>ICT環境の充実度</v>
      </c>
      <c r="BE4" s="199" t="str">
        <f>IFERROR(INDEX(指標マスタ[],MATCH(BE$5,指標マスタ['#],0),MATCH($D4,指標マスタ[#Headers],0))&amp;"","")</f>
        <v>小売店舗の多さ</v>
      </c>
      <c r="BF4" s="199" t="str">
        <f>IFERROR(INDEX(指標マスタ[],MATCH(BF$5,指標マスタ['#],0),MATCH($D4,指標マスタ[#Headers],0))&amp;"","")</f>
        <v>飲食店の多さ</v>
      </c>
      <c r="BG4" s="204" t="str">
        <f>IFERROR(INDEX(指標マスタ[],MATCH(BG$5,指標マスタ['#],0),MATCH($D4,指標マスタ[#Headers],0))&amp;"","")</f>
        <v>環境への取り組み</v>
      </c>
      <c r="BH4" s="204" t="str">
        <f>IFERROR(INDEX(指標マスタ[],MATCH(BH$5,指標マスタ['#],0),MATCH($D4,指標マスタ[#Headers],0))&amp;"","")</f>
        <v>再生可能エネルギー比率</v>
      </c>
      <c r="BI4" s="204" t="str">
        <f>IFERROR(INDEX(指標マスタ[],MATCH(BI$5,指標マスタ['#],0),MATCH($D4,指標マスタ[#Headers],0))&amp;"","")</f>
        <v>リサイクル率</v>
      </c>
      <c r="BJ4" s="204" t="str">
        <f>IFERROR(INDEX(指標マスタ[],MATCH(BJ$5,指標マスタ['#],0),MATCH($D4,指標マスタ[#Headers],0))&amp;"","")</f>
        <v>1人あたりのCO2排出量の少なさ</v>
      </c>
      <c r="BK4" s="204" t="str">
        <f>IFERROR(INDEX(指標マスタ[],MATCH(BK$5,指標マスタ['#],0),MATCH($D4,指標マスタ[#Headers],0))&amp;"","")</f>
        <v>空気のきれいさ</v>
      </c>
      <c r="BL4" s="204" t="str">
        <f>IFERROR(INDEX(指標マスタ[],MATCH(BL$5,指標マスタ['#],0),MATCH($D4,指標マスタ[#Headers],0))&amp;"","")</f>
        <v>気温の快適性</v>
      </c>
      <c r="BM4" s="204" t="str">
        <f>IFERROR(INDEX(指標マスタ[],MATCH(BM$5,指標マスタ['#],0),MATCH($D4,指標マスタ[#Headers],0))&amp;"","")</f>
        <v>水質の良好性</v>
      </c>
      <c r="BN4" s="204" t="str">
        <f>IFERROR(INDEX(指標マスタ[],MATCH(BN$5,指標マスタ['#],0),MATCH($D4,指標マスタ[#Headers],0))&amp;"","")</f>
        <v>緑地の充実度</v>
      </c>
      <c r="BO4" s="204" t="str">
        <f>IFERROR(INDEX(指標マスタ[],MATCH(BO$5,指標マスタ['#],0),MATCH($D4,指標マスタ[#Headers],0))&amp;"","")</f>
        <v>都市空間の清潔さ</v>
      </c>
      <c r="BP4" s="209" t="str">
        <f>IFERROR(INDEX(指標マスタ[],MATCH(BP$5,指標マスタ['#],0),MATCH($D4,指標マスタ[#Headers],0))&amp;"","")</f>
        <v>国際線直行便就航都市数</v>
      </c>
      <c r="BQ4" s="209" t="str">
        <f>IFERROR(INDEX(指標マスタ[],MATCH(BQ$5,指標マスタ['#],0),MATCH($D4,指標マスタ[#Headers],0))&amp;"","")</f>
        <v>国際貨物流通規模</v>
      </c>
      <c r="BR4" s="209" t="str">
        <f>IFERROR(INDEX(指標マスタ[],MATCH(BR$5,指標マスタ['#],0),MATCH($D4,指標マスタ[#Headers],0))&amp;"","")</f>
        <v>国内・国際線旅客数</v>
      </c>
      <c r="BS4" s="209" t="str">
        <f>IFERROR(INDEX(指標マスタ[],MATCH(BS$5,指標マスタ['#],0),MATCH($D4,指標マスタ[#Headers],0))&amp;"","")</f>
        <v>航空機の発着回数</v>
      </c>
      <c r="BT4" s="209" t="str">
        <f>IFERROR(INDEX(指標マスタ[],MATCH(BT$5,指標マスタ['#],0),MATCH($D4,指標マスタ[#Headers],0))&amp;"","")</f>
        <v>駅密度</v>
      </c>
      <c r="BU4" s="209" t="str">
        <f>IFERROR(INDEX(指標マスタ[],MATCH(BU$5,指標マスタ['#],0),MATCH($D4,指標マスタ[#Headers],0))&amp;"","")</f>
        <v>公共交通機関利用率</v>
      </c>
      <c r="BV4" s="209" t="str">
        <f>IFERROR(INDEX(指標マスタ[],MATCH(BV$5,指標マスタ['#],0),MATCH($D4,指標マスタ[#Headers],0))&amp;"","")</f>
        <v>空港アクセス時間の短さ</v>
      </c>
      <c r="BW4" s="209" t="str">
        <f>IFERROR(INDEX(指標マスタ[],MATCH(BW$5,指標マスタ['#],0),MATCH($D4,指標マスタ[#Headers],0))&amp;"","")</f>
        <v>通勤・通学時間の短さ</v>
      </c>
      <c r="BX4" s="209" t="str">
        <f>IFERROR(INDEX(指標マスタ[],MATCH(BX$5,指標マスタ['#],0),MATCH($D4,指標マスタ[#Headers],0))&amp;"","")</f>
        <v>自動車の移動速度</v>
      </c>
      <c r="BY4" s="209" t="str">
        <f>IFERROR(INDEX(指標マスタ[],MATCH(BY$5,指標マスタ['#],0),MATCH($D4,指標マスタ[#Headers],0))&amp;"","")</f>
        <v>タクシー・自転車での移動のしやすさ</v>
      </c>
    </row>
    <row r="5" spans="1:77" s="2" customFormat="1">
      <c r="B5" s="60" t="s">
        <v>537</v>
      </c>
      <c r="C5" s="51" t="s">
        <v>208</v>
      </c>
      <c r="D5" s="52" t="s">
        <v>210</v>
      </c>
      <c r="E5" s="56" t="s">
        <v>1084</v>
      </c>
      <c r="F5" s="56" t="s">
        <v>1085</v>
      </c>
      <c r="G5" s="56" t="s">
        <v>675</v>
      </c>
      <c r="H5" s="132" t="s">
        <v>211</v>
      </c>
      <c r="I5" s="132" t="s">
        <v>212</v>
      </c>
      <c r="J5" s="132" t="s">
        <v>213</v>
      </c>
      <c r="K5" s="132" t="s">
        <v>214</v>
      </c>
      <c r="L5" s="132" t="s">
        <v>215</v>
      </c>
      <c r="M5" s="132" t="s">
        <v>216</v>
      </c>
      <c r="N5" s="132" t="s">
        <v>217</v>
      </c>
      <c r="O5" s="132" t="s">
        <v>218</v>
      </c>
      <c r="P5" s="132" t="s">
        <v>219</v>
      </c>
      <c r="Q5" s="134" t="s">
        <v>611</v>
      </c>
      <c r="R5" s="134" t="s">
        <v>547</v>
      </c>
      <c r="S5" s="134" t="s">
        <v>548</v>
      </c>
      <c r="T5" s="134" t="s">
        <v>549</v>
      </c>
      <c r="U5" s="142" t="s">
        <v>550</v>
      </c>
      <c r="V5" s="142" t="s">
        <v>551</v>
      </c>
      <c r="W5" s="142" t="s">
        <v>552</v>
      </c>
      <c r="X5" s="142" t="s">
        <v>553</v>
      </c>
      <c r="Y5" s="142" t="s">
        <v>554</v>
      </c>
      <c r="Z5" s="142" t="s">
        <v>555</v>
      </c>
      <c r="AA5" s="142" t="s">
        <v>556</v>
      </c>
      <c r="AB5" s="142" t="s">
        <v>557</v>
      </c>
      <c r="AC5" s="150" t="s">
        <v>558</v>
      </c>
      <c r="AD5" s="150" t="s">
        <v>559</v>
      </c>
      <c r="AE5" s="150" t="s">
        <v>560</v>
      </c>
      <c r="AF5" s="150" t="s">
        <v>561</v>
      </c>
      <c r="AG5" s="150" t="s">
        <v>562</v>
      </c>
      <c r="AH5" s="150" t="s">
        <v>563</v>
      </c>
      <c r="AI5" s="150" t="s">
        <v>564</v>
      </c>
      <c r="AJ5" s="150" t="s">
        <v>565</v>
      </c>
      <c r="AK5" s="150" t="s">
        <v>566</v>
      </c>
      <c r="AL5" s="150" t="s">
        <v>567</v>
      </c>
      <c r="AM5" s="150" t="s">
        <v>568</v>
      </c>
      <c r="AN5" s="150" t="s">
        <v>569</v>
      </c>
      <c r="AO5" s="150" t="s">
        <v>570</v>
      </c>
      <c r="AP5" s="150" t="s">
        <v>571</v>
      </c>
      <c r="AQ5" s="150" t="s">
        <v>572</v>
      </c>
      <c r="AR5" s="150" t="s">
        <v>573</v>
      </c>
      <c r="AS5" s="157" t="s">
        <v>574</v>
      </c>
      <c r="AT5" s="157" t="s">
        <v>575</v>
      </c>
      <c r="AU5" s="157" t="s">
        <v>576</v>
      </c>
      <c r="AV5" s="157" t="s">
        <v>577</v>
      </c>
      <c r="AW5" s="157" t="s">
        <v>578</v>
      </c>
      <c r="AX5" s="157" t="s">
        <v>579</v>
      </c>
      <c r="AY5" s="157" t="s">
        <v>580</v>
      </c>
      <c r="AZ5" s="157" t="s">
        <v>581</v>
      </c>
      <c r="BA5" s="157" t="s">
        <v>582</v>
      </c>
      <c r="BB5" s="157" t="s">
        <v>583</v>
      </c>
      <c r="BC5" s="157" t="s">
        <v>584</v>
      </c>
      <c r="BD5" s="157" t="s">
        <v>585</v>
      </c>
      <c r="BE5" s="157" t="s">
        <v>586</v>
      </c>
      <c r="BF5" s="157" t="s">
        <v>587</v>
      </c>
      <c r="BG5" s="165" t="s">
        <v>588</v>
      </c>
      <c r="BH5" s="165" t="s">
        <v>589</v>
      </c>
      <c r="BI5" s="165" t="s">
        <v>590</v>
      </c>
      <c r="BJ5" s="165" t="s">
        <v>591</v>
      </c>
      <c r="BK5" s="165" t="s">
        <v>592</v>
      </c>
      <c r="BL5" s="165" t="s">
        <v>593</v>
      </c>
      <c r="BM5" s="165" t="s">
        <v>594</v>
      </c>
      <c r="BN5" s="165" t="s">
        <v>595</v>
      </c>
      <c r="BO5" s="165" t="s">
        <v>596</v>
      </c>
      <c r="BP5" s="173" t="s">
        <v>597</v>
      </c>
      <c r="BQ5" s="173" t="s">
        <v>598</v>
      </c>
      <c r="BR5" s="173" t="s">
        <v>599</v>
      </c>
      <c r="BS5" s="173" t="s">
        <v>600</v>
      </c>
      <c r="BT5" s="173" t="s">
        <v>601</v>
      </c>
      <c r="BU5" s="173" t="s">
        <v>602</v>
      </c>
      <c r="BV5" s="173" t="s">
        <v>603</v>
      </c>
      <c r="BW5" s="173" t="s">
        <v>604</v>
      </c>
      <c r="BX5" s="173" t="s">
        <v>605</v>
      </c>
      <c r="BY5" s="175" t="s">
        <v>606</v>
      </c>
    </row>
    <row r="6" spans="1:77">
      <c r="A6" s="2">
        <v>1</v>
      </c>
      <c r="B6" s="58">
        <f>INDEX(順位表[Comprehensive],MATCH($C6,順位表['#],0))</f>
        <v>14</v>
      </c>
      <c r="C6" s="3">
        <v>1</v>
      </c>
      <c r="D6" s="1" t="str">
        <f>INDEX(都市マスタ[City Name],MATCH($C6,都市マスタ['#],0))</f>
        <v>Madrid</v>
      </c>
      <c r="E6" s="5">
        <f>INDEX(Python0831!$B$1:$BV$49,MATCH($D6,Python0831!$A$1:$A$49,0),MATCH(E$5,Python0831!$B$1:$BV$1,0))</f>
        <v>3280782</v>
      </c>
      <c r="F6" s="5">
        <f>INDEX(Python0831!$B$1:$BV$49,MATCH($D6,Python0831!$A$1:$A$49,0),MATCH(F$5,Python0831!$B$1:$BV$1,0))</f>
        <v>604.98</v>
      </c>
      <c r="G6" s="7">
        <f>INDEX(Python0831!$B$1:$BV$49,MATCH($D6,Python0831!$A$1:$A$49,0),MATCH(G$5,Python0831!$B$1:$BV$1,0))</f>
        <v>0.95099999999999996</v>
      </c>
      <c r="H6" s="5">
        <f>INDEX(Python0831!$B$1:$BV$49,MATCH($D6,Python0831!$A$1:$A$49,0),MATCH(H$5,Python0831!$B$1:$BV$1,0))</f>
        <v>137624.988518564</v>
      </c>
      <c r="I6" s="5">
        <f>INDEX(Python0831!$B$1:$BV$49,MATCH($D6,Python0831!$A$1:$A$49,0),MATCH(I$5,Python0831!$B$1:$BV$1,0))</f>
        <v>41636.308896984599</v>
      </c>
      <c r="J6" s="328">
        <f>INDEX(Python0831!$B$1:$BV$49,MATCH($D6,Python0831!$A$1:$A$49,0),MATCH(J$5,Python0831!$B$1:$BV$1,0))</f>
        <v>1.1520139338321699E-2</v>
      </c>
      <c r="K6" s="5">
        <f>INDEX(Python0831!$B$1:$BV$49,MATCH($D6,Python0831!$A$1:$A$49,0),MATCH(K$5,Python0831!$B$1:$BV$1,0))</f>
        <v>64.9583333333333</v>
      </c>
      <c r="L6" s="5">
        <f>INDEX(Python0831!$B$1:$BV$49,MATCH($D6,Python0831!$A$1:$A$49,0),MATCH(L$5,Python0831!$B$1:$BV$1,0))</f>
        <v>665497.68000000005</v>
      </c>
      <c r="M6" s="5">
        <f>INDEX(Python0831!$B$1:$BV$49,MATCH($D6,Python0831!$A$1:$A$49,0),MATCH(M$5,Python0831!$B$1:$BV$1,0))</f>
        <v>284908</v>
      </c>
      <c r="N6" s="5">
        <f>INDEX(Python0831!$B$1:$BV$49,MATCH($D6,Python0831!$A$1:$A$49,0),MATCH(N$5,Python0831!$B$1:$BV$1,0))</f>
        <v>1609600</v>
      </c>
      <c r="O6" s="328">
        <f>INDEX(Python0831!$B$1:$BV$49,MATCH($D6,Python0831!$A$1:$A$49,0),MATCH(O$5,Python0831!$B$1:$BV$1,0))</f>
        <v>0.224217196819085</v>
      </c>
      <c r="P6" s="5">
        <f>INDEX(Python0831!$B$1:$BV$49,MATCH($D6,Python0831!$A$1:$A$49,0),MATCH(P$5,Python0831!$B$1:$BV$1,0))</f>
        <v>36.460508139435497</v>
      </c>
      <c r="Q6" s="5">
        <f>INDEX(Python0831!$B$1:$BV$49,MATCH($D6,Python0831!$A$1:$A$49,0),MATCH(Q$5,Python0831!$B$1:$BV$1,0))</f>
        <v>49.078996184870597</v>
      </c>
      <c r="R6" s="5">
        <f>INDEX(Python0831!$B$1:$BV$49,MATCH($D6,Python0831!$A$1:$A$49,0),MATCH(R$5,Python0831!$B$1:$BV$1,0))</f>
        <v>47.586263635925697</v>
      </c>
      <c r="S6" s="327">
        <f>INDEX(Python0831!$B$1:$BV$49,MATCH($D6,Python0831!$A$1:$A$49,0),MATCH(S$5,Python0831!$B$1:$BV$1,0))</f>
        <v>0.25</v>
      </c>
      <c r="T6" s="5">
        <f>INDEX(Python0831!$B$1:$BV$49,MATCH($D6,Python0831!$A$1:$A$49,0),MATCH(T$5,Python0831!$B$1:$BV$1,0))</f>
        <v>82.400288315896006</v>
      </c>
      <c r="U6" s="5">
        <f>INDEX(Python0831!$B$1:$BV$49,MATCH($D6,Python0831!$A$1:$A$49,0),MATCH(U$5,Python0831!$B$1:$BV$1,0))</f>
        <v>11220.839073184001</v>
      </c>
      <c r="V6" s="5">
        <f>INDEX(Python0831!$B$1:$BV$49,MATCH($D6,Python0831!$A$1:$A$49,0),MATCH(V$5,Python0831!$B$1:$BV$1,0))</f>
        <v>3</v>
      </c>
      <c r="W6" s="5">
        <f>INDEX(Python0831!$B$1:$BV$49,MATCH($D6,Python0831!$A$1:$A$49,0),MATCH(W$5,Python0831!$B$1:$BV$1,0))</f>
        <v>1364.46319460158</v>
      </c>
      <c r="X6" s="5">
        <f>INDEX(Python0831!$B$1:$BV$49,MATCH($D6,Python0831!$A$1:$A$49,0),MATCH(X$5,Python0831!$B$1:$BV$1,0))</f>
        <v>14680.44</v>
      </c>
      <c r="Y6" s="5">
        <f>INDEX(Python0831!$B$1:$BV$49,MATCH($D6,Python0831!$A$1:$A$49,0),MATCH(Y$5,Python0831!$B$1:$BV$1,0))</f>
        <v>479.21369442168702</v>
      </c>
      <c r="Z6" s="5">
        <f>INDEX(Python0831!$B$1:$BV$49,MATCH($D6,Python0831!$A$1:$A$49,0),MATCH(Z$5,Python0831!$B$1:$BV$1,0))</f>
        <v>150.67815978119501</v>
      </c>
      <c r="AA6" s="7">
        <f>INDEX(Python0831!$B$1:$BV$49,MATCH($D6,Python0831!$A$1:$A$49,0),MATCH(AA$5,Python0831!$B$1:$BV$1,0))</f>
        <v>0</v>
      </c>
      <c r="AB6" s="5">
        <f>INDEX(Python0831!$B$1:$BV$49,MATCH($D6,Python0831!$A$1:$A$49,0),MATCH(AB$5,Python0831!$B$1:$BV$1,0))</f>
        <v>133.666666666666</v>
      </c>
      <c r="AC6" s="5">
        <f>INDEX(Python0831!$B$1:$BV$49,MATCH($D6,Python0831!$A$1:$A$49,0),MATCH(AC$5,Python0831!$B$1:$BV$1,0))</f>
        <v>37</v>
      </c>
      <c r="AD6" s="5">
        <f>INDEX(Python0831!$B$1:$BV$49,MATCH($D6,Python0831!$A$1:$A$49,0),MATCH(AD$5,Python0831!$B$1:$BV$1,0))</f>
        <v>40.625</v>
      </c>
      <c r="AE6" s="5">
        <f>INDEX(Python0831!$B$1:$BV$49,MATCH($D6,Python0831!$A$1:$A$49,0),MATCH(AE$5,Python0831!$B$1:$BV$1,0))</f>
        <v>7.3367859866977696</v>
      </c>
      <c r="AF6" s="5">
        <f>INDEX(Python0831!$B$1:$BV$49,MATCH($D6,Python0831!$A$1:$A$49,0),MATCH(AF$5,Python0831!$B$1:$BV$1,0))</f>
        <v>6.6338933518346401</v>
      </c>
      <c r="AG6" s="5">
        <f>INDEX(Python0831!$B$1:$BV$49,MATCH($D6,Python0831!$A$1:$A$49,0),MATCH(AG$5,Python0831!$B$1:$BV$1,0))</f>
        <v>56.591299552505099</v>
      </c>
      <c r="AH6" s="5">
        <f>INDEX(Python0831!$B$1:$BV$49,MATCH($D6,Python0831!$A$1:$A$49,0),MATCH(AH$5,Python0831!$B$1:$BV$1,0))</f>
        <v>9.1999999999999993</v>
      </c>
      <c r="AI6" s="5">
        <f>INDEX(Python0831!$B$1:$BV$49,MATCH($D6,Python0831!$A$1:$A$49,0),MATCH(AI$5,Python0831!$B$1:$BV$1,0))</f>
        <v>60.258226849639698</v>
      </c>
      <c r="AJ6" s="5">
        <f>INDEX(Python0831!$B$1:$BV$49,MATCH($D6,Python0831!$A$1:$A$49,0),MATCH(AJ$5,Python0831!$B$1:$BV$1,0))</f>
        <v>111.5</v>
      </c>
      <c r="AK6" s="5">
        <f>INDEX(Python0831!$B$1:$BV$49,MATCH($D6,Python0831!$A$1:$A$49,0),MATCH(AK$5,Python0831!$B$1:$BV$1,0))</f>
        <v>94</v>
      </c>
      <c r="AL6" s="5">
        <f>INDEX(Python0831!$B$1:$BV$49,MATCH($D6,Python0831!$A$1:$A$49,0),MATCH(AL$5,Python0831!$B$1:$BV$1,0))</f>
        <v>8</v>
      </c>
      <c r="AM6" s="5">
        <f>INDEX(Python0831!$B$1:$BV$49,MATCH($D6,Python0831!$A$1:$A$49,0),MATCH(AM$5,Python0831!$B$1:$BV$1,0))</f>
        <v>46910</v>
      </c>
      <c r="AN6" s="5">
        <f>INDEX(Python0831!$B$1:$BV$49,MATCH($D6,Python0831!$A$1:$A$49,0),MATCH(AN$5,Python0831!$B$1:$BV$1,0))</f>
        <v>6024</v>
      </c>
      <c r="AO6" s="5">
        <f>INDEX(Python0831!$B$1:$BV$49,MATCH($D6,Python0831!$A$1:$A$49,0),MATCH(AO$5,Python0831!$B$1:$BV$1,0))</f>
        <v>58.0010579244817</v>
      </c>
      <c r="AP6" s="5">
        <f>INDEX(Python0831!$B$1:$BV$49,MATCH($D6,Python0831!$A$1:$A$49,0),MATCH(AP$5,Python0831!$B$1:$BV$1,0))</f>
        <v>51.711343422592101</v>
      </c>
      <c r="AQ6" s="5">
        <f>INDEX(Python0831!$B$1:$BV$49,MATCH($D6,Python0831!$A$1:$A$49,0),MATCH(AQ$5,Python0831!$B$1:$BV$1,0))</f>
        <v>512218</v>
      </c>
      <c r="AR6" s="5">
        <f>INDEX(Python0831!$B$1:$BV$49,MATCH($D6,Python0831!$A$1:$A$49,0),MATCH(AR$5,Python0831!$B$1:$BV$1,0))</f>
        <v>4306511</v>
      </c>
      <c r="AS6" s="328">
        <f>INDEX(Python0831!$B$1:$BV$49,MATCH($D6,Python0831!$A$1:$A$49,0),MATCH(AS$5,Python0831!$B$1:$BV$1,0))</f>
        <v>6.9010684931506805E-2</v>
      </c>
      <c r="AT6" s="5">
        <f>INDEX(Python0831!$B$1:$BV$49,MATCH($D6,Python0831!$A$1:$A$49,0),MATCH(AT$5,Python0831!$B$1:$BV$1,0))</f>
        <v>1903.77716633147</v>
      </c>
      <c r="AU6" s="7">
        <f>INDEX(Python0831!$B$1:$BV$49,MATCH($D6,Python0831!$A$1:$A$49,0),MATCH(AU$5,Python0831!$B$1:$BV$1,0))</f>
        <v>0.13068181818181801</v>
      </c>
      <c r="AV6" s="5">
        <f>INDEX(Python0831!$B$1:$BV$49,MATCH($D6,Python0831!$A$1:$A$49,0),MATCH(AV$5,Python0831!$B$1:$BV$1,0))</f>
        <v>1387.69208037825</v>
      </c>
      <c r="AW6" s="5">
        <f>INDEX(Python0831!$B$1:$BV$49,MATCH($D6,Python0831!$A$1:$A$49,0),MATCH(AW$5,Python0831!$B$1:$BV$1,0))</f>
        <v>27.124699026468701</v>
      </c>
      <c r="AX6" s="5">
        <f>INDEX(Python0831!$B$1:$BV$49,MATCH($D6,Python0831!$A$1:$A$49,0),MATCH(AX$5,Python0831!$B$1:$BV$1,0))</f>
        <v>5.4456212364706502</v>
      </c>
      <c r="AY6" s="329">
        <f>INDEX(Python0831!$B$1:$BV$49,MATCH($D6,Python0831!$A$1:$A$49,0),MATCH(AY$5,Python0831!$B$1:$BV$1,0))</f>
        <v>1.8E-3</v>
      </c>
      <c r="AZ6" s="5">
        <f>INDEX(Python0831!$B$1:$BV$49,MATCH($D6,Python0831!$A$1:$A$49,0),MATCH(AZ$5,Python0831!$B$1:$BV$1,0))</f>
        <v>83.2</v>
      </c>
      <c r="BA6" s="5">
        <f>INDEX(Python0831!$B$1:$BV$49,MATCH($D6,Python0831!$A$1:$A$49,0),MATCH(BA$5,Python0831!$B$1:$BV$1,0))</f>
        <v>72.130800318070399</v>
      </c>
      <c r="BB6" s="5">
        <f>INDEX(Python0831!$B$1:$BV$49,MATCH($D6,Python0831!$A$1:$A$49,0),MATCH(BB$5,Python0831!$B$1:$BV$1,0))</f>
        <v>9.5531927274883301</v>
      </c>
      <c r="BC6" s="5">
        <f>INDEX(Python0831!$B$1:$BV$49,MATCH($D6,Python0831!$A$1:$A$49,0),MATCH(BC$5,Python0831!$B$1:$BV$1,0))</f>
        <v>4878.8549388630399</v>
      </c>
      <c r="BD6" s="5">
        <f>INDEX(Python0831!$B$1:$BV$49,MATCH($D6,Python0831!$A$1:$A$49,0),MATCH(BD$5,Python0831!$B$1:$BV$1,0))</f>
        <v>67.460880031689896</v>
      </c>
      <c r="BE6" s="5">
        <f>INDEX(Python0831!$B$1:$BV$49,MATCH($D6,Python0831!$A$1:$A$49,0),MATCH(BE$5,Python0831!$B$1:$BV$1,0))</f>
        <v>67.341499050377394</v>
      </c>
      <c r="BF6" s="5">
        <f>INDEX(Python0831!$B$1:$BV$49,MATCH($D6,Python0831!$A$1:$A$49,0),MATCH(BF$5,Python0831!$B$1:$BV$1,0))</f>
        <v>69.856980097421598</v>
      </c>
      <c r="BG6" s="5">
        <f>INDEX(Python0831!$B$1:$BV$49,MATCH($D6,Python0831!$A$1:$A$49,0),MATCH(BG$5,Python0831!$B$1:$BV$1,0))</f>
        <v>21.740909090909</v>
      </c>
      <c r="BH6" s="327">
        <f>INDEX(Python0831!$B$1:$BV$49,MATCH($D6,Python0831!$A$1:$A$49,0),MATCH(BH$5,Python0831!$B$1:$BV$1,0))</f>
        <v>0.16669999999999999</v>
      </c>
      <c r="BI6" s="327">
        <f>INDEX(Python0831!$B$1:$BV$49,MATCH($D6,Python0831!$A$1:$A$49,0),MATCH(BI$5,Python0831!$B$1:$BV$1,0))</f>
        <v>0.19670145089999999</v>
      </c>
      <c r="BJ6" s="5">
        <f>INDEX(Python0831!$B$1:$BV$49,MATCH($D6,Python0831!$A$1:$A$49,0),MATCH(BJ$5,Python0831!$B$1:$BV$1,0))</f>
        <v>6.2468132690967701</v>
      </c>
      <c r="BK6" s="5">
        <f>INDEX(Python0831!$B$1:$BV$49,MATCH($D6,Python0831!$A$1:$A$49,0),MATCH(BK$5,Python0831!$B$1:$BV$1,0))</f>
        <v>9.5</v>
      </c>
      <c r="BL6" s="7">
        <f>INDEX(Python0831!$B$1:$BV$49,MATCH($D6,Python0831!$A$1:$A$49,0),MATCH(BL$5,Python0831!$B$1:$BV$1,0))</f>
        <v>0.85066371681415898</v>
      </c>
      <c r="BM6" s="5">
        <f>INDEX(Python0831!$B$1:$BV$49,MATCH($D6,Python0831!$A$1:$A$49,0),MATCH(BM$5,Python0831!$B$1:$BV$1,0))</f>
        <v>84.8</v>
      </c>
      <c r="BN6" s="5">
        <f>INDEX(Python0831!$B$1:$BV$49,MATCH($D6,Python0831!$A$1:$A$49,0),MATCH(BN$5,Python0831!$B$1:$BV$1,0))</f>
        <v>51.258509813315897</v>
      </c>
      <c r="BO6" s="5">
        <f>INDEX(Python0831!$B$1:$BV$49,MATCH($D6,Python0831!$A$1:$A$49,0),MATCH(BO$5,Python0831!$B$1:$BV$1,0))</f>
        <v>58.434097569339997</v>
      </c>
      <c r="BP6" s="5">
        <f>INDEX(Python0831!$B$1:$BV$49,MATCH($D6,Python0831!$A$1:$A$49,0),MATCH(BP$5,Python0831!$B$1:$BV$1,0))</f>
        <v>169</v>
      </c>
      <c r="BQ6" s="7">
        <f>INDEX(Python0831!$B$1:$BV$49,MATCH($D6,Python0831!$A$1:$A$49,0),MATCH(BQ$5,Python0831!$B$1:$BV$1,0))</f>
        <v>6.2024728007827603</v>
      </c>
      <c r="BR6" s="5">
        <f>INDEX(Python0831!$B$1:$BV$49,MATCH($D6,Python0831!$A$1:$A$49,0),MATCH(BR$5,Python0831!$B$1:$BV$1,0))</f>
        <v>50602864</v>
      </c>
      <c r="BS6" s="5">
        <f>INDEX(Python0831!$B$1:$BV$49,MATCH($D6,Python0831!$A$1:$A$49,0),MATCH(BS$5,Python0831!$B$1:$BV$1,0))</f>
        <v>334681</v>
      </c>
      <c r="BT6" s="8">
        <f>INDEX(Python0831!$B$1:$BV$49,MATCH($D6,Python0831!$A$1:$A$49,0),MATCH(BT$5,Python0831!$B$1:$BV$1,0))</f>
        <v>0.79577471545947598</v>
      </c>
      <c r="BU6" s="8">
        <f>INDEX(Python0831!$B$1:$BV$49,MATCH($D6,Python0831!$A$1:$A$49,0),MATCH(BU$5,Python0831!$B$1:$BV$1,0))</f>
        <v>0.32796281951975198</v>
      </c>
      <c r="BV6" s="5">
        <f>INDEX(Python0831!$B$1:$BV$49,MATCH($D6,Python0831!$A$1:$A$49,0),MATCH(BV$5,Python0831!$B$1:$BV$1,0))</f>
        <v>22</v>
      </c>
      <c r="BW6" s="5">
        <f>INDEX(Python0831!$B$1:$BV$49,MATCH($D6,Python0831!$A$1:$A$49,0),MATCH(BW$5,Python0831!$B$1:$BV$1,0))</f>
        <v>30.385000000000002</v>
      </c>
      <c r="BX6" s="382">
        <f>INDEX(Python0831!$B$1:$BV$49,MATCH($D6,Python0831!$A$1:$A$49,0),MATCH(BX$5,Python0831!$B$1:$BV$1,0))</f>
        <v>33.333333333333336</v>
      </c>
      <c r="BY6" s="5">
        <f>INDEX(Python0831!$B$1:$BV$49,MATCH($D6,Python0831!$A$1:$A$49,0),MATCH(BY$5,Python0831!$B$1:$BV$1,0))</f>
        <v>51.866405383181402</v>
      </c>
    </row>
    <row r="7" spans="1:77">
      <c r="A7" s="2">
        <v>2</v>
      </c>
      <c r="B7" s="58">
        <f>INDEX(順位表[Comprehensive],MATCH($C7,順位表['#],0))</f>
        <v>22</v>
      </c>
      <c r="C7" s="3">
        <v>2</v>
      </c>
      <c r="D7" s="1" t="str">
        <f>INDEX(都市マスタ[City Name],MATCH($C7,都市マスタ['#],0))</f>
        <v>Barcelona</v>
      </c>
      <c r="E7" s="5">
        <f>INDEX(Python0831!$B$1:$BV$49,MATCH($D7,Python0831!$A$1:$A$49,0),MATCH(E$5,Python0831!$B$1:$BV$1,0))</f>
        <v>1636193</v>
      </c>
      <c r="F7" s="5">
        <f>INDEX(Python0831!$B$1:$BV$49,MATCH($D7,Python0831!$A$1:$A$49,0),MATCH(F$5,Python0831!$B$1:$BV$1,0))</f>
        <v>101.4</v>
      </c>
      <c r="G7" s="7">
        <f>INDEX(Python0831!$B$1:$BV$49,MATCH($D7,Python0831!$A$1:$A$49,0),MATCH(G$5,Python0831!$B$1:$BV$1,0))</f>
        <v>0.95099999999999996</v>
      </c>
      <c r="H7" s="5">
        <f>INDEX(Python0831!$B$1:$BV$49,MATCH($D7,Python0831!$A$1:$A$49,0),MATCH(H$5,Python0831!$B$1:$BV$1,0))</f>
        <v>99217.243778747797</v>
      </c>
      <c r="I7" s="5">
        <f>INDEX(Python0831!$B$1:$BV$49,MATCH($D7,Python0831!$A$1:$A$49,0),MATCH(I$5,Python0831!$B$1:$BV$1,0))</f>
        <v>60619.114050894001</v>
      </c>
      <c r="J7" s="328">
        <f>INDEX(Python0831!$B$1:$BV$49,MATCH($D7,Python0831!$A$1:$A$49,0),MATCH(J$5,Python0831!$B$1:$BV$1,0))</f>
        <v>9.8594582416772995E-3</v>
      </c>
      <c r="K7" s="5">
        <f>INDEX(Python0831!$B$1:$BV$49,MATCH($D7,Python0831!$A$1:$A$49,0),MATCH(K$5,Python0831!$B$1:$BV$1,0))</f>
        <v>64.9583333333333</v>
      </c>
      <c r="L7" s="5">
        <f>INDEX(Python0831!$B$1:$BV$49,MATCH($D7,Python0831!$A$1:$A$49,0),MATCH(L$5,Python0831!$B$1:$BV$1,0))</f>
        <v>0</v>
      </c>
      <c r="M7" s="5">
        <f>INDEX(Python0831!$B$1:$BV$49,MATCH($D7,Python0831!$A$1:$A$49,0),MATCH(M$5,Python0831!$B$1:$BV$1,0))</f>
        <v>0</v>
      </c>
      <c r="N7" s="5">
        <f>INDEX(Python0831!$B$1:$BV$49,MATCH($D7,Python0831!$A$1:$A$49,0),MATCH(N$5,Python0831!$B$1:$BV$1,0))</f>
        <v>691400</v>
      </c>
      <c r="O7" s="328">
        <f>INDEX(Python0831!$B$1:$BV$49,MATCH($D7,Python0831!$A$1:$A$49,0),MATCH(O$5,Python0831!$B$1:$BV$1,0))</f>
        <v>0.233005496094879</v>
      </c>
      <c r="P7" s="5">
        <f>INDEX(Python0831!$B$1:$BV$49,MATCH($D7,Python0831!$A$1:$A$49,0),MATCH(P$5,Python0831!$B$1:$BV$1,0))</f>
        <v>26.947326500149899</v>
      </c>
      <c r="Q7" s="5">
        <f>INDEX(Python0831!$B$1:$BV$49,MATCH($D7,Python0831!$A$1:$A$49,0),MATCH(Q$5,Python0831!$B$1:$BV$1,0))</f>
        <v>49.157366090826699</v>
      </c>
      <c r="R7" s="5">
        <f>INDEX(Python0831!$B$1:$BV$49,MATCH($D7,Python0831!$A$1:$A$49,0),MATCH(R$5,Python0831!$B$1:$BV$1,0))</f>
        <v>43.264563852441903</v>
      </c>
      <c r="S7" s="327">
        <f>INDEX(Python0831!$B$1:$BV$49,MATCH($D7,Python0831!$A$1:$A$49,0),MATCH(S$5,Python0831!$B$1:$BV$1,0))</f>
        <v>0.25</v>
      </c>
      <c r="T7" s="5">
        <f>INDEX(Python0831!$B$1:$BV$49,MATCH($D7,Python0831!$A$1:$A$49,0),MATCH(T$5,Python0831!$B$1:$BV$1,0))</f>
        <v>82.400288315896006</v>
      </c>
      <c r="U7" s="5">
        <f>INDEX(Python0831!$B$1:$BV$49,MATCH($D7,Python0831!$A$1:$A$49,0),MATCH(U$5,Python0831!$B$1:$BV$1,0))</f>
        <v>5121.0923235274404</v>
      </c>
      <c r="V7" s="5">
        <f>INDEX(Python0831!$B$1:$BV$49,MATCH($D7,Python0831!$A$1:$A$49,0),MATCH(V$5,Python0831!$B$1:$BV$1,0))</f>
        <v>56</v>
      </c>
      <c r="W7" s="5">
        <f>INDEX(Python0831!$B$1:$BV$49,MATCH($D7,Python0831!$A$1:$A$49,0),MATCH(W$5,Python0831!$B$1:$BV$1,0))</f>
        <v>622.72900859161098</v>
      </c>
      <c r="X7" s="5">
        <f>INDEX(Python0831!$B$1:$BV$49,MATCH($D7,Python0831!$A$1:$A$49,0),MATCH(X$5,Python0831!$B$1:$BV$1,0))</f>
        <v>21262.99</v>
      </c>
      <c r="Y7" s="5">
        <f>INDEX(Python0831!$B$1:$BV$49,MATCH($D7,Python0831!$A$1:$A$49,0),MATCH(Y$5,Python0831!$B$1:$BV$1,0))</f>
        <v>479.21369442168702</v>
      </c>
      <c r="Z7" s="5">
        <f>INDEX(Python0831!$B$1:$BV$49,MATCH($D7,Python0831!$A$1:$A$49,0),MATCH(Z$5,Python0831!$B$1:$BV$1,0))</f>
        <v>72.2873229268383</v>
      </c>
      <c r="AA7" s="7">
        <f>INDEX(Python0831!$B$1:$BV$49,MATCH($D7,Python0831!$A$1:$A$49,0),MATCH(AA$5,Python0831!$B$1:$BV$1,0))</f>
        <v>0</v>
      </c>
      <c r="AB7" s="5">
        <f>INDEX(Python0831!$B$1:$BV$49,MATCH($D7,Python0831!$A$1:$A$49,0),MATCH(AB$5,Python0831!$B$1:$BV$1,0))</f>
        <v>162.666666666666</v>
      </c>
      <c r="AC7" s="5">
        <f>INDEX(Python0831!$B$1:$BV$49,MATCH($D7,Python0831!$A$1:$A$49,0),MATCH(AC$5,Python0831!$B$1:$BV$1,0))</f>
        <v>70</v>
      </c>
      <c r="AD7" s="5">
        <f>INDEX(Python0831!$B$1:$BV$49,MATCH($D7,Python0831!$A$1:$A$49,0),MATCH(AD$5,Python0831!$B$1:$BV$1,0))</f>
        <v>42.1875</v>
      </c>
      <c r="AE7" s="5">
        <f>INDEX(Python0831!$B$1:$BV$49,MATCH($D7,Python0831!$A$1:$A$49,0),MATCH(AE$5,Python0831!$B$1:$BV$1,0))</f>
        <v>5.2332261303012997</v>
      </c>
      <c r="AF7" s="5">
        <f>INDEX(Python0831!$B$1:$BV$49,MATCH($D7,Python0831!$A$1:$A$49,0),MATCH(AF$5,Python0831!$B$1:$BV$1,0))</f>
        <v>4.7328564563811399</v>
      </c>
      <c r="AG7" s="5">
        <f>INDEX(Python0831!$B$1:$BV$49,MATCH($D7,Python0831!$A$1:$A$49,0),MATCH(AG$5,Python0831!$B$1:$BV$1,0))</f>
        <v>62.895710403356098</v>
      </c>
      <c r="AH7" s="5">
        <f>INDEX(Python0831!$B$1:$BV$49,MATCH($D7,Python0831!$A$1:$A$49,0),MATCH(AH$5,Python0831!$B$1:$BV$1,0))</f>
        <v>4</v>
      </c>
      <c r="AI7" s="5">
        <f>INDEX(Python0831!$B$1:$BV$49,MATCH($D7,Python0831!$A$1:$A$49,0),MATCH(AI$5,Python0831!$B$1:$BV$1,0))</f>
        <v>56.751966619610698</v>
      </c>
      <c r="AJ7" s="5">
        <f>INDEX(Python0831!$B$1:$BV$49,MATCH($D7,Python0831!$A$1:$A$49,0),MATCH(AJ$5,Python0831!$B$1:$BV$1,0))</f>
        <v>63.5</v>
      </c>
      <c r="AK7" s="5">
        <f>INDEX(Python0831!$B$1:$BV$49,MATCH($D7,Python0831!$A$1:$A$49,0),MATCH(AK$5,Python0831!$B$1:$BV$1,0))</f>
        <v>56</v>
      </c>
      <c r="AL7" s="5">
        <f>INDEX(Python0831!$B$1:$BV$49,MATCH($D7,Python0831!$A$1:$A$49,0),MATCH(AL$5,Python0831!$B$1:$BV$1,0))</f>
        <v>4</v>
      </c>
      <c r="AM7" s="5">
        <f>INDEX(Python0831!$B$1:$BV$49,MATCH($D7,Python0831!$A$1:$A$49,0),MATCH(AM$5,Python0831!$B$1:$BV$1,0))</f>
        <v>54556</v>
      </c>
      <c r="AN7" s="5">
        <f>INDEX(Python0831!$B$1:$BV$49,MATCH($D7,Python0831!$A$1:$A$49,0),MATCH(AN$5,Python0831!$B$1:$BV$1,0))</f>
        <v>6870</v>
      </c>
      <c r="AO7" s="5">
        <f>INDEX(Python0831!$B$1:$BV$49,MATCH($D7,Python0831!$A$1:$A$49,0),MATCH(AO$5,Python0831!$B$1:$BV$1,0))</f>
        <v>61.3316571960492</v>
      </c>
      <c r="AP7" s="5">
        <f>INDEX(Python0831!$B$1:$BV$49,MATCH($D7,Python0831!$A$1:$A$49,0),MATCH(AP$5,Python0831!$B$1:$BV$1,0))</f>
        <v>49.994255121770202</v>
      </c>
      <c r="AQ7" s="5">
        <f>INDEX(Python0831!$B$1:$BV$49,MATCH($D7,Python0831!$A$1:$A$49,0),MATCH(AQ$5,Python0831!$B$1:$BV$1,0))</f>
        <v>359480</v>
      </c>
      <c r="AR7" s="5">
        <f>INDEX(Python0831!$B$1:$BV$49,MATCH($D7,Python0831!$A$1:$A$49,0),MATCH(AR$5,Python0831!$B$1:$BV$1,0))</f>
        <v>5513125</v>
      </c>
      <c r="AS7" s="328">
        <f>INDEX(Python0831!$B$1:$BV$49,MATCH($D7,Python0831!$A$1:$A$49,0),MATCH(AS$5,Python0831!$B$1:$BV$1,0))</f>
        <v>9.6999999999999906E-2</v>
      </c>
      <c r="AT7" s="5">
        <f>INDEX(Python0831!$B$1:$BV$49,MATCH($D7,Python0831!$A$1:$A$49,0),MATCH(AT$5,Python0831!$B$1:$BV$1,0))</f>
        <v>1824.3741907585099</v>
      </c>
      <c r="AU7" s="7">
        <f>INDEX(Python0831!$B$1:$BV$49,MATCH($D7,Python0831!$A$1:$A$49,0),MATCH(AU$5,Python0831!$B$1:$BV$1,0))</f>
        <v>-4.8648648648648603E-2</v>
      </c>
      <c r="AV7" s="5">
        <f>INDEX(Python0831!$B$1:$BV$49,MATCH($D7,Python0831!$A$1:$A$49,0),MATCH(AV$5,Python0831!$B$1:$BV$1,0))</f>
        <v>1487.5945626477501</v>
      </c>
      <c r="AW7" s="5">
        <f>INDEX(Python0831!$B$1:$BV$49,MATCH($D7,Python0831!$A$1:$A$49,0),MATCH(AW$5,Python0831!$B$1:$BV$1,0))</f>
        <v>29.740617972684198</v>
      </c>
      <c r="AX7" s="5">
        <f>INDEX(Python0831!$B$1:$BV$49,MATCH($D7,Python0831!$A$1:$A$49,0),MATCH(AX$5,Python0831!$B$1:$BV$1,0))</f>
        <v>24.156118143459899</v>
      </c>
      <c r="AY7" s="329">
        <f>INDEX(Python0831!$B$1:$BV$49,MATCH($D7,Python0831!$A$1:$A$49,0),MATCH(AY$5,Python0831!$B$1:$BV$1,0))</f>
        <v>2.3999999999999998E-3</v>
      </c>
      <c r="AZ7" s="5">
        <f>INDEX(Python0831!$B$1:$BV$49,MATCH($D7,Python0831!$A$1:$A$49,0),MATCH(AZ$5,Python0831!$B$1:$BV$1,0))</f>
        <v>83.2</v>
      </c>
      <c r="BA7" s="5">
        <f>INDEX(Python0831!$B$1:$BV$49,MATCH($D7,Python0831!$A$1:$A$49,0),MATCH(BA$5,Python0831!$B$1:$BV$1,0))</f>
        <v>72.130800318070399</v>
      </c>
      <c r="BB7" s="5">
        <f>INDEX(Python0831!$B$1:$BV$49,MATCH($D7,Python0831!$A$1:$A$49,0),MATCH(BB$5,Python0831!$B$1:$BV$1,0))</f>
        <v>9.5531927274883301</v>
      </c>
      <c r="BC7" s="5">
        <f>INDEX(Python0831!$B$1:$BV$49,MATCH($D7,Python0831!$A$1:$A$49,0),MATCH(BC$5,Python0831!$B$1:$BV$1,0))</f>
        <v>4461.8506929523601</v>
      </c>
      <c r="BD7" s="5">
        <f>INDEX(Python0831!$B$1:$BV$49,MATCH($D7,Python0831!$A$1:$A$49,0),MATCH(BD$5,Python0831!$B$1:$BV$1,0))</f>
        <v>67.460880031689896</v>
      </c>
      <c r="BE7" s="5">
        <f>INDEX(Python0831!$B$1:$BV$49,MATCH($D7,Python0831!$A$1:$A$49,0),MATCH(BE$5,Python0831!$B$1:$BV$1,0))</f>
        <v>64.662123382522594</v>
      </c>
      <c r="BF7" s="5">
        <f>INDEX(Python0831!$B$1:$BV$49,MATCH($D7,Python0831!$A$1:$A$49,0),MATCH(BF$5,Python0831!$B$1:$BV$1,0))</f>
        <v>68.025103700910407</v>
      </c>
      <c r="BG7" s="5">
        <f>INDEX(Python0831!$B$1:$BV$49,MATCH($D7,Python0831!$A$1:$A$49,0),MATCH(BG$5,Python0831!$B$1:$BV$1,0))</f>
        <v>32.4768740031897</v>
      </c>
      <c r="BH7" s="327">
        <f>INDEX(Python0831!$B$1:$BV$49,MATCH($D7,Python0831!$A$1:$A$49,0),MATCH(BH$5,Python0831!$B$1:$BV$1,0))</f>
        <v>0.16669999999999999</v>
      </c>
      <c r="BI7" s="327">
        <f>INDEX(Python0831!$B$1:$BV$49,MATCH($D7,Python0831!$A$1:$A$49,0),MATCH(BI$5,Python0831!$B$1:$BV$1,0))</f>
        <v>0.19670145089999999</v>
      </c>
      <c r="BJ7" s="5">
        <f>INDEX(Python0831!$B$1:$BV$49,MATCH($D7,Python0831!$A$1:$A$49,0),MATCH(BJ$5,Python0831!$B$1:$BV$1,0))</f>
        <v>9.0948572542999901</v>
      </c>
      <c r="BK7" s="5">
        <f>INDEX(Python0831!$B$1:$BV$49,MATCH($D7,Python0831!$A$1:$A$49,0),MATCH(BK$5,Python0831!$B$1:$BV$1,0))</f>
        <v>13</v>
      </c>
      <c r="BL7" s="7">
        <f>INDEX(Python0831!$B$1:$BV$49,MATCH($D7,Python0831!$A$1:$A$49,0),MATCH(BL$5,Python0831!$B$1:$BV$1,0))</f>
        <v>0.73634615384615298</v>
      </c>
      <c r="BM7" s="5">
        <f>INDEX(Python0831!$B$1:$BV$49,MATCH($D7,Python0831!$A$1:$A$49,0),MATCH(BM$5,Python0831!$B$1:$BV$1,0))</f>
        <v>49.7</v>
      </c>
      <c r="BN7" s="5">
        <f>INDEX(Python0831!$B$1:$BV$49,MATCH($D7,Python0831!$A$1:$A$49,0),MATCH(BN$5,Python0831!$B$1:$BV$1,0))</f>
        <v>34.141102648590802</v>
      </c>
      <c r="BO7" s="5">
        <f>INDEX(Python0831!$B$1:$BV$49,MATCH($D7,Python0831!$A$1:$A$49,0),MATCH(BO$5,Python0831!$B$1:$BV$1,0))</f>
        <v>41.2979692007845</v>
      </c>
      <c r="BP7" s="5">
        <f>INDEX(Python0831!$B$1:$BV$49,MATCH($D7,Python0831!$A$1:$A$49,0),MATCH(BP$5,Python0831!$B$1:$BV$1,0))</f>
        <v>162.00000000000099</v>
      </c>
      <c r="BQ7" s="7">
        <f>INDEX(Python0831!$B$1:$BV$49,MATCH($D7,Python0831!$A$1:$A$49,0),MATCH(BQ$5,Python0831!$B$1:$BV$1,0))</f>
        <v>5.2473720529203298</v>
      </c>
      <c r="BR7" s="5">
        <f>INDEX(Python0831!$B$1:$BV$49,MATCH($D7,Python0831!$A$1:$A$49,0),MATCH(BR$5,Python0831!$B$1:$BV$1,0))</f>
        <v>41616302</v>
      </c>
      <c r="BS7" s="5">
        <f>INDEX(Python0831!$B$1:$BV$49,MATCH($D7,Python0831!$A$1:$A$49,0),MATCH(BS$5,Python0831!$B$1:$BV$1,0))</f>
        <v>278561</v>
      </c>
      <c r="BT7" s="8">
        <f>INDEX(Python0831!$B$1:$BV$49,MATCH($D7,Python0831!$A$1:$A$49,0),MATCH(BT$5,Python0831!$B$1:$BV$1,0))</f>
        <v>0.862619791558072</v>
      </c>
      <c r="BU7" s="8">
        <f>INDEX(Python0831!$B$1:$BV$49,MATCH($D7,Python0831!$A$1:$A$49,0),MATCH(BU$5,Python0831!$B$1:$BV$1,0))</f>
        <v>0.48871313231174801</v>
      </c>
      <c r="BV7" s="5">
        <f>INDEX(Python0831!$B$1:$BV$49,MATCH($D7,Python0831!$A$1:$A$49,0),MATCH(BV$5,Python0831!$B$1:$BV$1,0))</f>
        <v>18</v>
      </c>
      <c r="BW7" s="5">
        <f>INDEX(Python0831!$B$1:$BV$49,MATCH($D7,Python0831!$A$1:$A$49,0),MATCH(BW$5,Python0831!$B$1:$BV$1,0))</f>
        <v>27.772500000000001</v>
      </c>
      <c r="BX7" s="382">
        <f>INDEX(Python0831!$B$1:$BV$49,MATCH($D7,Python0831!$A$1:$A$49,0),MATCH(BX$5,Python0831!$B$1:$BV$1,0))</f>
        <v>33.333333333333336</v>
      </c>
      <c r="BY7" s="5">
        <f>INDEX(Python0831!$B$1:$BV$49,MATCH($D7,Python0831!$A$1:$A$49,0),MATCH(BY$5,Python0831!$B$1:$BV$1,0))</f>
        <v>52.468236528108498</v>
      </c>
    </row>
    <row r="8" spans="1:77">
      <c r="A8" s="2">
        <v>3</v>
      </c>
      <c r="B8" s="58">
        <f>INDEX(順位表[Comprehensive],MATCH($C8,順位表['#],0))</f>
        <v>1</v>
      </c>
      <c r="C8" s="3">
        <v>3</v>
      </c>
      <c r="D8" s="1" t="str">
        <f>INDEX(都市マスタ[City Name],MATCH($C8,都市マスタ['#],0))</f>
        <v>London</v>
      </c>
      <c r="E8" s="5">
        <f>INDEX(Python0831!$B$1:$BV$49,MATCH($D8,Python0831!$A$1:$A$49,0),MATCH(E$5,Python0831!$B$1:$BV$1,0))</f>
        <v>8796628</v>
      </c>
      <c r="F8" s="5">
        <f>INDEX(Python0831!$B$1:$BV$49,MATCH($D8,Python0831!$A$1:$A$49,0),MATCH(F$5,Python0831!$B$1:$BV$1,0))</f>
        <v>1572.14714599999</v>
      </c>
      <c r="G8" s="7">
        <f>INDEX(Python0831!$B$1:$BV$49,MATCH($D8,Python0831!$A$1:$A$49,0),MATCH(G$5,Python0831!$B$1:$BV$1,0))</f>
        <v>0.81100000000000005</v>
      </c>
      <c r="H8" s="5">
        <f>INDEX(Python0831!$B$1:$BV$49,MATCH($D8,Python0831!$A$1:$A$49,0),MATCH(H$5,Python0831!$B$1:$BV$1,0))</f>
        <v>725531.99808908603</v>
      </c>
      <c r="I8" s="5">
        <f>INDEX(Python0831!$B$1:$BV$49,MATCH($D8,Python0831!$A$1:$A$49,0),MATCH(I$5,Python0831!$B$1:$BV$1,0))</f>
        <v>82478.422196446903</v>
      </c>
      <c r="J8" s="328">
        <f>INDEX(Python0831!$B$1:$BV$49,MATCH($D8,Python0831!$A$1:$A$49,0),MATCH(J$5,Python0831!$B$1:$BV$1,0))</f>
        <v>2.6222699073008299E-2</v>
      </c>
      <c r="K8" s="5">
        <f>INDEX(Python0831!$B$1:$BV$49,MATCH($D8,Python0831!$A$1:$A$49,0),MATCH(K$5,Python0831!$B$1:$BV$1,0))</f>
        <v>69.941666666666606</v>
      </c>
      <c r="L8" s="5">
        <f>INDEX(Python0831!$B$1:$BV$49,MATCH($D8,Python0831!$A$1:$A$49,0),MATCH(L$5,Python0831!$B$1:$BV$1,0))</f>
        <v>3095983.43</v>
      </c>
      <c r="M8" s="5">
        <f>INDEX(Python0831!$B$1:$BV$49,MATCH($D8,Python0831!$A$1:$A$49,0),MATCH(M$5,Python0831!$B$1:$BV$1,0))</f>
        <v>1036817.3</v>
      </c>
      <c r="N8" s="5">
        <f>INDEX(Python0831!$B$1:$BV$49,MATCH($D8,Python0831!$A$1:$A$49,0),MATCH(N$5,Python0831!$B$1:$BV$1,0))</f>
        <v>6344000</v>
      </c>
      <c r="O8" s="328">
        <f>INDEX(Python0831!$B$1:$BV$49,MATCH($D8,Python0831!$A$1:$A$49,0),MATCH(O$5,Python0831!$B$1:$BV$1,0))</f>
        <v>0.34252837326607799</v>
      </c>
      <c r="P8" s="5">
        <f>INDEX(Python0831!$B$1:$BV$49,MATCH($D8,Python0831!$A$1:$A$49,0),MATCH(P$5,Python0831!$B$1:$BV$1,0))</f>
        <v>60.506179016820496</v>
      </c>
      <c r="Q8" s="5">
        <f>INDEX(Python0831!$B$1:$BV$49,MATCH($D8,Python0831!$A$1:$A$49,0),MATCH(Q$5,Python0831!$B$1:$BV$1,0))</f>
        <v>79.7525403737978</v>
      </c>
      <c r="R8" s="5">
        <f>INDEX(Python0831!$B$1:$BV$49,MATCH($D8,Python0831!$A$1:$A$49,0),MATCH(R$5,Python0831!$B$1:$BV$1,0))</f>
        <v>63.815508249978599</v>
      </c>
      <c r="S8" s="327">
        <f>INDEX(Python0831!$B$1:$BV$49,MATCH($D8,Python0831!$A$1:$A$49,0),MATCH(S$5,Python0831!$B$1:$BV$1,0))</f>
        <v>0.25</v>
      </c>
      <c r="T8" s="5">
        <f>INDEX(Python0831!$B$1:$BV$49,MATCH($D8,Python0831!$A$1:$A$49,0),MATCH(T$5,Python0831!$B$1:$BV$1,0))</f>
        <v>95.159862172720494</v>
      </c>
      <c r="U8" s="5">
        <f>INDEX(Python0831!$B$1:$BV$49,MATCH($D8,Python0831!$A$1:$A$49,0),MATCH(U$5,Python0831!$B$1:$BV$1,0))</f>
        <v>53586.924894415097</v>
      </c>
      <c r="V8" s="5">
        <f>INDEX(Python0831!$B$1:$BV$49,MATCH($D8,Python0831!$A$1:$A$49,0),MATCH(V$5,Python0831!$B$1:$BV$1,0))</f>
        <v>793</v>
      </c>
      <c r="W8" s="5">
        <f>INDEX(Python0831!$B$1:$BV$49,MATCH($D8,Python0831!$A$1:$A$49,0),MATCH(W$5,Python0831!$B$1:$BV$1,0))</f>
        <v>8416.8563320928697</v>
      </c>
      <c r="X8" s="5">
        <f>INDEX(Python0831!$B$1:$BV$49,MATCH($D8,Python0831!$A$1:$A$49,0),MATCH(X$5,Python0831!$B$1:$BV$1,0))</f>
        <v>141792.04999999999</v>
      </c>
      <c r="Y8" s="5">
        <f>INDEX(Python0831!$B$1:$BV$49,MATCH($D8,Python0831!$A$1:$A$49,0),MATCH(Y$5,Python0831!$B$1:$BV$1,0))</f>
        <v>503.666666666666</v>
      </c>
      <c r="Z8" s="5">
        <f>INDEX(Python0831!$B$1:$BV$49,MATCH($D8,Python0831!$A$1:$A$49,0),MATCH(Z$5,Python0831!$B$1:$BV$1,0))</f>
        <v>1138.2089386745499</v>
      </c>
      <c r="AA8" s="7">
        <f>INDEX(Python0831!$B$1:$BV$49,MATCH($D8,Python0831!$A$1:$A$49,0),MATCH(AA$5,Python0831!$B$1:$BV$1,0))</f>
        <v>3.9</v>
      </c>
      <c r="AB8" s="5">
        <f>INDEX(Python0831!$B$1:$BV$49,MATCH($D8,Python0831!$A$1:$A$49,0),MATCH(AB$5,Python0831!$B$1:$BV$1,0))</f>
        <v>1896.3333333333301</v>
      </c>
      <c r="AC8" s="5">
        <f>INDEX(Python0831!$B$1:$BV$49,MATCH($D8,Python0831!$A$1:$A$49,0),MATCH(AC$5,Python0831!$B$1:$BV$1,0))</f>
        <v>102</v>
      </c>
      <c r="AD8" s="5">
        <f>INDEX(Python0831!$B$1:$BV$49,MATCH($D8,Python0831!$A$1:$A$49,0),MATCH(AD$5,Python0831!$B$1:$BV$1,0))</f>
        <v>37.5</v>
      </c>
      <c r="AE8" s="5">
        <f>INDEX(Python0831!$B$1:$BV$49,MATCH($D8,Python0831!$A$1:$A$49,0),MATCH(AE$5,Python0831!$B$1:$BV$1,0))</f>
        <v>121.53314323874299</v>
      </c>
      <c r="AF8" s="5">
        <f>INDEX(Python0831!$B$1:$BV$49,MATCH($D8,Python0831!$A$1:$A$49,0),MATCH(AF$5,Python0831!$B$1:$BV$1,0))</f>
        <v>46.157388409121602</v>
      </c>
      <c r="AG8" s="5">
        <f>INDEX(Python0831!$B$1:$BV$49,MATCH($D8,Python0831!$A$1:$A$49,0),MATCH(AG$5,Python0831!$B$1:$BV$1,0))</f>
        <v>85.563728072485901</v>
      </c>
      <c r="AH8" s="5">
        <f>INDEX(Python0831!$B$1:$BV$49,MATCH($D8,Python0831!$A$1:$A$49,0),MATCH(AH$5,Python0831!$B$1:$BV$1,0))</f>
        <v>6</v>
      </c>
      <c r="AI8" s="5">
        <f>INDEX(Python0831!$B$1:$BV$49,MATCH($D8,Python0831!$A$1:$A$49,0),MATCH(AI$5,Python0831!$B$1:$BV$1,0))</f>
        <v>70.635688953785404</v>
      </c>
      <c r="AJ8" s="5">
        <f>INDEX(Python0831!$B$1:$BV$49,MATCH($D8,Python0831!$A$1:$A$49,0),MATCH(AJ$5,Python0831!$B$1:$BV$1,0))</f>
        <v>199</v>
      </c>
      <c r="AK8" s="5">
        <f>INDEX(Python0831!$B$1:$BV$49,MATCH($D8,Python0831!$A$1:$A$49,0),MATCH(AK$5,Python0831!$B$1:$BV$1,0))</f>
        <v>292</v>
      </c>
      <c r="AL8" s="5">
        <f>INDEX(Python0831!$B$1:$BV$49,MATCH($D8,Python0831!$A$1:$A$49,0),MATCH(AL$5,Python0831!$B$1:$BV$1,0))</f>
        <v>20</v>
      </c>
      <c r="AM8" s="5">
        <f>INDEX(Python0831!$B$1:$BV$49,MATCH($D8,Python0831!$A$1:$A$49,0),MATCH(AM$5,Python0831!$B$1:$BV$1,0))</f>
        <v>131717</v>
      </c>
      <c r="AN8" s="5">
        <f>INDEX(Python0831!$B$1:$BV$49,MATCH($D8,Python0831!$A$1:$A$49,0),MATCH(AN$5,Python0831!$B$1:$BV$1,0))</f>
        <v>21113</v>
      </c>
      <c r="AO8" s="5">
        <f>INDEX(Python0831!$B$1:$BV$49,MATCH($D8,Python0831!$A$1:$A$49,0),MATCH(AO$5,Python0831!$B$1:$BV$1,0))</f>
        <v>64.042536638367494</v>
      </c>
      <c r="AP8" s="5">
        <f>INDEX(Python0831!$B$1:$BV$49,MATCH($D8,Python0831!$A$1:$A$49,0),MATCH(AP$5,Python0831!$B$1:$BV$1,0))</f>
        <v>33.593806764190902</v>
      </c>
      <c r="AQ8" s="5">
        <f>INDEX(Python0831!$B$1:$BV$49,MATCH($D8,Python0831!$A$1:$A$49,0),MATCH(AQ$5,Python0831!$B$1:$BV$1,0))</f>
        <v>1944000</v>
      </c>
      <c r="AR8" s="5">
        <f>INDEX(Python0831!$B$1:$BV$49,MATCH($D8,Python0831!$A$1:$A$49,0),MATCH(AR$5,Python0831!$B$1:$BV$1,0))</f>
        <v>16117938.625770301</v>
      </c>
      <c r="AS8" s="328">
        <f>INDEX(Python0831!$B$1:$BV$49,MATCH($D8,Python0831!$A$1:$A$49,0),MATCH(AS$5,Python0831!$B$1:$BV$1,0))</f>
        <v>4.5117101556253897E-2</v>
      </c>
      <c r="AT8" s="5">
        <f>INDEX(Python0831!$B$1:$BV$49,MATCH($D8,Python0831!$A$1:$A$49,0),MATCH(AT$5,Python0831!$B$1:$BV$1,0))</f>
        <v>1998.5959552147201</v>
      </c>
      <c r="AU8" s="7">
        <f>INDEX(Python0831!$B$1:$BV$49,MATCH($D8,Python0831!$A$1:$A$49,0),MATCH(AU$5,Python0831!$B$1:$BV$1,0))</f>
        <v>0.53529411764705803</v>
      </c>
      <c r="AV8" s="5">
        <f>INDEX(Python0831!$B$1:$BV$49,MATCH($D8,Python0831!$A$1:$A$49,0),MATCH(AV$5,Python0831!$B$1:$BV$1,0))</f>
        <v>3412.26960110041</v>
      </c>
      <c r="AW8" s="5">
        <f>INDEX(Python0831!$B$1:$BV$49,MATCH($D8,Python0831!$A$1:$A$49,0),MATCH(AW$5,Python0831!$B$1:$BV$1,0))</f>
        <v>44.514340420953197</v>
      </c>
      <c r="AX8" s="5">
        <f>INDEX(Python0831!$B$1:$BV$49,MATCH($D8,Python0831!$A$1:$A$49,0),MATCH(AX$5,Python0831!$B$1:$BV$1,0))</f>
        <v>12.732151456217</v>
      </c>
      <c r="AY8" s="329">
        <f>INDEX(Python0831!$B$1:$BV$49,MATCH($D8,Python0831!$A$1:$A$49,0),MATCH(AY$5,Python0831!$B$1:$BV$1,0))</f>
        <v>2.5000000000000001E-3</v>
      </c>
      <c r="AZ8" s="5">
        <f>INDEX(Python0831!$B$1:$BV$49,MATCH($D8,Python0831!$A$1:$A$49,0),MATCH(AZ$5,Python0831!$B$1:$BV$1,0))</f>
        <v>81.400000000000006</v>
      </c>
      <c r="BA8" s="5">
        <f>INDEX(Python0831!$B$1:$BV$49,MATCH($D8,Python0831!$A$1:$A$49,0),MATCH(BA$5,Python0831!$B$1:$BV$1,0))</f>
        <v>79.475088821136595</v>
      </c>
      <c r="BB8" s="5">
        <f>INDEX(Python0831!$B$1:$BV$49,MATCH($D8,Python0831!$A$1:$A$49,0),MATCH(BB$5,Python0831!$B$1:$BV$1,0))</f>
        <v>14.5932110497432</v>
      </c>
      <c r="BC8" s="5">
        <f>INDEX(Python0831!$B$1:$BV$49,MATCH($D8,Python0831!$A$1:$A$49,0),MATCH(BC$5,Python0831!$B$1:$BV$1,0))</f>
        <v>4132.4473515467198</v>
      </c>
      <c r="BD8" s="5">
        <f>INDEX(Python0831!$B$1:$BV$49,MATCH($D8,Python0831!$A$1:$A$49,0),MATCH(BD$5,Python0831!$B$1:$BV$1,0))</f>
        <v>82.082491616209495</v>
      </c>
      <c r="BE8" s="5">
        <f>INDEX(Python0831!$B$1:$BV$49,MATCH($D8,Python0831!$A$1:$A$49,0),MATCH(BE$5,Python0831!$B$1:$BV$1,0))</f>
        <v>60.0452053823253</v>
      </c>
      <c r="BF8" s="5">
        <f>INDEX(Python0831!$B$1:$BV$49,MATCH($D8,Python0831!$A$1:$A$49,0),MATCH(BF$5,Python0831!$B$1:$BV$1,0))</f>
        <v>59.981622404390897</v>
      </c>
      <c r="BG8" s="5">
        <f>INDEX(Python0831!$B$1:$BV$49,MATCH($D8,Python0831!$A$1:$A$49,0),MATCH(BG$5,Python0831!$B$1:$BV$1,0))</f>
        <v>54.393939393939299</v>
      </c>
      <c r="BH8" s="327">
        <f>INDEX(Python0831!$B$1:$BV$49,MATCH($D8,Python0831!$A$1:$A$49,0),MATCH(BH$5,Python0831!$B$1:$BV$1,0))</f>
        <v>0.12590000000000001</v>
      </c>
      <c r="BI8" s="327">
        <f>INDEX(Python0831!$B$1:$BV$49,MATCH($D8,Python0831!$A$1:$A$49,0),MATCH(BI$5,Python0831!$B$1:$BV$1,0))</f>
        <v>0.26642251848112802</v>
      </c>
      <c r="BJ8" s="5">
        <f>INDEX(Python0831!$B$1:$BV$49,MATCH($D8,Python0831!$A$1:$A$49,0),MATCH(BJ$5,Python0831!$B$1:$BV$1,0))</f>
        <v>3.0829560481778402</v>
      </c>
      <c r="BK8" s="5">
        <f>INDEX(Python0831!$B$1:$BV$49,MATCH($D8,Python0831!$A$1:$A$49,0),MATCH(BK$5,Python0831!$B$1:$BV$1,0))</f>
        <v>9.6</v>
      </c>
      <c r="BL8" s="7">
        <f>INDEX(Python0831!$B$1:$BV$49,MATCH($D8,Python0831!$A$1:$A$49,0),MATCH(BL$5,Python0831!$B$1:$BV$1,0))</f>
        <v>0.92255107886194399</v>
      </c>
      <c r="BM8" s="5">
        <f>INDEX(Python0831!$B$1:$BV$49,MATCH($D8,Python0831!$A$1:$A$49,0),MATCH(BM$5,Python0831!$B$1:$BV$1,0))</f>
        <v>59.4</v>
      </c>
      <c r="BN8" s="5">
        <f>INDEX(Python0831!$B$1:$BV$49,MATCH($D8,Python0831!$A$1:$A$49,0),MATCH(BN$5,Python0831!$B$1:$BV$1,0))</f>
        <v>80.182762836578306</v>
      </c>
      <c r="BO8" s="5">
        <f>INDEX(Python0831!$B$1:$BV$49,MATCH($D8,Python0831!$A$1:$A$49,0),MATCH(BO$5,Python0831!$B$1:$BV$1,0))</f>
        <v>50.582134095148398</v>
      </c>
      <c r="BP8" s="5">
        <f>INDEX(Python0831!$B$1:$BV$49,MATCH($D8,Python0831!$A$1:$A$49,0),MATCH(BP$5,Python0831!$B$1:$BV$1,0))</f>
        <v>380.00000000000301</v>
      </c>
      <c r="BQ8" s="7">
        <f>INDEX(Python0831!$B$1:$BV$49,MATCH($D8,Python0831!$A$1:$A$49,0),MATCH(BQ$5,Python0831!$B$1:$BV$1,0))</f>
        <v>22.045064397046701</v>
      </c>
      <c r="BR8" s="5">
        <f>INDEX(Python0831!$B$1:$BV$49,MATCH($D8,Python0831!$A$1:$A$49,0),MATCH(BR$5,Python0831!$B$1:$BV$1,0))</f>
        <v>134004325</v>
      </c>
      <c r="BS8" s="5">
        <f>INDEX(Python0831!$B$1:$BV$49,MATCH($D8,Python0831!$A$1:$A$49,0),MATCH(BS$5,Python0831!$B$1:$BV$1,0))</f>
        <v>955582</v>
      </c>
      <c r="BT8" s="8">
        <f>INDEX(Python0831!$B$1:$BV$49,MATCH($D8,Python0831!$A$1:$A$49,0),MATCH(BT$5,Python0831!$B$1:$BV$1,0))</f>
        <v>0.91354937334747899</v>
      </c>
      <c r="BU8" s="8">
        <f>INDEX(Python0831!$B$1:$BV$49,MATCH($D8,Python0831!$A$1:$A$49,0),MATCH(BU$5,Python0831!$B$1:$BV$1,0))</f>
        <v>0.81412938525909195</v>
      </c>
      <c r="BV8" s="5">
        <f>INDEX(Python0831!$B$1:$BV$49,MATCH($D8,Python0831!$A$1:$A$49,0),MATCH(BV$5,Python0831!$B$1:$BV$1,0))</f>
        <v>45.125309530121498</v>
      </c>
      <c r="BW8" s="5">
        <f>INDEX(Python0831!$B$1:$BV$49,MATCH($D8,Python0831!$A$1:$A$49,0),MATCH(BW$5,Python0831!$B$1:$BV$1,0))</f>
        <v>36.697499999999998</v>
      </c>
      <c r="BX8" s="382">
        <f>INDEX(Python0831!$B$1:$BV$49,MATCH($D8,Python0831!$A$1:$A$49,0),MATCH(BX$5,Python0831!$B$1:$BV$1,0))</f>
        <v>16.513761467889907</v>
      </c>
      <c r="BY8" s="5">
        <f>INDEX(Python0831!$B$1:$BV$49,MATCH($D8,Python0831!$A$1:$A$49,0),MATCH(BY$5,Python0831!$B$1:$BV$1,0))</f>
        <v>33.340412924906197</v>
      </c>
    </row>
    <row r="9" spans="1:77">
      <c r="A9" s="2">
        <v>4</v>
      </c>
      <c r="B9" s="58">
        <f>INDEX(順位表[Comprehensive],MATCH($C9,順位表['#],0))</f>
        <v>4</v>
      </c>
      <c r="C9" s="3">
        <v>4</v>
      </c>
      <c r="D9" s="1" t="str">
        <f>INDEX(都市マスタ[City Name],MATCH($C9,都市マスタ['#],0))</f>
        <v>Paris</v>
      </c>
      <c r="E9" s="5">
        <f>INDEX(Python0831!$B$1:$BV$49,MATCH($D9,Python0831!$A$1:$A$49,0),MATCH(E$5,Python0831!$B$1:$BV$1,0))</f>
        <v>2102650</v>
      </c>
      <c r="F9" s="5">
        <f>INDEX(Python0831!$B$1:$BV$49,MATCH($D9,Python0831!$A$1:$A$49,0),MATCH(F$5,Python0831!$B$1:$BV$1,0))</f>
        <v>105.4</v>
      </c>
      <c r="G9" s="7">
        <f>INDEX(Python0831!$B$1:$BV$49,MATCH($D9,Python0831!$A$1:$A$49,0),MATCH(G$5,Python0831!$B$1:$BV$1,0))</f>
        <v>0.95099999999999996</v>
      </c>
      <c r="H9" s="5">
        <f>INDEX(Python0831!$B$1:$BV$49,MATCH($D9,Python0831!$A$1:$A$49,0),MATCH(H$5,Python0831!$B$1:$BV$1,0))</f>
        <v>288843.09538589697</v>
      </c>
      <c r="I9" s="5">
        <f>INDEX(Python0831!$B$1:$BV$49,MATCH($D9,Python0831!$A$1:$A$49,0),MATCH(I$5,Python0831!$B$1:$BV$1,0))</f>
        <v>134824.34625358001</v>
      </c>
      <c r="J9" s="328">
        <f>INDEX(Python0831!$B$1:$BV$49,MATCH($D9,Python0831!$A$1:$A$49,0),MATCH(J$5,Python0831!$B$1:$BV$1,0))</f>
        <v>1.13511376841199E-2</v>
      </c>
      <c r="K9" s="5">
        <f>INDEX(Python0831!$B$1:$BV$49,MATCH($D9,Python0831!$A$1:$A$49,0),MATCH(K$5,Python0831!$B$1:$BV$1,0))</f>
        <v>63.6</v>
      </c>
      <c r="L9" s="5">
        <f>INDEX(Python0831!$B$1:$BV$49,MATCH($D9,Python0831!$A$1:$A$49,0),MATCH(L$5,Python0831!$B$1:$BV$1,0))</f>
        <v>2967238.1958727399</v>
      </c>
      <c r="M9" s="5">
        <f>INDEX(Python0831!$B$1:$BV$49,MATCH($D9,Python0831!$A$1:$A$49,0),MATCH(M$5,Python0831!$B$1:$BV$1,0))</f>
        <v>1672092.2</v>
      </c>
      <c r="N9" s="5">
        <f>INDEX(Python0831!$B$1:$BV$49,MATCH($D9,Python0831!$A$1:$A$49,0),MATCH(N$5,Python0831!$B$1:$BV$1,0))</f>
        <v>2105368</v>
      </c>
      <c r="O9" s="328">
        <f>INDEX(Python0831!$B$1:$BV$49,MATCH($D9,Python0831!$A$1:$A$49,0),MATCH(O$5,Python0831!$B$1:$BV$1,0))</f>
        <v>0.28116082319100499</v>
      </c>
      <c r="P9" s="5">
        <f>INDEX(Python0831!$B$1:$BV$49,MATCH($D9,Python0831!$A$1:$A$49,0),MATCH(P$5,Python0831!$B$1:$BV$1,0))</f>
        <v>39.833036151406198</v>
      </c>
      <c r="Q9" s="5">
        <f>INDEX(Python0831!$B$1:$BV$49,MATCH($D9,Python0831!$A$1:$A$49,0),MATCH(Q$5,Python0831!$B$1:$BV$1,0))</f>
        <v>52.1726486570075</v>
      </c>
      <c r="R9" s="5">
        <f>INDEX(Python0831!$B$1:$BV$49,MATCH($D9,Python0831!$A$1:$A$49,0),MATCH(R$5,Python0831!$B$1:$BV$1,0))</f>
        <v>38.417214725626799</v>
      </c>
      <c r="S9" s="327">
        <f>INDEX(Python0831!$B$1:$BV$49,MATCH($D9,Python0831!$A$1:$A$49,0),MATCH(S$5,Python0831!$B$1:$BV$1,0))</f>
        <v>0.25</v>
      </c>
      <c r="T9" s="5">
        <f>INDEX(Python0831!$B$1:$BV$49,MATCH($D9,Python0831!$A$1:$A$49,0),MATCH(T$5,Python0831!$B$1:$BV$1,0))</f>
        <v>82.832899226868903</v>
      </c>
      <c r="U9" s="5">
        <f>INDEX(Python0831!$B$1:$BV$49,MATCH($D9,Python0831!$A$1:$A$49,0),MATCH(U$5,Python0831!$B$1:$BV$1,0))</f>
        <v>22750.284511998099</v>
      </c>
      <c r="V9" s="5">
        <f>INDEX(Python0831!$B$1:$BV$49,MATCH($D9,Python0831!$A$1:$A$49,0),MATCH(V$5,Python0831!$B$1:$BV$1,0))</f>
        <v>571</v>
      </c>
      <c r="W9" s="5">
        <f>INDEX(Python0831!$B$1:$BV$49,MATCH($D9,Python0831!$A$1:$A$49,0),MATCH(W$5,Python0831!$B$1:$BV$1,0))</f>
        <v>7622.4017538625303</v>
      </c>
      <c r="X9" s="5">
        <f>INDEX(Python0831!$B$1:$BV$49,MATCH($D9,Python0831!$A$1:$A$49,0),MATCH(X$5,Python0831!$B$1:$BV$1,0))</f>
        <v>51486.999999999898</v>
      </c>
      <c r="Y9" s="5">
        <f>INDEX(Python0831!$B$1:$BV$49,MATCH($D9,Python0831!$A$1:$A$49,0),MATCH(Y$5,Python0831!$B$1:$BV$1,0))</f>
        <v>493.666666666666</v>
      </c>
      <c r="Z9" s="5">
        <f>INDEX(Python0831!$B$1:$BV$49,MATCH($D9,Python0831!$A$1:$A$49,0),MATCH(Z$5,Python0831!$B$1:$BV$1,0))</f>
        <v>897.77886682266103</v>
      </c>
      <c r="AA9" s="7">
        <f>INDEX(Python0831!$B$1:$BV$49,MATCH($D9,Python0831!$A$1:$A$49,0),MATCH(AA$5,Python0831!$B$1:$BV$1,0))</f>
        <v>6.25</v>
      </c>
      <c r="AB9" s="5">
        <f>INDEX(Python0831!$B$1:$BV$49,MATCH($D9,Python0831!$A$1:$A$49,0),MATCH(AB$5,Python0831!$B$1:$BV$1,0))</f>
        <v>458.33333333333297</v>
      </c>
      <c r="AC9" s="5">
        <f>INDEX(Python0831!$B$1:$BV$49,MATCH($D9,Python0831!$A$1:$A$49,0),MATCH(AC$5,Python0831!$B$1:$BV$1,0))</f>
        <v>153</v>
      </c>
      <c r="AD9" s="5">
        <f>INDEX(Python0831!$B$1:$BV$49,MATCH($D9,Python0831!$A$1:$A$49,0),MATCH(AD$5,Python0831!$B$1:$BV$1,0))</f>
        <v>12.5</v>
      </c>
      <c r="AE9" s="5">
        <f>INDEX(Python0831!$B$1:$BV$49,MATCH($D9,Python0831!$A$1:$A$49,0),MATCH(AE$5,Python0831!$B$1:$BV$1,0))</f>
        <v>17.974988366573999</v>
      </c>
      <c r="AF9" s="5">
        <f>INDEX(Python0831!$B$1:$BV$49,MATCH($D9,Python0831!$A$1:$A$49,0),MATCH(AF$5,Python0831!$B$1:$BV$1,0))</f>
        <v>30.099998961973501</v>
      </c>
      <c r="AG9" s="5">
        <f>INDEX(Python0831!$B$1:$BV$49,MATCH($D9,Python0831!$A$1:$A$49,0),MATCH(AG$5,Python0831!$B$1:$BV$1,0))</f>
        <v>70.414481822125794</v>
      </c>
      <c r="AH9" s="5">
        <f>INDEX(Python0831!$B$1:$BV$49,MATCH($D9,Python0831!$A$1:$A$49,0),MATCH(AH$5,Python0831!$B$1:$BV$1,0))</f>
        <v>8.375</v>
      </c>
      <c r="AI9" s="5">
        <f>INDEX(Python0831!$B$1:$BV$49,MATCH($D9,Python0831!$A$1:$A$49,0),MATCH(AI$5,Python0831!$B$1:$BV$1,0))</f>
        <v>43.944377219870603</v>
      </c>
      <c r="AJ9" s="5">
        <f>INDEX(Python0831!$B$1:$BV$49,MATCH($D9,Python0831!$A$1:$A$49,0),MATCH(AJ$5,Python0831!$B$1:$BV$1,0))</f>
        <v>248.5</v>
      </c>
      <c r="AK9" s="5">
        <f>INDEX(Python0831!$B$1:$BV$49,MATCH($D9,Python0831!$A$1:$A$49,0),MATCH(AK$5,Python0831!$B$1:$BV$1,0))</f>
        <v>200</v>
      </c>
      <c r="AL9" s="5">
        <f>INDEX(Python0831!$B$1:$BV$49,MATCH($D9,Python0831!$A$1:$A$49,0),MATCH(AL$5,Python0831!$B$1:$BV$1,0))</f>
        <v>10</v>
      </c>
      <c r="AM9" s="5">
        <f>INDEX(Python0831!$B$1:$BV$49,MATCH($D9,Python0831!$A$1:$A$49,0),MATCH(AM$5,Python0831!$B$1:$BV$1,0))</f>
        <v>126961</v>
      </c>
      <c r="AN9" s="5">
        <f>INDEX(Python0831!$B$1:$BV$49,MATCH($D9,Python0831!$A$1:$A$49,0),MATCH(AN$5,Python0831!$B$1:$BV$1,0))</f>
        <v>9448</v>
      </c>
      <c r="AO9" s="5">
        <f>INDEX(Python0831!$B$1:$BV$49,MATCH($D9,Python0831!$A$1:$A$49,0),MATCH(AO$5,Python0831!$B$1:$BV$1,0))</f>
        <v>75.821568656218801</v>
      </c>
      <c r="AP9" s="5">
        <f>INDEX(Python0831!$B$1:$BV$49,MATCH($D9,Python0831!$A$1:$A$49,0),MATCH(AP$5,Python0831!$B$1:$BV$1,0))</f>
        <v>54.875665730277902</v>
      </c>
      <c r="AQ9" s="5">
        <f>INDEX(Python0831!$B$1:$BV$49,MATCH($D9,Python0831!$A$1:$A$49,0),MATCH(AQ$5,Python0831!$B$1:$BV$1,0))</f>
        <v>309006</v>
      </c>
      <c r="AR9" s="5">
        <f>INDEX(Python0831!$B$1:$BV$49,MATCH($D9,Python0831!$A$1:$A$49,0),MATCH(AR$5,Python0831!$B$1:$BV$1,0))</f>
        <v>7333554.41354544</v>
      </c>
      <c r="AS9" s="328">
        <f>INDEX(Python0831!$B$1:$BV$49,MATCH($D9,Python0831!$A$1:$A$49,0),MATCH(AS$5,Python0831!$B$1:$BV$1,0))</f>
        <v>5.7490410958904101E-2</v>
      </c>
      <c r="AT9" s="5">
        <f>INDEX(Python0831!$B$1:$BV$49,MATCH($D9,Python0831!$A$1:$A$49,0),MATCH(AT$5,Python0831!$B$1:$BV$1,0))</f>
        <v>1716.6064742548399</v>
      </c>
      <c r="AU9" s="7">
        <f>INDEX(Python0831!$B$1:$BV$49,MATCH($D9,Python0831!$A$1:$A$49,0),MATCH(AU$5,Python0831!$B$1:$BV$1,0))</f>
        <v>0.36969696969696902</v>
      </c>
      <c r="AV9" s="5">
        <f>INDEX(Python0831!$B$1:$BV$49,MATCH($D9,Python0831!$A$1:$A$49,0),MATCH(AV$5,Python0831!$B$1:$BV$1,0))</f>
        <v>2088.6111111111099</v>
      </c>
      <c r="AW9" s="5">
        <f>INDEX(Python0831!$B$1:$BV$49,MATCH($D9,Python0831!$A$1:$A$49,0),MATCH(AW$5,Python0831!$B$1:$BV$1,0))</f>
        <v>39.638502618539697</v>
      </c>
      <c r="AX9" s="5">
        <f>INDEX(Python0831!$B$1:$BV$49,MATCH($D9,Python0831!$A$1:$A$49,0),MATCH(AX$5,Python0831!$B$1:$BV$1,0))</f>
        <v>8.4019257213753296</v>
      </c>
      <c r="AY9" s="329">
        <f>INDEX(Python0831!$B$1:$BV$49,MATCH($D9,Python0831!$A$1:$A$49,0),MATCH(AY$5,Python0831!$B$1:$BV$1,0))</f>
        <v>1.8E-3</v>
      </c>
      <c r="AZ9" s="5">
        <f>INDEX(Python0831!$B$1:$BV$49,MATCH($D9,Python0831!$A$1:$A$49,0),MATCH(AZ$5,Python0831!$B$1:$BV$1,0))</f>
        <v>82.5</v>
      </c>
      <c r="BA9" s="5">
        <f>INDEX(Python0831!$B$1:$BV$49,MATCH($D9,Python0831!$A$1:$A$49,0),MATCH(BA$5,Python0831!$B$1:$BV$1,0))</f>
        <v>74.2539220047356</v>
      </c>
      <c r="BB9" s="5">
        <f>INDEX(Python0831!$B$1:$BV$49,MATCH($D9,Python0831!$A$1:$A$49,0),MATCH(BB$5,Python0831!$B$1:$BV$1,0))</f>
        <v>20.701695668115299</v>
      </c>
      <c r="BC9" s="5">
        <f>INDEX(Python0831!$B$1:$BV$49,MATCH($D9,Python0831!$A$1:$A$49,0),MATCH(BC$5,Python0831!$B$1:$BV$1,0))</f>
        <v>7117.8734278973498</v>
      </c>
      <c r="BD9" s="5">
        <f>INDEX(Python0831!$B$1:$BV$49,MATCH($D9,Python0831!$A$1:$A$49,0),MATCH(BD$5,Python0831!$B$1:$BV$1,0))</f>
        <v>73.069888299046099</v>
      </c>
      <c r="BE9" s="5">
        <f>INDEX(Python0831!$B$1:$BV$49,MATCH($D9,Python0831!$A$1:$A$49,0),MATCH(BE$5,Python0831!$B$1:$BV$1,0))</f>
        <v>81.863440052274697</v>
      </c>
      <c r="BF9" s="5">
        <f>INDEX(Python0831!$B$1:$BV$49,MATCH($D9,Python0831!$A$1:$A$49,0),MATCH(BF$5,Python0831!$B$1:$BV$1,0))</f>
        <v>71.467155376470004</v>
      </c>
      <c r="BG9" s="5">
        <f>INDEX(Python0831!$B$1:$BV$49,MATCH($D9,Python0831!$A$1:$A$49,0),MATCH(BG$5,Python0831!$B$1:$BV$1,0))</f>
        <v>60.153846153846096</v>
      </c>
      <c r="BH9" s="327">
        <f>INDEX(Python0831!$B$1:$BV$49,MATCH($D9,Python0831!$A$1:$A$49,0),MATCH(BH$5,Python0831!$B$1:$BV$1,0))</f>
        <v>0.1164</v>
      </c>
      <c r="BI9" s="327">
        <f>INDEX(Python0831!$B$1:$BV$49,MATCH($D9,Python0831!$A$1:$A$49,0),MATCH(BI$5,Python0831!$B$1:$BV$1,0))</f>
        <v>0.24308169424999901</v>
      </c>
      <c r="BJ9" s="5">
        <f>INDEX(Python0831!$B$1:$BV$49,MATCH($D9,Python0831!$A$1:$A$49,0),MATCH(BJ$5,Python0831!$B$1:$BV$1,0))</f>
        <v>13.369108873728401</v>
      </c>
      <c r="BK9" s="5">
        <f>INDEX(Python0831!$B$1:$BV$49,MATCH($D9,Python0831!$A$1:$A$49,0),MATCH(BK$5,Python0831!$B$1:$BV$1,0))</f>
        <v>12.7</v>
      </c>
      <c r="BL9" s="7">
        <f>INDEX(Python0831!$B$1:$BV$49,MATCH($D9,Python0831!$A$1:$A$49,0),MATCH(BL$5,Python0831!$B$1:$BV$1,0))</f>
        <v>0.91018658013674802</v>
      </c>
      <c r="BM9" s="5">
        <f>INDEX(Python0831!$B$1:$BV$49,MATCH($D9,Python0831!$A$1:$A$49,0),MATCH(BM$5,Python0831!$B$1:$BV$1,0))</f>
        <v>57.5</v>
      </c>
      <c r="BN9" s="5">
        <f>INDEX(Python0831!$B$1:$BV$49,MATCH($D9,Python0831!$A$1:$A$49,0),MATCH(BN$5,Python0831!$B$1:$BV$1,0))</f>
        <v>40.9966821797587</v>
      </c>
      <c r="BO9" s="5">
        <f>INDEX(Python0831!$B$1:$BV$49,MATCH($D9,Python0831!$A$1:$A$49,0),MATCH(BO$5,Python0831!$B$1:$BV$1,0))</f>
        <v>20.755121000098999</v>
      </c>
      <c r="BP9" s="5">
        <f>INDEX(Python0831!$B$1:$BV$49,MATCH($D9,Python0831!$A$1:$A$49,0),MATCH(BP$5,Python0831!$B$1:$BV$1,0))</f>
        <v>313.00000000000102</v>
      </c>
      <c r="BQ9" s="7">
        <f>INDEX(Python0831!$B$1:$BV$49,MATCH($D9,Python0831!$A$1:$A$49,0),MATCH(BQ$5,Python0831!$B$1:$BV$1,0))</f>
        <v>22.3929934257004</v>
      </c>
      <c r="BR9" s="5">
        <f>INDEX(Python0831!$B$1:$BV$49,MATCH($D9,Python0831!$A$1:$A$49,0),MATCH(BR$5,Python0831!$B$1:$BV$1,0))</f>
        <v>91275726</v>
      </c>
      <c r="BS9" s="5">
        <f>INDEX(Python0831!$B$1:$BV$49,MATCH($D9,Python0831!$A$1:$A$49,0),MATCH(BS$5,Python0831!$B$1:$BV$1,0))</f>
        <v>619429</v>
      </c>
      <c r="BT9" s="8">
        <f>INDEX(Python0831!$B$1:$BV$49,MATCH($D9,Python0831!$A$1:$A$49,0),MATCH(BT$5,Python0831!$B$1:$BV$1,0))</f>
        <v>1.7220564842543</v>
      </c>
      <c r="BU9" s="8">
        <f>INDEX(Python0831!$B$1:$BV$49,MATCH($D9,Python0831!$A$1:$A$49,0),MATCH(BU$5,Python0831!$B$1:$BV$1,0))</f>
        <v>0.70101724900486495</v>
      </c>
      <c r="BV9" s="5">
        <f>INDEX(Python0831!$B$1:$BV$49,MATCH($D9,Python0831!$A$1:$A$49,0),MATCH(BV$5,Python0831!$B$1:$BV$1,0))</f>
        <v>37.490339720770798</v>
      </c>
      <c r="BW9" s="5">
        <f>INDEX(Python0831!$B$1:$BV$49,MATCH($D9,Python0831!$A$1:$A$49,0),MATCH(BW$5,Python0831!$B$1:$BV$1,0))</f>
        <v>35.2575</v>
      </c>
      <c r="BX9" s="382">
        <f>INDEX(Python0831!$B$1:$BV$49,MATCH($D9,Python0831!$A$1:$A$49,0),MATCH(BX$5,Python0831!$B$1:$BV$1,0))</f>
        <v>22.929936305732483</v>
      </c>
      <c r="BY9" s="5">
        <f>INDEX(Python0831!$B$1:$BV$49,MATCH($D9,Python0831!$A$1:$A$49,0),MATCH(BY$5,Python0831!$B$1:$BV$1,0))</f>
        <v>52.468132894439997</v>
      </c>
    </row>
    <row r="10" spans="1:77">
      <c r="A10" s="2">
        <v>5</v>
      </c>
      <c r="B10" s="58">
        <f>INDEX(順位表[Comprehensive],MATCH($C10,順位表['#],0))</f>
        <v>24</v>
      </c>
      <c r="C10" s="3">
        <v>5</v>
      </c>
      <c r="D10" s="1" t="str">
        <f>INDEX(都市マスタ[City Name],MATCH($C10,都市マスタ['#],0))</f>
        <v>Brussels</v>
      </c>
      <c r="E10" s="5">
        <f>INDEX(Python0831!$B$1:$BV$49,MATCH($D10,Python0831!$A$1:$A$49,0),MATCH(E$5,Python0831!$B$1:$BV$1,0))</f>
        <v>1222637</v>
      </c>
      <c r="F10" s="5">
        <f>INDEX(Python0831!$B$1:$BV$49,MATCH($D10,Python0831!$A$1:$A$49,0),MATCH(F$5,Python0831!$B$1:$BV$1,0))</f>
        <v>162.41978599999999</v>
      </c>
      <c r="G10" s="7">
        <f>INDEX(Python0831!$B$1:$BV$49,MATCH($D10,Python0831!$A$1:$A$49,0),MATCH(G$5,Python0831!$B$1:$BV$1,0))</f>
        <v>0.95099999999999996</v>
      </c>
      <c r="H10" s="5">
        <f>INDEX(Python0831!$B$1:$BV$49,MATCH($D10,Python0831!$A$1:$A$49,0),MATCH(H$5,Python0831!$B$1:$BV$1,0))</f>
        <v>107356.606093636</v>
      </c>
      <c r="I10" s="5">
        <f>INDEX(Python0831!$B$1:$BV$49,MATCH($D10,Python0831!$A$1:$A$49,0),MATCH(I$5,Python0831!$B$1:$BV$1,0))</f>
        <v>87999.382028768698</v>
      </c>
      <c r="J10" s="328">
        <f>INDEX(Python0831!$B$1:$BV$49,MATCH($D10,Python0831!$A$1:$A$49,0),MATCH(J$5,Python0831!$B$1:$BV$1,0))</f>
        <v>5.2876857546804001E-3</v>
      </c>
      <c r="K10" s="5">
        <f>INDEX(Python0831!$B$1:$BV$49,MATCH($D10,Python0831!$A$1:$A$49,0),MATCH(K$5,Python0831!$B$1:$BV$1,0))</f>
        <v>67.099999999999994</v>
      </c>
      <c r="L10" s="5">
        <f>INDEX(Python0831!$B$1:$BV$49,MATCH($D10,Python0831!$A$1:$A$49,0),MATCH(L$5,Python0831!$B$1:$BV$1,0))</f>
        <v>336073.06570765498</v>
      </c>
      <c r="M10" s="5">
        <f>INDEX(Python0831!$B$1:$BV$49,MATCH($D10,Python0831!$A$1:$A$49,0),MATCH(M$5,Python0831!$B$1:$BV$1,0))</f>
        <v>0</v>
      </c>
      <c r="N10" s="5">
        <f>INDEX(Python0831!$B$1:$BV$49,MATCH($D10,Python0831!$A$1:$A$49,0),MATCH(N$5,Python0831!$B$1:$BV$1,0))</f>
        <v>795647.267120854</v>
      </c>
      <c r="O10" s="328">
        <f>INDEX(Python0831!$B$1:$BV$49,MATCH($D10,Python0831!$A$1:$A$49,0),MATCH(O$5,Python0831!$B$1:$BV$1,0))</f>
        <v>0.26507830477975602</v>
      </c>
      <c r="P10" s="5">
        <f>INDEX(Python0831!$B$1:$BV$49,MATCH($D10,Python0831!$A$1:$A$49,0),MATCH(P$5,Python0831!$B$1:$BV$1,0))</f>
        <v>44.115309495978003</v>
      </c>
      <c r="Q10" s="5">
        <f>INDEX(Python0831!$B$1:$BV$49,MATCH($D10,Python0831!$A$1:$A$49,0),MATCH(Q$5,Python0831!$B$1:$BV$1,0))</f>
        <v>70.9664234997189</v>
      </c>
      <c r="R10" s="5">
        <f>INDEX(Python0831!$B$1:$BV$49,MATCH($D10,Python0831!$A$1:$A$49,0),MATCH(R$5,Python0831!$B$1:$BV$1,0))</f>
        <v>14.630545735364899</v>
      </c>
      <c r="S10" s="327">
        <f>INDEX(Python0831!$B$1:$BV$49,MATCH($D10,Python0831!$A$1:$A$49,0),MATCH(S$5,Python0831!$B$1:$BV$1,0))</f>
        <v>0.25</v>
      </c>
      <c r="T10" s="5">
        <f>INDEX(Python0831!$B$1:$BV$49,MATCH($D10,Python0831!$A$1:$A$49,0),MATCH(T$5,Python0831!$B$1:$BV$1,0))</f>
        <v>79.514771803524098</v>
      </c>
      <c r="U10" s="5">
        <f>INDEX(Python0831!$B$1:$BV$49,MATCH($D10,Python0831!$A$1:$A$49,0),MATCH(U$5,Python0831!$B$1:$BV$1,0))</f>
        <v>10672.5131155496</v>
      </c>
      <c r="V10" s="5">
        <f>INDEX(Python0831!$B$1:$BV$49,MATCH($D10,Python0831!$A$1:$A$49,0),MATCH(V$5,Python0831!$B$1:$BV$1,0))</f>
        <v>356</v>
      </c>
      <c r="W10" s="5">
        <f>INDEX(Python0831!$B$1:$BV$49,MATCH($D10,Python0831!$A$1:$A$49,0),MATCH(W$5,Python0831!$B$1:$BV$1,0))</f>
        <v>2924.88699199231</v>
      </c>
      <c r="X10" s="5">
        <f>INDEX(Python0831!$B$1:$BV$49,MATCH($D10,Python0831!$A$1:$A$49,0),MATCH(X$5,Python0831!$B$1:$BV$1,0))</f>
        <v>32967.29</v>
      </c>
      <c r="Y10" s="5">
        <f>INDEX(Python0831!$B$1:$BV$49,MATCH($D10,Python0831!$A$1:$A$49,0),MATCH(Y$5,Python0831!$B$1:$BV$1,0))</f>
        <v>500</v>
      </c>
      <c r="Z10" s="5">
        <f>INDEX(Python0831!$B$1:$BV$49,MATCH($D10,Python0831!$A$1:$A$49,0),MATCH(Z$5,Python0831!$B$1:$BV$1,0))</f>
        <v>154.30327699513899</v>
      </c>
      <c r="AA10" s="7">
        <f>INDEX(Python0831!$B$1:$BV$49,MATCH($D10,Python0831!$A$1:$A$49,0),MATCH(AA$5,Python0831!$B$1:$BV$1,0))</f>
        <v>0.55000000000000004</v>
      </c>
      <c r="AB10" s="5">
        <f>INDEX(Python0831!$B$1:$BV$49,MATCH($D10,Python0831!$A$1:$A$49,0),MATCH(AB$5,Python0831!$B$1:$BV$1,0))</f>
        <v>41.6666666666666</v>
      </c>
      <c r="AC10" s="5">
        <f>INDEX(Python0831!$B$1:$BV$49,MATCH($D10,Python0831!$A$1:$A$49,0),MATCH(AC$5,Python0831!$B$1:$BV$1,0))</f>
        <v>319</v>
      </c>
      <c r="AD10" s="5">
        <f>INDEX(Python0831!$B$1:$BV$49,MATCH($D10,Python0831!$A$1:$A$49,0),MATCH(AD$5,Python0831!$B$1:$BV$1,0))</f>
        <v>26.5625</v>
      </c>
      <c r="AE10" s="5">
        <f>INDEX(Python0831!$B$1:$BV$49,MATCH($D10,Python0831!$A$1:$A$49,0),MATCH(AE$5,Python0831!$B$1:$BV$1,0))</f>
        <v>14.791373814557801</v>
      </c>
      <c r="AF10" s="5">
        <f>INDEX(Python0831!$B$1:$BV$49,MATCH($D10,Python0831!$A$1:$A$49,0),MATCH(AF$5,Python0831!$B$1:$BV$1,0))</f>
        <v>4.94666572472007</v>
      </c>
      <c r="AG10" s="5">
        <f>INDEX(Python0831!$B$1:$BV$49,MATCH($D10,Python0831!$A$1:$A$49,0),MATCH(AG$5,Python0831!$B$1:$BV$1,0))</f>
        <v>20.740651968882698</v>
      </c>
      <c r="AH10" s="5">
        <f>INDEX(Python0831!$B$1:$BV$49,MATCH($D10,Python0831!$A$1:$A$49,0),MATCH(AH$5,Python0831!$B$1:$BV$1,0))</f>
        <v>19.125</v>
      </c>
      <c r="AI10" s="5">
        <f>INDEX(Python0831!$B$1:$BV$49,MATCH($D10,Python0831!$A$1:$A$49,0),MATCH(AI$5,Python0831!$B$1:$BV$1,0))</f>
        <v>16.4013262546469</v>
      </c>
      <c r="AJ10" s="5">
        <f>INDEX(Python0831!$B$1:$BV$49,MATCH($D10,Python0831!$A$1:$A$49,0),MATCH(AJ$5,Python0831!$B$1:$BV$1,0))</f>
        <v>46</v>
      </c>
      <c r="AK10" s="5">
        <f>INDEX(Python0831!$B$1:$BV$49,MATCH($D10,Python0831!$A$1:$A$49,0),MATCH(AK$5,Python0831!$B$1:$BV$1,0))</f>
        <v>79</v>
      </c>
      <c r="AL10" s="5">
        <f>INDEX(Python0831!$B$1:$BV$49,MATCH($D10,Python0831!$A$1:$A$49,0),MATCH(AL$5,Python0831!$B$1:$BV$1,0))</f>
        <v>4</v>
      </c>
      <c r="AM10" s="5">
        <f>INDEX(Python0831!$B$1:$BV$49,MATCH($D10,Python0831!$A$1:$A$49,0),MATCH(AM$5,Python0831!$B$1:$BV$1,0))</f>
        <v>24013</v>
      </c>
      <c r="AN10" s="5">
        <f>INDEX(Python0831!$B$1:$BV$49,MATCH($D10,Python0831!$A$1:$A$49,0),MATCH(AN$5,Python0831!$B$1:$BV$1,0))</f>
        <v>1842</v>
      </c>
      <c r="AO10" s="5">
        <f>INDEX(Python0831!$B$1:$BV$49,MATCH($D10,Python0831!$A$1:$A$49,0),MATCH(AO$5,Python0831!$B$1:$BV$1,0))</f>
        <v>25.703580235930001</v>
      </c>
      <c r="AP10" s="5">
        <f>INDEX(Python0831!$B$1:$BV$49,MATCH($D10,Python0831!$A$1:$A$49,0),MATCH(AP$5,Python0831!$B$1:$BV$1,0))</f>
        <v>26.805015016697102</v>
      </c>
      <c r="AQ10" s="5">
        <f>INDEX(Python0831!$B$1:$BV$49,MATCH($D10,Python0831!$A$1:$A$49,0),MATCH(AQ$5,Python0831!$B$1:$BV$1,0))</f>
        <v>438737</v>
      </c>
      <c r="AR10" s="5">
        <f>INDEX(Python0831!$B$1:$BV$49,MATCH($D10,Python0831!$A$1:$A$49,0),MATCH(AR$5,Python0831!$B$1:$BV$1,0))</f>
        <v>1658902.6884977301</v>
      </c>
      <c r="AS10" s="328">
        <f>INDEX(Python0831!$B$1:$BV$49,MATCH($D10,Python0831!$A$1:$A$49,0),MATCH(AS$5,Python0831!$B$1:$BV$1,0))</f>
        <v>0.115249469223804</v>
      </c>
      <c r="AT10" s="5">
        <f>INDEX(Python0831!$B$1:$BV$49,MATCH($D10,Python0831!$A$1:$A$49,0),MATCH(AT$5,Python0831!$B$1:$BV$1,0))</f>
        <v>1862.97684230603</v>
      </c>
      <c r="AU10" s="7">
        <f>INDEX(Python0831!$B$1:$BV$49,MATCH($D10,Python0831!$A$1:$A$49,0),MATCH(AU$5,Python0831!$B$1:$BV$1,0))</f>
        <v>0.17307692307692299</v>
      </c>
      <c r="AV10" s="5">
        <f>INDEX(Python0831!$B$1:$BV$49,MATCH($D10,Python0831!$A$1:$A$49,0),MATCH(AV$5,Python0831!$B$1:$BV$1,0))</f>
        <v>1492.1778959810799</v>
      </c>
      <c r="AW10" s="5">
        <f>INDEX(Python0831!$B$1:$BV$49,MATCH($D10,Python0831!$A$1:$A$49,0),MATCH(AW$5,Python0831!$B$1:$BV$1,0))</f>
        <v>35.448420882630302</v>
      </c>
      <c r="AX10" s="5">
        <f>INDEX(Python0831!$B$1:$BV$49,MATCH($D10,Python0831!$A$1:$A$49,0),MATCH(AX$5,Python0831!$B$1:$BV$1,0))</f>
        <v>1.63938457503053</v>
      </c>
      <c r="AY10" s="329">
        <f>INDEX(Python0831!$B$1:$BV$49,MATCH($D10,Python0831!$A$1:$A$49,0),MATCH(AY$5,Python0831!$B$1:$BV$1,0))</f>
        <v>1.9E-3</v>
      </c>
      <c r="AZ10" s="5">
        <f>INDEX(Python0831!$B$1:$BV$49,MATCH($D10,Python0831!$A$1:$A$49,0),MATCH(AZ$5,Python0831!$B$1:$BV$1,0))</f>
        <v>81.400000000000006</v>
      </c>
      <c r="BA10" s="5">
        <f>INDEX(Python0831!$B$1:$BV$49,MATCH($D10,Python0831!$A$1:$A$49,0),MATCH(BA$5,Python0831!$B$1:$BV$1,0))</f>
        <v>79.959329266441699</v>
      </c>
      <c r="BB10" s="5">
        <f>INDEX(Python0831!$B$1:$BV$49,MATCH($D10,Python0831!$A$1:$A$49,0),MATCH(BB$5,Python0831!$B$1:$BV$1,0))</f>
        <v>27.930551068438799</v>
      </c>
      <c r="BC10" s="5">
        <f>INDEX(Python0831!$B$1:$BV$49,MATCH($D10,Python0831!$A$1:$A$49,0),MATCH(BC$5,Python0831!$B$1:$BV$1,0))</f>
        <v>7637.5562725500504</v>
      </c>
      <c r="BD10" s="5">
        <f>INDEX(Python0831!$B$1:$BV$49,MATCH($D10,Python0831!$A$1:$A$49,0),MATCH(BD$5,Python0831!$B$1:$BV$1,0))</f>
        <v>72.640145403164098</v>
      </c>
      <c r="BE10" s="5">
        <f>INDEX(Python0831!$B$1:$BV$49,MATCH($D10,Python0831!$A$1:$A$49,0),MATCH(BE$5,Python0831!$B$1:$BV$1,0))</f>
        <v>41.4454222617249</v>
      </c>
      <c r="BF10" s="5">
        <f>INDEX(Python0831!$B$1:$BV$49,MATCH($D10,Python0831!$A$1:$A$49,0),MATCH(BF$5,Python0831!$B$1:$BV$1,0))</f>
        <v>35.192831480089097</v>
      </c>
      <c r="BG10" s="5">
        <f>INDEX(Python0831!$B$1:$BV$49,MATCH($D10,Python0831!$A$1:$A$49,0),MATCH(BG$5,Python0831!$B$1:$BV$1,0))</f>
        <v>23.939393939393899</v>
      </c>
      <c r="BH10" s="327">
        <f>INDEX(Python0831!$B$1:$BV$49,MATCH($D10,Python0831!$A$1:$A$49,0),MATCH(BH$5,Python0831!$B$1:$BV$1,0))</f>
        <v>8.8599999999999998E-2</v>
      </c>
      <c r="BI10" s="327">
        <f>INDEX(Python0831!$B$1:$BV$49,MATCH($D10,Python0831!$A$1:$A$49,0),MATCH(BI$5,Python0831!$B$1:$BV$1,0))</f>
        <v>0.32447239379999998</v>
      </c>
      <c r="BJ10" s="5">
        <f>INDEX(Python0831!$B$1:$BV$49,MATCH($D10,Python0831!$A$1:$A$49,0),MATCH(BJ$5,Python0831!$B$1:$BV$1,0))</f>
        <v>13.030946240852201</v>
      </c>
      <c r="BK10" s="5">
        <f>INDEX(Python0831!$B$1:$BV$49,MATCH($D10,Python0831!$A$1:$A$49,0),MATCH(BK$5,Python0831!$B$1:$BV$1,0))</f>
        <v>10.6</v>
      </c>
      <c r="BL10" s="7">
        <f>INDEX(Python0831!$B$1:$BV$49,MATCH($D10,Python0831!$A$1:$A$49,0),MATCH(BL$5,Python0831!$B$1:$BV$1,0))</f>
        <v>0.96090981826494404</v>
      </c>
      <c r="BM10" s="5">
        <f>INDEX(Python0831!$B$1:$BV$49,MATCH($D10,Python0831!$A$1:$A$49,0),MATCH(BM$5,Python0831!$B$1:$BV$1,0))</f>
        <v>55.7</v>
      </c>
      <c r="BN10" s="5">
        <f>INDEX(Python0831!$B$1:$BV$49,MATCH($D10,Python0831!$A$1:$A$49,0),MATCH(BN$5,Python0831!$B$1:$BV$1,0))</f>
        <v>71.659222325436204</v>
      </c>
      <c r="BO10" s="5">
        <f>INDEX(Python0831!$B$1:$BV$49,MATCH($D10,Python0831!$A$1:$A$49,0),MATCH(BO$5,Python0831!$B$1:$BV$1,0))</f>
        <v>38.246109882646799</v>
      </c>
      <c r="BP10" s="5">
        <f>INDEX(Python0831!$B$1:$BV$49,MATCH($D10,Python0831!$A$1:$A$49,0),MATCH(BP$5,Python0831!$B$1:$BV$1,0))</f>
        <v>257.00000000000102</v>
      </c>
      <c r="BQ10" s="7">
        <f>INDEX(Python0831!$B$1:$BV$49,MATCH($D10,Python0831!$A$1:$A$49,0),MATCH(BQ$5,Python0831!$B$1:$BV$1,0))</f>
        <v>7.16557898731772</v>
      </c>
      <c r="BR10" s="5">
        <f>INDEX(Python0831!$B$1:$BV$49,MATCH($D10,Python0831!$A$1:$A$49,0),MATCH(BR$5,Python0831!$B$1:$BV$1,0))</f>
        <v>27147529</v>
      </c>
      <c r="BS10" s="5">
        <f>INDEX(Python0831!$B$1:$BV$49,MATCH($D10,Python0831!$A$1:$A$49,0),MATCH(BS$5,Python0831!$B$1:$BV$1,0))</f>
        <v>203618</v>
      </c>
      <c r="BT10" s="8">
        <f>INDEX(Python0831!$B$1:$BV$49,MATCH($D10,Python0831!$A$1:$A$49,0),MATCH(BT$5,Python0831!$B$1:$BV$1,0))</f>
        <v>1.2191268640839099</v>
      </c>
      <c r="BU10" s="8">
        <f>INDEX(Python0831!$B$1:$BV$49,MATCH($D10,Python0831!$A$1:$A$49,0),MATCH(BU$5,Python0831!$B$1:$BV$1,0))</f>
        <v>0.46158106050117598</v>
      </c>
      <c r="BV10" s="5">
        <f>INDEX(Python0831!$B$1:$BV$49,MATCH($D10,Python0831!$A$1:$A$49,0),MATCH(BV$5,Python0831!$B$1:$BV$1,0))</f>
        <v>27.6066729682837</v>
      </c>
      <c r="BW10" s="5">
        <f>INDEX(Python0831!$B$1:$BV$49,MATCH($D10,Python0831!$A$1:$A$49,0),MATCH(BW$5,Python0831!$B$1:$BV$1,0))</f>
        <v>31.835000000000001</v>
      </c>
      <c r="BX10" s="382">
        <f>INDEX(Python0831!$B$1:$BV$49,MATCH($D10,Python0831!$A$1:$A$49,0),MATCH(BX$5,Python0831!$B$1:$BV$1,0))</f>
        <v>23.529411764705884</v>
      </c>
      <c r="BY10" s="5">
        <f>INDEX(Python0831!$B$1:$BV$49,MATCH($D10,Python0831!$A$1:$A$49,0),MATCH(BY$5,Python0831!$B$1:$BV$1,0))</f>
        <v>42.738337759378801</v>
      </c>
    </row>
    <row r="11" spans="1:77">
      <c r="A11" s="2">
        <v>6</v>
      </c>
      <c r="B11" s="58">
        <f>INDEX(順位表[Comprehensive],MATCH($C11,順位表['#],0))</f>
        <v>6</v>
      </c>
      <c r="C11" s="3">
        <v>6</v>
      </c>
      <c r="D11" s="1" t="str">
        <f>INDEX(都市マスタ[City Name],MATCH($C11,都市マスタ['#],0))</f>
        <v>Amsterdam</v>
      </c>
      <c r="E11" s="5">
        <f>INDEX(Python0831!$B$1:$BV$49,MATCH($D11,Python0831!$A$1:$A$49,0),MATCH(E$5,Python0831!$B$1:$BV$1,0))</f>
        <v>872380</v>
      </c>
      <c r="F11" s="5">
        <f>INDEX(Python0831!$B$1:$BV$49,MATCH($D11,Python0831!$A$1:$A$49,0),MATCH(F$5,Python0831!$B$1:$BV$1,0))</f>
        <v>164.73</v>
      </c>
      <c r="G11" s="7">
        <f>INDEX(Python0831!$B$1:$BV$49,MATCH($D11,Python0831!$A$1:$A$49,0),MATCH(G$5,Python0831!$B$1:$BV$1,0))</f>
        <v>0.95099999999999996</v>
      </c>
      <c r="H11" s="5">
        <f>INDEX(Python0831!$B$1:$BV$49,MATCH($D11,Python0831!$A$1:$A$49,0),MATCH(H$5,Python0831!$B$1:$BV$1,0))</f>
        <v>106574.468085106</v>
      </c>
      <c r="I11" s="5">
        <f>INDEX(Python0831!$B$1:$BV$49,MATCH($D11,Python0831!$A$1:$A$49,0),MATCH(I$5,Python0831!$B$1:$BV$1,0))</f>
        <v>122072.104018912</v>
      </c>
      <c r="J11" s="328">
        <f>INDEX(Python0831!$B$1:$BV$49,MATCH($D11,Python0831!$A$1:$A$49,0),MATCH(J$5,Python0831!$B$1:$BV$1,0))</f>
        <v>2.11542534328144E-2</v>
      </c>
      <c r="K11" s="5">
        <f>INDEX(Python0831!$B$1:$BV$49,MATCH($D11,Python0831!$A$1:$A$49,0),MATCH(K$5,Python0831!$B$1:$BV$1,0))</f>
        <v>77.95</v>
      </c>
      <c r="L11" s="5">
        <f>INDEX(Python0831!$B$1:$BV$49,MATCH($D11,Python0831!$A$1:$A$49,0),MATCH(L$5,Python0831!$B$1:$BV$1,0))</f>
        <v>1333919.39871687</v>
      </c>
      <c r="M11" s="5">
        <f>INDEX(Python0831!$B$1:$BV$49,MATCH($D11,Python0831!$A$1:$A$49,0),MATCH(M$5,Python0831!$B$1:$BV$1,0))</f>
        <v>411906</v>
      </c>
      <c r="N11" s="5">
        <f>INDEX(Python0831!$B$1:$BV$49,MATCH($D11,Python0831!$A$1:$A$49,0),MATCH(N$5,Python0831!$B$1:$BV$1,0))</f>
        <v>581675</v>
      </c>
      <c r="O11" s="328">
        <f>INDEX(Python0831!$B$1:$BV$49,MATCH($D11,Python0831!$A$1:$A$49,0),MATCH(O$5,Python0831!$B$1:$BV$1,0))</f>
        <v>0.348166931705849</v>
      </c>
      <c r="P11" s="5">
        <f>INDEX(Python0831!$B$1:$BV$49,MATCH($D11,Python0831!$A$1:$A$49,0),MATCH(P$5,Python0831!$B$1:$BV$1,0))</f>
        <v>59.119399449430801</v>
      </c>
      <c r="Q11" s="5">
        <f>INDEX(Python0831!$B$1:$BV$49,MATCH($D11,Python0831!$A$1:$A$49,0),MATCH(Q$5,Python0831!$B$1:$BV$1,0))</f>
        <v>81.212182417272203</v>
      </c>
      <c r="R11" s="5">
        <f>INDEX(Python0831!$B$1:$BV$49,MATCH($D11,Python0831!$A$1:$A$49,0),MATCH(R$5,Python0831!$B$1:$BV$1,0))</f>
        <v>21.8323010222833</v>
      </c>
      <c r="S11" s="327">
        <f>INDEX(Python0831!$B$1:$BV$49,MATCH($D11,Python0831!$A$1:$A$49,0),MATCH(S$5,Python0831!$B$1:$BV$1,0))</f>
        <v>0.25800000000000001</v>
      </c>
      <c r="T11" s="5">
        <f>INDEX(Python0831!$B$1:$BV$49,MATCH($D11,Python0831!$A$1:$A$49,0),MATCH(T$5,Python0831!$B$1:$BV$1,0))</f>
        <v>81.551986046212406</v>
      </c>
      <c r="U11" s="5">
        <f>INDEX(Python0831!$B$1:$BV$49,MATCH($D11,Python0831!$A$1:$A$49,0),MATCH(U$5,Python0831!$B$1:$BV$1,0))</f>
        <v>6588.7925534783399</v>
      </c>
      <c r="V11" s="5">
        <f>INDEX(Python0831!$B$1:$BV$49,MATCH($D11,Python0831!$A$1:$A$49,0),MATCH(V$5,Python0831!$B$1:$BV$1,0))</f>
        <v>480</v>
      </c>
      <c r="W11" s="5">
        <f>INDEX(Python0831!$B$1:$BV$49,MATCH($D11,Python0831!$A$1:$A$49,0),MATCH(W$5,Python0831!$B$1:$BV$1,0))</f>
        <v>1337.8136050603</v>
      </c>
      <c r="X11" s="5">
        <f>INDEX(Python0831!$B$1:$BV$49,MATCH($D11,Python0831!$A$1:$A$49,0),MATCH(X$5,Python0831!$B$1:$BV$1,0))</f>
        <v>25056.36</v>
      </c>
      <c r="Y11" s="5">
        <f>INDEX(Python0831!$B$1:$BV$49,MATCH($D11,Python0831!$A$1:$A$49,0),MATCH(Y$5,Python0831!$B$1:$BV$1,0))</f>
        <v>502.33333333333297</v>
      </c>
      <c r="Z11" s="5">
        <f>INDEX(Python0831!$B$1:$BV$49,MATCH($D11,Python0831!$A$1:$A$49,0),MATCH(Z$5,Python0831!$B$1:$BV$1,0))</f>
        <v>123.321991279069</v>
      </c>
      <c r="AA11" s="7">
        <f>INDEX(Python0831!$B$1:$BV$49,MATCH($D11,Python0831!$A$1:$A$49,0),MATCH(AA$5,Python0831!$B$1:$BV$1,0))</f>
        <v>1</v>
      </c>
      <c r="AB11" s="5">
        <f>INDEX(Python0831!$B$1:$BV$49,MATCH($D11,Python0831!$A$1:$A$49,0),MATCH(AB$5,Python0831!$B$1:$BV$1,0))</f>
        <v>193</v>
      </c>
      <c r="AC11" s="5">
        <f>INDEX(Python0831!$B$1:$BV$49,MATCH($D11,Python0831!$A$1:$A$49,0),MATCH(AC$5,Python0831!$B$1:$BV$1,0))</f>
        <v>47</v>
      </c>
      <c r="AD11" s="5">
        <f>INDEX(Python0831!$B$1:$BV$49,MATCH($D11,Python0831!$A$1:$A$49,0),MATCH(AD$5,Python0831!$B$1:$BV$1,0))</f>
        <v>34.375</v>
      </c>
      <c r="AE11" s="5">
        <f>INDEX(Python0831!$B$1:$BV$49,MATCH($D11,Python0831!$A$1:$A$49,0),MATCH(AE$5,Python0831!$B$1:$BV$1,0))</f>
        <v>20.1180615465675</v>
      </c>
      <c r="AF11" s="5">
        <f>INDEX(Python0831!$B$1:$BV$49,MATCH($D11,Python0831!$A$1:$A$49,0),MATCH(AF$5,Python0831!$B$1:$BV$1,0))</f>
        <v>5.1451519745031202</v>
      </c>
      <c r="AG11" s="5">
        <f>INDEX(Python0831!$B$1:$BV$49,MATCH($D11,Python0831!$A$1:$A$49,0),MATCH(AG$5,Python0831!$B$1:$BV$1,0))</f>
        <v>35.920296603217899</v>
      </c>
      <c r="AH11" s="5">
        <f>INDEX(Python0831!$B$1:$BV$49,MATCH($D11,Python0831!$A$1:$A$49,0),MATCH(AH$5,Python0831!$B$1:$BV$1,0))</f>
        <v>19.999999999999901</v>
      </c>
      <c r="AI11" s="5">
        <f>INDEX(Python0831!$B$1:$BV$49,MATCH($D11,Python0831!$A$1:$A$49,0),MATCH(AI$5,Python0831!$B$1:$BV$1,0))</f>
        <v>50.665659842230198</v>
      </c>
      <c r="AJ11" s="5">
        <f>INDEX(Python0831!$B$1:$BV$49,MATCH($D11,Python0831!$A$1:$A$49,0),MATCH(AJ$5,Python0831!$B$1:$BV$1,0))</f>
        <v>66.5</v>
      </c>
      <c r="AK11" s="5">
        <f>INDEX(Python0831!$B$1:$BV$49,MATCH($D11,Python0831!$A$1:$A$49,0),MATCH(AK$5,Python0831!$B$1:$BV$1,0))</f>
        <v>86</v>
      </c>
      <c r="AL11" s="5">
        <f>INDEX(Python0831!$B$1:$BV$49,MATCH($D11,Python0831!$A$1:$A$49,0),MATCH(AL$5,Python0831!$B$1:$BV$1,0))</f>
        <v>3</v>
      </c>
      <c r="AM11" s="5">
        <f>INDEX(Python0831!$B$1:$BV$49,MATCH($D11,Python0831!$A$1:$A$49,0),MATCH(AM$5,Python0831!$B$1:$BV$1,0))</f>
        <v>46655</v>
      </c>
      <c r="AN11" s="5">
        <f>INDEX(Python0831!$B$1:$BV$49,MATCH($D11,Python0831!$A$1:$A$49,0),MATCH(AN$5,Python0831!$B$1:$BV$1,0))</f>
        <v>3886</v>
      </c>
      <c r="AO11" s="5">
        <f>INDEX(Python0831!$B$1:$BV$49,MATCH($D11,Python0831!$A$1:$A$49,0),MATCH(AO$5,Python0831!$B$1:$BV$1,0))</f>
        <v>45.7282721879237</v>
      </c>
      <c r="AP11" s="5">
        <f>INDEX(Python0831!$B$1:$BV$49,MATCH($D11,Python0831!$A$1:$A$49,0),MATCH(AP$5,Python0831!$B$1:$BV$1,0))</f>
        <v>24.179790675774299</v>
      </c>
      <c r="AQ11" s="5">
        <f>INDEX(Python0831!$B$1:$BV$49,MATCH($D11,Python0831!$A$1:$A$49,0),MATCH(AQ$5,Python0831!$B$1:$BV$1,0))</f>
        <v>160346</v>
      </c>
      <c r="AR11" s="5">
        <f>INDEX(Python0831!$B$1:$BV$49,MATCH($D11,Python0831!$A$1:$A$49,0),MATCH(AR$5,Python0831!$B$1:$BV$1,0))</f>
        <v>5327000</v>
      </c>
      <c r="AS11" s="328">
        <f>INDEX(Python0831!$B$1:$BV$49,MATCH($D11,Python0831!$A$1:$A$49,0),MATCH(AS$5,Python0831!$B$1:$BV$1,0))</f>
        <v>4.2999999999999997E-2</v>
      </c>
      <c r="AT11" s="5">
        <f>INDEX(Python0831!$B$1:$BV$49,MATCH($D11,Python0831!$A$1:$A$49,0),MATCH(AT$5,Python0831!$B$1:$BV$1,0))</f>
        <v>1933.8758389858799</v>
      </c>
      <c r="AU11" s="7">
        <f>INDEX(Python0831!$B$1:$BV$49,MATCH($D11,Python0831!$A$1:$A$49,0),MATCH(AU$5,Python0831!$B$1:$BV$1,0))</f>
        <v>0.44767441860465101</v>
      </c>
      <c r="AV11" s="5">
        <f>INDEX(Python0831!$B$1:$BV$49,MATCH($D11,Python0831!$A$1:$A$49,0),MATCH(AV$5,Python0831!$B$1:$BV$1,0))</f>
        <v>2312.1631205673698</v>
      </c>
      <c r="AW11" s="5">
        <f>INDEX(Python0831!$B$1:$BV$49,MATCH($D11,Python0831!$A$1:$A$49,0),MATCH(AW$5,Python0831!$B$1:$BV$1,0))</f>
        <v>38.951827271196798</v>
      </c>
      <c r="AX11" s="5">
        <f>INDEX(Python0831!$B$1:$BV$49,MATCH($D11,Python0831!$A$1:$A$49,0),MATCH(AX$5,Python0831!$B$1:$BV$1,0))</f>
        <v>16.048052454205699</v>
      </c>
      <c r="AY11" s="329">
        <f>INDEX(Python0831!$B$1:$BV$49,MATCH($D11,Python0831!$A$1:$A$49,0),MATCH(AY$5,Python0831!$B$1:$BV$1,0))</f>
        <v>2.8E-3</v>
      </c>
      <c r="AZ11" s="5">
        <f>INDEX(Python0831!$B$1:$BV$49,MATCH($D11,Python0831!$A$1:$A$49,0),MATCH(AZ$5,Python0831!$B$1:$BV$1,0))</f>
        <v>81.8</v>
      </c>
      <c r="BA11" s="5">
        <f>INDEX(Python0831!$B$1:$BV$49,MATCH($D11,Python0831!$A$1:$A$49,0),MATCH(BA$5,Python0831!$B$1:$BV$1,0))</f>
        <v>84.985042009492503</v>
      </c>
      <c r="BB11" s="5">
        <f>INDEX(Python0831!$B$1:$BV$49,MATCH($D11,Python0831!$A$1:$A$49,0),MATCH(BB$5,Python0831!$B$1:$BV$1,0))</f>
        <v>17.2464074157859</v>
      </c>
      <c r="BC11" s="5">
        <f>INDEX(Python0831!$B$1:$BV$49,MATCH($D11,Python0831!$A$1:$A$49,0),MATCH(BC$5,Python0831!$B$1:$BV$1,0))</f>
        <v>4945.6464692685104</v>
      </c>
      <c r="BD11" s="5">
        <f>INDEX(Python0831!$B$1:$BV$49,MATCH($D11,Python0831!$A$1:$A$49,0),MATCH(BD$5,Python0831!$B$1:$BV$1,0))</f>
        <v>82.998372364540998</v>
      </c>
      <c r="BE11" s="5">
        <f>INDEX(Python0831!$B$1:$BV$49,MATCH($D11,Python0831!$A$1:$A$49,0),MATCH(BE$5,Python0831!$B$1:$BV$1,0))</f>
        <v>35.890890286689803</v>
      </c>
      <c r="BF11" s="5">
        <f>INDEX(Python0831!$B$1:$BV$49,MATCH($D11,Python0831!$A$1:$A$49,0),MATCH(BF$5,Python0831!$B$1:$BV$1,0))</f>
        <v>26.027715700558701</v>
      </c>
      <c r="BG11" s="5">
        <f>INDEX(Python0831!$B$1:$BV$49,MATCH($D11,Python0831!$A$1:$A$49,0),MATCH(BG$5,Python0831!$B$1:$BV$1,0))</f>
        <v>26.296969696969601</v>
      </c>
      <c r="BH11" s="327">
        <f>INDEX(Python0831!$B$1:$BV$49,MATCH($D11,Python0831!$A$1:$A$49,0),MATCH(BH$5,Python0831!$B$1:$BV$1,0))</f>
        <v>0.10630000000000001</v>
      </c>
      <c r="BI11" s="327">
        <f>INDEX(Python0831!$B$1:$BV$49,MATCH($D11,Python0831!$A$1:$A$49,0),MATCH(BI$5,Python0831!$B$1:$BV$1,0))</f>
        <v>0.27801868269999902</v>
      </c>
      <c r="BJ11" s="5">
        <f>INDEX(Python0831!$B$1:$BV$49,MATCH($D11,Python0831!$A$1:$A$49,0),MATCH(BJ$5,Python0831!$B$1:$BV$1,0))</f>
        <v>16.579924218158801</v>
      </c>
      <c r="BK11" s="5">
        <f>INDEX(Python0831!$B$1:$BV$49,MATCH($D11,Python0831!$A$1:$A$49,0),MATCH(BK$5,Python0831!$B$1:$BV$1,0))</f>
        <v>10.1</v>
      </c>
      <c r="BL11" s="7">
        <f>INDEX(Python0831!$B$1:$BV$49,MATCH($D11,Python0831!$A$1:$A$49,0),MATCH(BL$5,Python0831!$B$1:$BV$1,0))</f>
        <v>0.99883258057107804</v>
      </c>
      <c r="BM11" s="5">
        <f>INDEX(Python0831!$B$1:$BV$49,MATCH($D11,Python0831!$A$1:$A$49,0),MATCH(BM$5,Python0831!$B$1:$BV$1,0))</f>
        <v>79.2</v>
      </c>
      <c r="BN11" s="5">
        <f>INDEX(Python0831!$B$1:$BV$49,MATCH($D11,Python0831!$A$1:$A$49,0),MATCH(BN$5,Python0831!$B$1:$BV$1,0))</f>
        <v>77.488253647080199</v>
      </c>
      <c r="BO11" s="5">
        <f>INDEX(Python0831!$B$1:$BV$49,MATCH($D11,Python0831!$A$1:$A$49,0),MATCH(BO$5,Python0831!$B$1:$BV$1,0))</f>
        <v>58.497612079492399</v>
      </c>
      <c r="BP11" s="5">
        <f>INDEX(Python0831!$B$1:$BV$49,MATCH($D11,Python0831!$A$1:$A$49,0),MATCH(BP$5,Python0831!$B$1:$BV$1,0))</f>
        <v>278.99999999999699</v>
      </c>
      <c r="BQ11" s="7">
        <f>INDEX(Python0831!$B$1:$BV$49,MATCH($D11,Python0831!$A$1:$A$49,0),MATCH(BQ$5,Python0831!$B$1:$BV$1,0))</f>
        <v>17.171120788802099</v>
      </c>
      <c r="BR11" s="5">
        <f>INDEX(Python0831!$B$1:$BV$49,MATCH($D11,Python0831!$A$1:$A$49,0),MATCH(BR$5,Python0831!$B$1:$BV$1,0))</f>
        <v>52472188</v>
      </c>
      <c r="BS11" s="5">
        <f>INDEX(Python0831!$B$1:$BV$49,MATCH($D11,Python0831!$A$1:$A$49,0),MATCH(BS$5,Python0831!$B$1:$BV$1,0))</f>
        <v>396208</v>
      </c>
      <c r="BT11" s="8">
        <f>INDEX(Python0831!$B$1:$BV$49,MATCH($D11,Python0831!$A$1:$A$49,0),MATCH(BT$5,Python0831!$B$1:$BV$1,0))</f>
        <v>0.77349302342661197</v>
      </c>
      <c r="BU11" s="8">
        <f>INDEX(Python0831!$B$1:$BV$49,MATCH($D11,Python0831!$A$1:$A$49,0),MATCH(BU$5,Python0831!$B$1:$BV$1,0))</f>
        <v>0.52166427546628402</v>
      </c>
      <c r="BV11" s="5">
        <f>INDEX(Python0831!$B$1:$BV$49,MATCH($D11,Python0831!$A$1:$A$49,0),MATCH(BV$5,Python0831!$B$1:$BV$1,0))</f>
        <v>21</v>
      </c>
      <c r="BW11" s="5">
        <f>INDEX(Python0831!$B$1:$BV$49,MATCH($D11,Python0831!$A$1:$A$49,0),MATCH(BW$5,Python0831!$B$1:$BV$1,0))</f>
        <v>24.272500000000001</v>
      </c>
      <c r="BX11" s="382">
        <f>INDEX(Python0831!$B$1:$BV$49,MATCH($D11,Python0831!$A$1:$A$49,0),MATCH(BX$5,Python0831!$B$1:$BV$1,0))</f>
        <v>46.753246753246756</v>
      </c>
      <c r="BY11" s="5">
        <f>INDEX(Python0831!$B$1:$BV$49,MATCH($D11,Python0831!$A$1:$A$49,0),MATCH(BY$5,Python0831!$B$1:$BV$1,0))</f>
        <v>73.8808998811718</v>
      </c>
    </row>
    <row r="12" spans="1:77">
      <c r="A12" s="2">
        <v>7</v>
      </c>
      <c r="B12" s="58">
        <f>INDEX(順位表[Comprehensive],MATCH($C12,順位表['#],0))</f>
        <v>26</v>
      </c>
      <c r="C12" s="3">
        <v>7</v>
      </c>
      <c r="D12" s="1" t="str">
        <f>INDEX(都市マスタ[City Name],MATCH($C12,都市マスタ['#],0))</f>
        <v>Geneva</v>
      </c>
      <c r="E12" s="5">
        <f>INDEX(Python0831!$B$1:$BV$49,MATCH($D12,Python0831!$A$1:$A$49,0),MATCH(E$5,Python0831!$B$1:$BV$1,0))</f>
        <v>204784</v>
      </c>
      <c r="F12" s="5">
        <f>INDEX(Python0831!$B$1:$BV$49,MATCH($D12,Python0831!$A$1:$A$49,0),MATCH(F$5,Python0831!$B$1:$BV$1,0))</f>
        <v>15.89</v>
      </c>
      <c r="G12" s="7">
        <f>INDEX(Python0831!$B$1:$BV$49,MATCH($D12,Python0831!$A$1:$A$49,0),MATCH(G$5,Python0831!$B$1:$BV$1,0))</f>
        <v>0.95499999999999996</v>
      </c>
      <c r="H12" s="5">
        <f>INDEX(Python0831!$B$1:$BV$49,MATCH($D12,Python0831!$A$1:$A$49,0),MATCH(H$5,Python0831!$B$1:$BV$1,0))</f>
        <v>24324.391272471999</v>
      </c>
      <c r="I12" s="5">
        <f>INDEX(Python0831!$B$1:$BV$49,MATCH($D12,Python0831!$A$1:$A$49,0),MATCH(I$5,Python0831!$B$1:$BV$1,0))</f>
        <v>121930.995601127</v>
      </c>
      <c r="J12" s="328">
        <f>INDEX(Python0831!$B$1:$BV$49,MATCH($D12,Python0831!$A$1:$A$49,0),MATCH(J$5,Python0831!$B$1:$BV$1,0))</f>
        <v>2.2085146549862999E-2</v>
      </c>
      <c r="K12" s="5">
        <f>INDEX(Python0831!$B$1:$BV$49,MATCH($D12,Python0831!$A$1:$A$49,0),MATCH(K$5,Python0831!$B$1:$BV$1,0))</f>
        <v>83.808333333333294</v>
      </c>
      <c r="L12" s="5">
        <f>INDEX(Python0831!$B$1:$BV$49,MATCH($D12,Python0831!$A$1:$A$49,0),MATCH(L$5,Python0831!$B$1:$BV$1,0))</f>
        <v>0</v>
      </c>
      <c r="M12" s="5">
        <f>INDEX(Python0831!$B$1:$BV$49,MATCH($D12,Python0831!$A$1:$A$49,0),MATCH(M$5,Python0831!$B$1:$BV$1,0))</f>
        <v>0</v>
      </c>
      <c r="N12" s="5">
        <f>INDEX(Python0831!$B$1:$BV$49,MATCH($D12,Python0831!$A$1:$A$49,0),MATCH(N$5,Python0831!$B$1:$BV$1,0))</f>
        <v>167757.35686999999</v>
      </c>
      <c r="O12" s="328">
        <f>INDEX(Python0831!$B$1:$BV$49,MATCH($D12,Python0831!$A$1:$A$49,0),MATCH(O$5,Python0831!$B$1:$BV$1,0))</f>
        <v>0.27108954247894301</v>
      </c>
      <c r="P12" s="5">
        <f>INDEX(Python0831!$B$1:$BV$49,MATCH($D12,Python0831!$A$1:$A$49,0),MATCH(P$5,Python0831!$B$1:$BV$1,0))</f>
        <v>86.063733315748706</v>
      </c>
      <c r="Q12" s="5">
        <f>INDEX(Python0831!$B$1:$BV$49,MATCH($D12,Python0831!$A$1:$A$49,0),MATCH(Q$5,Python0831!$B$1:$BV$1,0))</f>
        <v>59.752315168637601</v>
      </c>
      <c r="R12" s="5">
        <f>INDEX(Python0831!$B$1:$BV$49,MATCH($D12,Python0831!$A$1:$A$49,0),MATCH(R$5,Python0831!$B$1:$BV$1,0))</f>
        <v>31.776708547235799</v>
      </c>
      <c r="S12" s="327">
        <f>INDEX(Python0831!$B$1:$BV$49,MATCH($D12,Python0831!$A$1:$A$49,0),MATCH(S$5,Python0831!$B$1:$BV$1,0))</f>
        <v>0.14000000000000001</v>
      </c>
      <c r="T12" s="5">
        <f>INDEX(Python0831!$B$1:$BV$49,MATCH($D12,Python0831!$A$1:$A$49,0),MATCH(T$5,Python0831!$B$1:$BV$1,0))</f>
        <v>82.492965720818901</v>
      </c>
      <c r="U12" s="5">
        <f>INDEX(Python0831!$B$1:$BV$49,MATCH($D12,Python0831!$A$1:$A$49,0),MATCH(U$5,Python0831!$B$1:$BV$1,0))</f>
        <v>1576.41351953405</v>
      </c>
      <c r="V12" s="5">
        <f>INDEX(Python0831!$B$1:$BV$49,MATCH($D12,Python0831!$A$1:$A$49,0),MATCH(V$5,Python0831!$B$1:$BV$1,0))</f>
        <v>227</v>
      </c>
      <c r="W12" s="5">
        <f>INDEX(Python0831!$B$1:$BV$49,MATCH($D12,Python0831!$A$1:$A$49,0),MATCH(W$5,Python0831!$B$1:$BV$1,0))</f>
        <v>762.76585171741499</v>
      </c>
      <c r="X12" s="5">
        <f>INDEX(Python0831!$B$1:$BV$49,MATCH($D12,Python0831!$A$1:$A$49,0),MATCH(X$5,Python0831!$B$1:$BV$1,0))</f>
        <v>17930.849999999999</v>
      </c>
      <c r="Y12" s="5">
        <f>INDEX(Python0831!$B$1:$BV$49,MATCH($D12,Python0831!$A$1:$A$49,0),MATCH(Y$5,Python0831!$B$1:$BV$1,0))</f>
        <v>498</v>
      </c>
      <c r="Z12" s="5">
        <f>INDEX(Python0831!$B$1:$BV$49,MATCH($D12,Python0831!$A$1:$A$49,0),MATCH(Z$5,Python0831!$B$1:$BV$1,0))</f>
        <v>21.328450718402699</v>
      </c>
      <c r="AA12" s="7">
        <f>INDEX(Python0831!$B$1:$BV$49,MATCH($D12,Python0831!$A$1:$A$49,0),MATCH(AA$5,Python0831!$B$1:$BV$1,0))</f>
        <v>5.2</v>
      </c>
      <c r="AB12" s="5">
        <f>INDEX(Python0831!$B$1:$BV$49,MATCH($D12,Python0831!$A$1:$A$49,0),MATCH(AB$5,Python0831!$B$1:$BV$1,0))</f>
        <v>32.6666666666666</v>
      </c>
      <c r="AC12" s="5">
        <f>INDEX(Python0831!$B$1:$BV$49,MATCH($D12,Python0831!$A$1:$A$49,0),MATCH(AC$5,Python0831!$B$1:$BV$1,0))</f>
        <v>87</v>
      </c>
      <c r="AD12" s="5">
        <f>INDEX(Python0831!$B$1:$BV$49,MATCH($D12,Python0831!$A$1:$A$49,0),MATCH(AD$5,Python0831!$B$1:$BV$1,0))</f>
        <v>29.6875</v>
      </c>
      <c r="AE12" s="5">
        <f>INDEX(Python0831!$B$1:$BV$49,MATCH($D12,Python0831!$A$1:$A$49,0),MATCH(AE$5,Python0831!$B$1:$BV$1,0))</f>
        <v>0.44439659292705602</v>
      </c>
      <c r="AF12" s="5">
        <f>INDEX(Python0831!$B$1:$BV$49,MATCH($D12,Python0831!$A$1:$A$49,0),MATCH(AF$5,Python0831!$B$1:$BV$1,0))</f>
        <v>2.4553770820723901</v>
      </c>
      <c r="AG12" s="5">
        <f>INDEX(Python0831!$B$1:$BV$49,MATCH($D12,Python0831!$A$1:$A$49,0),MATCH(AG$5,Python0831!$B$1:$BV$1,0))</f>
        <v>6.2599997908748799</v>
      </c>
      <c r="AH12" s="5">
        <f>INDEX(Python0831!$B$1:$BV$49,MATCH($D12,Python0831!$A$1:$A$49,0),MATCH(AH$5,Python0831!$B$1:$BV$1,0))</f>
        <v>3.6413043478260798</v>
      </c>
      <c r="AI12" s="5">
        <f>INDEX(Python0831!$B$1:$BV$49,MATCH($D12,Python0831!$A$1:$A$49,0),MATCH(AI$5,Python0831!$B$1:$BV$1,0))</f>
        <v>14.026354737046599</v>
      </c>
      <c r="AJ12" s="5">
        <f>INDEX(Python0831!$B$1:$BV$49,MATCH($D12,Python0831!$A$1:$A$49,0),MATCH(AJ$5,Python0831!$B$1:$BV$1,0))</f>
        <v>30</v>
      </c>
      <c r="AK12" s="5">
        <f>INDEX(Python0831!$B$1:$BV$49,MATCH($D12,Python0831!$A$1:$A$49,0),MATCH(AK$5,Python0831!$B$1:$BV$1,0))</f>
        <v>32</v>
      </c>
      <c r="AL12" s="5">
        <f>INDEX(Python0831!$B$1:$BV$49,MATCH($D12,Python0831!$A$1:$A$49,0),MATCH(AL$5,Python0831!$B$1:$BV$1,0))</f>
        <v>1</v>
      </c>
      <c r="AM12" s="5">
        <f>INDEX(Python0831!$B$1:$BV$49,MATCH($D12,Python0831!$A$1:$A$49,0),MATCH(AM$5,Python0831!$B$1:$BV$1,0))</f>
        <v>13773</v>
      </c>
      <c r="AN12" s="5">
        <f>INDEX(Python0831!$B$1:$BV$49,MATCH($D12,Python0831!$A$1:$A$49,0),MATCH(AN$5,Python0831!$B$1:$BV$1,0))</f>
        <v>1967</v>
      </c>
      <c r="AO12" s="5">
        <f>INDEX(Python0831!$B$1:$BV$49,MATCH($D12,Python0831!$A$1:$A$49,0),MATCH(AO$5,Python0831!$B$1:$BV$1,0))</f>
        <v>24.295879039430702</v>
      </c>
      <c r="AP12" s="5">
        <f>INDEX(Python0831!$B$1:$BV$49,MATCH($D12,Python0831!$A$1:$A$49,0),MATCH(AP$5,Python0831!$B$1:$BV$1,0))</f>
        <v>6.6868679130162603</v>
      </c>
      <c r="AQ12" s="5">
        <f>INDEX(Python0831!$B$1:$BV$49,MATCH($D12,Python0831!$A$1:$A$49,0),MATCH(AQ$5,Python0831!$B$1:$BV$1,0))</f>
        <v>100832</v>
      </c>
      <c r="AR12" s="5">
        <f>INDEX(Python0831!$B$1:$BV$49,MATCH($D12,Python0831!$A$1:$A$49,0),MATCH(AR$5,Python0831!$B$1:$BV$1,0))</f>
        <v>686104</v>
      </c>
      <c r="AS12" s="328">
        <f>INDEX(Python0831!$B$1:$BV$49,MATCH($D12,Python0831!$A$1:$A$49,0),MATCH(AS$5,Python0831!$B$1:$BV$1,0))</f>
        <v>3.9060273972602699E-2</v>
      </c>
      <c r="AT12" s="5">
        <f>INDEX(Python0831!$B$1:$BV$49,MATCH($D12,Python0831!$A$1:$A$49,0),MATCH(AT$5,Python0831!$B$1:$BV$1,0))</f>
        <v>2081.6628398334801</v>
      </c>
      <c r="AU12" s="7">
        <f>INDEX(Python0831!$B$1:$BV$49,MATCH($D12,Python0831!$A$1:$A$49,0),MATCH(AU$5,Python0831!$B$1:$BV$1,0))</f>
        <v>0.5</v>
      </c>
      <c r="AV12" s="5">
        <f>INDEX(Python0831!$B$1:$BV$49,MATCH($D12,Python0831!$A$1:$A$49,0),MATCH(AV$5,Python0831!$B$1:$BV$1,0))</f>
        <v>3042.87472647702</v>
      </c>
      <c r="AW12" s="5">
        <f>INDEX(Python0831!$B$1:$BV$49,MATCH($D12,Python0831!$A$1:$A$49,0),MATCH(AW$5,Python0831!$B$1:$BV$1,0))</f>
        <v>75.146159703636002</v>
      </c>
      <c r="AX12" s="5">
        <f>INDEX(Python0831!$B$1:$BV$49,MATCH($D12,Python0831!$A$1:$A$49,0),MATCH(AX$5,Python0831!$B$1:$BV$1,0))</f>
        <v>9.8800561187187501</v>
      </c>
      <c r="AY12" s="329">
        <f>INDEX(Python0831!$B$1:$BV$49,MATCH($D12,Python0831!$A$1:$A$49,0),MATCH(AY$5,Python0831!$B$1:$BV$1,0))</f>
        <v>1.9E-3</v>
      </c>
      <c r="AZ12" s="5">
        <f>INDEX(Python0831!$B$1:$BV$49,MATCH($D12,Python0831!$A$1:$A$49,0),MATCH(AZ$5,Python0831!$B$1:$BV$1,0))</f>
        <v>83.4</v>
      </c>
      <c r="BA12" s="5">
        <f>INDEX(Python0831!$B$1:$BV$49,MATCH($D12,Python0831!$A$1:$A$49,0),MATCH(BA$5,Python0831!$B$1:$BV$1,0))</f>
        <v>85.178660917249104</v>
      </c>
      <c r="BB12" s="5">
        <f>INDEX(Python0831!$B$1:$BV$49,MATCH($D12,Python0831!$A$1:$A$49,0),MATCH(BB$5,Python0831!$B$1:$BV$1,0))</f>
        <v>18.146920476119501</v>
      </c>
      <c r="BC12" s="5">
        <f>INDEX(Python0831!$B$1:$BV$49,MATCH($D12,Python0831!$A$1:$A$49,0),MATCH(BC$5,Python0831!$B$1:$BV$1,0))</f>
        <v>6245.66099955748</v>
      </c>
      <c r="BD12" s="5">
        <f>INDEX(Python0831!$B$1:$BV$49,MATCH($D12,Python0831!$A$1:$A$49,0),MATCH(BD$5,Python0831!$B$1:$BV$1,0))</f>
        <v>74.775015194431006</v>
      </c>
      <c r="BE12" s="5">
        <f>INDEX(Python0831!$B$1:$BV$49,MATCH($D12,Python0831!$A$1:$A$49,0),MATCH(BE$5,Python0831!$B$1:$BV$1,0))</f>
        <v>26.549128001485101</v>
      </c>
      <c r="BF12" s="5">
        <f>INDEX(Python0831!$B$1:$BV$49,MATCH($D12,Python0831!$A$1:$A$49,0),MATCH(BF$5,Python0831!$B$1:$BV$1,0))</f>
        <v>25.297098226076798</v>
      </c>
      <c r="BG12" s="5">
        <f>INDEX(Python0831!$B$1:$BV$49,MATCH($D12,Python0831!$A$1:$A$49,0),MATCH(BG$5,Python0831!$B$1:$BV$1,0))</f>
        <v>60.151515151515099</v>
      </c>
      <c r="BH12" s="327">
        <f>INDEX(Python0831!$B$1:$BV$49,MATCH($D12,Python0831!$A$1:$A$49,0),MATCH(BH$5,Python0831!$B$1:$BV$1,0))</f>
        <v>0.24359999999999901</v>
      </c>
      <c r="BI12" s="327">
        <f>INDEX(Python0831!$B$1:$BV$49,MATCH($D12,Python0831!$A$1:$A$49,0),MATCH(BI$5,Python0831!$B$1:$BV$1,0))</f>
        <v>0.29977892249999999</v>
      </c>
      <c r="BJ12" s="5">
        <f>INDEX(Python0831!$B$1:$BV$49,MATCH($D12,Python0831!$A$1:$A$49,0),MATCH(BJ$5,Python0831!$B$1:$BV$1,0))</f>
        <v>5.1442168572819096</v>
      </c>
      <c r="BK12" s="5">
        <f>INDEX(Python0831!$B$1:$BV$49,MATCH($D12,Python0831!$A$1:$A$49,0),MATCH(BK$5,Python0831!$B$1:$BV$1,0))</f>
        <v>11.6</v>
      </c>
      <c r="BL12" s="7">
        <f>INDEX(Python0831!$B$1:$BV$49,MATCH($D12,Python0831!$A$1:$A$49,0),MATCH(BL$5,Python0831!$B$1:$BV$1,0))</f>
        <v>0.922900588370138</v>
      </c>
      <c r="BM12" s="5">
        <f>INDEX(Python0831!$B$1:$BV$49,MATCH($D12,Python0831!$A$1:$A$49,0),MATCH(BM$5,Python0831!$B$1:$BV$1,0))</f>
        <v>81.8</v>
      </c>
      <c r="BN12" s="5">
        <f>INDEX(Python0831!$B$1:$BV$49,MATCH($D12,Python0831!$A$1:$A$49,0),MATCH(BN$5,Python0831!$B$1:$BV$1,0))</f>
        <v>72.935693636481602</v>
      </c>
      <c r="BO12" s="5">
        <f>INDEX(Python0831!$B$1:$BV$49,MATCH($D12,Python0831!$A$1:$A$49,0),MATCH(BO$5,Python0831!$B$1:$BV$1,0))</f>
        <v>77.834005361605904</v>
      </c>
      <c r="BP12" s="5">
        <f>INDEX(Python0831!$B$1:$BV$49,MATCH($D12,Python0831!$A$1:$A$49,0),MATCH(BP$5,Python0831!$B$1:$BV$1,0))</f>
        <v>140</v>
      </c>
      <c r="BQ12" s="7">
        <f>INDEX(Python0831!$B$1:$BV$49,MATCH($D12,Python0831!$A$1:$A$49,0),MATCH(BQ$5,Python0831!$B$1:$BV$1,0))</f>
        <v>0.13689424747586501</v>
      </c>
      <c r="BR12" s="5">
        <f>INDEX(Python0831!$B$1:$BV$49,MATCH($D12,Python0831!$A$1:$A$49,0),MATCH(BR$5,Python0831!$B$1:$BV$1,0))</f>
        <v>13997289</v>
      </c>
      <c r="BS12" s="5">
        <f>INDEX(Python0831!$B$1:$BV$49,MATCH($D12,Python0831!$A$1:$A$49,0),MATCH(BS$5,Python0831!$B$1:$BV$1,0))</f>
        <v>123468</v>
      </c>
      <c r="BT12" s="8">
        <f>INDEX(Python0831!$B$1:$BV$49,MATCH($D12,Python0831!$A$1:$A$49,0),MATCH(BT$5,Python0831!$B$1:$BV$1,0))</f>
        <v>0.30557749073643897</v>
      </c>
      <c r="BU12" s="8">
        <f>INDEX(Python0831!$B$1:$BV$49,MATCH($D12,Python0831!$A$1:$A$49,0),MATCH(BU$5,Python0831!$B$1:$BV$1,0))</f>
        <v>0.26667689004753797</v>
      </c>
      <c r="BV12" s="5">
        <f>INDEX(Python0831!$B$1:$BV$49,MATCH($D12,Python0831!$A$1:$A$49,0),MATCH(BV$5,Python0831!$B$1:$BV$1,0))</f>
        <v>8</v>
      </c>
      <c r="BW12" s="5">
        <f>INDEX(Python0831!$B$1:$BV$49,MATCH($D12,Python0831!$A$1:$A$49,0),MATCH(BW$5,Python0831!$B$1:$BV$1,0))</f>
        <v>27</v>
      </c>
      <c r="BX12" s="382">
        <f>INDEX(Python0831!$B$1:$BV$49,MATCH($D12,Python0831!$A$1:$A$49,0),MATCH(BX$5,Python0831!$B$1:$BV$1,0))</f>
        <v>31.03448275862069</v>
      </c>
      <c r="BY12" s="5">
        <f>INDEX(Python0831!$B$1:$BV$49,MATCH($D12,Python0831!$A$1:$A$49,0),MATCH(BY$5,Python0831!$B$1:$BV$1,0))</f>
        <v>40.166578991388498</v>
      </c>
    </row>
    <row r="13" spans="1:77">
      <c r="A13" s="2">
        <v>8</v>
      </c>
      <c r="B13" s="58">
        <f>INDEX(順位表[Comprehensive],MATCH($C13,順位表['#],0))</f>
        <v>20</v>
      </c>
      <c r="C13" s="3">
        <v>8</v>
      </c>
      <c r="D13" s="1" t="str">
        <f>INDEX(都市マスタ[City Name],MATCH($C13,都市マスタ['#],0))</f>
        <v>Frankfurt</v>
      </c>
      <c r="E13" s="5">
        <f>INDEX(Python0831!$B$1:$BV$49,MATCH($D13,Python0831!$A$1:$A$49,0),MATCH(E$5,Python0831!$B$1:$BV$1,0))</f>
        <v>764474</v>
      </c>
      <c r="F13" s="5">
        <f>INDEX(Python0831!$B$1:$BV$49,MATCH($D13,Python0831!$A$1:$A$49,0),MATCH(F$5,Python0831!$B$1:$BV$1,0))</f>
        <v>248.3</v>
      </c>
      <c r="G13" s="7">
        <f>INDEX(Python0831!$B$1:$BV$49,MATCH($D13,Python0831!$A$1:$A$49,0),MATCH(G$5,Python0831!$B$1:$BV$1,0))</f>
        <v>0.95099999999999996</v>
      </c>
      <c r="H13" s="5">
        <f>INDEX(Python0831!$B$1:$BV$49,MATCH($D13,Python0831!$A$1:$A$49,0),MATCH(H$5,Python0831!$B$1:$BV$1,0))</f>
        <v>87506.728411243894</v>
      </c>
      <c r="I13" s="5">
        <f>INDEX(Python0831!$B$1:$BV$49,MATCH($D13,Python0831!$A$1:$A$49,0),MATCH(I$5,Python0831!$B$1:$BV$1,0))</f>
        <v>116114.264119396</v>
      </c>
      <c r="J13" s="328">
        <f>INDEX(Python0831!$B$1:$BV$49,MATCH($D13,Python0831!$A$1:$A$49,0),MATCH(J$5,Python0831!$B$1:$BV$1,0))</f>
        <v>1.696529958987E-4</v>
      </c>
      <c r="K13" s="5">
        <f>INDEX(Python0831!$B$1:$BV$49,MATCH($D13,Python0831!$A$1:$A$49,0),MATCH(K$5,Python0831!$B$1:$BV$1,0))</f>
        <v>73.741666666666603</v>
      </c>
      <c r="L13" s="5">
        <f>INDEX(Python0831!$B$1:$BV$49,MATCH($D13,Python0831!$A$1:$A$49,0),MATCH(L$5,Python0831!$B$1:$BV$1,0))</f>
        <v>1889663.94</v>
      </c>
      <c r="M13" s="5">
        <f>INDEX(Python0831!$B$1:$BV$49,MATCH($D13,Python0831!$A$1:$A$49,0),MATCH(M$5,Python0831!$B$1:$BV$1,0))</f>
        <v>85238.7</v>
      </c>
      <c r="N13" s="5">
        <f>INDEX(Python0831!$B$1:$BV$49,MATCH($D13,Python0831!$A$1:$A$49,0),MATCH(N$5,Python0831!$B$1:$BV$1,0))</f>
        <v>739500</v>
      </c>
      <c r="O13" s="328">
        <f>INDEX(Python0831!$B$1:$BV$49,MATCH($D13,Python0831!$A$1:$A$49,0),MATCH(O$5,Python0831!$B$1:$BV$1,0))</f>
        <v>0.34100000000000003</v>
      </c>
      <c r="P13" s="5">
        <f>INDEX(Python0831!$B$1:$BV$49,MATCH($D13,Python0831!$A$1:$A$49,0),MATCH(P$5,Python0831!$B$1:$BV$1,0))</f>
        <v>55.337426599509598</v>
      </c>
      <c r="Q13" s="5">
        <f>INDEX(Python0831!$B$1:$BV$49,MATCH($D13,Python0831!$A$1:$A$49,0),MATCH(Q$5,Python0831!$B$1:$BV$1,0))</f>
        <v>54.429500952317298</v>
      </c>
      <c r="R13" s="5">
        <f>INDEX(Python0831!$B$1:$BV$49,MATCH($D13,Python0831!$A$1:$A$49,0),MATCH(R$5,Python0831!$B$1:$BV$1,0))</f>
        <v>16.641942325817499</v>
      </c>
      <c r="S13" s="327">
        <f>INDEX(Python0831!$B$1:$BV$49,MATCH($D13,Python0831!$A$1:$A$49,0),MATCH(S$5,Python0831!$B$1:$BV$1,0))</f>
        <v>0.31924999999999998</v>
      </c>
      <c r="T13" s="5">
        <f>INDEX(Python0831!$B$1:$BV$49,MATCH($D13,Python0831!$A$1:$A$49,0),MATCH(T$5,Python0831!$B$1:$BV$1,0))</f>
        <v>88.142677989742296</v>
      </c>
      <c r="U13" s="5">
        <f>INDEX(Python0831!$B$1:$BV$49,MATCH($D13,Python0831!$A$1:$A$49,0),MATCH(U$5,Python0831!$B$1:$BV$1,0))</f>
        <v>7360.9035028242497</v>
      </c>
      <c r="V13" s="5">
        <f>INDEX(Python0831!$B$1:$BV$49,MATCH($D13,Python0831!$A$1:$A$49,0),MATCH(V$5,Python0831!$B$1:$BV$1,0))</f>
        <v>3</v>
      </c>
      <c r="W13" s="5">
        <f>INDEX(Python0831!$B$1:$BV$49,MATCH($D13,Python0831!$A$1:$A$49,0),MATCH(W$5,Python0831!$B$1:$BV$1,0))</f>
        <v>1981.6147992392901</v>
      </c>
      <c r="X13" s="5">
        <f>INDEX(Python0831!$B$1:$BV$49,MATCH($D13,Python0831!$A$1:$A$49,0),MATCH(X$5,Python0831!$B$1:$BV$1,0))</f>
        <v>10708.88</v>
      </c>
      <c r="Y13" s="5">
        <f>INDEX(Python0831!$B$1:$BV$49,MATCH($D13,Python0831!$A$1:$A$49,0),MATCH(Y$5,Python0831!$B$1:$BV$1,0))</f>
        <v>500.33333333333297</v>
      </c>
      <c r="Z13" s="5">
        <f>INDEX(Python0831!$B$1:$BV$49,MATCH($D13,Python0831!$A$1:$A$49,0),MATCH(Z$5,Python0831!$B$1:$BV$1,0))</f>
        <v>261.10987525757201</v>
      </c>
      <c r="AA13" s="7">
        <f>INDEX(Python0831!$B$1:$BV$49,MATCH($D13,Python0831!$A$1:$A$49,0),MATCH(AA$5,Python0831!$B$1:$BV$1,0))</f>
        <v>0</v>
      </c>
      <c r="AB13" s="5">
        <f>INDEX(Python0831!$B$1:$BV$49,MATCH($D13,Python0831!$A$1:$A$49,0),MATCH(AB$5,Python0831!$B$1:$BV$1,0))</f>
        <v>51</v>
      </c>
      <c r="AC13" s="5">
        <f>INDEX(Python0831!$B$1:$BV$49,MATCH($D13,Python0831!$A$1:$A$49,0),MATCH(AC$5,Python0831!$B$1:$BV$1,0))</f>
        <v>4</v>
      </c>
      <c r="AD13" s="5">
        <f>INDEX(Python0831!$B$1:$BV$49,MATCH($D13,Python0831!$A$1:$A$49,0),MATCH(AD$5,Python0831!$B$1:$BV$1,0))</f>
        <v>18.0555555555555</v>
      </c>
      <c r="AE13" s="5">
        <f>INDEX(Python0831!$B$1:$BV$49,MATCH($D13,Python0831!$A$1:$A$49,0),MATCH(AE$5,Python0831!$B$1:$BV$1,0))</f>
        <v>6.0204996089008702</v>
      </c>
      <c r="AF13" s="5">
        <f>INDEX(Python0831!$B$1:$BV$49,MATCH($D13,Python0831!$A$1:$A$49,0),MATCH(AF$5,Python0831!$B$1:$BV$1,0))</f>
        <v>3.1213668354488302</v>
      </c>
      <c r="AG13" s="5">
        <f>INDEX(Python0831!$B$1:$BV$49,MATCH($D13,Python0831!$A$1:$A$49,0),MATCH(AG$5,Python0831!$B$1:$BV$1,0))</f>
        <v>11.740658716293501</v>
      </c>
      <c r="AH13" s="5">
        <f>INDEX(Python0831!$B$1:$BV$49,MATCH($D13,Python0831!$A$1:$A$49,0),MATCH(AH$5,Python0831!$B$1:$BV$1,0))</f>
        <v>13.5</v>
      </c>
      <c r="AI13" s="5">
        <f>INDEX(Python0831!$B$1:$BV$49,MATCH($D13,Python0831!$A$1:$A$49,0),MATCH(AI$5,Python0831!$B$1:$BV$1,0))</f>
        <v>27.982593205277301</v>
      </c>
      <c r="AJ13" s="5">
        <f>INDEX(Python0831!$B$1:$BV$49,MATCH($D13,Python0831!$A$1:$A$49,0),MATCH(AJ$5,Python0831!$B$1:$BV$1,0))</f>
        <v>36</v>
      </c>
      <c r="AK13" s="5">
        <f>INDEX(Python0831!$B$1:$BV$49,MATCH($D13,Python0831!$A$1:$A$49,0),MATCH(AK$5,Python0831!$B$1:$BV$1,0))</f>
        <v>47</v>
      </c>
      <c r="AL13" s="5">
        <f>INDEX(Python0831!$B$1:$BV$49,MATCH($D13,Python0831!$A$1:$A$49,0),MATCH(AL$5,Python0831!$B$1:$BV$1,0))</f>
        <v>2</v>
      </c>
      <c r="AM13" s="5">
        <f>INDEX(Python0831!$B$1:$BV$49,MATCH($D13,Python0831!$A$1:$A$49,0),MATCH(AM$5,Python0831!$B$1:$BV$1,0))</f>
        <v>39044</v>
      </c>
      <c r="AN13" s="5">
        <f>INDEX(Python0831!$B$1:$BV$49,MATCH($D13,Python0831!$A$1:$A$49,0),MATCH(AN$5,Python0831!$B$1:$BV$1,0))</f>
        <v>1897</v>
      </c>
      <c r="AO13" s="5">
        <f>INDEX(Python0831!$B$1:$BV$49,MATCH($D13,Python0831!$A$1:$A$49,0),MATCH(AO$5,Python0831!$B$1:$BV$1,0))</f>
        <v>20.078004530366801</v>
      </c>
      <c r="AP13" s="5">
        <f>INDEX(Python0831!$B$1:$BV$49,MATCH($D13,Python0831!$A$1:$A$49,0),MATCH(AP$5,Python0831!$B$1:$BV$1,0))</f>
        <v>8.0028392404716193</v>
      </c>
      <c r="AQ13" s="5">
        <f>INDEX(Python0831!$B$1:$BV$49,MATCH($D13,Python0831!$A$1:$A$49,0),MATCH(AQ$5,Python0831!$B$1:$BV$1,0))</f>
        <v>240007</v>
      </c>
      <c r="AR13" s="5">
        <f>INDEX(Python0831!$B$1:$BV$49,MATCH($D13,Python0831!$A$1:$A$49,0),MATCH(AR$5,Python0831!$B$1:$BV$1,0))</f>
        <v>1846919.35047798</v>
      </c>
      <c r="AS13" s="328">
        <f>INDEX(Python0831!$B$1:$BV$49,MATCH($D13,Python0831!$A$1:$A$49,0),MATCH(AS$5,Python0831!$B$1:$BV$1,0))</f>
        <v>5.8334246575342398E-2</v>
      </c>
      <c r="AT13" s="5">
        <f>INDEX(Python0831!$B$1:$BV$49,MATCH($D13,Python0831!$A$1:$A$49,0),MATCH(AT$5,Python0831!$B$1:$BV$1,0))</f>
        <v>1730.1496921788601</v>
      </c>
      <c r="AU13" s="7">
        <f>INDEX(Python0831!$B$1:$BV$49,MATCH($D13,Python0831!$A$1:$A$49,0),MATCH(AU$5,Python0831!$B$1:$BV$1,0))</f>
        <v>0.31736526946107702</v>
      </c>
      <c r="AV13" s="5">
        <f>INDEX(Python0831!$B$1:$BV$49,MATCH($D13,Python0831!$A$1:$A$49,0),MATCH(AV$5,Python0831!$B$1:$BV$1,0))</f>
        <v>1642.74822695035</v>
      </c>
      <c r="AW13" s="5">
        <f>INDEX(Python0831!$B$1:$BV$49,MATCH($D13,Python0831!$A$1:$A$49,0),MATCH(AW$5,Python0831!$B$1:$BV$1,0))</f>
        <v>34.567502501581302</v>
      </c>
      <c r="AX13" s="5">
        <f>INDEX(Python0831!$B$1:$BV$49,MATCH($D13,Python0831!$A$1:$A$49,0),MATCH(AX$5,Python0831!$B$1:$BV$1,0))</f>
        <v>88.291842756181396</v>
      </c>
      <c r="AY13" s="329">
        <f>INDEX(Python0831!$B$1:$BV$49,MATCH($D13,Python0831!$A$1:$A$49,0),MATCH(AY$5,Python0831!$B$1:$BV$1,0))</f>
        <v>1.6000000000000001E-3</v>
      </c>
      <c r="AZ13" s="5">
        <f>INDEX(Python0831!$B$1:$BV$49,MATCH($D13,Python0831!$A$1:$A$49,0),MATCH(AZ$5,Python0831!$B$1:$BV$1,0))</f>
        <v>81.7</v>
      </c>
      <c r="BA13" s="5">
        <f>INDEX(Python0831!$B$1:$BV$49,MATCH($D13,Python0831!$A$1:$A$49,0),MATCH(BA$5,Python0831!$B$1:$BV$1,0))</f>
        <v>85.865123117358806</v>
      </c>
      <c r="BB13" s="5">
        <f>INDEX(Python0831!$B$1:$BV$49,MATCH($D13,Python0831!$A$1:$A$49,0),MATCH(BB$5,Python0831!$B$1:$BV$1,0))</f>
        <v>18.258152374010201</v>
      </c>
      <c r="BC13" s="5">
        <f>INDEX(Python0831!$B$1:$BV$49,MATCH($D13,Python0831!$A$1:$A$49,0),MATCH(BC$5,Python0831!$B$1:$BV$1,0))</f>
        <v>8193.5296162397699</v>
      </c>
      <c r="BD13" s="5">
        <f>INDEX(Python0831!$B$1:$BV$49,MATCH($D13,Python0831!$A$1:$A$49,0),MATCH(BD$5,Python0831!$B$1:$BV$1,0))</f>
        <v>78.202806665819907</v>
      </c>
      <c r="BE13" s="5">
        <f>INDEX(Python0831!$B$1:$BV$49,MATCH($D13,Python0831!$A$1:$A$49,0),MATCH(BE$5,Python0831!$B$1:$BV$1,0))</f>
        <v>21.793402184099001</v>
      </c>
      <c r="BF13" s="5">
        <f>INDEX(Python0831!$B$1:$BV$49,MATCH($D13,Python0831!$A$1:$A$49,0),MATCH(BF$5,Python0831!$B$1:$BV$1,0))</f>
        <v>13.67069265934</v>
      </c>
      <c r="BG13" s="5">
        <f>INDEX(Python0831!$B$1:$BV$49,MATCH($D13,Python0831!$A$1:$A$49,0),MATCH(BG$5,Python0831!$B$1:$BV$1,0))</f>
        <v>11.239393939393899</v>
      </c>
      <c r="BH13" s="327">
        <f>INDEX(Python0831!$B$1:$BV$49,MATCH($D13,Python0831!$A$1:$A$49,0),MATCH(BH$5,Python0831!$B$1:$BV$1,0))</f>
        <v>0.15640000000000001</v>
      </c>
      <c r="BI13" s="327">
        <f>INDEX(Python0831!$B$1:$BV$49,MATCH($D13,Python0831!$A$1:$A$49,0),MATCH(BI$5,Python0831!$B$1:$BV$1,0))</f>
        <v>0.47149249189999998</v>
      </c>
      <c r="BJ13" s="5">
        <f>INDEX(Python0831!$B$1:$BV$49,MATCH($D13,Python0831!$A$1:$A$49,0),MATCH(BJ$5,Python0831!$B$1:$BV$1,0))</f>
        <v>17.214691900164699</v>
      </c>
      <c r="BK13" s="5">
        <f>INDEX(Python0831!$B$1:$BV$49,MATCH($D13,Python0831!$A$1:$A$49,0),MATCH(BK$5,Python0831!$B$1:$BV$1,0))</f>
        <v>10</v>
      </c>
      <c r="BL13" s="7">
        <f>INDEX(Python0831!$B$1:$BV$49,MATCH($D13,Python0831!$A$1:$A$49,0),MATCH(BL$5,Python0831!$B$1:$BV$1,0))</f>
        <v>0.96788832057839402</v>
      </c>
      <c r="BM13" s="5">
        <f>INDEX(Python0831!$B$1:$BV$49,MATCH($D13,Python0831!$A$1:$A$49,0),MATCH(BM$5,Python0831!$B$1:$BV$1,0))</f>
        <v>76.099999999999994</v>
      </c>
      <c r="BN13" s="5">
        <f>INDEX(Python0831!$B$1:$BV$49,MATCH($D13,Python0831!$A$1:$A$49,0),MATCH(BN$5,Python0831!$B$1:$BV$1,0))</f>
        <v>87.630456711819306</v>
      </c>
      <c r="BO13" s="5">
        <f>INDEX(Python0831!$B$1:$BV$49,MATCH($D13,Python0831!$A$1:$A$49,0),MATCH(BO$5,Python0831!$B$1:$BV$1,0))</f>
        <v>50.310299114762003</v>
      </c>
      <c r="BP13" s="5">
        <f>INDEX(Python0831!$B$1:$BV$49,MATCH($D13,Python0831!$A$1:$A$49,0),MATCH(BP$5,Python0831!$B$1:$BV$1,0))</f>
        <v>301.000000000005</v>
      </c>
      <c r="BQ13" s="7">
        <f>INDEX(Python0831!$B$1:$BV$49,MATCH($D13,Python0831!$A$1:$A$49,0),MATCH(BQ$5,Python0831!$B$1:$BV$1,0))</f>
        <v>24.8683138824148</v>
      </c>
      <c r="BR13" s="5">
        <f>INDEX(Python0831!$B$1:$BV$49,MATCH($D13,Python0831!$A$1:$A$49,0),MATCH(BR$5,Python0831!$B$1:$BV$1,0))</f>
        <v>50295569</v>
      </c>
      <c r="BS13" s="5">
        <f>INDEX(Python0831!$B$1:$BV$49,MATCH($D13,Python0831!$A$1:$A$49,0),MATCH(BS$5,Python0831!$B$1:$BV$1,0))</f>
        <v>376955</v>
      </c>
      <c r="BT13" s="8">
        <f>INDEX(Python0831!$B$1:$BV$49,MATCH($D13,Python0831!$A$1:$A$49,0),MATCH(BT$5,Python0831!$B$1:$BV$1,0))</f>
        <v>0.79895781432131396</v>
      </c>
      <c r="BU13" s="8">
        <f>INDEX(Python0831!$B$1:$BV$49,MATCH($D13,Python0831!$A$1:$A$49,0),MATCH(BU$5,Python0831!$B$1:$BV$1,0))</f>
        <v>0.51851275668948305</v>
      </c>
      <c r="BV13" s="5">
        <f>INDEX(Python0831!$B$1:$BV$49,MATCH($D13,Python0831!$A$1:$A$49,0),MATCH(BV$5,Python0831!$B$1:$BV$1,0))</f>
        <v>13.8618323216504</v>
      </c>
      <c r="BW13" s="5">
        <f>INDEX(Python0831!$B$1:$BV$49,MATCH($D13,Python0831!$A$1:$A$49,0),MATCH(BW$5,Python0831!$B$1:$BV$1,0))</f>
        <v>24.33</v>
      </c>
      <c r="BX13" s="382">
        <f>INDEX(Python0831!$B$1:$BV$49,MATCH($D13,Python0831!$A$1:$A$49,0),MATCH(BX$5,Python0831!$B$1:$BV$1,0))</f>
        <v>40</v>
      </c>
      <c r="BY13" s="5">
        <f>INDEX(Python0831!$B$1:$BV$49,MATCH($D13,Python0831!$A$1:$A$49,0),MATCH(BY$5,Python0831!$B$1:$BV$1,0))</f>
        <v>52.2675954774517</v>
      </c>
    </row>
    <row r="14" spans="1:77">
      <c r="A14" s="2">
        <v>9</v>
      </c>
      <c r="B14" s="58">
        <f>INDEX(順位表[Comprehensive],MATCH($C14,順位表['#],0))</f>
        <v>10</v>
      </c>
      <c r="C14" s="3">
        <v>9</v>
      </c>
      <c r="D14" s="1" t="str">
        <f>INDEX(都市マスタ[City Name],MATCH($C14,都市マスタ['#],0))</f>
        <v>Berlin</v>
      </c>
      <c r="E14" s="5">
        <f>INDEX(Python0831!$B$1:$BV$49,MATCH($D14,Python0831!$A$1:$A$49,0),MATCH(E$5,Python0831!$B$1:$BV$1,0))</f>
        <v>3677472</v>
      </c>
      <c r="F14" s="5">
        <f>INDEX(Python0831!$B$1:$BV$49,MATCH($D14,Python0831!$A$1:$A$49,0),MATCH(F$5,Python0831!$B$1:$BV$1,0))</f>
        <v>891.12</v>
      </c>
      <c r="G14" s="7">
        <f>INDEX(Python0831!$B$1:$BV$49,MATCH($D14,Python0831!$A$1:$A$49,0),MATCH(G$5,Python0831!$B$1:$BV$1,0))</f>
        <v>0.95099999999999996</v>
      </c>
      <c r="H14" s="5">
        <f>INDEX(Python0831!$B$1:$BV$49,MATCH($D14,Python0831!$A$1:$A$49,0),MATCH(H$5,Python0831!$B$1:$BV$1,0))</f>
        <v>195576.08747044901</v>
      </c>
      <c r="I14" s="5">
        <f>INDEX(Python0831!$B$1:$BV$49,MATCH($D14,Python0831!$A$1:$A$49,0),MATCH(I$5,Python0831!$B$1:$BV$1,0))</f>
        <v>52376.155133643697</v>
      </c>
      <c r="J14" s="328">
        <f>INDEX(Python0831!$B$1:$BV$49,MATCH($D14,Python0831!$A$1:$A$49,0),MATCH(J$5,Python0831!$B$1:$BV$1,0))</f>
        <v>3.2011868710691803E-2</v>
      </c>
      <c r="K14" s="5">
        <f>INDEX(Python0831!$B$1:$BV$49,MATCH($D14,Python0831!$A$1:$A$49,0),MATCH(K$5,Python0831!$B$1:$BV$1,0))</f>
        <v>73.741666666666603</v>
      </c>
      <c r="L14" s="5">
        <f>INDEX(Python0831!$B$1:$BV$49,MATCH($D14,Python0831!$A$1:$A$49,0),MATCH(L$5,Python0831!$B$1:$BV$1,0))</f>
        <v>0</v>
      </c>
      <c r="M14" s="5">
        <f>INDEX(Python0831!$B$1:$BV$49,MATCH($D14,Python0831!$A$1:$A$49,0),MATCH(M$5,Python0831!$B$1:$BV$1,0))</f>
        <v>59209.8</v>
      </c>
      <c r="N14" s="5">
        <f>INDEX(Python0831!$B$1:$BV$49,MATCH($D14,Python0831!$A$1:$A$49,0),MATCH(N$5,Python0831!$B$1:$BV$1,0))</f>
        <v>2160351</v>
      </c>
      <c r="O14" s="328">
        <f>INDEX(Python0831!$B$1:$BV$49,MATCH($D14,Python0831!$A$1:$A$49,0),MATCH(O$5,Python0831!$B$1:$BV$1,0))</f>
        <v>0.238155744136022</v>
      </c>
      <c r="P14" s="5">
        <f>INDEX(Python0831!$B$1:$BV$49,MATCH($D14,Python0831!$A$1:$A$49,0),MATCH(P$5,Python0831!$B$1:$BV$1,0))</f>
        <v>46.946269864553997</v>
      </c>
      <c r="Q14" s="5">
        <f>INDEX(Python0831!$B$1:$BV$49,MATCH($D14,Python0831!$A$1:$A$49,0),MATCH(Q$5,Python0831!$B$1:$BV$1,0))</f>
        <v>51.282016253108502</v>
      </c>
      <c r="R14" s="5">
        <f>INDEX(Python0831!$B$1:$BV$49,MATCH($D14,Python0831!$A$1:$A$49,0),MATCH(R$5,Python0831!$B$1:$BV$1,0))</f>
        <v>20.705478920503399</v>
      </c>
      <c r="S14" s="327">
        <f>INDEX(Python0831!$B$1:$BV$49,MATCH($D14,Python0831!$A$1:$A$49,0),MATCH(S$5,Python0831!$B$1:$BV$1,0))</f>
        <v>0.30174999999999902</v>
      </c>
      <c r="T14" s="5">
        <f>INDEX(Python0831!$B$1:$BV$49,MATCH($D14,Python0831!$A$1:$A$49,0),MATCH(T$5,Python0831!$B$1:$BV$1,0))</f>
        <v>88.142677989742296</v>
      </c>
      <c r="U14" s="5">
        <f>INDEX(Python0831!$B$1:$BV$49,MATCH($D14,Python0831!$A$1:$A$49,0),MATCH(U$5,Python0831!$B$1:$BV$1,0))</f>
        <v>20451.355261323999</v>
      </c>
      <c r="V14" s="5">
        <f>INDEX(Python0831!$B$1:$BV$49,MATCH($D14,Python0831!$A$1:$A$49,0),MATCH(V$5,Python0831!$B$1:$BV$1,0))</f>
        <v>399</v>
      </c>
      <c r="W14" s="5">
        <f>INDEX(Python0831!$B$1:$BV$49,MATCH($D14,Python0831!$A$1:$A$49,0),MATCH(W$5,Python0831!$B$1:$BV$1,0))</f>
        <v>5505.6703616329996</v>
      </c>
      <c r="X14" s="5">
        <f>INDEX(Python0831!$B$1:$BV$49,MATCH($D14,Python0831!$A$1:$A$49,0),MATCH(X$5,Python0831!$B$1:$BV$1,0))</f>
        <v>21276.86</v>
      </c>
      <c r="Y14" s="5">
        <f>INDEX(Python0831!$B$1:$BV$49,MATCH($D14,Python0831!$A$1:$A$49,0),MATCH(Y$5,Python0831!$B$1:$BV$1,0))</f>
        <v>500.33333333333297</v>
      </c>
      <c r="Z14" s="5">
        <f>INDEX(Python0831!$B$1:$BV$49,MATCH($D14,Python0831!$A$1:$A$49,0),MATCH(Z$5,Python0831!$B$1:$BV$1,0))</f>
        <v>741.39687359187803</v>
      </c>
      <c r="AA14" s="7">
        <f>INDEX(Python0831!$B$1:$BV$49,MATCH($D14,Python0831!$A$1:$A$49,0),MATCH(AA$5,Python0831!$B$1:$BV$1,0))</f>
        <v>2.1</v>
      </c>
      <c r="AB14" s="5">
        <f>INDEX(Python0831!$B$1:$BV$49,MATCH($D14,Python0831!$A$1:$A$49,0),MATCH(AB$5,Python0831!$B$1:$BV$1,0))</f>
        <v>408</v>
      </c>
      <c r="AC14" s="5">
        <f>INDEX(Python0831!$B$1:$BV$49,MATCH($D14,Python0831!$A$1:$A$49,0),MATCH(AC$5,Python0831!$B$1:$BV$1,0))</f>
        <v>41</v>
      </c>
      <c r="AD14" s="5">
        <f>INDEX(Python0831!$B$1:$BV$49,MATCH($D14,Python0831!$A$1:$A$49,0),MATCH(AD$5,Python0831!$B$1:$BV$1,0))</f>
        <v>36.8055555555555</v>
      </c>
      <c r="AE14" s="5">
        <f>INDEX(Python0831!$B$1:$BV$49,MATCH($D14,Python0831!$A$1:$A$49,0),MATCH(AE$5,Python0831!$B$1:$BV$1,0))</f>
        <v>13.492980908472999</v>
      </c>
      <c r="AF14" s="5">
        <f>INDEX(Python0831!$B$1:$BV$49,MATCH($D14,Python0831!$A$1:$A$49,0),MATCH(AF$5,Python0831!$B$1:$BV$1,0))</f>
        <v>15.383285595725599</v>
      </c>
      <c r="AG14" s="5">
        <f>INDEX(Python0831!$B$1:$BV$49,MATCH($D14,Python0831!$A$1:$A$49,0),MATCH(AG$5,Python0831!$B$1:$BV$1,0))</f>
        <v>41.165846757675403</v>
      </c>
      <c r="AH14" s="5">
        <f>INDEX(Python0831!$B$1:$BV$49,MATCH($D14,Python0831!$A$1:$A$49,0),MATCH(AH$5,Python0831!$B$1:$BV$1,0))</f>
        <v>9.4</v>
      </c>
      <c r="AI14" s="5">
        <f>INDEX(Python0831!$B$1:$BV$49,MATCH($D14,Python0831!$A$1:$A$49,0),MATCH(AI$5,Python0831!$B$1:$BV$1,0))</f>
        <v>47.144790995954203</v>
      </c>
      <c r="AJ14" s="5">
        <f>INDEX(Python0831!$B$1:$BV$49,MATCH($D14,Python0831!$A$1:$A$49,0),MATCH(AJ$5,Python0831!$B$1:$BV$1,0))</f>
        <v>123</v>
      </c>
      <c r="AK14" s="5">
        <f>INDEX(Python0831!$B$1:$BV$49,MATCH($D14,Python0831!$A$1:$A$49,0),MATCH(AK$5,Python0831!$B$1:$BV$1,0))</f>
        <v>242</v>
      </c>
      <c r="AL14" s="5">
        <f>INDEX(Python0831!$B$1:$BV$49,MATCH($D14,Python0831!$A$1:$A$49,0),MATCH(AL$5,Python0831!$B$1:$BV$1,0))</f>
        <v>8</v>
      </c>
      <c r="AM14" s="5">
        <f>INDEX(Python0831!$B$1:$BV$49,MATCH($D14,Python0831!$A$1:$A$49,0),MATCH(AM$5,Python0831!$B$1:$BV$1,0))</f>
        <v>60619</v>
      </c>
      <c r="AN14" s="5">
        <f>INDEX(Python0831!$B$1:$BV$49,MATCH($D14,Python0831!$A$1:$A$49,0),MATCH(AN$5,Python0831!$B$1:$BV$1,0))</f>
        <v>6070</v>
      </c>
      <c r="AO14" s="5">
        <f>INDEX(Python0831!$B$1:$BV$49,MATCH($D14,Python0831!$A$1:$A$49,0),MATCH(AO$5,Python0831!$B$1:$BV$1,0))</f>
        <v>25.2942684482719</v>
      </c>
      <c r="AP14" s="5">
        <f>INDEX(Python0831!$B$1:$BV$49,MATCH($D14,Python0831!$A$1:$A$49,0),MATCH(AP$5,Python0831!$B$1:$BV$1,0))</f>
        <v>7.2484916984666201</v>
      </c>
      <c r="AQ14" s="5">
        <f>INDEX(Python0831!$B$1:$BV$49,MATCH($D14,Python0831!$A$1:$A$49,0),MATCH(AQ$5,Python0831!$B$1:$BV$1,0))</f>
        <v>811334</v>
      </c>
      <c r="AR14" s="5">
        <f>INDEX(Python0831!$B$1:$BV$49,MATCH($D14,Python0831!$A$1:$A$49,0),MATCH(AR$5,Python0831!$B$1:$BV$1,0))</f>
        <v>3326401.2303980999</v>
      </c>
      <c r="AS14" s="328">
        <f>INDEX(Python0831!$B$1:$BV$49,MATCH($D14,Python0831!$A$1:$A$49,0),MATCH(AS$5,Python0831!$B$1:$BV$1,0))</f>
        <v>8.7999999999999995E-2</v>
      </c>
      <c r="AT14" s="5">
        <f>INDEX(Python0831!$B$1:$BV$49,MATCH($D14,Python0831!$A$1:$A$49,0),MATCH(AT$5,Python0831!$B$1:$BV$1,0))</f>
        <v>1750.2383748852001</v>
      </c>
      <c r="AU14" s="7">
        <f>INDEX(Python0831!$B$1:$BV$49,MATCH($D14,Python0831!$A$1:$A$49,0),MATCH(AU$5,Python0831!$B$1:$BV$1,0))</f>
        <v>0.43636363636363601</v>
      </c>
      <c r="AV14" s="5">
        <f>INDEX(Python0831!$B$1:$BV$49,MATCH($D14,Python0831!$A$1:$A$49,0),MATCH(AV$5,Python0831!$B$1:$BV$1,0))</f>
        <v>1852.77186761229</v>
      </c>
      <c r="AW14" s="5">
        <f>INDEX(Python0831!$B$1:$BV$49,MATCH($D14,Python0831!$A$1:$A$49,0),MATCH(AW$5,Python0831!$B$1:$BV$1,0))</f>
        <v>41.480629361586502</v>
      </c>
      <c r="AX14" s="5">
        <f>INDEX(Python0831!$B$1:$BV$49,MATCH($D14,Python0831!$A$1:$A$49,0),MATCH(AX$5,Python0831!$B$1:$BV$1,0))</f>
        <v>13.052444722896601</v>
      </c>
      <c r="AY14" s="329">
        <f>INDEX(Python0831!$B$1:$BV$49,MATCH($D14,Python0831!$A$1:$A$49,0),MATCH(AY$5,Python0831!$B$1:$BV$1,0))</f>
        <v>1.6999999999999999E-3</v>
      </c>
      <c r="AZ14" s="5">
        <f>INDEX(Python0831!$B$1:$BV$49,MATCH($D14,Python0831!$A$1:$A$49,0),MATCH(AZ$5,Python0831!$B$1:$BV$1,0))</f>
        <v>81.7</v>
      </c>
      <c r="BA14" s="5">
        <f>INDEX(Python0831!$B$1:$BV$49,MATCH($D14,Python0831!$A$1:$A$49,0),MATCH(BA$5,Python0831!$B$1:$BV$1,0))</f>
        <v>85.865123117358806</v>
      </c>
      <c r="BB14" s="5">
        <f>INDEX(Python0831!$B$1:$BV$49,MATCH($D14,Python0831!$A$1:$A$49,0),MATCH(BB$5,Python0831!$B$1:$BV$1,0))</f>
        <v>18.258152374010201</v>
      </c>
      <c r="BC14" s="5">
        <f>INDEX(Python0831!$B$1:$BV$49,MATCH($D14,Python0831!$A$1:$A$49,0),MATCH(BC$5,Python0831!$B$1:$BV$1,0))</f>
        <v>4767.6567357225604</v>
      </c>
      <c r="BD14" s="5">
        <f>INDEX(Python0831!$B$1:$BV$49,MATCH($D14,Python0831!$A$1:$A$49,0),MATCH(BD$5,Python0831!$B$1:$BV$1,0))</f>
        <v>78.202806665819907</v>
      </c>
      <c r="BE14" s="5">
        <f>INDEX(Python0831!$B$1:$BV$49,MATCH($D14,Python0831!$A$1:$A$49,0),MATCH(BE$5,Python0831!$B$1:$BV$1,0))</f>
        <v>31.9529389510759</v>
      </c>
      <c r="BF14" s="5">
        <f>INDEX(Python0831!$B$1:$BV$49,MATCH($D14,Python0831!$A$1:$A$49,0),MATCH(BF$5,Python0831!$B$1:$BV$1,0))</f>
        <v>27.583090019830902</v>
      </c>
      <c r="BG14" s="5">
        <f>INDEX(Python0831!$B$1:$BV$49,MATCH($D14,Python0831!$A$1:$A$49,0),MATCH(BG$5,Python0831!$B$1:$BV$1,0))</f>
        <v>33.396969696969599</v>
      </c>
      <c r="BH14" s="327">
        <f>INDEX(Python0831!$B$1:$BV$49,MATCH($D14,Python0831!$A$1:$A$49,0),MATCH(BH$5,Python0831!$B$1:$BV$1,0))</f>
        <v>0.15640000000000001</v>
      </c>
      <c r="BI14" s="327">
        <f>INDEX(Python0831!$B$1:$BV$49,MATCH($D14,Python0831!$A$1:$A$49,0),MATCH(BI$5,Python0831!$B$1:$BV$1,0))</f>
        <v>0.47149249189999998</v>
      </c>
      <c r="BJ14" s="5">
        <f>INDEX(Python0831!$B$1:$BV$49,MATCH($D14,Python0831!$A$1:$A$49,0),MATCH(BJ$5,Python0831!$B$1:$BV$1,0))</f>
        <v>7.7651043166736704</v>
      </c>
      <c r="BK14" s="5">
        <f>INDEX(Python0831!$B$1:$BV$49,MATCH($D14,Python0831!$A$1:$A$49,0),MATCH(BK$5,Python0831!$B$1:$BV$1,0))</f>
        <v>12.6</v>
      </c>
      <c r="BL14" s="7">
        <f>INDEX(Python0831!$B$1:$BV$49,MATCH($D14,Python0831!$A$1:$A$49,0),MATCH(BL$5,Python0831!$B$1:$BV$1,0))</f>
        <v>1.0165451266368599</v>
      </c>
      <c r="BM14" s="5">
        <f>INDEX(Python0831!$B$1:$BV$49,MATCH($D14,Python0831!$A$1:$A$49,0),MATCH(BM$5,Python0831!$B$1:$BV$1,0))</f>
        <v>70.900000000000006</v>
      </c>
      <c r="BN14" s="5">
        <f>INDEX(Python0831!$B$1:$BV$49,MATCH($D14,Python0831!$A$1:$A$49,0),MATCH(BN$5,Python0831!$B$1:$BV$1,0))</f>
        <v>90.659956500411596</v>
      </c>
      <c r="BO14" s="5">
        <f>INDEX(Python0831!$B$1:$BV$49,MATCH($D14,Python0831!$A$1:$A$49,0),MATCH(BO$5,Python0831!$B$1:$BV$1,0))</f>
        <v>47.0102776178516</v>
      </c>
      <c r="BP14" s="5">
        <f>INDEX(Python0831!$B$1:$BV$49,MATCH($D14,Python0831!$A$1:$A$49,0),MATCH(BP$5,Python0831!$B$1:$BV$1,0))</f>
        <v>152</v>
      </c>
      <c r="BQ14" s="7">
        <f>INDEX(Python0831!$B$1:$BV$49,MATCH($D14,Python0831!$A$1:$A$49,0),MATCH(BQ$5,Python0831!$B$1:$BV$1,0))</f>
        <v>0</v>
      </c>
      <c r="BR14" s="5">
        <f>INDEX(Python0831!$B$1:$BV$49,MATCH($D14,Python0831!$A$1:$A$49,0),MATCH(BR$5,Python0831!$B$1:$BV$1,0))</f>
        <v>19846114</v>
      </c>
      <c r="BS14" s="5">
        <f>INDEX(Python0831!$B$1:$BV$49,MATCH($D14,Python0831!$A$1:$A$49,0),MATCH(BS$5,Python0831!$B$1:$BV$1,0))</f>
        <v>148008</v>
      </c>
      <c r="BT14" s="8">
        <f>INDEX(Python0831!$B$1:$BV$49,MATCH($D14,Python0831!$A$1:$A$49,0),MATCH(BT$5,Python0831!$B$1:$BV$1,0))</f>
        <v>1.3146198299390499</v>
      </c>
      <c r="BU14" s="8">
        <f>INDEX(Python0831!$B$1:$BV$49,MATCH($D14,Python0831!$A$1:$A$49,0),MATCH(BU$5,Python0831!$B$1:$BV$1,0))</f>
        <v>0.75906842539159103</v>
      </c>
      <c r="BV14" s="5">
        <f>INDEX(Python0831!$B$1:$BV$49,MATCH($D14,Python0831!$A$1:$A$49,0),MATCH(BV$5,Python0831!$B$1:$BV$1,0))</f>
        <v>35</v>
      </c>
      <c r="BW14" s="5">
        <f>INDEX(Python0831!$B$1:$BV$49,MATCH($D14,Python0831!$A$1:$A$49,0),MATCH(BW$5,Python0831!$B$1:$BV$1,0))</f>
        <v>29.23</v>
      </c>
      <c r="BX14" s="382">
        <f>INDEX(Python0831!$B$1:$BV$49,MATCH($D14,Python0831!$A$1:$A$49,0),MATCH(BX$5,Python0831!$B$1:$BV$1,0))</f>
        <v>27.06766917293233</v>
      </c>
      <c r="BY14" s="5">
        <f>INDEX(Python0831!$B$1:$BV$49,MATCH($D14,Python0831!$A$1:$A$49,0),MATCH(BY$5,Python0831!$B$1:$BV$1,0))</f>
        <v>50.790806400860902</v>
      </c>
    </row>
    <row r="15" spans="1:77">
      <c r="A15" s="2">
        <v>10</v>
      </c>
      <c r="B15" s="58">
        <f>INDEX(順位表[Comprehensive],MATCH($C15,順位表['#],0))</f>
        <v>33</v>
      </c>
      <c r="C15" s="3">
        <v>10</v>
      </c>
      <c r="D15" s="1" t="str">
        <f>INDEX(都市マスタ[City Name],MATCH($C15,都市マスタ['#],0))</f>
        <v>Milan</v>
      </c>
      <c r="E15" s="5">
        <f>INDEX(Python0831!$B$1:$BV$49,MATCH($D15,Python0831!$A$1:$A$49,0),MATCH(E$5,Python0831!$B$1:$BV$1,0))</f>
        <v>1396673</v>
      </c>
      <c r="F15" s="5">
        <f>INDEX(Python0831!$B$1:$BV$49,MATCH($D15,Python0831!$A$1:$A$49,0),MATCH(F$5,Python0831!$B$1:$BV$1,0))</f>
        <v>181.77</v>
      </c>
      <c r="G15" s="7">
        <f>INDEX(Python0831!$B$1:$BV$49,MATCH($D15,Python0831!$A$1:$A$49,0),MATCH(G$5,Python0831!$B$1:$BV$1,0))</f>
        <v>0.95099999999999996</v>
      </c>
      <c r="H15" s="5">
        <f>INDEX(Python0831!$B$1:$BV$49,MATCH($D15,Python0831!$A$1:$A$49,0),MATCH(H$5,Python0831!$B$1:$BV$1,0))</f>
        <v>93105.469081796502</v>
      </c>
      <c r="I15" s="5">
        <f>INDEX(Python0831!$B$1:$BV$49,MATCH($D15,Python0831!$A$1:$A$49,0),MATCH(I$5,Python0831!$B$1:$BV$1,0))</f>
        <v>67161.852780486297</v>
      </c>
      <c r="J15" s="328">
        <f>INDEX(Python0831!$B$1:$BV$49,MATCH($D15,Python0831!$A$1:$A$49,0),MATCH(J$5,Python0831!$B$1:$BV$1,0))</f>
        <v>8.1658968930339998E-3</v>
      </c>
      <c r="K15" s="5">
        <f>INDEX(Python0831!$B$1:$BV$49,MATCH($D15,Python0831!$A$1:$A$49,0),MATCH(K$5,Python0831!$B$1:$BV$1,0))</f>
        <v>62.266666666666602</v>
      </c>
      <c r="L15" s="5">
        <f>INDEX(Python0831!$B$1:$BV$49,MATCH($D15,Python0831!$A$1:$A$49,0),MATCH(L$5,Python0831!$B$1:$BV$1,0))</f>
        <v>0</v>
      </c>
      <c r="M15" s="5">
        <f>INDEX(Python0831!$B$1:$BV$49,MATCH($D15,Python0831!$A$1:$A$49,0),MATCH(M$5,Python0831!$B$1:$BV$1,0))</f>
        <v>0</v>
      </c>
      <c r="N15" s="5">
        <f>INDEX(Python0831!$B$1:$BV$49,MATCH($D15,Python0831!$A$1:$A$49,0),MATCH(N$5,Python0831!$B$1:$BV$1,0))</f>
        <v>992342.70145398099</v>
      </c>
      <c r="O15" s="328">
        <f>INDEX(Python0831!$B$1:$BV$49,MATCH($D15,Python0831!$A$1:$A$49,0),MATCH(O$5,Python0831!$B$1:$BV$1,0))</f>
        <v>0.36445365736526802</v>
      </c>
      <c r="P15" s="5">
        <f>INDEX(Python0831!$B$1:$BV$49,MATCH($D15,Python0831!$A$1:$A$49,0),MATCH(P$5,Python0831!$B$1:$BV$1,0))</f>
        <v>24.897554955536101</v>
      </c>
      <c r="Q15" s="5">
        <f>INDEX(Python0831!$B$1:$BV$49,MATCH($D15,Python0831!$A$1:$A$49,0),MATCH(Q$5,Python0831!$B$1:$BV$1,0))</f>
        <v>34.578624137007303</v>
      </c>
      <c r="R15" s="5">
        <f>INDEX(Python0831!$B$1:$BV$49,MATCH($D15,Python0831!$A$1:$A$49,0),MATCH(R$5,Python0831!$B$1:$BV$1,0))</f>
        <v>22.542357806455101</v>
      </c>
      <c r="S15" s="327">
        <f>INDEX(Python0831!$B$1:$BV$49,MATCH($D15,Python0831!$A$1:$A$49,0),MATCH(S$5,Python0831!$B$1:$BV$1,0))</f>
        <v>0.27899999999999903</v>
      </c>
      <c r="T15" s="5">
        <f>INDEX(Python0831!$B$1:$BV$49,MATCH($D15,Python0831!$A$1:$A$49,0),MATCH(T$5,Python0831!$B$1:$BV$1,0))</f>
        <v>68.106539814495306</v>
      </c>
      <c r="U15" s="5">
        <f>INDEX(Python0831!$B$1:$BV$49,MATCH($D15,Python0831!$A$1:$A$49,0),MATCH(U$5,Python0831!$B$1:$BV$1,0))</f>
        <v>6920.8472246603797</v>
      </c>
      <c r="V15" s="5">
        <f>INDEX(Python0831!$B$1:$BV$49,MATCH($D15,Python0831!$A$1:$A$49,0),MATCH(V$5,Python0831!$B$1:$BV$1,0))</f>
        <v>8</v>
      </c>
      <c r="W15" s="5">
        <f>INDEX(Python0831!$B$1:$BV$49,MATCH($D15,Python0831!$A$1:$A$49,0),MATCH(W$5,Python0831!$B$1:$BV$1,0))</f>
        <v>1244.58705679527</v>
      </c>
      <c r="X15" s="5">
        <f>INDEX(Python0831!$B$1:$BV$49,MATCH($D15,Python0831!$A$1:$A$49,0),MATCH(X$5,Python0831!$B$1:$BV$1,0))</f>
        <v>16178.68</v>
      </c>
      <c r="Y15" s="5">
        <f>INDEX(Python0831!$B$1:$BV$49,MATCH($D15,Python0831!$A$1:$A$49,0),MATCH(Y$5,Python0831!$B$1:$BV$1,0))</f>
        <v>477</v>
      </c>
      <c r="Z15" s="5">
        <f>INDEX(Python0831!$B$1:$BV$49,MATCH($D15,Python0831!$A$1:$A$49,0),MATCH(Z$5,Python0831!$B$1:$BV$1,0))</f>
        <v>305.49055257998901</v>
      </c>
      <c r="AA15" s="7">
        <f>INDEX(Python0831!$B$1:$BV$49,MATCH($D15,Python0831!$A$1:$A$49,0),MATCH(AA$5,Python0831!$B$1:$BV$1,0))</f>
        <v>0</v>
      </c>
      <c r="AB15" s="5">
        <f>INDEX(Python0831!$B$1:$BV$49,MATCH($D15,Python0831!$A$1:$A$49,0),MATCH(AB$5,Python0831!$B$1:$BV$1,0))</f>
        <v>242.666666666666</v>
      </c>
      <c r="AC15" s="5">
        <f>INDEX(Python0831!$B$1:$BV$49,MATCH($D15,Python0831!$A$1:$A$49,0),MATCH(AC$5,Python0831!$B$1:$BV$1,0))</f>
        <v>25</v>
      </c>
      <c r="AD15" s="5">
        <f>INDEX(Python0831!$B$1:$BV$49,MATCH($D15,Python0831!$A$1:$A$49,0),MATCH(AD$5,Python0831!$B$1:$BV$1,0))</f>
        <v>42.3611111111111</v>
      </c>
      <c r="AE15" s="5">
        <f>INDEX(Python0831!$B$1:$BV$49,MATCH($D15,Python0831!$A$1:$A$49,0),MATCH(AE$5,Python0831!$B$1:$BV$1,0))</f>
        <v>2.7054622279074798</v>
      </c>
      <c r="AF15" s="5">
        <f>INDEX(Python0831!$B$1:$BV$49,MATCH($D15,Python0831!$A$1:$A$49,0),MATCH(AF$5,Python0831!$B$1:$BV$1,0))</f>
        <v>5.2432632598961497</v>
      </c>
      <c r="AG15" s="5">
        <f>INDEX(Python0831!$B$1:$BV$49,MATCH($D15,Python0831!$A$1:$A$49,0),MATCH(AG$5,Python0831!$B$1:$BV$1,0))</f>
        <v>33.092891141561999</v>
      </c>
      <c r="AH15" s="5">
        <f>INDEX(Python0831!$B$1:$BV$49,MATCH($D15,Python0831!$A$1:$A$49,0),MATCH(AH$5,Python0831!$B$1:$BV$1,0))</f>
        <v>8.2724637681159408</v>
      </c>
      <c r="AI15" s="5">
        <f>INDEX(Python0831!$B$1:$BV$49,MATCH($D15,Python0831!$A$1:$A$49,0),MATCH(AI$5,Python0831!$B$1:$BV$1,0))</f>
        <v>39.8721445635842</v>
      </c>
      <c r="AJ15" s="5">
        <f>INDEX(Python0831!$B$1:$BV$49,MATCH($D15,Python0831!$A$1:$A$49,0),MATCH(AJ$5,Python0831!$B$1:$BV$1,0))</f>
        <v>64.5</v>
      </c>
      <c r="AK15" s="5">
        <f>INDEX(Python0831!$B$1:$BV$49,MATCH($D15,Python0831!$A$1:$A$49,0),MATCH(AK$5,Python0831!$B$1:$BV$1,0))</f>
        <v>86</v>
      </c>
      <c r="AL15" s="5">
        <f>INDEX(Python0831!$B$1:$BV$49,MATCH($D15,Python0831!$A$1:$A$49,0),MATCH(AL$5,Python0831!$B$1:$BV$1,0))</f>
        <v>3</v>
      </c>
      <c r="AM15" s="5">
        <f>INDEX(Python0831!$B$1:$BV$49,MATCH($D15,Python0831!$A$1:$A$49,0),MATCH(AM$5,Python0831!$B$1:$BV$1,0))</f>
        <v>36887</v>
      </c>
      <c r="AN15" s="5">
        <f>INDEX(Python0831!$B$1:$BV$49,MATCH($D15,Python0831!$A$1:$A$49,0),MATCH(AN$5,Python0831!$B$1:$BV$1,0))</f>
        <v>2719</v>
      </c>
      <c r="AO15" s="5">
        <f>INDEX(Python0831!$B$1:$BV$49,MATCH($D15,Python0831!$A$1:$A$49,0),MATCH(AO$5,Python0831!$B$1:$BV$1,0))</f>
        <v>53.8885492602545</v>
      </c>
      <c r="AP15" s="5">
        <f>INDEX(Python0831!$B$1:$BV$49,MATCH($D15,Python0831!$A$1:$A$49,0),MATCH(AP$5,Python0831!$B$1:$BV$1,0))</f>
        <v>30.8826435848637</v>
      </c>
      <c r="AQ15" s="5">
        <f>INDEX(Python0831!$B$1:$BV$49,MATCH($D15,Python0831!$A$1:$A$49,0),MATCH(AQ$5,Python0831!$B$1:$BV$1,0))</f>
        <v>287954</v>
      </c>
      <c r="AR15" s="5">
        <f>INDEX(Python0831!$B$1:$BV$49,MATCH($D15,Python0831!$A$1:$A$49,0),MATCH(AR$5,Python0831!$B$1:$BV$1,0))</f>
        <v>2483493.1666617198</v>
      </c>
      <c r="AS15" s="328">
        <f>INDEX(Python0831!$B$1:$BV$49,MATCH($D15,Python0831!$A$1:$A$49,0),MATCH(AS$5,Python0831!$B$1:$BV$1,0))</f>
        <v>5.510052E-2</v>
      </c>
      <c r="AT15" s="5">
        <f>INDEX(Python0831!$B$1:$BV$49,MATCH($D15,Python0831!$A$1:$A$49,0),MATCH(AT$5,Python0831!$B$1:$BV$1,0))</f>
        <v>1924.93358017178</v>
      </c>
      <c r="AU15" s="7">
        <f>INDEX(Python0831!$B$1:$BV$49,MATCH($D15,Python0831!$A$1:$A$49,0),MATCH(AU$5,Python0831!$B$1:$BV$1,0))</f>
        <v>2.9239766081871298E-2</v>
      </c>
      <c r="AV15" s="5">
        <f>INDEX(Python0831!$B$1:$BV$49,MATCH($D15,Python0831!$A$1:$A$49,0),MATCH(AV$5,Python0831!$B$1:$BV$1,0))</f>
        <v>2012.7895981087399</v>
      </c>
      <c r="AW15" s="5">
        <f>INDEX(Python0831!$B$1:$BV$49,MATCH($D15,Python0831!$A$1:$A$49,0),MATCH(AW$5,Python0831!$B$1:$BV$1,0))</f>
        <v>36.513414510091302</v>
      </c>
      <c r="AX15" s="5">
        <f>INDEX(Python0831!$B$1:$BV$49,MATCH($D15,Python0831!$A$1:$A$49,0),MATCH(AX$5,Python0831!$B$1:$BV$1,0))</f>
        <v>5.0494667402446103</v>
      </c>
      <c r="AY15" s="329">
        <f>INDEX(Python0831!$B$1:$BV$49,MATCH($D15,Python0831!$A$1:$A$49,0),MATCH(AY$5,Python0831!$B$1:$BV$1,0))</f>
        <v>5.9999999999999995E-4</v>
      </c>
      <c r="AZ15" s="5">
        <f>INDEX(Python0831!$B$1:$BV$49,MATCH($D15,Python0831!$A$1:$A$49,0),MATCH(AZ$5,Python0831!$B$1:$BV$1,0))</f>
        <v>83</v>
      </c>
      <c r="BA15" s="5">
        <f>INDEX(Python0831!$B$1:$BV$49,MATCH($D15,Python0831!$A$1:$A$49,0),MATCH(BA$5,Python0831!$B$1:$BV$1,0))</f>
        <v>60.206250791464299</v>
      </c>
      <c r="BB15" s="5">
        <f>INDEX(Python0831!$B$1:$BV$49,MATCH($D15,Python0831!$A$1:$A$49,0),MATCH(BB$5,Python0831!$B$1:$BV$1,0))</f>
        <v>7.6948750487864901</v>
      </c>
      <c r="BC15" s="5">
        <f>INDEX(Python0831!$B$1:$BV$49,MATCH($D15,Python0831!$A$1:$A$49,0),MATCH(BC$5,Python0831!$B$1:$BV$1,0))</f>
        <v>7673.7325612531604</v>
      </c>
      <c r="BD15" s="5">
        <f>INDEX(Python0831!$B$1:$BV$49,MATCH($D15,Python0831!$A$1:$A$49,0),MATCH(BD$5,Python0831!$B$1:$BV$1,0))</f>
        <v>68.828977987434399</v>
      </c>
      <c r="BE15" s="5">
        <f>INDEX(Python0831!$B$1:$BV$49,MATCH($D15,Python0831!$A$1:$A$49,0),MATCH(BE$5,Python0831!$B$1:$BV$1,0))</f>
        <v>36.511975135040601</v>
      </c>
      <c r="BF15" s="5">
        <f>INDEX(Python0831!$B$1:$BV$49,MATCH($D15,Python0831!$A$1:$A$49,0),MATCH(BF$5,Python0831!$B$1:$BV$1,0))</f>
        <v>43.7366032484939</v>
      </c>
      <c r="BG15" s="5">
        <f>INDEX(Python0831!$B$1:$BV$49,MATCH($D15,Python0831!$A$1:$A$49,0),MATCH(BG$5,Python0831!$B$1:$BV$1,0))</f>
        <v>32.150303030303</v>
      </c>
      <c r="BH15" s="327">
        <f>INDEX(Python0831!$B$1:$BV$49,MATCH($D15,Python0831!$A$1:$A$49,0),MATCH(BH$5,Python0831!$B$1:$BV$1,0))</f>
        <v>0.1852</v>
      </c>
      <c r="BI15" s="327">
        <f>INDEX(Python0831!$B$1:$BV$49,MATCH($D15,Python0831!$A$1:$A$49,0),MATCH(BI$5,Python0831!$B$1:$BV$1,0))</f>
        <v>0.30282947524999998</v>
      </c>
      <c r="BJ15" s="5">
        <f>INDEX(Python0831!$B$1:$BV$49,MATCH($D15,Python0831!$A$1:$A$49,0),MATCH(BJ$5,Python0831!$B$1:$BV$1,0))</f>
        <v>9.6281953493112997</v>
      </c>
      <c r="BK15" s="5">
        <f>INDEX(Python0831!$B$1:$BV$49,MATCH($D15,Python0831!$A$1:$A$49,0),MATCH(BK$5,Python0831!$B$1:$BV$1,0))</f>
        <v>28.6</v>
      </c>
      <c r="BL15" s="7">
        <f>INDEX(Python0831!$B$1:$BV$49,MATCH($D15,Python0831!$A$1:$A$49,0),MATCH(BL$5,Python0831!$B$1:$BV$1,0))</f>
        <v>0.80146886475505896</v>
      </c>
      <c r="BM15" s="5">
        <f>INDEX(Python0831!$B$1:$BV$49,MATCH($D15,Python0831!$A$1:$A$49,0),MATCH(BM$5,Python0831!$B$1:$BV$1,0))</f>
        <v>61.2</v>
      </c>
      <c r="BN15" s="5">
        <f>INDEX(Python0831!$B$1:$BV$49,MATCH($D15,Python0831!$A$1:$A$49,0),MATCH(BN$5,Python0831!$B$1:$BV$1,0))</f>
        <v>46.508160582658697</v>
      </c>
      <c r="BO15" s="5">
        <f>INDEX(Python0831!$B$1:$BV$49,MATCH($D15,Python0831!$A$1:$A$49,0),MATCH(BO$5,Python0831!$B$1:$BV$1,0))</f>
        <v>43.069771499931399</v>
      </c>
      <c r="BP15" s="5">
        <f>INDEX(Python0831!$B$1:$BV$49,MATCH($D15,Python0831!$A$1:$A$49,0),MATCH(BP$5,Python0831!$B$1:$BV$1,0))</f>
        <v>225.99999999999901</v>
      </c>
      <c r="BQ15" s="7">
        <f>INDEX(Python0831!$B$1:$BV$49,MATCH($D15,Python0831!$A$1:$A$49,0),MATCH(BQ$5,Python0831!$B$1:$BV$1,0))</f>
        <v>8.5880976871563099</v>
      </c>
      <c r="BR15" s="5">
        <f>INDEX(Python0831!$B$1:$BV$49,MATCH($D15,Python0831!$A$1:$A$49,0),MATCH(BR$5,Python0831!$B$1:$BV$1,0))</f>
        <v>42159123</v>
      </c>
      <c r="BS15" s="5">
        <f>INDEX(Python0831!$B$1:$BV$49,MATCH($D15,Python0831!$A$1:$A$49,0),MATCH(BS$5,Python0831!$B$1:$BV$1,0))</f>
        <v>323423</v>
      </c>
      <c r="BT15" s="8">
        <f>INDEX(Python0831!$B$1:$BV$49,MATCH($D15,Python0831!$A$1:$A$49,0),MATCH(BT$5,Python0831!$B$1:$BV$1,0))</f>
        <v>1.58518323319527</v>
      </c>
      <c r="BU15" s="8">
        <f>INDEX(Python0831!$B$1:$BV$49,MATCH($D15,Python0831!$A$1:$A$49,0),MATCH(BU$5,Python0831!$B$1:$BV$1,0))</f>
        <v>0.51807760141093395</v>
      </c>
      <c r="BV15" s="5">
        <f>INDEX(Python0831!$B$1:$BV$49,MATCH($D15,Python0831!$A$1:$A$49,0),MATCH(BV$5,Python0831!$B$1:$BV$1,0))</f>
        <v>38.164193097659997</v>
      </c>
      <c r="BW15" s="5">
        <f>INDEX(Python0831!$B$1:$BV$49,MATCH($D15,Python0831!$A$1:$A$49,0),MATCH(BW$5,Python0831!$B$1:$BV$1,0))</f>
        <v>31.387499999999999</v>
      </c>
      <c r="BX15" s="382">
        <f>INDEX(Python0831!$B$1:$BV$49,MATCH($D15,Python0831!$A$1:$A$49,0),MATCH(BX$5,Python0831!$B$1:$BV$1,0))</f>
        <v>21.818181818181817</v>
      </c>
      <c r="BY15" s="5">
        <f>INDEX(Python0831!$B$1:$BV$49,MATCH($D15,Python0831!$A$1:$A$49,0),MATCH(BY$5,Python0831!$B$1:$BV$1,0))</f>
        <v>46.298435586049202</v>
      </c>
    </row>
    <row r="16" spans="1:77">
      <c r="A16" s="2">
        <v>11</v>
      </c>
      <c r="B16" s="58">
        <f>INDEX(順位表[Comprehensive],MATCH($C16,順位表['#],0))</f>
        <v>19</v>
      </c>
      <c r="C16" s="3">
        <v>11</v>
      </c>
      <c r="D16" s="1" t="str">
        <f>INDEX(都市マスタ[City Name],MATCH($C16,都市マスタ['#],0))</f>
        <v>Zurich</v>
      </c>
      <c r="E16" s="5">
        <f>INDEX(Python0831!$B$1:$BV$49,MATCH($D16,Python0831!$A$1:$A$49,0),MATCH(E$5,Python0831!$B$1:$BV$1,0))</f>
        <v>443169</v>
      </c>
      <c r="F16" s="5">
        <f>INDEX(Python0831!$B$1:$BV$49,MATCH($D16,Python0831!$A$1:$A$49,0),MATCH(F$5,Python0831!$B$1:$BV$1,0))</f>
        <v>87.9</v>
      </c>
      <c r="G16" s="7">
        <f>INDEX(Python0831!$B$1:$BV$49,MATCH($D16,Python0831!$A$1:$A$49,0),MATCH(G$5,Python0831!$B$1:$BV$1,0))</f>
        <v>0.95499999999999996</v>
      </c>
      <c r="H16" s="5">
        <f>INDEX(Python0831!$B$1:$BV$49,MATCH($D16,Python0831!$A$1:$A$49,0),MATCH(H$5,Python0831!$B$1:$BV$1,0))</f>
        <v>89580.962800875204</v>
      </c>
      <c r="I16" s="5">
        <f>INDEX(Python0831!$B$1:$BV$49,MATCH($D16,Python0831!$A$1:$A$49,0),MATCH(I$5,Python0831!$B$1:$BV$1,0))</f>
        <v>202379.32277019601</v>
      </c>
      <c r="J16" s="328">
        <f>INDEX(Python0831!$B$1:$BV$49,MATCH($D16,Python0831!$A$1:$A$49,0),MATCH(J$5,Python0831!$B$1:$BV$1,0))</f>
        <v>2.04064068307903E-2</v>
      </c>
      <c r="K16" s="5">
        <f>INDEX(Python0831!$B$1:$BV$49,MATCH($D16,Python0831!$A$1:$A$49,0),MATCH(K$5,Python0831!$B$1:$BV$1,0))</f>
        <v>83.808333333333294</v>
      </c>
      <c r="L16" s="5">
        <f>INDEX(Python0831!$B$1:$BV$49,MATCH($D16,Python0831!$A$1:$A$49,0),MATCH(L$5,Python0831!$B$1:$BV$1,0))</f>
        <v>1830524.61</v>
      </c>
      <c r="M16" s="5">
        <f>INDEX(Python0831!$B$1:$BV$49,MATCH($D16,Python0831!$A$1:$A$49,0),MATCH(M$5,Python0831!$B$1:$BV$1,0))</f>
        <v>205440.4</v>
      </c>
      <c r="N16" s="5">
        <f>INDEX(Python0831!$B$1:$BV$49,MATCH($D16,Python0831!$A$1:$A$49,0),MATCH(N$5,Python0831!$B$1:$BV$1,0))</f>
        <v>516000</v>
      </c>
      <c r="O16" s="328">
        <f>INDEX(Python0831!$B$1:$BV$49,MATCH($D16,Python0831!$A$1:$A$49,0),MATCH(O$5,Python0831!$B$1:$BV$1,0))</f>
        <v>0.27586081736337797</v>
      </c>
      <c r="P16" s="5">
        <f>INDEX(Python0831!$B$1:$BV$49,MATCH($D16,Python0831!$A$1:$A$49,0),MATCH(P$5,Python0831!$B$1:$BV$1,0))</f>
        <v>96.774633375411796</v>
      </c>
      <c r="Q16" s="5">
        <f>INDEX(Python0831!$B$1:$BV$49,MATCH($D16,Python0831!$A$1:$A$49,0),MATCH(Q$5,Python0831!$B$1:$BV$1,0))</f>
        <v>76.554823005628194</v>
      </c>
      <c r="R16" s="5">
        <f>INDEX(Python0831!$B$1:$BV$49,MATCH($D16,Python0831!$A$1:$A$49,0),MATCH(R$5,Python0831!$B$1:$BV$1,0))</f>
        <v>36.293857120054803</v>
      </c>
      <c r="S16" s="327">
        <f>INDEX(Python0831!$B$1:$BV$49,MATCH($D16,Python0831!$A$1:$A$49,0),MATCH(S$5,Python0831!$B$1:$BV$1,0))</f>
        <v>0.19649999999999901</v>
      </c>
      <c r="T16" s="5">
        <f>INDEX(Python0831!$B$1:$BV$49,MATCH($D16,Python0831!$A$1:$A$49,0),MATCH(T$5,Python0831!$B$1:$BV$1,0))</f>
        <v>82.492965720818901</v>
      </c>
      <c r="U16" s="5">
        <f>INDEX(Python0831!$B$1:$BV$49,MATCH($D16,Python0831!$A$1:$A$49,0),MATCH(U$5,Python0831!$B$1:$BV$1,0))</f>
        <v>4561.5250194841801</v>
      </c>
      <c r="V16" s="5">
        <f>INDEX(Python0831!$B$1:$BV$49,MATCH($D16,Python0831!$A$1:$A$49,0),MATCH(V$5,Python0831!$B$1:$BV$1,0))</f>
        <v>309</v>
      </c>
      <c r="W16" s="5">
        <f>INDEX(Python0831!$B$1:$BV$49,MATCH($D16,Python0831!$A$1:$A$49,0),MATCH(W$5,Python0831!$B$1:$BV$1,0))</f>
        <v>2207.1464584023302</v>
      </c>
      <c r="X16" s="5">
        <f>INDEX(Python0831!$B$1:$BV$49,MATCH($D16,Python0831!$A$1:$A$49,0),MATCH(X$5,Python0831!$B$1:$BV$1,0))</f>
        <v>14383.31</v>
      </c>
      <c r="Y16" s="5">
        <f>INDEX(Python0831!$B$1:$BV$49,MATCH($D16,Python0831!$A$1:$A$49,0),MATCH(Y$5,Python0831!$B$1:$BV$1,0))</f>
        <v>498</v>
      </c>
      <c r="Z16" s="5">
        <f>INDEX(Python0831!$B$1:$BV$49,MATCH($D16,Python0831!$A$1:$A$49,0),MATCH(Z$5,Python0831!$B$1:$BV$1,0))</f>
        <v>63.743056505097499</v>
      </c>
      <c r="AA16" s="7">
        <f>INDEX(Python0831!$B$1:$BV$49,MATCH($D16,Python0831!$A$1:$A$49,0),MATCH(AA$5,Python0831!$B$1:$BV$1,0))</f>
        <v>0.8</v>
      </c>
      <c r="AB16" s="5">
        <f>INDEX(Python0831!$B$1:$BV$49,MATCH($D16,Python0831!$A$1:$A$49,0),MATCH(AB$5,Python0831!$B$1:$BV$1,0))</f>
        <v>130.666666666666</v>
      </c>
      <c r="AC16" s="5">
        <f>INDEX(Python0831!$B$1:$BV$49,MATCH($D16,Python0831!$A$1:$A$49,0),MATCH(AC$5,Python0831!$B$1:$BV$1,0))</f>
        <v>15</v>
      </c>
      <c r="AD16" s="5">
        <f>INDEX(Python0831!$B$1:$BV$49,MATCH($D16,Python0831!$A$1:$A$49,0),MATCH(AD$5,Python0831!$B$1:$BV$1,0))</f>
        <v>12.5</v>
      </c>
      <c r="AE16" s="5">
        <f>INDEX(Python0831!$B$1:$BV$49,MATCH($D16,Python0831!$A$1:$A$49,0),MATCH(AE$5,Python0831!$B$1:$BV$1,0))</f>
        <v>2.0729707068510499</v>
      </c>
      <c r="AF16" s="5">
        <f>INDEX(Python0831!$B$1:$BV$49,MATCH($D16,Python0831!$A$1:$A$49,0),MATCH(AF$5,Python0831!$B$1:$BV$1,0))</f>
        <v>3.57748108065985</v>
      </c>
      <c r="AG16" s="5">
        <f>INDEX(Python0831!$B$1:$BV$49,MATCH($D16,Python0831!$A$1:$A$49,0),MATCH(AG$5,Python0831!$B$1:$BV$1,0))</f>
        <v>9.5612648281470207</v>
      </c>
      <c r="AH16" s="5">
        <f>INDEX(Python0831!$B$1:$BV$49,MATCH($D16,Python0831!$A$1:$A$49,0),MATCH(AH$5,Python0831!$B$1:$BV$1,0))</f>
        <v>5.73623188405797</v>
      </c>
      <c r="AI16" s="5">
        <f>INDEX(Python0831!$B$1:$BV$49,MATCH($D16,Python0831!$A$1:$A$49,0),MATCH(AI$5,Python0831!$B$1:$BV$1,0))</f>
        <v>22.613212390053199</v>
      </c>
      <c r="AJ16" s="5">
        <f>INDEX(Python0831!$B$1:$BV$49,MATCH($D16,Python0831!$A$1:$A$49,0),MATCH(AJ$5,Python0831!$B$1:$BV$1,0))</f>
        <v>27</v>
      </c>
      <c r="AK16" s="5">
        <f>INDEX(Python0831!$B$1:$BV$49,MATCH($D16,Python0831!$A$1:$A$49,0),MATCH(AK$5,Python0831!$B$1:$BV$1,0))</f>
        <v>51</v>
      </c>
      <c r="AL16" s="5">
        <f>INDEX(Python0831!$B$1:$BV$49,MATCH($D16,Python0831!$A$1:$A$49,0),MATCH(AL$5,Python0831!$B$1:$BV$1,0))</f>
        <v>3</v>
      </c>
      <c r="AM16" s="5">
        <f>INDEX(Python0831!$B$1:$BV$49,MATCH($D16,Python0831!$A$1:$A$49,0),MATCH(AM$5,Python0831!$B$1:$BV$1,0))</f>
        <v>17146</v>
      </c>
      <c r="AN16" s="5">
        <f>INDEX(Python0831!$B$1:$BV$49,MATCH($D16,Python0831!$A$1:$A$49,0),MATCH(AN$5,Python0831!$B$1:$BV$1,0))</f>
        <v>1738</v>
      </c>
      <c r="AO16" s="5">
        <f>INDEX(Python0831!$B$1:$BV$49,MATCH($D16,Python0831!$A$1:$A$49,0),MATCH(AO$5,Python0831!$B$1:$BV$1,0))</f>
        <v>25.634077755536101</v>
      </c>
      <c r="AP16" s="5">
        <f>INDEX(Python0831!$B$1:$BV$49,MATCH($D16,Python0831!$A$1:$A$49,0),MATCH(AP$5,Python0831!$B$1:$BV$1,0))</f>
        <v>6.6074660574409796</v>
      </c>
      <c r="AQ16" s="5">
        <f>INDEX(Python0831!$B$1:$BV$49,MATCH($D16,Python0831!$A$1:$A$49,0),MATCH(AQ$5,Python0831!$B$1:$BV$1,0))</f>
        <v>146788</v>
      </c>
      <c r="AR16" s="5">
        <f>INDEX(Python0831!$B$1:$BV$49,MATCH($D16,Python0831!$A$1:$A$49,0),MATCH(AR$5,Python0831!$B$1:$BV$1,0))</f>
        <v>1094678</v>
      </c>
      <c r="AS16" s="328">
        <f>INDEX(Python0831!$B$1:$BV$49,MATCH($D16,Python0831!$A$1:$A$49,0),MATCH(AS$5,Python0831!$B$1:$BV$1,0))</f>
        <v>1.8060273972602701E-2</v>
      </c>
      <c r="AT16" s="5">
        <f>INDEX(Python0831!$B$1:$BV$49,MATCH($D16,Python0831!$A$1:$A$49,0),MATCH(AT$5,Python0831!$B$1:$BV$1,0))</f>
        <v>1911.3397071542299</v>
      </c>
      <c r="AU16" s="7">
        <f>INDEX(Python0831!$B$1:$BV$49,MATCH($D16,Python0831!$A$1:$A$49,0),MATCH(AU$5,Python0831!$B$1:$BV$1,0))</f>
        <v>0.39548022598869997</v>
      </c>
      <c r="AV16" s="5">
        <f>INDEX(Python0831!$B$1:$BV$49,MATCH($D16,Python0831!$A$1:$A$49,0),MATCH(AV$5,Python0831!$B$1:$BV$1,0))</f>
        <v>3100.4212253829301</v>
      </c>
      <c r="AW16" s="5">
        <f>INDEX(Python0831!$B$1:$BV$49,MATCH($D16,Python0831!$A$1:$A$49,0),MATCH(AW$5,Python0831!$B$1:$BV$1,0))</f>
        <v>84.624180286767796</v>
      </c>
      <c r="AX16" s="5">
        <f>INDEX(Python0831!$B$1:$BV$49,MATCH($D16,Python0831!$A$1:$A$49,0),MATCH(AX$5,Python0831!$B$1:$BV$1,0))</f>
        <v>2.29755654861055</v>
      </c>
      <c r="AY16" s="329">
        <f>INDEX(Python0831!$B$1:$BV$49,MATCH($D16,Python0831!$A$1:$A$49,0),MATCH(AY$5,Python0831!$B$1:$BV$1,0))</f>
        <v>1.8E-3</v>
      </c>
      <c r="AZ16" s="5">
        <f>INDEX(Python0831!$B$1:$BV$49,MATCH($D16,Python0831!$A$1:$A$49,0),MATCH(AZ$5,Python0831!$B$1:$BV$1,0))</f>
        <v>83.4</v>
      </c>
      <c r="BA16" s="5">
        <f>INDEX(Python0831!$B$1:$BV$49,MATCH($D16,Python0831!$A$1:$A$49,0),MATCH(BA$5,Python0831!$B$1:$BV$1,0))</f>
        <v>85.178660917249104</v>
      </c>
      <c r="BB16" s="5">
        <f>INDEX(Python0831!$B$1:$BV$49,MATCH($D16,Python0831!$A$1:$A$49,0),MATCH(BB$5,Python0831!$B$1:$BV$1,0))</f>
        <v>18.146920476119501</v>
      </c>
      <c r="BC16" s="5">
        <f>INDEX(Python0831!$B$1:$BV$49,MATCH($D16,Python0831!$A$1:$A$49,0),MATCH(BC$5,Python0831!$B$1:$BV$1,0))</f>
        <v>8791.4086696542399</v>
      </c>
      <c r="BD16" s="5">
        <f>INDEX(Python0831!$B$1:$BV$49,MATCH($D16,Python0831!$A$1:$A$49,0),MATCH(BD$5,Python0831!$B$1:$BV$1,0))</f>
        <v>74.775015194431006</v>
      </c>
      <c r="BE16" s="5">
        <f>INDEX(Python0831!$B$1:$BV$49,MATCH($D16,Python0831!$A$1:$A$49,0),MATCH(BE$5,Python0831!$B$1:$BV$1,0))</f>
        <v>16.284242763749599</v>
      </c>
      <c r="BF16" s="5">
        <f>INDEX(Python0831!$B$1:$BV$49,MATCH($D16,Python0831!$A$1:$A$49,0),MATCH(BF$5,Python0831!$B$1:$BV$1,0))</f>
        <v>20.1052292370995</v>
      </c>
      <c r="BG16" s="5">
        <f>INDEX(Python0831!$B$1:$BV$49,MATCH($D16,Python0831!$A$1:$A$49,0),MATCH(BG$5,Python0831!$B$1:$BV$1,0))</f>
        <v>12.984848484848399</v>
      </c>
      <c r="BH16" s="327">
        <f>INDEX(Python0831!$B$1:$BV$49,MATCH($D16,Python0831!$A$1:$A$49,0),MATCH(BH$5,Python0831!$B$1:$BV$1,0))</f>
        <v>0.24359999999999901</v>
      </c>
      <c r="BI16" s="327">
        <f>INDEX(Python0831!$B$1:$BV$49,MATCH($D16,Python0831!$A$1:$A$49,0),MATCH(BI$5,Python0831!$B$1:$BV$1,0))</f>
        <v>0.29977892249999999</v>
      </c>
      <c r="BJ16" s="5">
        <f>INDEX(Python0831!$B$1:$BV$49,MATCH($D16,Python0831!$A$1:$A$49,0),MATCH(BJ$5,Python0831!$B$1:$BV$1,0))</f>
        <v>8.5382975725502508</v>
      </c>
      <c r="BK16" s="5">
        <f>INDEX(Python0831!$B$1:$BV$49,MATCH($D16,Python0831!$A$1:$A$49,0),MATCH(BK$5,Python0831!$B$1:$BV$1,0))</f>
        <v>10.4</v>
      </c>
      <c r="BL16" s="7">
        <f>INDEX(Python0831!$B$1:$BV$49,MATCH($D16,Python0831!$A$1:$A$49,0),MATCH(BL$5,Python0831!$B$1:$BV$1,0))</f>
        <v>0.98303635351205099</v>
      </c>
      <c r="BM16" s="5">
        <f>INDEX(Python0831!$B$1:$BV$49,MATCH($D16,Python0831!$A$1:$A$49,0),MATCH(BM$5,Python0831!$B$1:$BV$1,0))</f>
        <v>84.5</v>
      </c>
      <c r="BN16" s="5">
        <f>INDEX(Python0831!$B$1:$BV$49,MATCH($D16,Python0831!$A$1:$A$49,0),MATCH(BN$5,Python0831!$B$1:$BV$1,0))</f>
        <v>80.770668118888594</v>
      </c>
      <c r="BO16" s="5">
        <f>INDEX(Python0831!$B$1:$BV$49,MATCH($D16,Python0831!$A$1:$A$49,0),MATCH(BO$5,Python0831!$B$1:$BV$1,0))</f>
        <v>87.811126256339506</v>
      </c>
      <c r="BP16" s="5">
        <f>INDEX(Python0831!$B$1:$BV$49,MATCH($D16,Python0831!$A$1:$A$49,0),MATCH(BP$5,Python0831!$B$1:$BV$1,0))</f>
        <v>202.00000000000199</v>
      </c>
      <c r="BQ16" s="7">
        <f>INDEX(Python0831!$B$1:$BV$49,MATCH($D16,Python0831!$A$1:$A$49,0),MATCH(BQ$5,Python0831!$B$1:$BV$1,0))</f>
        <v>2.9660420286437499</v>
      </c>
      <c r="BR16" s="5">
        <f>INDEX(Python0831!$B$1:$BV$49,MATCH($D16,Python0831!$A$1:$A$49,0),MATCH(BR$5,Python0831!$B$1:$BV$1,0))</f>
        <v>22503234</v>
      </c>
      <c r="BS16" s="5">
        <f>INDEX(Python0831!$B$1:$BV$49,MATCH($D16,Python0831!$A$1:$A$49,0),MATCH(BS$5,Python0831!$B$1:$BV$1,0))</f>
        <v>195762</v>
      </c>
      <c r="BT16" s="8">
        <f>INDEX(Python0831!$B$1:$BV$49,MATCH($D16,Python0831!$A$1:$A$49,0),MATCH(BT$5,Python0831!$B$1:$BV$1,0))</f>
        <v>0.87535218700542405</v>
      </c>
      <c r="BU16" s="8">
        <f>INDEX(Python0831!$B$1:$BV$49,MATCH($D16,Python0831!$A$1:$A$49,0),MATCH(BU$5,Python0831!$B$1:$BV$1,0))</f>
        <v>0.72724462988718896</v>
      </c>
      <c r="BV16" s="5">
        <f>INDEX(Python0831!$B$1:$BV$49,MATCH($D16,Python0831!$A$1:$A$49,0),MATCH(BV$5,Python0831!$B$1:$BV$1,0))</f>
        <v>9</v>
      </c>
      <c r="BW16" s="5">
        <f>INDEX(Python0831!$B$1:$BV$49,MATCH($D16,Python0831!$A$1:$A$49,0),MATCH(BW$5,Python0831!$B$1:$BV$1,0))</f>
        <v>29.3675</v>
      </c>
      <c r="BX16" s="382">
        <f>INDEX(Python0831!$B$1:$BV$49,MATCH($D16,Python0831!$A$1:$A$49,0),MATCH(BX$5,Python0831!$B$1:$BV$1,0))</f>
        <v>28.571428571428573</v>
      </c>
      <c r="BY16" s="5">
        <f>INDEX(Python0831!$B$1:$BV$49,MATCH($D16,Python0831!$A$1:$A$49,0),MATCH(BY$5,Python0831!$B$1:$BV$1,0))</f>
        <v>30.2547009252959</v>
      </c>
    </row>
    <row r="17" spans="1:77">
      <c r="A17" s="2">
        <v>12</v>
      </c>
      <c r="B17" s="58">
        <f>INDEX(順位表[Comprehensive],MATCH($C17,順位表['#],0))</f>
        <v>11</v>
      </c>
      <c r="C17" s="3">
        <v>12</v>
      </c>
      <c r="D17" s="1" t="str">
        <f>INDEX(都市マスタ[City Name],MATCH($C17,都市マスタ['#],0))</f>
        <v>Copenhagen</v>
      </c>
      <c r="E17" s="5">
        <f>INDEX(Python0831!$B$1:$BV$49,MATCH($D17,Python0831!$A$1:$A$49,0),MATCH(E$5,Python0831!$B$1:$BV$1,0))</f>
        <v>815979</v>
      </c>
      <c r="F17" s="5">
        <f>INDEX(Python0831!$B$1:$BV$49,MATCH($D17,Python0831!$A$1:$A$49,0),MATCH(F$5,Python0831!$B$1:$BV$1,0))</f>
        <v>183.2</v>
      </c>
      <c r="G17" s="7">
        <f>INDEX(Python0831!$B$1:$BV$49,MATCH($D17,Python0831!$A$1:$A$49,0),MATCH(G$5,Python0831!$B$1:$BV$1,0))</f>
        <v>7.077</v>
      </c>
      <c r="H17" s="5">
        <f>INDEX(Python0831!$B$1:$BV$49,MATCH($D17,Python0831!$A$1:$A$49,0),MATCH(H$5,Python0831!$B$1:$BV$1,0))</f>
        <v>81935.816375198701</v>
      </c>
      <c r="I17" s="5">
        <f>INDEX(Python0831!$B$1:$BV$49,MATCH($D17,Python0831!$A$1:$A$49,0),MATCH(I$5,Python0831!$B$1:$BV$1,0))</f>
        <v>102543.720190779</v>
      </c>
      <c r="J17" s="328">
        <f>INDEX(Python0831!$B$1:$BV$49,MATCH($D17,Python0831!$A$1:$A$49,0),MATCH(J$5,Python0831!$B$1:$BV$1,0))</f>
        <v>2.8578176488938501E-2</v>
      </c>
      <c r="K17" s="5">
        <f>INDEX(Python0831!$B$1:$BV$49,MATCH($D17,Python0831!$A$1:$A$49,0),MATCH(K$5,Python0831!$B$1:$BV$1,0))</f>
        <v>77.591666666666598</v>
      </c>
      <c r="L17" s="5">
        <f>INDEX(Python0831!$B$1:$BV$49,MATCH($D17,Python0831!$A$1:$A$49,0),MATCH(L$5,Python0831!$B$1:$BV$1,0))</f>
        <v>603052.52154488605</v>
      </c>
      <c r="M17" s="5">
        <f>INDEX(Python0831!$B$1:$BV$49,MATCH($D17,Python0831!$A$1:$A$49,0),MATCH(M$5,Python0831!$B$1:$BV$1,0))</f>
        <v>81529</v>
      </c>
      <c r="N17" s="5">
        <f>INDEX(Python0831!$B$1:$BV$49,MATCH($D17,Python0831!$A$1:$A$49,0),MATCH(N$5,Python0831!$B$1:$BV$1,0))</f>
        <v>502251</v>
      </c>
      <c r="O17" s="328">
        <f>INDEX(Python0831!$B$1:$BV$49,MATCH($D17,Python0831!$A$1:$A$49,0),MATCH(O$5,Python0831!$B$1:$BV$1,0))</f>
        <v>0.18179356536871</v>
      </c>
      <c r="P17" s="5">
        <f>INDEX(Python0831!$B$1:$BV$49,MATCH($D17,Python0831!$A$1:$A$49,0),MATCH(P$5,Python0831!$B$1:$BV$1,0))</f>
        <v>52.047585143202298</v>
      </c>
      <c r="Q17" s="5">
        <f>INDEX(Python0831!$B$1:$BV$49,MATCH($D17,Python0831!$A$1:$A$49,0),MATCH(Q$5,Python0831!$B$1:$BV$1,0))</f>
        <v>78.314815236919202</v>
      </c>
      <c r="R17" s="5">
        <f>INDEX(Python0831!$B$1:$BV$49,MATCH($D17,Python0831!$A$1:$A$49,0),MATCH(R$5,Python0831!$B$1:$BV$1,0))</f>
        <v>39.555456022971001</v>
      </c>
      <c r="S17" s="327">
        <f>INDEX(Python0831!$B$1:$BV$49,MATCH($D17,Python0831!$A$1:$A$49,0),MATCH(S$5,Python0831!$B$1:$BV$1,0))</f>
        <v>0.22</v>
      </c>
      <c r="T17" s="5">
        <f>INDEX(Python0831!$B$1:$BV$49,MATCH($D17,Python0831!$A$1:$A$49,0),MATCH(T$5,Python0831!$B$1:$BV$1,0))</f>
        <v>98.337755419812495</v>
      </c>
      <c r="U17" s="5">
        <f>INDEX(Python0831!$B$1:$BV$49,MATCH($D17,Python0831!$A$1:$A$49,0),MATCH(U$5,Python0831!$B$1:$BV$1,0))</f>
        <v>7316.5580213009598</v>
      </c>
      <c r="V17" s="5">
        <f>INDEX(Python0831!$B$1:$BV$49,MATCH($D17,Python0831!$A$1:$A$49,0),MATCH(V$5,Python0831!$B$1:$BV$1,0))</f>
        <v>124</v>
      </c>
      <c r="W17" s="5">
        <f>INDEX(Python0831!$B$1:$BV$49,MATCH($D17,Python0831!$A$1:$A$49,0),MATCH(W$5,Python0831!$B$1:$BV$1,0))</f>
        <v>1720.88012216171</v>
      </c>
      <c r="X17" s="5">
        <f>INDEX(Python0831!$B$1:$BV$49,MATCH($D17,Python0831!$A$1:$A$49,0),MATCH(X$5,Python0831!$B$1:$BV$1,0))</f>
        <v>12486.06</v>
      </c>
      <c r="Y17" s="5">
        <f>INDEX(Python0831!$B$1:$BV$49,MATCH($D17,Python0831!$A$1:$A$49,0),MATCH(Y$5,Python0831!$B$1:$BV$1,0))</f>
        <v>501</v>
      </c>
      <c r="Z17" s="5">
        <f>INDEX(Python0831!$B$1:$BV$49,MATCH($D17,Python0831!$A$1:$A$49,0),MATCH(Z$5,Python0831!$B$1:$BV$1,0))</f>
        <v>59.533482217526597</v>
      </c>
      <c r="AA17" s="7">
        <f>INDEX(Python0831!$B$1:$BV$49,MATCH($D17,Python0831!$A$1:$A$49,0),MATCH(AA$5,Python0831!$B$1:$BV$1,0))</f>
        <v>2</v>
      </c>
      <c r="AB17" s="5">
        <f>INDEX(Python0831!$B$1:$BV$49,MATCH($D17,Python0831!$A$1:$A$49,0),MATCH(AB$5,Python0831!$B$1:$BV$1,0))</f>
        <v>79.3333333333333</v>
      </c>
      <c r="AC17" s="5">
        <f>INDEX(Python0831!$B$1:$BV$49,MATCH($D17,Python0831!$A$1:$A$49,0),MATCH(AC$5,Python0831!$B$1:$BV$1,0))</f>
        <v>56</v>
      </c>
      <c r="AD17" s="5">
        <f>INDEX(Python0831!$B$1:$BV$49,MATCH($D17,Python0831!$A$1:$A$49,0),MATCH(AD$5,Python0831!$B$1:$BV$1,0))</f>
        <v>31.25</v>
      </c>
      <c r="AE17" s="5">
        <f>INDEX(Python0831!$B$1:$BV$49,MATCH($D17,Python0831!$A$1:$A$49,0),MATCH(AE$5,Python0831!$B$1:$BV$1,0))</f>
        <v>9.1920242215336803</v>
      </c>
      <c r="AF17" s="5">
        <f>INDEX(Python0831!$B$1:$BV$49,MATCH($D17,Python0831!$A$1:$A$49,0),MATCH(AF$5,Python0831!$B$1:$BV$1,0))</f>
        <v>2.4770957086076399</v>
      </c>
      <c r="AG17" s="5">
        <f>INDEX(Python0831!$B$1:$BV$49,MATCH($D17,Python0831!$A$1:$A$49,0),MATCH(AG$5,Python0831!$B$1:$BV$1,0))</f>
        <v>25.740355440435799</v>
      </c>
      <c r="AH17" s="5">
        <f>INDEX(Python0831!$B$1:$BV$49,MATCH($D17,Python0831!$A$1:$A$49,0),MATCH(AH$5,Python0831!$B$1:$BV$1,0))</f>
        <v>7</v>
      </c>
      <c r="AI17" s="5">
        <f>INDEX(Python0831!$B$1:$BV$49,MATCH($D17,Python0831!$A$1:$A$49,0),MATCH(AI$5,Python0831!$B$1:$BV$1,0))</f>
        <v>17.396443922693202</v>
      </c>
      <c r="AJ17" s="5">
        <f>INDEX(Python0831!$B$1:$BV$49,MATCH($D17,Python0831!$A$1:$A$49,0),MATCH(AJ$5,Python0831!$B$1:$BV$1,0))</f>
        <v>33</v>
      </c>
      <c r="AK17" s="5">
        <f>INDEX(Python0831!$B$1:$BV$49,MATCH($D17,Python0831!$A$1:$A$49,0),MATCH(AK$5,Python0831!$B$1:$BV$1,0))</f>
        <v>37</v>
      </c>
      <c r="AL17" s="5">
        <f>INDEX(Python0831!$B$1:$BV$49,MATCH($D17,Python0831!$A$1:$A$49,0),MATCH(AL$5,Python0831!$B$1:$BV$1,0))</f>
        <v>5</v>
      </c>
      <c r="AM17" s="5">
        <f>INDEX(Python0831!$B$1:$BV$49,MATCH($D17,Python0831!$A$1:$A$49,0),MATCH(AM$5,Python0831!$B$1:$BV$1,0))</f>
        <v>26619</v>
      </c>
      <c r="AN17" s="5">
        <f>INDEX(Python0831!$B$1:$BV$49,MATCH($D17,Python0831!$A$1:$A$49,0),MATCH(AN$5,Python0831!$B$1:$BV$1,0))</f>
        <v>2227</v>
      </c>
      <c r="AO17" s="5">
        <f>INDEX(Python0831!$B$1:$BV$49,MATCH($D17,Python0831!$A$1:$A$49,0),MATCH(AO$5,Python0831!$B$1:$BV$1,0))</f>
        <v>26.307212625458</v>
      </c>
      <c r="AP17" s="5">
        <f>INDEX(Python0831!$B$1:$BV$49,MATCH($D17,Python0831!$A$1:$A$49,0),MATCH(AP$5,Python0831!$B$1:$BV$1,0))</f>
        <v>31.3164456987828</v>
      </c>
      <c r="AQ17" s="5">
        <f>INDEX(Python0831!$B$1:$BV$49,MATCH($D17,Python0831!$A$1:$A$49,0),MATCH(AQ$5,Python0831!$B$1:$BV$1,0))</f>
        <v>121415</v>
      </c>
      <c r="AR17" s="5">
        <f>INDEX(Python0831!$B$1:$BV$49,MATCH($D17,Python0831!$A$1:$A$49,0),MATCH(AR$5,Python0831!$B$1:$BV$1,0))</f>
        <v>4524114</v>
      </c>
      <c r="AS17" s="328">
        <f>INDEX(Python0831!$B$1:$BV$49,MATCH($D17,Python0831!$A$1:$A$49,0),MATCH(AS$5,Python0831!$B$1:$BV$1,0))</f>
        <v>3.2909589041095803E-2</v>
      </c>
      <c r="AT17" s="5">
        <f>INDEX(Python0831!$B$1:$BV$49,MATCH($D17,Python0831!$A$1:$A$49,0),MATCH(AT$5,Python0831!$B$1:$BV$1,0))</f>
        <v>1873.36706535041</v>
      </c>
      <c r="AU17" s="7">
        <f>INDEX(Python0831!$B$1:$BV$49,MATCH($D17,Python0831!$A$1:$A$49,0),MATCH(AU$5,Python0831!$B$1:$BV$1,0))</f>
        <v>0.372093023255813</v>
      </c>
      <c r="AV17" s="5">
        <f>INDEX(Python0831!$B$1:$BV$49,MATCH($D17,Python0831!$A$1:$A$49,0),MATCH(AV$5,Python0831!$B$1:$BV$1,0))</f>
        <v>2251.4411764705801</v>
      </c>
      <c r="AW17" s="5">
        <f>INDEX(Python0831!$B$1:$BV$49,MATCH($D17,Python0831!$A$1:$A$49,0),MATCH(AW$5,Python0831!$B$1:$BV$1,0))</f>
        <v>51.374850431962301</v>
      </c>
      <c r="AX17" s="5">
        <f>INDEX(Python0831!$B$1:$BV$49,MATCH($D17,Python0831!$A$1:$A$49,0),MATCH(AX$5,Python0831!$B$1:$BV$1,0))</f>
        <v>3.7545382981679101</v>
      </c>
      <c r="AY17" s="329">
        <f>INDEX(Python0831!$B$1:$BV$49,MATCH($D17,Python0831!$A$1:$A$49,0),MATCH(AY$5,Python0831!$B$1:$BV$1,0))</f>
        <v>1.6999999999999999E-3</v>
      </c>
      <c r="AZ17" s="5">
        <f>INDEX(Python0831!$B$1:$BV$49,MATCH($D17,Python0831!$A$1:$A$49,0),MATCH(AZ$5,Python0831!$B$1:$BV$1,0))</f>
        <v>81.3</v>
      </c>
      <c r="BA17" s="5">
        <f>INDEX(Python0831!$B$1:$BV$49,MATCH($D17,Python0831!$A$1:$A$49,0),MATCH(BA$5,Python0831!$B$1:$BV$1,0))</f>
        <v>90.259958339676402</v>
      </c>
      <c r="BB17" s="5">
        <f>INDEX(Python0831!$B$1:$BV$49,MATCH($D17,Python0831!$A$1:$A$49,0),MATCH(BB$5,Python0831!$B$1:$BV$1,0))</f>
        <v>12.754888494067901</v>
      </c>
      <c r="BC17" s="5">
        <f>INDEX(Python0831!$B$1:$BV$49,MATCH($D17,Python0831!$A$1:$A$49,0),MATCH(BC$5,Python0831!$B$1:$BV$1,0))</f>
        <v>5330.5240685220697</v>
      </c>
      <c r="BD17" s="5">
        <f>INDEX(Python0831!$B$1:$BV$49,MATCH($D17,Python0831!$A$1:$A$49,0),MATCH(BD$5,Python0831!$B$1:$BV$1,0))</f>
        <v>80.839136894846405</v>
      </c>
      <c r="BE17" s="5">
        <f>INDEX(Python0831!$B$1:$BV$49,MATCH($D17,Python0831!$A$1:$A$49,0),MATCH(BE$5,Python0831!$B$1:$BV$1,0))</f>
        <v>24.1619094841659</v>
      </c>
      <c r="BF17" s="5">
        <f>INDEX(Python0831!$B$1:$BV$49,MATCH($D17,Python0831!$A$1:$A$49,0),MATCH(BF$5,Python0831!$B$1:$BV$1,0))</f>
        <v>22.601783463329799</v>
      </c>
      <c r="BG17" s="5">
        <f>INDEX(Python0831!$B$1:$BV$49,MATCH($D17,Python0831!$A$1:$A$49,0),MATCH(BG$5,Python0831!$B$1:$BV$1,0))</f>
        <v>73.727272727272705</v>
      </c>
      <c r="BH17" s="327">
        <f>INDEX(Python0831!$B$1:$BV$49,MATCH($D17,Python0831!$A$1:$A$49,0),MATCH(BH$5,Python0831!$B$1:$BV$1,0))</f>
        <v>0.40409999999999902</v>
      </c>
      <c r="BI17" s="327">
        <f>INDEX(Python0831!$B$1:$BV$49,MATCH($D17,Python0831!$A$1:$A$49,0),MATCH(BI$5,Python0831!$B$1:$BV$1,0))</f>
        <v>0.22425958425</v>
      </c>
      <c r="BJ17" s="5">
        <f>INDEX(Python0831!$B$1:$BV$49,MATCH($D17,Python0831!$A$1:$A$49,0),MATCH(BJ$5,Python0831!$B$1:$BV$1,0))</f>
        <v>7.6181305451339902</v>
      </c>
      <c r="BK17" s="5">
        <f>INDEX(Python0831!$B$1:$BV$49,MATCH($D17,Python0831!$A$1:$A$49,0),MATCH(BK$5,Python0831!$B$1:$BV$1,0))</f>
        <v>8.6999999999999993</v>
      </c>
      <c r="BL17" s="7">
        <f>INDEX(Python0831!$B$1:$BV$49,MATCH($D17,Python0831!$A$1:$A$49,0),MATCH(BL$5,Python0831!$B$1:$BV$1,0))</f>
        <v>1.1423132566816401</v>
      </c>
      <c r="BM17" s="5">
        <f>INDEX(Python0831!$B$1:$BV$49,MATCH($D17,Python0831!$A$1:$A$49,0),MATCH(BM$5,Python0831!$B$1:$BV$1,0))</f>
        <v>81.5</v>
      </c>
      <c r="BN17" s="5">
        <f>INDEX(Python0831!$B$1:$BV$49,MATCH($D17,Python0831!$A$1:$A$49,0),MATCH(BN$5,Python0831!$B$1:$BV$1,0))</f>
        <v>71.367139031172698</v>
      </c>
      <c r="BO17" s="5">
        <f>INDEX(Python0831!$B$1:$BV$49,MATCH($D17,Python0831!$A$1:$A$49,0),MATCH(BO$5,Python0831!$B$1:$BV$1,0))</f>
        <v>73.654312860467201</v>
      </c>
      <c r="BP17" s="5">
        <f>INDEX(Python0831!$B$1:$BV$49,MATCH($D17,Python0831!$A$1:$A$49,0),MATCH(BP$5,Python0831!$B$1:$BV$1,0))</f>
        <v>181.00000000000199</v>
      </c>
      <c r="BQ17" s="7">
        <f>INDEX(Python0831!$B$1:$BV$49,MATCH($D17,Python0831!$A$1:$A$49,0),MATCH(BQ$5,Python0831!$B$1:$BV$1,0))</f>
        <v>3.1447649292721902</v>
      </c>
      <c r="BR17" s="5">
        <f>INDEX(Python0831!$B$1:$BV$49,MATCH($D17,Python0831!$A$1:$A$49,0),MATCH(BR$5,Python0831!$B$1:$BV$1,0))</f>
        <v>22110432</v>
      </c>
      <c r="BS17" s="5">
        <f>INDEX(Python0831!$B$1:$BV$49,MATCH($D17,Python0831!$A$1:$A$49,0),MATCH(BS$5,Python0831!$B$1:$BV$1,0))</f>
        <v>198057</v>
      </c>
      <c r="BT17" s="8">
        <f>INDEX(Python0831!$B$1:$BV$49,MATCH($D17,Python0831!$A$1:$A$49,0),MATCH(BT$5,Python0831!$B$1:$BV$1,0))</f>
        <v>0.17825353626292201</v>
      </c>
      <c r="BU17" s="8">
        <f>INDEX(Python0831!$B$1:$BV$49,MATCH($D17,Python0831!$A$1:$A$49,0),MATCH(BU$5,Python0831!$B$1:$BV$1,0))</f>
        <v>0.63490186805391302</v>
      </c>
      <c r="BV17" s="5">
        <f>INDEX(Python0831!$B$1:$BV$49,MATCH($D17,Python0831!$A$1:$A$49,0),MATCH(BV$5,Python0831!$B$1:$BV$1,0))</f>
        <v>13</v>
      </c>
      <c r="BW17" s="5">
        <f>INDEX(Python0831!$B$1:$BV$49,MATCH($D17,Python0831!$A$1:$A$49,0),MATCH(BW$5,Python0831!$B$1:$BV$1,0))</f>
        <v>27.307500000000001</v>
      </c>
      <c r="BX17" s="382">
        <f>INDEX(Python0831!$B$1:$BV$49,MATCH($D17,Python0831!$A$1:$A$49,0),MATCH(BX$5,Python0831!$B$1:$BV$1,0))</f>
        <v>35.643564356435647</v>
      </c>
      <c r="BY17" s="5">
        <f>INDEX(Python0831!$B$1:$BV$49,MATCH($D17,Python0831!$A$1:$A$49,0),MATCH(BY$5,Python0831!$B$1:$BV$1,0))</f>
        <v>73.951664581900502</v>
      </c>
    </row>
    <row r="18" spans="1:77">
      <c r="A18" s="2">
        <v>13</v>
      </c>
      <c r="B18" s="58">
        <f>INDEX(順位表[Comprehensive],MATCH($C18,順位表['#],0))</f>
        <v>13</v>
      </c>
      <c r="C18" s="3">
        <v>13</v>
      </c>
      <c r="D18" s="1" t="str">
        <f>INDEX(都市マスタ[City Name],MATCH($C18,都市マスタ['#],0))</f>
        <v>Vienna</v>
      </c>
      <c r="E18" s="5">
        <f>INDEX(Python0831!$B$1:$BV$49,MATCH($D18,Python0831!$A$1:$A$49,0),MATCH(E$5,Python0831!$B$1:$BV$1,0))</f>
        <v>1982442</v>
      </c>
      <c r="F18" s="5">
        <f>INDEX(Python0831!$B$1:$BV$49,MATCH($D18,Python0831!$A$1:$A$49,0),MATCH(F$5,Python0831!$B$1:$BV$1,0))</f>
        <v>414.87</v>
      </c>
      <c r="G18" s="7">
        <f>INDEX(Python0831!$B$1:$BV$49,MATCH($D18,Python0831!$A$1:$A$49,0),MATCH(G$5,Python0831!$B$1:$BV$1,0))</f>
        <v>0.95099999999999996</v>
      </c>
      <c r="H18" s="5">
        <f>INDEX(Python0831!$B$1:$BV$49,MATCH($D18,Python0831!$A$1:$A$49,0),MATCH(H$5,Python0831!$B$1:$BV$1,0))</f>
        <v>120043.98336325301</v>
      </c>
      <c r="I18" s="5">
        <f>INDEX(Python0831!$B$1:$BV$49,MATCH($D18,Python0831!$A$1:$A$49,0),MATCH(I$5,Python0831!$B$1:$BV$1,0))</f>
        <v>60553.5916628349</v>
      </c>
      <c r="J18" s="328">
        <f>INDEX(Python0831!$B$1:$BV$49,MATCH($D18,Python0831!$A$1:$A$49,0),MATCH(J$5,Python0831!$B$1:$BV$1,0))</f>
        <v>5.7447918286531998E-3</v>
      </c>
      <c r="K18" s="5">
        <f>INDEX(Python0831!$B$1:$BV$49,MATCH($D18,Python0831!$A$1:$A$49,0),MATCH(K$5,Python0831!$B$1:$BV$1,0))</f>
        <v>71.05</v>
      </c>
      <c r="L18" s="5">
        <f>INDEX(Python0831!$B$1:$BV$49,MATCH($D18,Python0831!$A$1:$A$49,0),MATCH(L$5,Python0831!$B$1:$BV$1,0))</f>
        <v>123048</v>
      </c>
      <c r="M18" s="5">
        <f>INDEX(Python0831!$B$1:$BV$49,MATCH($D18,Python0831!$A$1:$A$49,0),MATCH(M$5,Python0831!$B$1:$BV$1,0))</f>
        <v>65522.5</v>
      </c>
      <c r="N18" s="5">
        <f>INDEX(Python0831!$B$1:$BV$49,MATCH($D18,Python0831!$A$1:$A$49,0),MATCH(N$5,Python0831!$B$1:$BV$1,0))</f>
        <v>1071092.45</v>
      </c>
      <c r="O18" s="328">
        <f>INDEX(Python0831!$B$1:$BV$49,MATCH($D18,Python0831!$A$1:$A$49,0),MATCH(O$5,Python0831!$B$1:$BV$1,0))</f>
        <v>0.194909781763489</v>
      </c>
      <c r="P18" s="5">
        <f>INDEX(Python0831!$B$1:$BV$49,MATCH($D18,Python0831!$A$1:$A$49,0),MATCH(P$5,Python0831!$B$1:$BV$1,0))</f>
        <v>44.802246190092603</v>
      </c>
      <c r="Q18" s="5">
        <f>INDEX(Python0831!$B$1:$BV$49,MATCH($D18,Python0831!$A$1:$A$49,0),MATCH(Q$5,Python0831!$B$1:$BV$1,0))</f>
        <v>65.070510816948897</v>
      </c>
      <c r="R18" s="5">
        <f>INDEX(Python0831!$B$1:$BV$49,MATCH($D18,Python0831!$A$1:$A$49,0),MATCH(R$5,Python0831!$B$1:$BV$1,0))</f>
        <v>22.0295634775519</v>
      </c>
      <c r="S18" s="327">
        <f>INDEX(Python0831!$B$1:$BV$49,MATCH($D18,Python0831!$A$1:$A$49,0),MATCH(S$5,Python0831!$B$1:$BV$1,0))</f>
        <v>0.24</v>
      </c>
      <c r="T18" s="5">
        <f>INDEX(Python0831!$B$1:$BV$49,MATCH($D18,Python0831!$A$1:$A$49,0),MATCH(T$5,Python0831!$B$1:$BV$1,0))</f>
        <v>86.379897495803903</v>
      </c>
      <c r="U18" s="5">
        <f>INDEX(Python0831!$B$1:$BV$49,MATCH($D18,Python0831!$A$1:$A$49,0),MATCH(U$5,Python0831!$B$1:$BV$1,0))</f>
        <v>11506.805886600199</v>
      </c>
      <c r="V18" s="5">
        <f>INDEX(Python0831!$B$1:$BV$49,MATCH($D18,Python0831!$A$1:$A$49,0),MATCH(V$5,Python0831!$B$1:$BV$1,0))</f>
        <v>85</v>
      </c>
      <c r="W18" s="5">
        <f>INDEX(Python0831!$B$1:$BV$49,MATCH($D18,Python0831!$A$1:$A$49,0),MATCH(W$5,Python0831!$B$1:$BV$1,0))</f>
        <v>3113.03980875662</v>
      </c>
      <c r="X18" s="5">
        <f>INDEX(Python0831!$B$1:$BV$49,MATCH($D18,Python0831!$A$1:$A$49,0),MATCH(X$5,Python0831!$B$1:$BV$1,0))</f>
        <v>16021.2</v>
      </c>
      <c r="Y18" s="5">
        <f>INDEX(Python0831!$B$1:$BV$49,MATCH($D18,Python0831!$A$1:$A$49,0),MATCH(Y$5,Python0831!$B$1:$BV$1,0))</f>
        <v>491</v>
      </c>
      <c r="Z18" s="5">
        <f>INDEX(Python0831!$B$1:$BV$49,MATCH($D18,Python0831!$A$1:$A$49,0),MATCH(Z$5,Python0831!$B$1:$BV$1,0))</f>
        <v>274.22772227607499</v>
      </c>
      <c r="AA18" s="7">
        <f>INDEX(Python0831!$B$1:$BV$49,MATCH($D18,Python0831!$A$1:$A$49,0),MATCH(AA$5,Python0831!$B$1:$BV$1,0))</f>
        <v>1</v>
      </c>
      <c r="AB18" s="5">
        <f>INDEX(Python0831!$B$1:$BV$49,MATCH($D18,Python0831!$A$1:$A$49,0),MATCH(AB$5,Python0831!$B$1:$BV$1,0))</f>
        <v>65</v>
      </c>
      <c r="AC18" s="5">
        <f>INDEX(Python0831!$B$1:$BV$49,MATCH($D18,Python0831!$A$1:$A$49,0),MATCH(AC$5,Python0831!$B$1:$BV$1,0))</f>
        <v>195</v>
      </c>
      <c r="AD18" s="5">
        <f>INDEX(Python0831!$B$1:$BV$49,MATCH($D18,Python0831!$A$1:$A$49,0),MATCH(AD$5,Python0831!$B$1:$BV$1,0))</f>
        <v>31.25</v>
      </c>
      <c r="AE18" s="5">
        <f>INDEX(Python0831!$B$1:$BV$49,MATCH($D18,Python0831!$A$1:$A$49,0),MATCH(AE$5,Python0831!$B$1:$BV$1,0))</f>
        <v>12.622615918560101</v>
      </c>
      <c r="AF18" s="5">
        <f>INDEX(Python0831!$B$1:$BV$49,MATCH($D18,Python0831!$A$1:$A$49,0),MATCH(AF$5,Python0831!$B$1:$BV$1,0))</f>
        <v>5.5428958006951197</v>
      </c>
      <c r="AG18" s="5">
        <f>INDEX(Python0831!$B$1:$BV$49,MATCH($D18,Python0831!$A$1:$A$49,0),MATCH(AG$5,Python0831!$B$1:$BV$1,0))</f>
        <v>37.879177034168599</v>
      </c>
      <c r="AH18" s="5">
        <f>INDEX(Python0831!$B$1:$BV$49,MATCH($D18,Python0831!$A$1:$A$49,0),MATCH(AH$5,Python0831!$B$1:$BV$1,0))</f>
        <v>13.5</v>
      </c>
      <c r="AI18" s="5">
        <f>INDEX(Python0831!$B$1:$BV$49,MATCH($D18,Python0831!$A$1:$A$49,0),MATCH(AI$5,Python0831!$B$1:$BV$1,0))</f>
        <v>16.838750705446898</v>
      </c>
      <c r="AJ18" s="5">
        <f>INDEX(Python0831!$B$1:$BV$49,MATCH($D18,Python0831!$A$1:$A$49,0),MATCH(AJ$5,Python0831!$B$1:$BV$1,0))</f>
        <v>67</v>
      </c>
      <c r="AK18" s="5">
        <f>INDEX(Python0831!$B$1:$BV$49,MATCH($D18,Python0831!$A$1:$A$49,0),MATCH(AK$5,Python0831!$B$1:$BV$1,0))</f>
        <v>155</v>
      </c>
      <c r="AL18" s="5">
        <f>INDEX(Python0831!$B$1:$BV$49,MATCH($D18,Python0831!$A$1:$A$49,0),MATCH(AL$5,Python0831!$B$1:$BV$1,0))</f>
        <v>4</v>
      </c>
      <c r="AM18" s="5">
        <f>INDEX(Python0831!$B$1:$BV$49,MATCH($D18,Python0831!$A$1:$A$49,0),MATCH(AM$5,Python0831!$B$1:$BV$1,0))</f>
        <v>41148</v>
      </c>
      <c r="AN18" s="5">
        <f>INDEX(Python0831!$B$1:$BV$49,MATCH($D18,Python0831!$A$1:$A$49,0),MATCH(AN$5,Python0831!$B$1:$BV$1,0))</f>
        <v>4778</v>
      </c>
      <c r="AO18" s="5">
        <f>INDEX(Python0831!$B$1:$BV$49,MATCH($D18,Python0831!$A$1:$A$49,0),MATCH(AO$5,Python0831!$B$1:$BV$1,0))</f>
        <v>22.085604261926999</v>
      </c>
      <c r="AP18" s="5">
        <f>INDEX(Python0831!$B$1:$BV$49,MATCH($D18,Python0831!$A$1:$A$49,0),MATCH(AP$5,Python0831!$B$1:$BV$1,0))</f>
        <v>28.592723847293801</v>
      </c>
      <c r="AQ18" s="5">
        <f>INDEX(Python0831!$B$1:$BV$49,MATCH($D18,Python0831!$A$1:$A$49,0),MATCH(AQ$5,Python0831!$B$1:$BV$1,0))</f>
        <v>621727</v>
      </c>
      <c r="AR18" s="5">
        <f>INDEX(Python0831!$B$1:$BV$49,MATCH($D18,Python0831!$A$1:$A$49,0),MATCH(AR$5,Python0831!$B$1:$BV$1,0))</f>
        <v>4190914</v>
      </c>
      <c r="AS18" s="328">
        <f>INDEX(Python0831!$B$1:$BV$49,MATCH($D18,Python0831!$A$1:$A$49,0),MATCH(AS$5,Python0831!$B$1:$BV$1,0))</f>
        <v>0.10456656889662801</v>
      </c>
      <c r="AT18" s="5">
        <f>INDEX(Python0831!$B$1:$BV$49,MATCH($D18,Python0831!$A$1:$A$49,0),MATCH(AT$5,Python0831!$B$1:$BV$1,0))</f>
        <v>1740.2892619166701</v>
      </c>
      <c r="AU18" s="7">
        <f>INDEX(Python0831!$B$1:$BV$49,MATCH($D18,Python0831!$A$1:$A$49,0),MATCH(AU$5,Python0831!$B$1:$BV$1,0))</f>
        <v>0.40350877192982398</v>
      </c>
      <c r="AV18" s="5">
        <f>INDEX(Python0831!$B$1:$BV$49,MATCH($D18,Python0831!$A$1:$A$49,0),MATCH(AV$5,Python0831!$B$1:$BV$1,0))</f>
        <v>1228.2505910165401</v>
      </c>
      <c r="AW18" s="5">
        <f>INDEX(Python0831!$B$1:$BV$49,MATCH($D18,Python0831!$A$1:$A$49,0),MATCH(AW$5,Python0831!$B$1:$BV$1,0))</f>
        <v>36.595416944187001</v>
      </c>
      <c r="AX18" s="5">
        <f>INDEX(Python0831!$B$1:$BV$49,MATCH($D18,Python0831!$A$1:$A$49,0),MATCH(AX$5,Python0831!$B$1:$BV$1,0))</f>
        <v>7.2880643890077197</v>
      </c>
      <c r="AY18" s="329">
        <f>INDEX(Python0831!$B$1:$BV$49,MATCH($D18,Python0831!$A$1:$A$49,0),MATCH(AY$5,Python0831!$B$1:$BV$1,0))</f>
        <v>1.6000000000000001E-3</v>
      </c>
      <c r="AZ18" s="5">
        <f>INDEX(Python0831!$B$1:$BV$49,MATCH($D18,Python0831!$A$1:$A$49,0),MATCH(AZ$5,Python0831!$B$1:$BV$1,0))</f>
        <v>81.599999999999994</v>
      </c>
      <c r="BA18" s="5">
        <f>INDEX(Python0831!$B$1:$BV$49,MATCH($D18,Python0831!$A$1:$A$49,0),MATCH(BA$5,Python0831!$B$1:$BV$1,0))</f>
        <v>72.731507919330497</v>
      </c>
      <c r="BB18" s="5">
        <f>INDEX(Python0831!$B$1:$BV$49,MATCH($D18,Python0831!$A$1:$A$49,0),MATCH(BB$5,Python0831!$B$1:$BV$1,0))</f>
        <v>19.481711742249399</v>
      </c>
      <c r="BC18" s="5">
        <f>INDEX(Python0831!$B$1:$BV$49,MATCH($D18,Python0831!$A$1:$A$49,0),MATCH(BC$5,Python0831!$B$1:$BV$1,0))</f>
        <v>6002.6440252164002</v>
      </c>
      <c r="BD18" s="5">
        <f>INDEX(Python0831!$B$1:$BV$49,MATCH($D18,Python0831!$A$1:$A$49,0),MATCH(BD$5,Python0831!$B$1:$BV$1,0))</f>
        <v>65.897355636216702</v>
      </c>
      <c r="BE18" s="5">
        <f>INDEX(Python0831!$B$1:$BV$49,MATCH($D18,Python0831!$A$1:$A$49,0),MATCH(BE$5,Python0831!$B$1:$BV$1,0))</f>
        <v>34.882884473079002</v>
      </c>
      <c r="BF18" s="5">
        <f>INDEX(Python0831!$B$1:$BV$49,MATCH($D18,Python0831!$A$1:$A$49,0),MATCH(BF$5,Python0831!$B$1:$BV$1,0))</f>
        <v>29.699927082205299</v>
      </c>
      <c r="BG18" s="5">
        <f>INDEX(Python0831!$B$1:$BV$49,MATCH($D18,Python0831!$A$1:$A$49,0),MATCH(BG$5,Python0831!$B$1:$BV$1,0))</f>
        <v>20.9648484848484</v>
      </c>
      <c r="BH18" s="327">
        <f>INDEX(Python0831!$B$1:$BV$49,MATCH($D18,Python0831!$A$1:$A$49,0),MATCH(BH$5,Python0831!$B$1:$BV$1,0))</f>
        <v>0.308</v>
      </c>
      <c r="BI18" s="327">
        <f>INDEX(Python0831!$B$1:$BV$49,MATCH($D18,Python0831!$A$1:$A$49,0),MATCH(BI$5,Python0831!$B$1:$BV$1,0))</f>
        <v>0.33355555554999999</v>
      </c>
      <c r="BJ18" s="5">
        <f>INDEX(Python0831!$B$1:$BV$49,MATCH($D18,Python0831!$A$1:$A$49,0),MATCH(BJ$5,Python0831!$B$1:$BV$1,0))</f>
        <v>8.04958288017672</v>
      </c>
      <c r="BK18" s="5">
        <f>INDEX(Python0831!$B$1:$BV$49,MATCH($D18,Python0831!$A$1:$A$49,0),MATCH(BK$5,Python0831!$B$1:$BV$1,0))</f>
        <v>10.5</v>
      </c>
      <c r="BL18" s="7">
        <f>INDEX(Python0831!$B$1:$BV$49,MATCH($D18,Python0831!$A$1:$A$49,0),MATCH(BL$5,Python0831!$B$1:$BV$1,0))</f>
        <v>1.0714911779276699</v>
      </c>
      <c r="BM18" s="5">
        <f>INDEX(Python0831!$B$1:$BV$49,MATCH($D18,Python0831!$A$1:$A$49,0),MATCH(BM$5,Python0831!$B$1:$BV$1,0))</f>
        <v>90.9</v>
      </c>
      <c r="BN18" s="5">
        <f>INDEX(Python0831!$B$1:$BV$49,MATCH($D18,Python0831!$A$1:$A$49,0),MATCH(BN$5,Python0831!$B$1:$BV$1,0))</f>
        <v>85.053802919194297</v>
      </c>
      <c r="BO18" s="5">
        <f>INDEX(Python0831!$B$1:$BV$49,MATCH($D18,Python0831!$A$1:$A$49,0),MATCH(BO$5,Python0831!$B$1:$BV$1,0))</f>
        <v>77.701838542765699</v>
      </c>
      <c r="BP18" s="5">
        <f>INDEX(Python0831!$B$1:$BV$49,MATCH($D18,Python0831!$A$1:$A$49,0),MATCH(BP$5,Python0831!$B$1:$BV$1,0))</f>
        <v>199.99999999999901</v>
      </c>
      <c r="BQ18" s="7">
        <f>INDEX(Python0831!$B$1:$BV$49,MATCH($D18,Python0831!$A$1:$A$49,0),MATCH(BQ$5,Python0831!$B$1:$BV$1,0))</f>
        <v>1.7809031379464799</v>
      </c>
      <c r="BR18" s="5">
        <f>INDEX(Python0831!$B$1:$BV$49,MATCH($D18,Python0831!$A$1:$A$49,0),MATCH(BR$5,Python0831!$B$1:$BV$1,0))</f>
        <v>23682133</v>
      </c>
      <c r="BS18" s="5">
        <f>INDEX(Python0831!$B$1:$BV$49,MATCH($D18,Python0831!$A$1:$A$49,0),MATCH(BS$5,Python0831!$B$1:$BV$1,0))</f>
        <v>197092</v>
      </c>
      <c r="BT18" s="8">
        <f>INDEX(Python0831!$B$1:$BV$49,MATCH($D18,Python0831!$A$1:$A$49,0),MATCH(BT$5,Python0831!$B$1:$BV$1,0))</f>
        <v>1.62019732067549</v>
      </c>
      <c r="BU18" s="8">
        <f>INDEX(Python0831!$B$1:$BV$49,MATCH($D18,Python0831!$A$1:$A$49,0),MATCH(BU$5,Python0831!$B$1:$BV$1,0))</f>
        <v>0.61458795679834199</v>
      </c>
      <c r="BV18" s="5">
        <f>INDEX(Python0831!$B$1:$BV$49,MATCH($D18,Python0831!$A$1:$A$49,0),MATCH(BV$5,Python0831!$B$1:$BV$1,0))</f>
        <v>17</v>
      </c>
      <c r="BW18" s="5">
        <f>INDEX(Python0831!$B$1:$BV$49,MATCH($D18,Python0831!$A$1:$A$49,0),MATCH(BW$5,Python0831!$B$1:$BV$1,0))</f>
        <v>25.057500000000001</v>
      </c>
      <c r="BX18" s="382">
        <f>INDEX(Python0831!$B$1:$BV$49,MATCH($D18,Python0831!$A$1:$A$49,0),MATCH(BX$5,Python0831!$B$1:$BV$1,0))</f>
        <v>27.272727272727273</v>
      </c>
      <c r="BY18" s="5">
        <f>INDEX(Python0831!$B$1:$BV$49,MATCH($D18,Python0831!$A$1:$A$49,0),MATCH(BY$5,Python0831!$B$1:$BV$1,0))</f>
        <v>56.458944182013703</v>
      </c>
    </row>
    <row r="19" spans="1:77">
      <c r="A19" s="2">
        <v>14</v>
      </c>
      <c r="B19" s="58">
        <f>INDEX(順位表[Comprehensive],MATCH($C19,順位表['#],0))</f>
        <v>16</v>
      </c>
      <c r="C19" s="3">
        <v>14</v>
      </c>
      <c r="D19" s="1" t="str">
        <f>INDEX(都市マスタ[City Name],MATCH($C19,都市マスタ['#],0))</f>
        <v>Stockholm</v>
      </c>
      <c r="E19" s="5">
        <f>INDEX(Python0831!$B$1:$BV$49,MATCH($D19,Python0831!$A$1:$A$49,0),MATCH(E$5,Python0831!$B$1:$BV$1,0))</f>
        <v>984748</v>
      </c>
      <c r="F19" s="5">
        <f>INDEX(Python0831!$B$1:$BV$49,MATCH($D19,Python0831!$A$1:$A$49,0),MATCH(F$5,Python0831!$B$1:$BV$1,0))</f>
        <v>187.21</v>
      </c>
      <c r="G19" s="7">
        <f>INDEX(Python0831!$B$1:$BV$49,MATCH($D19,Python0831!$A$1:$A$49,0),MATCH(G$5,Python0831!$B$1:$BV$1,0))</f>
        <v>10.122</v>
      </c>
      <c r="H19" s="5">
        <f>INDEX(Python0831!$B$1:$BV$49,MATCH($D19,Python0831!$A$1:$A$49,0),MATCH(H$5,Python0831!$B$1:$BV$1,0))</f>
        <v>83692.588536812604</v>
      </c>
      <c r="I19" s="5">
        <f>INDEX(Python0831!$B$1:$BV$49,MATCH($D19,Python0831!$A$1:$A$49,0),MATCH(I$5,Python0831!$B$1:$BV$1,0))</f>
        <v>85507.921714818207</v>
      </c>
      <c r="J19" s="328">
        <f>INDEX(Python0831!$B$1:$BV$49,MATCH($D19,Python0831!$A$1:$A$49,0),MATCH(J$5,Python0831!$B$1:$BV$1,0))</f>
        <v>2.5367778215752999E-2</v>
      </c>
      <c r="K19" s="5">
        <f>INDEX(Python0831!$B$1:$BV$49,MATCH($D19,Python0831!$A$1:$A$49,0),MATCH(K$5,Python0831!$B$1:$BV$1,0))</f>
        <v>77.533333333333303</v>
      </c>
      <c r="L19" s="5">
        <f>INDEX(Python0831!$B$1:$BV$49,MATCH($D19,Python0831!$A$1:$A$49,0),MATCH(L$5,Python0831!$B$1:$BV$1,0))</f>
        <v>913688.83027222694</v>
      </c>
      <c r="M19" s="5">
        <f>INDEX(Python0831!$B$1:$BV$49,MATCH($D19,Python0831!$A$1:$A$49,0),MATCH(M$5,Python0831!$B$1:$BV$1,0))</f>
        <v>0</v>
      </c>
      <c r="N19" s="5">
        <f>INDEX(Python0831!$B$1:$BV$49,MATCH($D19,Python0831!$A$1:$A$49,0),MATCH(N$5,Python0831!$B$1:$BV$1,0))</f>
        <v>696142</v>
      </c>
      <c r="O19" s="328">
        <f>INDEX(Python0831!$B$1:$BV$49,MATCH($D19,Python0831!$A$1:$A$49,0),MATCH(O$5,Python0831!$B$1:$BV$1,0))</f>
        <v>0.281301803367703</v>
      </c>
      <c r="P19" s="5">
        <f>INDEX(Python0831!$B$1:$BV$49,MATCH($D19,Python0831!$A$1:$A$49,0),MATCH(P$5,Python0831!$B$1:$BV$1,0))</f>
        <v>47.318525183859997</v>
      </c>
      <c r="Q19" s="5">
        <f>INDEX(Python0831!$B$1:$BV$49,MATCH($D19,Python0831!$A$1:$A$49,0),MATCH(Q$5,Python0831!$B$1:$BV$1,0))</f>
        <v>72.807908961894</v>
      </c>
      <c r="R19" s="5">
        <f>INDEX(Python0831!$B$1:$BV$49,MATCH($D19,Python0831!$A$1:$A$49,0),MATCH(R$5,Python0831!$B$1:$BV$1,0))</f>
        <v>23.7125255383548</v>
      </c>
      <c r="S19" s="327">
        <f>INDEX(Python0831!$B$1:$BV$49,MATCH($D19,Python0831!$A$1:$A$49,0),MATCH(S$5,Python0831!$B$1:$BV$1,0))</f>
        <v>0.20599999999999999</v>
      </c>
      <c r="T19" s="5">
        <f>INDEX(Python0831!$B$1:$BV$49,MATCH($D19,Python0831!$A$1:$A$49,0),MATCH(T$5,Python0831!$B$1:$BV$1,0))</f>
        <v>92.312283982385196</v>
      </c>
      <c r="U19" s="5">
        <f>INDEX(Python0831!$B$1:$BV$49,MATCH($D19,Python0831!$A$1:$A$49,0),MATCH(U$5,Python0831!$B$1:$BV$1,0))</f>
        <v>11311.842038922099</v>
      </c>
      <c r="V19" s="5">
        <f>INDEX(Python0831!$B$1:$BV$49,MATCH($D19,Python0831!$A$1:$A$49,0),MATCH(V$5,Python0831!$B$1:$BV$1,0))</f>
        <v>223</v>
      </c>
      <c r="W19" s="5">
        <f>INDEX(Python0831!$B$1:$BV$49,MATCH($D19,Python0831!$A$1:$A$49,0),MATCH(W$5,Python0831!$B$1:$BV$1,0))</f>
        <v>2624.1242610801</v>
      </c>
      <c r="X19" s="5">
        <f>INDEX(Python0831!$B$1:$BV$49,MATCH($D19,Python0831!$A$1:$A$49,0),MATCH(X$5,Python0831!$B$1:$BV$1,0))</f>
        <v>6957.02</v>
      </c>
      <c r="Y19" s="5">
        <f>INDEX(Python0831!$B$1:$BV$49,MATCH($D19,Python0831!$A$1:$A$49,0),MATCH(Y$5,Python0831!$B$1:$BV$1,0))</f>
        <v>502.33333333333297</v>
      </c>
      <c r="Z19" s="5">
        <f>INDEX(Python0831!$B$1:$BV$49,MATCH($D19,Python0831!$A$1:$A$49,0),MATCH(Z$5,Python0831!$B$1:$BV$1,0))</f>
        <v>127.728441522026</v>
      </c>
      <c r="AA19" s="7">
        <f>INDEX(Python0831!$B$1:$BV$49,MATCH($D19,Python0831!$A$1:$A$49,0),MATCH(AA$5,Python0831!$B$1:$BV$1,0))</f>
        <v>0.55000000000000004</v>
      </c>
      <c r="AB19" s="5">
        <f>INDEX(Python0831!$B$1:$BV$49,MATCH($D19,Python0831!$A$1:$A$49,0),MATCH(AB$5,Python0831!$B$1:$BV$1,0))</f>
        <v>183</v>
      </c>
      <c r="AC19" s="5">
        <f>INDEX(Python0831!$B$1:$BV$49,MATCH($D19,Python0831!$A$1:$A$49,0),MATCH(AC$5,Python0831!$B$1:$BV$1,0))</f>
        <v>47</v>
      </c>
      <c r="AD19" s="5">
        <f>INDEX(Python0831!$B$1:$BV$49,MATCH($D19,Python0831!$A$1:$A$49,0),MATCH(AD$5,Python0831!$B$1:$BV$1,0))</f>
        <v>35.9375</v>
      </c>
      <c r="AE19" s="5">
        <f>INDEX(Python0831!$B$1:$BV$49,MATCH($D19,Python0831!$A$1:$A$49,0),MATCH(AE$5,Python0831!$B$1:$BV$1,0))</f>
        <v>58.142775000566701</v>
      </c>
      <c r="AF19" s="5">
        <f>INDEX(Python0831!$B$1:$BV$49,MATCH($D19,Python0831!$A$1:$A$49,0),MATCH(AF$5,Python0831!$B$1:$BV$1,0))</f>
        <v>3.5117480017832698</v>
      </c>
      <c r="AG19" s="5">
        <f>INDEX(Python0831!$B$1:$BV$49,MATCH($D19,Python0831!$A$1:$A$49,0),MATCH(AG$5,Python0831!$B$1:$BV$1,0))</f>
        <v>26.324737244865599</v>
      </c>
      <c r="AH19" s="5">
        <f>INDEX(Python0831!$B$1:$BV$49,MATCH($D19,Python0831!$A$1:$A$49,0),MATCH(AH$5,Python0831!$B$1:$BV$1,0))</f>
        <v>3</v>
      </c>
      <c r="AI19" s="5">
        <f>INDEX(Python0831!$B$1:$BV$49,MATCH($D19,Python0831!$A$1:$A$49,0),MATCH(AI$5,Python0831!$B$1:$BV$1,0))</f>
        <v>20.332072288898601</v>
      </c>
      <c r="AJ19" s="5">
        <f>INDEX(Python0831!$B$1:$BV$49,MATCH($D19,Python0831!$A$1:$A$49,0),MATCH(AJ$5,Python0831!$B$1:$BV$1,0))</f>
        <v>40</v>
      </c>
      <c r="AK19" s="5">
        <f>INDEX(Python0831!$B$1:$BV$49,MATCH($D19,Python0831!$A$1:$A$49,0),MATCH(AK$5,Python0831!$B$1:$BV$1,0))</f>
        <v>72</v>
      </c>
      <c r="AL19" s="5">
        <f>INDEX(Python0831!$B$1:$BV$49,MATCH($D19,Python0831!$A$1:$A$49,0),MATCH(AL$5,Python0831!$B$1:$BV$1,0))</f>
        <v>4</v>
      </c>
      <c r="AM19" s="5">
        <f>INDEX(Python0831!$B$1:$BV$49,MATCH($D19,Python0831!$A$1:$A$49,0),MATCH(AM$5,Python0831!$B$1:$BV$1,0))</f>
        <v>27726</v>
      </c>
      <c r="AN19" s="5">
        <f>INDEX(Python0831!$B$1:$BV$49,MATCH($D19,Python0831!$A$1:$A$49,0),MATCH(AN$5,Python0831!$B$1:$BV$1,0))</f>
        <v>1334</v>
      </c>
      <c r="AO19" s="5">
        <f>INDEX(Python0831!$B$1:$BV$49,MATCH($D19,Python0831!$A$1:$A$49,0),MATCH(AO$5,Python0831!$B$1:$BV$1,0))</f>
        <v>15.0777666275967</v>
      </c>
      <c r="AP19" s="5">
        <f>INDEX(Python0831!$B$1:$BV$49,MATCH($D19,Python0831!$A$1:$A$49,0),MATCH(AP$5,Python0831!$B$1:$BV$1,0))</f>
        <v>18.5272924980776</v>
      </c>
      <c r="AQ19" s="5">
        <f>INDEX(Python0831!$B$1:$BV$49,MATCH($D19,Python0831!$A$1:$A$49,0),MATCH(AQ$5,Python0831!$B$1:$BV$1,0))</f>
        <v>108612</v>
      </c>
      <c r="AR19" s="5">
        <f>INDEX(Python0831!$B$1:$BV$49,MATCH($D19,Python0831!$A$1:$A$49,0),MATCH(AR$5,Python0831!$B$1:$BV$1,0))</f>
        <v>4650342.1030131197</v>
      </c>
      <c r="AS19" s="328">
        <f>INDEX(Python0831!$B$1:$BV$49,MATCH($D19,Python0831!$A$1:$A$49,0),MATCH(AS$5,Python0831!$B$1:$BV$1,0))</f>
        <v>8.1999999999999906E-2</v>
      </c>
      <c r="AT19" s="5">
        <f>INDEX(Python0831!$B$1:$BV$49,MATCH($D19,Python0831!$A$1:$A$49,0),MATCH(AT$5,Python0831!$B$1:$BV$1,0))</f>
        <v>1865.9829833834201</v>
      </c>
      <c r="AU19" s="7">
        <f>INDEX(Python0831!$B$1:$BV$49,MATCH($D19,Python0831!$A$1:$A$49,0),MATCH(AU$5,Python0831!$B$1:$BV$1,0))</f>
        <v>0.476190476190476</v>
      </c>
      <c r="AV19" s="5">
        <f>INDEX(Python0831!$B$1:$BV$49,MATCH($D19,Python0831!$A$1:$A$49,0),MATCH(AV$5,Python0831!$B$1:$BV$1,0))</f>
        <v>1920.92322926374</v>
      </c>
      <c r="AW19" s="5">
        <f>INDEX(Python0831!$B$1:$BV$49,MATCH($D19,Python0831!$A$1:$A$49,0),MATCH(AW$5,Python0831!$B$1:$BV$1,0))</f>
        <v>42.117377448493997</v>
      </c>
      <c r="AX19" s="5">
        <f>INDEX(Python0831!$B$1:$BV$49,MATCH($D19,Python0831!$A$1:$A$49,0),MATCH(AX$5,Python0831!$B$1:$BV$1,0))</f>
        <v>45.696970189327601</v>
      </c>
      <c r="AY19" s="329">
        <f>INDEX(Python0831!$B$1:$BV$49,MATCH($D19,Python0831!$A$1:$A$49,0),MATCH(AY$5,Python0831!$B$1:$BV$1,0))</f>
        <v>5.9999999999999995E-4</v>
      </c>
      <c r="AZ19" s="5">
        <f>INDEX(Python0831!$B$1:$BV$49,MATCH($D19,Python0831!$A$1:$A$49,0),MATCH(AZ$5,Python0831!$B$1:$BV$1,0))</f>
        <v>82.4</v>
      </c>
      <c r="BA19" s="5">
        <f>INDEX(Python0831!$B$1:$BV$49,MATCH($D19,Python0831!$A$1:$A$49,0),MATCH(BA$5,Python0831!$B$1:$BV$1,0))</f>
        <v>91.456823166300296</v>
      </c>
      <c r="BB19" s="5">
        <f>INDEX(Python0831!$B$1:$BV$49,MATCH($D19,Python0831!$A$1:$A$49,0),MATCH(BB$5,Python0831!$B$1:$BV$1,0))</f>
        <v>24.188487364298201</v>
      </c>
      <c r="BC19" s="5">
        <f>INDEX(Python0831!$B$1:$BV$49,MATCH($D19,Python0831!$A$1:$A$49,0),MATCH(BC$5,Python0831!$B$1:$BV$1,0))</f>
        <v>8306.2715313624103</v>
      </c>
      <c r="BD19" s="5">
        <f>INDEX(Python0831!$B$1:$BV$49,MATCH($D19,Python0831!$A$1:$A$49,0),MATCH(BD$5,Python0831!$B$1:$BV$1,0))</f>
        <v>77.657245447824494</v>
      </c>
      <c r="BE19" s="5">
        <f>INDEX(Python0831!$B$1:$BV$49,MATCH($D19,Python0831!$A$1:$A$49,0),MATCH(BE$5,Python0831!$B$1:$BV$1,0))</f>
        <v>14.8842294830905</v>
      </c>
      <c r="BF19" s="5">
        <f>INDEX(Python0831!$B$1:$BV$49,MATCH($D19,Python0831!$A$1:$A$49,0),MATCH(BF$5,Python0831!$B$1:$BV$1,0))</f>
        <v>23.417537267473602</v>
      </c>
      <c r="BG19" s="5">
        <f>INDEX(Python0831!$B$1:$BV$49,MATCH($D19,Python0831!$A$1:$A$49,0),MATCH(BG$5,Python0831!$B$1:$BV$1,0))</f>
        <v>50.042424242424197</v>
      </c>
      <c r="BH19" s="327">
        <f>INDEX(Python0831!$B$1:$BV$49,MATCH($D19,Python0831!$A$1:$A$49,0),MATCH(BH$5,Python0831!$B$1:$BV$1,0))</f>
        <v>0.45899999999999902</v>
      </c>
      <c r="BI19" s="327">
        <f>INDEX(Python0831!$B$1:$BV$49,MATCH($D19,Python0831!$A$1:$A$49,0),MATCH(BI$5,Python0831!$B$1:$BV$1,0))</f>
        <v>0.26187421275</v>
      </c>
      <c r="BJ19" s="5">
        <f>INDEX(Python0831!$B$1:$BV$49,MATCH($D19,Python0831!$A$1:$A$49,0),MATCH(BJ$5,Python0831!$B$1:$BV$1,0))</f>
        <v>4.7902502378799801</v>
      </c>
      <c r="BK19" s="5">
        <f>INDEX(Python0831!$B$1:$BV$49,MATCH($D19,Python0831!$A$1:$A$49,0),MATCH(BK$5,Python0831!$B$1:$BV$1,0))</f>
        <v>6.8</v>
      </c>
      <c r="BL19" s="7">
        <f>INDEX(Python0831!$B$1:$BV$49,MATCH($D19,Python0831!$A$1:$A$49,0),MATCH(BL$5,Python0831!$B$1:$BV$1,0))</f>
        <v>1.20296130204507</v>
      </c>
      <c r="BM19" s="5">
        <f>INDEX(Python0831!$B$1:$BV$49,MATCH($D19,Python0831!$A$1:$A$49,0),MATCH(BM$5,Python0831!$B$1:$BV$1,0))</f>
        <v>86.1</v>
      </c>
      <c r="BN19" s="5">
        <f>INDEX(Python0831!$B$1:$BV$49,MATCH($D19,Python0831!$A$1:$A$49,0),MATCH(BN$5,Python0831!$B$1:$BV$1,0))</f>
        <v>88.553722395446499</v>
      </c>
      <c r="BO19" s="5">
        <f>INDEX(Python0831!$B$1:$BV$49,MATCH($D19,Python0831!$A$1:$A$49,0),MATCH(BO$5,Python0831!$B$1:$BV$1,0))</f>
        <v>70.311885534421506</v>
      </c>
      <c r="BP19" s="5">
        <f>INDEX(Python0831!$B$1:$BV$49,MATCH($D19,Python0831!$A$1:$A$49,0),MATCH(BP$5,Python0831!$B$1:$BV$1,0))</f>
        <v>156.99999999999901</v>
      </c>
      <c r="BQ19" s="7">
        <f>INDEX(Python0831!$B$1:$BV$49,MATCH($D19,Python0831!$A$1:$A$49,0),MATCH(BQ$5,Python0831!$B$1:$BV$1,0))</f>
        <v>0.95464205558331205</v>
      </c>
      <c r="BR19" s="5">
        <f>INDEX(Python0831!$B$1:$BV$49,MATCH($D19,Python0831!$A$1:$A$49,0),MATCH(BR$5,Python0831!$B$1:$BV$1,0))</f>
        <v>18999443</v>
      </c>
      <c r="BS19" s="5">
        <f>INDEX(Python0831!$B$1:$BV$49,MATCH($D19,Python0831!$A$1:$A$49,0),MATCH(BS$5,Python0831!$B$1:$BV$1,0))</f>
        <v>177500</v>
      </c>
      <c r="BT19" s="8">
        <f>INDEX(Python0831!$B$1:$BV$49,MATCH($D19,Python0831!$A$1:$A$49,0),MATCH(BT$5,Python0831!$B$1:$BV$1,0))</f>
        <v>0.61433808033471604</v>
      </c>
      <c r="BU19" s="8">
        <f>INDEX(Python0831!$B$1:$BV$49,MATCH($D19,Python0831!$A$1:$A$49,0),MATCH(BU$5,Python0831!$B$1:$BV$1,0))</f>
        <v>0.76002747252747205</v>
      </c>
      <c r="BV19" s="5">
        <f>INDEX(Python0831!$B$1:$BV$49,MATCH($D19,Python0831!$A$1:$A$49,0),MATCH(BV$5,Python0831!$B$1:$BV$1,0))</f>
        <v>24.3752157892207</v>
      </c>
      <c r="BW19" s="5">
        <f>INDEX(Python0831!$B$1:$BV$49,MATCH($D19,Python0831!$A$1:$A$49,0),MATCH(BW$5,Python0831!$B$1:$BV$1,0))</f>
        <v>31.015000000000001</v>
      </c>
      <c r="BX19" s="382">
        <f>INDEX(Python0831!$B$1:$BV$49,MATCH($D19,Python0831!$A$1:$A$49,0),MATCH(BX$5,Python0831!$B$1:$BV$1,0))</f>
        <v>39.130434782608695</v>
      </c>
      <c r="BY19" s="5">
        <f>INDEX(Python0831!$B$1:$BV$49,MATCH($D19,Python0831!$A$1:$A$49,0),MATCH(BY$5,Python0831!$B$1:$BV$1,0))</f>
        <v>36.032164696768902</v>
      </c>
    </row>
    <row r="20" spans="1:77">
      <c r="A20" s="2">
        <v>15</v>
      </c>
      <c r="B20" s="58">
        <f>INDEX(順位表[Comprehensive],MATCH($C20,順位表['#],0))</f>
        <v>30</v>
      </c>
      <c r="C20" s="3">
        <v>15</v>
      </c>
      <c r="D20" s="1" t="str">
        <f>INDEX(都市マスタ[City Name],MATCH($C20,都市マスタ['#],0))</f>
        <v>Istanbul</v>
      </c>
      <c r="E20" s="5">
        <f>INDEX(Python0831!$B$1:$BV$49,MATCH($D20,Python0831!$A$1:$A$49,0),MATCH(E$5,Python0831!$B$1:$BV$1,0))</f>
        <v>15907951</v>
      </c>
      <c r="F20" s="5">
        <f>INDEX(Python0831!$B$1:$BV$49,MATCH($D20,Python0831!$A$1:$A$49,0),MATCH(F$5,Python0831!$B$1:$BV$1,0))</f>
        <v>5196</v>
      </c>
      <c r="G20" s="7">
        <f>INDEX(Python0831!$B$1:$BV$49,MATCH($D20,Python0831!$A$1:$A$49,0),MATCH(G$5,Python0831!$B$1:$BV$1,0))</f>
        <v>16.571999999999999</v>
      </c>
      <c r="H20" s="5">
        <f>INDEX(Python0831!$B$1:$BV$49,MATCH($D20,Python0831!$A$1:$A$49,0),MATCH(H$5,Python0831!$B$1:$BV$1,0))</f>
        <v>247322.095427174</v>
      </c>
      <c r="I20" s="5">
        <f>INDEX(Python0831!$B$1:$BV$49,MATCH($D20,Python0831!$A$1:$A$49,0),MATCH(I$5,Python0831!$B$1:$BV$1,0))</f>
        <v>15612.881555162499</v>
      </c>
      <c r="J20" s="328">
        <f>INDEX(Python0831!$B$1:$BV$49,MATCH($D20,Python0831!$A$1:$A$49,0),MATCH(J$5,Python0831!$B$1:$BV$1,0))</f>
        <v>0.10364093915054901</v>
      </c>
      <c r="K20" s="5">
        <f>INDEX(Python0831!$B$1:$BV$49,MATCH($D20,Python0831!$A$1:$A$49,0),MATCH(K$5,Python0831!$B$1:$BV$1,0))</f>
        <v>56.933333333333302</v>
      </c>
      <c r="L20" s="5">
        <f>INDEX(Python0831!$B$1:$BV$49,MATCH($D20,Python0831!$A$1:$A$49,0),MATCH(L$5,Python0831!$B$1:$BV$1,0))</f>
        <v>330011.02</v>
      </c>
      <c r="M20" s="5">
        <f>INDEX(Python0831!$B$1:$BV$49,MATCH($D20,Python0831!$A$1:$A$49,0),MATCH(M$5,Python0831!$B$1:$BV$1,0))</f>
        <v>54466.7</v>
      </c>
      <c r="N20" s="5">
        <f>INDEX(Python0831!$B$1:$BV$49,MATCH($D20,Python0831!$A$1:$A$49,0),MATCH(N$5,Python0831!$B$1:$BV$1,0))</f>
        <v>6279000</v>
      </c>
      <c r="O20" s="328">
        <f>INDEX(Python0831!$B$1:$BV$49,MATCH($D20,Python0831!$A$1:$A$49,0),MATCH(O$5,Python0831!$B$1:$BV$1,0))</f>
        <v>8.7343912591050898E-2</v>
      </c>
      <c r="P20" s="5">
        <f>INDEX(Python0831!$B$1:$BV$49,MATCH($D20,Python0831!$A$1:$A$49,0),MATCH(P$5,Python0831!$B$1:$BV$1,0))</f>
        <v>7.4932429417034898</v>
      </c>
      <c r="Q20" s="5">
        <f>INDEX(Python0831!$B$1:$BV$49,MATCH($D20,Python0831!$A$1:$A$49,0),MATCH(Q$5,Python0831!$B$1:$BV$1,0))</f>
        <v>14.1774891774891</v>
      </c>
      <c r="R20" s="5">
        <f>INDEX(Python0831!$B$1:$BV$49,MATCH($D20,Python0831!$A$1:$A$49,0),MATCH(R$5,Python0831!$B$1:$BV$1,0))</f>
        <v>7.6914500173711096</v>
      </c>
      <c r="S20" s="327">
        <f>INDEX(Python0831!$B$1:$BV$49,MATCH($D20,Python0831!$A$1:$A$49,0),MATCH(S$5,Python0831!$B$1:$BV$1,0))</f>
        <v>0.2</v>
      </c>
      <c r="T20" s="5">
        <f>INDEX(Python0831!$B$1:$BV$49,MATCH($D20,Python0831!$A$1:$A$49,0),MATCH(T$5,Python0831!$B$1:$BV$1,0))</f>
        <v>45.308031615329298</v>
      </c>
      <c r="U20" s="5">
        <f>INDEX(Python0831!$B$1:$BV$49,MATCH($D20,Python0831!$A$1:$A$49,0),MATCH(U$5,Python0831!$B$1:$BV$1,0))</f>
        <v>29735.774122077699</v>
      </c>
      <c r="V20" s="5">
        <f>INDEX(Python0831!$B$1:$BV$49,MATCH($D20,Python0831!$A$1:$A$49,0),MATCH(V$5,Python0831!$B$1:$BV$1,0))</f>
        <v>7</v>
      </c>
      <c r="W20" s="5">
        <f>INDEX(Python0831!$B$1:$BV$49,MATCH($D20,Python0831!$A$1:$A$49,0),MATCH(W$5,Python0831!$B$1:$BV$1,0))</f>
        <v>1568.4471101090001</v>
      </c>
      <c r="X20" s="5">
        <f>INDEX(Python0831!$B$1:$BV$49,MATCH($D20,Python0831!$A$1:$A$49,0),MATCH(X$5,Python0831!$B$1:$BV$1,0))</f>
        <v>7954.66</v>
      </c>
      <c r="Y20" s="5">
        <f>INDEX(Python0831!$B$1:$BV$49,MATCH($D20,Python0831!$A$1:$A$49,0),MATCH(Y$5,Python0831!$B$1:$BV$1,0))</f>
        <v>462.666666666666</v>
      </c>
      <c r="Z20" s="5">
        <f>INDEX(Python0831!$B$1:$BV$49,MATCH($D20,Python0831!$A$1:$A$49,0),MATCH(Z$5,Python0831!$B$1:$BV$1,0))</f>
        <v>384.45647463277402</v>
      </c>
      <c r="AA20" s="7">
        <f>INDEX(Python0831!$B$1:$BV$49,MATCH($D20,Python0831!$A$1:$A$49,0),MATCH(AA$5,Python0831!$B$1:$BV$1,0))</f>
        <v>0</v>
      </c>
      <c r="AB20" s="5">
        <f>INDEX(Python0831!$B$1:$BV$49,MATCH($D20,Python0831!$A$1:$A$49,0),MATCH(AB$5,Python0831!$B$1:$BV$1,0))</f>
        <v>163.333333333333</v>
      </c>
      <c r="AC20" s="5">
        <f>INDEX(Python0831!$B$1:$BV$49,MATCH($D20,Python0831!$A$1:$A$49,0),MATCH(AC$5,Python0831!$B$1:$BV$1,0))</f>
        <v>14</v>
      </c>
      <c r="AD20" s="5">
        <f>INDEX(Python0831!$B$1:$BV$49,MATCH($D20,Python0831!$A$1:$A$49,0),MATCH(AD$5,Python0831!$B$1:$BV$1,0))</f>
        <v>25</v>
      </c>
      <c r="AE20" s="5">
        <f>INDEX(Python0831!$B$1:$BV$49,MATCH($D20,Python0831!$A$1:$A$49,0),MATCH(AE$5,Python0831!$B$1:$BV$1,0))</f>
        <v>9.72153255631439</v>
      </c>
      <c r="AF20" s="5">
        <f>INDEX(Python0831!$B$1:$BV$49,MATCH($D20,Python0831!$A$1:$A$49,0),MATCH(AF$5,Python0831!$B$1:$BV$1,0))</f>
        <v>2.8776271273589602</v>
      </c>
      <c r="AG20" s="5">
        <f>INDEX(Python0831!$B$1:$BV$49,MATCH($D20,Python0831!$A$1:$A$49,0),MATCH(AG$5,Python0831!$B$1:$BV$1,0))</f>
        <v>63.484611698087797</v>
      </c>
      <c r="AH20" s="5">
        <f>INDEX(Python0831!$B$1:$BV$49,MATCH($D20,Python0831!$A$1:$A$49,0),MATCH(AH$5,Python0831!$B$1:$BV$1,0))</f>
        <v>3</v>
      </c>
      <c r="AI20" s="5">
        <f>INDEX(Python0831!$B$1:$BV$49,MATCH($D20,Python0831!$A$1:$A$49,0),MATCH(AI$5,Python0831!$B$1:$BV$1,0))</f>
        <v>42.446691355767797</v>
      </c>
      <c r="AJ20" s="5">
        <f>INDEX(Python0831!$B$1:$BV$49,MATCH($D20,Python0831!$A$1:$A$49,0),MATCH(AJ$5,Python0831!$B$1:$BV$1,0))</f>
        <v>70</v>
      </c>
      <c r="AK20" s="5">
        <f>INDEX(Python0831!$B$1:$BV$49,MATCH($D20,Python0831!$A$1:$A$49,0),MATCH(AK$5,Python0831!$B$1:$BV$1,0))</f>
        <v>50</v>
      </c>
      <c r="AL20" s="5">
        <f>INDEX(Python0831!$B$1:$BV$49,MATCH($D20,Python0831!$A$1:$A$49,0),MATCH(AL$5,Python0831!$B$1:$BV$1,0))</f>
        <v>10</v>
      </c>
      <c r="AM20" s="5">
        <f>INDEX(Python0831!$B$1:$BV$49,MATCH($D20,Python0831!$A$1:$A$49,0),MATCH(AM$5,Python0831!$B$1:$BV$1,0))</f>
        <v>91716</v>
      </c>
      <c r="AN20" s="5">
        <f>INDEX(Python0831!$B$1:$BV$49,MATCH($D20,Python0831!$A$1:$A$49,0),MATCH(AN$5,Python0831!$B$1:$BV$1,0))</f>
        <v>18166</v>
      </c>
      <c r="AO20" s="5">
        <f>INDEX(Python0831!$B$1:$BV$49,MATCH($D20,Python0831!$A$1:$A$49,0),MATCH(AO$5,Python0831!$B$1:$BV$1,0))</f>
        <v>66.484678863166394</v>
      </c>
      <c r="AP20" s="5">
        <f>INDEX(Python0831!$B$1:$BV$49,MATCH($D20,Python0831!$A$1:$A$49,0),MATCH(AP$5,Python0831!$B$1:$BV$1,0))</f>
        <v>35.904816042229101</v>
      </c>
      <c r="AQ20" s="5">
        <f>INDEX(Python0831!$B$1:$BV$49,MATCH($D20,Python0831!$A$1:$A$49,0),MATCH(AQ$5,Python0831!$B$1:$BV$1,0))</f>
        <v>740954</v>
      </c>
      <c r="AR20" s="5">
        <f>INDEX(Python0831!$B$1:$BV$49,MATCH($D20,Python0831!$A$1:$A$49,0),MATCH(AR$5,Python0831!$B$1:$BV$1,0))</f>
        <v>16018726</v>
      </c>
      <c r="AS20" s="328">
        <f>INDEX(Python0831!$B$1:$BV$49,MATCH($D20,Python0831!$A$1:$A$49,0),MATCH(AS$5,Python0831!$B$1:$BV$1,0))</f>
        <v>0.10199999999999999</v>
      </c>
      <c r="AT20" s="5">
        <f>INDEX(Python0831!$B$1:$BV$49,MATCH($D20,Python0831!$A$1:$A$49,0),MATCH(AT$5,Python0831!$B$1:$BV$1,0))</f>
        <v>2483.87553720408</v>
      </c>
      <c r="AU20" s="7">
        <f>INDEX(Python0831!$B$1:$BV$49,MATCH($D20,Python0831!$A$1:$A$49,0),MATCH(AU$5,Python0831!$B$1:$BV$1,0))</f>
        <v>7.2222222222222202E-2</v>
      </c>
      <c r="AV20" s="5">
        <f>INDEX(Python0831!$B$1:$BV$49,MATCH($D20,Python0831!$A$1:$A$49,0),MATCH(AV$5,Python0831!$B$1:$BV$1,0))</f>
        <v>2140.46439802336</v>
      </c>
      <c r="AW20" s="5">
        <f>INDEX(Python0831!$B$1:$BV$49,MATCH($D20,Python0831!$A$1:$A$49,0),MATCH(AW$5,Python0831!$B$1:$BV$1,0))</f>
        <v>25.085705925625302</v>
      </c>
      <c r="AX20" s="5">
        <f>INDEX(Python0831!$B$1:$BV$49,MATCH($D20,Python0831!$A$1:$A$49,0),MATCH(AX$5,Python0831!$B$1:$BV$1,0))</f>
        <v>25.489260143197999</v>
      </c>
      <c r="AY20" s="329">
        <f>INDEX(Python0831!$B$1:$BV$49,MATCH($D20,Python0831!$A$1:$A$49,0),MATCH(AY$5,Python0831!$B$1:$BV$1,0))</f>
        <v>8.9999999999999993E-3</v>
      </c>
      <c r="AZ20" s="5">
        <f>INDEX(Python0831!$B$1:$BV$49,MATCH($D20,Python0831!$A$1:$A$49,0),MATCH(AZ$5,Python0831!$B$1:$BV$1,0))</f>
        <v>78.599999999999994</v>
      </c>
      <c r="BA20" s="5">
        <f>INDEX(Python0831!$B$1:$BV$49,MATCH($D20,Python0831!$A$1:$A$49,0),MATCH(BA$5,Python0831!$B$1:$BV$1,0))</f>
        <v>14.918467113216</v>
      </c>
      <c r="BB20" s="5">
        <f>INDEX(Python0831!$B$1:$BV$49,MATCH($D20,Python0831!$A$1:$A$49,0),MATCH(BB$5,Python0831!$B$1:$BV$1,0))</f>
        <v>3.4302787379908701</v>
      </c>
      <c r="BC20" s="5">
        <f>INDEX(Python0831!$B$1:$BV$49,MATCH($D20,Python0831!$A$1:$A$49,0),MATCH(BC$5,Python0831!$B$1:$BV$1,0))</f>
        <v>2295.02863954128</v>
      </c>
      <c r="BD20" s="5">
        <f>INDEX(Python0831!$B$1:$BV$49,MATCH($D20,Python0831!$A$1:$A$49,0),MATCH(BD$5,Python0831!$B$1:$BV$1,0))</f>
        <v>57.110417581285297</v>
      </c>
      <c r="BE20" s="5">
        <f>INDEX(Python0831!$B$1:$BV$49,MATCH($D20,Python0831!$A$1:$A$49,0),MATCH(BE$5,Python0831!$B$1:$BV$1,0))</f>
        <v>74.0907237282415</v>
      </c>
      <c r="BF20" s="5">
        <f>INDEX(Python0831!$B$1:$BV$49,MATCH($D20,Python0831!$A$1:$A$49,0),MATCH(BF$5,Python0831!$B$1:$BV$1,0))</f>
        <v>41.540999189362601</v>
      </c>
      <c r="BG20" s="5">
        <f>INDEX(Python0831!$B$1:$BV$49,MATCH($D20,Python0831!$A$1:$A$49,0),MATCH(BG$5,Python0831!$B$1:$BV$1,0))</f>
        <v>49.466666666666598</v>
      </c>
      <c r="BH20" s="327">
        <f>INDEX(Python0831!$B$1:$BV$49,MATCH($D20,Python0831!$A$1:$A$49,0),MATCH(BH$5,Python0831!$B$1:$BV$1,0))</f>
        <v>0.15240000000000001</v>
      </c>
      <c r="BI20" s="327">
        <f>INDEX(Python0831!$B$1:$BV$49,MATCH($D20,Python0831!$A$1:$A$49,0),MATCH(BI$5,Python0831!$B$1:$BV$1,0))</f>
        <v>0.11984579519999999</v>
      </c>
      <c r="BJ20" s="5">
        <f>INDEX(Python0831!$B$1:$BV$49,MATCH($D20,Python0831!$A$1:$A$49,0),MATCH(BJ$5,Python0831!$B$1:$BV$1,0))</f>
        <v>7.5325950582885799</v>
      </c>
      <c r="BK20" s="5">
        <f>INDEX(Python0831!$B$1:$BV$49,MATCH($D20,Python0831!$A$1:$A$49,0),MATCH(BK$5,Python0831!$B$1:$BV$1,0))</f>
        <v>17.899999999999999</v>
      </c>
      <c r="BL20" s="7">
        <f>INDEX(Python0831!$B$1:$BV$49,MATCH($D20,Python0831!$A$1:$A$49,0),MATCH(BL$5,Python0831!$B$1:$BV$1,0))</f>
        <v>0.79924760601915101</v>
      </c>
      <c r="BM20" s="5">
        <f>INDEX(Python0831!$B$1:$BV$49,MATCH($D20,Python0831!$A$1:$A$49,0),MATCH(BM$5,Python0831!$B$1:$BV$1,0))</f>
        <v>43.6</v>
      </c>
      <c r="BN20" s="5">
        <f>INDEX(Python0831!$B$1:$BV$49,MATCH($D20,Python0831!$A$1:$A$49,0),MATCH(BN$5,Python0831!$B$1:$BV$1,0))</f>
        <v>49.709355268923296</v>
      </c>
      <c r="BO20" s="5">
        <f>INDEX(Python0831!$B$1:$BV$49,MATCH($D20,Python0831!$A$1:$A$49,0),MATCH(BO$5,Python0831!$B$1:$BV$1,0))</f>
        <v>34.5005752865939</v>
      </c>
      <c r="BP20" s="5">
        <f>INDEX(Python0831!$B$1:$BV$49,MATCH($D20,Python0831!$A$1:$A$49,0),MATCH(BP$5,Python0831!$B$1:$BV$1,0))</f>
        <v>269.99999999999602</v>
      </c>
      <c r="BQ20" s="7">
        <f>INDEX(Python0831!$B$1:$BV$49,MATCH($D20,Python0831!$A$1:$A$49,0),MATCH(BQ$5,Python0831!$B$1:$BV$1,0))</f>
        <v>16.879752334315199</v>
      </c>
      <c r="BR20" s="5">
        <f>INDEX(Python0831!$B$1:$BV$49,MATCH($D20,Python0831!$A$1:$A$49,0),MATCH(BR$5,Python0831!$B$1:$BV$1,0))</f>
        <v>95069464</v>
      </c>
      <c r="BS20" s="5">
        <f>INDEX(Python0831!$B$1:$BV$49,MATCH($D20,Python0831!$A$1:$A$49,0),MATCH(BS$5,Python0831!$B$1:$BV$1,0))</f>
        <v>619628</v>
      </c>
      <c r="BT20" s="8">
        <f>INDEX(Python0831!$B$1:$BV$49,MATCH($D20,Python0831!$A$1:$A$49,0),MATCH(BT$5,Python0831!$B$1:$BV$1,0))</f>
        <v>0.47109863155200998</v>
      </c>
      <c r="BU20" s="8">
        <f>INDEX(Python0831!$B$1:$BV$49,MATCH($D20,Python0831!$A$1:$A$49,0),MATCH(BU$5,Python0831!$B$1:$BV$1,0))</f>
        <v>0.36672738312082498</v>
      </c>
      <c r="BV20" s="5">
        <f>INDEX(Python0831!$B$1:$BV$49,MATCH($D20,Python0831!$A$1:$A$49,0),MATCH(BV$5,Python0831!$B$1:$BV$1,0))</f>
        <v>43.237670194501099</v>
      </c>
      <c r="BW20" s="5">
        <f>INDEX(Python0831!$B$1:$BV$49,MATCH($D20,Python0831!$A$1:$A$49,0),MATCH(BW$5,Python0831!$B$1:$BV$1,0))</f>
        <v>44.44</v>
      </c>
      <c r="BX20" s="382">
        <f>INDEX(Python0831!$B$1:$BV$49,MATCH($D20,Python0831!$A$1:$A$49,0),MATCH(BX$5,Python0831!$B$1:$BV$1,0))</f>
        <v>29.032258064516128</v>
      </c>
      <c r="BY20" s="5">
        <f>INDEX(Python0831!$B$1:$BV$49,MATCH($D20,Python0831!$A$1:$A$49,0),MATCH(BY$5,Python0831!$B$1:$BV$1,0))</f>
        <v>56.9029868286839</v>
      </c>
    </row>
    <row r="21" spans="1:77">
      <c r="A21" s="2">
        <v>16</v>
      </c>
      <c r="B21" s="58">
        <f>INDEX(順位表[Comprehensive],MATCH($C21,順位表['#],0))</f>
        <v>47</v>
      </c>
      <c r="C21" s="3">
        <v>16</v>
      </c>
      <c r="D21" s="1" t="str">
        <f>INDEX(都市マスタ[City Name],MATCH($C21,都市マスタ['#],0))</f>
        <v>Cairo</v>
      </c>
      <c r="E21" s="5">
        <f>INDEX(Python0831!$B$1:$BV$49,MATCH($D21,Python0831!$A$1:$A$49,0),MATCH(E$5,Python0831!$B$1:$BV$1,0))</f>
        <v>10100166</v>
      </c>
      <c r="F21" s="5">
        <f>INDEX(Python0831!$B$1:$BV$49,MATCH($D21,Python0831!$A$1:$A$49,0),MATCH(F$5,Python0831!$B$1:$BV$1,0))</f>
        <v>3085.1</v>
      </c>
      <c r="G21" s="7">
        <f>INDEX(Python0831!$B$1:$BV$49,MATCH($D21,Python0831!$A$1:$A$49,0),MATCH(G$5,Python0831!$B$1:$BV$1,0))</f>
        <v>19.207999999999998</v>
      </c>
      <c r="H21" s="5">
        <f>INDEX(Python0831!$B$1:$BV$49,MATCH($D21,Python0831!$A$1:$A$49,0),MATCH(H$5,Python0831!$B$1:$BV$1,0))</f>
        <v>37551.536510575199</v>
      </c>
      <c r="I21" s="5">
        <f>INDEX(Python0831!$B$1:$BV$49,MATCH($D21,Python0831!$A$1:$A$49,0),MATCH(I$5,Python0831!$B$1:$BV$1,0))</f>
        <v>3745.5437095619</v>
      </c>
      <c r="J21" s="328">
        <f>INDEX(Python0831!$B$1:$BV$49,MATCH($D21,Python0831!$A$1:$A$49,0),MATCH(J$5,Python0831!$B$1:$BV$1,0))</f>
        <v>5.4722071846704301E-2</v>
      </c>
      <c r="K21" s="5">
        <f>INDEX(Python0831!$B$1:$BV$49,MATCH($D21,Python0831!$A$1:$A$49,0),MATCH(K$5,Python0831!$B$1:$BV$1,0))</f>
        <v>49.55</v>
      </c>
      <c r="L21" s="5">
        <f>INDEX(Python0831!$B$1:$BV$49,MATCH($D21,Python0831!$A$1:$A$49,0),MATCH(L$5,Python0831!$B$1:$BV$1,0))</f>
        <v>38852.959999999999</v>
      </c>
      <c r="M21" s="5">
        <f>INDEX(Python0831!$B$1:$BV$49,MATCH($D21,Python0831!$A$1:$A$49,0),MATCH(M$5,Python0831!$B$1:$BV$1,0))</f>
        <v>0</v>
      </c>
      <c r="N21" s="5">
        <f>INDEX(Python0831!$B$1:$BV$49,MATCH($D21,Python0831!$A$1:$A$49,0),MATCH(N$5,Python0831!$B$1:$BV$1,0))</f>
        <v>2663300</v>
      </c>
      <c r="O21" s="328">
        <f>INDEX(Python0831!$B$1:$BV$49,MATCH($D21,Python0831!$A$1:$A$49,0),MATCH(O$5,Python0831!$B$1:$BV$1,0))</f>
        <v>9.4769646678932104E-2</v>
      </c>
      <c r="P21" s="5">
        <f>INDEX(Python0831!$B$1:$BV$49,MATCH($D21,Python0831!$A$1:$A$49,0),MATCH(P$5,Python0831!$B$1:$BV$1,0))</f>
        <v>0</v>
      </c>
      <c r="Q21" s="5">
        <f>INDEX(Python0831!$B$1:$BV$49,MATCH($D21,Python0831!$A$1:$A$49,0),MATCH(Q$5,Python0831!$B$1:$BV$1,0))</f>
        <v>5.7395428330282696</v>
      </c>
      <c r="R21" s="5">
        <f>INDEX(Python0831!$B$1:$BV$49,MATCH($D21,Python0831!$A$1:$A$49,0),MATCH(R$5,Python0831!$B$1:$BV$1,0))</f>
        <v>2.8823981552651801</v>
      </c>
      <c r="S21" s="327">
        <f>INDEX(Python0831!$B$1:$BV$49,MATCH($D21,Python0831!$A$1:$A$49,0),MATCH(S$5,Python0831!$B$1:$BV$1,0))</f>
        <v>0.22500000000000001</v>
      </c>
      <c r="T21" s="5">
        <f>INDEX(Python0831!$B$1:$BV$49,MATCH($D21,Python0831!$A$1:$A$49,0),MATCH(T$5,Python0831!$B$1:$BV$1,0))</f>
        <v>17.219418338762399</v>
      </c>
      <c r="U21" s="5">
        <f>INDEX(Python0831!$B$1:$BV$49,MATCH($D21,Python0831!$A$1:$A$49,0),MATCH(U$5,Python0831!$B$1:$BV$1,0))</f>
        <v>8560.8562538874703</v>
      </c>
      <c r="V21" s="5">
        <f>INDEX(Python0831!$B$1:$BV$49,MATCH($D21,Python0831!$A$1:$A$49,0),MATCH(V$5,Python0831!$B$1:$BV$1,0))</f>
        <v>6</v>
      </c>
      <c r="W21" s="5">
        <f>INDEX(Python0831!$B$1:$BV$49,MATCH($D21,Python0831!$A$1:$A$49,0),MATCH(W$5,Python0831!$B$1:$BV$1,0))</f>
        <v>379.291649530624</v>
      </c>
      <c r="X21" s="5">
        <f>INDEX(Python0831!$B$1:$BV$49,MATCH($D21,Python0831!$A$1:$A$49,0),MATCH(X$5,Python0831!$B$1:$BV$1,0))</f>
        <v>38443.5</v>
      </c>
      <c r="Y21" s="5">
        <f>INDEX(Python0831!$B$1:$BV$49,MATCH($D21,Python0831!$A$1:$A$49,0),MATCH(Y$5,Python0831!$B$1:$BV$1,0))</f>
        <v>373.93340415516599</v>
      </c>
      <c r="Z21" s="5">
        <f>INDEX(Python0831!$B$1:$BV$49,MATCH($D21,Python0831!$A$1:$A$49,0),MATCH(Z$5,Python0831!$B$1:$BV$1,0))</f>
        <v>54.258012798900097</v>
      </c>
      <c r="AA21" s="7">
        <f>INDEX(Python0831!$B$1:$BV$49,MATCH($D21,Python0831!$A$1:$A$49,0),MATCH(AA$5,Python0831!$B$1:$BV$1,0))</f>
        <v>0</v>
      </c>
      <c r="AB21" s="5">
        <f>INDEX(Python0831!$B$1:$BV$49,MATCH($D21,Python0831!$A$1:$A$49,0),MATCH(AB$5,Python0831!$B$1:$BV$1,0))</f>
        <v>99</v>
      </c>
      <c r="AC21" s="5">
        <f>INDEX(Python0831!$B$1:$BV$49,MATCH($D21,Python0831!$A$1:$A$49,0),MATCH(AC$5,Python0831!$B$1:$BV$1,0))</f>
        <v>3</v>
      </c>
      <c r="AD21" s="5">
        <f>INDEX(Python0831!$B$1:$BV$49,MATCH($D21,Python0831!$A$1:$A$49,0),MATCH(AD$5,Python0831!$B$1:$BV$1,0))</f>
        <v>17.1875</v>
      </c>
      <c r="AE21" s="5">
        <f>INDEX(Python0831!$B$1:$BV$49,MATCH($D21,Python0831!$A$1:$A$49,0),MATCH(AE$5,Python0831!$B$1:$BV$1,0))</f>
        <v>0.21970337912663801</v>
      </c>
      <c r="AF21" s="5">
        <f>INDEX(Python0831!$B$1:$BV$49,MATCH($D21,Python0831!$A$1:$A$49,0),MATCH(AF$5,Python0831!$B$1:$BV$1,0))</f>
        <v>0</v>
      </c>
      <c r="AG21" s="5">
        <f>INDEX(Python0831!$B$1:$BV$49,MATCH($D21,Python0831!$A$1:$A$49,0),MATCH(AG$5,Python0831!$B$1:$BV$1,0))</f>
        <v>52.954505968188499</v>
      </c>
      <c r="AH21" s="5">
        <f>INDEX(Python0831!$B$1:$BV$49,MATCH($D21,Python0831!$A$1:$A$49,0),MATCH(AH$5,Python0831!$B$1:$BV$1,0))</f>
        <v>5</v>
      </c>
      <c r="AI21" s="5">
        <f>INDEX(Python0831!$B$1:$BV$49,MATCH($D21,Python0831!$A$1:$A$49,0),MATCH(AI$5,Python0831!$B$1:$BV$1,0))</f>
        <v>37.869197845253701</v>
      </c>
      <c r="AJ21" s="5">
        <f>INDEX(Python0831!$B$1:$BV$49,MATCH($D21,Python0831!$A$1:$A$49,0),MATCH(AJ$5,Python0831!$B$1:$BV$1,0))</f>
        <v>7.5</v>
      </c>
      <c r="AK21" s="5">
        <f>INDEX(Python0831!$B$1:$BV$49,MATCH($D21,Python0831!$A$1:$A$49,0),MATCH(AK$5,Python0831!$B$1:$BV$1,0))</f>
        <v>36</v>
      </c>
      <c r="AL21" s="5">
        <f>INDEX(Python0831!$B$1:$BV$49,MATCH($D21,Python0831!$A$1:$A$49,0),MATCH(AL$5,Python0831!$B$1:$BV$1,0))</f>
        <v>10</v>
      </c>
      <c r="AM21" s="5">
        <f>INDEX(Python0831!$B$1:$BV$49,MATCH($D21,Python0831!$A$1:$A$49,0),MATCH(AM$5,Python0831!$B$1:$BV$1,0))</f>
        <v>18811</v>
      </c>
      <c r="AN21" s="5">
        <f>INDEX(Python0831!$B$1:$BV$49,MATCH($D21,Python0831!$A$1:$A$49,0),MATCH(AN$5,Python0831!$B$1:$BV$1,0))</f>
        <v>9682</v>
      </c>
      <c r="AO21" s="5">
        <f>INDEX(Python0831!$B$1:$BV$49,MATCH($D21,Python0831!$A$1:$A$49,0),MATCH(AO$5,Python0831!$B$1:$BV$1,0))</f>
        <v>30.765140669643799</v>
      </c>
      <c r="AP21" s="5">
        <f>INDEX(Python0831!$B$1:$BV$49,MATCH($D21,Python0831!$A$1:$A$49,0),MATCH(AP$5,Python0831!$B$1:$BV$1,0))</f>
        <v>21.488355984480801</v>
      </c>
      <c r="AQ21" s="5">
        <f>INDEX(Python0831!$B$1:$BV$49,MATCH($D21,Python0831!$A$1:$A$49,0),MATCH(AQ$5,Python0831!$B$1:$BV$1,0))</f>
        <v>52857.797014662698</v>
      </c>
      <c r="AR21" s="5">
        <f>INDEX(Python0831!$B$1:$BV$49,MATCH($D21,Python0831!$A$1:$A$49,0),MATCH(AR$5,Python0831!$B$1:$BV$1,0))</f>
        <v>1036619.07331794</v>
      </c>
      <c r="AS21" s="328">
        <f>INDEX(Python0831!$B$1:$BV$49,MATCH($D21,Python0831!$A$1:$A$49,0),MATCH(AS$5,Python0831!$B$1:$BV$1,0))</f>
        <v>0.13699999999999901</v>
      </c>
      <c r="AT21" s="5">
        <f>INDEX(Python0831!$B$1:$BV$49,MATCH($D21,Python0831!$A$1:$A$49,0),MATCH(AT$5,Python0831!$B$1:$BV$1,0))</f>
        <v>2070.0657387518499</v>
      </c>
      <c r="AU21" s="7">
        <f>INDEX(Python0831!$B$1:$BV$49,MATCH($D21,Python0831!$A$1:$A$49,0),MATCH(AU$5,Python0831!$B$1:$BV$1,0))</f>
        <v>-8.8541666666666602E-2</v>
      </c>
      <c r="AV21" s="5">
        <f>INDEX(Python0831!$B$1:$BV$49,MATCH($D21,Python0831!$A$1:$A$49,0),MATCH(AV$5,Python0831!$B$1:$BV$1,0))</f>
        <v>419.39670000637</v>
      </c>
      <c r="AW21" s="5">
        <f>INDEX(Python0831!$B$1:$BV$49,MATCH($D21,Python0831!$A$1:$A$49,0),MATCH(AW$5,Python0831!$B$1:$BV$1,0))</f>
        <v>28.446722917816299</v>
      </c>
      <c r="AX21" s="5">
        <f>INDEX(Python0831!$B$1:$BV$49,MATCH($D21,Python0831!$A$1:$A$49,0),MATCH(AX$5,Python0831!$B$1:$BV$1,0))</f>
        <v>10.2596970733912</v>
      </c>
      <c r="AY21" s="329">
        <f>INDEX(Python0831!$B$1:$BV$49,MATCH($D21,Python0831!$A$1:$A$49,0),MATCH(AY$5,Python0831!$B$1:$BV$1,0))</f>
        <v>2.8999999999999998E-3</v>
      </c>
      <c r="AZ21" s="5">
        <f>INDEX(Python0831!$B$1:$BV$49,MATCH($D21,Python0831!$A$1:$A$49,0),MATCH(AZ$5,Python0831!$B$1:$BV$1,0))</f>
        <v>71.8</v>
      </c>
      <c r="BA21" s="5">
        <f>INDEX(Python0831!$B$1:$BV$49,MATCH($D21,Python0831!$A$1:$A$49,0),MATCH(BA$5,Python0831!$B$1:$BV$1,0))</f>
        <v>7.1630543767363397</v>
      </c>
      <c r="BB21" s="5">
        <f>INDEX(Python0831!$B$1:$BV$49,MATCH($D21,Python0831!$A$1:$A$49,0),MATCH(BB$5,Python0831!$B$1:$BV$1,0))</f>
        <v>6.1285848064738202</v>
      </c>
      <c r="BC21" s="5">
        <f>INDEX(Python0831!$B$1:$BV$49,MATCH($D21,Python0831!$A$1:$A$49,0),MATCH(BC$5,Python0831!$B$1:$BV$1,0))</f>
        <v>783.11265160417099</v>
      </c>
      <c r="BD21" s="5">
        <f>INDEX(Python0831!$B$1:$BV$49,MATCH($D21,Python0831!$A$1:$A$49,0),MATCH(BD$5,Python0831!$B$1:$BV$1,0))</f>
        <v>56.081471137462501</v>
      </c>
      <c r="BE21" s="5">
        <f>INDEX(Python0831!$B$1:$BV$49,MATCH($D21,Python0831!$A$1:$A$49,0),MATCH(BE$5,Python0831!$B$1:$BV$1,0))</f>
        <v>49.264861152550601</v>
      </c>
      <c r="BF21" s="5">
        <f>INDEX(Python0831!$B$1:$BV$49,MATCH($D21,Python0831!$A$1:$A$49,0),MATCH(BF$5,Python0831!$B$1:$BV$1,0))</f>
        <v>35.415141384417701</v>
      </c>
      <c r="BG21" s="5">
        <f>INDEX(Python0831!$B$1:$BV$49,MATCH($D21,Python0831!$A$1:$A$49,0),MATCH(BG$5,Python0831!$B$1:$BV$1,0))</f>
        <v>0</v>
      </c>
      <c r="BH21" s="327">
        <f>INDEX(Python0831!$B$1:$BV$49,MATCH($D21,Python0831!$A$1:$A$49,0),MATCH(BH$5,Python0831!$B$1:$BV$1,0))</f>
        <v>6.2100000000000002E-2</v>
      </c>
      <c r="BI21" s="327">
        <f>INDEX(Python0831!$B$1:$BV$49,MATCH($D21,Python0831!$A$1:$A$49,0),MATCH(BI$5,Python0831!$B$1:$BV$1,0))</f>
        <v>2.1029219547160201E-2</v>
      </c>
      <c r="BJ21" s="5">
        <f>INDEX(Python0831!$B$1:$BV$49,MATCH($D21,Python0831!$A$1:$A$49,0),MATCH(BJ$5,Python0831!$B$1:$BV$1,0))</f>
        <v>1.8065977476100199</v>
      </c>
      <c r="BK21" s="5">
        <f>INDEX(Python0831!$B$1:$BV$49,MATCH($D21,Python0831!$A$1:$A$49,0),MATCH(BK$5,Python0831!$B$1:$BV$1,0))</f>
        <v>47.4</v>
      </c>
      <c r="BL21" s="7">
        <f>INDEX(Python0831!$B$1:$BV$49,MATCH($D21,Python0831!$A$1:$A$49,0),MATCH(BL$5,Python0831!$B$1:$BV$1,0))</f>
        <v>0.72374013357619904</v>
      </c>
      <c r="BM21" s="5">
        <f>INDEX(Python0831!$B$1:$BV$49,MATCH($D21,Python0831!$A$1:$A$49,0),MATCH(BM$5,Python0831!$B$1:$BV$1,0))</f>
        <v>25.6</v>
      </c>
      <c r="BN21" s="5">
        <f>INDEX(Python0831!$B$1:$BV$49,MATCH($D21,Python0831!$A$1:$A$49,0),MATCH(BN$5,Python0831!$B$1:$BV$1,0))</f>
        <v>0.11934640039731099</v>
      </c>
      <c r="BO21" s="5">
        <f>INDEX(Python0831!$B$1:$BV$49,MATCH($D21,Python0831!$A$1:$A$49,0),MATCH(BO$5,Python0831!$B$1:$BV$1,0))</f>
        <v>28.231719292351698</v>
      </c>
      <c r="BP21" s="5">
        <f>INDEX(Python0831!$B$1:$BV$49,MATCH($D21,Python0831!$A$1:$A$49,0),MATCH(BP$5,Python0831!$B$1:$BV$1,0))</f>
        <v>143.00000000000099</v>
      </c>
      <c r="BQ21" s="7">
        <f>INDEX(Python0831!$B$1:$BV$49,MATCH($D21,Python0831!$A$1:$A$49,0),MATCH(BQ$5,Python0831!$B$1:$BV$1,0))</f>
        <v>3.6669574539188998</v>
      </c>
      <c r="BR21" s="5">
        <f>INDEX(Python0831!$B$1:$BV$49,MATCH($D21,Python0831!$A$1:$A$49,0),MATCH(BR$5,Python0831!$B$1:$BV$1,0))</f>
        <v>20009336</v>
      </c>
      <c r="BS21" s="5">
        <f>INDEX(Python0831!$B$1:$BV$49,MATCH($D21,Python0831!$A$1:$A$49,0),MATCH(BS$5,Python0831!$B$1:$BV$1,0))</f>
        <v>154276</v>
      </c>
      <c r="BT21" s="8">
        <f>INDEX(Python0831!$B$1:$BV$49,MATCH($D21,Python0831!$A$1:$A$49,0),MATCH(BT$5,Python0831!$B$1:$BV$1,0))</f>
        <v>0.190985931710274</v>
      </c>
      <c r="BU21" s="8">
        <f>INDEX(Python0831!$B$1:$BV$49,MATCH($D21,Python0831!$A$1:$A$49,0),MATCH(BU$5,Python0831!$B$1:$BV$1,0))</f>
        <v>0.24639187160835899</v>
      </c>
      <c r="BV21" s="5">
        <f>INDEX(Python0831!$B$1:$BV$49,MATCH($D21,Python0831!$A$1:$A$49,0),MATCH(BV$5,Python0831!$B$1:$BV$1,0))</f>
        <v>24</v>
      </c>
      <c r="BW21" s="5">
        <f>INDEX(Python0831!$B$1:$BV$49,MATCH($D21,Python0831!$A$1:$A$49,0),MATCH(BW$5,Python0831!$B$1:$BV$1,0))</f>
        <v>42.667499999999997</v>
      </c>
      <c r="BX21" s="382">
        <f>INDEX(Python0831!$B$1:$BV$49,MATCH($D21,Python0831!$A$1:$A$49,0),MATCH(BX$5,Python0831!$B$1:$BV$1,0))</f>
        <v>28.125</v>
      </c>
      <c r="BY21" s="5">
        <f>INDEX(Python0831!$B$1:$BV$49,MATCH($D21,Python0831!$A$1:$A$49,0),MATCH(BY$5,Python0831!$B$1:$BV$1,0))</f>
        <v>58.516195155052898</v>
      </c>
    </row>
    <row r="22" spans="1:77">
      <c r="A22" s="2">
        <v>17</v>
      </c>
      <c r="B22" s="58">
        <f>INDEX(順位表[Comprehensive],MATCH($C22,順位表['#],0))</f>
        <v>34</v>
      </c>
      <c r="C22" s="3">
        <v>17</v>
      </c>
      <c r="D22" s="1" t="str">
        <f>INDEX(都市マスタ[City Name],MATCH($C22,都市マスタ['#],0))</f>
        <v>Moscow</v>
      </c>
      <c r="E22" s="5">
        <f>INDEX(Python0831!$B$1:$BV$49,MATCH($D22,Python0831!$A$1:$A$49,0),MATCH(E$5,Python0831!$B$1:$BV$1,0))</f>
        <v>13015126</v>
      </c>
      <c r="F22" s="5">
        <f>INDEX(Python0831!$B$1:$BV$49,MATCH($D22,Python0831!$A$1:$A$49,0),MATCH(F$5,Python0831!$B$1:$BV$1,0))</f>
        <v>2511</v>
      </c>
      <c r="G22" s="7">
        <f>INDEX(Python0831!$B$1:$BV$49,MATCH($D22,Python0831!$A$1:$A$49,0),MATCH(G$5,Python0831!$B$1:$BV$1,0))</f>
        <v>69.896000000000001</v>
      </c>
      <c r="H22" s="5">
        <f>INDEX(Python0831!$B$1:$BV$49,MATCH($D22,Python0831!$A$1:$A$49,0),MATCH(H$5,Python0831!$B$1:$BV$1,0))</f>
        <v>319514.35342055501</v>
      </c>
      <c r="I22" s="5">
        <f>INDEX(Python0831!$B$1:$BV$49,MATCH($D22,Python0831!$A$1:$A$49,0),MATCH(I$5,Python0831!$B$1:$BV$1,0))</f>
        <v>25247.972423700801</v>
      </c>
      <c r="J22" s="328">
        <f>INDEX(Python0831!$B$1:$BV$49,MATCH($D22,Python0831!$A$1:$A$49,0),MATCH(J$5,Python0831!$B$1:$BV$1,0))</f>
        <v>3.0639835001034999E-2</v>
      </c>
      <c r="K22" s="5">
        <f>INDEX(Python0831!$B$1:$BV$49,MATCH($D22,Python0831!$A$1:$A$49,0),MATCH(K$5,Python0831!$B$1:$BV$1,0))</f>
        <v>53.841666666666598</v>
      </c>
      <c r="L22" s="5">
        <f>INDEX(Python0831!$B$1:$BV$49,MATCH($D22,Python0831!$A$1:$A$49,0),MATCH(L$5,Python0831!$B$1:$BV$1,0))</f>
        <v>530104.32999999996</v>
      </c>
      <c r="M22" s="5">
        <f>INDEX(Python0831!$B$1:$BV$49,MATCH($D22,Python0831!$A$1:$A$49,0),MATCH(M$5,Python0831!$B$1:$BV$1,0))</f>
        <v>55876.9</v>
      </c>
      <c r="N22" s="5">
        <f>INDEX(Python0831!$B$1:$BV$49,MATCH($D22,Python0831!$A$1:$A$49,0),MATCH(N$5,Python0831!$B$1:$BV$1,0))</f>
        <v>7144390</v>
      </c>
      <c r="O22" s="328">
        <f>INDEX(Python0831!$B$1:$BV$49,MATCH($D22,Python0831!$A$1:$A$49,0),MATCH(O$5,Python0831!$B$1:$BV$1,0))</f>
        <v>0.10066020307278301</v>
      </c>
      <c r="P22" s="5">
        <f>INDEX(Python0831!$B$1:$BV$49,MATCH($D22,Python0831!$A$1:$A$49,0),MATCH(P$5,Python0831!$B$1:$BV$1,0))</f>
        <v>16.6131214484776</v>
      </c>
      <c r="Q22" s="5">
        <f>INDEX(Python0831!$B$1:$BV$49,MATCH($D22,Python0831!$A$1:$A$49,0),MATCH(Q$5,Python0831!$B$1:$BV$1,0))</f>
        <v>30.1454596901633</v>
      </c>
      <c r="R22" s="5">
        <f>INDEX(Python0831!$B$1:$BV$49,MATCH($D22,Python0831!$A$1:$A$49,0),MATCH(R$5,Python0831!$B$1:$BV$1,0))</f>
        <v>13.9116867572881</v>
      </c>
      <c r="S22" s="327">
        <f>INDEX(Python0831!$B$1:$BV$49,MATCH($D22,Python0831!$A$1:$A$49,0),MATCH(S$5,Python0831!$B$1:$BV$1,0))</f>
        <v>0.2</v>
      </c>
      <c r="T22" s="5">
        <f>INDEX(Python0831!$B$1:$BV$49,MATCH($D22,Python0831!$A$1:$A$49,0),MATCH(T$5,Python0831!$B$1:$BV$1,0))</f>
        <v>35.503273525816802</v>
      </c>
      <c r="U22" s="5">
        <f>INDEX(Python0831!$B$1:$BV$49,MATCH($D22,Python0831!$A$1:$A$49,0),MATCH(U$5,Python0831!$B$1:$BV$1,0))</f>
        <v>39974.9095526452</v>
      </c>
      <c r="V22" s="5">
        <f>INDEX(Python0831!$B$1:$BV$49,MATCH($D22,Python0831!$A$1:$A$49,0),MATCH(V$5,Python0831!$B$1:$BV$1,0))</f>
        <v>47</v>
      </c>
      <c r="W22" s="5">
        <f>INDEX(Python0831!$B$1:$BV$49,MATCH($D22,Python0831!$A$1:$A$49,0),MATCH(W$5,Python0831!$B$1:$BV$1,0))</f>
        <v>1630.5162189463699</v>
      </c>
      <c r="X22" s="5">
        <f>INDEX(Python0831!$B$1:$BV$49,MATCH($D22,Python0831!$A$1:$A$49,0),MATCH(X$5,Python0831!$B$1:$BV$1,0))</f>
        <v>36343.72</v>
      </c>
      <c r="Y22" s="5">
        <f>INDEX(Python0831!$B$1:$BV$49,MATCH($D22,Python0831!$A$1:$A$49,0),MATCH(Y$5,Python0831!$B$1:$BV$1,0))</f>
        <v>481.666666666666</v>
      </c>
      <c r="Z22" s="5">
        <f>INDEX(Python0831!$B$1:$BV$49,MATCH($D22,Python0831!$A$1:$A$49,0),MATCH(Z$5,Python0831!$B$1:$BV$1,0))</f>
        <v>3251.83300022294</v>
      </c>
      <c r="AA22" s="7">
        <f>INDEX(Python0831!$B$1:$BV$49,MATCH($D22,Python0831!$A$1:$A$49,0),MATCH(AA$5,Python0831!$B$1:$BV$1,0))</f>
        <v>0.35</v>
      </c>
      <c r="AB22" s="5">
        <f>INDEX(Python0831!$B$1:$BV$49,MATCH($D22,Python0831!$A$1:$A$49,0),MATCH(AB$5,Python0831!$B$1:$BV$1,0))</f>
        <v>33.6666666666666</v>
      </c>
      <c r="AC22" s="5">
        <f>INDEX(Python0831!$B$1:$BV$49,MATCH($D22,Python0831!$A$1:$A$49,0),MATCH(AC$5,Python0831!$B$1:$BV$1,0))</f>
        <v>14</v>
      </c>
      <c r="AD22" s="5">
        <f>INDEX(Python0831!$B$1:$BV$49,MATCH($D22,Python0831!$A$1:$A$49,0),MATCH(AD$5,Python0831!$B$1:$BV$1,0))</f>
        <v>77.7777777777777</v>
      </c>
      <c r="AE22" s="5">
        <f>INDEX(Python0831!$B$1:$BV$49,MATCH($D22,Python0831!$A$1:$A$49,0),MATCH(AE$5,Python0831!$B$1:$BV$1,0))</f>
        <v>4.7221203746801201</v>
      </c>
      <c r="AF22" s="5">
        <f>INDEX(Python0831!$B$1:$BV$49,MATCH($D22,Python0831!$A$1:$A$49,0),MATCH(AF$5,Python0831!$B$1:$BV$1,0))</f>
        <v>2.25988700564971</v>
      </c>
      <c r="AG22" s="5">
        <f>INDEX(Python0831!$B$1:$BV$49,MATCH($D22,Python0831!$A$1:$A$49,0),MATCH(AG$5,Python0831!$B$1:$BV$1,0))</f>
        <v>55.484220179785197</v>
      </c>
      <c r="AH22" s="5">
        <f>INDEX(Python0831!$B$1:$BV$49,MATCH($D22,Python0831!$A$1:$A$49,0),MATCH(AH$5,Python0831!$B$1:$BV$1,0))</f>
        <v>4</v>
      </c>
      <c r="AI22" s="5">
        <f>INDEX(Python0831!$B$1:$BV$49,MATCH($D22,Python0831!$A$1:$A$49,0),MATCH(AI$5,Python0831!$B$1:$BV$1,0))</f>
        <v>25.799043880168799</v>
      </c>
      <c r="AJ22" s="5">
        <f>INDEX(Python0831!$B$1:$BV$49,MATCH($D22,Python0831!$A$1:$A$49,0),MATCH(AJ$5,Python0831!$B$1:$BV$1,0))</f>
        <v>227.5</v>
      </c>
      <c r="AK22" s="5">
        <f>INDEX(Python0831!$B$1:$BV$49,MATCH($D22,Python0831!$A$1:$A$49,0),MATCH(AK$5,Python0831!$B$1:$BV$1,0))</f>
        <v>295</v>
      </c>
      <c r="AL22" s="5">
        <f>INDEX(Python0831!$B$1:$BV$49,MATCH($D22,Python0831!$A$1:$A$49,0),MATCH(AL$5,Python0831!$B$1:$BV$1,0))</f>
        <v>12</v>
      </c>
      <c r="AM22" s="5">
        <f>INDEX(Python0831!$B$1:$BV$49,MATCH($D22,Python0831!$A$1:$A$49,0),MATCH(AM$5,Python0831!$B$1:$BV$1,0))</f>
        <v>51572</v>
      </c>
      <c r="AN22" s="5">
        <f>INDEX(Python0831!$B$1:$BV$49,MATCH($D22,Python0831!$A$1:$A$49,0),MATCH(AN$5,Python0831!$B$1:$BV$1,0))</f>
        <v>7175</v>
      </c>
      <c r="AO22" s="5">
        <f>INDEX(Python0831!$B$1:$BV$49,MATCH($D22,Python0831!$A$1:$A$49,0),MATCH(AO$5,Python0831!$B$1:$BV$1,0))</f>
        <v>25.459026898116001</v>
      </c>
      <c r="AP22" s="5">
        <f>INDEX(Python0831!$B$1:$BV$49,MATCH($D22,Python0831!$A$1:$A$49,0),MATCH(AP$5,Python0831!$B$1:$BV$1,0))</f>
        <v>22.0485375973036</v>
      </c>
      <c r="AQ22" s="5">
        <f>INDEX(Python0831!$B$1:$BV$49,MATCH($D22,Python0831!$A$1:$A$49,0),MATCH(AQ$5,Python0831!$B$1:$BV$1,0))</f>
        <v>55386</v>
      </c>
      <c r="AR22" s="5">
        <f>INDEX(Python0831!$B$1:$BV$49,MATCH($D22,Python0831!$A$1:$A$49,0),MATCH(AR$5,Python0831!$B$1:$BV$1,0))</f>
        <v>829319.23732557404</v>
      </c>
      <c r="AS22" s="328">
        <f>INDEX(Python0831!$B$1:$BV$49,MATCH($D22,Python0831!$A$1:$A$49,0),MATCH(AS$5,Python0831!$B$1:$BV$1,0))</f>
        <v>2.5999999999999999E-2</v>
      </c>
      <c r="AT22" s="5">
        <f>INDEX(Python0831!$B$1:$BV$49,MATCH($D22,Python0831!$A$1:$A$49,0),MATCH(AT$5,Python0831!$B$1:$BV$1,0))</f>
        <v>1638.4115804724199</v>
      </c>
      <c r="AU22" s="7">
        <f>INDEX(Python0831!$B$1:$BV$49,MATCH($D22,Python0831!$A$1:$A$49,0),MATCH(AU$5,Python0831!$B$1:$BV$1,0))</f>
        <v>0.754285714285714</v>
      </c>
      <c r="AV22" s="5">
        <f>INDEX(Python0831!$B$1:$BV$49,MATCH($D22,Python0831!$A$1:$A$49,0),MATCH(AV$5,Python0831!$B$1:$BV$1,0))</f>
        <v>1086.3885948484101</v>
      </c>
      <c r="AW22" s="5">
        <f>INDEX(Python0831!$B$1:$BV$49,MATCH($D22,Python0831!$A$1:$A$49,0),MATCH(AW$5,Python0831!$B$1:$BV$1,0))</f>
        <v>28.550502995155298</v>
      </c>
      <c r="AX22" s="5">
        <f>INDEX(Python0831!$B$1:$BV$49,MATCH($D22,Python0831!$A$1:$A$49,0),MATCH(AX$5,Python0831!$B$1:$BV$1,0))</f>
        <v>52.339680650407701</v>
      </c>
      <c r="AY22" s="329">
        <f>INDEX(Python0831!$B$1:$BV$49,MATCH($D22,Python0831!$A$1:$A$49,0),MATCH(AY$5,Python0831!$B$1:$BV$1,0))</f>
        <v>8.9999999999999998E-4</v>
      </c>
      <c r="AZ22" s="5">
        <f>INDEX(Python0831!$B$1:$BV$49,MATCH($D22,Python0831!$A$1:$A$49,0),MATCH(AZ$5,Python0831!$B$1:$BV$1,0))</f>
        <v>73.2</v>
      </c>
      <c r="BA22" s="5">
        <f>INDEX(Python0831!$B$1:$BV$49,MATCH($D22,Python0831!$A$1:$A$49,0),MATCH(BA$5,Python0831!$B$1:$BV$1,0))</f>
        <v>14.979797533132601</v>
      </c>
      <c r="BB22" s="5">
        <f>INDEX(Python0831!$B$1:$BV$49,MATCH($D22,Python0831!$A$1:$A$49,0),MATCH(BB$5,Python0831!$B$1:$BV$1,0))</f>
        <v>52.193980871726197</v>
      </c>
      <c r="BC22" s="5">
        <f>INDEX(Python0831!$B$1:$BV$49,MATCH($D22,Python0831!$A$1:$A$49,0),MATCH(BC$5,Python0831!$B$1:$BV$1,0))</f>
        <v>4609.0202488074401</v>
      </c>
      <c r="BD22" s="5">
        <f>INDEX(Python0831!$B$1:$BV$49,MATCH($D22,Python0831!$A$1:$A$49,0),MATCH(BD$5,Python0831!$B$1:$BV$1,0))</f>
        <v>63.8865163117392</v>
      </c>
      <c r="BE22" s="5">
        <f>INDEX(Python0831!$B$1:$BV$49,MATCH($D22,Python0831!$A$1:$A$49,0),MATCH(BE$5,Python0831!$B$1:$BV$1,0))</f>
        <v>61.248065786777403</v>
      </c>
      <c r="BF22" s="5">
        <f>INDEX(Python0831!$B$1:$BV$49,MATCH($D22,Python0831!$A$1:$A$49,0),MATCH(BF$5,Python0831!$B$1:$BV$1,0))</f>
        <v>17.047352259871701</v>
      </c>
      <c r="BG22" s="5">
        <f>INDEX(Python0831!$B$1:$BV$49,MATCH($D22,Python0831!$A$1:$A$49,0),MATCH(BG$5,Python0831!$B$1:$BV$1,0))</f>
        <v>37.787878787878803</v>
      </c>
      <c r="BH22" s="327">
        <f>INDEX(Python0831!$B$1:$BV$49,MATCH($D22,Python0831!$A$1:$A$49,0),MATCH(BH$5,Python0831!$B$1:$BV$1,0))</f>
        <v>2.69E-2</v>
      </c>
      <c r="BI22" s="327">
        <f>INDEX(Python0831!$B$1:$BV$49,MATCH($D22,Python0831!$A$1:$A$49,0),MATCH(BI$5,Python0831!$B$1:$BV$1,0))</f>
        <v>0.111</v>
      </c>
      <c r="BJ22" s="5">
        <f>INDEX(Python0831!$B$1:$BV$49,MATCH($D22,Python0831!$A$1:$A$49,0),MATCH(BJ$5,Python0831!$B$1:$BV$1,0))</f>
        <v>24.320492755059998</v>
      </c>
      <c r="BK22" s="5">
        <f>INDEX(Python0831!$B$1:$BV$49,MATCH($D22,Python0831!$A$1:$A$49,0),MATCH(BK$5,Python0831!$B$1:$BV$1,0))</f>
        <v>10.8</v>
      </c>
      <c r="BL22" s="7">
        <f>INDEX(Python0831!$B$1:$BV$49,MATCH($D22,Python0831!$A$1:$A$49,0),MATCH(BL$5,Python0831!$B$1:$BV$1,0))</f>
        <v>1.3431979811883401</v>
      </c>
      <c r="BM22" s="5">
        <f>INDEX(Python0831!$B$1:$BV$49,MATCH($D22,Python0831!$A$1:$A$49,0),MATCH(BM$5,Python0831!$B$1:$BV$1,0))</f>
        <v>51.1</v>
      </c>
      <c r="BN22" s="5">
        <f>INDEX(Python0831!$B$1:$BV$49,MATCH($D22,Python0831!$A$1:$A$49,0),MATCH(BN$5,Python0831!$B$1:$BV$1,0))</f>
        <v>90.140734949179006</v>
      </c>
      <c r="BO22" s="5">
        <f>INDEX(Python0831!$B$1:$BV$49,MATCH($D22,Python0831!$A$1:$A$49,0),MATCH(BO$5,Python0831!$B$1:$BV$1,0))</f>
        <v>65.281388557857099</v>
      </c>
      <c r="BP22" s="5">
        <f>INDEX(Python0831!$B$1:$BV$49,MATCH($D22,Python0831!$A$1:$A$49,0),MATCH(BP$5,Python0831!$B$1:$BV$1,0))</f>
        <v>113</v>
      </c>
      <c r="BQ22" s="7">
        <f>INDEX(Python0831!$B$1:$BV$49,MATCH($D22,Python0831!$A$1:$A$49,0),MATCH(BQ$5,Python0831!$B$1:$BV$1,0))</f>
        <v>1.5501419938746599</v>
      </c>
      <c r="BR22" s="5">
        <f>INDEX(Python0831!$B$1:$BV$49,MATCH($D22,Python0831!$A$1:$A$49,0),MATCH(BR$5,Python0831!$B$1:$BV$1,0))</f>
        <v>66027940</v>
      </c>
      <c r="BS22" s="5">
        <f>INDEX(Python0831!$B$1:$BV$49,MATCH($D22,Python0831!$A$1:$A$49,0),MATCH(BS$5,Python0831!$B$1:$BV$1,0))</f>
        <v>409988</v>
      </c>
      <c r="BT22" s="8">
        <f>INDEX(Python0831!$B$1:$BV$49,MATCH($D22,Python0831!$A$1:$A$49,0),MATCH(BT$5,Python0831!$B$1:$BV$1,0))</f>
        <v>1.3018874344917</v>
      </c>
      <c r="BU22" s="8">
        <f>INDEX(Python0831!$B$1:$BV$49,MATCH($D22,Python0831!$A$1:$A$49,0),MATCH(BU$5,Python0831!$B$1:$BV$1,0))</f>
        <v>0.59743973852648702</v>
      </c>
      <c r="BV22" s="5">
        <f>INDEX(Python0831!$B$1:$BV$49,MATCH($D22,Python0831!$A$1:$A$49,0),MATCH(BV$5,Python0831!$B$1:$BV$1,0))</f>
        <v>47.996599999939399</v>
      </c>
      <c r="BW22" s="5">
        <f>INDEX(Python0831!$B$1:$BV$49,MATCH($D22,Python0831!$A$1:$A$49,0),MATCH(BW$5,Python0831!$B$1:$BV$1,0))</f>
        <v>44.022500000000001</v>
      </c>
      <c r="BX22" s="382">
        <f>INDEX(Python0831!$B$1:$BV$49,MATCH($D22,Python0831!$A$1:$A$49,0),MATCH(BX$5,Python0831!$B$1:$BV$1,0))</f>
        <v>22.216945168479125</v>
      </c>
      <c r="BY22" s="5">
        <f>INDEX(Python0831!$B$1:$BV$49,MATCH($D22,Python0831!$A$1:$A$49,0),MATCH(BY$5,Python0831!$B$1:$BV$1,0))</f>
        <v>46.020591154890397</v>
      </c>
    </row>
    <row r="23" spans="1:77">
      <c r="A23" s="2">
        <v>18</v>
      </c>
      <c r="B23" s="58">
        <f>INDEX(順位表[Comprehensive],MATCH($C23,順位表['#],0))</f>
        <v>48</v>
      </c>
      <c r="C23" s="3">
        <v>18</v>
      </c>
      <c r="D23" s="1" t="str">
        <f>INDEX(都市マスタ[City Name],MATCH($C23,都市マスタ['#],0))</f>
        <v>Mumbai</v>
      </c>
      <c r="E23" s="5">
        <f>INDEX(Python0831!$B$1:$BV$49,MATCH($D23,Python0831!$A$1:$A$49,0),MATCH(E$5,Python0831!$B$1:$BV$1,0))</f>
        <v>14103407.1623627</v>
      </c>
      <c r="F23" s="5">
        <f>INDEX(Python0831!$B$1:$BV$49,MATCH($D23,Python0831!$A$1:$A$49,0),MATCH(F$5,Python0831!$B$1:$BV$1,0))</f>
        <v>603</v>
      </c>
      <c r="G23" s="7">
        <f>INDEX(Python0831!$B$1:$BV$49,MATCH($D23,Python0831!$A$1:$A$49,0),MATCH(G$5,Python0831!$B$1:$BV$1,0))</f>
        <v>78.597999999999999</v>
      </c>
      <c r="H23" s="5">
        <f>INDEX(Python0831!$B$1:$BV$49,MATCH($D23,Python0831!$A$1:$A$49,0),MATCH(H$5,Python0831!$B$1:$BV$1,0))</f>
        <v>31944.354628004101</v>
      </c>
      <c r="I23" s="5">
        <f>INDEX(Python0831!$B$1:$BV$49,MATCH($D23,Python0831!$A$1:$A$49,0),MATCH(I$5,Python0831!$B$1:$BV$1,0))</f>
        <v>2297.6971177649102</v>
      </c>
      <c r="J23" s="328">
        <f>INDEX(Python0831!$B$1:$BV$49,MATCH($D23,Python0831!$A$1:$A$49,0),MATCH(J$5,Python0831!$B$1:$BV$1,0))</f>
        <v>1.8914025080739302E-2</v>
      </c>
      <c r="K23" s="5">
        <f>INDEX(Python0831!$B$1:$BV$49,MATCH($D23,Python0831!$A$1:$A$49,0),MATCH(K$5,Python0831!$B$1:$BV$1,0))</f>
        <v>52.933333333333302</v>
      </c>
      <c r="L23" s="5">
        <f>INDEX(Python0831!$B$1:$BV$49,MATCH($D23,Python0831!$A$1:$A$49,0),MATCH(L$5,Python0831!$B$1:$BV$1,0))</f>
        <v>3387366.67</v>
      </c>
      <c r="M23" s="5">
        <f>INDEX(Python0831!$B$1:$BV$49,MATCH($D23,Python0831!$A$1:$A$49,0),MATCH(M$5,Python0831!$B$1:$BV$1,0))</f>
        <v>369784.1</v>
      </c>
      <c r="N23" s="5">
        <f>INDEX(Python0831!$B$1:$BV$49,MATCH($D23,Python0831!$A$1:$A$49,0),MATCH(N$5,Python0831!$B$1:$BV$1,0))</f>
        <v>5673052.2370840898</v>
      </c>
      <c r="O23" s="328">
        <f>INDEX(Python0831!$B$1:$BV$49,MATCH($D23,Python0831!$A$1:$A$49,0),MATCH(O$5,Python0831!$B$1:$BV$1,0))</f>
        <v>2.4480112215215798E-2</v>
      </c>
      <c r="P23" s="5">
        <f>INDEX(Python0831!$B$1:$BV$49,MATCH($D23,Python0831!$A$1:$A$49,0),MATCH(P$5,Python0831!$B$1:$BV$1,0))</f>
        <v>8.1165525532992593</v>
      </c>
      <c r="Q23" s="5">
        <f>INDEX(Python0831!$B$1:$BV$49,MATCH($D23,Python0831!$A$1:$A$49,0),MATCH(Q$5,Python0831!$B$1:$BV$1,0))</f>
        <v>16.094221965582602</v>
      </c>
      <c r="R23" s="5">
        <f>INDEX(Python0831!$B$1:$BV$49,MATCH($D23,Python0831!$A$1:$A$49,0),MATCH(R$5,Python0831!$B$1:$BV$1,0))</f>
        <v>12.2921980757135</v>
      </c>
      <c r="S23" s="327">
        <f>INDEX(Python0831!$B$1:$BV$49,MATCH($D23,Python0831!$A$1:$A$49,0),MATCH(S$5,Python0831!$B$1:$BV$1,0))</f>
        <v>0.34596666666666598</v>
      </c>
      <c r="T23" s="5">
        <f>INDEX(Python0831!$B$1:$BV$49,MATCH($D23,Python0831!$A$1:$A$49,0),MATCH(T$5,Python0831!$B$1:$BV$1,0))</f>
        <v>55.641340215681304</v>
      </c>
      <c r="U23" s="5">
        <f>INDEX(Python0831!$B$1:$BV$49,MATCH($D23,Python0831!$A$1:$A$49,0),MATCH(U$5,Python0831!$B$1:$BV$1,0))</f>
        <v>3561.4307948882501</v>
      </c>
      <c r="V23" s="5">
        <f>INDEX(Python0831!$B$1:$BV$49,MATCH($D23,Python0831!$A$1:$A$49,0),MATCH(V$5,Python0831!$B$1:$BV$1,0))</f>
        <v>1</v>
      </c>
      <c r="W23" s="5">
        <f>INDEX(Python0831!$B$1:$BV$49,MATCH($D23,Python0831!$A$1:$A$49,0),MATCH(W$5,Python0831!$B$1:$BV$1,0))</f>
        <v>184.546527575081</v>
      </c>
      <c r="X23" s="5">
        <f>INDEX(Python0831!$B$1:$BV$49,MATCH($D23,Python0831!$A$1:$A$49,0),MATCH(X$5,Python0831!$B$1:$BV$1,0))</f>
        <v>0</v>
      </c>
      <c r="Y23" s="5">
        <f>INDEX(Python0831!$B$1:$BV$49,MATCH($D23,Python0831!$A$1:$A$49,0),MATCH(Y$5,Python0831!$B$1:$BV$1,0))</f>
        <v>347.65624189781602</v>
      </c>
      <c r="Z23" s="5">
        <f>INDEX(Python0831!$B$1:$BV$49,MATCH($D23,Python0831!$A$1:$A$49,0),MATCH(Z$5,Python0831!$B$1:$BV$1,0))</f>
        <v>140.70420622602899</v>
      </c>
      <c r="AA23" s="7">
        <f>INDEX(Python0831!$B$1:$BV$49,MATCH($D23,Python0831!$A$1:$A$49,0),MATCH(AA$5,Python0831!$B$1:$BV$1,0))</f>
        <v>0</v>
      </c>
      <c r="AB23" s="5">
        <f>INDEX(Python0831!$B$1:$BV$49,MATCH($D23,Python0831!$A$1:$A$49,0),MATCH(AB$5,Python0831!$B$1:$BV$1,0))</f>
        <v>291.666666666666</v>
      </c>
      <c r="AC23" s="5">
        <f>INDEX(Python0831!$B$1:$BV$49,MATCH($D23,Python0831!$A$1:$A$49,0),MATCH(AC$5,Python0831!$B$1:$BV$1,0))</f>
        <v>8</v>
      </c>
      <c r="AD23" s="5">
        <f>INDEX(Python0831!$B$1:$BV$49,MATCH($D23,Python0831!$A$1:$A$49,0),MATCH(AD$5,Python0831!$B$1:$BV$1,0))</f>
        <v>35.9375</v>
      </c>
      <c r="AE23" s="5">
        <f>INDEX(Python0831!$B$1:$BV$49,MATCH($D23,Python0831!$A$1:$A$49,0),MATCH(AE$5,Python0831!$B$1:$BV$1,0))</f>
        <v>0.68408337126792196</v>
      </c>
      <c r="AF23" s="5">
        <f>INDEX(Python0831!$B$1:$BV$49,MATCH($D23,Python0831!$A$1:$A$49,0),MATCH(AF$5,Python0831!$B$1:$BV$1,0))</f>
        <v>0.173837461973055</v>
      </c>
      <c r="AG23" s="5">
        <f>INDEX(Python0831!$B$1:$BV$49,MATCH($D23,Python0831!$A$1:$A$49,0),MATCH(AG$5,Python0831!$B$1:$BV$1,0))</f>
        <v>34.865522071796001</v>
      </c>
      <c r="AH23" s="5">
        <f>INDEX(Python0831!$B$1:$BV$49,MATCH($D23,Python0831!$A$1:$A$49,0),MATCH(AH$5,Python0831!$B$1:$BV$1,0))</f>
        <v>3</v>
      </c>
      <c r="AI23" s="5">
        <f>INDEX(Python0831!$B$1:$BV$49,MATCH($D23,Python0831!$A$1:$A$49,0),MATCH(AI$5,Python0831!$B$1:$BV$1,0))</f>
        <v>34.315110859201397</v>
      </c>
      <c r="AJ23" s="5">
        <f>INDEX(Python0831!$B$1:$BV$49,MATCH($D23,Python0831!$A$1:$A$49,0),MATCH(AJ$5,Python0831!$B$1:$BV$1,0))</f>
        <v>13</v>
      </c>
      <c r="AK23" s="5">
        <f>INDEX(Python0831!$B$1:$BV$49,MATCH($D23,Python0831!$A$1:$A$49,0),MATCH(AK$5,Python0831!$B$1:$BV$1,0))</f>
        <v>12</v>
      </c>
      <c r="AL23" s="5">
        <f>INDEX(Python0831!$B$1:$BV$49,MATCH($D23,Python0831!$A$1:$A$49,0),MATCH(AL$5,Python0831!$B$1:$BV$1,0))</f>
        <v>3</v>
      </c>
      <c r="AM23" s="5">
        <f>INDEX(Python0831!$B$1:$BV$49,MATCH($D23,Python0831!$A$1:$A$49,0),MATCH(AM$5,Python0831!$B$1:$BV$1,0))</f>
        <v>11471</v>
      </c>
      <c r="AN23" s="5">
        <f>INDEX(Python0831!$B$1:$BV$49,MATCH($D23,Python0831!$A$1:$A$49,0),MATCH(AN$5,Python0831!$B$1:$BV$1,0))</f>
        <v>3141</v>
      </c>
      <c r="AO23" s="5">
        <f>INDEX(Python0831!$B$1:$BV$49,MATCH($D23,Python0831!$A$1:$A$49,0),MATCH(AO$5,Python0831!$B$1:$BV$1,0))</f>
        <v>36.140005826589103</v>
      </c>
      <c r="AP23" s="5">
        <f>INDEX(Python0831!$B$1:$BV$49,MATCH($D23,Python0831!$A$1:$A$49,0),MATCH(AP$5,Python0831!$B$1:$BV$1,0))</f>
        <v>28.720436877156001</v>
      </c>
      <c r="AQ23" s="5">
        <f>INDEX(Python0831!$B$1:$BV$49,MATCH($D23,Python0831!$A$1:$A$49,0),MATCH(AQ$5,Python0831!$B$1:$BV$1,0))</f>
        <v>76731</v>
      </c>
      <c r="AR23" s="5">
        <f>INDEX(Python0831!$B$1:$BV$49,MATCH($D23,Python0831!$A$1:$A$49,0),MATCH(AR$5,Python0831!$B$1:$BV$1,0))</f>
        <v>70959.812344612699</v>
      </c>
      <c r="AS23" s="328">
        <f>INDEX(Python0831!$B$1:$BV$49,MATCH($D23,Python0831!$A$1:$A$49,0),MATCH(AS$5,Python0831!$B$1:$BV$1,0))</f>
        <v>7.1999999999999995E-2</v>
      </c>
      <c r="AT23" s="5">
        <f>INDEX(Python0831!$B$1:$BV$49,MATCH($D23,Python0831!$A$1:$A$49,0),MATCH(AT$5,Python0831!$B$1:$BV$1,0))</f>
        <v>2613.2941455945502</v>
      </c>
      <c r="AU23" s="7">
        <f>INDEX(Python0831!$B$1:$BV$49,MATCH($D23,Python0831!$A$1:$A$49,0),MATCH(AU$5,Python0831!$B$1:$BV$1,0))</f>
        <v>0.686746987951807</v>
      </c>
      <c r="AV23" s="5">
        <f>INDEX(Python0831!$B$1:$BV$49,MATCH($D23,Python0831!$A$1:$A$49,0),MATCH(AV$5,Python0831!$B$1:$BV$1,0))</f>
        <v>920.35743751352504</v>
      </c>
      <c r="AW23" s="5">
        <f>INDEX(Python0831!$B$1:$BV$49,MATCH($D23,Python0831!$A$1:$A$49,0),MATCH(AW$5,Python0831!$B$1:$BV$1,0))</f>
        <v>0</v>
      </c>
      <c r="AX23" s="5">
        <f>INDEX(Python0831!$B$1:$BV$49,MATCH($D23,Python0831!$A$1:$A$49,0),MATCH(AX$5,Python0831!$B$1:$BV$1,0))</f>
        <v>10.329926192288999</v>
      </c>
      <c r="AY23" s="329">
        <f>INDEX(Python0831!$B$1:$BV$49,MATCH($D23,Python0831!$A$1:$A$49,0),MATCH(AY$5,Python0831!$B$1:$BV$1,0))</f>
        <v>2.2000000000000001E-3</v>
      </c>
      <c r="AZ23" s="5">
        <f>INDEX(Python0831!$B$1:$BV$49,MATCH($D23,Python0831!$A$1:$A$49,0),MATCH(AZ$5,Python0831!$B$1:$BV$1,0))</f>
        <v>70.8</v>
      </c>
      <c r="BA23" s="5">
        <f>INDEX(Python0831!$B$1:$BV$49,MATCH($D23,Python0831!$A$1:$A$49,0),MATCH(BA$5,Python0831!$B$1:$BV$1,0))</f>
        <v>27.389148101746301</v>
      </c>
      <c r="BB23" s="5">
        <f>INDEX(Python0831!$B$1:$BV$49,MATCH($D23,Python0831!$A$1:$A$49,0),MATCH(BB$5,Python0831!$B$1:$BV$1,0))</f>
        <v>70.179963116438103</v>
      </c>
      <c r="BC23" s="5">
        <f>INDEX(Python0831!$B$1:$BV$49,MATCH($D23,Python0831!$A$1:$A$49,0),MATCH(BC$5,Python0831!$B$1:$BV$1,0))</f>
        <v>838.37464337573101</v>
      </c>
      <c r="BD23" s="5">
        <f>INDEX(Python0831!$B$1:$BV$49,MATCH($D23,Python0831!$A$1:$A$49,0),MATCH(BD$5,Python0831!$B$1:$BV$1,0))</f>
        <v>48.533034455918397</v>
      </c>
      <c r="BE23" s="5">
        <f>INDEX(Python0831!$B$1:$BV$49,MATCH($D23,Python0831!$A$1:$A$49,0),MATCH(BE$5,Python0831!$B$1:$BV$1,0))</f>
        <v>50</v>
      </c>
      <c r="BF23" s="5">
        <f>INDEX(Python0831!$B$1:$BV$49,MATCH($D23,Python0831!$A$1:$A$49,0),MATCH(BF$5,Python0831!$B$1:$BV$1,0))</f>
        <v>26.311686009107699</v>
      </c>
      <c r="BG23" s="5">
        <f>INDEX(Python0831!$B$1:$BV$49,MATCH($D23,Python0831!$A$1:$A$49,0),MATCH(BG$5,Python0831!$B$1:$BV$1,0))</f>
        <v>31.248289345063501</v>
      </c>
      <c r="BH23" s="327">
        <f>INDEX(Python0831!$B$1:$BV$49,MATCH($D23,Python0831!$A$1:$A$49,0),MATCH(BH$5,Python0831!$B$1:$BV$1,0))</f>
        <v>0.254</v>
      </c>
      <c r="BI23" s="327">
        <f>INDEX(Python0831!$B$1:$BV$49,MATCH($D23,Python0831!$A$1:$A$49,0),MATCH(BI$5,Python0831!$B$1:$BV$1,0))</f>
        <v>0.1666</v>
      </c>
      <c r="BJ23" s="5">
        <f>INDEX(Python0831!$B$1:$BV$49,MATCH($D23,Python0831!$A$1:$A$49,0),MATCH(BJ$5,Python0831!$B$1:$BV$1,0))</f>
        <v>1.5699962953894899</v>
      </c>
      <c r="BK23" s="5">
        <f>INDEX(Python0831!$B$1:$BV$49,MATCH($D23,Python0831!$A$1:$A$49,0),MATCH(BK$5,Python0831!$B$1:$BV$1,0))</f>
        <v>46.7</v>
      </c>
      <c r="BL23" s="7">
        <f>INDEX(Python0831!$B$1:$BV$49,MATCH($D23,Python0831!$A$1:$A$49,0),MATCH(BL$5,Python0831!$B$1:$BV$1,0))</f>
        <v>1.5231402125471301</v>
      </c>
      <c r="BM23" s="5">
        <f>INDEX(Python0831!$B$1:$BV$49,MATCH($D23,Python0831!$A$1:$A$49,0),MATCH(BM$5,Python0831!$B$1:$BV$1,0))</f>
        <v>24</v>
      </c>
      <c r="BN23" s="5">
        <f>INDEX(Python0831!$B$1:$BV$49,MATCH($D23,Python0831!$A$1:$A$49,0),MATCH(BN$5,Python0831!$B$1:$BV$1,0))</f>
        <v>27.508877875224901</v>
      </c>
      <c r="BO23" s="5">
        <f>INDEX(Python0831!$B$1:$BV$49,MATCH($D23,Python0831!$A$1:$A$49,0),MATCH(BO$5,Python0831!$B$1:$BV$1,0))</f>
        <v>20.103663306877198</v>
      </c>
      <c r="BP23" s="5">
        <f>INDEX(Python0831!$B$1:$BV$49,MATCH($D23,Python0831!$A$1:$A$49,0),MATCH(BP$5,Python0831!$B$1:$BV$1,0))</f>
        <v>54.000000000000099</v>
      </c>
      <c r="BQ23" s="7">
        <f>INDEX(Python0831!$B$1:$BV$49,MATCH($D23,Python0831!$A$1:$A$49,0),MATCH(BQ$5,Python0831!$B$1:$BV$1,0))</f>
        <v>6.2610644282008296</v>
      </c>
      <c r="BR23" s="5">
        <f>INDEX(Python0831!$B$1:$BV$49,MATCH($D23,Python0831!$A$1:$A$49,0),MATCH(BR$5,Python0831!$B$1:$BV$1,0))</f>
        <v>38332106</v>
      </c>
      <c r="BS23" s="5">
        <f>INDEX(Python0831!$B$1:$BV$49,MATCH($D23,Python0831!$A$1:$A$49,0),MATCH(BS$5,Python0831!$B$1:$BV$1,0))</f>
        <v>287911</v>
      </c>
      <c r="BT23" s="8">
        <f>INDEX(Python0831!$B$1:$BV$49,MATCH($D23,Python0831!$A$1:$A$49,0),MATCH(BT$5,Python0831!$B$1:$BV$1,0))</f>
        <v>0.13687325105902901</v>
      </c>
      <c r="BU23" s="8">
        <f>INDEX(Python0831!$B$1:$BV$49,MATCH($D23,Python0831!$A$1:$A$49,0),MATCH(BU$5,Python0831!$B$1:$BV$1,0))</f>
        <v>0.39247311827956899</v>
      </c>
      <c r="BV23" s="5">
        <f>INDEX(Python0831!$B$1:$BV$49,MATCH($D23,Python0831!$A$1:$A$49,0),MATCH(BV$5,Python0831!$B$1:$BV$1,0))</f>
        <v>35</v>
      </c>
      <c r="BW23" s="5">
        <f>INDEX(Python0831!$B$1:$BV$49,MATCH($D23,Python0831!$A$1:$A$49,0),MATCH(BW$5,Python0831!$B$1:$BV$1,0))</f>
        <v>46.912500000000001</v>
      </c>
      <c r="BX23" s="382">
        <f>INDEX(Python0831!$B$1:$BV$49,MATCH($D23,Python0831!$A$1:$A$49,0),MATCH(BX$5,Python0831!$B$1:$BV$1,0))</f>
        <v>28.346456692913385</v>
      </c>
      <c r="BY23" s="5">
        <f>INDEX(Python0831!$B$1:$BV$49,MATCH($D23,Python0831!$A$1:$A$49,0),MATCH(BY$5,Python0831!$B$1:$BV$1,0))</f>
        <v>56.923498475909902</v>
      </c>
    </row>
    <row r="24" spans="1:77">
      <c r="A24" s="2">
        <v>19</v>
      </c>
      <c r="B24" s="58">
        <f>INDEX(順位表[Comprehensive],MATCH($C24,順位表['#],0))</f>
        <v>38</v>
      </c>
      <c r="C24" s="3">
        <v>19</v>
      </c>
      <c r="D24" s="1" t="str">
        <f>INDEX(都市マスタ[City Name],MATCH($C24,都市マスタ['#],0))</f>
        <v>Bangkok</v>
      </c>
      <c r="E24" s="5">
        <f>INDEX(Python0831!$B$1:$BV$49,MATCH($D24,Python0831!$A$1:$A$49,0),MATCH(E$5,Python0831!$B$1:$BV$1,0))</f>
        <v>8824607</v>
      </c>
      <c r="F24" s="5">
        <f>INDEX(Python0831!$B$1:$BV$49,MATCH($D24,Python0831!$A$1:$A$49,0),MATCH(F$5,Python0831!$B$1:$BV$1,0))</f>
        <v>1568.7370000000001</v>
      </c>
      <c r="G24" s="7">
        <f>INDEX(Python0831!$B$1:$BV$49,MATCH($D24,Python0831!$A$1:$A$49,0),MATCH(G$5,Python0831!$B$1:$BV$1,0))</f>
        <v>35.043999999999997</v>
      </c>
      <c r="H24" s="5">
        <f>INDEX(Python0831!$B$1:$BV$49,MATCH($D24,Python0831!$A$1:$A$49,0),MATCH(H$5,Python0831!$B$1:$BV$1,0))</f>
        <v>170654.72954826901</v>
      </c>
      <c r="I24" s="5">
        <f>INDEX(Python0831!$B$1:$BV$49,MATCH($D24,Python0831!$A$1:$A$49,0),MATCH(I$5,Python0831!$B$1:$BV$1,0))</f>
        <v>19338.5076013322</v>
      </c>
      <c r="J24" s="328">
        <f>INDEX(Python0831!$B$1:$BV$49,MATCH($D24,Python0831!$A$1:$A$49,0),MATCH(J$5,Python0831!$B$1:$BV$1,0))</f>
        <v>1.10934393967643E-2</v>
      </c>
      <c r="K24" s="5">
        <f>INDEX(Python0831!$B$1:$BV$49,MATCH($D24,Python0831!$A$1:$A$49,0),MATCH(K$5,Python0831!$B$1:$BV$1,0))</f>
        <v>60.591666666666598</v>
      </c>
      <c r="L24" s="5">
        <f>INDEX(Python0831!$B$1:$BV$49,MATCH($D24,Python0831!$A$1:$A$49,0),MATCH(L$5,Python0831!$B$1:$BV$1,0))</f>
        <v>604355.03</v>
      </c>
      <c r="M24" s="5">
        <f>INDEX(Python0831!$B$1:$BV$49,MATCH($D24,Python0831!$A$1:$A$49,0),MATCH(M$5,Python0831!$B$1:$BV$1,0))</f>
        <v>96162.4</v>
      </c>
      <c r="N24" s="5">
        <f>INDEX(Python0831!$B$1:$BV$49,MATCH($D24,Python0831!$A$1:$A$49,0),MATCH(N$5,Python0831!$B$1:$BV$1,0))</f>
        <v>5642756.5324999997</v>
      </c>
      <c r="O24" s="328">
        <f>INDEX(Python0831!$B$1:$BV$49,MATCH($D24,Python0831!$A$1:$A$49,0),MATCH(O$5,Python0831!$B$1:$BV$1,0))</f>
        <v>0.13730540800157601</v>
      </c>
      <c r="P24" s="5">
        <f>INDEX(Python0831!$B$1:$BV$49,MATCH($D24,Python0831!$A$1:$A$49,0),MATCH(P$5,Python0831!$B$1:$BV$1,0))</f>
        <v>5.9853223918418603</v>
      </c>
      <c r="Q24" s="5">
        <f>INDEX(Python0831!$B$1:$BV$49,MATCH($D24,Python0831!$A$1:$A$49,0),MATCH(Q$5,Python0831!$B$1:$BV$1,0))</f>
        <v>22.280970476820102</v>
      </c>
      <c r="R24" s="5">
        <f>INDEX(Python0831!$B$1:$BV$49,MATCH($D24,Python0831!$A$1:$A$49,0),MATCH(R$5,Python0831!$B$1:$BV$1,0))</f>
        <v>48.529680413005899</v>
      </c>
      <c r="S24" s="327">
        <f>INDEX(Python0831!$B$1:$BV$49,MATCH($D24,Python0831!$A$1:$A$49,0),MATCH(S$5,Python0831!$B$1:$BV$1,0))</f>
        <v>0.2</v>
      </c>
      <c r="T24" s="5">
        <f>INDEX(Python0831!$B$1:$BV$49,MATCH($D24,Python0831!$A$1:$A$49,0),MATCH(T$5,Python0831!$B$1:$BV$1,0))</f>
        <v>78.841334148181502</v>
      </c>
      <c r="U24" s="5">
        <f>INDEX(Python0831!$B$1:$BV$49,MATCH($D24,Python0831!$A$1:$A$49,0),MATCH(U$5,Python0831!$B$1:$BV$1,0))</f>
        <v>19322.212833035399</v>
      </c>
      <c r="V24" s="5">
        <f>INDEX(Python0831!$B$1:$BV$49,MATCH($D24,Python0831!$A$1:$A$49,0),MATCH(V$5,Python0831!$B$1:$BV$1,0))</f>
        <v>3</v>
      </c>
      <c r="W24" s="5">
        <f>INDEX(Python0831!$B$1:$BV$49,MATCH($D24,Python0831!$A$1:$A$49,0),MATCH(W$5,Python0831!$B$1:$BV$1,0))</f>
        <v>932.58310329265601</v>
      </c>
      <c r="X24" s="5">
        <f>INDEX(Python0831!$B$1:$BV$49,MATCH($D24,Python0831!$A$1:$A$49,0),MATCH(X$5,Python0831!$B$1:$BV$1,0))</f>
        <v>2749.02</v>
      </c>
      <c r="Y24" s="5">
        <f>INDEX(Python0831!$B$1:$BV$49,MATCH($D24,Python0831!$A$1:$A$49,0),MATCH(Y$5,Python0831!$B$1:$BV$1,0))</f>
        <v>412.666666666666</v>
      </c>
      <c r="Z24" s="5">
        <f>INDEX(Python0831!$B$1:$BV$49,MATCH($D24,Python0831!$A$1:$A$49,0),MATCH(Z$5,Python0831!$B$1:$BV$1,0))</f>
        <v>328.20455636920798</v>
      </c>
      <c r="AA24" s="7">
        <f>INDEX(Python0831!$B$1:$BV$49,MATCH($D24,Python0831!$A$1:$A$49,0),MATCH(AA$5,Python0831!$B$1:$BV$1,0))</f>
        <v>0</v>
      </c>
      <c r="AB24" s="5">
        <f>INDEX(Python0831!$B$1:$BV$49,MATCH($D24,Python0831!$A$1:$A$49,0),MATCH(AB$5,Python0831!$B$1:$BV$1,0))</f>
        <v>31</v>
      </c>
      <c r="AC24" s="5">
        <f>INDEX(Python0831!$B$1:$BV$49,MATCH($D24,Python0831!$A$1:$A$49,0),MATCH(AC$5,Python0831!$B$1:$BV$1,0))</f>
        <v>47</v>
      </c>
      <c r="AD24" s="5">
        <f>INDEX(Python0831!$B$1:$BV$49,MATCH($D24,Python0831!$A$1:$A$49,0),MATCH(AD$5,Python0831!$B$1:$BV$1,0))</f>
        <v>17.1875</v>
      </c>
      <c r="AE24" s="5">
        <f>INDEX(Python0831!$B$1:$BV$49,MATCH($D24,Python0831!$A$1:$A$49,0),MATCH(AE$5,Python0831!$B$1:$BV$1,0))</f>
        <v>2.7801094358099201</v>
      </c>
      <c r="AF24" s="5">
        <f>INDEX(Python0831!$B$1:$BV$49,MATCH($D24,Python0831!$A$1:$A$49,0),MATCH(AF$5,Python0831!$B$1:$BV$1,0))</f>
        <v>1.0157357658611199</v>
      </c>
      <c r="AG24" s="5">
        <f>INDEX(Python0831!$B$1:$BV$49,MATCH($D24,Python0831!$A$1:$A$49,0),MATCH(AG$5,Python0831!$B$1:$BV$1,0))</f>
        <v>35.416279107460802</v>
      </c>
      <c r="AH24" s="5">
        <f>INDEX(Python0831!$B$1:$BV$49,MATCH($D24,Python0831!$A$1:$A$49,0),MATCH(AH$5,Python0831!$B$1:$BV$1,0))</f>
        <v>1</v>
      </c>
      <c r="AI24" s="5">
        <f>INDEX(Python0831!$B$1:$BV$49,MATCH($D24,Python0831!$A$1:$A$49,0),MATCH(AI$5,Python0831!$B$1:$BV$1,0))</f>
        <v>42.196091757530198</v>
      </c>
      <c r="AJ24" s="5">
        <f>INDEX(Python0831!$B$1:$BV$49,MATCH($D24,Python0831!$A$1:$A$49,0),MATCH(AJ$5,Python0831!$B$1:$BV$1,0))</f>
        <v>15</v>
      </c>
      <c r="AK24" s="5">
        <f>INDEX(Python0831!$B$1:$BV$49,MATCH($D24,Python0831!$A$1:$A$49,0),MATCH(AK$5,Python0831!$B$1:$BV$1,0))</f>
        <v>37</v>
      </c>
      <c r="AL24" s="5">
        <f>INDEX(Python0831!$B$1:$BV$49,MATCH($D24,Python0831!$A$1:$A$49,0),MATCH(AL$5,Python0831!$B$1:$BV$1,0))</f>
        <v>5</v>
      </c>
      <c r="AM24" s="5">
        <f>INDEX(Python0831!$B$1:$BV$49,MATCH($D24,Python0831!$A$1:$A$49,0),MATCH(AM$5,Python0831!$B$1:$BV$1,0))</f>
        <v>146403</v>
      </c>
      <c r="AN24" s="5">
        <f>INDEX(Python0831!$B$1:$BV$49,MATCH($D24,Python0831!$A$1:$A$49,0),MATCH(AN$5,Python0831!$B$1:$BV$1,0))</f>
        <v>33038</v>
      </c>
      <c r="AO24" s="5">
        <f>INDEX(Python0831!$B$1:$BV$49,MATCH($D24,Python0831!$A$1:$A$49,0),MATCH(AO$5,Python0831!$B$1:$BV$1,0))</f>
        <v>66.357529324060494</v>
      </c>
      <c r="AP24" s="5">
        <f>INDEX(Python0831!$B$1:$BV$49,MATCH($D24,Python0831!$A$1:$A$49,0),MATCH(AP$5,Python0831!$B$1:$BV$1,0))</f>
        <v>43.144935583869199</v>
      </c>
      <c r="AQ24" s="5">
        <f>INDEX(Python0831!$B$1:$BV$49,MATCH($D24,Python0831!$A$1:$A$49,0),MATCH(AQ$5,Python0831!$B$1:$BV$1,0))</f>
        <v>49543</v>
      </c>
      <c r="AR24" s="5">
        <f>INDEX(Python0831!$B$1:$BV$49,MATCH($D24,Python0831!$A$1:$A$49,0),MATCH(AR$5,Python0831!$B$1:$BV$1,0))</f>
        <v>9832457</v>
      </c>
      <c r="AS24" s="328">
        <f>INDEX(Python0831!$B$1:$BV$49,MATCH($D24,Python0831!$A$1:$A$49,0),MATCH(AS$5,Python0831!$B$1:$BV$1,0))</f>
        <v>1.39790807380778E-2</v>
      </c>
      <c r="AT24" s="5">
        <f>INDEX(Python0831!$B$1:$BV$49,MATCH($D24,Python0831!$A$1:$A$49,0),MATCH(AT$5,Python0831!$B$1:$BV$1,0))</f>
        <v>2142.7590993396402</v>
      </c>
      <c r="AU24" s="7">
        <f>INDEX(Python0831!$B$1:$BV$49,MATCH($D24,Python0831!$A$1:$A$49,0),MATCH(AU$5,Python0831!$B$1:$BV$1,0))</f>
        <v>0.70967741935483797</v>
      </c>
      <c r="AV24" s="5">
        <f>INDEX(Python0831!$B$1:$BV$49,MATCH($D24,Python0831!$A$1:$A$49,0),MATCH(AV$5,Python0831!$B$1:$BV$1,0))</f>
        <v>1029.35181423258</v>
      </c>
      <c r="AW24" s="5">
        <f>INDEX(Python0831!$B$1:$BV$49,MATCH($D24,Python0831!$A$1:$A$49,0),MATCH(AW$5,Python0831!$B$1:$BV$1,0))</f>
        <v>16.720917989593701</v>
      </c>
      <c r="AX24" s="5">
        <f>INDEX(Python0831!$B$1:$BV$49,MATCH($D24,Python0831!$A$1:$A$49,0),MATCH(AX$5,Python0831!$B$1:$BV$1,0))</f>
        <v>4.0795017840454504</v>
      </c>
      <c r="AY24" s="329">
        <f>INDEX(Python0831!$B$1:$BV$49,MATCH($D24,Python0831!$A$1:$A$49,0),MATCH(AY$5,Python0831!$B$1:$BV$1,0))</f>
        <v>2.3E-3</v>
      </c>
      <c r="AZ24" s="5">
        <f>INDEX(Python0831!$B$1:$BV$49,MATCH($D24,Python0831!$A$1:$A$49,0),MATCH(AZ$5,Python0831!$B$1:$BV$1,0))</f>
        <v>77.7</v>
      </c>
      <c r="BA24" s="5">
        <f>INDEX(Python0831!$B$1:$BV$49,MATCH($D24,Python0831!$A$1:$A$49,0),MATCH(BA$5,Python0831!$B$1:$BV$1,0))</f>
        <v>30.0131194129698</v>
      </c>
      <c r="BB24" s="5">
        <f>INDEX(Python0831!$B$1:$BV$49,MATCH($D24,Python0831!$A$1:$A$49,0),MATCH(BB$5,Python0831!$B$1:$BV$1,0))</f>
        <v>15.7205650841845</v>
      </c>
      <c r="BC24" s="5">
        <f>INDEX(Python0831!$B$1:$BV$49,MATCH($D24,Python0831!$A$1:$A$49,0),MATCH(BC$5,Python0831!$B$1:$BV$1,0))</f>
        <v>1054.1089151261299</v>
      </c>
      <c r="BD24" s="5">
        <f>INDEX(Python0831!$B$1:$BV$49,MATCH($D24,Python0831!$A$1:$A$49,0),MATCH(BD$5,Python0831!$B$1:$BV$1,0))</f>
        <v>59.1949526440021</v>
      </c>
      <c r="BE24" s="5">
        <f>INDEX(Python0831!$B$1:$BV$49,MATCH($D24,Python0831!$A$1:$A$49,0),MATCH(BE$5,Python0831!$B$1:$BV$1,0))</f>
        <v>34.655492284400196</v>
      </c>
      <c r="BF24" s="5">
        <f>INDEX(Python0831!$B$1:$BV$49,MATCH($D24,Python0831!$A$1:$A$49,0),MATCH(BF$5,Python0831!$B$1:$BV$1,0))</f>
        <v>27.904901449366101</v>
      </c>
      <c r="BG24" s="5">
        <f>INDEX(Python0831!$B$1:$BV$49,MATCH($D24,Python0831!$A$1:$A$49,0),MATCH(BG$5,Python0831!$B$1:$BV$1,0))</f>
        <v>18.512121212121201</v>
      </c>
      <c r="BH24" s="327">
        <f>INDEX(Python0831!$B$1:$BV$49,MATCH($D24,Python0831!$A$1:$A$49,0),MATCH(BH$5,Python0831!$B$1:$BV$1,0))</f>
        <v>0.1812</v>
      </c>
      <c r="BI24" s="327">
        <f>INDEX(Python0831!$B$1:$BV$49,MATCH($D24,Python0831!$A$1:$A$49,0),MATCH(BI$5,Python0831!$B$1:$BV$1,0))</f>
        <v>0.37508075283173198</v>
      </c>
      <c r="BJ24" s="5">
        <f>INDEX(Python0831!$B$1:$BV$49,MATCH($D24,Python0831!$A$1:$A$49,0),MATCH(BJ$5,Python0831!$B$1:$BV$1,0))</f>
        <v>9.4766905834265405</v>
      </c>
      <c r="BK24" s="5">
        <f>INDEX(Python0831!$B$1:$BV$49,MATCH($D24,Python0831!$A$1:$A$49,0),MATCH(BK$5,Python0831!$B$1:$BV$1,0))</f>
        <v>18</v>
      </c>
      <c r="BL24" s="7">
        <f>INDEX(Python0831!$B$1:$BV$49,MATCH($D24,Python0831!$A$1:$A$49,0),MATCH(BL$5,Python0831!$B$1:$BV$1,0))</f>
        <v>1.86950096623849</v>
      </c>
      <c r="BM24" s="5">
        <f>INDEX(Python0831!$B$1:$BV$49,MATCH($D24,Python0831!$A$1:$A$49,0),MATCH(BM$5,Python0831!$B$1:$BV$1,0))</f>
        <v>30</v>
      </c>
      <c r="BN24" s="5">
        <f>INDEX(Python0831!$B$1:$BV$49,MATCH($D24,Python0831!$A$1:$A$49,0),MATCH(BN$5,Python0831!$B$1:$BV$1,0))</f>
        <v>55.364338477577903</v>
      </c>
      <c r="BO24" s="5">
        <f>INDEX(Python0831!$B$1:$BV$49,MATCH($D24,Python0831!$A$1:$A$49,0),MATCH(BO$5,Python0831!$B$1:$BV$1,0))</f>
        <v>39.2450494133452</v>
      </c>
      <c r="BP24" s="5">
        <f>INDEX(Python0831!$B$1:$BV$49,MATCH($D24,Python0831!$A$1:$A$49,0),MATCH(BP$5,Python0831!$B$1:$BV$1,0))</f>
        <v>131.00000000000099</v>
      </c>
      <c r="BQ24" s="7">
        <f>INDEX(Python0831!$B$1:$BV$49,MATCH($D24,Python0831!$A$1:$A$49,0),MATCH(BQ$5,Python0831!$B$1:$BV$1,0))</f>
        <v>15.425811536234599</v>
      </c>
      <c r="BR24" s="5">
        <f>INDEX(Python0831!$B$1:$BV$49,MATCH($D24,Python0831!$A$1:$A$49,0),MATCH(BR$5,Python0831!$B$1:$BV$1,0))</f>
        <v>44884940</v>
      </c>
      <c r="BS24" s="5">
        <f>INDEX(Python0831!$B$1:$BV$49,MATCH($D24,Python0831!$A$1:$A$49,0),MATCH(BS$5,Python0831!$B$1:$BV$1,0))</f>
        <v>360026</v>
      </c>
      <c r="BT24" s="8">
        <f>INDEX(Python0831!$B$1:$BV$49,MATCH($D24,Python0831!$A$1:$A$49,0),MATCH(BT$5,Python0831!$B$1:$BV$1,0))</f>
        <v>0.28647889756541101</v>
      </c>
      <c r="BU24" s="8">
        <f>INDEX(Python0831!$B$1:$BV$49,MATCH($D24,Python0831!$A$1:$A$49,0),MATCH(BU$5,Python0831!$B$1:$BV$1,0))</f>
        <v>0.206627413391756</v>
      </c>
      <c r="BV24" s="5">
        <f>INDEX(Python0831!$B$1:$BV$49,MATCH($D24,Python0831!$A$1:$A$49,0),MATCH(BV$5,Python0831!$B$1:$BV$1,0))</f>
        <v>34.9687185947001</v>
      </c>
      <c r="BW24" s="5">
        <f>INDEX(Python0831!$B$1:$BV$49,MATCH($D24,Python0831!$A$1:$A$49,0),MATCH(BW$5,Python0831!$B$1:$BV$1,0))</f>
        <v>40.97</v>
      </c>
      <c r="BX24" s="382">
        <f>INDEX(Python0831!$B$1:$BV$49,MATCH($D24,Python0831!$A$1:$A$49,0),MATCH(BX$5,Python0831!$B$1:$BV$1,0))</f>
        <v>29.032258064516128</v>
      </c>
      <c r="BY24" s="5">
        <f>INDEX(Python0831!$B$1:$BV$49,MATCH($D24,Python0831!$A$1:$A$49,0),MATCH(BY$5,Python0831!$B$1:$BV$1,0))</f>
        <v>49.413982108809002</v>
      </c>
    </row>
    <row r="25" spans="1:77">
      <c r="A25" s="2">
        <v>20</v>
      </c>
      <c r="B25" s="58">
        <f>INDEX(順位表[Comprehensive],MATCH($C25,順位表['#],0))</f>
        <v>41</v>
      </c>
      <c r="C25" s="3">
        <v>20</v>
      </c>
      <c r="D25" s="1" t="str">
        <f>INDEX(都市マスタ[City Name],MATCH($C25,都市マスタ['#],0))</f>
        <v>Kuala Lumpur</v>
      </c>
      <c r="E25" s="5">
        <f>INDEX(Python0831!$B$1:$BV$49,MATCH($D25,Python0831!$A$1:$A$49,0),MATCH(E$5,Python0831!$B$1:$BV$1,0))</f>
        <v>1945200</v>
      </c>
      <c r="F25" s="5">
        <f>INDEX(Python0831!$B$1:$BV$49,MATCH($D25,Python0831!$A$1:$A$49,0),MATCH(F$5,Python0831!$B$1:$BV$1,0))</f>
        <v>242.71</v>
      </c>
      <c r="G25" s="7">
        <f>INDEX(Python0831!$B$1:$BV$49,MATCH($D25,Python0831!$A$1:$A$49,0),MATCH(G$5,Python0831!$B$1:$BV$1,0))</f>
        <v>4.3997999999999999</v>
      </c>
      <c r="H25" s="5">
        <f>INDEX(Python0831!$B$1:$BV$49,MATCH($D25,Python0831!$A$1:$A$49,0),MATCH(H$5,Python0831!$B$1:$BV$1,0))</f>
        <v>55836.0686709777</v>
      </c>
      <c r="I25" s="5">
        <f>INDEX(Python0831!$B$1:$BV$49,MATCH($D25,Python0831!$A$1:$A$49,0),MATCH(I$5,Python0831!$B$1:$BV$1,0))</f>
        <v>31968.435057241299</v>
      </c>
      <c r="J25" s="328">
        <f>INDEX(Python0831!$B$1:$BV$49,MATCH($D25,Python0831!$A$1:$A$49,0),MATCH(J$5,Python0831!$B$1:$BV$1,0))</f>
        <v>2.63285235095405E-2</v>
      </c>
      <c r="K25" s="5">
        <f>INDEX(Python0831!$B$1:$BV$49,MATCH($D25,Python0831!$A$1:$A$49,0),MATCH(K$5,Python0831!$B$1:$BV$1,0))</f>
        <v>67.316666666666606</v>
      </c>
      <c r="L25" s="5">
        <f>INDEX(Python0831!$B$1:$BV$49,MATCH($D25,Python0831!$A$1:$A$49,0),MATCH(L$5,Python0831!$B$1:$BV$1,0))</f>
        <v>381207.16</v>
      </c>
      <c r="M25" s="5">
        <f>INDEX(Python0831!$B$1:$BV$49,MATCH($D25,Python0831!$A$1:$A$49,0),MATCH(M$5,Python0831!$B$1:$BV$1,0))</f>
        <v>85365.4</v>
      </c>
      <c r="N25" s="5">
        <f>INDEX(Python0831!$B$1:$BV$49,MATCH($D25,Python0831!$A$1:$A$49,0),MATCH(N$5,Python0831!$B$1:$BV$1,0))</f>
        <v>855600</v>
      </c>
      <c r="O25" s="328">
        <f>INDEX(Python0831!$B$1:$BV$49,MATCH($D25,Python0831!$A$1:$A$49,0),MATCH(O$5,Python0831!$B$1:$BV$1,0))</f>
        <v>0.23480598410472101</v>
      </c>
      <c r="P25" s="5">
        <f>INDEX(Python0831!$B$1:$BV$49,MATCH($D25,Python0831!$A$1:$A$49,0),MATCH(P$5,Python0831!$B$1:$BV$1,0))</f>
        <v>14.3759591881332</v>
      </c>
      <c r="Q25" s="5">
        <f>INDEX(Python0831!$B$1:$BV$49,MATCH($D25,Python0831!$A$1:$A$49,0),MATCH(Q$5,Python0831!$B$1:$BV$1,0))</f>
        <v>37.696864816418802</v>
      </c>
      <c r="R25" s="5">
        <f>INDEX(Python0831!$B$1:$BV$49,MATCH($D25,Python0831!$A$1:$A$49,0),MATCH(R$5,Python0831!$B$1:$BV$1,0))</f>
        <v>18.709390064803699</v>
      </c>
      <c r="S25" s="327">
        <f>INDEX(Python0831!$B$1:$BV$49,MATCH($D25,Python0831!$A$1:$A$49,0),MATCH(S$5,Python0831!$B$1:$BV$1,0))</f>
        <v>0.24</v>
      </c>
      <c r="T25" s="5">
        <f>INDEX(Python0831!$B$1:$BV$49,MATCH($D25,Python0831!$A$1:$A$49,0),MATCH(T$5,Python0831!$B$1:$BV$1,0))</f>
        <v>86.365262393782203</v>
      </c>
      <c r="U25" s="5">
        <f>INDEX(Python0831!$B$1:$BV$49,MATCH($D25,Python0831!$A$1:$A$49,0),MATCH(U$5,Python0831!$B$1:$BV$1,0))</f>
        <v>1419.9685025941401</v>
      </c>
      <c r="V25" s="5">
        <f>INDEX(Python0831!$B$1:$BV$49,MATCH($D25,Python0831!$A$1:$A$49,0),MATCH(V$5,Python0831!$B$1:$BV$1,0))</f>
        <v>5</v>
      </c>
      <c r="W25" s="5">
        <f>INDEX(Python0831!$B$1:$BV$49,MATCH($D25,Python0831!$A$1:$A$49,0),MATCH(W$5,Python0831!$B$1:$BV$1,0))</f>
        <v>187.570519958955</v>
      </c>
      <c r="X25" s="5">
        <f>INDEX(Python0831!$B$1:$BV$49,MATCH($D25,Python0831!$A$1:$A$49,0),MATCH(X$5,Python0831!$B$1:$BV$1,0))</f>
        <v>11678.99</v>
      </c>
      <c r="Y25" s="5">
        <f>INDEX(Python0831!$B$1:$BV$49,MATCH($D25,Python0831!$A$1:$A$49,0),MATCH(Y$5,Python0831!$B$1:$BV$1,0))</f>
        <v>431</v>
      </c>
      <c r="Z25" s="5">
        <f>INDEX(Python0831!$B$1:$BV$49,MATCH($D25,Python0831!$A$1:$A$49,0),MATCH(Z$5,Python0831!$B$1:$BV$1,0))</f>
        <v>241.750364440195</v>
      </c>
      <c r="AA25" s="7">
        <f>INDEX(Python0831!$B$1:$BV$49,MATCH($D25,Python0831!$A$1:$A$49,0),MATCH(AA$5,Python0831!$B$1:$BV$1,0))</f>
        <v>0</v>
      </c>
      <c r="AB25" s="5">
        <f>INDEX(Python0831!$B$1:$BV$49,MATCH($D25,Python0831!$A$1:$A$49,0),MATCH(AB$5,Python0831!$B$1:$BV$1,0))</f>
        <v>55.6666666666666</v>
      </c>
      <c r="AC25" s="5">
        <f>INDEX(Python0831!$B$1:$BV$49,MATCH($D25,Python0831!$A$1:$A$49,0),MATCH(AC$5,Python0831!$B$1:$BV$1,0))</f>
        <v>27</v>
      </c>
      <c r="AD25" s="5">
        <f>INDEX(Python0831!$B$1:$BV$49,MATCH($D25,Python0831!$A$1:$A$49,0),MATCH(AD$5,Python0831!$B$1:$BV$1,0))</f>
        <v>35.9375</v>
      </c>
      <c r="AE25" s="5">
        <f>INDEX(Python0831!$B$1:$BV$49,MATCH($D25,Python0831!$A$1:$A$49,0),MATCH(AE$5,Python0831!$B$1:$BV$1,0))</f>
        <v>2.9174283743311098</v>
      </c>
      <c r="AF25" s="5">
        <f>INDEX(Python0831!$B$1:$BV$49,MATCH($D25,Python0831!$A$1:$A$49,0),MATCH(AF$5,Python0831!$B$1:$BV$1,0))</f>
        <v>0.26075619295958202</v>
      </c>
      <c r="AG25" s="5">
        <f>INDEX(Python0831!$B$1:$BV$49,MATCH($D25,Python0831!$A$1:$A$49,0),MATCH(AG$5,Python0831!$B$1:$BV$1,0))</f>
        <v>25.682185900238998</v>
      </c>
      <c r="AH25" s="5">
        <f>INDEX(Python0831!$B$1:$BV$49,MATCH($D25,Python0831!$A$1:$A$49,0),MATCH(AH$5,Python0831!$B$1:$BV$1,0))</f>
        <v>0</v>
      </c>
      <c r="AI25" s="5">
        <f>INDEX(Python0831!$B$1:$BV$49,MATCH($D25,Python0831!$A$1:$A$49,0),MATCH(AI$5,Python0831!$B$1:$BV$1,0))</f>
        <v>22.19173407948</v>
      </c>
      <c r="AJ25" s="5">
        <f>INDEX(Python0831!$B$1:$BV$49,MATCH($D25,Python0831!$A$1:$A$49,0),MATCH(AJ$5,Python0831!$B$1:$BV$1,0))</f>
        <v>10.5</v>
      </c>
      <c r="AK25" s="5">
        <f>INDEX(Python0831!$B$1:$BV$49,MATCH($D25,Python0831!$A$1:$A$49,0),MATCH(AK$5,Python0831!$B$1:$BV$1,0))</f>
        <v>18</v>
      </c>
      <c r="AL25" s="5">
        <f>INDEX(Python0831!$B$1:$BV$49,MATCH($D25,Python0831!$A$1:$A$49,0),MATCH(AL$5,Python0831!$B$1:$BV$1,0))</f>
        <v>6</v>
      </c>
      <c r="AM25" s="5">
        <f>INDEX(Python0831!$B$1:$BV$49,MATCH($D25,Python0831!$A$1:$A$49,0),MATCH(AM$5,Python0831!$B$1:$BV$1,0))</f>
        <v>87646</v>
      </c>
      <c r="AN25" s="5">
        <f>INDEX(Python0831!$B$1:$BV$49,MATCH($D25,Python0831!$A$1:$A$49,0),MATCH(AN$5,Python0831!$B$1:$BV$1,0))</f>
        <v>14471</v>
      </c>
      <c r="AO25" s="5">
        <f>INDEX(Python0831!$B$1:$BV$49,MATCH($D25,Python0831!$A$1:$A$49,0),MATCH(AO$5,Python0831!$B$1:$BV$1,0))</f>
        <v>26.295907102228799</v>
      </c>
      <c r="AP25" s="5">
        <f>INDEX(Python0831!$B$1:$BV$49,MATCH($D25,Python0831!$A$1:$A$49,0),MATCH(AP$5,Python0831!$B$1:$BV$1,0))</f>
        <v>21.5526339396433</v>
      </c>
      <c r="AQ25" s="5">
        <f>INDEX(Python0831!$B$1:$BV$49,MATCH($D25,Python0831!$A$1:$A$49,0),MATCH(AQ$5,Python0831!$B$1:$BV$1,0))</f>
        <v>1135800</v>
      </c>
      <c r="AR25" s="5">
        <f>INDEX(Python0831!$B$1:$BV$49,MATCH($D25,Python0831!$A$1:$A$49,0),MATCH(AR$5,Python0831!$B$1:$BV$1,0))</f>
        <v>467814.50614938501</v>
      </c>
      <c r="AS25" s="328">
        <f>INDEX(Python0831!$B$1:$BV$49,MATCH($D25,Python0831!$A$1:$A$49,0),MATCH(AS$5,Python0831!$B$1:$BV$1,0))</f>
        <v>4.2000000000000003E-2</v>
      </c>
      <c r="AT25" s="5">
        <f>INDEX(Python0831!$B$1:$BV$49,MATCH($D25,Python0831!$A$1:$A$49,0),MATCH(AT$5,Python0831!$B$1:$BV$1,0))</f>
        <v>2215.5165774265101</v>
      </c>
      <c r="AU25" s="7">
        <f>INDEX(Python0831!$B$1:$BV$49,MATCH($D25,Python0831!$A$1:$A$49,0),MATCH(AU$5,Python0831!$B$1:$BV$1,0))</f>
        <v>0.41860465116279</v>
      </c>
      <c r="AV25" s="5">
        <f>INDEX(Python0831!$B$1:$BV$49,MATCH($D25,Python0831!$A$1:$A$49,0),MATCH(AV$5,Python0831!$B$1:$BV$1,0))</f>
        <v>619.63432583727399</v>
      </c>
      <c r="AW25" s="5">
        <f>INDEX(Python0831!$B$1:$BV$49,MATCH($D25,Python0831!$A$1:$A$49,0),MATCH(AW$5,Python0831!$B$1:$BV$1,0))</f>
        <v>10.094074988290201</v>
      </c>
      <c r="AX25" s="5">
        <f>INDEX(Python0831!$B$1:$BV$49,MATCH($D25,Python0831!$A$1:$A$49,0),MATCH(AX$5,Python0831!$B$1:$BV$1,0))</f>
        <v>7.4085365853658498</v>
      </c>
      <c r="AY25" s="329">
        <f>INDEX(Python0831!$B$1:$BV$49,MATCH($D25,Python0831!$A$1:$A$49,0),MATCH(AY$5,Python0831!$B$1:$BV$1,0))</f>
        <v>1.2999999999999999E-3</v>
      </c>
      <c r="AZ25" s="5">
        <f>INDEX(Python0831!$B$1:$BV$49,MATCH($D25,Python0831!$A$1:$A$49,0),MATCH(AZ$5,Python0831!$B$1:$BV$1,0))</f>
        <v>74.7</v>
      </c>
      <c r="BA25" s="5">
        <f>INDEX(Python0831!$B$1:$BV$49,MATCH($D25,Python0831!$A$1:$A$49,0),MATCH(BA$5,Python0831!$B$1:$BV$1,0))</f>
        <v>40.542840897758197</v>
      </c>
      <c r="BB25" s="5">
        <f>INDEX(Python0831!$B$1:$BV$49,MATCH($D25,Python0831!$A$1:$A$49,0),MATCH(BB$5,Python0831!$B$1:$BV$1,0))</f>
        <v>9.2878426001898298</v>
      </c>
      <c r="BC25" s="5">
        <f>INDEX(Python0831!$B$1:$BV$49,MATCH($D25,Python0831!$A$1:$A$49,0),MATCH(BC$5,Python0831!$B$1:$BV$1,0))</f>
        <v>2438.74704568576</v>
      </c>
      <c r="BD25" s="5">
        <f>INDEX(Python0831!$B$1:$BV$49,MATCH($D25,Python0831!$A$1:$A$49,0),MATCH(BD$5,Python0831!$B$1:$BV$1,0))</f>
        <v>68.0037973015652</v>
      </c>
      <c r="BE25" s="5">
        <f>INDEX(Python0831!$B$1:$BV$49,MATCH($D25,Python0831!$A$1:$A$49,0),MATCH(BE$5,Python0831!$B$1:$BV$1,0))</f>
        <v>40.567569201430302</v>
      </c>
      <c r="BF25" s="5">
        <f>INDEX(Python0831!$B$1:$BV$49,MATCH($D25,Python0831!$A$1:$A$49,0),MATCH(BF$5,Python0831!$B$1:$BV$1,0))</f>
        <v>30.648363340205499</v>
      </c>
      <c r="BG25" s="5">
        <f>INDEX(Python0831!$B$1:$BV$49,MATCH($D25,Python0831!$A$1:$A$49,0),MATCH(BG$5,Python0831!$B$1:$BV$1,0))</f>
        <v>47.818181818181799</v>
      </c>
      <c r="BH25" s="327">
        <f>INDEX(Python0831!$B$1:$BV$49,MATCH($D25,Python0831!$A$1:$A$49,0),MATCH(BH$5,Python0831!$B$1:$BV$1,0))</f>
        <v>3.8899999999999997E-2</v>
      </c>
      <c r="BI25" s="327">
        <f>INDEX(Python0831!$B$1:$BV$49,MATCH($D25,Python0831!$A$1:$A$49,0),MATCH(BI$5,Python0831!$B$1:$BV$1,0))</f>
        <v>0.315</v>
      </c>
      <c r="BJ25" s="5">
        <f>INDEX(Python0831!$B$1:$BV$49,MATCH($D25,Python0831!$A$1:$A$49,0),MATCH(BJ$5,Python0831!$B$1:$BV$1,0))</f>
        <v>20.9216515566848</v>
      </c>
      <c r="BK25" s="5">
        <f>INDEX(Python0831!$B$1:$BV$49,MATCH($D25,Python0831!$A$1:$A$49,0),MATCH(BK$5,Python0831!$B$1:$BV$1,0))</f>
        <v>17.600000000000001</v>
      </c>
      <c r="BL25" s="7">
        <f>INDEX(Python0831!$B$1:$BV$49,MATCH($D25,Python0831!$A$1:$A$49,0),MATCH(BL$5,Python0831!$B$1:$BV$1,0))</f>
        <v>1.6220625142596301</v>
      </c>
      <c r="BM25" s="5">
        <f>INDEX(Python0831!$B$1:$BV$49,MATCH($D25,Python0831!$A$1:$A$49,0),MATCH(BM$5,Python0831!$B$1:$BV$1,0))</f>
        <v>35</v>
      </c>
      <c r="BN25" s="5">
        <f>INDEX(Python0831!$B$1:$BV$49,MATCH($D25,Python0831!$A$1:$A$49,0),MATCH(BN$5,Python0831!$B$1:$BV$1,0))</f>
        <v>51.578703351766499</v>
      </c>
      <c r="BO25" s="5">
        <f>INDEX(Python0831!$B$1:$BV$49,MATCH($D25,Python0831!$A$1:$A$49,0),MATCH(BO$5,Python0831!$B$1:$BV$1,0))</f>
        <v>54.263678488013802</v>
      </c>
      <c r="BP25" s="5">
        <f>INDEX(Python0831!$B$1:$BV$49,MATCH($D25,Python0831!$A$1:$A$49,0),MATCH(BP$5,Python0831!$B$1:$BV$1,0))</f>
        <v>94.022222222222396</v>
      </c>
      <c r="BQ25" s="7">
        <f>INDEX(Python0831!$B$1:$BV$49,MATCH($D25,Python0831!$A$1:$A$49,0),MATCH(BQ$5,Python0831!$B$1:$BV$1,0))</f>
        <v>20.778866996096198</v>
      </c>
      <c r="BR25" s="5">
        <f>INDEX(Python0831!$B$1:$BV$49,MATCH($D25,Python0831!$A$1:$A$49,0),MATCH(BR$5,Python0831!$B$1:$BV$1,0))</f>
        <v>25399296</v>
      </c>
      <c r="BS25" s="5">
        <f>INDEX(Python0831!$B$1:$BV$49,MATCH($D25,Python0831!$A$1:$A$49,0),MATCH(BS$5,Python0831!$B$1:$BV$1,0))</f>
        <v>216818</v>
      </c>
      <c r="BT25" s="8">
        <f>INDEX(Python0831!$B$1:$BV$49,MATCH($D25,Python0831!$A$1:$A$49,0),MATCH(BT$5,Python0831!$B$1:$BV$1,0))</f>
        <v>0.36923946797319701</v>
      </c>
      <c r="BU25" s="8">
        <f>INDEX(Python0831!$B$1:$BV$49,MATCH($D25,Python0831!$A$1:$A$49,0),MATCH(BU$5,Python0831!$B$1:$BV$1,0))</f>
        <v>0.12980826485649599</v>
      </c>
      <c r="BV25" s="5">
        <f>INDEX(Python0831!$B$1:$BV$49,MATCH($D25,Python0831!$A$1:$A$49,0),MATCH(BV$5,Python0831!$B$1:$BV$1,0))</f>
        <v>45</v>
      </c>
      <c r="BW25" s="5">
        <f>INDEX(Python0831!$B$1:$BV$49,MATCH($D25,Python0831!$A$1:$A$49,0),MATCH(BW$5,Python0831!$B$1:$BV$1,0))</f>
        <v>34.825000000000003</v>
      </c>
      <c r="BX25" s="382">
        <f>INDEX(Python0831!$B$1:$BV$49,MATCH($D25,Python0831!$A$1:$A$49,0),MATCH(BX$5,Python0831!$B$1:$BV$1,0))</f>
        <v>37.113402061855673</v>
      </c>
      <c r="BY25" s="5">
        <f>INDEX(Python0831!$B$1:$BV$49,MATCH($D25,Python0831!$A$1:$A$49,0),MATCH(BY$5,Python0831!$B$1:$BV$1,0))</f>
        <v>55.688681346249297</v>
      </c>
    </row>
    <row r="26" spans="1:77">
      <c r="A26" s="2">
        <v>21</v>
      </c>
      <c r="B26" s="58">
        <f>INDEX(順位表[Comprehensive],MATCH($C26,順位表['#],0))</f>
        <v>5</v>
      </c>
      <c r="C26" s="3">
        <v>21</v>
      </c>
      <c r="D26" s="1" t="str">
        <f>INDEX(都市マスタ[City Name],MATCH($C26,都市マスタ['#],0))</f>
        <v>Singapore</v>
      </c>
      <c r="E26" s="5">
        <f>INDEX(Python0831!$B$1:$BV$49,MATCH($D26,Python0831!$A$1:$A$49,0),MATCH(E$5,Python0831!$B$1:$BV$1,0))</f>
        <v>5637000</v>
      </c>
      <c r="F26" s="5">
        <f>INDEX(Python0831!$B$1:$BV$49,MATCH($D26,Python0831!$A$1:$A$49,0),MATCH(F$5,Python0831!$B$1:$BV$1,0))</f>
        <v>734.3</v>
      </c>
      <c r="G26" s="7">
        <f>INDEX(Python0831!$B$1:$BV$49,MATCH($D26,Python0831!$A$1:$A$49,0),MATCH(G$5,Python0831!$B$1:$BV$1,0))</f>
        <v>1.379</v>
      </c>
      <c r="H26" s="5">
        <f>INDEX(Python0831!$B$1:$BV$49,MATCH($D26,Python0831!$A$1:$A$49,0),MATCH(H$5,Python0831!$B$1:$BV$1,0))</f>
        <v>423634.07738095202</v>
      </c>
      <c r="I26" s="5">
        <f>INDEX(Python0831!$B$1:$BV$49,MATCH($D26,Python0831!$A$1:$A$49,0),MATCH(I$5,Python0831!$B$1:$BV$1,0))</f>
        <v>72766.468261244605</v>
      </c>
      <c r="J26" s="328">
        <f>INDEX(Python0831!$B$1:$BV$49,MATCH($D26,Python0831!$A$1:$A$49,0),MATCH(J$5,Python0831!$B$1:$BV$1,0))</f>
        <v>2.8006106205105501E-2</v>
      </c>
      <c r="K26" s="5">
        <f>INDEX(Python0831!$B$1:$BV$49,MATCH($D26,Python0831!$A$1:$A$49,0),MATCH(K$5,Python0831!$B$1:$BV$1,0))</f>
        <v>83.933333333333294</v>
      </c>
      <c r="L26" s="5">
        <f>INDEX(Python0831!$B$1:$BV$49,MATCH($D26,Python0831!$A$1:$A$49,0),MATCH(L$5,Python0831!$B$1:$BV$1,0))</f>
        <v>619361.68000000005</v>
      </c>
      <c r="M26" s="5">
        <f>INDEX(Python0831!$B$1:$BV$49,MATCH($D26,Python0831!$A$1:$A$49,0),MATCH(M$5,Python0831!$B$1:$BV$1,0))</f>
        <v>431710.9</v>
      </c>
      <c r="N26" s="5">
        <f>INDEX(Python0831!$B$1:$BV$49,MATCH($D26,Python0831!$A$1:$A$49,0),MATCH(N$5,Python0831!$B$1:$BV$1,0))</f>
        <v>3656200</v>
      </c>
      <c r="O26" s="328">
        <f>INDEX(Python0831!$B$1:$BV$49,MATCH($D26,Python0831!$A$1:$A$49,0),MATCH(O$5,Python0831!$B$1:$BV$1,0))</f>
        <v>0.16776981565559801</v>
      </c>
      <c r="P26" s="5">
        <f>INDEX(Python0831!$B$1:$BV$49,MATCH($D26,Python0831!$A$1:$A$49,0),MATCH(P$5,Python0831!$B$1:$BV$1,0))</f>
        <v>74.082364861677902</v>
      </c>
      <c r="Q26" s="5">
        <f>INDEX(Python0831!$B$1:$BV$49,MATCH($D26,Python0831!$A$1:$A$49,0),MATCH(Q$5,Python0831!$B$1:$BV$1,0))</f>
        <v>74.627741084482693</v>
      </c>
      <c r="R26" s="5">
        <f>INDEX(Python0831!$B$1:$BV$49,MATCH($D26,Python0831!$A$1:$A$49,0),MATCH(R$5,Python0831!$B$1:$BV$1,0))</f>
        <v>54.535975213757901</v>
      </c>
      <c r="S26" s="327">
        <f>INDEX(Python0831!$B$1:$BV$49,MATCH($D26,Python0831!$A$1:$A$49,0),MATCH(S$5,Python0831!$B$1:$BV$1,0))</f>
        <v>0.17</v>
      </c>
      <c r="T26" s="5">
        <f>INDEX(Python0831!$B$1:$BV$49,MATCH($D26,Python0831!$A$1:$A$49,0),MATCH(T$5,Python0831!$B$1:$BV$1,0))</f>
        <v>100</v>
      </c>
      <c r="U26" s="5">
        <f>INDEX(Python0831!$B$1:$BV$49,MATCH($D26,Python0831!$A$1:$A$49,0),MATCH(U$5,Python0831!$B$1:$BV$1,0))</f>
        <v>42292.974326800002</v>
      </c>
      <c r="V26" s="5">
        <f>INDEX(Python0831!$B$1:$BV$49,MATCH($D26,Python0831!$A$1:$A$49,0),MATCH(V$5,Python0831!$B$1:$BV$1,0))</f>
        <v>347</v>
      </c>
      <c r="W26" s="5">
        <f>INDEX(Python0831!$B$1:$BV$49,MATCH($D26,Python0831!$A$1:$A$49,0),MATCH(W$5,Python0831!$B$1:$BV$1,0))</f>
        <v>7078.2992881029104</v>
      </c>
      <c r="X26" s="5">
        <f>INDEX(Python0831!$B$1:$BV$49,MATCH($D26,Python0831!$A$1:$A$49,0),MATCH(X$5,Python0831!$B$1:$BV$1,0))</f>
        <v>14247</v>
      </c>
      <c r="Y26" s="5">
        <f>INDEX(Python0831!$B$1:$BV$49,MATCH($D26,Python0831!$A$1:$A$49,0),MATCH(Y$5,Python0831!$B$1:$BV$1,0))</f>
        <v>556.33333333333303</v>
      </c>
      <c r="Z26" s="5">
        <f>INDEX(Python0831!$B$1:$BV$49,MATCH($D26,Python0831!$A$1:$A$49,0),MATCH(Z$5,Python0831!$B$1:$BV$1,0))</f>
        <v>5859.2</v>
      </c>
      <c r="AA26" s="7">
        <f>INDEX(Python0831!$B$1:$BV$49,MATCH($D26,Python0831!$A$1:$A$49,0),MATCH(AA$5,Python0831!$B$1:$BV$1,0))</f>
        <v>0</v>
      </c>
      <c r="AB26" s="5">
        <f>INDEX(Python0831!$B$1:$BV$49,MATCH($D26,Python0831!$A$1:$A$49,0),MATCH(AB$5,Python0831!$B$1:$BV$1,0))</f>
        <v>574.66666666666595</v>
      </c>
      <c r="AC26" s="5">
        <f>INDEX(Python0831!$B$1:$BV$49,MATCH($D26,Python0831!$A$1:$A$49,0),MATCH(AC$5,Python0831!$B$1:$BV$1,0))</f>
        <v>140</v>
      </c>
      <c r="AD26" s="5">
        <f>INDEX(Python0831!$B$1:$BV$49,MATCH($D26,Python0831!$A$1:$A$49,0),MATCH(AD$5,Python0831!$B$1:$BV$1,0))</f>
        <v>34.375</v>
      </c>
      <c r="AE26" s="5">
        <f>INDEX(Python0831!$B$1:$BV$49,MATCH($D26,Python0831!$A$1:$A$49,0),MATCH(AE$5,Python0831!$B$1:$BV$1,0))</f>
        <v>77.794452382560095</v>
      </c>
      <c r="AF26" s="5">
        <f>INDEX(Python0831!$B$1:$BV$49,MATCH($D26,Python0831!$A$1:$A$49,0),MATCH(AF$5,Python0831!$B$1:$BV$1,0))</f>
        <v>2.6071535001399502</v>
      </c>
      <c r="AG26" s="5">
        <f>INDEX(Python0831!$B$1:$BV$49,MATCH($D26,Python0831!$A$1:$A$49,0),MATCH(AG$5,Python0831!$B$1:$BV$1,0))</f>
        <v>43.452461992248097</v>
      </c>
      <c r="AH26" s="5">
        <f>INDEX(Python0831!$B$1:$BV$49,MATCH($D26,Python0831!$A$1:$A$49,0),MATCH(AH$5,Python0831!$B$1:$BV$1,0))</f>
        <v>1</v>
      </c>
      <c r="AI26" s="5">
        <f>INDEX(Python0831!$B$1:$BV$49,MATCH($D26,Python0831!$A$1:$A$49,0),MATCH(AI$5,Python0831!$B$1:$BV$1,0))</f>
        <v>21.869623828590999</v>
      </c>
      <c r="AJ26" s="5">
        <f>INDEX(Python0831!$B$1:$BV$49,MATCH($D26,Python0831!$A$1:$A$49,0),MATCH(AJ$5,Python0831!$B$1:$BV$1,0))</f>
        <v>32</v>
      </c>
      <c r="AK26" s="5">
        <f>INDEX(Python0831!$B$1:$BV$49,MATCH($D26,Python0831!$A$1:$A$49,0),MATCH(AK$5,Python0831!$B$1:$BV$1,0))</f>
        <v>13</v>
      </c>
      <c r="AL26" s="5">
        <f>INDEX(Python0831!$B$1:$BV$49,MATCH($D26,Python0831!$A$1:$A$49,0),MATCH(AL$5,Python0831!$B$1:$BV$1,0))</f>
        <v>3</v>
      </c>
      <c r="AM26" s="5">
        <f>INDEX(Python0831!$B$1:$BV$49,MATCH($D26,Python0831!$A$1:$A$49,0),MATCH(AM$5,Python0831!$B$1:$BV$1,0))</f>
        <v>71727</v>
      </c>
      <c r="AN26" s="5">
        <f>INDEX(Python0831!$B$1:$BV$49,MATCH($D26,Python0831!$A$1:$A$49,0),MATCH(AN$5,Python0831!$B$1:$BV$1,0))</f>
        <v>18846</v>
      </c>
      <c r="AO26" s="5">
        <f>INDEX(Python0831!$B$1:$BV$49,MATCH($D26,Python0831!$A$1:$A$49,0),MATCH(AO$5,Python0831!$B$1:$BV$1,0))</f>
        <v>48.747341475018501</v>
      </c>
      <c r="AP26" s="5">
        <f>INDEX(Python0831!$B$1:$BV$49,MATCH($D26,Python0831!$A$1:$A$49,0),MATCH(AP$5,Python0831!$B$1:$BV$1,0))</f>
        <v>40.220889430153399</v>
      </c>
      <c r="AQ26" s="5">
        <f>INDEX(Python0831!$B$1:$BV$49,MATCH($D26,Python0831!$A$1:$A$49,0),MATCH(AQ$5,Python0831!$B$1:$BV$1,0))</f>
        <v>2083300</v>
      </c>
      <c r="AR26" s="5">
        <f>INDEX(Python0831!$B$1:$BV$49,MATCH($D26,Python0831!$A$1:$A$49,0),MATCH(AR$5,Python0831!$B$1:$BV$1,0))</f>
        <v>6305744</v>
      </c>
      <c r="AS26" s="328">
        <f>INDEX(Python0831!$B$1:$BV$49,MATCH($D26,Python0831!$A$1:$A$49,0),MATCH(AS$5,Python0831!$B$1:$BV$1,0))</f>
        <v>2.1000000000000001E-2</v>
      </c>
      <c r="AT26" s="5">
        <f>INDEX(Python0831!$B$1:$BV$49,MATCH($D26,Python0831!$A$1:$A$49,0),MATCH(AT$5,Python0831!$B$1:$BV$1,0))</f>
        <v>2242.4932735426</v>
      </c>
      <c r="AU26" s="7">
        <f>INDEX(Python0831!$B$1:$BV$49,MATCH($D26,Python0831!$A$1:$A$49,0),MATCH(AU$5,Python0831!$B$1:$BV$1,0))</f>
        <v>0.66666666666666596</v>
      </c>
      <c r="AV26" s="5">
        <f>INDEX(Python0831!$B$1:$BV$49,MATCH($D26,Python0831!$A$1:$A$49,0),MATCH(AV$5,Python0831!$B$1:$BV$1,0))</f>
        <v>4138.4133184523798</v>
      </c>
      <c r="AW26" s="5">
        <f>INDEX(Python0831!$B$1:$BV$49,MATCH($D26,Python0831!$A$1:$A$49,0),MATCH(AW$5,Python0831!$B$1:$BV$1,0))</f>
        <v>63.442139880606703</v>
      </c>
      <c r="AX26" s="5">
        <f>INDEX(Python0831!$B$1:$BV$49,MATCH($D26,Python0831!$A$1:$A$49,0),MATCH(AX$5,Python0831!$B$1:$BV$1,0))</f>
        <v>1.0526315789473599</v>
      </c>
      <c r="AY26" s="329">
        <f>INDEX(Python0831!$B$1:$BV$49,MATCH($D26,Python0831!$A$1:$A$49,0),MATCH(AY$5,Python0831!$B$1:$BV$1,0))</f>
        <v>2.3999999999999998E-3</v>
      </c>
      <c r="AZ26" s="5">
        <f>INDEX(Python0831!$B$1:$BV$49,MATCH($D26,Python0831!$A$1:$A$49,0),MATCH(AZ$5,Python0831!$B$1:$BV$1,0))</f>
        <v>83.2</v>
      </c>
      <c r="BA26" s="5">
        <f>INDEX(Python0831!$B$1:$BV$49,MATCH($D26,Python0831!$A$1:$A$49,0),MATCH(BA$5,Python0831!$B$1:$BV$1,0))</f>
        <v>53.839918278260797</v>
      </c>
      <c r="BB26" s="5">
        <f>INDEX(Python0831!$B$1:$BV$49,MATCH($D26,Python0831!$A$1:$A$49,0),MATCH(BB$5,Python0831!$B$1:$BV$1,0))</f>
        <v>17.423644347563201</v>
      </c>
      <c r="BC26" s="5">
        <f>INDEX(Python0831!$B$1:$BV$49,MATCH($D26,Python0831!$A$1:$A$49,0),MATCH(BC$5,Python0831!$B$1:$BV$1,0))</f>
        <v>2503.5065572620802</v>
      </c>
      <c r="BD26" s="5">
        <f>INDEX(Python0831!$B$1:$BV$49,MATCH($D26,Python0831!$A$1:$A$49,0),MATCH(BD$5,Python0831!$B$1:$BV$1,0))</f>
        <v>80.081562182254203</v>
      </c>
      <c r="BE26" s="5">
        <f>INDEX(Python0831!$B$1:$BV$49,MATCH($D26,Python0831!$A$1:$A$49,0),MATCH(BE$5,Python0831!$B$1:$BV$1,0))</f>
        <v>55.274360298370901</v>
      </c>
      <c r="BF26" s="5">
        <f>INDEX(Python0831!$B$1:$BV$49,MATCH($D26,Python0831!$A$1:$A$49,0),MATCH(BF$5,Python0831!$B$1:$BV$1,0))</f>
        <v>45.693000810484897</v>
      </c>
      <c r="BG26" s="5">
        <f>INDEX(Python0831!$B$1:$BV$49,MATCH($D26,Python0831!$A$1:$A$49,0),MATCH(BG$5,Python0831!$B$1:$BV$1,0))</f>
        <v>7.7626666666666599</v>
      </c>
      <c r="BH26" s="327">
        <f>INDEX(Python0831!$B$1:$BV$49,MATCH($D26,Python0831!$A$1:$A$49,0),MATCH(BH$5,Python0831!$B$1:$BV$1,0))</f>
        <v>1.21999999999999E-2</v>
      </c>
      <c r="BI26" s="327">
        <f>INDEX(Python0831!$B$1:$BV$49,MATCH($D26,Python0831!$A$1:$A$49,0),MATCH(BI$5,Python0831!$B$1:$BV$1,0))</f>
        <v>0.58708874758086804</v>
      </c>
      <c r="BJ26" s="5">
        <f>INDEX(Python0831!$B$1:$BV$49,MATCH($D26,Python0831!$A$1:$A$49,0),MATCH(BJ$5,Python0831!$B$1:$BV$1,0))</f>
        <v>7.6158184949962697</v>
      </c>
      <c r="BK26" s="5">
        <f>INDEX(Python0831!$B$1:$BV$49,MATCH($D26,Python0831!$A$1:$A$49,0),MATCH(BK$5,Python0831!$B$1:$BV$1,0))</f>
        <v>13.3</v>
      </c>
      <c r="BL26" s="7">
        <f>INDEX(Python0831!$B$1:$BV$49,MATCH($D26,Python0831!$A$1:$A$49,0),MATCH(BL$5,Python0831!$B$1:$BV$1,0))</f>
        <v>1.5470576312411299</v>
      </c>
      <c r="BM26" s="5">
        <f>INDEX(Python0831!$B$1:$BV$49,MATCH($D26,Python0831!$A$1:$A$49,0),MATCH(BM$5,Python0831!$B$1:$BV$1,0))</f>
        <v>75.5</v>
      </c>
      <c r="BN26" s="5">
        <f>INDEX(Python0831!$B$1:$BV$49,MATCH($D26,Python0831!$A$1:$A$49,0),MATCH(BN$5,Python0831!$B$1:$BV$1,0))</f>
        <v>75.935427995319998</v>
      </c>
      <c r="BO26" s="5">
        <f>INDEX(Python0831!$B$1:$BV$49,MATCH($D26,Python0831!$A$1:$A$49,0),MATCH(BO$5,Python0831!$B$1:$BV$1,0))</f>
        <v>92.339349878833403</v>
      </c>
      <c r="BP26" s="5">
        <f>INDEX(Python0831!$B$1:$BV$49,MATCH($D26,Python0831!$A$1:$A$49,0),MATCH(BP$5,Python0831!$B$1:$BV$1,0))</f>
        <v>135.00000000000099</v>
      </c>
      <c r="BQ26" s="7">
        <f>INDEX(Python0831!$B$1:$BV$49,MATCH($D26,Python0831!$A$1:$A$49,0),MATCH(BQ$5,Python0831!$B$1:$BV$1,0))</f>
        <v>61.506305468198001</v>
      </c>
      <c r="BR26" s="5">
        <f>INDEX(Python0831!$B$1:$BV$49,MATCH($D26,Python0831!$A$1:$A$49,0),MATCH(BR$5,Python0831!$B$1:$BV$1,0))</f>
        <v>32202000</v>
      </c>
      <c r="BS26" s="5">
        <f>INDEX(Python0831!$B$1:$BV$49,MATCH($D26,Python0831!$A$1:$A$49,0),MATCH(BS$5,Python0831!$B$1:$BV$1,0))</f>
        <v>220215</v>
      </c>
      <c r="BT26" s="8">
        <f>INDEX(Python0831!$B$1:$BV$49,MATCH($D26,Python0831!$A$1:$A$49,0),MATCH(BT$5,Python0831!$B$1:$BV$1,0))</f>
        <v>0.346957775940331</v>
      </c>
      <c r="BU26" s="8">
        <f>INDEX(Python0831!$B$1:$BV$49,MATCH($D26,Python0831!$A$1:$A$49,0),MATCH(BU$5,Python0831!$B$1:$BV$1,0))</f>
        <v>0.72854932762108704</v>
      </c>
      <c r="BV26" s="5">
        <f>INDEX(Python0831!$B$1:$BV$49,MATCH($D26,Python0831!$A$1:$A$49,0),MATCH(BV$5,Python0831!$B$1:$BV$1,0))</f>
        <v>18</v>
      </c>
      <c r="BW26" s="5">
        <f>INDEX(Python0831!$B$1:$BV$49,MATCH($D26,Python0831!$A$1:$A$49,0),MATCH(BW$5,Python0831!$B$1:$BV$1,0))</f>
        <v>38.862499999999997</v>
      </c>
      <c r="BX26" s="382">
        <f>INDEX(Python0831!$B$1:$BV$49,MATCH($D26,Python0831!$A$1:$A$49,0),MATCH(BX$5,Python0831!$B$1:$BV$1,0))</f>
        <v>36.363636363636367</v>
      </c>
      <c r="BY26" s="5">
        <f>INDEX(Python0831!$B$1:$BV$49,MATCH($D26,Python0831!$A$1:$A$49,0),MATCH(BY$5,Python0831!$B$1:$BV$1,0))</f>
        <v>59.7410624454808</v>
      </c>
    </row>
    <row r="27" spans="1:77">
      <c r="A27" s="2">
        <v>22</v>
      </c>
      <c r="B27" s="58">
        <f>INDEX(順位表[Comprehensive],MATCH($C27,順位表['#],0))</f>
        <v>18</v>
      </c>
      <c r="C27" s="3">
        <v>22</v>
      </c>
      <c r="D27" s="1" t="str">
        <f>INDEX(都市マスタ[City Name],MATCH($C27,都市マスタ['#],0))</f>
        <v>Hong Kong</v>
      </c>
      <c r="E27" s="5">
        <f>INDEX(Python0831!$B$1:$BV$49,MATCH($D27,Python0831!$A$1:$A$49,0),MATCH(E$5,Python0831!$B$1:$BV$1,0))</f>
        <v>7346100</v>
      </c>
      <c r="F27" s="5">
        <f>INDEX(Python0831!$B$1:$BV$49,MATCH($D27,Python0831!$A$1:$A$49,0),MATCH(F$5,Python0831!$B$1:$BV$1,0))</f>
        <v>1114.4000000000001</v>
      </c>
      <c r="G27" s="7">
        <f>INDEX(Python0831!$B$1:$BV$49,MATCH($D27,Python0831!$A$1:$A$49,0),MATCH(G$5,Python0831!$B$1:$BV$1,0))</f>
        <v>7.8310000000000004</v>
      </c>
      <c r="H27" s="5">
        <f>INDEX(Python0831!$B$1:$BV$49,MATCH($D27,Python0831!$A$1:$A$49,0),MATCH(H$5,Python0831!$B$1:$BV$1,0))</f>
        <v>368936.06072301499</v>
      </c>
      <c r="I27" s="5">
        <f>INDEX(Python0831!$B$1:$BV$49,MATCH($D27,Python0831!$A$1:$A$49,0),MATCH(I$5,Python0831!$B$1:$BV$1,0))</f>
        <v>49766.113469702803</v>
      </c>
      <c r="J27" s="328">
        <f>INDEX(Python0831!$B$1:$BV$49,MATCH($D27,Python0831!$A$1:$A$49,0),MATCH(J$5,Python0831!$B$1:$BV$1,0))</f>
        <v>8.9999999999999993E-3</v>
      </c>
      <c r="K27" s="5">
        <f>INDEX(Python0831!$B$1:$BV$49,MATCH($D27,Python0831!$A$1:$A$49,0),MATCH(K$5,Python0831!$B$1:$BV$1,0))</f>
        <v>48.2916666666666</v>
      </c>
      <c r="L27" s="5">
        <f>INDEX(Python0831!$B$1:$BV$49,MATCH($D27,Python0831!$A$1:$A$49,0),MATCH(L$5,Python0831!$B$1:$BV$1,0))</f>
        <v>4566809.0599999996</v>
      </c>
      <c r="M27" s="5">
        <f>INDEX(Python0831!$B$1:$BV$49,MATCH($D27,Python0831!$A$1:$A$49,0),MATCH(M$5,Python0831!$B$1:$BV$1,0))</f>
        <v>366825.2</v>
      </c>
      <c r="N27" s="5">
        <f>INDEX(Python0831!$B$1:$BV$49,MATCH($D27,Python0831!$A$1:$A$49,0),MATCH(N$5,Python0831!$B$1:$BV$1,0))</f>
        <v>3654100</v>
      </c>
      <c r="O27" s="328">
        <f>INDEX(Python0831!$B$1:$BV$49,MATCH($D27,Python0831!$A$1:$A$49,0),MATCH(O$5,Python0831!$B$1:$BV$1,0))</f>
        <v>0.22600000000000001</v>
      </c>
      <c r="P27" s="5">
        <f>INDEX(Python0831!$B$1:$BV$49,MATCH($D27,Python0831!$A$1:$A$49,0),MATCH(P$5,Python0831!$B$1:$BV$1,0))</f>
        <v>41.995066685185499</v>
      </c>
      <c r="Q27" s="5">
        <f>INDEX(Python0831!$B$1:$BV$49,MATCH($D27,Python0831!$A$1:$A$49,0),MATCH(Q$5,Python0831!$B$1:$BV$1,0))</f>
        <v>41.437801777811401</v>
      </c>
      <c r="R27" s="5">
        <f>INDEX(Python0831!$B$1:$BV$49,MATCH($D27,Python0831!$A$1:$A$49,0),MATCH(R$5,Python0831!$B$1:$BV$1,0))</f>
        <v>52.656437393664802</v>
      </c>
      <c r="S27" s="327">
        <f>INDEX(Python0831!$B$1:$BV$49,MATCH($D27,Python0831!$A$1:$A$49,0),MATCH(S$5,Python0831!$B$1:$BV$1,0))</f>
        <v>0.16500000000000001</v>
      </c>
      <c r="T27" s="5">
        <f>INDEX(Python0831!$B$1:$BV$49,MATCH($D27,Python0831!$A$1:$A$49,0),MATCH(T$5,Python0831!$B$1:$BV$1,0))</f>
        <v>98.3868053078196</v>
      </c>
      <c r="U27" s="5">
        <f>INDEX(Python0831!$B$1:$BV$49,MATCH($D27,Python0831!$A$1:$A$49,0),MATCH(U$5,Python0831!$B$1:$BV$1,0))</f>
        <v>34150.534724999998</v>
      </c>
      <c r="V27" s="5">
        <f>INDEX(Python0831!$B$1:$BV$49,MATCH($D27,Python0831!$A$1:$A$49,0),MATCH(V$5,Python0831!$B$1:$BV$1,0))</f>
        <v>694</v>
      </c>
      <c r="W27" s="5">
        <f>INDEX(Python0831!$B$1:$BV$49,MATCH($D27,Python0831!$A$1:$A$49,0),MATCH(W$5,Python0831!$B$1:$BV$1,0))</f>
        <v>3579.8666425410302</v>
      </c>
      <c r="X27" s="5">
        <f>INDEX(Python0831!$B$1:$BV$49,MATCH($D27,Python0831!$A$1:$A$49,0),MATCH(X$5,Python0831!$B$1:$BV$1,0))</f>
        <v>31349.31</v>
      </c>
      <c r="Y27" s="5">
        <f>INDEX(Python0831!$B$1:$BV$49,MATCH($D27,Python0831!$A$1:$A$49,0),MATCH(Y$5,Python0831!$B$1:$BV$1,0))</f>
        <v>530.66666666666595</v>
      </c>
      <c r="Z27" s="5">
        <f>INDEX(Python0831!$B$1:$BV$49,MATCH($D27,Python0831!$A$1:$A$49,0),MATCH(Z$5,Python0831!$B$1:$BV$1,0))</f>
        <v>7461.4</v>
      </c>
      <c r="AA27" s="7">
        <f>INDEX(Python0831!$B$1:$BV$49,MATCH($D27,Python0831!$A$1:$A$49,0),MATCH(AA$5,Python0831!$B$1:$BV$1,0))</f>
        <v>0</v>
      </c>
      <c r="AB27" s="5">
        <f>INDEX(Python0831!$B$1:$BV$49,MATCH($D27,Python0831!$A$1:$A$49,0),MATCH(AB$5,Python0831!$B$1:$BV$1,0))</f>
        <v>133.333333333333</v>
      </c>
      <c r="AC27" s="5">
        <f>INDEX(Python0831!$B$1:$BV$49,MATCH($D27,Python0831!$A$1:$A$49,0),MATCH(AC$5,Python0831!$B$1:$BV$1,0))</f>
        <v>16</v>
      </c>
      <c r="AD27" s="5">
        <f>INDEX(Python0831!$B$1:$BV$49,MATCH($D27,Python0831!$A$1:$A$49,0),MATCH(AD$5,Python0831!$B$1:$BV$1,0))</f>
        <v>21.875</v>
      </c>
      <c r="AE27" s="5">
        <f>INDEX(Python0831!$B$1:$BV$49,MATCH($D27,Python0831!$A$1:$A$49,0),MATCH(AE$5,Python0831!$B$1:$BV$1,0))</f>
        <v>52.374485959221502</v>
      </c>
      <c r="AF27" s="5">
        <f>INDEX(Python0831!$B$1:$BV$49,MATCH($D27,Python0831!$A$1:$A$49,0),MATCH(AF$5,Python0831!$B$1:$BV$1,0))</f>
        <v>5.1303445051081402</v>
      </c>
      <c r="AG27" s="5">
        <f>INDEX(Python0831!$B$1:$BV$49,MATCH($D27,Python0831!$A$1:$A$49,0),MATCH(AG$5,Python0831!$B$1:$BV$1,0))</f>
        <v>31.701265236024099</v>
      </c>
      <c r="AH27" s="5">
        <f>INDEX(Python0831!$B$1:$BV$49,MATCH($D27,Python0831!$A$1:$A$49,0),MATCH(AH$5,Python0831!$B$1:$BV$1,0))</f>
        <v>1</v>
      </c>
      <c r="AI27" s="5">
        <f>INDEX(Python0831!$B$1:$BV$49,MATCH($D27,Python0831!$A$1:$A$49,0),MATCH(AI$5,Python0831!$B$1:$BV$1,0))</f>
        <v>22.680396116546699</v>
      </c>
      <c r="AJ27" s="5">
        <f>INDEX(Python0831!$B$1:$BV$49,MATCH($D27,Python0831!$A$1:$A$49,0),MATCH(AJ$5,Python0831!$B$1:$BV$1,0))</f>
        <v>17</v>
      </c>
      <c r="AK27" s="5">
        <f>INDEX(Python0831!$B$1:$BV$49,MATCH($D27,Python0831!$A$1:$A$49,0),MATCH(AK$5,Python0831!$B$1:$BV$1,0))</f>
        <v>27</v>
      </c>
      <c r="AL27" s="5">
        <f>INDEX(Python0831!$B$1:$BV$49,MATCH($D27,Python0831!$A$1:$A$49,0),MATCH(AL$5,Python0831!$B$1:$BV$1,0))</f>
        <v>6</v>
      </c>
      <c r="AM27" s="5">
        <f>INDEX(Python0831!$B$1:$BV$49,MATCH($D27,Python0831!$A$1:$A$49,0),MATCH(AM$5,Python0831!$B$1:$BV$1,0))</f>
        <v>66813</v>
      </c>
      <c r="AN27" s="5">
        <f>INDEX(Python0831!$B$1:$BV$49,MATCH($D27,Python0831!$A$1:$A$49,0),MATCH(AN$5,Python0831!$B$1:$BV$1,0))</f>
        <v>15164</v>
      </c>
      <c r="AO27" s="5">
        <f>INDEX(Python0831!$B$1:$BV$49,MATCH($D27,Python0831!$A$1:$A$49,0),MATCH(AO$5,Python0831!$B$1:$BV$1,0))</f>
        <v>39.478198068871599</v>
      </c>
      <c r="AP27" s="5">
        <f>INDEX(Python0831!$B$1:$BV$49,MATCH($D27,Python0831!$A$1:$A$49,0),MATCH(AP$5,Python0831!$B$1:$BV$1,0))</f>
        <v>35.421262615376797</v>
      </c>
      <c r="AQ27" s="5">
        <f>INDEX(Python0831!$B$1:$BV$49,MATCH($D27,Python0831!$A$1:$A$49,0),MATCH(AQ$5,Python0831!$B$1:$BV$1,0))</f>
        <v>676218</v>
      </c>
      <c r="AR27" s="5">
        <f>INDEX(Python0831!$B$1:$BV$49,MATCH($D27,Python0831!$A$1:$A$49,0),MATCH(AR$5,Python0831!$B$1:$BV$1,0))</f>
        <v>196000</v>
      </c>
      <c r="AS27" s="328">
        <f>INDEX(Python0831!$B$1:$BV$49,MATCH($D27,Python0831!$A$1:$A$49,0),MATCH(AS$5,Python0831!$B$1:$BV$1,0))</f>
        <v>4.2999999999999997E-2</v>
      </c>
      <c r="AT27" s="5">
        <f>INDEX(Python0831!$B$1:$BV$49,MATCH($D27,Python0831!$A$1:$A$49,0),MATCH(AT$5,Python0831!$B$1:$BV$1,0))</f>
        <v>2006.44923710086</v>
      </c>
      <c r="AU27" s="7">
        <f>INDEX(Python0831!$B$1:$BV$49,MATCH($D27,Python0831!$A$1:$A$49,0),MATCH(AU$5,Python0831!$B$1:$BV$1,0))</f>
        <v>0.40526315789473599</v>
      </c>
      <c r="AV27" s="5">
        <f>INDEX(Python0831!$B$1:$BV$49,MATCH($D27,Python0831!$A$1:$A$49,0),MATCH(AV$5,Python0831!$B$1:$BV$1,0))</f>
        <v>2773.58580985462</v>
      </c>
      <c r="AW27" s="5">
        <f>INDEX(Python0831!$B$1:$BV$49,MATCH($D27,Python0831!$A$1:$A$49,0),MATCH(AW$5,Python0831!$B$1:$BV$1,0))</f>
        <v>42.339354228944998</v>
      </c>
      <c r="AX27" s="5">
        <f>INDEX(Python0831!$B$1:$BV$49,MATCH($D27,Python0831!$A$1:$A$49,0),MATCH(AX$5,Python0831!$B$1:$BV$1,0))</f>
        <v>4.0540540540540499</v>
      </c>
      <c r="AY27" s="329">
        <f>INDEX(Python0831!$B$1:$BV$49,MATCH($D27,Python0831!$A$1:$A$49,0),MATCH(AY$5,Python0831!$B$1:$BV$1,0))</f>
        <v>2.8E-3</v>
      </c>
      <c r="AZ27" s="5">
        <f>INDEX(Python0831!$B$1:$BV$49,MATCH($D27,Python0831!$A$1:$A$49,0),MATCH(AZ$5,Python0831!$B$1:$BV$1,0))</f>
        <v>85.492682926829204</v>
      </c>
      <c r="BA27" s="5">
        <f>INDEX(Python0831!$B$1:$BV$49,MATCH($D27,Python0831!$A$1:$A$49,0),MATCH(BA$5,Python0831!$B$1:$BV$1,0))</f>
        <v>42.081236393764399</v>
      </c>
      <c r="BB27" s="5">
        <f>INDEX(Python0831!$B$1:$BV$49,MATCH($D27,Python0831!$A$1:$A$49,0),MATCH(BB$5,Python0831!$B$1:$BV$1,0))</f>
        <v>23.073286052009401</v>
      </c>
      <c r="BC27" s="5">
        <f>INDEX(Python0831!$B$1:$BV$49,MATCH($D27,Python0831!$A$1:$A$49,0),MATCH(BC$5,Python0831!$B$1:$BV$1,0))</f>
        <v>3157.7962522387602</v>
      </c>
      <c r="BD27" s="5">
        <f>INDEX(Python0831!$B$1:$BV$49,MATCH($D27,Python0831!$A$1:$A$49,0),MATCH(BD$5,Python0831!$B$1:$BV$1,0))</f>
        <v>68.748585650552201</v>
      </c>
      <c r="BE27" s="5">
        <f>INDEX(Python0831!$B$1:$BV$49,MATCH($D27,Python0831!$A$1:$A$49,0),MATCH(BE$5,Python0831!$B$1:$BV$1,0))</f>
        <v>40.852235152933901</v>
      </c>
      <c r="BF27" s="5">
        <f>INDEX(Python0831!$B$1:$BV$49,MATCH($D27,Python0831!$A$1:$A$49,0),MATCH(BF$5,Python0831!$B$1:$BV$1,0))</f>
        <v>53.789951868440603</v>
      </c>
      <c r="BG27" s="5">
        <f>INDEX(Python0831!$B$1:$BV$49,MATCH($D27,Python0831!$A$1:$A$49,0),MATCH(BG$5,Python0831!$B$1:$BV$1,0))</f>
        <v>25.424242424242401</v>
      </c>
      <c r="BH27" s="327">
        <f>INDEX(Python0831!$B$1:$BV$49,MATCH($D27,Python0831!$A$1:$A$49,0),MATCH(BH$5,Python0831!$B$1:$BV$1,0))</f>
        <v>7.6E-3</v>
      </c>
      <c r="BI27" s="327">
        <f>INDEX(Python0831!$B$1:$BV$49,MATCH($D27,Python0831!$A$1:$A$49,0),MATCH(BI$5,Python0831!$B$1:$BV$1,0))</f>
        <v>0.35411949137780802</v>
      </c>
      <c r="BJ27" s="5">
        <f>INDEX(Python0831!$B$1:$BV$49,MATCH($D27,Python0831!$A$1:$A$49,0),MATCH(BJ$5,Python0831!$B$1:$BV$1,0))</f>
        <v>4.6508225112062203</v>
      </c>
      <c r="BK27" s="5">
        <f>INDEX(Python0831!$B$1:$BV$49,MATCH($D27,Python0831!$A$1:$A$49,0),MATCH(BK$5,Python0831!$B$1:$BV$1,0))</f>
        <v>14.4</v>
      </c>
      <c r="BL27" s="7">
        <f>INDEX(Python0831!$B$1:$BV$49,MATCH($D27,Python0831!$A$1:$A$49,0),MATCH(BL$5,Python0831!$B$1:$BV$1,0))</f>
        <v>0.95598690892675697</v>
      </c>
      <c r="BM27" s="5">
        <f>INDEX(Python0831!$B$1:$BV$49,MATCH($D27,Python0831!$A$1:$A$49,0),MATCH(BM$5,Python0831!$B$1:$BV$1,0))</f>
        <v>47</v>
      </c>
      <c r="BN27" s="5">
        <f>INDEX(Python0831!$B$1:$BV$49,MATCH($D27,Python0831!$A$1:$A$49,0),MATCH(BN$5,Python0831!$B$1:$BV$1,0))</f>
        <v>73.464915784131307</v>
      </c>
      <c r="BO27" s="5">
        <f>INDEX(Python0831!$B$1:$BV$49,MATCH($D27,Python0831!$A$1:$A$49,0),MATCH(BO$5,Python0831!$B$1:$BV$1,0))</f>
        <v>51.938792441652602</v>
      </c>
      <c r="BP27" s="5">
        <f>INDEX(Python0831!$B$1:$BV$49,MATCH($D27,Python0831!$A$1:$A$49,0),MATCH(BP$5,Python0831!$B$1:$BV$1,0))</f>
        <v>100</v>
      </c>
      <c r="BQ27" s="7">
        <f>INDEX(Python0831!$B$1:$BV$49,MATCH($D27,Python0831!$A$1:$A$49,0),MATCH(BQ$5,Python0831!$B$1:$BV$1,0))</f>
        <v>67.515856236786405</v>
      </c>
      <c r="BR27" s="5">
        <f>INDEX(Python0831!$B$1:$BV$49,MATCH($D27,Python0831!$A$1:$A$49,0),MATCH(BR$5,Python0831!$B$1:$BV$1,0))</f>
        <v>5650458</v>
      </c>
      <c r="BS27" s="5">
        <f>INDEX(Python0831!$B$1:$BV$49,MATCH($D27,Python0831!$A$1:$A$49,0),MATCH(BS$5,Python0831!$B$1:$BV$1,0))</f>
        <v>79478</v>
      </c>
      <c r="BT27" s="8">
        <f>INDEX(Python0831!$B$1:$BV$49,MATCH($D27,Python0831!$A$1:$A$49,0),MATCH(BT$5,Python0831!$B$1:$BV$1,0))</f>
        <v>0.528394411065092</v>
      </c>
      <c r="BU27" s="8">
        <f>INDEX(Python0831!$B$1:$BV$49,MATCH($D27,Python0831!$A$1:$A$49,0),MATCH(BU$5,Python0831!$B$1:$BV$1,0))</f>
        <v>0.83333333333333304</v>
      </c>
      <c r="BV27" s="5">
        <f>INDEX(Python0831!$B$1:$BV$49,MATCH($D27,Python0831!$A$1:$A$49,0),MATCH(BV$5,Python0831!$B$1:$BV$1,0))</f>
        <v>26</v>
      </c>
      <c r="BW27" s="5">
        <f>INDEX(Python0831!$B$1:$BV$49,MATCH($D27,Python0831!$A$1:$A$49,0),MATCH(BW$5,Python0831!$B$1:$BV$1,0))</f>
        <v>41.427500000000002</v>
      </c>
      <c r="BX27" s="382">
        <f>INDEX(Python0831!$B$1:$BV$49,MATCH($D27,Python0831!$A$1:$A$49,0),MATCH(BX$5,Python0831!$B$1:$BV$1,0))</f>
        <v>36.363636363636367</v>
      </c>
      <c r="BY27" s="5">
        <f>INDEX(Python0831!$B$1:$BV$49,MATCH($D27,Python0831!$A$1:$A$49,0),MATCH(BY$5,Python0831!$B$1:$BV$1,0))</f>
        <v>46.9763863517624</v>
      </c>
    </row>
    <row r="28" spans="1:77">
      <c r="A28" s="2">
        <v>23</v>
      </c>
      <c r="B28" s="58">
        <f>INDEX(順位表[Comprehensive],MATCH($C28,順位表['#],0))</f>
        <v>17</v>
      </c>
      <c r="C28" s="3">
        <v>23</v>
      </c>
      <c r="D28" s="1" t="str">
        <f>INDEX(都市マスタ[City Name],MATCH($C28,都市マスタ['#],0))</f>
        <v>Beijing</v>
      </c>
      <c r="E28" s="5">
        <f>INDEX(Python0831!$B$1:$BV$49,MATCH($D28,Python0831!$A$1:$A$49,0),MATCH(E$5,Python0831!$B$1:$BV$1,0))</f>
        <v>21886000</v>
      </c>
      <c r="F28" s="5">
        <f>INDEX(Python0831!$B$1:$BV$49,MATCH($D28,Python0831!$A$1:$A$49,0),MATCH(F$5,Python0831!$B$1:$BV$1,0))</f>
        <v>16406.160599999999</v>
      </c>
      <c r="G28" s="7">
        <f>INDEX(Python0831!$B$1:$BV$49,MATCH($D28,Python0831!$A$1:$A$49,0),MATCH(G$5,Python0831!$B$1:$BV$1,0))</f>
        <v>6.73</v>
      </c>
      <c r="H28" s="5">
        <f>INDEX(Python0831!$B$1:$BV$49,MATCH($D28,Python0831!$A$1:$A$49,0),MATCH(H$5,Python0831!$B$1:$BV$1,0))</f>
        <v>624141.35151890805</v>
      </c>
      <c r="I28" s="5">
        <f>INDEX(Python0831!$B$1:$BV$49,MATCH($D28,Python0831!$A$1:$A$49,0),MATCH(I$5,Python0831!$B$1:$BV$1,0))</f>
        <v>28517.835672069301</v>
      </c>
      <c r="J28" s="328">
        <f>INDEX(Python0831!$B$1:$BV$49,MATCH($D28,Python0831!$A$1:$A$49,0),MATCH(J$5,Python0831!$B$1:$BV$1,0))</f>
        <v>5.81274755558975E-2</v>
      </c>
      <c r="K28" s="5">
        <f>INDEX(Python0831!$B$1:$BV$49,MATCH($D28,Python0831!$A$1:$A$49,0),MATCH(K$5,Python0831!$B$1:$BV$1,0))</f>
        <v>48.2916666666666</v>
      </c>
      <c r="L28" s="5">
        <f>INDEX(Python0831!$B$1:$BV$49,MATCH($D28,Python0831!$A$1:$A$49,0),MATCH(L$5,Python0831!$B$1:$BV$1,0))</f>
        <v>44003.11</v>
      </c>
      <c r="M28" s="5">
        <f>INDEX(Python0831!$B$1:$BV$49,MATCH($D28,Python0831!$A$1:$A$49,0),MATCH(M$5,Python0831!$B$1:$BV$1,0))</f>
        <v>5258097.7</v>
      </c>
      <c r="N28" s="5">
        <f>INDEX(Python0831!$B$1:$BV$49,MATCH($D28,Python0831!$A$1:$A$49,0),MATCH(N$5,Python0831!$B$1:$BV$1,0))</f>
        <v>11580000</v>
      </c>
      <c r="O28" s="328">
        <f>INDEX(Python0831!$B$1:$BV$49,MATCH($D28,Python0831!$A$1:$A$49,0),MATCH(O$5,Python0831!$B$1:$BV$1,0))</f>
        <v>0.31312607944732201</v>
      </c>
      <c r="P28" s="5">
        <f>INDEX(Python0831!$B$1:$BV$49,MATCH($D28,Python0831!$A$1:$A$49,0),MATCH(P$5,Python0831!$B$1:$BV$1,0))</f>
        <v>23.7623006873606</v>
      </c>
      <c r="Q28" s="5">
        <f>INDEX(Python0831!$B$1:$BV$49,MATCH($D28,Python0831!$A$1:$A$49,0),MATCH(Q$5,Python0831!$B$1:$BV$1,0))</f>
        <v>32.757401718101001</v>
      </c>
      <c r="R28" s="5">
        <f>INDEX(Python0831!$B$1:$BV$49,MATCH($D28,Python0831!$A$1:$A$49,0),MATCH(R$5,Python0831!$B$1:$BV$1,0))</f>
        <v>54.150653343581801</v>
      </c>
      <c r="S28" s="327">
        <f>INDEX(Python0831!$B$1:$BV$49,MATCH($D28,Python0831!$A$1:$A$49,0),MATCH(S$5,Python0831!$B$1:$BV$1,0))</f>
        <v>0.25</v>
      </c>
      <c r="T28" s="5">
        <f>INDEX(Python0831!$B$1:$BV$49,MATCH($D28,Python0831!$A$1:$A$49,0),MATCH(T$5,Python0831!$B$1:$BV$1,0))</f>
        <v>81.758518623569302</v>
      </c>
      <c r="U28" s="5">
        <f>INDEX(Python0831!$B$1:$BV$49,MATCH($D28,Python0831!$A$1:$A$49,0),MATCH(U$5,Python0831!$B$1:$BV$1,0))</f>
        <v>37289.927824581799</v>
      </c>
      <c r="V28" s="5">
        <f>INDEX(Python0831!$B$1:$BV$49,MATCH($D28,Python0831!$A$1:$A$49,0),MATCH(V$5,Python0831!$B$1:$BV$1,0))</f>
        <v>376</v>
      </c>
      <c r="W28" s="5">
        <f>INDEX(Python0831!$B$1:$BV$49,MATCH($D28,Python0831!$A$1:$A$49,0),MATCH(W$5,Python0831!$B$1:$BV$1,0))</f>
        <v>5930.6152075514201</v>
      </c>
      <c r="X28" s="5">
        <f>INDEX(Python0831!$B$1:$BV$49,MATCH($D28,Python0831!$A$1:$A$49,0),MATCH(X$5,Python0831!$B$1:$BV$1,0))</f>
        <v>20757.47</v>
      </c>
      <c r="Y28" s="5">
        <f>INDEX(Python0831!$B$1:$BV$49,MATCH($D28,Python0831!$A$1:$A$49,0),MATCH(Y$5,Python0831!$B$1:$BV$1,0))</f>
        <v>578.66666666666595</v>
      </c>
      <c r="Z28" s="5">
        <f>INDEX(Python0831!$B$1:$BV$49,MATCH($D28,Python0831!$A$1:$A$49,0),MATCH(Z$5,Python0831!$B$1:$BV$1,0))</f>
        <v>6131.4387477897399</v>
      </c>
      <c r="AA28" s="7">
        <f>INDEX(Python0831!$B$1:$BV$49,MATCH($D28,Python0831!$A$1:$A$49,0),MATCH(AA$5,Python0831!$B$1:$BV$1,0))</f>
        <v>0.65</v>
      </c>
      <c r="AB28" s="5">
        <f>INDEX(Python0831!$B$1:$BV$49,MATCH($D28,Python0831!$A$1:$A$49,0),MATCH(AB$5,Python0831!$B$1:$BV$1,0))</f>
        <v>49</v>
      </c>
      <c r="AC28" s="5">
        <f>INDEX(Python0831!$B$1:$BV$49,MATCH($D28,Python0831!$A$1:$A$49,0),MATCH(AC$5,Python0831!$B$1:$BV$1,0))</f>
        <v>19</v>
      </c>
      <c r="AD28" s="5">
        <f>INDEX(Python0831!$B$1:$BV$49,MATCH($D28,Python0831!$A$1:$A$49,0),MATCH(AD$5,Python0831!$B$1:$BV$1,0))</f>
        <v>66.8402777777777</v>
      </c>
      <c r="AE28" s="5">
        <f>INDEX(Python0831!$B$1:$BV$49,MATCH($D28,Python0831!$A$1:$A$49,0),MATCH(AE$5,Python0831!$B$1:$BV$1,0))</f>
        <v>8.3969197254130403</v>
      </c>
      <c r="AF28" s="5">
        <f>INDEX(Python0831!$B$1:$BV$49,MATCH($D28,Python0831!$A$1:$A$49,0),MATCH(AF$5,Python0831!$B$1:$BV$1,0))</f>
        <v>13.4024186929216</v>
      </c>
      <c r="AG28" s="5">
        <f>INDEX(Python0831!$B$1:$BV$49,MATCH($D28,Python0831!$A$1:$A$49,0),MATCH(AG$5,Python0831!$B$1:$BV$1,0))</f>
        <v>47.7537275358006</v>
      </c>
      <c r="AH28" s="5">
        <f>INDEX(Python0831!$B$1:$BV$49,MATCH($D28,Python0831!$A$1:$A$49,0),MATCH(AH$5,Python0831!$B$1:$BV$1,0))</f>
        <v>7</v>
      </c>
      <c r="AI28" s="5">
        <f>INDEX(Python0831!$B$1:$BV$49,MATCH($D28,Python0831!$A$1:$A$49,0),MATCH(AI$5,Python0831!$B$1:$BV$1,0))</f>
        <v>27.3509564582458</v>
      </c>
      <c r="AJ28" s="5">
        <f>INDEX(Python0831!$B$1:$BV$49,MATCH($D28,Python0831!$A$1:$A$49,0),MATCH(AJ$5,Python0831!$B$1:$BV$1,0))</f>
        <v>33</v>
      </c>
      <c r="AK28" s="5">
        <f>INDEX(Python0831!$B$1:$BV$49,MATCH($D28,Python0831!$A$1:$A$49,0),MATCH(AK$5,Python0831!$B$1:$BV$1,0))</f>
        <v>77</v>
      </c>
      <c r="AL28" s="5">
        <f>INDEX(Python0831!$B$1:$BV$49,MATCH($D28,Python0831!$A$1:$A$49,0),MATCH(AL$5,Python0831!$B$1:$BV$1,0))</f>
        <v>13</v>
      </c>
      <c r="AM28" s="5">
        <f>INDEX(Python0831!$B$1:$BV$49,MATCH($D28,Python0831!$A$1:$A$49,0),MATCH(AM$5,Python0831!$B$1:$BV$1,0))</f>
        <v>69625</v>
      </c>
      <c r="AN28" s="5">
        <f>INDEX(Python0831!$B$1:$BV$49,MATCH($D28,Python0831!$A$1:$A$49,0),MATCH(AN$5,Python0831!$B$1:$BV$1,0))</f>
        <v>17651</v>
      </c>
      <c r="AO28" s="5">
        <f>INDEX(Python0831!$B$1:$BV$49,MATCH($D28,Python0831!$A$1:$A$49,0),MATCH(AO$5,Python0831!$B$1:$BV$1,0))</f>
        <v>30.490234375683201</v>
      </c>
      <c r="AP28" s="5">
        <f>INDEX(Python0831!$B$1:$BV$49,MATCH($D28,Python0831!$A$1:$A$49,0),MATCH(AP$5,Python0831!$B$1:$BV$1,0))</f>
        <v>31.876526988448902</v>
      </c>
      <c r="AQ28" s="5">
        <f>INDEX(Python0831!$B$1:$BV$49,MATCH($D28,Python0831!$A$1:$A$49,0),MATCH(AQ$5,Python0831!$B$1:$BV$1,0))</f>
        <v>62812</v>
      </c>
      <c r="AR28" s="5">
        <f>INDEX(Python0831!$B$1:$BV$49,MATCH($D28,Python0831!$A$1:$A$49,0),MATCH(AR$5,Python0831!$B$1:$BV$1,0))</f>
        <v>189442</v>
      </c>
      <c r="AS28" s="328">
        <f>INDEX(Python0831!$B$1:$BV$49,MATCH($D28,Python0831!$A$1:$A$49,0),MATCH(AS$5,Python0831!$B$1:$BV$1,0))</f>
        <v>3.2300000000000002E-2</v>
      </c>
      <c r="AT28" s="5">
        <f>INDEX(Python0831!$B$1:$BV$49,MATCH($D28,Python0831!$A$1:$A$49,0),MATCH(AT$5,Python0831!$B$1:$BV$1,0))</f>
        <v>2054.19151064075</v>
      </c>
      <c r="AU28" s="7">
        <f>INDEX(Python0831!$B$1:$BV$49,MATCH($D28,Python0831!$A$1:$A$49,0),MATCH(AU$5,Python0831!$B$1:$BV$1,0))</f>
        <v>0.61111111111111105</v>
      </c>
      <c r="AV28" s="5">
        <f>INDEX(Python0831!$B$1:$BV$49,MATCH($D28,Python0831!$A$1:$A$49,0),MATCH(AV$5,Python0831!$B$1:$BV$1,0))</f>
        <v>1478.8705052696801</v>
      </c>
      <c r="AW28" s="5">
        <f>INDEX(Python0831!$B$1:$BV$49,MATCH($D28,Python0831!$A$1:$A$49,0),MATCH(AW$5,Python0831!$B$1:$BV$1,0))</f>
        <v>16.150124641789599</v>
      </c>
      <c r="AX28" s="5">
        <f>INDEX(Python0831!$B$1:$BV$49,MATCH($D28,Python0831!$A$1:$A$49,0),MATCH(AX$5,Python0831!$B$1:$BV$1,0))</f>
        <v>4.61799900870919</v>
      </c>
      <c r="AY28" s="329">
        <f>INDEX(Python0831!$B$1:$BV$49,MATCH($D28,Python0831!$A$1:$A$49,0),MATCH(AY$5,Python0831!$B$1:$BV$1,0))</f>
        <v>3.2000000000000002E-3</v>
      </c>
      <c r="AZ28" s="5">
        <f>INDEX(Python0831!$B$1:$BV$49,MATCH($D28,Python0831!$A$1:$A$49,0),MATCH(AZ$5,Python0831!$B$1:$BV$1,0))</f>
        <v>77.400000000000006</v>
      </c>
      <c r="BA28" s="5">
        <f>INDEX(Python0831!$B$1:$BV$49,MATCH($D28,Python0831!$A$1:$A$49,0),MATCH(BA$5,Python0831!$B$1:$BV$1,0))</f>
        <v>12.762011705458001</v>
      </c>
      <c r="BB28" s="5">
        <f>INDEX(Python0831!$B$1:$BV$49,MATCH($D28,Python0831!$A$1:$A$49,0),MATCH(BB$5,Python0831!$B$1:$BV$1,0))</f>
        <v>60.236406619385299</v>
      </c>
      <c r="BC28" s="5">
        <f>INDEX(Python0831!$B$1:$BV$49,MATCH($D28,Python0831!$A$1:$A$49,0),MATCH(BC$5,Python0831!$B$1:$BV$1,0))</f>
        <v>2679.7224915962602</v>
      </c>
      <c r="BD28" s="5">
        <f>INDEX(Python0831!$B$1:$BV$49,MATCH($D28,Python0831!$A$1:$A$49,0),MATCH(BD$5,Python0831!$B$1:$BV$1,0))</f>
        <v>77.985444348579605</v>
      </c>
      <c r="BE28" s="5">
        <f>INDEX(Python0831!$B$1:$BV$49,MATCH($D28,Python0831!$A$1:$A$49,0),MATCH(BE$5,Python0831!$B$1:$BV$1,0))</f>
        <v>35.035061735802898</v>
      </c>
      <c r="BF28" s="5">
        <f>INDEX(Python0831!$B$1:$BV$49,MATCH($D28,Python0831!$A$1:$A$49,0),MATCH(BF$5,Python0831!$B$1:$BV$1,0))</f>
        <v>50.5927315915457</v>
      </c>
      <c r="BG28" s="5">
        <f>INDEX(Python0831!$B$1:$BV$49,MATCH($D28,Python0831!$A$1:$A$49,0),MATCH(BG$5,Python0831!$B$1:$BV$1,0))</f>
        <v>23.718787878787801</v>
      </c>
      <c r="BH28" s="327">
        <f>INDEX(Python0831!$B$1:$BV$49,MATCH($D28,Python0831!$A$1:$A$49,0),MATCH(BH$5,Python0831!$B$1:$BV$1,0))</f>
        <v>0.10009999999999999</v>
      </c>
      <c r="BI28" s="327">
        <f>INDEX(Python0831!$B$1:$BV$49,MATCH($D28,Python0831!$A$1:$A$49,0),MATCH(BI$5,Python0831!$B$1:$BV$1,0))</f>
        <v>0.38500000000000001</v>
      </c>
      <c r="BJ28" s="5">
        <f>INDEX(Python0831!$B$1:$BV$49,MATCH($D28,Python0831!$A$1:$A$49,0),MATCH(BJ$5,Python0831!$B$1:$BV$1,0))</f>
        <v>16.584104056172801</v>
      </c>
      <c r="BK28" s="5">
        <f>INDEX(Python0831!$B$1:$BV$49,MATCH($D28,Python0831!$A$1:$A$49,0),MATCH(BK$5,Python0831!$B$1:$BV$1,0))</f>
        <v>29.8</v>
      </c>
      <c r="BL28" s="7">
        <f>INDEX(Python0831!$B$1:$BV$49,MATCH($D28,Python0831!$A$1:$A$49,0),MATCH(BL$5,Python0831!$B$1:$BV$1,0))</f>
        <v>1.1476969708596301</v>
      </c>
      <c r="BM28" s="5">
        <f>INDEX(Python0831!$B$1:$BV$49,MATCH($D28,Python0831!$A$1:$A$49,0),MATCH(BM$5,Python0831!$B$1:$BV$1,0))</f>
        <v>31.6</v>
      </c>
      <c r="BN28" s="5">
        <f>INDEX(Python0831!$B$1:$BV$49,MATCH($D28,Python0831!$A$1:$A$49,0),MATCH(BN$5,Python0831!$B$1:$BV$1,0))</f>
        <v>59.996662595220599</v>
      </c>
      <c r="BO28" s="5">
        <f>INDEX(Python0831!$B$1:$BV$49,MATCH($D28,Python0831!$A$1:$A$49,0),MATCH(BO$5,Python0831!$B$1:$BV$1,0))</f>
        <v>73.007774596416695</v>
      </c>
      <c r="BP28" s="5">
        <f>INDEX(Python0831!$B$1:$BV$49,MATCH($D28,Python0831!$A$1:$A$49,0),MATCH(BP$5,Python0831!$B$1:$BV$1,0))</f>
        <v>59.000000000000199</v>
      </c>
      <c r="BQ28" s="7">
        <f>INDEX(Python0831!$B$1:$BV$49,MATCH($D28,Python0831!$A$1:$A$49,0),MATCH(BQ$5,Python0831!$B$1:$BV$1,0))</f>
        <v>6.3132540636674497</v>
      </c>
      <c r="BR28" s="5">
        <f>INDEX(Python0831!$B$1:$BV$49,MATCH($D28,Python0831!$A$1:$A$49,0),MATCH(BR$5,Python0831!$B$1:$BV$1,0))</f>
        <v>12703342</v>
      </c>
      <c r="BS28" s="5">
        <f>INDEX(Python0831!$B$1:$BV$49,MATCH($D28,Python0831!$A$1:$A$49,0),MATCH(BS$5,Python0831!$B$1:$BV$1,0))</f>
        <v>245143</v>
      </c>
      <c r="BT28" s="8">
        <f>INDEX(Python0831!$B$1:$BV$49,MATCH($D28,Python0831!$A$1:$A$49,0),MATCH(BT$5,Python0831!$B$1:$BV$1,0))</f>
        <v>0.58887328944001205</v>
      </c>
      <c r="BU28" s="8">
        <f>INDEX(Python0831!$B$1:$BV$49,MATCH($D28,Python0831!$A$1:$A$49,0),MATCH(BU$5,Python0831!$B$1:$BV$1,0))</f>
        <v>0.45162601626016202</v>
      </c>
      <c r="BV28" s="5">
        <f>INDEX(Python0831!$B$1:$BV$49,MATCH($D28,Python0831!$A$1:$A$49,0),MATCH(BV$5,Python0831!$B$1:$BV$1,0))</f>
        <v>40</v>
      </c>
      <c r="BW28" s="5">
        <f>INDEX(Python0831!$B$1:$BV$49,MATCH($D28,Python0831!$A$1:$A$49,0),MATCH(BW$5,Python0831!$B$1:$BV$1,0))</f>
        <v>37.645000000000003</v>
      </c>
      <c r="BX28" s="382">
        <f>INDEX(Python0831!$B$1:$BV$49,MATCH($D28,Python0831!$A$1:$A$49,0),MATCH(BX$5,Python0831!$B$1:$BV$1,0))</f>
        <v>24.315897013615174</v>
      </c>
      <c r="BY28" s="5">
        <f>INDEX(Python0831!$B$1:$BV$49,MATCH($D28,Python0831!$A$1:$A$49,0),MATCH(BY$5,Python0831!$B$1:$BV$1,0))</f>
        <v>68.227487568726602</v>
      </c>
    </row>
    <row r="29" spans="1:77">
      <c r="A29" s="2">
        <v>24</v>
      </c>
      <c r="B29" s="58">
        <f>INDEX(順位表[Comprehensive],MATCH($C29,順位表['#],0))</f>
        <v>15</v>
      </c>
      <c r="C29" s="3">
        <v>24</v>
      </c>
      <c r="D29" s="1" t="str">
        <f>INDEX(都市マスタ[City Name],MATCH($C29,都市マスタ['#],0))</f>
        <v>Shanghai</v>
      </c>
      <c r="E29" s="5">
        <f>INDEX(Python0831!$B$1:$BV$49,MATCH($D29,Python0831!$A$1:$A$49,0),MATCH(E$5,Python0831!$B$1:$BV$1,0))</f>
        <v>24894300</v>
      </c>
      <c r="F29" s="5">
        <f>INDEX(Python0831!$B$1:$BV$49,MATCH($D29,Python0831!$A$1:$A$49,0),MATCH(F$5,Python0831!$B$1:$BV$1,0))</f>
        <v>6340.5</v>
      </c>
      <c r="G29" s="7">
        <f>INDEX(Python0831!$B$1:$BV$49,MATCH($D29,Python0831!$A$1:$A$49,0),MATCH(G$5,Python0831!$B$1:$BV$1,0))</f>
        <v>6.73</v>
      </c>
      <c r="H29" s="5">
        <f>INDEX(Python0831!$B$1:$BV$49,MATCH($D29,Python0831!$A$1:$A$49,0),MATCH(H$5,Python0831!$B$1:$BV$1,0))</f>
        <v>669789.987600744</v>
      </c>
      <c r="I29" s="5">
        <f>INDEX(Python0831!$B$1:$BV$49,MATCH($D29,Python0831!$A$1:$A$49,0),MATCH(I$5,Python0831!$B$1:$BV$1,0))</f>
        <v>26905.3553464344</v>
      </c>
      <c r="J29" s="328">
        <f>INDEX(Python0831!$B$1:$BV$49,MATCH($D29,Python0831!$A$1:$A$49,0),MATCH(J$5,Python0831!$B$1:$BV$1,0))</f>
        <v>5.8964761252097098E-2</v>
      </c>
      <c r="K29" s="5">
        <f>INDEX(Python0831!$B$1:$BV$49,MATCH($D29,Python0831!$A$1:$A$49,0),MATCH(K$5,Python0831!$B$1:$BV$1,0))</f>
        <v>48.2916666666666</v>
      </c>
      <c r="L29" s="5">
        <f>INDEX(Python0831!$B$1:$BV$49,MATCH($D29,Python0831!$A$1:$A$49,0),MATCH(L$5,Python0831!$B$1:$BV$1,0))</f>
        <v>6724470.8899999997</v>
      </c>
      <c r="M29" s="5">
        <f>INDEX(Python0831!$B$1:$BV$49,MATCH($D29,Python0831!$A$1:$A$49,0),MATCH(M$5,Python0831!$B$1:$BV$1,0))</f>
        <v>481887.6</v>
      </c>
      <c r="N29" s="5">
        <f>INDEX(Python0831!$B$1:$BV$49,MATCH($D29,Python0831!$A$1:$A$49,0),MATCH(N$5,Python0831!$B$1:$BV$1,0))</f>
        <v>13762000</v>
      </c>
      <c r="O29" s="328">
        <f>INDEX(Python0831!$B$1:$BV$49,MATCH($D29,Python0831!$A$1:$A$49,0),MATCH(O$5,Python0831!$B$1:$BV$1,0))</f>
        <v>0.230126435111175</v>
      </c>
      <c r="P29" s="5">
        <f>INDEX(Python0831!$B$1:$BV$49,MATCH($D29,Python0831!$A$1:$A$49,0),MATCH(P$5,Python0831!$B$1:$BV$1,0))</f>
        <v>18.8417360171028</v>
      </c>
      <c r="Q29" s="5">
        <f>INDEX(Python0831!$B$1:$BV$49,MATCH($D29,Python0831!$A$1:$A$49,0),MATCH(Q$5,Python0831!$B$1:$BV$1,0))</f>
        <v>38.471687432386702</v>
      </c>
      <c r="R29" s="5">
        <f>INDEX(Python0831!$B$1:$BV$49,MATCH($D29,Python0831!$A$1:$A$49,0),MATCH(R$5,Python0831!$B$1:$BV$1,0))</f>
        <v>50.886136804164202</v>
      </c>
      <c r="S29" s="327">
        <f>INDEX(Python0831!$B$1:$BV$49,MATCH($D29,Python0831!$A$1:$A$49,0),MATCH(S$5,Python0831!$B$1:$BV$1,0))</f>
        <v>0.25</v>
      </c>
      <c r="T29" s="5">
        <f>INDEX(Python0831!$B$1:$BV$49,MATCH($D29,Python0831!$A$1:$A$49,0),MATCH(T$5,Python0831!$B$1:$BV$1,0))</f>
        <v>80.760100559671997</v>
      </c>
      <c r="U29" s="5">
        <f>INDEX(Python0831!$B$1:$BV$49,MATCH($D29,Python0831!$A$1:$A$49,0),MATCH(U$5,Python0831!$B$1:$BV$1,0))</f>
        <v>40541.436696483703</v>
      </c>
      <c r="V29" s="5">
        <f>INDEX(Python0831!$B$1:$BV$49,MATCH($D29,Python0831!$A$1:$A$49,0),MATCH(V$5,Python0831!$B$1:$BV$1,0))</f>
        <v>303</v>
      </c>
      <c r="W29" s="5">
        <f>INDEX(Python0831!$B$1:$BV$49,MATCH($D29,Python0831!$A$1:$A$49,0),MATCH(W$5,Python0831!$B$1:$BV$1,0))</f>
        <v>6447.7373659503801</v>
      </c>
      <c r="X29" s="5">
        <f>INDEX(Python0831!$B$1:$BV$49,MATCH($D29,Python0831!$A$1:$A$49,0),MATCH(X$5,Python0831!$B$1:$BV$1,0))</f>
        <v>16942.240000000002</v>
      </c>
      <c r="Y29" s="5">
        <f>INDEX(Python0831!$B$1:$BV$49,MATCH($D29,Python0831!$A$1:$A$49,0),MATCH(Y$5,Python0831!$B$1:$BV$1,0))</f>
        <v>578.66666666666595</v>
      </c>
      <c r="Z29" s="5">
        <f>INDEX(Python0831!$B$1:$BV$49,MATCH($D29,Python0831!$A$1:$A$49,0),MATCH(Z$5,Python0831!$B$1:$BV$1,0))</f>
        <v>7209.9932808461499</v>
      </c>
      <c r="AA29" s="7">
        <f>INDEX(Python0831!$B$1:$BV$49,MATCH($D29,Python0831!$A$1:$A$49,0),MATCH(AA$5,Python0831!$B$1:$BV$1,0))</f>
        <v>0</v>
      </c>
      <c r="AB29" s="5">
        <f>INDEX(Python0831!$B$1:$BV$49,MATCH($D29,Python0831!$A$1:$A$49,0),MATCH(AB$5,Python0831!$B$1:$BV$1,0))</f>
        <v>74.3333333333333</v>
      </c>
      <c r="AC29" s="5">
        <f>INDEX(Python0831!$B$1:$BV$49,MATCH($D29,Python0831!$A$1:$A$49,0),MATCH(AC$5,Python0831!$B$1:$BV$1,0))</f>
        <v>17</v>
      </c>
      <c r="AD29" s="5">
        <f>INDEX(Python0831!$B$1:$BV$49,MATCH($D29,Python0831!$A$1:$A$49,0),MATCH(AD$5,Python0831!$B$1:$BV$1,0))</f>
        <v>25.231481481481399</v>
      </c>
      <c r="AE29" s="5">
        <f>INDEX(Python0831!$B$1:$BV$49,MATCH($D29,Python0831!$A$1:$A$49,0),MATCH(AE$5,Python0831!$B$1:$BV$1,0))</f>
        <v>9.0257436876416595</v>
      </c>
      <c r="AF29" s="5">
        <f>INDEX(Python0831!$B$1:$BV$49,MATCH($D29,Python0831!$A$1:$A$49,0),MATCH(AF$5,Python0831!$B$1:$BV$1,0))</f>
        <v>2.8674898695475401</v>
      </c>
      <c r="AG29" s="5">
        <f>INDEX(Python0831!$B$1:$BV$49,MATCH($D29,Python0831!$A$1:$A$49,0),MATCH(AG$5,Python0831!$B$1:$BV$1,0))</f>
        <v>37.486428667166201</v>
      </c>
      <c r="AH29" s="5">
        <f>INDEX(Python0831!$B$1:$BV$49,MATCH($D29,Python0831!$A$1:$A$49,0),MATCH(AH$5,Python0831!$B$1:$BV$1,0))</f>
        <v>1</v>
      </c>
      <c r="AI29" s="5">
        <f>INDEX(Python0831!$B$1:$BV$49,MATCH($D29,Python0831!$A$1:$A$49,0),MATCH(AI$5,Python0831!$B$1:$BV$1,0))</f>
        <v>39.5444169431278</v>
      </c>
      <c r="AJ29" s="5">
        <f>INDEX(Python0831!$B$1:$BV$49,MATCH($D29,Python0831!$A$1:$A$49,0),MATCH(AJ$5,Python0831!$B$1:$BV$1,0))</f>
        <v>21</v>
      </c>
      <c r="AK29" s="5">
        <f>INDEX(Python0831!$B$1:$BV$49,MATCH($D29,Python0831!$A$1:$A$49,0),MATCH(AK$5,Python0831!$B$1:$BV$1,0))</f>
        <v>42</v>
      </c>
      <c r="AL29" s="5">
        <f>INDEX(Python0831!$B$1:$BV$49,MATCH($D29,Python0831!$A$1:$A$49,0),MATCH(AL$5,Python0831!$B$1:$BV$1,0))</f>
        <v>11</v>
      </c>
      <c r="AM29" s="5">
        <f>INDEX(Python0831!$B$1:$BV$49,MATCH($D29,Python0831!$A$1:$A$49,0),MATCH(AM$5,Python0831!$B$1:$BV$1,0))</f>
        <v>86840</v>
      </c>
      <c r="AN29" s="5">
        <f>INDEX(Python0831!$B$1:$BV$49,MATCH($D29,Python0831!$A$1:$A$49,0),MATCH(AN$5,Python0831!$B$1:$BV$1,0))</f>
        <v>21633</v>
      </c>
      <c r="AO29" s="5">
        <f>INDEX(Python0831!$B$1:$BV$49,MATCH($D29,Python0831!$A$1:$A$49,0),MATCH(AO$5,Python0831!$B$1:$BV$1,0))</f>
        <v>42.958712928063903</v>
      </c>
      <c r="AP29" s="5">
        <f>INDEX(Python0831!$B$1:$BV$49,MATCH($D29,Python0831!$A$1:$A$49,0),MATCH(AP$5,Python0831!$B$1:$BV$1,0))</f>
        <v>36.184031185139297</v>
      </c>
      <c r="AQ29" s="5">
        <f>INDEX(Python0831!$B$1:$BV$49,MATCH($D29,Python0831!$A$1:$A$49,0),MATCH(AQ$5,Python0831!$B$1:$BV$1,0))</f>
        <v>163954</v>
      </c>
      <c r="AR29" s="5">
        <f>INDEX(Python0831!$B$1:$BV$49,MATCH($D29,Python0831!$A$1:$A$49,0),MATCH(AR$5,Python0831!$B$1:$BV$1,0))</f>
        <v>929294.740398583</v>
      </c>
      <c r="AS29" s="328">
        <f>INDEX(Python0831!$B$1:$BV$49,MATCH($D29,Python0831!$A$1:$A$49,0),MATCH(AS$5,Python0831!$B$1:$BV$1,0))</f>
        <v>2.7E-2</v>
      </c>
      <c r="AT29" s="5">
        <f>INDEX(Python0831!$B$1:$BV$49,MATCH($D29,Python0831!$A$1:$A$49,0),MATCH(AT$5,Python0831!$B$1:$BV$1,0))</f>
        <v>1946.9234338428</v>
      </c>
      <c r="AU29" s="7">
        <f>INDEX(Python0831!$B$1:$BV$49,MATCH($D29,Python0831!$A$1:$A$49,0),MATCH(AU$5,Python0831!$B$1:$BV$1,0))</f>
        <v>0.77319587628865905</v>
      </c>
      <c r="AV29" s="5">
        <f>INDEX(Python0831!$B$1:$BV$49,MATCH($D29,Python0831!$A$1:$A$49,0),MATCH(AV$5,Python0831!$B$1:$BV$1,0))</f>
        <v>1633.4857408555399</v>
      </c>
      <c r="AW29" s="5">
        <f>INDEX(Python0831!$B$1:$BV$49,MATCH($D29,Python0831!$A$1:$A$49,0),MATCH(AW$5,Python0831!$B$1:$BV$1,0))</f>
        <v>25.8459253249212</v>
      </c>
      <c r="AX29" s="5">
        <f>INDEX(Python0831!$B$1:$BV$49,MATCH($D29,Python0831!$A$1:$A$49,0),MATCH(AX$5,Python0831!$B$1:$BV$1,0))</f>
        <v>5.2220789497997497</v>
      </c>
      <c r="AY29" s="329">
        <f>INDEX(Python0831!$B$1:$BV$49,MATCH($D29,Python0831!$A$1:$A$49,0),MATCH(AY$5,Python0831!$B$1:$BV$1,0))</f>
        <v>6.7000000000000002E-3</v>
      </c>
      <c r="AZ29" s="5">
        <f>INDEX(Python0831!$B$1:$BV$49,MATCH($D29,Python0831!$A$1:$A$49,0),MATCH(AZ$5,Python0831!$B$1:$BV$1,0))</f>
        <v>77.400000000000006</v>
      </c>
      <c r="BA29" s="5">
        <f>INDEX(Python0831!$B$1:$BV$49,MATCH($D29,Python0831!$A$1:$A$49,0),MATCH(BA$5,Python0831!$B$1:$BV$1,0))</f>
        <v>12.762011705458001</v>
      </c>
      <c r="BB29" s="5">
        <f>INDEX(Python0831!$B$1:$BV$49,MATCH($D29,Python0831!$A$1:$A$49,0),MATCH(BB$5,Python0831!$B$1:$BV$1,0))</f>
        <v>60.236406619385299</v>
      </c>
      <c r="BC29" s="5">
        <f>INDEX(Python0831!$B$1:$BV$49,MATCH($D29,Python0831!$A$1:$A$49,0),MATCH(BC$5,Python0831!$B$1:$BV$1,0))</f>
        <v>2562.8899834701601</v>
      </c>
      <c r="BD29" s="5">
        <f>INDEX(Python0831!$B$1:$BV$49,MATCH($D29,Python0831!$A$1:$A$49,0),MATCH(BD$5,Python0831!$B$1:$BV$1,0))</f>
        <v>77.985444348579605</v>
      </c>
      <c r="BE29" s="5">
        <f>INDEX(Python0831!$B$1:$BV$49,MATCH($D29,Python0831!$A$1:$A$49,0),MATCH(BE$5,Python0831!$B$1:$BV$1,0))</f>
        <v>37.196740187162199</v>
      </c>
      <c r="BF29" s="5">
        <f>INDEX(Python0831!$B$1:$BV$49,MATCH($D29,Python0831!$A$1:$A$49,0),MATCH(BF$5,Python0831!$B$1:$BV$1,0))</f>
        <v>53.9322998998475</v>
      </c>
      <c r="BG29" s="5">
        <f>INDEX(Python0831!$B$1:$BV$49,MATCH($D29,Python0831!$A$1:$A$49,0),MATCH(BG$5,Python0831!$B$1:$BV$1,0))</f>
        <v>19.779393939393898</v>
      </c>
      <c r="BH29" s="327">
        <f>INDEX(Python0831!$B$1:$BV$49,MATCH($D29,Python0831!$A$1:$A$49,0),MATCH(BH$5,Python0831!$B$1:$BV$1,0))</f>
        <v>0.10009999999999999</v>
      </c>
      <c r="BI29" s="327">
        <f>INDEX(Python0831!$B$1:$BV$49,MATCH($D29,Python0831!$A$1:$A$49,0),MATCH(BI$5,Python0831!$B$1:$BV$1,0))</f>
        <v>0.4</v>
      </c>
      <c r="BJ29" s="5">
        <f>INDEX(Python0831!$B$1:$BV$49,MATCH($D29,Python0831!$A$1:$A$49,0),MATCH(BJ$5,Python0831!$B$1:$BV$1,0))</f>
        <v>15.6388047771785</v>
      </c>
      <c r="BK29" s="5">
        <f>INDEX(Python0831!$B$1:$BV$49,MATCH($D29,Python0831!$A$1:$A$49,0),MATCH(BK$5,Python0831!$B$1:$BV$1,0))</f>
        <v>25.4</v>
      </c>
      <c r="BL29" s="7">
        <f>INDEX(Python0831!$B$1:$BV$49,MATCH($D29,Python0831!$A$1:$A$49,0),MATCH(BL$5,Python0831!$B$1:$BV$1,0))</f>
        <v>0.98265773975099202</v>
      </c>
      <c r="BM29" s="5">
        <f>INDEX(Python0831!$B$1:$BV$49,MATCH($D29,Python0831!$A$1:$A$49,0),MATCH(BM$5,Python0831!$B$1:$BV$1,0))</f>
        <v>36.1</v>
      </c>
      <c r="BN29" s="5">
        <f>INDEX(Python0831!$B$1:$BV$49,MATCH($D29,Python0831!$A$1:$A$49,0),MATCH(BN$5,Python0831!$B$1:$BV$1,0))</f>
        <v>46.5506067376446</v>
      </c>
      <c r="BO29" s="5">
        <f>INDEX(Python0831!$B$1:$BV$49,MATCH($D29,Python0831!$A$1:$A$49,0),MATCH(BO$5,Python0831!$B$1:$BV$1,0))</f>
        <v>75.214686111266701</v>
      </c>
      <c r="BP29" s="5">
        <f>INDEX(Python0831!$B$1:$BV$49,MATCH($D29,Python0831!$A$1:$A$49,0),MATCH(BP$5,Python0831!$B$1:$BV$1,0))</f>
        <v>53.999999999999901</v>
      </c>
      <c r="BQ29" s="7">
        <f>INDEX(Python0831!$B$1:$BV$49,MATCH($D29,Python0831!$A$1:$A$49,0),MATCH(BQ$5,Python0831!$B$1:$BV$1,0))</f>
        <v>80.701347024928097</v>
      </c>
      <c r="BR29" s="5">
        <f>INDEX(Python0831!$B$1:$BV$49,MATCH($D29,Python0831!$A$1:$A$49,0),MATCH(BR$5,Python0831!$B$1:$BV$1,0))</f>
        <v>28889974</v>
      </c>
      <c r="BS29" s="5">
        <f>INDEX(Python0831!$B$1:$BV$49,MATCH($D29,Python0831!$A$1:$A$49,0),MATCH(BS$5,Python0831!$B$1:$BV$1,0))</f>
        <v>476797</v>
      </c>
      <c r="BT29" s="8">
        <f>INDEX(Python0831!$B$1:$BV$49,MATCH($D29,Python0831!$A$1:$A$49,0),MATCH(BT$5,Python0831!$B$1:$BV$1,0))</f>
        <v>0.79577471545947598</v>
      </c>
      <c r="BU29" s="8">
        <f>INDEX(Python0831!$B$1:$BV$49,MATCH($D29,Python0831!$A$1:$A$49,0),MATCH(BU$5,Python0831!$B$1:$BV$1,0))</f>
        <v>0.63637735849056598</v>
      </c>
      <c r="BV29" s="5">
        <f>INDEX(Python0831!$B$1:$BV$49,MATCH($D29,Python0831!$A$1:$A$49,0),MATCH(BV$5,Python0831!$B$1:$BV$1,0))</f>
        <v>42.361577757044699</v>
      </c>
      <c r="BW29" s="5">
        <f>INDEX(Python0831!$B$1:$BV$49,MATCH($D29,Python0831!$A$1:$A$49,0),MATCH(BW$5,Python0831!$B$1:$BV$1,0))</f>
        <v>39.517499999999998</v>
      </c>
      <c r="BX29" s="382">
        <f>INDEX(Python0831!$B$1:$BV$49,MATCH($D29,Python0831!$A$1:$A$49,0),MATCH(BX$5,Python0831!$B$1:$BV$1,0))</f>
        <v>32.490070131586506</v>
      </c>
      <c r="BY29" s="5">
        <f>INDEX(Python0831!$B$1:$BV$49,MATCH($D29,Python0831!$A$1:$A$49,0),MATCH(BY$5,Python0831!$B$1:$BV$1,0))</f>
        <v>63.974283169266101</v>
      </c>
    </row>
    <row r="30" spans="1:77">
      <c r="A30" s="2">
        <v>25</v>
      </c>
      <c r="B30" s="58">
        <f>INDEX(順位表[Comprehensive],MATCH($C30,順位表['#],0))</f>
        <v>35</v>
      </c>
      <c r="C30" s="3">
        <v>25</v>
      </c>
      <c r="D30" s="1" t="str">
        <f>INDEX(都市マスタ[City Name],MATCH($C30,都市マスタ['#],0))</f>
        <v>Taipei</v>
      </c>
      <c r="E30" s="5">
        <f>INDEX(Python0831!$B$1:$BV$49,MATCH($D30,Python0831!$A$1:$A$49,0),MATCH(E$5,Python0831!$B$1:$BV$1,0))</f>
        <v>2480681</v>
      </c>
      <c r="F30" s="5">
        <f>INDEX(Python0831!$B$1:$BV$49,MATCH($D30,Python0831!$A$1:$A$49,0),MATCH(F$5,Python0831!$B$1:$BV$1,0))</f>
        <v>271.79969999999997</v>
      </c>
      <c r="G30" s="7">
        <f>INDEX(Python0831!$B$1:$BV$49,MATCH($D30,Python0831!$A$1:$A$49,0),MATCH(G$5,Python0831!$B$1:$BV$1,0))</f>
        <v>29.812999999999999</v>
      </c>
      <c r="H30" s="5">
        <f>INDEX(Python0831!$B$1:$BV$49,MATCH($D30,Python0831!$A$1:$A$49,0),MATCH(H$5,Python0831!$B$1:$BV$1,0))</f>
        <v>83341.277290808503</v>
      </c>
      <c r="I30" s="5">
        <f>INDEX(Python0831!$B$1:$BV$49,MATCH($D30,Python0831!$A$1:$A$49,0),MATCH(I$5,Python0831!$B$1:$BV$1,0))</f>
        <v>32976.255319148899</v>
      </c>
      <c r="J30" s="328">
        <f>INDEX(Python0831!$B$1:$BV$49,MATCH($D30,Python0831!$A$1:$A$49,0),MATCH(J$5,Python0831!$B$1:$BV$1,0))</f>
        <v>3.8063189313885602E-2</v>
      </c>
      <c r="K30" s="5">
        <f>INDEX(Python0831!$B$1:$BV$49,MATCH($D30,Python0831!$A$1:$A$49,0),MATCH(K$5,Python0831!$B$1:$BV$1,0))</f>
        <v>80.716666666666598</v>
      </c>
      <c r="L30" s="5">
        <f>INDEX(Python0831!$B$1:$BV$49,MATCH($D30,Python0831!$A$1:$A$49,0),MATCH(L$5,Python0831!$B$1:$BV$1,0))</f>
        <v>1592376.7</v>
      </c>
      <c r="M30" s="5">
        <f>INDEX(Python0831!$B$1:$BV$49,MATCH($D30,Python0831!$A$1:$A$49,0),MATCH(M$5,Python0831!$B$1:$BV$1,0))</f>
        <v>335911.1</v>
      </c>
      <c r="N30" s="5">
        <f>INDEX(Python0831!$B$1:$BV$49,MATCH($D30,Python0831!$A$1:$A$49,0),MATCH(N$5,Python0831!$B$1:$BV$1,0))</f>
        <v>1168000</v>
      </c>
      <c r="O30" s="328">
        <f>INDEX(Python0831!$B$1:$BV$49,MATCH($D30,Python0831!$A$1:$A$49,0),MATCH(O$5,Python0831!$B$1:$BV$1,0))</f>
        <v>0.20376712328767099</v>
      </c>
      <c r="P30" s="5">
        <f>INDEX(Python0831!$B$1:$BV$49,MATCH($D30,Python0831!$A$1:$A$49,0),MATCH(P$5,Python0831!$B$1:$BV$1,0))</f>
        <v>25.533413099024699</v>
      </c>
      <c r="Q30" s="5">
        <f>INDEX(Python0831!$B$1:$BV$49,MATCH($D30,Python0831!$A$1:$A$49,0),MATCH(Q$5,Python0831!$B$1:$BV$1,0))</f>
        <v>50.845176012771802</v>
      </c>
      <c r="R30" s="5">
        <f>INDEX(Python0831!$B$1:$BV$49,MATCH($D30,Python0831!$A$1:$A$49,0),MATCH(R$5,Python0831!$B$1:$BV$1,0))</f>
        <v>30.012064164083601</v>
      </c>
      <c r="S30" s="327">
        <f>INDEX(Python0831!$B$1:$BV$49,MATCH($D30,Python0831!$A$1:$A$49,0),MATCH(S$5,Python0831!$B$1:$BV$1,0))</f>
        <v>0.2</v>
      </c>
      <c r="T30" s="5">
        <f>INDEX(Python0831!$B$1:$BV$49,MATCH($D30,Python0831!$A$1:$A$49,0),MATCH(T$5,Python0831!$B$1:$BV$1,0))</f>
        <v>90.354382196931994</v>
      </c>
      <c r="U30" s="5">
        <f>INDEX(Python0831!$B$1:$BV$49,MATCH($D30,Python0831!$A$1:$A$49,0),MATCH(U$5,Python0831!$B$1:$BV$1,0))</f>
        <v>18114.656698964402</v>
      </c>
      <c r="V30" s="5">
        <f>INDEX(Python0831!$B$1:$BV$49,MATCH($D30,Python0831!$A$1:$A$49,0),MATCH(V$5,Python0831!$B$1:$BV$1,0))</f>
        <v>17</v>
      </c>
      <c r="W30" s="5">
        <f>INDEX(Python0831!$B$1:$BV$49,MATCH($D30,Python0831!$A$1:$A$49,0),MATCH(W$5,Python0831!$B$1:$BV$1,0))</f>
        <v>3172.2909457854798</v>
      </c>
      <c r="X30" s="5">
        <f>INDEX(Python0831!$B$1:$BV$49,MATCH($D30,Python0831!$A$1:$A$49,0),MATCH(X$5,Python0831!$B$1:$BV$1,0))</f>
        <v>6683.17</v>
      </c>
      <c r="Y30" s="5">
        <f>INDEX(Python0831!$B$1:$BV$49,MATCH($D30,Python0831!$A$1:$A$49,0),MATCH(Y$5,Python0831!$B$1:$BV$1,0))</f>
        <v>516.66666666666595</v>
      </c>
      <c r="Z30" s="5">
        <f>INDEX(Python0831!$B$1:$BV$49,MATCH($D30,Python0831!$A$1:$A$49,0),MATCH(Z$5,Python0831!$B$1:$BV$1,0))</f>
        <v>7230.3894470166797</v>
      </c>
      <c r="AA30" s="7">
        <f>INDEX(Python0831!$B$1:$BV$49,MATCH($D30,Python0831!$A$1:$A$49,0),MATCH(AA$5,Python0831!$B$1:$BV$1,0))</f>
        <v>0</v>
      </c>
      <c r="AB30" s="5">
        <f>INDEX(Python0831!$B$1:$BV$49,MATCH($D30,Python0831!$A$1:$A$49,0),MATCH(AB$5,Python0831!$B$1:$BV$1,0))</f>
        <v>42</v>
      </c>
      <c r="AC30" s="5">
        <f>INDEX(Python0831!$B$1:$BV$49,MATCH($D30,Python0831!$A$1:$A$49,0),MATCH(AC$5,Python0831!$B$1:$BV$1,0))</f>
        <v>27</v>
      </c>
      <c r="AD30" s="5">
        <f>INDEX(Python0831!$B$1:$BV$49,MATCH($D30,Python0831!$A$1:$A$49,0),MATCH(AD$5,Python0831!$B$1:$BV$1,0))</f>
        <v>0</v>
      </c>
      <c r="AE30" s="5">
        <f>INDEX(Python0831!$B$1:$BV$49,MATCH($D30,Python0831!$A$1:$A$49,0),MATCH(AE$5,Python0831!$B$1:$BV$1,0))</f>
        <v>1.03600335935332</v>
      </c>
      <c r="AF30" s="5">
        <f>INDEX(Python0831!$B$1:$BV$49,MATCH($D30,Python0831!$A$1:$A$49,0),MATCH(AF$5,Python0831!$B$1:$BV$1,0))</f>
        <v>1.8750833727763601</v>
      </c>
      <c r="AG30" s="5">
        <f>INDEX(Python0831!$B$1:$BV$49,MATCH($D30,Python0831!$A$1:$A$49,0),MATCH(AG$5,Python0831!$B$1:$BV$1,0))</f>
        <v>20.903643327166002</v>
      </c>
      <c r="AH30" s="5">
        <f>INDEX(Python0831!$B$1:$BV$49,MATCH($D30,Python0831!$A$1:$A$49,0),MATCH(AH$5,Python0831!$B$1:$BV$1,0))</f>
        <v>0</v>
      </c>
      <c r="AI30" s="5">
        <f>INDEX(Python0831!$B$1:$BV$49,MATCH($D30,Python0831!$A$1:$A$49,0),MATCH(AI$5,Python0831!$B$1:$BV$1,0))</f>
        <v>22.476378530782998</v>
      </c>
      <c r="AJ30" s="5">
        <f>INDEX(Python0831!$B$1:$BV$49,MATCH($D30,Python0831!$A$1:$A$49,0),MATCH(AJ$5,Python0831!$B$1:$BV$1,0))</f>
        <v>28.5</v>
      </c>
      <c r="AK30" s="5">
        <f>INDEX(Python0831!$B$1:$BV$49,MATCH($D30,Python0831!$A$1:$A$49,0),MATCH(AK$5,Python0831!$B$1:$BV$1,0))</f>
        <v>72</v>
      </c>
      <c r="AL30" s="5">
        <f>INDEX(Python0831!$B$1:$BV$49,MATCH($D30,Python0831!$A$1:$A$49,0),MATCH(AL$5,Python0831!$B$1:$BV$1,0))</f>
        <v>3</v>
      </c>
      <c r="AM30" s="5">
        <f>INDEX(Python0831!$B$1:$BV$49,MATCH($D30,Python0831!$A$1:$A$49,0),MATCH(AM$5,Python0831!$B$1:$BV$1,0))</f>
        <v>50734</v>
      </c>
      <c r="AN30" s="5">
        <f>INDEX(Python0831!$B$1:$BV$49,MATCH($D30,Python0831!$A$1:$A$49,0),MATCH(AN$5,Python0831!$B$1:$BV$1,0))</f>
        <v>2866</v>
      </c>
      <c r="AO30" s="5">
        <f>INDEX(Python0831!$B$1:$BV$49,MATCH($D30,Python0831!$A$1:$A$49,0),MATCH(AO$5,Python0831!$B$1:$BV$1,0))</f>
        <v>30.022919621588201</v>
      </c>
      <c r="AP30" s="5">
        <f>INDEX(Python0831!$B$1:$BV$49,MATCH($D30,Python0831!$A$1:$A$49,0),MATCH(AP$5,Python0831!$B$1:$BV$1,0))</f>
        <v>21.525747063816102</v>
      </c>
      <c r="AQ30" s="5">
        <f>INDEX(Python0831!$B$1:$BV$49,MATCH($D30,Python0831!$A$1:$A$49,0),MATCH(AQ$5,Python0831!$B$1:$BV$1,0))</f>
        <v>68044</v>
      </c>
      <c r="AR30" s="5">
        <f>INDEX(Python0831!$B$1:$BV$49,MATCH($D30,Python0831!$A$1:$A$49,0),MATCH(AR$5,Python0831!$B$1:$BV$1,0))</f>
        <v>84996.806445962502</v>
      </c>
      <c r="AS30" s="328">
        <f>INDEX(Python0831!$B$1:$BV$49,MATCH($D30,Python0831!$A$1:$A$49,0),MATCH(AS$5,Python0831!$B$1:$BV$1,0))</f>
        <v>3.6999999999999998E-2</v>
      </c>
      <c r="AT30" s="5">
        <f>INDEX(Python0831!$B$1:$BV$49,MATCH($D30,Python0831!$A$1:$A$49,0),MATCH(AT$5,Python0831!$B$1:$BV$1,0))</f>
        <v>2145.54894453938</v>
      </c>
      <c r="AU30" s="7">
        <f>INDEX(Python0831!$B$1:$BV$49,MATCH($D30,Python0831!$A$1:$A$49,0),MATCH(AU$5,Python0831!$B$1:$BV$1,0))</f>
        <v>0.55428571428571405</v>
      </c>
      <c r="AV30" s="5">
        <f>INDEX(Python0831!$B$1:$BV$49,MATCH($D30,Python0831!$A$1:$A$49,0),MATCH(AV$5,Python0831!$B$1:$BV$1,0))</f>
        <v>1039.45206215093</v>
      </c>
      <c r="AW30" s="5">
        <f>INDEX(Python0831!$B$1:$BV$49,MATCH($D30,Python0831!$A$1:$A$49,0),MATCH(AW$5,Python0831!$B$1:$BV$1,0))</f>
        <v>31.7164704259052</v>
      </c>
      <c r="AX30" s="5">
        <f>INDEX(Python0831!$B$1:$BV$49,MATCH($D30,Python0831!$A$1:$A$49,0),MATCH(AX$5,Python0831!$B$1:$BV$1,0))</f>
        <v>8.0623022468426999</v>
      </c>
      <c r="AY30" s="329">
        <f>INDEX(Python0831!$B$1:$BV$49,MATCH($D30,Python0831!$A$1:$A$49,0),MATCH(AY$5,Python0831!$B$1:$BV$1,0))</f>
        <v>5.9900000000000002E-2</v>
      </c>
      <c r="AZ30" s="5">
        <f>INDEX(Python0831!$B$1:$BV$49,MATCH($D30,Python0831!$A$1:$A$49,0),MATCH(AZ$5,Python0831!$B$1:$BV$1,0))</f>
        <v>84.17</v>
      </c>
      <c r="BA30" s="5">
        <f>INDEX(Python0831!$B$1:$BV$49,MATCH($D30,Python0831!$A$1:$A$49,0),MATCH(BA$5,Python0831!$B$1:$BV$1,0))</f>
        <v>64.599166337217397</v>
      </c>
      <c r="BB30" s="5">
        <f>INDEX(Python0831!$B$1:$BV$49,MATCH($D30,Python0831!$A$1:$A$49,0),MATCH(BB$5,Python0831!$B$1:$BV$1,0))</f>
        <v>31.9038076935947</v>
      </c>
      <c r="BC30" s="5">
        <f>INDEX(Python0831!$B$1:$BV$49,MATCH($D30,Python0831!$A$1:$A$49,0),MATCH(BC$5,Python0831!$B$1:$BV$1,0))</f>
        <v>5147.3768694967202</v>
      </c>
      <c r="BD30" s="5">
        <f>INDEX(Python0831!$B$1:$BV$49,MATCH($D30,Python0831!$A$1:$A$49,0),MATCH(BD$5,Python0831!$B$1:$BV$1,0))</f>
        <v>70.483055555555495</v>
      </c>
      <c r="BE30" s="5">
        <f>INDEX(Python0831!$B$1:$BV$49,MATCH($D30,Python0831!$A$1:$A$49,0),MATCH(BE$5,Python0831!$B$1:$BV$1,0))</f>
        <v>60.953937721734903</v>
      </c>
      <c r="BF30" s="5">
        <f>INDEX(Python0831!$B$1:$BV$49,MATCH($D30,Python0831!$A$1:$A$49,0),MATCH(BF$5,Python0831!$B$1:$BV$1,0))</f>
        <v>83.222816775910005</v>
      </c>
      <c r="BG30" s="5">
        <f>INDEX(Python0831!$B$1:$BV$49,MATCH($D30,Python0831!$A$1:$A$49,0),MATCH(BG$5,Python0831!$B$1:$BV$1,0))</f>
        <v>7.44</v>
      </c>
      <c r="BH30" s="327">
        <f>INDEX(Python0831!$B$1:$BV$49,MATCH($D30,Python0831!$A$1:$A$49,0),MATCH(BH$5,Python0831!$B$1:$BV$1,0))</f>
        <v>1.7899999999999999E-2</v>
      </c>
      <c r="BI30" s="327">
        <f>INDEX(Python0831!$B$1:$BV$49,MATCH($D30,Python0831!$A$1:$A$49,0),MATCH(BI$5,Python0831!$B$1:$BV$1,0))</f>
        <v>0.57294737966968501</v>
      </c>
      <c r="BJ30" s="5">
        <f>INDEX(Python0831!$B$1:$BV$49,MATCH($D30,Python0831!$A$1:$A$49,0),MATCH(BJ$5,Python0831!$B$1:$BV$1,0))</f>
        <v>10.820224044769599</v>
      </c>
      <c r="BK30" s="5">
        <f>INDEX(Python0831!$B$1:$BV$49,MATCH($D30,Python0831!$A$1:$A$49,0),MATCH(BK$5,Python0831!$B$1:$BV$1,0))</f>
        <v>9.9</v>
      </c>
      <c r="BL30" s="7">
        <f>INDEX(Python0831!$B$1:$BV$49,MATCH($D30,Python0831!$A$1:$A$49,0),MATCH(BL$5,Python0831!$B$1:$BV$1,0))</f>
        <v>1.00940758651957</v>
      </c>
      <c r="BM30" s="5">
        <f>INDEX(Python0831!$B$1:$BV$49,MATCH($D30,Python0831!$A$1:$A$49,0),MATCH(BM$5,Python0831!$B$1:$BV$1,0))</f>
        <v>55.7</v>
      </c>
      <c r="BN30" s="5">
        <f>INDEX(Python0831!$B$1:$BV$49,MATCH($D30,Python0831!$A$1:$A$49,0),MATCH(BN$5,Python0831!$B$1:$BV$1,0))</f>
        <v>71.159981882784606</v>
      </c>
      <c r="BO30" s="5">
        <f>INDEX(Python0831!$B$1:$BV$49,MATCH($D30,Python0831!$A$1:$A$49,0),MATCH(BO$5,Python0831!$B$1:$BV$1,0))</f>
        <v>62.780658301962397</v>
      </c>
      <c r="BP30" s="5">
        <f>INDEX(Python0831!$B$1:$BV$49,MATCH($D30,Python0831!$A$1:$A$49,0),MATCH(BP$5,Python0831!$B$1:$BV$1,0))</f>
        <v>73.000000000000597</v>
      </c>
      <c r="BQ30" s="7">
        <f>INDEX(Python0831!$B$1:$BV$49,MATCH($D30,Python0831!$A$1:$A$49,0),MATCH(BQ$5,Python0831!$B$1:$BV$1,0))</f>
        <v>31.838688243401101</v>
      </c>
      <c r="BR30" s="5">
        <f>INDEX(Python0831!$B$1:$BV$49,MATCH($D30,Python0831!$A$1:$A$49,0),MATCH(BR$5,Python0831!$B$1:$BV$1,0))</f>
        <v>8116582</v>
      </c>
      <c r="BS30" s="5">
        <f>INDEX(Python0831!$B$1:$BV$49,MATCH($D30,Python0831!$A$1:$A$49,0),MATCH(BS$5,Python0831!$B$1:$BV$1,0))</f>
        <v>118391</v>
      </c>
      <c r="BT30" s="8">
        <f>INDEX(Python0831!$B$1:$BV$49,MATCH($D30,Python0831!$A$1:$A$49,0),MATCH(BT$5,Python0831!$B$1:$BV$1,0))</f>
        <v>0.40425355545341402</v>
      </c>
      <c r="BU30" s="8">
        <f>INDEX(Python0831!$B$1:$BV$49,MATCH($D30,Python0831!$A$1:$A$49,0),MATCH(BU$5,Python0831!$B$1:$BV$1,0))</f>
        <v>0.45899301098274098</v>
      </c>
      <c r="BV30" s="5">
        <f>INDEX(Python0831!$B$1:$BV$49,MATCH($D30,Python0831!$A$1:$A$49,0),MATCH(BV$5,Python0831!$B$1:$BV$1,0))</f>
        <v>27.138922270482801</v>
      </c>
      <c r="BW30" s="5">
        <f>INDEX(Python0831!$B$1:$BV$49,MATCH($D30,Python0831!$A$1:$A$49,0),MATCH(BW$5,Python0831!$B$1:$BV$1,0))</f>
        <v>31.892499999999998</v>
      </c>
      <c r="BX30" s="382">
        <f>INDEX(Python0831!$B$1:$BV$49,MATCH($D30,Python0831!$A$1:$A$49,0),MATCH(BX$5,Python0831!$B$1:$BV$1,0))</f>
        <v>28.346456692913385</v>
      </c>
      <c r="BY30" s="5">
        <f>INDEX(Python0831!$B$1:$BV$49,MATCH($D30,Python0831!$A$1:$A$49,0),MATCH(BY$5,Python0831!$B$1:$BV$1,0))</f>
        <v>48.493662196638198</v>
      </c>
    </row>
    <row r="31" spans="1:77">
      <c r="A31" s="2">
        <v>26</v>
      </c>
      <c r="B31" s="58">
        <f>INDEX(順位表[Comprehensive],MATCH($C31,順位表['#],0))</f>
        <v>7</v>
      </c>
      <c r="C31" s="3">
        <v>26</v>
      </c>
      <c r="D31" s="1" t="str">
        <f>INDEX(都市マスタ[City Name],MATCH($C31,都市マスタ['#],0))</f>
        <v>Seoul</v>
      </c>
      <c r="E31" s="5">
        <f>INDEX(Python0831!$B$1:$BV$49,MATCH($D31,Python0831!$A$1:$A$49,0),MATCH(E$5,Python0831!$B$1:$BV$1,0))</f>
        <v>9667669</v>
      </c>
      <c r="F31" s="5">
        <f>INDEX(Python0831!$B$1:$BV$49,MATCH($D31,Python0831!$A$1:$A$49,0),MATCH(F$5,Python0831!$B$1:$BV$1,0))</f>
        <v>605.24</v>
      </c>
      <c r="G31" s="7">
        <f>INDEX(Python0831!$B$1:$BV$49,MATCH($D31,Python0831!$A$1:$A$49,0),MATCH(G$5,Python0831!$B$1:$BV$1,0))</f>
        <v>1291.729</v>
      </c>
      <c r="H31" s="5">
        <f>INDEX(Python0831!$B$1:$BV$49,MATCH($D31,Python0831!$A$1:$A$49,0),MATCH(H$5,Python0831!$B$1:$BV$1,0))</f>
        <v>412034.05762859603</v>
      </c>
      <c r="I31" s="5">
        <f>INDEX(Python0831!$B$1:$BV$49,MATCH($D31,Python0831!$A$1:$A$49,0),MATCH(I$5,Python0831!$B$1:$BV$1,0))</f>
        <v>42320.554126297699</v>
      </c>
      <c r="J31" s="328">
        <f>INDEX(Python0831!$B$1:$BV$49,MATCH($D31,Python0831!$A$1:$A$49,0),MATCH(J$5,Python0831!$B$1:$BV$1,0))</f>
        <v>3.5283824424346702E-2</v>
      </c>
      <c r="K31" s="5">
        <f>INDEX(Python0831!$B$1:$BV$49,MATCH($D31,Python0831!$A$1:$A$49,0),MATCH(K$5,Python0831!$B$1:$BV$1,0))</f>
        <v>73.733333333333306</v>
      </c>
      <c r="L31" s="5">
        <f>INDEX(Python0831!$B$1:$BV$49,MATCH($D31,Python0831!$A$1:$A$49,0),MATCH(L$5,Python0831!$B$1:$BV$1,0))</f>
        <v>1644507.58</v>
      </c>
      <c r="M31" s="5">
        <f>INDEX(Python0831!$B$1:$BV$49,MATCH($D31,Python0831!$A$1:$A$49,0),MATCH(M$5,Python0831!$B$1:$BV$1,0))</f>
        <v>728271.39999999898</v>
      </c>
      <c r="N31" s="5">
        <f>INDEX(Python0831!$B$1:$BV$49,MATCH($D31,Python0831!$A$1:$A$49,0),MATCH(N$5,Python0831!$B$1:$BV$1,0))</f>
        <v>5147000</v>
      </c>
      <c r="O31" s="328">
        <f>INDEX(Python0831!$B$1:$BV$49,MATCH($D31,Python0831!$A$1:$A$49,0),MATCH(O$5,Python0831!$B$1:$BV$1,0))</f>
        <v>0.216423788893265</v>
      </c>
      <c r="P31" s="5">
        <f>INDEX(Python0831!$B$1:$BV$49,MATCH($D31,Python0831!$A$1:$A$49,0),MATCH(P$5,Python0831!$B$1:$BV$1,0))</f>
        <v>42.177120890399003</v>
      </c>
      <c r="Q31" s="5">
        <f>INDEX(Python0831!$B$1:$BV$49,MATCH($D31,Python0831!$A$1:$A$49,0),MATCH(Q$5,Python0831!$B$1:$BV$1,0))</f>
        <v>48.033983781454303</v>
      </c>
      <c r="R31" s="5">
        <f>INDEX(Python0831!$B$1:$BV$49,MATCH($D31,Python0831!$A$1:$A$49,0),MATCH(R$5,Python0831!$B$1:$BV$1,0))</f>
        <v>26.111806787802401</v>
      </c>
      <c r="S31" s="327">
        <f>INDEX(Python0831!$B$1:$BV$49,MATCH($D31,Python0831!$A$1:$A$49,0),MATCH(S$5,Python0831!$B$1:$BV$1,0))</f>
        <v>0.24</v>
      </c>
      <c r="T31" s="5">
        <f>INDEX(Python0831!$B$1:$BV$49,MATCH($D31,Python0831!$A$1:$A$49,0),MATCH(T$5,Python0831!$B$1:$BV$1,0))</f>
        <v>95.984362298456702</v>
      </c>
      <c r="U31" s="5">
        <f>INDEX(Python0831!$B$1:$BV$49,MATCH($D31,Python0831!$A$1:$A$49,0),MATCH(U$5,Python0831!$B$1:$BV$1,0))</f>
        <v>85071.343785637902</v>
      </c>
      <c r="V31" s="5">
        <f>INDEX(Python0831!$B$1:$BV$49,MATCH($D31,Python0831!$A$1:$A$49,0),MATCH(V$5,Python0831!$B$1:$BV$1,0))</f>
        <v>307</v>
      </c>
      <c r="W31" s="5">
        <f>INDEX(Python0831!$B$1:$BV$49,MATCH($D31,Python0831!$A$1:$A$49,0),MATCH(W$5,Python0831!$B$1:$BV$1,0))</f>
        <v>14868.0121247895</v>
      </c>
      <c r="X31" s="5">
        <f>INDEX(Python0831!$B$1:$BV$49,MATCH($D31,Python0831!$A$1:$A$49,0),MATCH(X$5,Python0831!$B$1:$BV$1,0))</f>
        <v>36438.82</v>
      </c>
      <c r="Y31" s="5">
        <f>INDEX(Python0831!$B$1:$BV$49,MATCH($D31,Python0831!$A$1:$A$49,0),MATCH(Y$5,Python0831!$B$1:$BV$1,0))</f>
        <v>519.66666666666595</v>
      </c>
      <c r="Z31" s="5">
        <f>INDEX(Python0831!$B$1:$BV$49,MATCH($D31,Python0831!$A$1:$A$49,0),MATCH(Z$5,Python0831!$B$1:$BV$1,0))</f>
        <v>22806.3750202101</v>
      </c>
      <c r="AA31" s="7">
        <f>INDEX(Python0831!$B$1:$BV$49,MATCH($D31,Python0831!$A$1:$A$49,0),MATCH(AA$5,Python0831!$B$1:$BV$1,0))</f>
        <v>0</v>
      </c>
      <c r="AB31" s="5">
        <f>INDEX(Python0831!$B$1:$BV$49,MATCH($D31,Python0831!$A$1:$A$49,0),MATCH(AB$5,Python0831!$B$1:$BV$1,0))</f>
        <v>250.666666666666</v>
      </c>
      <c r="AC31" s="5">
        <f>INDEX(Python0831!$B$1:$BV$49,MATCH($D31,Python0831!$A$1:$A$49,0),MATCH(AC$5,Python0831!$B$1:$BV$1,0))</f>
        <v>265</v>
      </c>
      <c r="AD31" s="5">
        <f>INDEX(Python0831!$B$1:$BV$49,MATCH($D31,Python0831!$A$1:$A$49,0),MATCH(AD$5,Python0831!$B$1:$BV$1,0))</f>
        <v>17.1875</v>
      </c>
      <c r="AE31" s="5">
        <f>INDEX(Python0831!$B$1:$BV$49,MATCH($D31,Python0831!$A$1:$A$49,0),MATCH(AE$5,Python0831!$B$1:$BV$1,0))</f>
        <v>26.269192469221199</v>
      </c>
      <c r="AF31" s="5">
        <f>INDEX(Python0831!$B$1:$BV$49,MATCH($D31,Python0831!$A$1:$A$49,0),MATCH(AF$5,Python0831!$B$1:$BV$1,0))</f>
        <v>9.2697022472311801</v>
      </c>
      <c r="AG31" s="5">
        <f>INDEX(Python0831!$B$1:$BV$49,MATCH($D31,Python0831!$A$1:$A$49,0),MATCH(AG$5,Python0831!$B$1:$BV$1,0))</f>
        <v>30.4197543162507</v>
      </c>
      <c r="AH31" s="5">
        <f>INDEX(Python0831!$B$1:$BV$49,MATCH($D31,Python0831!$A$1:$A$49,0),MATCH(AH$5,Python0831!$B$1:$BV$1,0))</f>
        <v>7</v>
      </c>
      <c r="AI31" s="5">
        <f>INDEX(Python0831!$B$1:$BV$49,MATCH($D31,Python0831!$A$1:$A$49,0),MATCH(AI$5,Python0831!$B$1:$BV$1,0))</f>
        <v>40.648796298708398</v>
      </c>
      <c r="AJ31" s="5">
        <f>INDEX(Python0831!$B$1:$BV$49,MATCH($D31,Python0831!$A$1:$A$49,0),MATCH(AJ$5,Python0831!$B$1:$BV$1,0))</f>
        <v>54.5</v>
      </c>
      <c r="AK31" s="5">
        <f>INDEX(Python0831!$B$1:$BV$49,MATCH($D31,Python0831!$A$1:$A$49,0),MATCH(AK$5,Python0831!$B$1:$BV$1,0))</f>
        <v>75</v>
      </c>
      <c r="AL31" s="5">
        <f>INDEX(Python0831!$B$1:$BV$49,MATCH($D31,Python0831!$A$1:$A$49,0),MATCH(AL$5,Python0831!$B$1:$BV$1,0))</f>
        <v>10</v>
      </c>
      <c r="AM31" s="5">
        <f>INDEX(Python0831!$B$1:$BV$49,MATCH($D31,Python0831!$A$1:$A$49,0),MATCH(AM$5,Python0831!$B$1:$BV$1,0))</f>
        <v>77744</v>
      </c>
      <c r="AN31" s="5">
        <f>INDEX(Python0831!$B$1:$BV$49,MATCH($D31,Python0831!$A$1:$A$49,0),MATCH(AN$5,Python0831!$B$1:$BV$1,0))</f>
        <v>9792</v>
      </c>
      <c r="AO31" s="5">
        <f>INDEX(Python0831!$B$1:$BV$49,MATCH($D31,Python0831!$A$1:$A$49,0),MATCH(AO$5,Python0831!$B$1:$BV$1,0))</f>
        <v>50.500355762034602</v>
      </c>
      <c r="AP31" s="5">
        <f>INDEX(Python0831!$B$1:$BV$49,MATCH($D31,Python0831!$A$1:$A$49,0),MATCH(AP$5,Python0831!$B$1:$BV$1,0))</f>
        <v>59.515753215364001</v>
      </c>
      <c r="AQ31" s="5">
        <f>INDEX(Python0831!$B$1:$BV$49,MATCH($D31,Python0831!$A$1:$A$49,0),MATCH(AQ$5,Python0831!$B$1:$BV$1,0))</f>
        <v>226569</v>
      </c>
      <c r="AR31" s="5">
        <f>INDEX(Python0831!$B$1:$BV$49,MATCH($D31,Python0831!$A$1:$A$49,0),MATCH(AR$5,Python0831!$B$1:$BV$1,0))</f>
        <v>2635166.0079999999</v>
      </c>
      <c r="AS31" s="328">
        <f>INDEX(Python0831!$B$1:$BV$49,MATCH($D31,Python0831!$A$1:$A$49,0),MATCH(AS$5,Python0831!$B$1:$BV$1,0))</f>
        <v>3.4000000000000002E-2</v>
      </c>
      <c r="AT31" s="5">
        <f>INDEX(Python0831!$B$1:$BV$49,MATCH($D31,Python0831!$A$1:$A$49,0),MATCH(AT$5,Python0831!$B$1:$BV$1,0))</f>
        <v>2264.7970470093701</v>
      </c>
      <c r="AU31" s="7">
        <f>INDEX(Python0831!$B$1:$BV$49,MATCH($D31,Python0831!$A$1:$A$49,0),MATCH(AU$5,Python0831!$B$1:$BV$1,0))</f>
        <v>4.1666666666666602E-2</v>
      </c>
      <c r="AV31" s="5">
        <f>INDEX(Python0831!$B$1:$BV$49,MATCH($D31,Python0831!$A$1:$A$49,0),MATCH(AV$5,Python0831!$B$1:$BV$1,0))</f>
        <v>1639.2893094752901</v>
      </c>
      <c r="AW31" s="5">
        <f>INDEX(Python0831!$B$1:$BV$49,MATCH($D31,Python0831!$A$1:$A$49,0),MATCH(AW$5,Python0831!$B$1:$BV$1,0))</f>
        <v>33.182298983300903</v>
      </c>
      <c r="AX31" s="5">
        <f>INDEX(Python0831!$B$1:$BV$49,MATCH($D31,Python0831!$A$1:$A$49,0),MATCH(AX$5,Python0831!$B$1:$BV$1,0))</f>
        <v>4.9301424492762802</v>
      </c>
      <c r="AY31" s="329">
        <f>INDEX(Python0831!$B$1:$BV$49,MATCH($D31,Python0831!$A$1:$A$49,0),MATCH(AY$5,Python0831!$B$1:$BV$1,0))</f>
        <v>1.0699999999999999E-2</v>
      </c>
      <c r="AZ31" s="5">
        <f>INDEX(Python0831!$B$1:$BV$49,MATCH($D31,Python0831!$A$1:$A$49,0),MATCH(AZ$5,Python0831!$B$1:$BV$1,0))</f>
        <v>83.3</v>
      </c>
      <c r="BA31" s="5">
        <f>INDEX(Python0831!$B$1:$BV$49,MATCH($D31,Python0831!$A$1:$A$49,0),MATCH(BA$5,Python0831!$B$1:$BV$1,0))</f>
        <v>58.012991802688497</v>
      </c>
      <c r="BB31" s="5">
        <f>INDEX(Python0831!$B$1:$BV$49,MATCH($D31,Python0831!$A$1:$A$49,0),MATCH(BB$5,Python0831!$B$1:$BV$1,0))</f>
        <v>46.433226005326702</v>
      </c>
      <c r="BC31" s="5">
        <f>INDEX(Python0831!$B$1:$BV$49,MATCH($D31,Python0831!$A$1:$A$49,0),MATCH(BC$5,Python0831!$B$1:$BV$1,0))</f>
        <v>2496.78959621178</v>
      </c>
      <c r="BD31" s="5">
        <f>INDEX(Python0831!$B$1:$BV$49,MATCH($D31,Python0831!$A$1:$A$49,0),MATCH(BD$5,Python0831!$B$1:$BV$1,0))</f>
        <v>77.814796457521993</v>
      </c>
      <c r="BE31" s="5">
        <f>INDEX(Python0831!$B$1:$BV$49,MATCH($D31,Python0831!$A$1:$A$49,0),MATCH(BE$5,Python0831!$B$1:$BV$1,0))</f>
        <v>45.638207392734202</v>
      </c>
      <c r="BF31" s="5">
        <f>INDEX(Python0831!$B$1:$BV$49,MATCH($D31,Python0831!$A$1:$A$49,0),MATCH(BF$5,Python0831!$B$1:$BV$1,0))</f>
        <v>50.731763362750598</v>
      </c>
      <c r="BG31" s="5">
        <f>INDEX(Python0831!$B$1:$BV$49,MATCH($D31,Python0831!$A$1:$A$49,0),MATCH(BG$5,Python0831!$B$1:$BV$1,0))</f>
        <v>34.409696969696903</v>
      </c>
      <c r="BH31" s="327">
        <f>INDEX(Python0831!$B$1:$BV$49,MATCH($D31,Python0831!$A$1:$A$49,0),MATCH(BH$5,Python0831!$B$1:$BV$1,0))</f>
        <v>2.1299999999999999E-2</v>
      </c>
      <c r="BI31" s="327">
        <f>INDEX(Python0831!$B$1:$BV$49,MATCH($D31,Python0831!$A$1:$A$49,0),MATCH(BI$5,Python0831!$B$1:$BV$1,0))</f>
        <v>0.59015214882902201</v>
      </c>
      <c r="BJ31" s="5">
        <f>INDEX(Python0831!$B$1:$BV$49,MATCH($D31,Python0831!$A$1:$A$49,0),MATCH(BJ$5,Python0831!$B$1:$BV$1,0))</f>
        <v>4.5909577511019597</v>
      </c>
      <c r="BK31" s="5">
        <f>INDEX(Python0831!$B$1:$BV$49,MATCH($D31,Python0831!$A$1:$A$49,0),MATCH(BK$5,Python0831!$B$1:$BV$1,0))</f>
        <v>18.3</v>
      </c>
      <c r="BL31" s="7">
        <f>INDEX(Python0831!$B$1:$BV$49,MATCH($D31,Python0831!$A$1:$A$49,0),MATCH(BL$5,Python0831!$B$1:$BV$1,0))</f>
        <v>1.0604101780572299</v>
      </c>
      <c r="BM31" s="5">
        <f>INDEX(Python0831!$B$1:$BV$49,MATCH($D31,Python0831!$A$1:$A$49,0),MATCH(BM$5,Python0831!$B$1:$BV$1,0))</f>
        <v>63.6</v>
      </c>
      <c r="BN31" s="5">
        <f>INDEX(Python0831!$B$1:$BV$49,MATCH($D31,Python0831!$A$1:$A$49,0),MATCH(BN$5,Python0831!$B$1:$BV$1,0))</f>
        <v>50.437957418086903</v>
      </c>
      <c r="BO31" s="5">
        <f>INDEX(Python0831!$B$1:$BV$49,MATCH($D31,Python0831!$A$1:$A$49,0),MATCH(BO$5,Python0831!$B$1:$BV$1,0))</f>
        <v>67.7219876857598</v>
      </c>
      <c r="BP31" s="5">
        <f>INDEX(Python0831!$B$1:$BV$49,MATCH($D31,Python0831!$A$1:$A$49,0),MATCH(BP$5,Python0831!$B$1:$BV$1,0))</f>
        <v>134.99999999999801</v>
      </c>
      <c r="BQ31" s="7">
        <f>INDEX(Python0831!$B$1:$BV$49,MATCH($D31,Python0831!$A$1:$A$49,0),MATCH(BQ$5,Python0831!$B$1:$BV$1,0))</f>
        <v>38.177965850969997</v>
      </c>
      <c r="BR31" s="5">
        <f>INDEX(Python0831!$B$1:$BV$49,MATCH($D31,Python0831!$A$1:$A$49,0),MATCH(BR$5,Python0831!$B$1:$BV$1,0))</f>
        <v>42447962</v>
      </c>
      <c r="BS31" s="5">
        <f>INDEX(Python0831!$B$1:$BV$49,MATCH($D31,Python0831!$A$1:$A$49,0),MATCH(BS$5,Python0831!$B$1:$BV$1,0))</f>
        <v>264171</v>
      </c>
      <c r="BT31" s="8">
        <f>INDEX(Python0831!$B$1:$BV$49,MATCH($D31,Python0831!$A$1:$A$49,0),MATCH(BT$5,Python0831!$B$1:$BV$1,0))</f>
        <v>0.70983104618985304</v>
      </c>
      <c r="BU31" s="8">
        <f>INDEX(Python0831!$B$1:$BV$49,MATCH($D31,Python0831!$A$1:$A$49,0),MATCH(BU$5,Python0831!$B$1:$BV$1,0))</f>
        <v>0.71261430876815401</v>
      </c>
      <c r="BV31" s="5">
        <f>INDEX(Python0831!$B$1:$BV$49,MATCH($D31,Python0831!$A$1:$A$49,0),MATCH(BV$5,Python0831!$B$1:$BV$1,0))</f>
        <v>29.978650093966799</v>
      </c>
      <c r="BW31" s="5">
        <f>INDEX(Python0831!$B$1:$BV$49,MATCH($D31,Python0831!$A$1:$A$49,0),MATCH(BW$5,Python0831!$B$1:$BV$1,0))</f>
        <v>40.935000000000002</v>
      </c>
      <c r="BX31" s="382">
        <f>INDEX(Python0831!$B$1:$BV$49,MATCH($D31,Python0831!$A$1:$A$49,0),MATCH(BX$5,Python0831!$B$1:$BV$1,0))</f>
        <v>21.526014923398979</v>
      </c>
      <c r="BY31" s="5">
        <f>INDEX(Python0831!$B$1:$BV$49,MATCH($D31,Python0831!$A$1:$A$49,0),MATCH(BY$5,Python0831!$B$1:$BV$1,0))</f>
        <v>53.0591860706555</v>
      </c>
    </row>
    <row r="32" spans="1:77">
      <c r="A32" s="2">
        <v>27</v>
      </c>
      <c r="B32" s="58">
        <f>INDEX(順位表[Comprehensive],MATCH($C32,順位表['#],0))</f>
        <v>42</v>
      </c>
      <c r="C32" s="3">
        <v>27</v>
      </c>
      <c r="D32" s="1" t="str">
        <f>INDEX(都市マスタ[City Name],MATCH($C32,都市マスタ['#],0))</f>
        <v>Fukuoka</v>
      </c>
      <c r="E32" s="5">
        <f>INDEX(Python0831!$B$1:$BV$49,MATCH($D32,Python0831!$A$1:$A$49,0),MATCH(E$5,Python0831!$B$1:$BV$1,0))</f>
        <v>1633502</v>
      </c>
      <c r="F32" s="5">
        <f>INDEX(Python0831!$B$1:$BV$49,MATCH($D32,Python0831!$A$1:$A$49,0),MATCH(F$5,Python0831!$B$1:$BV$1,0))</f>
        <v>343.47</v>
      </c>
      <c r="G32" s="7">
        <f>INDEX(Python0831!$B$1:$BV$49,MATCH($D32,Python0831!$A$1:$A$49,0),MATCH(G$5,Python0831!$B$1:$BV$1,0))</f>
        <v>131.45400000000001</v>
      </c>
      <c r="H32" s="5">
        <f>INDEX(Python0831!$B$1:$BV$49,MATCH($D32,Python0831!$A$1:$A$49,0),MATCH(H$5,Python0831!$B$1:$BV$1,0))</f>
        <v>68927.543681900395</v>
      </c>
      <c r="I32" s="5">
        <f>INDEX(Python0831!$B$1:$BV$49,MATCH($D32,Python0831!$A$1:$A$49,0),MATCH(I$5,Python0831!$B$1:$BV$1,0))</f>
        <v>42550.676916253302</v>
      </c>
      <c r="J32" s="328">
        <f>INDEX(Python0831!$B$1:$BV$49,MATCH($D32,Python0831!$A$1:$A$49,0),MATCH(J$5,Python0831!$B$1:$BV$1,0))</f>
        <v>-2.74844257044932E-2</v>
      </c>
      <c r="K32" s="5">
        <f>INDEX(Python0831!$B$1:$BV$49,MATCH($D32,Python0831!$A$1:$A$49,0),MATCH(K$5,Python0831!$B$1:$BV$1,0))</f>
        <v>69.2916666666666</v>
      </c>
      <c r="L32" s="5">
        <f>INDEX(Python0831!$B$1:$BV$49,MATCH($D32,Python0831!$A$1:$A$49,0),MATCH(L$5,Python0831!$B$1:$BV$1,0))</f>
        <v>0</v>
      </c>
      <c r="M32" s="5">
        <f>INDEX(Python0831!$B$1:$BV$49,MATCH($D32,Python0831!$A$1:$A$49,0),MATCH(M$5,Python0831!$B$1:$BV$1,0))</f>
        <v>0</v>
      </c>
      <c r="N32" s="5">
        <f>INDEX(Python0831!$B$1:$BV$49,MATCH($D32,Python0831!$A$1:$A$49,0),MATCH(N$5,Python0831!$B$1:$BV$1,0))</f>
        <v>952085</v>
      </c>
      <c r="O32" s="328">
        <f>INDEX(Python0831!$B$1:$BV$49,MATCH($D32,Python0831!$A$1:$A$49,0),MATCH(O$5,Python0831!$B$1:$BV$1,0))</f>
        <v>0.24503169359878499</v>
      </c>
      <c r="P32" s="5">
        <f>INDEX(Python0831!$B$1:$BV$49,MATCH($D32,Python0831!$A$1:$A$49,0),MATCH(P$5,Python0831!$B$1:$BV$1,0))</f>
        <v>23.246759250964999</v>
      </c>
      <c r="Q32" s="5">
        <f>INDEX(Python0831!$B$1:$BV$49,MATCH($D32,Python0831!$A$1:$A$49,0),MATCH(Q$5,Python0831!$B$1:$BV$1,0))</f>
        <v>10.2451086283421</v>
      </c>
      <c r="R32" s="5">
        <f>INDEX(Python0831!$B$1:$BV$49,MATCH($D32,Python0831!$A$1:$A$49,0),MATCH(R$5,Python0831!$B$1:$BV$1,0))</f>
        <v>14.80246779478</v>
      </c>
      <c r="S32" s="327">
        <f>INDEX(Python0831!$B$1:$BV$49,MATCH($D32,Python0831!$A$1:$A$49,0),MATCH(S$5,Python0831!$B$1:$BV$1,0))</f>
        <v>0.30580073231836502</v>
      </c>
      <c r="T32" s="5">
        <f>INDEX(Python0831!$B$1:$BV$49,MATCH($D32,Python0831!$A$1:$A$49,0),MATCH(T$5,Python0831!$B$1:$BV$1,0))</f>
        <v>85.017164445328206</v>
      </c>
      <c r="U32" s="5">
        <f>INDEX(Python0831!$B$1:$BV$49,MATCH($D32,Python0831!$A$1:$A$49,0),MATCH(U$5,Python0831!$B$1:$BV$1,0))</f>
        <v>10562.334812752801</v>
      </c>
      <c r="V32" s="5">
        <f>INDEX(Python0831!$B$1:$BV$49,MATCH($D32,Python0831!$A$1:$A$49,0),MATCH(V$5,Python0831!$B$1:$BV$1,0))</f>
        <v>3</v>
      </c>
      <c r="W32" s="5">
        <f>INDEX(Python0831!$B$1:$BV$49,MATCH($D32,Python0831!$A$1:$A$49,0),MATCH(W$5,Python0831!$B$1:$BV$1,0))</f>
        <v>2537.06565825602</v>
      </c>
      <c r="X32" s="5">
        <f>INDEX(Python0831!$B$1:$BV$49,MATCH($D32,Python0831!$A$1:$A$49,0),MATCH(X$5,Python0831!$B$1:$BV$1,0))</f>
        <v>2723.9</v>
      </c>
      <c r="Y32" s="5">
        <f>INDEX(Python0831!$B$1:$BV$49,MATCH($D32,Python0831!$A$1:$A$49,0),MATCH(Y$5,Python0831!$B$1:$BV$1,0))</f>
        <v>520</v>
      </c>
      <c r="Z32" s="5">
        <f>INDEX(Python0831!$B$1:$BV$49,MATCH($D32,Python0831!$A$1:$A$49,0),MATCH(Z$5,Python0831!$B$1:$BV$1,0))</f>
        <v>3242.3234111798401</v>
      </c>
      <c r="AA32" s="7">
        <f>INDEX(Python0831!$B$1:$BV$49,MATCH($D32,Python0831!$A$1:$A$49,0),MATCH(AA$5,Python0831!$B$1:$BV$1,0))</f>
        <v>0</v>
      </c>
      <c r="AB32" s="5">
        <f>INDEX(Python0831!$B$1:$BV$49,MATCH($D32,Python0831!$A$1:$A$49,0),MATCH(AB$5,Python0831!$B$1:$BV$1,0))</f>
        <v>16.3333333333333</v>
      </c>
      <c r="AC32" s="5">
        <f>INDEX(Python0831!$B$1:$BV$49,MATCH($D32,Python0831!$A$1:$A$49,0),MATCH(AC$5,Python0831!$B$1:$BV$1,0))</f>
        <v>2</v>
      </c>
      <c r="AD32" s="5">
        <f>INDEX(Python0831!$B$1:$BV$49,MATCH($D32,Python0831!$A$1:$A$49,0),MATCH(AD$5,Python0831!$B$1:$BV$1,0))</f>
        <v>3.125</v>
      </c>
      <c r="AE32" s="5">
        <f>INDEX(Python0831!$B$1:$BV$49,MATCH($D32,Python0831!$A$1:$A$49,0),MATCH(AE$5,Python0831!$B$1:$BV$1,0))</f>
        <v>1.46703816984374</v>
      </c>
      <c r="AF32" s="5">
        <f>INDEX(Python0831!$B$1:$BV$49,MATCH($D32,Python0831!$A$1:$A$49,0),MATCH(AF$5,Python0831!$B$1:$BV$1,0))</f>
        <v>0</v>
      </c>
      <c r="AG32" s="5">
        <f>INDEX(Python0831!$B$1:$BV$49,MATCH($D32,Python0831!$A$1:$A$49,0),MATCH(AG$5,Python0831!$B$1:$BV$1,0))</f>
        <v>0</v>
      </c>
      <c r="AH32" s="5">
        <f>INDEX(Python0831!$B$1:$BV$49,MATCH($D32,Python0831!$A$1:$A$49,0),MATCH(AH$5,Python0831!$B$1:$BV$1,0))</f>
        <v>6</v>
      </c>
      <c r="AI32" s="5">
        <f>INDEX(Python0831!$B$1:$BV$49,MATCH($D32,Python0831!$A$1:$A$49,0),MATCH(AI$5,Python0831!$B$1:$BV$1,0))</f>
        <v>23.533245784021499</v>
      </c>
      <c r="AJ32" s="5">
        <f>INDEX(Python0831!$B$1:$BV$49,MATCH($D32,Python0831!$A$1:$A$49,0),MATCH(AJ$5,Python0831!$B$1:$BV$1,0))</f>
        <v>11.5</v>
      </c>
      <c r="AK32" s="5">
        <f>INDEX(Python0831!$B$1:$BV$49,MATCH($D32,Python0831!$A$1:$A$49,0),MATCH(AK$5,Python0831!$B$1:$BV$1,0))</f>
        <v>7</v>
      </c>
      <c r="AL32" s="5">
        <f>INDEX(Python0831!$B$1:$BV$49,MATCH($D32,Python0831!$A$1:$A$49,0),MATCH(AL$5,Python0831!$B$1:$BV$1,0))</f>
        <v>2</v>
      </c>
      <c r="AM32" s="5">
        <f>INDEX(Python0831!$B$1:$BV$49,MATCH($D32,Python0831!$A$1:$A$49,0),MATCH(AM$5,Python0831!$B$1:$BV$1,0))</f>
        <v>36998</v>
      </c>
      <c r="AN32" s="5">
        <f>INDEX(Python0831!$B$1:$BV$49,MATCH($D32,Python0831!$A$1:$A$49,0),MATCH(AN$5,Python0831!$B$1:$BV$1,0))</f>
        <v>372</v>
      </c>
      <c r="AO32" s="5">
        <f>INDEX(Python0831!$B$1:$BV$49,MATCH($D32,Python0831!$A$1:$A$49,0),MATCH(AO$5,Python0831!$B$1:$BV$1,0))</f>
        <v>26.4101535024</v>
      </c>
      <c r="AP32" s="5">
        <f>INDEX(Python0831!$B$1:$BV$49,MATCH($D32,Python0831!$A$1:$A$49,0),MATCH(AP$5,Python0831!$B$1:$BV$1,0))</f>
        <v>37.553778912240702</v>
      </c>
      <c r="AQ32" s="5">
        <f>INDEX(Python0831!$B$1:$BV$49,MATCH($D32,Python0831!$A$1:$A$49,0),MATCH(AQ$5,Python0831!$B$1:$BV$1,0))</f>
        <v>40228</v>
      </c>
      <c r="AR32" s="5">
        <f>INDEX(Python0831!$B$1:$BV$49,MATCH($D32,Python0831!$A$1:$A$49,0),MATCH(AR$5,Python0831!$B$1:$BV$1,0))</f>
        <v>402000</v>
      </c>
      <c r="AS32" s="328">
        <f>INDEX(Python0831!$B$1:$BV$49,MATCH($D32,Python0831!$A$1:$A$49,0),MATCH(AS$5,Python0831!$B$1:$BV$1,0))</f>
        <v>2.8999999999999901E-2</v>
      </c>
      <c r="AT32" s="5">
        <f>INDEX(Python0831!$B$1:$BV$49,MATCH($D32,Python0831!$A$1:$A$49,0),MATCH(AT$5,Python0831!$B$1:$BV$1,0))</f>
        <v>2006.5053429059799</v>
      </c>
      <c r="AU32" s="7">
        <f>INDEX(Python0831!$B$1:$BV$49,MATCH($D32,Python0831!$A$1:$A$49,0),MATCH(AU$5,Python0831!$B$1:$BV$1,0))</f>
        <v>0.278481012658227</v>
      </c>
      <c r="AV32" s="5">
        <f>INDEX(Python0831!$B$1:$BV$49,MATCH($D32,Python0831!$A$1:$A$49,0),MATCH(AV$5,Python0831!$B$1:$BV$1,0))</f>
        <v>722.44472622635794</v>
      </c>
      <c r="AW32" s="5">
        <f>INDEX(Python0831!$B$1:$BV$49,MATCH($D32,Python0831!$A$1:$A$49,0),MATCH(AW$5,Python0831!$B$1:$BV$1,0))</f>
        <v>31.8283420136903</v>
      </c>
      <c r="AX32" s="5">
        <f>INDEX(Python0831!$B$1:$BV$49,MATCH($D32,Python0831!$A$1:$A$49,0),MATCH(AX$5,Python0831!$B$1:$BV$1,0))</f>
        <v>5.2278585243416797</v>
      </c>
      <c r="AY32" s="329">
        <f>INDEX(Python0831!$B$1:$BV$49,MATCH($D32,Python0831!$A$1:$A$49,0),MATCH(AY$5,Python0831!$B$1:$BV$1,0))</f>
        <v>6.4000000000000003E-3</v>
      </c>
      <c r="AZ32" s="5">
        <f>INDEX(Python0831!$B$1:$BV$49,MATCH($D32,Python0831!$A$1:$A$49,0),MATCH(AZ$5,Python0831!$B$1:$BV$1,0))</f>
        <v>84.3</v>
      </c>
      <c r="BA32" s="5">
        <f>INDEX(Python0831!$B$1:$BV$49,MATCH($D32,Python0831!$A$1:$A$49,0),MATCH(BA$5,Python0831!$B$1:$BV$1,0))</f>
        <v>59.566200587695498</v>
      </c>
      <c r="BB32" s="5">
        <f>INDEX(Python0831!$B$1:$BV$49,MATCH($D32,Python0831!$A$1:$A$49,0),MATCH(BB$5,Python0831!$B$1:$BV$1,0))</f>
        <v>27.111998667526102</v>
      </c>
      <c r="BC32" s="5">
        <f>INDEX(Python0831!$B$1:$BV$49,MATCH($D32,Python0831!$A$1:$A$49,0),MATCH(BC$5,Python0831!$B$1:$BV$1,0))</f>
        <v>3139.5767936143998</v>
      </c>
      <c r="BD32" s="5">
        <f>INDEX(Python0831!$B$1:$BV$49,MATCH($D32,Python0831!$A$1:$A$49,0),MATCH(BD$5,Python0831!$B$1:$BV$1,0))</f>
        <v>70.539136108090403</v>
      </c>
      <c r="BE32" s="5">
        <f>INDEX(Python0831!$B$1:$BV$49,MATCH($D32,Python0831!$A$1:$A$49,0),MATCH(BE$5,Python0831!$B$1:$BV$1,0))</f>
        <v>16.800344757565799</v>
      </c>
      <c r="BF32" s="5">
        <f>INDEX(Python0831!$B$1:$BV$49,MATCH($D32,Python0831!$A$1:$A$49,0),MATCH(BF$5,Python0831!$B$1:$BV$1,0))</f>
        <v>7.7435797416213497</v>
      </c>
      <c r="BG32" s="5">
        <f>INDEX(Python0831!$B$1:$BV$49,MATCH($D32,Python0831!$A$1:$A$49,0),MATCH(BG$5,Python0831!$B$1:$BV$1,0))</f>
        <v>24.9180035650623</v>
      </c>
      <c r="BH32" s="327">
        <f>INDEX(Python0831!$B$1:$BV$49,MATCH($D32,Python0831!$A$1:$A$49,0),MATCH(BH$5,Python0831!$B$1:$BV$1,0))</f>
        <v>7.0699999999999999E-2</v>
      </c>
      <c r="BI32" s="327">
        <f>INDEX(Python0831!$B$1:$BV$49,MATCH($D32,Python0831!$A$1:$A$49,0),MATCH(BI$5,Python0831!$B$1:$BV$1,0))</f>
        <v>0.19495537316228101</v>
      </c>
      <c r="BJ32" s="5">
        <f>INDEX(Python0831!$B$1:$BV$49,MATCH($D32,Python0831!$A$1:$A$49,0),MATCH(BJ$5,Python0831!$B$1:$BV$1,0))</f>
        <v>8.8426502969272907</v>
      </c>
      <c r="BK32" s="5">
        <f>INDEX(Python0831!$B$1:$BV$49,MATCH($D32,Python0831!$A$1:$A$49,0),MATCH(BK$5,Python0831!$B$1:$BV$1,0))</f>
        <v>10.3</v>
      </c>
      <c r="BL32" s="7">
        <f>INDEX(Python0831!$B$1:$BV$49,MATCH($D32,Python0831!$A$1:$A$49,0),MATCH(BL$5,Python0831!$B$1:$BV$1,0))</f>
        <v>0.89658867341202897</v>
      </c>
      <c r="BM32" s="5">
        <f>INDEX(Python0831!$B$1:$BV$49,MATCH($D32,Python0831!$A$1:$A$49,0),MATCH(BM$5,Python0831!$B$1:$BV$1,0))</f>
        <v>59.3</v>
      </c>
      <c r="BN32" s="5">
        <f>INDEX(Python0831!$B$1:$BV$49,MATCH($D32,Python0831!$A$1:$A$49,0),MATCH(BN$5,Python0831!$B$1:$BV$1,0))</f>
        <v>62.139222561916</v>
      </c>
      <c r="BO32" s="5">
        <f>INDEX(Python0831!$B$1:$BV$49,MATCH($D32,Python0831!$A$1:$A$49,0),MATCH(BO$5,Python0831!$B$1:$BV$1,0))</f>
        <v>69.099266289654494</v>
      </c>
      <c r="BP32" s="5">
        <f>INDEX(Python0831!$B$1:$BV$49,MATCH($D32,Python0831!$A$1:$A$49,0),MATCH(BP$5,Python0831!$B$1:$BV$1,0))</f>
        <v>11.999999999999901</v>
      </c>
      <c r="BQ32" s="7">
        <f>INDEX(Python0831!$B$1:$BV$49,MATCH($D32,Python0831!$A$1:$A$49,0),MATCH(BQ$5,Python0831!$B$1:$BV$1,0))</f>
        <v>1.0601704719332801</v>
      </c>
      <c r="BR32" s="5">
        <f>INDEX(Python0831!$B$1:$BV$49,MATCH($D32,Python0831!$A$1:$A$49,0),MATCH(BR$5,Python0831!$B$1:$BV$1,0))</f>
        <v>13465443</v>
      </c>
      <c r="BS32" s="5">
        <f>INDEX(Python0831!$B$1:$BV$49,MATCH($D32,Python0831!$A$1:$A$49,0),MATCH(BS$5,Python0831!$B$1:$BV$1,0))</f>
        <v>154122</v>
      </c>
      <c r="BT32" s="8">
        <f>INDEX(Python0831!$B$1:$BV$49,MATCH($D32,Python0831!$A$1:$A$49,0),MATCH(BT$5,Python0831!$B$1:$BV$1,0))</f>
        <v>0.251464810085194</v>
      </c>
      <c r="BU32" s="8">
        <f>INDEX(Python0831!$B$1:$BV$49,MATCH($D32,Python0831!$A$1:$A$49,0),MATCH(BU$5,Python0831!$B$1:$BV$1,0))</f>
        <v>0.42659929951515302</v>
      </c>
      <c r="BV32" s="5">
        <f>INDEX(Python0831!$B$1:$BV$49,MATCH($D32,Python0831!$A$1:$A$49,0),MATCH(BV$5,Python0831!$B$1:$BV$1,0))</f>
        <v>8</v>
      </c>
      <c r="BW32" s="5">
        <f>INDEX(Python0831!$B$1:$BV$49,MATCH($D32,Python0831!$A$1:$A$49,0),MATCH(BW$5,Python0831!$B$1:$BV$1,0))</f>
        <v>26.872499999999999</v>
      </c>
      <c r="BX32" s="382">
        <f>INDEX(Python0831!$B$1:$BV$49,MATCH($D32,Python0831!$A$1:$A$49,0),MATCH(BX$5,Python0831!$B$1:$BV$1,0))</f>
        <v>26.1</v>
      </c>
      <c r="BY32" s="5">
        <f>INDEX(Python0831!$B$1:$BV$49,MATCH($D32,Python0831!$A$1:$A$49,0),MATCH(BY$5,Python0831!$B$1:$BV$1,0))</f>
        <v>53.533172038310802</v>
      </c>
    </row>
    <row r="33" spans="1:77">
      <c r="A33" s="2">
        <v>28</v>
      </c>
      <c r="B33" s="58">
        <f>INDEX(順位表[Comprehensive],MATCH($C33,順位表['#],0))</f>
        <v>37</v>
      </c>
      <c r="C33" s="3">
        <v>28</v>
      </c>
      <c r="D33" s="1" t="str">
        <f>INDEX(都市マスタ[City Name],MATCH($C33,都市マスタ['#],0))</f>
        <v>Osaka</v>
      </c>
      <c r="E33" s="5">
        <f>INDEX(Python0831!$B$1:$BV$49,MATCH($D33,Python0831!$A$1:$A$49,0),MATCH(E$5,Python0831!$B$1:$BV$1,0))</f>
        <v>2760091</v>
      </c>
      <c r="F33" s="5">
        <f>INDEX(Python0831!$B$1:$BV$49,MATCH($D33,Python0831!$A$1:$A$49,0),MATCH(F$5,Python0831!$B$1:$BV$1,0))</f>
        <v>225.33</v>
      </c>
      <c r="G33" s="7">
        <f>INDEX(Python0831!$B$1:$BV$49,MATCH($D33,Python0831!$A$1:$A$49,0),MATCH(G$5,Python0831!$B$1:$BV$1,0))</f>
        <v>131.45400000000001</v>
      </c>
      <c r="H33" s="5">
        <f>INDEX(Python0831!$B$1:$BV$49,MATCH($D33,Python0831!$A$1:$A$49,0),MATCH(H$5,Python0831!$B$1:$BV$1,0))</f>
        <v>187251.55328425</v>
      </c>
      <c r="I33" s="5">
        <f>INDEX(Python0831!$B$1:$BV$49,MATCH($D33,Python0831!$A$1:$A$49,0),MATCH(I$5,Python0831!$B$1:$BV$1,0))</f>
        <v>67997.044571284496</v>
      </c>
      <c r="J33" s="328">
        <f>INDEX(Python0831!$B$1:$BV$49,MATCH($D33,Python0831!$A$1:$A$49,0),MATCH(J$5,Python0831!$B$1:$BV$1,0))</f>
        <v>-2.6536689791348701E-2</v>
      </c>
      <c r="K33" s="5">
        <f>INDEX(Python0831!$B$1:$BV$49,MATCH($D33,Python0831!$A$1:$A$49,0),MATCH(K$5,Python0831!$B$1:$BV$1,0))</f>
        <v>69.2916666666666</v>
      </c>
      <c r="L33" s="5">
        <f>INDEX(Python0831!$B$1:$BV$49,MATCH($D33,Python0831!$A$1:$A$49,0),MATCH(L$5,Python0831!$B$1:$BV$1,0))</f>
        <v>0</v>
      </c>
      <c r="M33" s="5">
        <f>INDEX(Python0831!$B$1:$BV$49,MATCH($D33,Python0831!$A$1:$A$49,0),MATCH(M$5,Python0831!$B$1:$BV$1,0))</f>
        <v>303622.59999999998</v>
      </c>
      <c r="N33" s="5">
        <f>INDEX(Python0831!$B$1:$BV$49,MATCH($D33,Python0831!$A$1:$A$49,0),MATCH(N$5,Python0831!$B$1:$BV$1,0))</f>
        <v>2381704</v>
      </c>
      <c r="O33" s="328">
        <f>INDEX(Python0831!$B$1:$BV$49,MATCH($D33,Python0831!$A$1:$A$49,0),MATCH(O$5,Python0831!$B$1:$BV$1,0))</f>
        <v>0.25963973692784598</v>
      </c>
      <c r="P33" s="5">
        <f>INDEX(Python0831!$B$1:$BV$49,MATCH($D33,Python0831!$A$1:$A$49,0),MATCH(P$5,Python0831!$B$1:$BV$1,0))</f>
        <v>32.6753192942125</v>
      </c>
      <c r="Q33" s="5">
        <f>INDEX(Python0831!$B$1:$BV$49,MATCH($D33,Python0831!$A$1:$A$49,0),MATCH(Q$5,Python0831!$B$1:$BV$1,0))</f>
        <v>15.828031452644201</v>
      </c>
      <c r="R33" s="5">
        <f>INDEX(Python0831!$B$1:$BV$49,MATCH($D33,Python0831!$A$1:$A$49,0),MATCH(R$5,Python0831!$B$1:$BV$1,0))</f>
        <v>20.756000359316101</v>
      </c>
      <c r="S33" s="327">
        <f>INDEX(Python0831!$B$1:$BV$49,MATCH($D33,Python0831!$A$1:$A$49,0),MATCH(S$5,Python0831!$B$1:$BV$1,0))</f>
        <v>0.30580073231836502</v>
      </c>
      <c r="T33" s="5">
        <f>INDEX(Python0831!$B$1:$BV$49,MATCH($D33,Python0831!$A$1:$A$49,0),MATCH(T$5,Python0831!$B$1:$BV$1,0))</f>
        <v>85.827585047341103</v>
      </c>
      <c r="U33" s="5">
        <f>INDEX(Python0831!$B$1:$BV$49,MATCH($D33,Python0831!$A$1:$A$49,0),MATCH(U$5,Python0831!$B$1:$BV$1,0))</f>
        <v>26422.383582214501</v>
      </c>
      <c r="V33" s="5">
        <f>INDEX(Python0831!$B$1:$BV$49,MATCH($D33,Python0831!$A$1:$A$49,0),MATCH(V$5,Python0831!$B$1:$BV$1,0))</f>
        <v>137</v>
      </c>
      <c r="W33" s="5">
        <f>INDEX(Python0831!$B$1:$BV$49,MATCH($D33,Python0831!$A$1:$A$49,0),MATCH(W$5,Python0831!$B$1:$BV$1,0))</f>
        <v>6346.6386158074101</v>
      </c>
      <c r="X33" s="5">
        <f>INDEX(Python0831!$B$1:$BV$49,MATCH($D33,Python0831!$A$1:$A$49,0),MATCH(X$5,Python0831!$B$1:$BV$1,0))</f>
        <v>6845.34</v>
      </c>
      <c r="Y33" s="5">
        <f>INDEX(Python0831!$B$1:$BV$49,MATCH($D33,Python0831!$A$1:$A$49,0),MATCH(Y$5,Python0831!$B$1:$BV$1,0))</f>
        <v>520</v>
      </c>
      <c r="Z33" s="5">
        <f>INDEX(Python0831!$B$1:$BV$49,MATCH($D33,Python0831!$A$1:$A$49,0),MATCH(Z$5,Python0831!$B$1:$BV$1,0))</f>
        <v>8110.8878279782602</v>
      </c>
      <c r="AA33" s="7">
        <f>INDEX(Python0831!$B$1:$BV$49,MATCH($D33,Python0831!$A$1:$A$49,0),MATCH(AA$5,Python0831!$B$1:$BV$1,0))</f>
        <v>3.45</v>
      </c>
      <c r="AB33" s="5">
        <f>INDEX(Python0831!$B$1:$BV$49,MATCH($D33,Python0831!$A$1:$A$49,0),MATCH(AB$5,Python0831!$B$1:$BV$1,0))</f>
        <v>29.3333333333333</v>
      </c>
      <c r="AC33" s="5">
        <f>INDEX(Python0831!$B$1:$BV$49,MATCH($D33,Python0831!$A$1:$A$49,0),MATCH(AC$5,Python0831!$B$1:$BV$1,0))</f>
        <v>5</v>
      </c>
      <c r="AD33" s="5">
        <f>INDEX(Python0831!$B$1:$BV$49,MATCH($D33,Python0831!$A$1:$A$49,0),MATCH(AD$5,Python0831!$B$1:$BV$1,0))</f>
        <v>26.5625</v>
      </c>
      <c r="AE33" s="5">
        <f>INDEX(Python0831!$B$1:$BV$49,MATCH($D33,Python0831!$A$1:$A$49,0),MATCH(AE$5,Python0831!$B$1:$BV$1,0))</f>
        <v>4.0512714388716198</v>
      </c>
      <c r="AF33" s="5">
        <f>INDEX(Python0831!$B$1:$BV$49,MATCH($D33,Python0831!$A$1:$A$49,0),MATCH(AF$5,Python0831!$B$1:$BV$1,0))</f>
        <v>0.69534984789221999</v>
      </c>
      <c r="AG33" s="5">
        <f>INDEX(Python0831!$B$1:$BV$49,MATCH($D33,Python0831!$A$1:$A$49,0),MATCH(AG$5,Python0831!$B$1:$BV$1,0))</f>
        <v>12.062427428409899</v>
      </c>
      <c r="AH33" s="5">
        <f>INDEX(Python0831!$B$1:$BV$49,MATCH($D33,Python0831!$A$1:$A$49,0),MATCH(AH$5,Python0831!$B$1:$BV$1,0))</f>
        <v>11</v>
      </c>
      <c r="AI33" s="5">
        <f>INDEX(Python0831!$B$1:$BV$49,MATCH($D33,Python0831!$A$1:$A$49,0),MATCH(AI$5,Python0831!$B$1:$BV$1,0))</f>
        <v>19.004850429639198</v>
      </c>
      <c r="AJ33" s="5">
        <f>INDEX(Python0831!$B$1:$BV$49,MATCH($D33,Python0831!$A$1:$A$49,0),MATCH(AJ$5,Python0831!$B$1:$BV$1,0))</f>
        <v>79</v>
      </c>
      <c r="AK33" s="5">
        <f>INDEX(Python0831!$B$1:$BV$49,MATCH($D33,Python0831!$A$1:$A$49,0),MATCH(AK$5,Python0831!$B$1:$BV$1,0))</f>
        <v>36</v>
      </c>
      <c r="AL33" s="5">
        <f>INDEX(Python0831!$B$1:$BV$49,MATCH($D33,Python0831!$A$1:$A$49,0),MATCH(AL$5,Python0831!$B$1:$BV$1,0))</f>
        <v>6</v>
      </c>
      <c r="AM33" s="5">
        <f>INDEX(Python0831!$B$1:$BV$49,MATCH($D33,Python0831!$A$1:$A$49,0),MATCH(AM$5,Python0831!$B$1:$BV$1,0))</f>
        <v>107062</v>
      </c>
      <c r="AN33" s="5">
        <f>INDEX(Python0831!$B$1:$BV$49,MATCH($D33,Python0831!$A$1:$A$49,0),MATCH(AN$5,Python0831!$B$1:$BV$1,0))</f>
        <v>1770</v>
      </c>
      <c r="AO33" s="5">
        <f>INDEX(Python0831!$B$1:$BV$49,MATCH($D33,Python0831!$A$1:$A$49,0),MATCH(AO$5,Python0831!$B$1:$BV$1,0))</f>
        <v>38.620192674256998</v>
      </c>
      <c r="AP33" s="5">
        <f>INDEX(Python0831!$B$1:$BV$49,MATCH($D33,Python0831!$A$1:$A$49,0),MATCH(AP$5,Python0831!$B$1:$BV$1,0))</f>
        <v>41.320073305303403</v>
      </c>
      <c r="AQ33" s="5">
        <f>INDEX(Python0831!$B$1:$BV$49,MATCH($D33,Python0831!$A$1:$A$49,0),MATCH(AQ$5,Python0831!$B$1:$BV$1,0))</f>
        <v>154722</v>
      </c>
      <c r="AR33" s="5">
        <f>INDEX(Python0831!$B$1:$BV$49,MATCH($D33,Python0831!$A$1:$A$49,0),MATCH(AR$5,Python0831!$B$1:$BV$1,0))</f>
        <v>1878422.9911010701</v>
      </c>
      <c r="AS33" s="328">
        <f>INDEX(Python0831!$B$1:$BV$49,MATCH($D33,Python0831!$A$1:$A$49,0),MATCH(AS$5,Python0831!$B$1:$BV$1,0))</f>
        <v>3.1E-2</v>
      </c>
      <c r="AT33" s="5">
        <f>INDEX(Python0831!$B$1:$BV$49,MATCH($D33,Python0831!$A$1:$A$49,0),MATCH(AT$5,Python0831!$B$1:$BV$1,0))</f>
        <v>1961.0425764102599</v>
      </c>
      <c r="AU33" s="7">
        <f>INDEX(Python0831!$B$1:$BV$49,MATCH($D33,Python0831!$A$1:$A$49,0),MATCH(AU$5,Python0831!$B$1:$BV$1,0))</f>
        <v>0.19875776397515499</v>
      </c>
      <c r="AV33" s="5">
        <f>INDEX(Python0831!$B$1:$BV$49,MATCH($D33,Python0831!$A$1:$A$49,0),MATCH(AV$5,Python0831!$B$1:$BV$1,0))</f>
        <v>968.18188440769597</v>
      </c>
      <c r="AW33" s="5">
        <f>INDEX(Python0831!$B$1:$BV$49,MATCH($D33,Python0831!$A$1:$A$49,0),MATCH(AW$5,Python0831!$B$1:$BV$1,0))</f>
        <v>35.580013051650802</v>
      </c>
      <c r="AX33" s="5">
        <f>INDEX(Python0831!$B$1:$BV$49,MATCH($D33,Python0831!$A$1:$A$49,0),MATCH(AX$5,Python0831!$B$1:$BV$1,0))</f>
        <v>18.580270594317199</v>
      </c>
      <c r="AY33" s="329">
        <f>INDEX(Python0831!$B$1:$BV$49,MATCH($D33,Python0831!$A$1:$A$49,0),MATCH(AY$5,Python0831!$B$1:$BV$1,0))</f>
        <v>8.8999999999999999E-3</v>
      </c>
      <c r="AZ33" s="5">
        <f>INDEX(Python0831!$B$1:$BV$49,MATCH($D33,Python0831!$A$1:$A$49,0),MATCH(AZ$5,Python0831!$B$1:$BV$1,0))</f>
        <v>84.3</v>
      </c>
      <c r="BA33" s="5">
        <f>INDEX(Python0831!$B$1:$BV$49,MATCH($D33,Python0831!$A$1:$A$49,0),MATCH(BA$5,Python0831!$B$1:$BV$1,0))</f>
        <v>59.566200587695498</v>
      </c>
      <c r="BB33" s="5">
        <f>INDEX(Python0831!$B$1:$BV$49,MATCH($D33,Python0831!$A$1:$A$49,0),MATCH(BB$5,Python0831!$B$1:$BV$1,0))</f>
        <v>27.111998667526102</v>
      </c>
      <c r="BC33" s="5">
        <f>INDEX(Python0831!$B$1:$BV$49,MATCH($D33,Python0831!$A$1:$A$49,0),MATCH(BC$5,Python0831!$B$1:$BV$1,0))</f>
        <v>4587.5864147005504</v>
      </c>
      <c r="BD33" s="5">
        <f>INDEX(Python0831!$B$1:$BV$49,MATCH($D33,Python0831!$A$1:$A$49,0),MATCH(BD$5,Python0831!$B$1:$BV$1,0))</f>
        <v>70.539136108090403</v>
      </c>
      <c r="BE33" s="5">
        <f>INDEX(Python0831!$B$1:$BV$49,MATCH($D33,Python0831!$A$1:$A$49,0),MATCH(BE$5,Python0831!$B$1:$BV$1,0))</f>
        <v>49.429651737344003</v>
      </c>
      <c r="BF33" s="5">
        <f>INDEX(Python0831!$B$1:$BV$49,MATCH($D33,Python0831!$A$1:$A$49,0),MATCH(BF$5,Python0831!$B$1:$BV$1,0))</f>
        <v>49.7240626988999</v>
      </c>
      <c r="BG33" s="5">
        <f>INDEX(Python0831!$B$1:$BV$49,MATCH($D33,Python0831!$A$1:$A$49,0),MATCH(BG$5,Python0831!$B$1:$BV$1,0))</f>
        <v>18.705882352941099</v>
      </c>
      <c r="BH33" s="327">
        <f>INDEX(Python0831!$B$1:$BV$49,MATCH($D33,Python0831!$A$1:$A$49,0),MATCH(BH$5,Python0831!$B$1:$BV$1,0))</f>
        <v>7.0699999999999999E-2</v>
      </c>
      <c r="BI33" s="327">
        <f>INDEX(Python0831!$B$1:$BV$49,MATCH($D33,Python0831!$A$1:$A$49,0),MATCH(BI$5,Python0831!$B$1:$BV$1,0))</f>
        <v>0.19495537316228101</v>
      </c>
      <c r="BJ33" s="5">
        <f>INDEX(Python0831!$B$1:$BV$49,MATCH($D33,Python0831!$A$1:$A$49,0),MATCH(BJ$5,Python0831!$B$1:$BV$1,0))</f>
        <v>13.9837888273311</v>
      </c>
      <c r="BK33" s="5">
        <f>INDEX(Python0831!$B$1:$BV$49,MATCH($D33,Python0831!$A$1:$A$49,0),MATCH(BK$5,Python0831!$B$1:$BV$1,0))</f>
        <v>10.199999999999999</v>
      </c>
      <c r="BL33" s="7">
        <f>INDEX(Python0831!$B$1:$BV$49,MATCH($D33,Python0831!$A$1:$A$49,0),MATCH(BL$5,Python0831!$B$1:$BV$1,0))</f>
        <v>0.98648049645390001</v>
      </c>
      <c r="BM33" s="5">
        <f>INDEX(Python0831!$B$1:$BV$49,MATCH($D33,Python0831!$A$1:$A$49,0),MATCH(BM$5,Python0831!$B$1:$BV$1,0))</f>
        <v>48.4</v>
      </c>
      <c r="BN33" s="5">
        <f>INDEX(Python0831!$B$1:$BV$49,MATCH($D33,Python0831!$A$1:$A$49,0),MATCH(BN$5,Python0831!$B$1:$BV$1,0))</f>
        <v>21.040702460716599</v>
      </c>
      <c r="BO33" s="5">
        <f>INDEX(Python0831!$B$1:$BV$49,MATCH($D33,Python0831!$A$1:$A$49,0),MATCH(BO$5,Python0831!$B$1:$BV$1,0))</f>
        <v>56.036955388157203</v>
      </c>
      <c r="BP33" s="5">
        <f>INDEX(Python0831!$B$1:$BV$49,MATCH($D33,Python0831!$A$1:$A$49,0),MATCH(BP$5,Python0831!$B$1:$BV$1,0))</f>
        <v>35.999999999999901</v>
      </c>
      <c r="BQ33" s="7">
        <f>INDEX(Python0831!$B$1:$BV$49,MATCH($D33,Python0831!$A$1:$A$49,0),MATCH(BQ$5,Python0831!$B$1:$BV$1,0))</f>
        <v>11.753808390426901</v>
      </c>
      <c r="BR33" s="5">
        <f>INDEX(Python0831!$B$1:$BV$49,MATCH($D33,Python0831!$A$1:$A$49,0),MATCH(BR$5,Python0831!$B$1:$BV$1,0))</f>
        <v>7939949</v>
      </c>
      <c r="BS33" s="5">
        <f>INDEX(Python0831!$B$1:$BV$49,MATCH($D33,Python0831!$A$1:$A$49,0),MATCH(BS$5,Python0831!$B$1:$BV$1,0))</f>
        <v>80051</v>
      </c>
      <c r="BT33" s="8">
        <f>INDEX(Python0831!$B$1:$BV$49,MATCH($D33,Python0831!$A$1:$A$49,0),MATCH(BT$5,Python0831!$B$1:$BV$1,0))</f>
        <v>0.92946486765666803</v>
      </c>
      <c r="BU33" s="8">
        <f>INDEX(Python0831!$B$1:$BV$49,MATCH($D33,Python0831!$A$1:$A$49,0),MATCH(BU$5,Python0831!$B$1:$BV$1,0))</f>
        <v>0.80697447415864099</v>
      </c>
      <c r="BV33" s="5">
        <f>INDEX(Python0831!$B$1:$BV$49,MATCH($D33,Python0831!$A$1:$A$49,0),MATCH(BV$5,Python0831!$B$1:$BV$1,0))</f>
        <v>45</v>
      </c>
      <c r="BW33" s="5">
        <f>INDEX(Python0831!$B$1:$BV$49,MATCH($D33,Python0831!$A$1:$A$49,0),MATCH(BW$5,Python0831!$B$1:$BV$1,0))</f>
        <v>30.94</v>
      </c>
      <c r="BX33" s="382">
        <f>INDEX(Python0831!$B$1:$BV$49,MATCH($D33,Python0831!$A$1:$A$49,0),MATCH(BX$5,Python0831!$B$1:$BV$1,0))</f>
        <v>28.346456692913385</v>
      </c>
      <c r="BY33" s="5">
        <f>INDEX(Python0831!$B$1:$BV$49,MATCH($D33,Python0831!$A$1:$A$49,0),MATCH(BY$5,Python0831!$B$1:$BV$1,0))</f>
        <v>50.906957121818998</v>
      </c>
    </row>
    <row r="34" spans="1:77">
      <c r="A34" s="2">
        <v>29</v>
      </c>
      <c r="B34" s="58">
        <f>INDEX(順位表[Comprehensive],MATCH($C34,順位表['#],0))</f>
        <v>3</v>
      </c>
      <c r="C34" s="3">
        <v>29</v>
      </c>
      <c r="D34" s="1" t="str">
        <f>INDEX(都市マスタ[City Name],MATCH($C34,都市マスタ['#],0))</f>
        <v>Tokyo</v>
      </c>
      <c r="E34" s="5">
        <f>INDEX(Python0831!$B$1:$BV$49,MATCH($D34,Python0831!$A$1:$A$49,0),MATCH(E$5,Python0831!$B$1:$BV$1,0))</f>
        <v>9748492</v>
      </c>
      <c r="F34" s="5">
        <f>INDEX(Python0831!$B$1:$BV$49,MATCH($D34,Python0831!$A$1:$A$49,0),MATCH(F$5,Python0831!$B$1:$BV$1,0))</f>
        <v>627.53</v>
      </c>
      <c r="G34" s="7">
        <f>INDEX(Python0831!$B$1:$BV$49,MATCH($D34,Python0831!$A$1:$A$49,0),MATCH(G$5,Python0831!$B$1:$BV$1,0))</f>
        <v>131.45400000000001</v>
      </c>
      <c r="H34" s="5">
        <f>INDEX(Python0831!$B$1:$BV$49,MATCH($D34,Python0831!$A$1:$A$49,0),MATCH(H$5,Python0831!$B$1:$BV$1,0))</f>
        <v>822428.10811323498</v>
      </c>
      <c r="I34" s="5">
        <f>INDEX(Python0831!$B$1:$BV$49,MATCH($D34,Python0831!$A$1:$A$49,0),MATCH(I$5,Python0831!$B$1:$BV$1,0))</f>
        <v>85208.783717600803</v>
      </c>
      <c r="J34" s="328">
        <f>INDEX(Python0831!$B$1:$BV$49,MATCH($D34,Python0831!$A$1:$A$49,0),MATCH(J$5,Python0831!$B$1:$BV$1,0))</f>
        <v>-2.69856239340804E-2</v>
      </c>
      <c r="K34" s="5">
        <f>INDEX(Python0831!$B$1:$BV$49,MATCH($D34,Python0831!$A$1:$A$49,0),MATCH(K$5,Python0831!$B$1:$BV$1,0))</f>
        <v>69.2916666666666</v>
      </c>
      <c r="L34" s="5">
        <f>INDEX(Python0831!$B$1:$BV$49,MATCH($D34,Python0831!$A$1:$A$49,0),MATCH(L$5,Python0831!$B$1:$BV$1,0))</f>
        <v>5380475.46</v>
      </c>
      <c r="M34" s="5">
        <f>INDEX(Python0831!$B$1:$BV$49,MATCH($D34,Python0831!$A$1:$A$49,0),MATCH(M$5,Python0831!$B$1:$BV$1,0))</f>
        <v>1862563</v>
      </c>
      <c r="N34" s="5">
        <f>INDEX(Python0831!$B$1:$BV$49,MATCH($D34,Python0831!$A$1:$A$49,0),MATCH(N$5,Python0831!$B$1:$BV$1,0))</f>
        <v>8365553</v>
      </c>
      <c r="O34" s="328">
        <f>INDEX(Python0831!$B$1:$BV$49,MATCH($D34,Python0831!$A$1:$A$49,0),MATCH(O$5,Python0831!$B$1:$BV$1,0))</f>
        <v>0.27474776622657199</v>
      </c>
      <c r="P34" s="5">
        <f>INDEX(Python0831!$B$1:$BV$49,MATCH($D34,Python0831!$A$1:$A$49,0),MATCH(P$5,Python0831!$B$1:$BV$1,0))</f>
        <v>38.991109100708002</v>
      </c>
      <c r="Q34" s="5">
        <f>INDEX(Python0831!$B$1:$BV$49,MATCH($D34,Python0831!$A$1:$A$49,0),MATCH(Q$5,Python0831!$B$1:$BV$1,0))</f>
        <v>25.060752754331101</v>
      </c>
      <c r="R34" s="5">
        <f>INDEX(Python0831!$B$1:$BV$49,MATCH($D34,Python0831!$A$1:$A$49,0),MATCH(R$5,Python0831!$B$1:$BV$1,0))</f>
        <v>31.081361513759099</v>
      </c>
      <c r="S34" s="327">
        <f>INDEX(Python0831!$B$1:$BV$49,MATCH($D34,Python0831!$A$1:$A$49,0),MATCH(S$5,Python0831!$B$1:$BV$1,0))</f>
        <v>0.30624783195220601</v>
      </c>
      <c r="T34" s="5">
        <f>INDEX(Python0831!$B$1:$BV$49,MATCH($D34,Python0831!$A$1:$A$49,0),MATCH(T$5,Python0831!$B$1:$BV$1,0))</f>
        <v>84.580785105238206</v>
      </c>
      <c r="U34" s="5">
        <f>INDEX(Python0831!$B$1:$BV$49,MATCH($D34,Python0831!$A$1:$A$49,0),MATCH(U$5,Python0831!$B$1:$BV$1,0))</f>
        <v>92806.5999147439</v>
      </c>
      <c r="V34" s="5">
        <f>INDEX(Python0831!$B$1:$BV$49,MATCH($D34,Python0831!$A$1:$A$49,0),MATCH(V$5,Python0831!$B$1:$BV$1,0))</f>
        <v>167</v>
      </c>
      <c r="W34" s="5">
        <f>INDEX(Python0831!$B$1:$BV$49,MATCH($D34,Python0831!$A$1:$A$49,0),MATCH(W$5,Python0831!$B$1:$BV$1,0))</f>
        <v>22292.082354643298</v>
      </c>
      <c r="X34" s="5">
        <f>INDEX(Python0831!$B$1:$BV$49,MATCH($D34,Python0831!$A$1:$A$49,0),MATCH(X$5,Python0831!$B$1:$BV$1,0))</f>
        <v>8797.4399999999896</v>
      </c>
      <c r="Y34" s="5">
        <f>INDEX(Python0831!$B$1:$BV$49,MATCH($D34,Python0831!$A$1:$A$49,0),MATCH(Y$5,Python0831!$B$1:$BV$1,0))</f>
        <v>520</v>
      </c>
      <c r="Z34" s="5">
        <f>INDEX(Python0831!$B$1:$BV$49,MATCH($D34,Python0831!$A$1:$A$49,0),MATCH(Z$5,Python0831!$B$1:$BV$1,0))</f>
        <v>28488.872673517399</v>
      </c>
      <c r="AA34" s="7">
        <f>INDEX(Python0831!$B$1:$BV$49,MATCH($D34,Python0831!$A$1:$A$49,0),MATCH(AA$5,Python0831!$B$1:$BV$1,0))</f>
        <v>2</v>
      </c>
      <c r="AB34" s="5">
        <f>INDEX(Python0831!$B$1:$BV$49,MATCH($D34,Python0831!$A$1:$A$49,0),MATCH(AB$5,Python0831!$B$1:$BV$1,0))</f>
        <v>361.666666666666</v>
      </c>
      <c r="AC34" s="5">
        <f>INDEX(Python0831!$B$1:$BV$49,MATCH($D34,Python0831!$A$1:$A$49,0),MATCH(AC$5,Python0831!$B$1:$BV$1,0))</f>
        <v>258</v>
      </c>
      <c r="AD34" s="5">
        <f>INDEX(Python0831!$B$1:$BV$49,MATCH($D34,Python0831!$A$1:$A$49,0),MATCH(AD$5,Python0831!$B$1:$BV$1,0))</f>
        <v>85.9375</v>
      </c>
      <c r="AE34" s="5">
        <f>INDEX(Python0831!$B$1:$BV$49,MATCH($D34,Python0831!$A$1:$A$49,0),MATCH(AE$5,Python0831!$B$1:$BV$1,0))</f>
        <v>15.621390643401501</v>
      </c>
      <c r="AF34" s="5">
        <f>INDEX(Python0831!$B$1:$BV$49,MATCH($D34,Python0831!$A$1:$A$49,0),MATCH(AF$5,Python0831!$B$1:$BV$1,0))</f>
        <v>10.519673043932</v>
      </c>
      <c r="AG34" s="5">
        <f>INDEX(Python0831!$B$1:$BV$49,MATCH($D34,Python0831!$A$1:$A$49,0),MATCH(AG$5,Python0831!$B$1:$BV$1,0))</f>
        <v>43.0474756739873</v>
      </c>
      <c r="AH34" s="5">
        <f>INDEX(Python0831!$B$1:$BV$49,MATCH($D34,Python0831!$A$1:$A$49,0),MATCH(AH$5,Python0831!$B$1:$BV$1,0))</f>
        <v>4.125</v>
      </c>
      <c r="AI34" s="5">
        <f>INDEX(Python0831!$B$1:$BV$49,MATCH($D34,Python0831!$A$1:$A$49,0),MATCH(AI$5,Python0831!$B$1:$BV$1,0))</f>
        <v>26.131010001680899</v>
      </c>
      <c r="AJ34" s="5">
        <f>INDEX(Python0831!$B$1:$BV$49,MATCH($D34,Python0831!$A$1:$A$49,0),MATCH(AJ$5,Python0831!$B$1:$BV$1,0))</f>
        <v>159</v>
      </c>
      <c r="AK34" s="5">
        <f>INDEX(Python0831!$B$1:$BV$49,MATCH($D34,Python0831!$A$1:$A$49,0),MATCH(AK$5,Python0831!$B$1:$BV$1,0))</f>
        <v>144</v>
      </c>
      <c r="AL34" s="5">
        <f>INDEX(Python0831!$B$1:$BV$49,MATCH($D34,Python0831!$A$1:$A$49,0),MATCH(AL$5,Python0831!$B$1:$BV$1,0))</f>
        <v>11</v>
      </c>
      <c r="AM34" s="5">
        <f>INDEX(Python0831!$B$1:$BV$49,MATCH($D34,Python0831!$A$1:$A$49,0),MATCH(AM$5,Python0831!$B$1:$BV$1,0))</f>
        <v>174002</v>
      </c>
      <c r="AN34" s="5">
        <f>INDEX(Python0831!$B$1:$BV$49,MATCH($D34,Python0831!$A$1:$A$49,0),MATCH(AN$5,Python0831!$B$1:$BV$1,0))</f>
        <v>6029</v>
      </c>
      <c r="AO34" s="5">
        <f>INDEX(Python0831!$B$1:$BV$49,MATCH($D34,Python0831!$A$1:$A$49,0),MATCH(AO$5,Python0831!$B$1:$BV$1,0))</f>
        <v>85.653334020804607</v>
      </c>
      <c r="AP34" s="5">
        <f>INDEX(Python0831!$B$1:$BV$49,MATCH($D34,Python0831!$A$1:$A$49,0),MATCH(AP$5,Python0831!$B$1:$BV$1,0))</f>
        <v>82.964203794166195</v>
      </c>
      <c r="AQ34" s="5">
        <f>INDEX(Python0831!$B$1:$BV$49,MATCH($D34,Python0831!$A$1:$A$49,0),MATCH(AQ$5,Python0831!$B$1:$BV$1,0))</f>
        <v>485444</v>
      </c>
      <c r="AR34" s="5">
        <f>INDEX(Python0831!$B$1:$BV$49,MATCH($D34,Python0831!$A$1:$A$49,0),MATCH(AR$5,Python0831!$B$1:$BV$1,0))</f>
        <v>3244046.1816920899</v>
      </c>
      <c r="AS34" s="328">
        <f>INDEX(Python0831!$B$1:$BV$49,MATCH($D34,Python0831!$A$1:$A$49,0),MATCH(AS$5,Python0831!$B$1:$BV$1,0))</f>
        <v>2.5999999999999999E-2</v>
      </c>
      <c r="AT34" s="5">
        <f>INDEX(Python0831!$B$1:$BV$49,MATCH($D34,Python0831!$A$1:$A$49,0),MATCH(AT$5,Python0831!$B$1:$BV$1,0))</f>
        <v>1970.80495513815</v>
      </c>
      <c r="AU34" s="7">
        <f>INDEX(Python0831!$B$1:$BV$49,MATCH($D34,Python0831!$A$1:$A$49,0),MATCH(AU$5,Python0831!$B$1:$BV$1,0))</f>
        <v>0.40828402366863897</v>
      </c>
      <c r="AV34" s="5">
        <f>INDEX(Python0831!$B$1:$BV$49,MATCH($D34,Python0831!$A$1:$A$49,0),MATCH(AV$5,Python0831!$B$1:$BV$1,0))</f>
        <v>1613.1817705819601</v>
      </c>
      <c r="AW34" s="5">
        <f>INDEX(Python0831!$B$1:$BV$49,MATCH($D34,Python0831!$A$1:$A$49,0),MATCH(AW$5,Python0831!$B$1:$BV$1,0))</f>
        <v>37.266823728009101</v>
      </c>
      <c r="AX34" s="5">
        <f>INDEX(Python0831!$B$1:$BV$49,MATCH($D34,Python0831!$A$1:$A$49,0),MATCH(AX$5,Python0831!$B$1:$BV$1,0))</f>
        <v>6.2163816783753898</v>
      </c>
      <c r="AY34" s="329">
        <f>INDEX(Python0831!$B$1:$BV$49,MATCH($D34,Python0831!$A$1:$A$49,0),MATCH(AY$5,Python0831!$B$1:$BV$1,0))</f>
        <v>6.0000000000000001E-3</v>
      </c>
      <c r="AZ34" s="5">
        <f>INDEX(Python0831!$B$1:$BV$49,MATCH($D34,Python0831!$A$1:$A$49,0),MATCH(AZ$5,Python0831!$B$1:$BV$1,0))</f>
        <v>84.3</v>
      </c>
      <c r="BA34" s="5">
        <f>INDEX(Python0831!$B$1:$BV$49,MATCH($D34,Python0831!$A$1:$A$49,0),MATCH(BA$5,Python0831!$B$1:$BV$1,0))</f>
        <v>59.566200587695498</v>
      </c>
      <c r="BB34" s="5">
        <f>INDEX(Python0831!$B$1:$BV$49,MATCH($D34,Python0831!$A$1:$A$49,0),MATCH(BB$5,Python0831!$B$1:$BV$1,0))</f>
        <v>27.111998667526102</v>
      </c>
      <c r="BC34" s="5">
        <f>INDEX(Python0831!$B$1:$BV$49,MATCH($D34,Python0831!$A$1:$A$49,0),MATCH(BC$5,Python0831!$B$1:$BV$1,0))</f>
        <v>4579.5698702601403</v>
      </c>
      <c r="BD34" s="5">
        <f>INDEX(Python0831!$B$1:$BV$49,MATCH($D34,Python0831!$A$1:$A$49,0),MATCH(BD$5,Python0831!$B$1:$BV$1,0))</f>
        <v>70.539136108090403</v>
      </c>
      <c r="BE34" s="5">
        <f>INDEX(Python0831!$B$1:$BV$49,MATCH($D34,Python0831!$A$1:$A$49,0),MATCH(BE$5,Python0831!$B$1:$BV$1,0))</f>
        <v>66.118194167269706</v>
      </c>
      <c r="BF34" s="5">
        <f>INDEX(Python0831!$B$1:$BV$49,MATCH($D34,Python0831!$A$1:$A$49,0),MATCH(BF$5,Python0831!$B$1:$BV$1,0))</f>
        <v>62.810728774059797</v>
      </c>
      <c r="BG34" s="5">
        <f>INDEX(Python0831!$B$1:$BV$49,MATCH($D34,Python0831!$A$1:$A$49,0),MATCH(BG$5,Python0831!$B$1:$BV$1,0))</f>
        <v>43.909090909090899</v>
      </c>
      <c r="BH34" s="327">
        <f>INDEX(Python0831!$B$1:$BV$49,MATCH($D34,Python0831!$A$1:$A$49,0),MATCH(BH$5,Python0831!$B$1:$BV$1,0))</f>
        <v>7.0699999999999999E-2</v>
      </c>
      <c r="BI34" s="327">
        <f>INDEX(Python0831!$B$1:$BV$49,MATCH($D34,Python0831!$A$1:$A$49,0),MATCH(BI$5,Python0831!$B$1:$BV$1,0))</f>
        <v>0.252</v>
      </c>
      <c r="BJ34" s="5">
        <f>INDEX(Python0831!$B$1:$BV$49,MATCH($D34,Python0831!$A$1:$A$49,0),MATCH(BJ$5,Python0831!$B$1:$BV$1,0))</f>
        <v>4.3792104231040501</v>
      </c>
      <c r="BK34" s="5">
        <f>INDEX(Python0831!$B$1:$BV$49,MATCH($D34,Python0831!$A$1:$A$49,0),MATCH(BK$5,Python0831!$B$1:$BV$1,0))</f>
        <v>9.1999999999999993</v>
      </c>
      <c r="BL34" s="7">
        <f>INDEX(Python0831!$B$1:$BV$49,MATCH($D34,Python0831!$A$1:$A$49,0),MATCH(BL$5,Python0831!$B$1:$BV$1,0))</f>
        <v>0.86386279533162502</v>
      </c>
      <c r="BM34" s="5">
        <f>INDEX(Python0831!$B$1:$BV$49,MATCH($D34,Python0831!$A$1:$A$49,0),MATCH(BM$5,Python0831!$B$1:$BV$1,0))</f>
        <v>62.6</v>
      </c>
      <c r="BN34" s="5">
        <f>INDEX(Python0831!$B$1:$BV$49,MATCH($D34,Python0831!$A$1:$A$49,0),MATCH(BN$5,Python0831!$B$1:$BV$1,0))</f>
        <v>35.307772598984698</v>
      </c>
      <c r="BO34" s="5">
        <f>INDEX(Python0831!$B$1:$BV$49,MATCH($D34,Python0831!$A$1:$A$49,0),MATCH(BO$5,Python0831!$B$1:$BV$1,0))</f>
        <v>72.266232366053202</v>
      </c>
      <c r="BP34" s="5">
        <f>INDEX(Python0831!$B$1:$BV$49,MATCH($D34,Python0831!$A$1:$A$49,0),MATCH(BP$5,Python0831!$B$1:$BV$1,0))</f>
        <v>104</v>
      </c>
      <c r="BQ34" s="7">
        <f>INDEX(Python0831!$B$1:$BV$49,MATCH($D34,Python0831!$A$1:$A$49,0),MATCH(BQ$5,Python0831!$B$1:$BV$1,0))</f>
        <v>37.474100852024002</v>
      </c>
      <c r="BR34" s="5">
        <f>INDEX(Python0831!$B$1:$BV$49,MATCH($D34,Python0831!$A$1:$A$49,0),MATCH(BR$5,Python0831!$B$1:$BV$1,0))</f>
        <v>65757482</v>
      </c>
      <c r="BS34" s="5">
        <f>INDEX(Python0831!$B$1:$BV$49,MATCH($D34,Python0831!$A$1:$A$49,0),MATCH(BS$5,Python0831!$B$1:$BV$1,0))</f>
        <v>534295</v>
      </c>
      <c r="BT34" s="8">
        <f>INDEX(Python0831!$B$1:$BV$49,MATCH($D34,Python0831!$A$1:$A$49,0),MATCH(BT$5,Python0831!$B$1:$BV$1,0))</f>
        <v>1.4101127957941899</v>
      </c>
      <c r="BU34" s="8">
        <f>INDEX(Python0831!$B$1:$BV$49,MATCH($D34,Python0831!$A$1:$A$49,0),MATCH(BU$5,Python0831!$B$1:$BV$1,0))</f>
        <v>0.88064192577733102</v>
      </c>
      <c r="BV34" s="5">
        <f>INDEX(Python0831!$B$1:$BV$49,MATCH($D34,Python0831!$A$1:$A$49,0),MATCH(BV$5,Python0831!$B$1:$BV$1,0))</f>
        <v>29.3818239573102</v>
      </c>
      <c r="BW34" s="5">
        <f>INDEX(Python0831!$B$1:$BV$49,MATCH($D34,Python0831!$A$1:$A$49,0),MATCH(BW$5,Python0831!$B$1:$BV$1,0))</f>
        <v>39.597499999999997</v>
      </c>
      <c r="BX34" s="382">
        <f>INDEX(Python0831!$B$1:$BV$49,MATCH($D34,Python0831!$A$1:$A$49,0),MATCH(BX$5,Python0831!$B$1:$BV$1,0))</f>
        <v>25.174825174825173</v>
      </c>
      <c r="BY34" s="5">
        <f>INDEX(Python0831!$B$1:$BV$49,MATCH($D34,Python0831!$A$1:$A$49,0),MATCH(BY$5,Python0831!$B$1:$BV$1,0))</f>
        <v>52.647247720662101</v>
      </c>
    </row>
    <row r="35" spans="1:77">
      <c r="A35" s="2">
        <v>30</v>
      </c>
      <c r="B35" s="58">
        <f>INDEX(順位表[Comprehensive],MATCH($C35,順位表['#],0))</f>
        <v>12</v>
      </c>
      <c r="C35" s="3">
        <v>30</v>
      </c>
      <c r="D35" s="1" t="str">
        <f>INDEX(都市マスタ[City Name],MATCH($C35,都市マスタ['#],0))</f>
        <v>Sydney</v>
      </c>
      <c r="E35" s="5">
        <f>INDEX(Python0831!$B$1:$BV$49,MATCH($D35,Python0831!$A$1:$A$49,0),MATCH(E$5,Python0831!$B$1:$BV$1,0))</f>
        <v>5297089</v>
      </c>
      <c r="F35" s="5">
        <f>INDEX(Python0831!$B$1:$BV$49,MATCH($D35,Python0831!$A$1:$A$49,0),MATCH(F$5,Python0831!$B$1:$BV$1,0))</f>
        <v>12368.9</v>
      </c>
      <c r="G35" s="7">
        <f>INDEX(Python0831!$B$1:$BV$49,MATCH($D35,Python0831!$A$1:$A$49,0),MATCH(G$5,Python0831!$B$1:$BV$1,0))</f>
        <v>1.4419999999999999</v>
      </c>
      <c r="H35" s="5">
        <f>INDEX(Python0831!$B$1:$BV$49,MATCH($D35,Python0831!$A$1:$A$49,0),MATCH(H$5,Python0831!$B$1:$BV$1,0))</f>
        <v>379015.94446046097</v>
      </c>
      <c r="I35" s="5">
        <f>INDEX(Python0831!$B$1:$BV$49,MATCH($D35,Python0831!$A$1:$A$49,0),MATCH(I$5,Python0831!$B$1:$BV$1,0))</f>
        <v>70692.594984368203</v>
      </c>
      <c r="J35" s="328">
        <f>INDEX(Python0831!$B$1:$BV$49,MATCH($D35,Python0831!$A$1:$A$49,0),MATCH(J$5,Python0831!$B$1:$BV$1,0))</f>
        <v>4.7339440290925003E-2</v>
      </c>
      <c r="K35" s="5">
        <f>INDEX(Python0831!$B$1:$BV$49,MATCH($D35,Python0831!$A$1:$A$49,0),MATCH(K$5,Python0831!$B$1:$BV$1,0))</f>
        <v>74.75</v>
      </c>
      <c r="L35" s="5">
        <f>INDEX(Python0831!$B$1:$BV$49,MATCH($D35,Python0831!$A$1:$A$49,0),MATCH(L$5,Python0831!$B$1:$BV$1,0))</f>
        <v>1679171.93</v>
      </c>
      <c r="M35" s="5">
        <f>INDEX(Python0831!$B$1:$BV$49,MATCH($D35,Python0831!$A$1:$A$49,0),MATCH(M$5,Python0831!$B$1:$BV$1,0))</f>
        <v>0</v>
      </c>
      <c r="N35" s="5">
        <f>INDEX(Python0831!$B$1:$BV$49,MATCH($D35,Python0831!$A$1:$A$49,0),MATCH(N$5,Python0831!$B$1:$BV$1,0))</f>
        <v>2430703</v>
      </c>
      <c r="O35" s="328">
        <f>INDEX(Python0831!$B$1:$BV$49,MATCH($D35,Python0831!$A$1:$A$49,0),MATCH(O$5,Python0831!$B$1:$BV$1,0))</f>
        <v>0.292049058930688</v>
      </c>
      <c r="P35" s="5">
        <f>INDEX(Python0831!$B$1:$BV$49,MATCH($D35,Python0831!$A$1:$A$49,0),MATCH(P$5,Python0831!$B$1:$BV$1,0))</f>
        <v>63.087911456726196</v>
      </c>
      <c r="Q35" s="5">
        <f>INDEX(Python0831!$B$1:$BV$49,MATCH($D35,Python0831!$A$1:$A$49,0),MATCH(Q$5,Python0831!$B$1:$BV$1,0))</f>
        <v>87.573712603652694</v>
      </c>
      <c r="R35" s="5">
        <f>INDEX(Python0831!$B$1:$BV$49,MATCH($D35,Python0831!$A$1:$A$49,0),MATCH(R$5,Python0831!$B$1:$BV$1,0))</f>
        <v>11.8535307705839</v>
      </c>
      <c r="S35" s="327">
        <f>INDEX(Python0831!$B$1:$BV$49,MATCH($D35,Python0831!$A$1:$A$49,0),MATCH(S$5,Python0831!$B$1:$BV$1,0))</f>
        <v>0.3</v>
      </c>
      <c r="T35" s="5">
        <f>INDEX(Python0831!$B$1:$BV$49,MATCH($D35,Python0831!$A$1:$A$49,0),MATCH(T$5,Python0831!$B$1:$BV$1,0))</f>
        <v>90.893187148011904</v>
      </c>
      <c r="U35" s="5">
        <f>INDEX(Python0831!$B$1:$BV$49,MATCH($D35,Python0831!$A$1:$A$49,0),MATCH(U$5,Python0831!$B$1:$BV$1,0))</f>
        <v>24826.1153678232</v>
      </c>
      <c r="V35" s="5">
        <f>INDEX(Python0831!$B$1:$BV$49,MATCH($D35,Python0831!$A$1:$A$49,0),MATCH(V$5,Python0831!$B$1:$BV$1,0))</f>
        <v>372</v>
      </c>
      <c r="W35" s="5">
        <f>INDEX(Python0831!$B$1:$BV$49,MATCH($D35,Python0831!$A$1:$A$49,0),MATCH(W$5,Python0831!$B$1:$BV$1,0))</f>
        <v>5136.5451452940197</v>
      </c>
      <c r="X35" s="5">
        <f>INDEX(Python0831!$B$1:$BV$49,MATCH($D35,Python0831!$A$1:$A$49,0),MATCH(X$5,Python0831!$B$1:$BV$1,0))</f>
        <v>59016.83</v>
      </c>
      <c r="Y35" s="5">
        <f>INDEX(Python0831!$B$1:$BV$49,MATCH($D35,Python0831!$A$1:$A$49,0),MATCH(Y$5,Python0831!$B$1:$BV$1,0))</f>
        <v>499</v>
      </c>
      <c r="Z35" s="5">
        <f>INDEX(Python0831!$B$1:$BV$49,MATCH($D35,Python0831!$A$1:$A$49,0),MATCH(Z$5,Python0831!$B$1:$BV$1,0))</f>
        <v>3887.9431583502201</v>
      </c>
      <c r="AA35" s="7">
        <f>INDEX(Python0831!$B$1:$BV$49,MATCH($D35,Python0831!$A$1:$A$49,0),MATCH(AA$5,Python0831!$B$1:$BV$1,0))</f>
        <v>0</v>
      </c>
      <c r="AB35" s="5">
        <f>INDEX(Python0831!$B$1:$BV$49,MATCH($D35,Python0831!$A$1:$A$49,0),MATCH(AB$5,Python0831!$B$1:$BV$1,0))</f>
        <v>272.666666666666</v>
      </c>
      <c r="AC35" s="5">
        <f>INDEX(Python0831!$B$1:$BV$49,MATCH($D35,Python0831!$A$1:$A$49,0),MATCH(AC$5,Python0831!$B$1:$BV$1,0))</f>
        <v>27</v>
      </c>
      <c r="AD35" s="5">
        <f>INDEX(Python0831!$B$1:$BV$49,MATCH($D35,Python0831!$A$1:$A$49,0),MATCH(AD$5,Python0831!$B$1:$BV$1,0))</f>
        <v>26.5625</v>
      </c>
      <c r="AE35" s="5">
        <f>INDEX(Python0831!$B$1:$BV$49,MATCH($D35,Python0831!$A$1:$A$49,0),MATCH(AE$5,Python0831!$B$1:$BV$1,0))</f>
        <v>8.9748251816457199</v>
      </c>
      <c r="AF35" s="5">
        <f>INDEX(Python0831!$B$1:$BV$49,MATCH($D35,Python0831!$A$1:$A$49,0),MATCH(AF$5,Python0831!$B$1:$BV$1,0))</f>
        <v>1.34688815744029</v>
      </c>
      <c r="AG35" s="5">
        <f>INDEX(Python0831!$B$1:$BV$49,MATCH($D35,Python0831!$A$1:$A$49,0),MATCH(AG$5,Python0831!$B$1:$BV$1,0))</f>
        <v>47.090456233597003</v>
      </c>
      <c r="AH35" s="5">
        <f>INDEX(Python0831!$B$1:$BV$49,MATCH($D35,Python0831!$A$1:$A$49,0),MATCH(AH$5,Python0831!$B$1:$BV$1,0))</f>
        <v>4</v>
      </c>
      <c r="AI35" s="5">
        <f>INDEX(Python0831!$B$1:$BV$49,MATCH($D35,Python0831!$A$1:$A$49,0),MATCH(AI$5,Python0831!$B$1:$BV$1,0))</f>
        <v>31.674844074100498</v>
      </c>
      <c r="AJ35" s="5">
        <f>INDEX(Python0831!$B$1:$BV$49,MATCH($D35,Python0831!$A$1:$A$49,0),MATCH(AJ$5,Python0831!$B$1:$BV$1,0))</f>
        <v>36.5</v>
      </c>
      <c r="AK35" s="5">
        <f>INDEX(Python0831!$B$1:$BV$49,MATCH($D35,Python0831!$A$1:$A$49,0),MATCH(AK$5,Python0831!$B$1:$BV$1,0))</f>
        <v>27</v>
      </c>
      <c r="AL35" s="5">
        <f>INDEX(Python0831!$B$1:$BV$49,MATCH($D35,Python0831!$A$1:$A$49,0),MATCH(AL$5,Python0831!$B$1:$BV$1,0))</f>
        <v>13</v>
      </c>
      <c r="AM35" s="5">
        <f>INDEX(Python0831!$B$1:$BV$49,MATCH($D35,Python0831!$A$1:$A$49,0),MATCH(AM$5,Python0831!$B$1:$BV$1,0))</f>
        <v>39821</v>
      </c>
      <c r="AN35" s="5">
        <f>INDEX(Python0831!$B$1:$BV$49,MATCH($D35,Python0831!$A$1:$A$49,0),MATCH(AN$5,Python0831!$B$1:$BV$1,0))</f>
        <v>13219</v>
      </c>
      <c r="AO35" s="5">
        <f>INDEX(Python0831!$B$1:$BV$49,MATCH($D35,Python0831!$A$1:$A$49,0),MATCH(AO$5,Python0831!$B$1:$BV$1,0))</f>
        <v>26.676027196312099</v>
      </c>
      <c r="AP35" s="5">
        <f>INDEX(Python0831!$B$1:$BV$49,MATCH($D35,Python0831!$A$1:$A$49,0),MATCH(AP$5,Python0831!$B$1:$BV$1,0))</f>
        <v>30.286148544431001</v>
      </c>
      <c r="AQ35" s="5">
        <f>INDEX(Python0831!$B$1:$BV$49,MATCH($D35,Python0831!$A$1:$A$49,0),MATCH(AQ$5,Python0831!$B$1:$BV$1,0))</f>
        <v>1254303.1736999999</v>
      </c>
      <c r="AR35" s="5">
        <f>INDEX(Python0831!$B$1:$BV$49,MATCH($D35,Python0831!$A$1:$A$49,0),MATCH(AR$5,Python0831!$B$1:$BV$1,0))</f>
        <v>1444000</v>
      </c>
      <c r="AS35" s="328">
        <f>INDEX(Python0831!$B$1:$BV$49,MATCH($D35,Python0831!$A$1:$A$49,0),MATCH(AS$5,Python0831!$B$1:$BV$1,0))</f>
        <v>6.0684846738953101E-2</v>
      </c>
      <c r="AT35" s="5">
        <f>INDEX(Python0831!$B$1:$BV$49,MATCH($D35,Python0831!$A$1:$A$49,0),MATCH(AT$5,Python0831!$B$1:$BV$1,0))</f>
        <v>2047.66400246731</v>
      </c>
      <c r="AU35" s="7">
        <f>INDEX(Python0831!$B$1:$BV$49,MATCH($D35,Python0831!$A$1:$A$49,0),MATCH(AU$5,Python0831!$B$1:$BV$1,0))</f>
        <v>0.55333333333333301</v>
      </c>
      <c r="AV35" s="5">
        <f>INDEX(Python0831!$B$1:$BV$49,MATCH($D35,Python0831!$A$1:$A$49,0),MATCH(AV$5,Python0831!$B$1:$BV$1,0))</f>
        <v>3031.1786786786702</v>
      </c>
      <c r="AW35" s="5">
        <f>INDEX(Python0831!$B$1:$BV$49,MATCH($D35,Python0831!$A$1:$A$49,0),MATCH(AW$5,Python0831!$B$1:$BV$1,0))</f>
        <v>44.384099916986699</v>
      </c>
      <c r="AX35" s="5">
        <f>INDEX(Python0831!$B$1:$BV$49,MATCH($D35,Python0831!$A$1:$A$49,0),MATCH(AX$5,Python0831!$B$1:$BV$1,0))</f>
        <v>5.6634880025614001</v>
      </c>
      <c r="AY35" s="329">
        <f>INDEX(Python0831!$B$1:$BV$49,MATCH($D35,Python0831!$A$1:$A$49,0),MATCH(AY$5,Python0831!$B$1:$BV$1,0))</f>
        <v>1.2999999999999999E-3</v>
      </c>
      <c r="AZ35" s="5">
        <f>INDEX(Python0831!$B$1:$BV$49,MATCH($D35,Python0831!$A$1:$A$49,0),MATCH(AZ$5,Python0831!$B$1:$BV$1,0))</f>
        <v>83</v>
      </c>
      <c r="BA35" s="5">
        <f>INDEX(Python0831!$B$1:$BV$49,MATCH($D35,Python0831!$A$1:$A$49,0),MATCH(BA$5,Python0831!$B$1:$BV$1,0))</f>
        <v>79.253361164482399</v>
      </c>
      <c r="BB35" s="5">
        <f>INDEX(Python0831!$B$1:$BV$49,MATCH($D35,Python0831!$A$1:$A$49,0),MATCH(BB$5,Python0831!$B$1:$BV$1,0))</f>
        <v>22.6390838973483</v>
      </c>
      <c r="BC35" s="5">
        <f>INDEX(Python0831!$B$1:$BV$49,MATCH($D35,Python0831!$A$1:$A$49,0),MATCH(BC$5,Python0831!$B$1:$BV$1,0))</f>
        <v>3918.0589414818</v>
      </c>
      <c r="BD35" s="5">
        <f>INDEX(Python0831!$B$1:$BV$49,MATCH($D35,Python0831!$A$1:$A$49,0),MATCH(BD$5,Python0831!$B$1:$BV$1,0))</f>
        <v>78.319994691271006</v>
      </c>
      <c r="BE35" s="5">
        <f>INDEX(Python0831!$B$1:$BV$49,MATCH($D35,Python0831!$A$1:$A$49,0),MATCH(BE$5,Python0831!$B$1:$BV$1,0))</f>
        <v>26.101298885980899</v>
      </c>
      <c r="BF35" s="5">
        <f>INDEX(Python0831!$B$1:$BV$49,MATCH($D35,Python0831!$A$1:$A$49,0),MATCH(BF$5,Python0831!$B$1:$BV$1,0))</f>
        <v>24.782596624918099</v>
      </c>
      <c r="BG35" s="5">
        <f>INDEX(Python0831!$B$1:$BV$49,MATCH($D35,Python0831!$A$1:$A$49,0),MATCH(BG$5,Python0831!$B$1:$BV$1,0))</f>
        <v>58.954545454545404</v>
      </c>
      <c r="BH35" s="327">
        <f>INDEX(Python0831!$B$1:$BV$49,MATCH($D35,Python0831!$A$1:$A$49,0),MATCH(BH$5,Python0831!$B$1:$BV$1,0))</f>
        <v>8.3499999999999894E-2</v>
      </c>
      <c r="BI35" s="327">
        <f>INDEX(Python0831!$B$1:$BV$49,MATCH($D35,Python0831!$A$1:$A$49,0),MATCH(BI$5,Python0831!$B$1:$BV$1,0))</f>
        <v>0.252320262889971</v>
      </c>
      <c r="BJ35" s="5">
        <f>INDEX(Python0831!$B$1:$BV$49,MATCH($D35,Python0831!$A$1:$A$49,0),MATCH(BJ$5,Python0831!$B$1:$BV$1,0))</f>
        <v>17.422959306355601</v>
      </c>
      <c r="BK35" s="5">
        <f>INDEX(Python0831!$B$1:$BV$49,MATCH($D35,Python0831!$A$1:$A$49,0),MATCH(BK$5,Python0831!$B$1:$BV$1,0))</f>
        <v>3.1</v>
      </c>
      <c r="BL35" s="7">
        <f>INDEX(Python0831!$B$1:$BV$49,MATCH($D35,Python0831!$A$1:$A$49,0),MATCH(BL$5,Python0831!$B$1:$BV$1,0))</f>
        <v>0.53585564610011605</v>
      </c>
      <c r="BM35" s="5">
        <f>INDEX(Python0831!$B$1:$BV$49,MATCH($D35,Python0831!$A$1:$A$49,0),MATCH(BM$5,Python0831!$B$1:$BV$1,0))</f>
        <v>68.2</v>
      </c>
      <c r="BN35" s="5">
        <f>INDEX(Python0831!$B$1:$BV$49,MATCH($D35,Python0831!$A$1:$A$49,0),MATCH(BN$5,Python0831!$B$1:$BV$1,0))</f>
        <v>80.771180619408995</v>
      </c>
      <c r="BO35" s="5">
        <f>INDEX(Python0831!$B$1:$BV$49,MATCH($D35,Python0831!$A$1:$A$49,0),MATCH(BO$5,Python0831!$B$1:$BV$1,0))</f>
        <v>73.325958561801102</v>
      </c>
      <c r="BP35" s="5">
        <f>INDEX(Python0831!$B$1:$BV$49,MATCH($D35,Python0831!$A$1:$A$49,0),MATCH(BP$5,Python0831!$B$1:$BV$1,0))</f>
        <v>49.000000000000398</v>
      </c>
      <c r="BQ35" s="7">
        <f>INDEX(Python0831!$B$1:$BV$49,MATCH($D35,Python0831!$A$1:$A$49,0),MATCH(BQ$5,Python0831!$B$1:$BV$1,0))</f>
        <v>8.3825865547047602</v>
      </c>
      <c r="BR35" s="5">
        <f>INDEX(Python0831!$B$1:$BV$49,MATCH($D35,Python0831!$A$1:$A$49,0),MATCH(BR$5,Python0831!$B$1:$BV$1,0))</f>
        <v>29071991</v>
      </c>
      <c r="BS35" s="5">
        <f>INDEX(Python0831!$B$1:$BV$49,MATCH($D35,Python0831!$A$1:$A$49,0),MATCH(BS$5,Python0831!$B$1:$BV$1,0))</f>
        <v>271760</v>
      </c>
      <c r="BT35" s="8">
        <f>INDEX(Python0831!$B$1:$BV$49,MATCH($D35,Python0831!$A$1:$A$49,0),MATCH(BT$5,Python0831!$B$1:$BV$1,0))</f>
        <v>0.27374650211805901</v>
      </c>
      <c r="BU35" s="8">
        <f>INDEX(Python0831!$B$1:$BV$49,MATCH($D35,Python0831!$A$1:$A$49,0),MATCH(BU$5,Python0831!$B$1:$BV$1,0))</f>
        <v>0.35961443400889698</v>
      </c>
      <c r="BV35" s="5">
        <f>INDEX(Python0831!$B$1:$BV$49,MATCH($D35,Python0831!$A$1:$A$49,0),MATCH(BV$5,Python0831!$B$1:$BV$1,0))</f>
        <v>15</v>
      </c>
      <c r="BW35" s="5">
        <f>INDEX(Python0831!$B$1:$BV$49,MATCH($D35,Python0831!$A$1:$A$49,0),MATCH(BW$5,Python0831!$B$1:$BV$1,0))</f>
        <v>34.905000000000001</v>
      </c>
      <c r="BX35" s="382">
        <f>INDEX(Python0831!$B$1:$BV$49,MATCH($D35,Python0831!$A$1:$A$49,0),MATCH(BX$5,Python0831!$B$1:$BV$1,0))</f>
        <v>27.906976744186046</v>
      </c>
      <c r="BY35" s="5">
        <f>INDEX(Python0831!$B$1:$BV$49,MATCH($D35,Python0831!$A$1:$A$49,0),MATCH(BY$5,Python0831!$B$1:$BV$1,0))</f>
        <v>54.150461865378901</v>
      </c>
    </row>
    <row r="36" spans="1:77">
      <c r="A36" s="2">
        <v>31</v>
      </c>
      <c r="B36" s="58">
        <f>INDEX(順位表[Comprehensive],MATCH($C36,順位表['#],0))</f>
        <v>32</v>
      </c>
      <c r="C36" s="3">
        <v>31</v>
      </c>
      <c r="D36" s="1" t="str">
        <f>INDEX(都市マスタ[City Name],MATCH($C36,都市マスタ['#],0))</f>
        <v>Vancouver</v>
      </c>
      <c r="E36" s="5">
        <f>INDEX(Python0831!$B$1:$BV$49,MATCH($D36,Python0831!$A$1:$A$49,0),MATCH(E$5,Python0831!$B$1:$BV$1,0))</f>
        <v>706012</v>
      </c>
      <c r="F36" s="5">
        <f>INDEX(Python0831!$B$1:$BV$49,MATCH($D36,Python0831!$A$1:$A$49,0),MATCH(F$5,Python0831!$B$1:$BV$1,0))</f>
        <v>115.18</v>
      </c>
      <c r="G36" s="7">
        <f>INDEX(Python0831!$B$1:$BV$49,MATCH($D36,Python0831!$A$1:$A$49,0),MATCH(G$5,Python0831!$B$1:$BV$1,0))</f>
        <v>1.3009999999999999</v>
      </c>
      <c r="H36" s="5">
        <f>INDEX(Python0831!$B$1:$BV$49,MATCH($D36,Python0831!$A$1:$A$49,0),MATCH(H$5,Python0831!$B$1:$BV$1,0))</f>
        <v>37408.861381084098</v>
      </c>
      <c r="I36" s="5">
        <f>INDEX(Python0831!$B$1:$BV$49,MATCH($D36,Python0831!$A$1:$A$49,0),MATCH(I$5,Python0831!$B$1:$BV$1,0))</f>
        <v>53962.741900054301</v>
      </c>
      <c r="J36" s="328">
        <f>INDEX(Python0831!$B$1:$BV$49,MATCH($D36,Python0831!$A$1:$A$49,0),MATCH(J$5,Python0831!$B$1:$BV$1,0))</f>
        <v>5.5956438820629499E-2</v>
      </c>
      <c r="K36" s="5">
        <f>INDEX(Python0831!$B$1:$BV$49,MATCH($D36,Python0831!$A$1:$A$49,0),MATCH(K$5,Python0831!$B$1:$BV$1,0))</f>
        <v>73.6666666666666</v>
      </c>
      <c r="L36" s="5">
        <f>INDEX(Python0831!$B$1:$BV$49,MATCH($D36,Python0831!$A$1:$A$49,0),MATCH(L$5,Python0831!$B$1:$BV$1,0))</f>
        <v>0</v>
      </c>
      <c r="M36" s="5">
        <f>INDEX(Python0831!$B$1:$BV$49,MATCH($D36,Python0831!$A$1:$A$49,0),MATCH(M$5,Python0831!$B$1:$BV$1,0))</f>
        <v>0</v>
      </c>
      <c r="N36" s="5">
        <f>INDEX(Python0831!$B$1:$BV$49,MATCH($D36,Python0831!$A$1:$A$49,0),MATCH(N$5,Python0831!$B$1:$BV$1,0))</f>
        <v>359280</v>
      </c>
      <c r="O36" s="328">
        <f>INDEX(Python0831!$B$1:$BV$49,MATCH($D36,Python0831!$A$1:$A$49,0),MATCH(O$5,Python0831!$B$1:$BV$1,0))</f>
        <v>0.28750556668893301</v>
      </c>
      <c r="P36" s="5">
        <f>INDEX(Python0831!$B$1:$BV$49,MATCH($D36,Python0831!$A$1:$A$49,0),MATCH(P$5,Python0831!$B$1:$BV$1,0))</f>
        <v>53.024812675611699</v>
      </c>
      <c r="Q36" s="5">
        <f>INDEX(Python0831!$B$1:$BV$49,MATCH($D36,Python0831!$A$1:$A$49,0),MATCH(Q$5,Python0831!$B$1:$BV$1,0))</f>
        <v>92.402530196941299</v>
      </c>
      <c r="R36" s="5">
        <f>INDEX(Python0831!$B$1:$BV$49,MATCH($D36,Python0831!$A$1:$A$49,0),MATCH(R$5,Python0831!$B$1:$BV$1,0))</f>
        <v>31.3457706788965</v>
      </c>
      <c r="S36" s="327">
        <f>INDEX(Python0831!$B$1:$BV$49,MATCH($D36,Python0831!$A$1:$A$49,0),MATCH(S$5,Python0831!$B$1:$BV$1,0))</f>
        <v>0.27</v>
      </c>
      <c r="T36" s="5">
        <f>INDEX(Python0831!$B$1:$BV$49,MATCH($D36,Python0831!$A$1:$A$49,0),MATCH(T$5,Python0831!$B$1:$BV$1,0))</f>
        <v>88.015470662541702</v>
      </c>
      <c r="U36" s="5">
        <f>INDEX(Python0831!$B$1:$BV$49,MATCH($D36,Python0831!$A$1:$A$49,0),MATCH(U$5,Python0831!$B$1:$BV$1,0))</f>
        <v>3471.4032382955502</v>
      </c>
      <c r="V36" s="5">
        <f>INDEX(Python0831!$B$1:$BV$49,MATCH($D36,Python0831!$A$1:$A$49,0),MATCH(V$5,Python0831!$B$1:$BV$1,0))</f>
        <v>162</v>
      </c>
      <c r="W36" s="5">
        <f>INDEX(Python0831!$B$1:$BV$49,MATCH($D36,Python0831!$A$1:$A$49,0),MATCH(W$5,Python0831!$B$1:$BV$1,0))</f>
        <v>578.95321446763705</v>
      </c>
      <c r="X36" s="5">
        <f>INDEX(Python0831!$B$1:$BV$49,MATCH($D36,Python0831!$A$1:$A$49,0),MATCH(X$5,Python0831!$B$1:$BV$1,0))</f>
        <v>27557.79</v>
      </c>
      <c r="Y36" s="5">
        <f>INDEX(Python0831!$B$1:$BV$49,MATCH($D36,Python0831!$A$1:$A$49,0),MATCH(Y$5,Python0831!$B$1:$BV$1,0))</f>
        <v>516.66666666666595</v>
      </c>
      <c r="Z36" s="5">
        <f>INDEX(Python0831!$B$1:$BV$49,MATCH($D36,Python0831!$A$1:$A$49,0),MATCH(Z$5,Python0831!$B$1:$BV$1,0))</f>
        <v>480.38419519567799</v>
      </c>
      <c r="AA36" s="7">
        <f>INDEX(Python0831!$B$1:$BV$49,MATCH($D36,Python0831!$A$1:$A$49,0),MATCH(AA$5,Python0831!$B$1:$BV$1,0))</f>
        <v>0</v>
      </c>
      <c r="AB36" s="5">
        <f>INDEX(Python0831!$B$1:$BV$49,MATCH($D36,Python0831!$A$1:$A$49,0),MATCH(AB$5,Python0831!$B$1:$BV$1,0))</f>
        <v>181.666666666666</v>
      </c>
      <c r="AC36" s="5">
        <f>INDEX(Python0831!$B$1:$BV$49,MATCH($D36,Python0831!$A$1:$A$49,0),MATCH(AC$5,Python0831!$B$1:$BV$1,0))</f>
        <v>18</v>
      </c>
      <c r="AD36" s="5">
        <f>INDEX(Python0831!$B$1:$BV$49,MATCH($D36,Python0831!$A$1:$A$49,0),MATCH(AD$5,Python0831!$B$1:$BV$1,0))</f>
        <v>53.4722222222222</v>
      </c>
      <c r="AE36" s="5">
        <f>INDEX(Python0831!$B$1:$BV$49,MATCH($D36,Python0831!$A$1:$A$49,0),MATCH(AE$5,Python0831!$B$1:$BV$1,0))</f>
        <v>5.9125574630217503</v>
      </c>
      <c r="AF36" s="5">
        <f>INDEX(Python0831!$B$1:$BV$49,MATCH($D36,Python0831!$A$1:$A$49,0),MATCH(AF$5,Python0831!$B$1:$BV$1,0))</f>
        <v>1.47761842677096</v>
      </c>
      <c r="AG36" s="5">
        <f>INDEX(Python0831!$B$1:$BV$49,MATCH($D36,Python0831!$A$1:$A$49,0),MATCH(AG$5,Python0831!$B$1:$BV$1,0))</f>
        <v>37.240691343319597</v>
      </c>
      <c r="AH36" s="5">
        <f>INDEX(Python0831!$B$1:$BV$49,MATCH($D36,Python0831!$A$1:$A$49,0),MATCH(AH$5,Python0831!$B$1:$BV$1,0))</f>
        <v>0</v>
      </c>
      <c r="AI36" s="5">
        <f>INDEX(Python0831!$B$1:$BV$49,MATCH($D36,Python0831!$A$1:$A$49,0),MATCH(AI$5,Python0831!$B$1:$BV$1,0))</f>
        <v>15.301608089594</v>
      </c>
      <c r="AJ36" s="5">
        <f>INDEX(Python0831!$B$1:$BV$49,MATCH($D36,Python0831!$A$1:$A$49,0),MATCH(AJ$5,Python0831!$B$1:$BV$1,0))</f>
        <v>34</v>
      </c>
      <c r="AK36" s="5">
        <f>INDEX(Python0831!$B$1:$BV$49,MATCH($D36,Python0831!$A$1:$A$49,0),MATCH(AK$5,Python0831!$B$1:$BV$1,0))</f>
        <v>35</v>
      </c>
      <c r="AL36" s="5">
        <f>INDEX(Python0831!$B$1:$BV$49,MATCH($D36,Python0831!$A$1:$A$49,0),MATCH(AL$5,Python0831!$B$1:$BV$1,0))</f>
        <v>3</v>
      </c>
      <c r="AM36" s="5">
        <f>INDEX(Python0831!$B$1:$BV$49,MATCH($D36,Python0831!$A$1:$A$49,0),MATCH(AM$5,Python0831!$B$1:$BV$1,0))</f>
        <v>18473</v>
      </c>
      <c r="AN36" s="5">
        <f>INDEX(Python0831!$B$1:$BV$49,MATCH($D36,Python0831!$A$1:$A$49,0),MATCH(AN$5,Python0831!$B$1:$BV$1,0))</f>
        <v>1342</v>
      </c>
      <c r="AO36" s="5">
        <f>INDEX(Python0831!$B$1:$BV$49,MATCH($D36,Python0831!$A$1:$A$49,0),MATCH(AO$5,Python0831!$B$1:$BV$1,0))</f>
        <v>21.5605659813016</v>
      </c>
      <c r="AP36" s="5">
        <f>INDEX(Python0831!$B$1:$BV$49,MATCH($D36,Python0831!$A$1:$A$49,0),MATCH(AP$5,Python0831!$B$1:$BV$1,0))</f>
        <v>28.684509725843199</v>
      </c>
      <c r="AQ36" s="5">
        <f>INDEX(Python0831!$B$1:$BV$49,MATCH($D36,Python0831!$A$1:$A$49,0),MATCH(AQ$5,Python0831!$B$1:$BV$1,0))</f>
        <v>112570</v>
      </c>
      <c r="AR36" s="5">
        <f>INDEX(Python0831!$B$1:$BV$49,MATCH($D36,Python0831!$A$1:$A$49,0),MATCH(AR$5,Python0831!$B$1:$BV$1,0))</f>
        <v>2677640</v>
      </c>
      <c r="AS36" s="328">
        <f>INDEX(Python0831!$B$1:$BV$49,MATCH($D36,Python0831!$A$1:$A$49,0),MATCH(AS$5,Python0831!$B$1:$BV$1,0))</f>
        <v>5.0980769230769198E-2</v>
      </c>
      <c r="AT36" s="5">
        <f>INDEX(Python0831!$B$1:$BV$49,MATCH($D36,Python0831!$A$1:$A$49,0),MATCH(AT$5,Python0831!$B$1:$BV$1,0))</f>
        <v>2396.8248888888802</v>
      </c>
      <c r="AU36" s="7">
        <f>INDEX(Python0831!$B$1:$BV$49,MATCH($D36,Python0831!$A$1:$A$49,0),MATCH(AU$5,Python0831!$B$1:$BV$1,0))</f>
        <v>0.62424242424242404</v>
      </c>
      <c r="AV36" s="5">
        <f>INDEX(Python0831!$B$1:$BV$49,MATCH($D36,Python0831!$A$1:$A$49,0),MATCH(AV$5,Python0831!$B$1:$BV$1,0))</f>
        <v>2607.8728070175398</v>
      </c>
      <c r="AW36" s="5">
        <f>INDEX(Python0831!$B$1:$BV$49,MATCH($D36,Python0831!$A$1:$A$49,0),MATCH(AW$5,Python0831!$B$1:$BV$1,0))</f>
        <v>44.098711813713201</v>
      </c>
      <c r="AX36" s="5">
        <f>INDEX(Python0831!$B$1:$BV$49,MATCH($D36,Python0831!$A$1:$A$49,0),MATCH(AX$5,Python0831!$B$1:$BV$1,0))</f>
        <v>18.413284760032401</v>
      </c>
      <c r="AY36" s="329">
        <f>INDEX(Python0831!$B$1:$BV$49,MATCH($D36,Python0831!$A$1:$A$49,0),MATCH(AY$5,Python0831!$B$1:$BV$1,0))</f>
        <v>1.6000000000000001E-3</v>
      </c>
      <c r="AZ36" s="5">
        <f>INDEX(Python0831!$B$1:$BV$49,MATCH($D36,Python0831!$A$1:$A$49,0),MATCH(AZ$5,Python0831!$B$1:$BV$1,0))</f>
        <v>82.2</v>
      </c>
      <c r="BA36" s="5">
        <f>INDEX(Python0831!$B$1:$BV$49,MATCH($D36,Python0831!$A$1:$A$49,0),MATCH(BA$5,Python0831!$B$1:$BV$1,0))</f>
        <v>80.806079161340307</v>
      </c>
      <c r="BB36" s="5">
        <f>INDEX(Python0831!$B$1:$BV$49,MATCH($D36,Python0831!$A$1:$A$49,0),MATCH(BB$5,Python0831!$B$1:$BV$1,0))</f>
        <v>20.791605759410299</v>
      </c>
      <c r="BC36" s="5">
        <f>INDEX(Python0831!$B$1:$BV$49,MATCH($D36,Python0831!$A$1:$A$49,0),MATCH(BC$5,Python0831!$B$1:$BV$1,0))</f>
        <v>3007.6372468401701</v>
      </c>
      <c r="BD36" s="5">
        <f>INDEX(Python0831!$B$1:$BV$49,MATCH($D36,Python0831!$A$1:$A$49,0),MATCH(BD$5,Python0831!$B$1:$BV$1,0))</f>
        <v>79.105141392263306</v>
      </c>
      <c r="BE36" s="5">
        <f>INDEX(Python0831!$B$1:$BV$49,MATCH($D36,Python0831!$A$1:$A$49,0),MATCH(BE$5,Python0831!$B$1:$BV$1,0))</f>
        <v>27.187929032910301</v>
      </c>
      <c r="BF36" s="5">
        <f>INDEX(Python0831!$B$1:$BV$49,MATCH($D36,Python0831!$A$1:$A$49,0),MATCH(BF$5,Python0831!$B$1:$BV$1,0))</f>
        <v>31.346534433132501</v>
      </c>
      <c r="BG36" s="5">
        <f>INDEX(Python0831!$B$1:$BV$49,MATCH($D36,Python0831!$A$1:$A$49,0),MATCH(BG$5,Python0831!$B$1:$BV$1,0))</f>
        <v>59.988142292490103</v>
      </c>
      <c r="BH36" s="327">
        <f>INDEX(Python0831!$B$1:$BV$49,MATCH($D36,Python0831!$A$1:$A$49,0),MATCH(BH$5,Python0831!$B$1:$BV$1,0))</f>
        <v>0.16109999999999999</v>
      </c>
      <c r="BI36" s="327">
        <f>INDEX(Python0831!$B$1:$BV$49,MATCH($D36,Python0831!$A$1:$A$49,0),MATCH(BI$5,Python0831!$B$1:$BV$1,0))</f>
        <v>0.19625999999999999</v>
      </c>
      <c r="BJ36" s="5">
        <f>INDEX(Python0831!$B$1:$BV$49,MATCH($D36,Python0831!$A$1:$A$49,0),MATCH(BJ$5,Python0831!$B$1:$BV$1,0))</f>
        <v>14.5516662249458</v>
      </c>
      <c r="BK36" s="5">
        <f>INDEX(Python0831!$B$1:$BV$49,MATCH($D36,Python0831!$A$1:$A$49,0),MATCH(BK$5,Python0831!$B$1:$BV$1,0))</f>
        <v>7.6</v>
      </c>
      <c r="BL36" s="7">
        <f>INDEX(Python0831!$B$1:$BV$49,MATCH($D36,Python0831!$A$1:$A$49,0),MATCH(BL$5,Python0831!$B$1:$BV$1,0))</f>
        <v>0.98443935926773396</v>
      </c>
      <c r="BM36" s="5">
        <f>INDEX(Python0831!$B$1:$BV$49,MATCH($D36,Python0831!$A$1:$A$49,0),MATCH(BM$5,Python0831!$B$1:$BV$1,0))</f>
        <v>67</v>
      </c>
      <c r="BN36" s="5">
        <f>INDEX(Python0831!$B$1:$BV$49,MATCH($D36,Python0831!$A$1:$A$49,0),MATCH(BN$5,Python0831!$B$1:$BV$1,0))</f>
        <v>80.292600232552104</v>
      </c>
      <c r="BO36" s="5">
        <f>INDEX(Python0831!$B$1:$BV$49,MATCH($D36,Python0831!$A$1:$A$49,0),MATCH(BO$5,Python0831!$B$1:$BV$1,0))</f>
        <v>64.972828295275605</v>
      </c>
      <c r="BP36" s="5">
        <f>INDEX(Python0831!$B$1:$BV$49,MATCH($D36,Python0831!$A$1:$A$49,0),MATCH(BP$5,Python0831!$B$1:$BV$1,0))</f>
        <v>67.000000000000099</v>
      </c>
      <c r="BQ36" s="7">
        <f>INDEX(Python0831!$B$1:$BV$49,MATCH($D36,Python0831!$A$1:$A$49,0),MATCH(BQ$5,Python0831!$B$1:$BV$1,0))</f>
        <v>5.20424138010842</v>
      </c>
      <c r="BR36" s="5">
        <f>INDEX(Python0831!$B$1:$BV$49,MATCH($D36,Python0831!$A$1:$A$49,0),MATCH(BR$5,Python0831!$B$1:$BV$1,0))</f>
        <v>19013416</v>
      </c>
      <c r="BS36" s="5">
        <f>INDEX(Python0831!$B$1:$BV$49,MATCH($D36,Python0831!$A$1:$A$49,0),MATCH(BS$5,Python0831!$B$1:$BV$1,0))</f>
        <v>205703</v>
      </c>
      <c r="BT36" s="8">
        <f>INDEX(Python0831!$B$1:$BV$49,MATCH($D36,Python0831!$A$1:$A$49,0),MATCH(BT$5,Python0831!$B$1:$BV$1,0))</f>
        <v>0.111408460164326</v>
      </c>
      <c r="BU36" s="8">
        <f>INDEX(Python0831!$B$1:$BV$49,MATCH($D36,Python0831!$A$1:$A$49,0),MATCH(BU$5,Python0831!$B$1:$BV$1,0))</f>
        <v>0.29524787327662</v>
      </c>
      <c r="BV36" s="5">
        <f>INDEX(Python0831!$B$1:$BV$49,MATCH($D36,Python0831!$A$1:$A$49,0),MATCH(BV$5,Python0831!$B$1:$BV$1,0))</f>
        <v>22</v>
      </c>
      <c r="BW36" s="5">
        <f>INDEX(Python0831!$B$1:$BV$49,MATCH($D36,Python0831!$A$1:$A$49,0),MATCH(BW$5,Python0831!$B$1:$BV$1,0))</f>
        <v>30.172499999999999</v>
      </c>
      <c r="BX36" s="382">
        <f>INDEX(Python0831!$B$1:$BV$49,MATCH($D36,Python0831!$A$1:$A$49,0),MATCH(BX$5,Python0831!$B$1:$BV$1,0))</f>
        <v>26.666666666666668</v>
      </c>
      <c r="BY36" s="5">
        <f>INDEX(Python0831!$B$1:$BV$49,MATCH($D36,Python0831!$A$1:$A$49,0),MATCH(BY$5,Python0831!$B$1:$BV$1,0))</f>
        <v>52.433803300388597</v>
      </c>
    </row>
    <row r="37" spans="1:77">
      <c r="A37" s="2">
        <v>32</v>
      </c>
      <c r="B37" s="58">
        <f>INDEX(順位表[Comprehensive],MATCH($C37,順位表['#],0))</f>
        <v>27</v>
      </c>
      <c r="C37" s="3">
        <v>32</v>
      </c>
      <c r="D37" s="1" t="str">
        <f>INDEX(都市マスタ[City Name],MATCH($C37,都市マスタ['#],0))</f>
        <v>San Francisco</v>
      </c>
      <c r="E37" s="5">
        <f>INDEX(Python0831!$B$1:$BV$49,MATCH($D37,Python0831!$A$1:$A$49,0),MATCH(E$5,Python0831!$B$1:$BV$1,0))</f>
        <v>815201</v>
      </c>
      <c r="F37" s="5">
        <f>INDEX(Python0831!$B$1:$BV$49,MATCH($D37,Python0831!$A$1:$A$49,0),MATCH(F$5,Python0831!$B$1:$BV$1,0))</f>
        <v>121.496430899999</v>
      </c>
      <c r="G37" s="7">
        <f>INDEX(Python0831!$B$1:$BV$49,MATCH($D37,Python0831!$A$1:$A$49,0),MATCH(G$5,Python0831!$B$1:$BV$1,0))</f>
        <v>1</v>
      </c>
      <c r="H37" s="5">
        <f>INDEX(Python0831!$B$1:$BV$49,MATCH($D37,Python0831!$A$1:$A$49,0),MATCH(H$5,Python0831!$B$1:$BV$1,0))</f>
        <v>185843.773376764</v>
      </c>
      <c r="I37" s="5">
        <f>INDEX(Python0831!$B$1:$BV$49,MATCH($D37,Python0831!$A$1:$A$49,0),MATCH(I$5,Python0831!$B$1:$BV$1,0))</f>
        <v>227972.94578486099</v>
      </c>
      <c r="J37" s="328">
        <f>INDEX(Python0831!$B$1:$BV$49,MATCH($D37,Python0831!$A$1:$A$49,0),MATCH(J$5,Python0831!$B$1:$BV$1,0))</f>
        <v>5.2481212705951498E-2</v>
      </c>
      <c r="K37" s="5">
        <f>INDEX(Python0831!$B$1:$BV$49,MATCH($D37,Python0831!$A$1:$A$49,0),MATCH(K$5,Python0831!$B$1:$BV$1,0))</f>
        <v>70.616666666666603</v>
      </c>
      <c r="L37" s="5">
        <f>INDEX(Python0831!$B$1:$BV$49,MATCH($D37,Python0831!$A$1:$A$49,0),MATCH(L$5,Python0831!$B$1:$BV$1,0))</f>
        <v>0</v>
      </c>
      <c r="M37" s="5">
        <f>INDEX(Python0831!$B$1:$BV$49,MATCH($D37,Python0831!$A$1:$A$49,0),MATCH(M$5,Python0831!$B$1:$BV$1,0))</f>
        <v>146088</v>
      </c>
      <c r="N37" s="5">
        <f>INDEX(Python0831!$B$1:$BV$49,MATCH($D37,Python0831!$A$1:$A$49,0),MATCH(N$5,Python0831!$B$1:$BV$1,0))</f>
        <v>910916</v>
      </c>
      <c r="O37" s="328">
        <f>INDEX(Python0831!$B$1:$BV$49,MATCH($D37,Python0831!$A$1:$A$49,0),MATCH(O$5,Python0831!$B$1:$BV$1,0))</f>
        <v>0.194638144461179</v>
      </c>
      <c r="P37" s="5">
        <f>INDEX(Python0831!$B$1:$BV$49,MATCH($D37,Python0831!$A$1:$A$49,0),MATCH(P$5,Python0831!$B$1:$BV$1,0))</f>
        <v>96.765431972224903</v>
      </c>
      <c r="Q37" s="5">
        <f>INDEX(Python0831!$B$1:$BV$49,MATCH($D37,Python0831!$A$1:$A$49,0),MATCH(Q$5,Python0831!$B$1:$BV$1,0))</f>
        <v>90.519480519480496</v>
      </c>
      <c r="R37" s="5">
        <f>INDEX(Python0831!$B$1:$BV$49,MATCH($D37,Python0831!$A$1:$A$49,0),MATCH(R$5,Python0831!$B$1:$BV$1,0))</f>
        <v>40.2273256109277</v>
      </c>
      <c r="S37" s="327">
        <f>INDEX(Python0831!$B$1:$BV$49,MATCH($D37,Python0831!$A$1:$A$49,0),MATCH(S$5,Python0831!$B$1:$BV$1,0))</f>
        <v>0.27983599999999997</v>
      </c>
      <c r="T37" s="5">
        <f>INDEX(Python0831!$B$1:$BV$49,MATCH($D37,Python0831!$A$1:$A$49,0),MATCH(T$5,Python0831!$B$1:$BV$1,0))</f>
        <v>95.976777923657707</v>
      </c>
      <c r="U37" s="5">
        <f>INDEX(Python0831!$B$1:$BV$49,MATCH($D37,Python0831!$A$1:$A$49,0),MATCH(U$5,Python0831!$B$1:$BV$1,0))</f>
        <v>27099.509191531401</v>
      </c>
      <c r="V37" s="5">
        <f>INDEX(Python0831!$B$1:$BV$49,MATCH($D37,Python0831!$A$1:$A$49,0),MATCH(V$5,Python0831!$B$1:$BV$1,0))</f>
        <v>391</v>
      </c>
      <c r="W37" s="5">
        <f>INDEX(Python0831!$B$1:$BV$49,MATCH($D37,Python0831!$A$1:$A$49,0),MATCH(W$5,Python0831!$B$1:$BV$1,0))</f>
        <v>11975.498167558801</v>
      </c>
      <c r="X37" s="5">
        <f>INDEX(Python0831!$B$1:$BV$49,MATCH($D37,Python0831!$A$1:$A$49,0),MATCH(X$5,Python0831!$B$1:$BV$1,0))</f>
        <v>13700.3999999999</v>
      </c>
      <c r="Y37" s="5">
        <f>INDEX(Python0831!$B$1:$BV$49,MATCH($D37,Python0831!$A$1:$A$49,0),MATCH(Y$5,Python0831!$B$1:$BV$1,0))</f>
        <v>495</v>
      </c>
      <c r="Z37" s="5">
        <f>INDEX(Python0831!$B$1:$BV$49,MATCH($D37,Python0831!$A$1:$A$49,0),MATCH(Z$5,Python0831!$B$1:$BV$1,0))</f>
        <v>5040.6319887413201</v>
      </c>
      <c r="AA37" s="7">
        <f>INDEX(Python0831!$B$1:$BV$49,MATCH($D37,Python0831!$A$1:$A$49,0),MATCH(AA$5,Python0831!$B$1:$BV$1,0))</f>
        <v>10</v>
      </c>
      <c r="AB37" s="5">
        <f>INDEX(Python0831!$B$1:$BV$49,MATCH($D37,Python0831!$A$1:$A$49,0),MATCH(AB$5,Python0831!$B$1:$BV$1,0))</f>
        <v>1082.6666666666599</v>
      </c>
      <c r="AC37" s="5">
        <f>INDEX(Python0831!$B$1:$BV$49,MATCH($D37,Python0831!$A$1:$A$49,0),MATCH(AC$5,Python0831!$B$1:$BV$1,0))</f>
        <v>10</v>
      </c>
      <c r="AD37" s="5">
        <f>INDEX(Python0831!$B$1:$BV$49,MATCH($D37,Python0831!$A$1:$A$49,0),MATCH(AD$5,Python0831!$B$1:$BV$1,0))</f>
        <v>26.5625</v>
      </c>
      <c r="AE37" s="5">
        <f>INDEX(Python0831!$B$1:$BV$49,MATCH($D37,Python0831!$A$1:$A$49,0),MATCH(AE$5,Python0831!$B$1:$BV$1,0))</f>
        <v>20.4950749834546</v>
      </c>
      <c r="AF37" s="5">
        <f>INDEX(Python0831!$B$1:$BV$49,MATCH($D37,Python0831!$A$1:$A$49,0),MATCH(AF$5,Python0831!$B$1:$BV$1,0))</f>
        <v>9.6007310841397508</v>
      </c>
      <c r="AG37" s="5">
        <f>INDEX(Python0831!$B$1:$BV$49,MATCH($D37,Python0831!$A$1:$A$49,0),MATCH(AG$5,Python0831!$B$1:$BV$1,0))</f>
        <v>29.1405046104726</v>
      </c>
      <c r="AH37" s="5">
        <f>INDEX(Python0831!$B$1:$BV$49,MATCH($D37,Python0831!$A$1:$A$49,0),MATCH(AH$5,Python0831!$B$1:$BV$1,0))</f>
        <v>0</v>
      </c>
      <c r="AI37" s="5">
        <f>INDEX(Python0831!$B$1:$BV$49,MATCH($D37,Python0831!$A$1:$A$49,0),MATCH(AI$5,Python0831!$B$1:$BV$1,0))</f>
        <v>21.938523831184199</v>
      </c>
      <c r="AJ37" s="5">
        <f>INDEX(Python0831!$B$1:$BV$49,MATCH($D37,Python0831!$A$1:$A$49,0),MATCH(AJ$5,Python0831!$B$1:$BV$1,0))</f>
        <v>62</v>
      </c>
      <c r="AK37" s="5">
        <f>INDEX(Python0831!$B$1:$BV$49,MATCH($D37,Python0831!$A$1:$A$49,0),MATCH(AK$5,Python0831!$B$1:$BV$1,0))</f>
        <v>38</v>
      </c>
      <c r="AL37" s="5">
        <f>INDEX(Python0831!$B$1:$BV$49,MATCH($D37,Python0831!$A$1:$A$49,0),MATCH(AL$5,Python0831!$B$1:$BV$1,0))</f>
        <v>3</v>
      </c>
      <c r="AM37" s="5">
        <f>INDEX(Python0831!$B$1:$BV$49,MATCH($D37,Python0831!$A$1:$A$49,0),MATCH(AM$5,Python0831!$B$1:$BV$1,0))</f>
        <v>36170</v>
      </c>
      <c r="AN37" s="5">
        <f>INDEX(Python0831!$B$1:$BV$49,MATCH($D37,Python0831!$A$1:$A$49,0),MATCH(AN$5,Python0831!$B$1:$BV$1,0))</f>
        <v>2565</v>
      </c>
      <c r="AO37" s="5">
        <f>INDEX(Python0831!$B$1:$BV$49,MATCH($D37,Python0831!$A$1:$A$49,0),MATCH(AO$5,Python0831!$B$1:$BV$1,0))</f>
        <v>23.144820881521301</v>
      </c>
      <c r="AP37" s="5">
        <f>INDEX(Python0831!$B$1:$BV$49,MATCH($D37,Python0831!$A$1:$A$49,0),MATCH(AP$5,Python0831!$B$1:$BV$1,0))</f>
        <v>40.418204149792601</v>
      </c>
      <c r="AQ37" s="5">
        <f>INDEX(Python0831!$B$1:$BV$49,MATCH($D37,Python0831!$A$1:$A$49,0),MATCH(AQ$5,Python0831!$B$1:$BV$1,0))</f>
        <v>109442</v>
      </c>
      <c r="AR37" s="5">
        <f>INDEX(Python0831!$B$1:$BV$49,MATCH($D37,Python0831!$A$1:$A$49,0),MATCH(AR$5,Python0831!$B$1:$BV$1,0))</f>
        <v>956682.66073292505</v>
      </c>
      <c r="AS37" s="328">
        <f>INDEX(Python0831!$B$1:$BV$49,MATCH($D37,Python0831!$A$1:$A$49,0),MATCH(AS$5,Python0831!$B$1:$BV$1,0))</f>
        <v>2.5000000000000001E-2</v>
      </c>
      <c r="AT37" s="5">
        <f>INDEX(Python0831!$B$1:$BV$49,MATCH($D37,Python0831!$A$1:$A$49,0),MATCH(AT$5,Python0831!$B$1:$BV$1,0))</f>
        <v>1993.15606936416</v>
      </c>
      <c r="AU37" s="7">
        <f>INDEX(Python0831!$B$1:$BV$49,MATCH($D37,Python0831!$A$1:$A$49,0),MATCH(AU$5,Python0831!$B$1:$BV$1,0))</f>
        <v>0.70469798657718097</v>
      </c>
      <c r="AV37" s="5">
        <f>INDEX(Python0831!$B$1:$BV$49,MATCH($D37,Python0831!$A$1:$A$49,0),MATCH(AV$5,Python0831!$B$1:$BV$1,0))</f>
        <v>4210.76</v>
      </c>
      <c r="AW37" s="5">
        <f>INDEX(Python0831!$B$1:$BV$49,MATCH($D37,Python0831!$A$1:$A$49,0),MATCH(AW$5,Python0831!$B$1:$BV$1,0))</f>
        <v>55.1415103965249</v>
      </c>
      <c r="AX37" s="5">
        <f>INDEX(Python0831!$B$1:$BV$49,MATCH($D37,Python0831!$A$1:$A$49,0),MATCH(AX$5,Python0831!$B$1:$BV$1,0))</f>
        <v>54.451772745526398</v>
      </c>
      <c r="AY37" s="329">
        <f>INDEX(Python0831!$B$1:$BV$49,MATCH($D37,Python0831!$A$1:$A$49,0),MATCH(AY$5,Python0831!$B$1:$BV$1,0))</f>
        <v>3.3E-3</v>
      </c>
      <c r="AZ37" s="5">
        <f>INDEX(Python0831!$B$1:$BV$49,MATCH($D37,Python0831!$A$1:$A$49,0),MATCH(AZ$5,Python0831!$B$1:$BV$1,0))</f>
        <v>78.5</v>
      </c>
      <c r="BA37" s="5">
        <f>INDEX(Python0831!$B$1:$BV$49,MATCH($D37,Python0831!$A$1:$A$49,0),MATCH(BA$5,Python0831!$B$1:$BV$1,0))</f>
        <v>67.750995245412895</v>
      </c>
      <c r="BB37" s="5">
        <f>INDEX(Python0831!$B$1:$BV$49,MATCH($D37,Python0831!$A$1:$A$49,0),MATCH(BB$5,Python0831!$B$1:$BV$1,0))</f>
        <v>52.542387828333801</v>
      </c>
      <c r="BC37" s="5">
        <f>INDEX(Python0831!$B$1:$BV$49,MATCH($D37,Python0831!$A$1:$A$49,0),MATCH(BC$5,Python0831!$B$1:$BV$1,0))</f>
        <v>5574.0312708595102</v>
      </c>
      <c r="BD37" s="5">
        <f>INDEX(Python0831!$B$1:$BV$49,MATCH($D37,Python0831!$A$1:$A$49,0),MATCH(BD$5,Python0831!$B$1:$BV$1,0))</f>
        <v>88.068681249780397</v>
      </c>
      <c r="BE37" s="5">
        <f>INDEX(Python0831!$B$1:$BV$49,MATCH($D37,Python0831!$A$1:$A$49,0),MATCH(BE$5,Python0831!$B$1:$BV$1,0))</f>
        <v>17.7381815955981</v>
      </c>
      <c r="BF37" s="5">
        <f>INDEX(Python0831!$B$1:$BV$49,MATCH($D37,Python0831!$A$1:$A$49,0),MATCH(BF$5,Python0831!$B$1:$BV$1,0))</f>
        <v>29.3387051484608</v>
      </c>
      <c r="BG37" s="5">
        <f>INDEX(Python0831!$B$1:$BV$49,MATCH($D37,Python0831!$A$1:$A$49,0),MATCH(BG$5,Python0831!$B$1:$BV$1,0))</f>
        <v>48.931212121212099</v>
      </c>
      <c r="BH37" s="327">
        <f>INDEX(Python0831!$B$1:$BV$49,MATCH($D37,Python0831!$A$1:$A$49,0),MATCH(BH$5,Python0831!$B$1:$BV$1,0))</f>
        <v>0.08</v>
      </c>
      <c r="BI37" s="327">
        <f>INDEX(Python0831!$B$1:$BV$49,MATCH($D37,Python0831!$A$1:$A$49,0),MATCH(BI$5,Python0831!$B$1:$BV$1,0))</f>
        <v>0.23619984556450299</v>
      </c>
      <c r="BJ37" s="5">
        <f>INDEX(Python0831!$B$1:$BV$49,MATCH($D37,Python0831!$A$1:$A$49,0),MATCH(BJ$5,Python0831!$B$1:$BV$1,0))</f>
        <v>44.5287245308309</v>
      </c>
      <c r="BK37" s="5">
        <f>INDEX(Python0831!$B$1:$BV$49,MATCH($D37,Python0831!$A$1:$A$49,0),MATCH(BK$5,Python0831!$B$1:$BV$1,0))</f>
        <v>8.1</v>
      </c>
      <c r="BL37" s="7">
        <f>INDEX(Python0831!$B$1:$BV$49,MATCH($D37,Python0831!$A$1:$A$49,0),MATCH(BL$5,Python0831!$B$1:$BV$1,0))</f>
        <v>0.81165714285714197</v>
      </c>
      <c r="BM37" s="5">
        <f>INDEX(Python0831!$B$1:$BV$49,MATCH($D37,Python0831!$A$1:$A$49,0),MATCH(BM$5,Python0831!$B$1:$BV$1,0))</f>
        <v>55.1</v>
      </c>
      <c r="BN37" s="5">
        <f>INDEX(Python0831!$B$1:$BV$49,MATCH($D37,Python0831!$A$1:$A$49,0),MATCH(BN$5,Python0831!$B$1:$BV$1,0))</f>
        <v>44.063778479531202</v>
      </c>
      <c r="BO37" s="5">
        <f>INDEX(Python0831!$B$1:$BV$49,MATCH($D37,Python0831!$A$1:$A$49,0),MATCH(BO$5,Python0831!$B$1:$BV$1,0))</f>
        <v>21.6773001803491</v>
      </c>
      <c r="BP37" s="5">
        <f>INDEX(Python0831!$B$1:$BV$49,MATCH($D37,Python0831!$A$1:$A$49,0),MATCH(BP$5,Python0831!$B$1:$BV$1,0))</f>
        <v>51</v>
      </c>
      <c r="BQ37" s="7">
        <f>INDEX(Python0831!$B$1:$BV$49,MATCH($D37,Python0831!$A$1:$A$49,0),MATCH(BQ$5,Python0831!$B$1:$BV$1,0))</f>
        <v>3.1982619313192302</v>
      </c>
      <c r="BR37" s="5">
        <f>INDEX(Python0831!$B$1:$BV$49,MATCH($D37,Python0831!$A$1:$A$49,0),MATCH(BR$5,Python0831!$B$1:$BV$1,0))</f>
        <v>42281641</v>
      </c>
      <c r="BS37" s="5">
        <f>INDEX(Python0831!$B$1:$BV$49,MATCH($D37,Python0831!$A$1:$A$49,0),MATCH(BS$5,Python0831!$B$1:$BV$1,0))</f>
        <v>324808</v>
      </c>
      <c r="BT37" s="8">
        <f>INDEX(Python0831!$B$1:$BV$49,MATCH($D37,Python0831!$A$1:$A$49,0),MATCH(BT$5,Python0831!$B$1:$BV$1,0))</f>
        <v>0.78622541887396202</v>
      </c>
      <c r="BU37" s="8">
        <f>INDEX(Python0831!$B$1:$BV$49,MATCH($D37,Python0831!$A$1:$A$49,0),MATCH(BU$5,Python0831!$B$1:$BV$1,0))</f>
        <v>0.26039999999999902</v>
      </c>
      <c r="BV37" s="5">
        <f>INDEX(Python0831!$B$1:$BV$49,MATCH($D37,Python0831!$A$1:$A$49,0),MATCH(BV$5,Python0831!$B$1:$BV$1,0))</f>
        <v>16</v>
      </c>
      <c r="BW37" s="5">
        <f>INDEX(Python0831!$B$1:$BV$49,MATCH($D37,Python0831!$A$1:$A$49,0),MATCH(BW$5,Python0831!$B$1:$BV$1,0))</f>
        <v>34.9</v>
      </c>
      <c r="BX37" s="382">
        <f>INDEX(Python0831!$B$1:$BV$49,MATCH($D37,Python0831!$A$1:$A$49,0),MATCH(BX$5,Python0831!$B$1:$BV$1,0))</f>
        <v>29.26829268292683</v>
      </c>
      <c r="BY37" s="5">
        <f>INDEX(Python0831!$B$1:$BV$49,MATCH($D37,Python0831!$A$1:$A$49,0),MATCH(BY$5,Python0831!$B$1:$BV$1,0))</f>
        <v>43.9500966279087</v>
      </c>
    </row>
    <row r="38" spans="1:77">
      <c r="A38" s="2">
        <v>33</v>
      </c>
      <c r="B38" s="58">
        <f>INDEX(順位表[Comprehensive],MATCH($C38,順位表['#],0))</f>
        <v>21</v>
      </c>
      <c r="C38" s="3">
        <v>33</v>
      </c>
      <c r="D38" s="1" t="str">
        <f>INDEX(都市マスタ[City Name],MATCH($C38,都市マスタ['#],0))</f>
        <v>Los Angeles</v>
      </c>
      <c r="E38" s="5">
        <f>INDEX(Python0831!$B$1:$BV$49,MATCH($D38,Python0831!$A$1:$A$49,0),MATCH(E$5,Python0831!$B$1:$BV$1,0))</f>
        <v>3849297</v>
      </c>
      <c r="F38" s="5">
        <f>INDEX(Python0831!$B$1:$BV$49,MATCH($D38,Python0831!$A$1:$A$49,0),MATCH(F$5,Python0831!$B$1:$BV$1,0))</f>
        <v>1215.9744051</v>
      </c>
      <c r="G38" s="7">
        <f>INDEX(Python0831!$B$1:$BV$49,MATCH($D38,Python0831!$A$1:$A$49,0),MATCH(G$5,Python0831!$B$1:$BV$1,0))</f>
        <v>1</v>
      </c>
      <c r="H38" s="5">
        <f>INDEX(Python0831!$B$1:$BV$49,MATCH($D38,Python0831!$A$1:$A$49,0),MATCH(H$5,Python0831!$B$1:$BV$1,0))</f>
        <v>325752.77138380398</v>
      </c>
      <c r="I38" s="5">
        <f>INDEX(Python0831!$B$1:$BV$49,MATCH($D38,Python0831!$A$1:$A$49,0),MATCH(I$5,Python0831!$B$1:$BV$1,0))</f>
        <v>84626.562040758305</v>
      </c>
      <c r="J38" s="328">
        <f>INDEX(Python0831!$B$1:$BV$49,MATCH($D38,Python0831!$A$1:$A$49,0),MATCH(J$5,Python0831!$B$1:$BV$1,0))</f>
        <v>2.22389152565323E-2</v>
      </c>
      <c r="K38" s="5">
        <f>INDEX(Python0831!$B$1:$BV$49,MATCH($D38,Python0831!$A$1:$A$49,0),MATCH(K$5,Python0831!$B$1:$BV$1,0))</f>
        <v>70.616666666666603</v>
      </c>
      <c r="L38" s="5">
        <f>INDEX(Python0831!$B$1:$BV$49,MATCH($D38,Python0831!$A$1:$A$49,0),MATCH(L$5,Python0831!$B$1:$BV$1,0))</f>
        <v>0</v>
      </c>
      <c r="M38" s="5">
        <f>INDEX(Python0831!$B$1:$BV$49,MATCH($D38,Python0831!$A$1:$A$49,0),MATCH(M$5,Python0831!$B$1:$BV$1,0))</f>
        <v>82722</v>
      </c>
      <c r="N38" s="5">
        <f>INDEX(Python0831!$B$1:$BV$49,MATCH($D38,Python0831!$A$1:$A$49,0),MATCH(N$5,Python0831!$B$1:$BV$1,0))</f>
        <v>2514429.4259705702</v>
      </c>
      <c r="O38" s="328">
        <f>INDEX(Python0831!$B$1:$BV$49,MATCH($D38,Python0831!$A$1:$A$49,0),MATCH(O$5,Python0831!$B$1:$BV$1,0))</f>
        <v>0.16370990402369501</v>
      </c>
      <c r="P38" s="5">
        <f>INDEX(Python0831!$B$1:$BV$49,MATCH($D38,Python0831!$A$1:$A$49,0),MATCH(P$5,Python0831!$B$1:$BV$1,0))</f>
        <v>87.039279069453897</v>
      </c>
      <c r="Q38" s="5">
        <f>INDEX(Python0831!$B$1:$BV$49,MATCH($D38,Python0831!$A$1:$A$49,0),MATCH(Q$5,Python0831!$B$1:$BV$1,0))</f>
        <v>86.255411255411204</v>
      </c>
      <c r="R38" s="5">
        <f>INDEX(Python0831!$B$1:$BV$49,MATCH($D38,Python0831!$A$1:$A$49,0),MATCH(R$5,Python0831!$B$1:$BV$1,0))</f>
        <v>42.401046945231201</v>
      </c>
      <c r="S38" s="327">
        <f>INDEX(Python0831!$B$1:$BV$49,MATCH($D38,Python0831!$A$1:$A$49,0),MATCH(S$5,Python0831!$B$1:$BV$1,0))</f>
        <v>0.27983599999999997</v>
      </c>
      <c r="T38" s="5">
        <f>INDEX(Python0831!$B$1:$BV$49,MATCH($D38,Python0831!$A$1:$A$49,0),MATCH(T$5,Python0831!$B$1:$BV$1,0))</f>
        <v>92.650342411677698</v>
      </c>
      <c r="U38" s="5">
        <f>INDEX(Python0831!$B$1:$BV$49,MATCH($D38,Python0831!$A$1:$A$49,0),MATCH(U$5,Python0831!$B$1:$BV$1,0))</f>
        <v>70291.731166197002</v>
      </c>
      <c r="V38" s="5">
        <f>INDEX(Python0831!$B$1:$BV$49,MATCH($D38,Python0831!$A$1:$A$49,0),MATCH(V$5,Python0831!$B$1:$BV$1,0))</f>
        <v>512</v>
      </c>
      <c r="W38" s="5">
        <f>INDEX(Python0831!$B$1:$BV$49,MATCH($D38,Python0831!$A$1:$A$49,0),MATCH(W$5,Python0831!$B$1:$BV$1,0))</f>
        <v>31111.129640377199</v>
      </c>
      <c r="X38" s="5">
        <f>INDEX(Python0831!$B$1:$BV$49,MATCH($D38,Python0831!$A$1:$A$49,0),MATCH(X$5,Python0831!$B$1:$BV$1,0))</f>
        <v>17217.36</v>
      </c>
      <c r="Y38" s="5">
        <f>INDEX(Python0831!$B$1:$BV$49,MATCH($D38,Python0831!$A$1:$A$49,0),MATCH(Y$5,Python0831!$B$1:$BV$1,0))</f>
        <v>495</v>
      </c>
      <c r="Z38" s="5">
        <f>INDEX(Python0831!$B$1:$BV$49,MATCH($D38,Python0831!$A$1:$A$49,0),MATCH(Z$5,Python0831!$B$1:$BV$1,0))</f>
        <v>13351.164000175901</v>
      </c>
      <c r="AA38" s="7">
        <f>INDEX(Python0831!$B$1:$BV$49,MATCH($D38,Python0831!$A$1:$A$49,0),MATCH(AA$5,Python0831!$B$1:$BV$1,0))</f>
        <v>6.1</v>
      </c>
      <c r="AB38" s="5">
        <f>INDEX(Python0831!$B$1:$BV$49,MATCH($D38,Python0831!$A$1:$A$49,0),MATCH(AB$5,Python0831!$B$1:$BV$1,0))</f>
        <v>620.33333333333303</v>
      </c>
      <c r="AC38" s="5">
        <f>INDEX(Python0831!$B$1:$BV$49,MATCH($D38,Python0831!$A$1:$A$49,0),MATCH(AC$5,Python0831!$B$1:$BV$1,0))</f>
        <v>4</v>
      </c>
      <c r="AD38" s="5">
        <f>INDEX(Python0831!$B$1:$BV$49,MATCH($D38,Python0831!$A$1:$A$49,0),MATCH(AD$5,Python0831!$B$1:$BV$1,0))</f>
        <v>25</v>
      </c>
      <c r="AE38" s="5">
        <f>INDEX(Python0831!$B$1:$BV$49,MATCH($D38,Python0831!$A$1:$A$49,0),MATCH(AE$5,Python0831!$B$1:$BV$1,0))</f>
        <v>48.954492667280299</v>
      </c>
      <c r="AF38" s="5">
        <f>INDEX(Python0831!$B$1:$BV$49,MATCH($D38,Python0831!$A$1:$A$49,0),MATCH(AF$5,Python0831!$B$1:$BV$1,0))</f>
        <v>24.087092230524</v>
      </c>
      <c r="AG38" s="5">
        <f>INDEX(Python0831!$B$1:$BV$49,MATCH($D38,Python0831!$A$1:$A$49,0),MATCH(AG$5,Python0831!$B$1:$BV$1,0))</f>
        <v>41.713668448972101</v>
      </c>
      <c r="AH38" s="5">
        <f>INDEX(Python0831!$B$1:$BV$49,MATCH($D38,Python0831!$A$1:$A$49,0),MATCH(AH$5,Python0831!$B$1:$BV$1,0))</f>
        <v>0.25</v>
      </c>
      <c r="AI38" s="5">
        <f>INDEX(Python0831!$B$1:$BV$49,MATCH($D38,Python0831!$A$1:$A$49,0),MATCH(AI$5,Python0831!$B$1:$BV$1,0))</f>
        <v>29.1893710350638</v>
      </c>
      <c r="AJ38" s="5">
        <f>INDEX(Python0831!$B$1:$BV$49,MATCH($D38,Python0831!$A$1:$A$49,0),MATCH(AJ$5,Python0831!$B$1:$BV$1,0))</f>
        <v>72</v>
      </c>
      <c r="AK38" s="5">
        <f>INDEX(Python0831!$B$1:$BV$49,MATCH($D38,Python0831!$A$1:$A$49,0),MATCH(AK$5,Python0831!$B$1:$BV$1,0))</f>
        <v>63</v>
      </c>
      <c r="AL38" s="5">
        <f>INDEX(Python0831!$B$1:$BV$49,MATCH($D38,Python0831!$A$1:$A$49,0),MATCH(AL$5,Python0831!$B$1:$BV$1,0))</f>
        <v>4</v>
      </c>
      <c r="AM38" s="5">
        <f>INDEX(Python0831!$B$1:$BV$49,MATCH($D38,Python0831!$A$1:$A$49,0),MATCH(AM$5,Python0831!$B$1:$BV$1,0))</f>
        <v>19681</v>
      </c>
      <c r="AN38" s="5">
        <f>INDEX(Python0831!$B$1:$BV$49,MATCH($D38,Python0831!$A$1:$A$49,0),MATCH(AN$5,Python0831!$B$1:$BV$1,0))</f>
        <v>428</v>
      </c>
      <c r="AO38" s="5">
        <f>INDEX(Python0831!$B$1:$BV$49,MATCH($D38,Python0831!$A$1:$A$49,0),MATCH(AO$5,Python0831!$B$1:$BV$1,0))</f>
        <v>32.041502719855401</v>
      </c>
      <c r="AP38" s="5">
        <f>INDEX(Python0831!$B$1:$BV$49,MATCH($D38,Python0831!$A$1:$A$49,0),MATCH(AP$5,Python0831!$B$1:$BV$1,0))</f>
        <v>28.9986471983377</v>
      </c>
      <c r="AQ38" s="5">
        <f>INDEX(Python0831!$B$1:$BV$49,MATCH($D38,Python0831!$A$1:$A$49,0),MATCH(AQ$5,Python0831!$B$1:$BV$1,0))</f>
        <v>679091</v>
      </c>
      <c r="AR38" s="5">
        <f>INDEX(Python0831!$B$1:$BV$49,MATCH($D38,Python0831!$A$1:$A$49,0),MATCH(AR$5,Python0831!$B$1:$BV$1,0))</f>
        <v>1304774.6663021401</v>
      </c>
      <c r="AS38" s="328">
        <f>INDEX(Python0831!$B$1:$BV$49,MATCH($D38,Python0831!$A$1:$A$49,0),MATCH(AS$5,Python0831!$B$1:$BV$1,0))</f>
        <v>0.05</v>
      </c>
      <c r="AT38" s="5">
        <f>INDEX(Python0831!$B$1:$BV$49,MATCH($D38,Python0831!$A$1:$A$49,0),MATCH(AT$5,Python0831!$B$1:$BV$1,0))</f>
        <v>2019.6563802219</v>
      </c>
      <c r="AU38" s="7">
        <f>INDEX(Python0831!$B$1:$BV$49,MATCH($D38,Python0831!$A$1:$A$49,0),MATCH(AU$5,Python0831!$B$1:$BV$1,0))</f>
        <v>0.430379746835443</v>
      </c>
      <c r="AV38" s="5">
        <f>INDEX(Python0831!$B$1:$BV$49,MATCH($D38,Python0831!$A$1:$A$49,0),MATCH(AV$5,Python0831!$B$1:$BV$1,0))</f>
        <v>3283.1025</v>
      </c>
      <c r="AW38" s="5">
        <f>INDEX(Python0831!$B$1:$BV$49,MATCH($D38,Python0831!$A$1:$A$49,0),MATCH(AW$5,Python0831!$B$1:$BV$1,0))</f>
        <v>52.893799325968502</v>
      </c>
      <c r="AX38" s="5">
        <f>INDEX(Python0831!$B$1:$BV$49,MATCH($D38,Python0831!$A$1:$A$49,0),MATCH(AX$5,Python0831!$B$1:$BV$1,0))</f>
        <v>87.737124576968299</v>
      </c>
      <c r="AY38" s="329">
        <f>INDEX(Python0831!$B$1:$BV$49,MATCH($D38,Python0831!$A$1:$A$49,0),MATCH(AY$5,Python0831!$B$1:$BV$1,0))</f>
        <v>5.3E-3</v>
      </c>
      <c r="AZ38" s="5">
        <f>INDEX(Python0831!$B$1:$BV$49,MATCH($D38,Python0831!$A$1:$A$49,0),MATCH(AZ$5,Python0831!$B$1:$BV$1,0))</f>
        <v>78.5</v>
      </c>
      <c r="BA38" s="5">
        <f>INDEX(Python0831!$B$1:$BV$49,MATCH($D38,Python0831!$A$1:$A$49,0),MATCH(BA$5,Python0831!$B$1:$BV$1,0))</f>
        <v>67.750995245412895</v>
      </c>
      <c r="BB38" s="5">
        <f>INDEX(Python0831!$B$1:$BV$49,MATCH($D38,Python0831!$A$1:$A$49,0),MATCH(BB$5,Python0831!$B$1:$BV$1,0))</f>
        <v>52.542387828333801</v>
      </c>
      <c r="BC38" s="5">
        <f>INDEX(Python0831!$B$1:$BV$49,MATCH($D38,Python0831!$A$1:$A$49,0),MATCH(BC$5,Python0831!$B$1:$BV$1,0))</f>
        <v>3250.65722434188</v>
      </c>
      <c r="BD38" s="5">
        <f>INDEX(Python0831!$B$1:$BV$49,MATCH($D38,Python0831!$A$1:$A$49,0),MATCH(BD$5,Python0831!$B$1:$BV$1,0))</f>
        <v>88.068681249780397</v>
      </c>
      <c r="BE38" s="5">
        <f>INDEX(Python0831!$B$1:$BV$49,MATCH($D38,Python0831!$A$1:$A$49,0),MATCH(BE$5,Python0831!$B$1:$BV$1,0))</f>
        <v>25.192874912915801</v>
      </c>
      <c r="BF38" s="5">
        <f>INDEX(Python0831!$B$1:$BV$49,MATCH($D38,Python0831!$A$1:$A$49,0),MATCH(BF$5,Python0831!$B$1:$BV$1,0))</f>
        <v>34.431700304223398</v>
      </c>
      <c r="BG38" s="5">
        <f>INDEX(Python0831!$B$1:$BV$49,MATCH($D38,Python0831!$A$1:$A$49,0),MATCH(BG$5,Python0831!$B$1:$BV$1,0))</f>
        <v>45.5818181818181</v>
      </c>
      <c r="BH38" s="327">
        <f>INDEX(Python0831!$B$1:$BV$49,MATCH($D38,Python0831!$A$1:$A$49,0),MATCH(BH$5,Python0831!$B$1:$BV$1,0))</f>
        <v>0.08</v>
      </c>
      <c r="BI38" s="327">
        <f>INDEX(Python0831!$B$1:$BV$49,MATCH($D38,Python0831!$A$1:$A$49,0),MATCH(BI$5,Python0831!$B$1:$BV$1,0))</f>
        <v>0.23619984556450299</v>
      </c>
      <c r="BJ38" s="5">
        <f>INDEX(Python0831!$B$1:$BV$49,MATCH($D38,Python0831!$A$1:$A$49,0),MATCH(BJ$5,Python0831!$B$1:$BV$1,0))</f>
        <v>16.5296494113839</v>
      </c>
      <c r="BK38" s="5">
        <f>INDEX(Python0831!$B$1:$BV$49,MATCH($D38,Python0831!$A$1:$A$49,0),MATCH(BK$5,Python0831!$B$1:$BV$1,0))</f>
        <v>10.5</v>
      </c>
      <c r="BL38" s="7">
        <f>INDEX(Python0831!$B$1:$BV$49,MATCH($D38,Python0831!$A$1:$A$49,0),MATCH(BL$5,Python0831!$B$1:$BV$1,0))</f>
        <v>0.48710340104998801</v>
      </c>
      <c r="BM38" s="5">
        <f>INDEX(Python0831!$B$1:$BV$49,MATCH($D38,Python0831!$A$1:$A$49,0),MATCH(BM$5,Python0831!$B$1:$BV$1,0))</f>
        <v>39.1</v>
      </c>
      <c r="BN38" s="5">
        <f>INDEX(Python0831!$B$1:$BV$49,MATCH($D38,Python0831!$A$1:$A$49,0),MATCH(BN$5,Python0831!$B$1:$BV$1,0))</f>
        <v>30.177702159317001</v>
      </c>
      <c r="BO38" s="5">
        <f>INDEX(Python0831!$B$1:$BV$49,MATCH($D38,Python0831!$A$1:$A$49,0),MATCH(BO$5,Python0831!$B$1:$BV$1,0))</f>
        <v>26.846238245584502</v>
      </c>
      <c r="BP38" s="5">
        <f>INDEX(Python0831!$B$1:$BV$49,MATCH($D38,Python0831!$A$1:$A$49,0),MATCH(BP$5,Python0831!$B$1:$BV$1,0))</f>
        <v>74</v>
      </c>
      <c r="BQ38" s="7">
        <f>INDEX(Python0831!$B$1:$BV$49,MATCH($D38,Python0831!$A$1:$A$49,0),MATCH(BQ$5,Python0831!$B$1:$BV$1,0))</f>
        <v>29.306094968582599</v>
      </c>
      <c r="BR38" s="5">
        <f>INDEX(Python0831!$B$1:$BV$49,MATCH($D38,Python0831!$A$1:$A$49,0),MATCH(BR$5,Python0831!$B$1:$BV$1,0))</f>
        <v>65924298</v>
      </c>
      <c r="BS38" s="5">
        <f>INDEX(Python0831!$B$1:$BV$49,MATCH($D38,Python0831!$A$1:$A$49,0),MATCH(BS$5,Python0831!$B$1:$BV$1,0))</f>
        <v>484337</v>
      </c>
      <c r="BT38" s="8">
        <f>INDEX(Python0831!$B$1:$BV$49,MATCH($D38,Python0831!$A$1:$A$49,0),MATCH(BT$5,Python0831!$B$1:$BV$1,0))</f>
        <v>0.143239448782705</v>
      </c>
      <c r="BU38" s="8">
        <f>INDEX(Python0831!$B$1:$BV$49,MATCH($D38,Python0831!$A$1:$A$49,0),MATCH(BU$5,Python0831!$B$1:$BV$1,0))</f>
        <v>3.3488674542104697E-2</v>
      </c>
      <c r="BV38" s="5">
        <f>INDEX(Python0831!$B$1:$BV$49,MATCH($D38,Python0831!$A$1:$A$49,0),MATCH(BV$5,Python0831!$B$1:$BV$1,0))</f>
        <v>35</v>
      </c>
      <c r="BW38" s="5">
        <f>INDEX(Python0831!$B$1:$BV$49,MATCH($D38,Python0831!$A$1:$A$49,0),MATCH(BW$5,Python0831!$B$1:$BV$1,0))</f>
        <v>42.097499999999997</v>
      </c>
      <c r="BX38" s="382">
        <f>INDEX(Python0831!$B$1:$BV$49,MATCH($D38,Python0831!$A$1:$A$49,0),MATCH(BX$5,Python0831!$B$1:$BV$1,0))</f>
        <v>41.379310344827587</v>
      </c>
      <c r="BY38" s="5">
        <f>INDEX(Python0831!$B$1:$BV$49,MATCH($D38,Python0831!$A$1:$A$49,0),MATCH(BY$5,Python0831!$B$1:$BV$1,0))</f>
        <v>42.826642484542198</v>
      </c>
    </row>
    <row r="39" spans="1:77">
      <c r="A39" s="2">
        <v>34</v>
      </c>
      <c r="B39" s="58">
        <f>INDEX(順位表[Comprehensive],MATCH($C39,順位表['#],0))</f>
        <v>43</v>
      </c>
      <c r="C39" s="3">
        <v>34</v>
      </c>
      <c r="D39" s="1" t="str">
        <f>INDEX(都市マスタ[City Name],MATCH($C39,都市マスタ['#],0))</f>
        <v>Mexico City</v>
      </c>
      <c r="E39" s="5">
        <f>INDEX(Python0831!$B$1:$BV$49,MATCH($D39,Python0831!$A$1:$A$49,0),MATCH(E$5,Python0831!$B$1:$BV$1,0))</f>
        <v>9310964</v>
      </c>
      <c r="F39" s="5">
        <f>INDEX(Python0831!$B$1:$BV$49,MATCH($D39,Python0831!$A$1:$A$49,0),MATCH(F$5,Python0831!$B$1:$BV$1,0))</f>
        <v>1494.3</v>
      </c>
      <c r="G39" s="7">
        <f>INDEX(Python0831!$B$1:$BV$49,MATCH($D39,Python0831!$A$1:$A$49,0),MATCH(G$5,Python0831!$B$1:$BV$1,0))</f>
        <v>20.11</v>
      </c>
      <c r="H39" s="5">
        <f>INDEX(Python0831!$B$1:$BV$49,MATCH($D39,Python0831!$A$1:$A$49,0),MATCH(H$5,Python0831!$B$1:$BV$1,0))</f>
        <v>182492.90080851901</v>
      </c>
      <c r="I39" s="5">
        <f>INDEX(Python0831!$B$1:$BV$49,MATCH($D39,Python0831!$A$1:$A$49,0),MATCH(I$5,Python0831!$B$1:$BV$1,0))</f>
        <v>19711.575574422401</v>
      </c>
      <c r="J39" s="328">
        <f>INDEX(Python0831!$B$1:$BV$49,MATCH($D39,Python0831!$A$1:$A$49,0),MATCH(J$5,Python0831!$B$1:$BV$1,0))</f>
        <v>1.9958661668764099E-2</v>
      </c>
      <c r="K39" s="5">
        <f>INDEX(Python0831!$B$1:$BV$49,MATCH($D39,Python0831!$A$1:$A$49,0),MATCH(K$5,Python0831!$B$1:$BV$1,0))</f>
        <v>63.191666666666599</v>
      </c>
      <c r="L39" s="5">
        <f>INDEX(Python0831!$B$1:$BV$49,MATCH($D39,Python0831!$A$1:$A$49,0),MATCH(L$5,Python0831!$B$1:$BV$1,0))</f>
        <v>454370.43</v>
      </c>
      <c r="M39" s="5">
        <f>INDEX(Python0831!$B$1:$BV$49,MATCH($D39,Python0831!$A$1:$A$49,0),MATCH(M$5,Python0831!$B$1:$BV$1,0))</f>
        <v>42724.3</v>
      </c>
      <c r="N39" s="5">
        <f>INDEX(Python0831!$B$1:$BV$49,MATCH($D39,Python0831!$A$1:$A$49,0),MATCH(N$5,Python0831!$B$1:$BV$1,0))</f>
        <v>4385718</v>
      </c>
      <c r="O39" s="328">
        <f>INDEX(Python0831!$B$1:$BV$49,MATCH($D39,Python0831!$A$1:$A$49,0),MATCH(O$5,Python0831!$B$1:$BV$1,0))</f>
        <v>7.74898052425705E-2</v>
      </c>
      <c r="P39" s="5">
        <f>INDEX(Python0831!$B$1:$BV$49,MATCH($D39,Python0831!$A$1:$A$49,0),MATCH(P$5,Python0831!$B$1:$BV$1,0))</f>
        <v>6.3799618288504796</v>
      </c>
      <c r="Q39" s="5">
        <f>INDEX(Python0831!$B$1:$BV$49,MATCH($D39,Python0831!$A$1:$A$49,0),MATCH(Q$5,Python0831!$B$1:$BV$1,0))</f>
        <v>18.842971369297999</v>
      </c>
      <c r="R39" s="5">
        <f>INDEX(Python0831!$B$1:$BV$49,MATCH($D39,Python0831!$A$1:$A$49,0),MATCH(R$5,Python0831!$B$1:$BV$1,0))</f>
        <v>18.811602625531101</v>
      </c>
      <c r="S39" s="327">
        <f>INDEX(Python0831!$B$1:$BV$49,MATCH($D39,Python0831!$A$1:$A$49,0),MATCH(S$5,Python0831!$B$1:$BV$1,0))</f>
        <v>0.3</v>
      </c>
      <c r="T39" s="5">
        <f>INDEX(Python0831!$B$1:$BV$49,MATCH($D39,Python0831!$A$1:$A$49,0),MATCH(T$5,Python0831!$B$1:$BV$1,0))</f>
        <v>63.449642309919099</v>
      </c>
      <c r="U39" s="5">
        <f>INDEX(Python0831!$B$1:$BV$49,MATCH($D39,Python0831!$A$1:$A$49,0),MATCH(U$5,Python0831!$B$1:$BV$1,0))</f>
        <v>3524.10897529876</v>
      </c>
      <c r="V39" s="5">
        <f>INDEX(Python0831!$B$1:$BV$49,MATCH($D39,Python0831!$A$1:$A$49,0),MATCH(V$5,Python0831!$B$1:$BV$1,0))</f>
        <v>0</v>
      </c>
      <c r="W39" s="5">
        <f>INDEX(Python0831!$B$1:$BV$49,MATCH($D39,Python0831!$A$1:$A$49,0),MATCH(W$5,Python0831!$B$1:$BV$1,0))</f>
        <v>255.56794776836301</v>
      </c>
      <c r="X39" s="5">
        <f>INDEX(Python0831!$B$1:$BV$49,MATCH($D39,Python0831!$A$1:$A$49,0),MATCH(X$5,Python0831!$B$1:$BV$1,0))</f>
        <v>0</v>
      </c>
      <c r="Y39" s="5">
        <f>INDEX(Python0831!$B$1:$BV$49,MATCH($D39,Python0831!$A$1:$A$49,0),MATCH(Y$5,Python0831!$B$1:$BV$1,0))</f>
        <v>416</v>
      </c>
      <c r="Z39" s="5">
        <f>INDEX(Python0831!$B$1:$BV$49,MATCH($D39,Python0831!$A$1:$A$49,0),MATCH(Z$5,Python0831!$B$1:$BV$1,0))</f>
        <v>647.88550875903297</v>
      </c>
      <c r="AA39" s="7">
        <f>INDEX(Python0831!$B$1:$BV$49,MATCH($D39,Python0831!$A$1:$A$49,0),MATCH(AA$5,Python0831!$B$1:$BV$1,0))</f>
        <v>0</v>
      </c>
      <c r="AB39" s="5">
        <f>INDEX(Python0831!$B$1:$BV$49,MATCH($D39,Python0831!$A$1:$A$49,0),MATCH(AB$5,Python0831!$B$1:$BV$1,0))</f>
        <v>90.3333333333333</v>
      </c>
      <c r="AC39" s="5">
        <f>INDEX(Python0831!$B$1:$BV$49,MATCH($D39,Python0831!$A$1:$A$49,0),MATCH(AC$5,Python0831!$B$1:$BV$1,0))</f>
        <v>11</v>
      </c>
      <c r="AD39" s="5">
        <f>INDEX(Python0831!$B$1:$BV$49,MATCH($D39,Python0831!$A$1:$A$49,0),MATCH(AD$5,Python0831!$B$1:$BV$1,0))</f>
        <v>7.8125</v>
      </c>
      <c r="AE39" s="5">
        <f>INDEX(Python0831!$B$1:$BV$49,MATCH($D39,Python0831!$A$1:$A$49,0),MATCH(AE$5,Python0831!$B$1:$BV$1,0))</f>
        <v>3.91462843933241</v>
      </c>
      <c r="AF39" s="5">
        <f>INDEX(Python0831!$B$1:$BV$49,MATCH($D39,Python0831!$A$1:$A$49,0),MATCH(AF$5,Python0831!$B$1:$BV$1,0))</f>
        <v>6.6200327377020498</v>
      </c>
      <c r="AG39" s="5">
        <f>INDEX(Python0831!$B$1:$BV$49,MATCH($D39,Python0831!$A$1:$A$49,0),MATCH(AG$5,Python0831!$B$1:$BV$1,0))</f>
        <v>55.511935560062597</v>
      </c>
      <c r="AH39" s="5">
        <f>INDEX(Python0831!$B$1:$BV$49,MATCH($D39,Python0831!$A$1:$A$49,0),MATCH(AH$5,Python0831!$B$1:$BV$1,0))</f>
        <v>13</v>
      </c>
      <c r="AI39" s="5">
        <f>INDEX(Python0831!$B$1:$BV$49,MATCH($D39,Python0831!$A$1:$A$49,0),MATCH(AI$5,Python0831!$B$1:$BV$1,0))</f>
        <v>44.277046368897501</v>
      </c>
      <c r="AJ39" s="5">
        <f>INDEX(Python0831!$B$1:$BV$49,MATCH($D39,Python0831!$A$1:$A$49,0),MATCH(AJ$5,Python0831!$B$1:$BV$1,0))</f>
        <v>62.5</v>
      </c>
      <c r="AK39" s="5">
        <f>INDEX(Python0831!$B$1:$BV$49,MATCH($D39,Python0831!$A$1:$A$49,0),MATCH(AK$5,Python0831!$B$1:$BV$1,0))</f>
        <v>126</v>
      </c>
      <c r="AL39" s="5">
        <f>INDEX(Python0831!$B$1:$BV$49,MATCH($D39,Python0831!$A$1:$A$49,0),MATCH(AL$5,Python0831!$B$1:$BV$1,0))</f>
        <v>10</v>
      </c>
      <c r="AM39" s="5">
        <f>INDEX(Python0831!$B$1:$BV$49,MATCH($D39,Python0831!$A$1:$A$49,0),MATCH(AM$5,Python0831!$B$1:$BV$1,0))</f>
        <v>36981</v>
      </c>
      <c r="AN39" s="5">
        <f>INDEX(Python0831!$B$1:$BV$49,MATCH($D39,Python0831!$A$1:$A$49,0),MATCH(AN$5,Python0831!$B$1:$BV$1,0))</f>
        <v>2196</v>
      </c>
      <c r="AO39" s="5">
        <f>INDEX(Python0831!$B$1:$BV$49,MATCH($D39,Python0831!$A$1:$A$49,0),MATCH(AO$5,Python0831!$B$1:$BV$1,0))</f>
        <v>51.617737896952399</v>
      </c>
      <c r="AP39" s="5">
        <f>INDEX(Python0831!$B$1:$BV$49,MATCH($D39,Python0831!$A$1:$A$49,0),MATCH(AP$5,Python0831!$B$1:$BV$1,0))</f>
        <v>58.3333333333333</v>
      </c>
      <c r="AQ39" s="5">
        <f>INDEX(Python0831!$B$1:$BV$49,MATCH($D39,Python0831!$A$1:$A$49,0),MATCH(AQ$5,Python0831!$B$1:$BV$1,0))</f>
        <v>104629</v>
      </c>
      <c r="AR39" s="5">
        <f>INDEX(Python0831!$B$1:$BV$49,MATCH($D39,Python0831!$A$1:$A$49,0),MATCH(AR$5,Python0831!$B$1:$BV$1,0))</f>
        <v>3210003</v>
      </c>
      <c r="AS39" s="328">
        <f>INDEX(Python0831!$B$1:$BV$49,MATCH($D39,Python0831!$A$1:$A$49,0),MATCH(AS$5,Python0831!$B$1:$BV$1,0))</f>
        <v>5.2535309789272497E-2</v>
      </c>
      <c r="AT39" s="5">
        <f>INDEX(Python0831!$B$1:$BV$49,MATCH($D39,Python0831!$A$1:$A$49,0),MATCH(AT$5,Python0831!$B$1:$BV$1,0))</f>
        <v>2751.2950034116998</v>
      </c>
      <c r="AU39" s="7">
        <f>INDEX(Python0831!$B$1:$BV$49,MATCH($D39,Python0831!$A$1:$A$49,0),MATCH(AU$5,Python0831!$B$1:$BV$1,0))</f>
        <v>0.53191489361702105</v>
      </c>
      <c r="AV39" s="5">
        <f>INDEX(Python0831!$B$1:$BV$49,MATCH($D39,Python0831!$A$1:$A$49,0),MATCH(AV$5,Python0831!$B$1:$BV$1,0))</f>
        <v>880.99499605600397</v>
      </c>
      <c r="AW39" s="5">
        <f>INDEX(Python0831!$B$1:$BV$49,MATCH($D39,Python0831!$A$1:$A$49,0),MATCH(AW$5,Python0831!$B$1:$BV$1,0))</f>
        <v>13.602577463888201</v>
      </c>
      <c r="AX39" s="5">
        <f>INDEX(Python0831!$B$1:$BV$49,MATCH($D39,Python0831!$A$1:$A$49,0),MATCH(AX$5,Python0831!$B$1:$BV$1,0))</f>
        <v>149.175820620276</v>
      </c>
      <c r="AY39" s="329">
        <f>INDEX(Python0831!$B$1:$BV$49,MATCH($D39,Python0831!$A$1:$A$49,0),MATCH(AY$5,Python0831!$B$1:$BV$1,0))</f>
        <v>1.09E-2</v>
      </c>
      <c r="AZ39" s="5">
        <f>INDEX(Python0831!$B$1:$BV$49,MATCH($D39,Python0831!$A$1:$A$49,0),MATCH(AZ$5,Python0831!$B$1:$BV$1,0))</f>
        <v>76</v>
      </c>
      <c r="BA39" s="5">
        <f>INDEX(Python0831!$B$1:$BV$49,MATCH($D39,Python0831!$A$1:$A$49,0),MATCH(BA$5,Python0831!$B$1:$BV$1,0))</f>
        <v>39.223567825761798</v>
      </c>
      <c r="BB39" s="5">
        <f>INDEX(Python0831!$B$1:$BV$49,MATCH($D39,Python0831!$A$1:$A$49,0),MATCH(BB$5,Python0831!$B$1:$BV$1,0))</f>
        <v>12.0349471674154</v>
      </c>
      <c r="BC39" s="5">
        <f>INDEX(Python0831!$B$1:$BV$49,MATCH($D39,Python0831!$A$1:$A$49,0),MATCH(BC$5,Python0831!$B$1:$BV$1,0))</f>
        <v>2855.2222537590201</v>
      </c>
      <c r="BD39" s="5">
        <f>INDEX(Python0831!$B$1:$BV$49,MATCH($D39,Python0831!$A$1:$A$49,0),MATCH(BD$5,Python0831!$B$1:$BV$1,0))</f>
        <v>50.914141417675701</v>
      </c>
      <c r="BE39" s="5">
        <f>INDEX(Python0831!$B$1:$BV$49,MATCH($D39,Python0831!$A$1:$A$49,0),MATCH(BE$5,Python0831!$B$1:$BV$1,0))</f>
        <v>45.953011667913103</v>
      </c>
      <c r="BF39" s="5">
        <f>INDEX(Python0831!$B$1:$BV$49,MATCH($D39,Python0831!$A$1:$A$49,0),MATCH(BF$5,Python0831!$B$1:$BV$1,0))</f>
        <v>25.338857805215401</v>
      </c>
      <c r="BG39" s="5">
        <f>INDEX(Python0831!$B$1:$BV$49,MATCH($D39,Python0831!$A$1:$A$49,0),MATCH(BG$5,Python0831!$B$1:$BV$1,0))</f>
        <v>43.893939393939299</v>
      </c>
      <c r="BH39" s="327">
        <f>INDEX(Python0831!$B$1:$BV$49,MATCH($D39,Python0831!$A$1:$A$49,0),MATCH(BH$5,Python0831!$B$1:$BV$1,0))</f>
        <v>9.2200000000000004E-2</v>
      </c>
      <c r="BI39" s="327">
        <f>INDEX(Python0831!$B$1:$BV$49,MATCH($D39,Python0831!$A$1:$A$49,0),MATCH(BI$5,Python0831!$B$1:$BV$1,0))</f>
        <v>0.1</v>
      </c>
      <c r="BJ39" s="5">
        <f>INDEX(Python0831!$B$1:$BV$49,MATCH($D39,Python0831!$A$1:$A$49,0),MATCH(BJ$5,Python0831!$B$1:$BV$1,0))</f>
        <v>6.2663847557737897</v>
      </c>
      <c r="BK39" s="5">
        <f>INDEX(Python0831!$B$1:$BV$49,MATCH($D39,Python0831!$A$1:$A$49,0),MATCH(BK$5,Python0831!$B$1:$BV$1,0))</f>
        <v>22.1</v>
      </c>
      <c r="BL39" s="7">
        <f>INDEX(Python0831!$B$1:$BV$49,MATCH($D39,Python0831!$A$1:$A$49,0),MATCH(BL$5,Python0831!$B$1:$BV$1,0))</f>
        <v>0.49586801876797298</v>
      </c>
      <c r="BM39" s="5">
        <f>INDEX(Python0831!$B$1:$BV$49,MATCH($D39,Python0831!$A$1:$A$49,0),MATCH(BM$5,Python0831!$B$1:$BV$1,0))</f>
        <v>32.4</v>
      </c>
      <c r="BN39" s="5">
        <f>INDEX(Python0831!$B$1:$BV$49,MATCH($D39,Python0831!$A$1:$A$49,0),MATCH(BN$5,Python0831!$B$1:$BV$1,0))</f>
        <v>55.560733633488802</v>
      </c>
      <c r="BO39" s="5">
        <f>INDEX(Python0831!$B$1:$BV$49,MATCH($D39,Python0831!$A$1:$A$49,0),MATCH(BO$5,Python0831!$B$1:$BV$1,0))</f>
        <v>30.655206687596799</v>
      </c>
      <c r="BP39" s="5">
        <f>INDEX(Python0831!$B$1:$BV$49,MATCH($D39,Python0831!$A$1:$A$49,0),MATCH(BP$5,Python0831!$B$1:$BV$1,0))</f>
        <v>58.000000000000497</v>
      </c>
      <c r="BQ39" s="7">
        <f>INDEX(Python0831!$B$1:$BV$49,MATCH($D39,Python0831!$A$1:$A$49,0),MATCH(BQ$5,Python0831!$B$1:$BV$1,0))</f>
        <v>5.56913044966897</v>
      </c>
      <c r="BR39" s="5">
        <f>INDEX(Python0831!$B$1:$BV$49,MATCH($D39,Python0831!$A$1:$A$49,0),MATCH(BR$5,Python0831!$B$1:$BV$1,0))</f>
        <v>46258521</v>
      </c>
      <c r="BS39" s="5">
        <f>INDEX(Python0831!$B$1:$BV$49,MATCH($D39,Python0831!$A$1:$A$49,0),MATCH(BS$5,Python0831!$B$1:$BV$1,0))</f>
        <v>357324</v>
      </c>
      <c r="BT39" s="8">
        <f>INDEX(Python0831!$B$1:$BV$49,MATCH($D39,Python0831!$A$1:$A$49,0),MATCH(BT$5,Python0831!$B$1:$BV$1,0))</f>
        <v>0.47109863155200998</v>
      </c>
      <c r="BU39" s="8">
        <f>INDEX(Python0831!$B$1:$BV$49,MATCH($D39,Python0831!$A$1:$A$49,0),MATCH(BU$5,Python0831!$B$1:$BV$1,0))</f>
        <v>0.204238921001926</v>
      </c>
      <c r="BV39" s="5">
        <f>INDEX(Python0831!$B$1:$BV$49,MATCH($D39,Python0831!$A$1:$A$49,0),MATCH(BV$5,Python0831!$B$1:$BV$1,0))</f>
        <v>20</v>
      </c>
      <c r="BW39" s="5">
        <f>INDEX(Python0831!$B$1:$BV$49,MATCH($D39,Python0831!$A$1:$A$49,0),MATCH(BW$5,Python0831!$B$1:$BV$1,0))</f>
        <v>46.352499999999999</v>
      </c>
      <c r="BX39" s="382">
        <f>INDEX(Python0831!$B$1:$BV$49,MATCH($D39,Python0831!$A$1:$A$49,0),MATCH(BX$5,Python0831!$B$1:$BV$1,0))</f>
        <v>23.376623376623378</v>
      </c>
      <c r="BY39" s="5">
        <f>INDEX(Python0831!$B$1:$BV$49,MATCH($D39,Python0831!$A$1:$A$49,0),MATCH(BY$5,Python0831!$B$1:$BV$1,0))</f>
        <v>55.642156509165702</v>
      </c>
    </row>
    <row r="40" spans="1:77">
      <c r="A40" s="2">
        <v>35</v>
      </c>
      <c r="B40" s="58">
        <f>INDEX(順位表[Comprehensive],MATCH($C40,順位表['#],0))</f>
        <v>25</v>
      </c>
      <c r="C40" s="3">
        <v>35</v>
      </c>
      <c r="D40" s="1" t="str">
        <f>INDEX(都市マスタ[City Name],MATCH($C40,都市マスタ['#],0))</f>
        <v>Chicago</v>
      </c>
      <c r="E40" s="5">
        <f>INDEX(Python0831!$B$1:$BV$49,MATCH($D40,Python0831!$A$1:$A$49,0),MATCH(E$5,Python0831!$B$1:$BV$1,0))</f>
        <v>2696555</v>
      </c>
      <c r="F40" s="5">
        <f>INDEX(Python0831!$B$1:$BV$49,MATCH($D40,Python0831!$A$1:$A$49,0),MATCH(F$5,Python0831!$B$1:$BV$1,0))</f>
        <v>589.81842269999902</v>
      </c>
      <c r="G40" s="7">
        <f>INDEX(Python0831!$B$1:$BV$49,MATCH($D40,Python0831!$A$1:$A$49,0),MATCH(G$5,Python0831!$B$1:$BV$1,0))</f>
        <v>1</v>
      </c>
      <c r="H40" s="5">
        <f>INDEX(Python0831!$B$1:$BV$49,MATCH($D40,Python0831!$A$1:$A$49,0),MATCH(H$5,Python0831!$B$1:$BV$1,0))</f>
        <v>227957.33637424</v>
      </c>
      <c r="I40" s="5">
        <f>INDEX(Python0831!$B$1:$BV$49,MATCH($D40,Python0831!$A$1:$A$49,0),MATCH(I$5,Python0831!$B$1:$BV$1,0))</f>
        <v>84536.505420523506</v>
      </c>
      <c r="J40" s="328">
        <f>INDEX(Python0831!$B$1:$BV$49,MATCH($D40,Python0831!$A$1:$A$49,0),MATCH(J$5,Python0831!$B$1:$BV$1,0))</f>
        <v>9.7297917050037999E-3</v>
      </c>
      <c r="K40" s="5">
        <f>INDEX(Python0831!$B$1:$BV$49,MATCH($D40,Python0831!$A$1:$A$49,0),MATCH(K$5,Python0831!$B$1:$BV$1,0))</f>
        <v>70.616666666666603</v>
      </c>
      <c r="L40" s="5">
        <f>INDEX(Python0831!$B$1:$BV$49,MATCH($D40,Python0831!$A$1:$A$49,0),MATCH(L$5,Python0831!$B$1:$BV$1,0))</f>
        <v>0</v>
      </c>
      <c r="M40" s="5">
        <f>INDEX(Python0831!$B$1:$BV$49,MATCH($D40,Python0831!$A$1:$A$49,0),MATCH(M$5,Python0831!$B$1:$BV$1,0))</f>
        <v>178007</v>
      </c>
      <c r="N40" s="5">
        <f>INDEX(Python0831!$B$1:$BV$49,MATCH($D40,Python0831!$A$1:$A$49,0),MATCH(N$5,Python0831!$B$1:$BV$1,0))</f>
        <v>1789087.24074272</v>
      </c>
      <c r="O40" s="328">
        <f>INDEX(Python0831!$B$1:$BV$49,MATCH($D40,Python0831!$A$1:$A$49,0),MATCH(O$5,Python0831!$B$1:$BV$1,0))</f>
        <v>0.20060005561886801</v>
      </c>
      <c r="P40" s="5">
        <f>INDEX(Python0831!$B$1:$BV$49,MATCH($D40,Python0831!$A$1:$A$49,0),MATCH(P$5,Python0831!$B$1:$BV$1,0))</f>
        <v>92.032607124314595</v>
      </c>
      <c r="Q40" s="5">
        <f>INDEX(Python0831!$B$1:$BV$49,MATCH($D40,Python0831!$A$1:$A$49,0),MATCH(Q$5,Python0831!$B$1:$BV$1,0))</f>
        <v>86.277056277056204</v>
      </c>
      <c r="R40" s="5">
        <f>INDEX(Python0831!$B$1:$BV$49,MATCH($D40,Python0831!$A$1:$A$49,0),MATCH(R$5,Python0831!$B$1:$BV$1,0))</f>
        <v>25.110406913694501</v>
      </c>
      <c r="S40" s="327">
        <f>INDEX(Python0831!$B$1:$BV$49,MATCH($D40,Python0831!$A$1:$A$49,0),MATCH(S$5,Python0831!$B$1:$BV$1,0))</f>
        <v>0.28505000000000003</v>
      </c>
      <c r="T40" s="5">
        <f>INDEX(Python0831!$B$1:$BV$49,MATCH($D40,Python0831!$A$1:$A$49,0),MATCH(T$5,Python0831!$B$1:$BV$1,0))</f>
        <v>95.976777923657707</v>
      </c>
      <c r="U40" s="5">
        <f>INDEX(Python0831!$B$1:$BV$49,MATCH($D40,Python0831!$A$1:$A$49,0),MATCH(U$5,Python0831!$B$1:$BV$1,0))</f>
        <v>48402.213006976403</v>
      </c>
      <c r="V40" s="5">
        <f>INDEX(Python0831!$B$1:$BV$49,MATCH($D40,Python0831!$A$1:$A$49,0),MATCH(V$5,Python0831!$B$1:$BV$1,0))</f>
        <v>366</v>
      </c>
      <c r="W40" s="5">
        <f>INDEX(Python0831!$B$1:$BV$49,MATCH($D40,Python0831!$A$1:$A$49,0),MATCH(W$5,Python0831!$B$1:$BV$1,0))</f>
        <v>21735.513303924101</v>
      </c>
      <c r="X40" s="5">
        <f>INDEX(Python0831!$B$1:$BV$49,MATCH($D40,Python0831!$A$1:$A$49,0),MATCH(X$5,Python0831!$B$1:$BV$1,0))</f>
        <v>17470.1499999999</v>
      </c>
      <c r="Y40" s="5">
        <f>INDEX(Python0831!$B$1:$BV$49,MATCH($D40,Python0831!$A$1:$A$49,0),MATCH(Y$5,Python0831!$B$1:$BV$1,0))</f>
        <v>495</v>
      </c>
      <c r="Z40" s="5">
        <f>INDEX(Python0831!$B$1:$BV$49,MATCH($D40,Python0831!$A$1:$A$49,0),MATCH(Z$5,Python0831!$B$1:$BV$1,0))</f>
        <v>9228.7021432864003</v>
      </c>
      <c r="AA40" s="7">
        <f>INDEX(Python0831!$B$1:$BV$49,MATCH($D40,Python0831!$A$1:$A$49,0),MATCH(AA$5,Python0831!$B$1:$BV$1,0))</f>
        <v>4.2</v>
      </c>
      <c r="AB40" s="5">
        <f>INDEX(Python0831!$B$1:$BV$49,MATCH($D40,Python0831!$A$1:$A$49,0),MATCH(AB$5,Python0831!$B$1:$BV$1,0))</f>
        <v>286</v>
      </c>
      <c r="AC40" s="5">
        <f>INDEX(Python0831!$B$1:$BV$49,MATCH($D40,Python0831!$A$1:$A$49,0),MATCH(AC$5,Python0831!$B$1:$BV$1,0))</f>
        <v>25</v>
      </c>
      <c r="AD40" s="5">
        <f>INDEX(Python0831!$B$1:$BV$49,MATCH($D40,Python0831!$A$1:$A$49,0),MATCH(AD$5,Python0831!$B$1:$BV$1,0))</f>
        <v>15.625</v>
      </c>
      <c r="AE40" s="5">
        <f>INDEX(Python0831!$B$1:$BV$49,MATCH($D40,Python0831!$A$1:$A$49,0),MATCH(AE$5,Python0831!$B$1:$BV$1,0))</f>
        <v>27.307738752132099</v>
      </c>
      <c r="AF40" s="5">
        <f>INDEX(Python0831!$B$1:$BV$49,MATCH($D40,Python0831!$A$1:$A$49,0),MATCH(AF$5,Python0831!$B$1:$BV$1,0))</f>
        <v>7.6892672220381399</v>
      </c>
      <c r="AG40" s="5">
        <f>INDEX(Python0831!$B$1:$BV$49,MATCH($D40,Python0831!$A$1:$A$49,0),MATCH(AG$5,Python0831!$B$1:$BV$1,0))</f>
        <v>36.107114263926398</v>
      </c>
      <c r="AH40" s="5">
        <f>INDEX(Python0831!$B$1:$BV$49,MATCH($D40,Python0831!$A$1:$A$49,0),MATCH(AH$5,Python0831!$B$1:$BV$1,0))</f>
        <v>0.5</v>
      </c>
      <c r="AI40" s="5">
        <f>INDEX(Python0831!$B$1:$BV$49,MATCH($D40,Python0831!$A$1:$A$49,0),MATCH(AI$5,Python0831!$B$1:$BV$1,0))</f>
        <v>38.624690336877201</v>
      </c>
      <c r="AJ40" s="5">
        <f>INDEX(Python0831!$B$1:$BV$49,MATCH($D40,Python0831!$A$1:$A$49,0),MATCH(AJ$5,Python0831!$B$1:$BV$1,0))</f>
        <v>82</v>
      </c>
      <c r="AK40" s="5">
        <f>INDEX(Python0831!$B$1:$BV$49,MATCH($D40,Python0831!$A$1:$A$49,0),MATCH(AK$5,Python0831!$B$1:$BV$1,0))</f>
        <v>75</v>
      </c>
      <c r="AL40" s="5">
        <f>INDEX(Python0831!$B$1:$BV$49,MATCH($D40,Python0831!$A$1:$A$49,0),MATCH(AL$5,Python0831!$B$1:$BV$1,0))</f>
        <v>4</v>
      </c>
      <c r="AM40" s="5">
        <f>INDEX(Python0831!$B$1:$BV$49,MATCH($D40,Python0831!$A$1:$A$49,0),MATCH(AM$5,Python0831!$B$1:$BV$1,0))</f>
        <v>47920</v>
      </c>
      <c r="AN40" s="5">
        <f>INDEX(Python0831!$B$1:$BV$49,MATCH($D40,Python0831!$A$1:$A$49,0),MATCH(AN$5,Python0831!$B$1:$BV$1,0))</f>
        <v>2287</v>
      </c>
      <c r="AO40" s="5">
        <f>INDEX(Python0831!$B$1:$BV$49,MATCH($D40,Python0831!$A$1:$A$49,0),MATCH(AO$5,Python0831!$B$1:$BV$1,0))</f>
        <v>39.656634311431297</v>
      </c>
      <c r="AP40" s="5">
        <f>INDEX(Python0831!$B$1:$BV$49,MATCH($D40,Python0831!$A$1:$A$49,0),MATCH(AP$5,Python0831!$B$1:$BV$1,0))</f>
        <v>39.192967010138297</v>
      </c>
      <c r="AQ40" s="5">
        <f>INDEX(Python0831!$B$1:$BV$49,MATCH($D40,Python0831!$A$1:$A$49,0),MATCH(AQ$5,Python0831!$B$1:$BV$1,0))</f>
        <v>278347</v>
      </c>
      <c r="AR40" s="5">
        <f>INDEX(Python0831!$B$1:$BV$49,MATCH($D40,Python0831!$A$1:$A$49,0),MATCH(AR$5,Python0831!$B$1:$BV$1,0))</f>
        <v>705443.81990891497</v>
      </c>
      <c r="AS40" s="328">
        <f>INDEX(Python0831!$B$1:$BV$49,MATCH($D40,Python0831!$A$1:$A$49,0),MATCH(AS$5,Python0831!$B$1:$BV$1,0))</f>
        <v>5.2999999999999999E-2</v>
      </c>
      <c r="AT40" s="5">
        <f>INDEX(Python0831!$B$1:$BV$49,MATCH($D40,Python0831!$A$1:$A$49,0),MATCH(AT$5,Python0831!$B$1:$BV$1,0))</f>
        <v>2145.5558611156598</v>
      </c>
      <c r="AU40" s="7">
        <f>INDEX(Python0831!$B$1:$BV$49,MATCH($D40,Python0831!$A$1:$A$49,0),MATCH(AU$5,Python0831!$B$1:$BV$1,0))</f>
        <v>0.66666666666666596</v>
      </c>
      <c r="AV40" s="5">
        <f>INDEX(Python0831!$B$1:$BV$49,MATCH($D40,Python0831!$A$1:$A$49,0),MATCH(AV$5,Python0831!$B$1:$BV$1,0))</f>
        <v>2646.3775000000001</v>
      </c>
      <c r="AW40" s="5">
        <f>INDEX(Python0831!$B$1:$BV$49,MATCH($D40,Python0831!$A$1:$A$49,0),MATCH(AW$5,Python0831!$B$1:$BV$1,0))</f>
        <v>44.686676485852203</v>
      </c>
      <c r="AX40" s="5">
        <f>INDEX(Python0831!$B$1:$BV$49,MATCH($D40,Python0831!$A$1:$A$49,0),MATCH(AX$5,Python0831!$B$1:$BV$1,0))</f>
        <v>286.23424876317802</v>
      </c>
      <c r="AY40" s="329">
        <f>INDEX(Python0831!$B$1:$BV$49,MATCH($D40,Python0831!$A$1:$A$49,0),MATCH(AY$5,Python0831!$B$1:$BV$1,0))</f>
        <v>2E-3</v>
      </c>
      <c r="AZ40" s="5">
        <f>INDEX(Python0831!$B$1:$BV$49,MATCH($D40,Python0831!$A$1:$A$49,0),MATCH(AZ$5,Python0831!$B$1:$BV$1,0))</f>
        <v>78.5</v>
      </c>
      <c r="BA40" s="5">
        <f>INDEX(Python0831!$B$1:$BV$49,MATCH($D40,Python0831!$A$1:$A$49,0),MATCH(BA$5,Python0831!$B$1:$BV$1,0))</f>
        <v>67.750995245412895</v>
      </c>
      <c r="BB40" s="5">
        <f>INDEX(Python0831!$B$1:$BV$49,MATCH($D40,Python0831!$A$1:$A$49,0),MATCH(BB$5,Python0831!$B$1:$BV$1,0))</f>
        <v>52.542387828333801</v>
      </c>
      <c r="BC40" s="5">
        <f>INDEX(Python0831!$B$1:$BV$49,MATCH($D40,Python0831!$A$1:$A$49,0),MATCH(BC$5,Python0831!$B$1:$BV$1,0))</f>
        <v>3485.8275061505301</v>
      </c>
      <c r="BD40" s="5">
        <f>INDEX(Python0831!$B$1:$BV$49,MATCH($D40,Python0831!$A$1:$A$49,0),MATCH(BD$5,Python0831!$B$1:$BV$1,0))</f>
        <v>88.068681249780397</v>
      </c>
      <c r="BE40" s="5">
        <f>INDEX(Python0831!$B$1:$BV$49,MATCH($D40,Python0831!$A$1:$A$49,0),MATCH(BE$5,Python0831!$B$1:$BV$1,0))</f>
        <v>25.553115821978601</v>
      </c>
      <c r="BF40" s="5">
        <f>INDEX(Python0831!$B$1:$BV$49,MATCH($D40,Python0831!$A$1:$A$49,0),MATCH(BF$5,Python0831!$B$1:$BV$1,0))</f>
        <v>34.043952796415098</v>
      </c>
      <c r="BG40" s="5">
        <f>INDEX(Python0831!$B$1:$BV$49,MATCH($D40,Python0831!$A$1:$A$49,0),MATCH(BG$5,Python0831!$B$1:$BV$1,0))</f>
        <v>35.734387351778601</v>
      </c>
      <c r="BH40" s="327">
        <f>INDEX(Python0831!$B$1:$BV$49,MATCH($D40,Python0831!$A$1:$A$49,0),MATCH(BH$5,Python0831!$B$1:$BV$1,0))</f>
        <v>0.08</v>
      </c>
      <c r="BI40" s="327">
        <f>INDEX(Python0831!$B$1:$BV$49,MATCH($D40,Python0831!$A$1:$A$49,0),MATCH(BI$5,Python0831!$B$1:$BV$1,0))</f>
        <v>0.23619984556450299</v>
      </c>
      <c r="BJ40" s="5">
        <f>INDEX(Python0831!$B$1:$BV$49,MATCH($D40,Python0831!$A$1:$A$49,0),MATCH(BJ$5,Python0831!$B$1:$BV$1,0))</f>
        <v>16.512059138025801</v>
      </c>
      <c r="BK40" s="5">
        <f>INDEX(Python0831!$B$1:$BV$49,MATCH($D40,Python0831!$A$1:$A$49,0),MATCH(BK$5,Python0831!$B$1:$BV$1,0))</f>
        <v>11.8</v>
      </c>
      <c r="BL40" s="7">
        <f>INDEX(Python0831!$B$1:$BV$49,MATCH($D40,Python0831!$A$1:$A$49,0),MATCH(BL$5,Python0831!$B$1:$BV$1,0))</f>
        <v>1.1370175839232699</v>
      </c>
      <c r="BM40" s="5">
        <f>INDEX(Python0831!$B$1:$BV$49,MATCH($D40,Python0831!$A$1:$A$49,0),MATCH(BM$5,Python0831!$B$1:$BV$1,0))</f>
        <v>46.2</v>
      </c>
      <c r="BN40" s="5">
        <f>INDEX(Python0831!$B$1:$BV$49,MATCH($D40,Python0831!$A$1:$A$49,0),MATCH(BN$5,Python0831!$B$1:$BV$1,0))</f>
        <v>54.8737310503316</v>
      </c>
      <c r="BO40" s="5">
        <f>INDEX(Python0831!$B$1:$BV$49,MATCH($D40,Python0831!$A$1:$A$49,0),MATCH(BO$5,Python0831!$B$1:$BV$1,0))</f>
        <v>50.731263553865404</v>
      </c>
      <c r="BP40" s="5">
        <f>INDEX(Python0831!$B$1:$BV$49,MATCH($D40,Python0831!$A$1:$A$49,0),MATCH(BP$5,Python0831!$B$1:$BV$1,0))</f>
        <v>73.000000000000597</v>
      </c>
      <c r="BQ40" s="7">
        <f>INDEX(Python0831!$B$1:$BV$49,MATCH($D40,Python0831!$A$1:$A$49,0),MATCH(BQ$5,Python0831!$B$1:$BV$1,0))</f>
        <v>19.265631984861699</v>
      </c>
      <c r="BR40" s="5">
        <f>INDEX(Python0831!$B$1:$BV$49,MATCH($D40,Python0831!$A$1:$A$49,0),MATCH(BR$5,Python0831!$B$1:$BV$1,0))</f>
        <v>68340619</v>
      </c>
      <c r="BS40" s="5">
        <f>INDEX(Python0831!$B$1:$BV$49,MATCH($D40,Python0831!$A$1:$A$49,0),MATCH(BS$5,Python0831!$B$1:$BV$1,0))</f>
        <v>676204</v>
      </c>
      <c r="BT40" s="8">
        <f>INDEX(Python0831!$B$1:$BV$49,MATCH($D40,Python0831!$A$1:$A$49,0),MATCH(BT$5,Python0831!$B$1:$BV$1,0))</f>
        <v>0.33104228163114202</v>
      </c>
      <c r="BU40" s="8">
        <f>INDEX(Python0831!$B$1:$BV$49,MATCH($D40,Python0831!$A$1:$A$49,0),MATCH(BU$5,Python0831!$B$1:$BV$1,0))</f>
        <v>0.272657351621587</v>
      </c>
      <c r="BV40" s="5">
        <f>INDEX(Python0831!$B$1:$BV$49,MATCH($D40,Python0831!$A$1:$A$49,0),MATCH(BV$5,Python0831!$B$1:$BV$1,0))</f>
        <v>18</v>
      </c>
      <c r="BW40" s="5">
        <f>INDEX(Python0831!$B$1:$BV$49,MATCH($D40,Python0831!$A$1:$A$49,0),MATCH(BW$5,Python0831!$B$1:$BV$1,0))</f>
        <v>35.82</v>
      </c>
      <c r="BX40" s="382">
        <f>INDEX(Python0831!$B$1:$BV$49,MATCH($D40,Python0831!$A$1:$A$49,0),MATCH(BX$5,Python0831!$B$1:$BV$1,0))</f>
        <v>33.333333333333336</v>
      </c>
      <c r="BY40" s="5">
        <f>INDEX(Python0831!$B$1:$BV$49,MATCH($D40,Python0831!$A$1:$A$49,0),MATCH(BY$5,Python0831!$B$1:$BV$1,0))</f>
        <v>45.655157624980902</v>
      </c>
    </row>
    <row r="41" spans="1:77">
      <c r="A41" s="2">
        <v>36</v>
      </c>
      <c r="B41" s="58">
        <f>INDEX(順位表[Comprehensive],MATCH($C41,順位表['#],0))</f>
        <v>23</v>
      </c>
      <c r="C41" s="3">
        <v>36</v>
      </c>
      <c r="D41" s="1" t="str">
        <f>INDEX(都市マスタ[City Name],MATCH($C41,都市マスタ['#],0))</f>
        <v>Toronto</v>
      </c>
      <c r="E41" s="5">
        <f>INDEX(Python0831!$B$1:$BV$49,MATCH($D41,Python0831!$A$1:$A$49,0),MATCH(E$5,Python0831!$B$1:$BV$1,0))</f>
        <v>3025647</v>
      </c>
      <c r="F41" s="5">
        <f>INDEX(Python0831!$B$1:$BV$49,MATCH($D41,Python0831!$A$1:$A$49,0),MATCH(F$5,Python0831!$B$1:$BV$1,0))</f>
        <v>630</v>
      </c>
      <c r="G41" s="7">
        <f>INDEX(Python0831!$B$1:$BV$49,MATCH($D41,Python0831!$A$1:$A$49,0),MATCH(G$5,Python0831!$B$1:$BV$1,0))</f>
        <v>1.3009999999999999</v>
      </c>
      <c r="H41" s="5">
        <f>INDEX(Python0831!$B$1:$BV$49,MATCH($D41,Python0831!$A$1:$A$49,0),MATCH(H$5,Python0831!$B$1:$BV$1,0))</f>
        <v>148248.366669026</v>
      </c>
      <c r="I41" s="5">
        <f>INDEX(Python0831!$B$1:$BV$49,MATCH($D41,Python0831!$A$1:$A$49,0),MATCH(I$5,Python0831!$B$1:$BV$1,0))</f>
        <v>53052.784494540501</v>
      </c>
      <c r="J41" s="328">
        <f>INDEX(Python0831!$B$1:$BV$49,MATCH($D41,Python0831!$A$1:$A$49,0),MATCH(J$5,Python0831!$B$1:$BV$1,0))</f>
        <v>4.1076730270947603E-2</v>
      </c>
      <c r="K41" s="5">
        <f>INDEX(Python0831!$B$1:$BV$49,MATCH($D41,Python0831!$A$1:$A$49,0),MATCH(K$5,Python0831!$B$1:$BV$1,0))</f>
        <v>73.6666666666666</v>
      </c>
      <c r="L41" s="5">
        <f>INDEX(Python0831!$B$1:$BV$49,MATCH($D41,Python0831!$A$1:$A$49,0),MATCH(L$5,Python0831!$B$1:$BV$1,0))</f>
        <v>2744719.7</v>
      </c>
      <c r="M41" s="5">
        <f>INDEX(Python0831!$B$1:$BV$49,MATCH($D41,Python0831!$A$1:$A$49,0),MATCH(M$5,Python0831!$B$1:$BV$1,0))</f>
        <v>308488.8</v>
      </c>
      <c r="N41" s="5">
        <f>INDEX(Python0831!$B$1:$BV$49,MATCH($D41,Python0831!$A$1:$A$49,0),MATCH(N$5,Python0831!$B$1:$BV$1,0))</f>
        <v>1609464.7881939099</v>
      </c>
      <c r="O41" s="328">
        <f>INDEX(Python0831!$B$1:$BV$49,MATCH($D41,Python0831!$A$1:$A$49,0),MATCH(O$5,Python0831!$B$1:$BV$1,0))</f>
        <v>0.27680630434912201</v>
      </c>
      <c r="P41" s="5">
        <f>INDEX(Python0831!$B$1:$BV$49,MATCH($D41,Python0831!$A$1:$A$49,0),MATCH(P$5,Python0831!$B$1:$BV$1,0))</f>
        <v>50.009523803527799</v>
      </c>
      <c r="Q41" s="5">
        <f>INDEX(Python0831!$B$1:$BV$49,MATCH($D41,Python0831!$A$1:$A$49,0),MATCH(Q$5,Python0831!$B$1:$BV$1,0))</f>
        <v>90.173092967504104</v>
      </c>
      <c r="R41" s="5">
        <f>INDEX(Python0831!$B$1:$BV$49,MATCH($D41,Python0831!$A$1:$A$49,0),MATCH(R$5,Python0831!$B$1:$BV$1,0))</f>
        <v>32.286711736265097</v>
      </c>
      <c r="S41" s="327">
        <f>INDEX(Python0831!$B$1:$BV$49,MATCH($D41,Python0831!$A$1:$A$49,0),MATCH(S$5,Python0831!$B$1:$BV$1,0))</f>
        <v>0.26500000000000001</v>
      </c>
      <c r="T41" s="5">
        <f>INDEX(Python0831!$B$1:$BV$49,MATCH($D41,Python0831!$A$1:$A$49,0),MATCH(T$5,Python0831!$B$1:$BV$1,0))</f>
        <v>88.015470662541702</v>
      </c>
      <c r="U41" s="5">
        <f>INDEX(Python0831!$B$1:$BV$49,MATCH($D41,Python0831!$A$1:$A$49,0),MATCH(U$5,Python0831!$B$1:$BV$1,0))</f>
        <v>13502.660825376301</v>
      </c>
      <c r="V41" s="5">
        <f>INDEX(Python0831!$B$1:$BV$49,MATCH($D41,Python0831!$A$1:$A$49,0),MATCH(V$5,Python0831!$B$1:$BV$1,0))</f>
        <v>185</v>
      </c>
      <c r="W41" s="5">
        <f>INDEX(Python0831!$B$1:$BV$49,MATCH($D41,Python0831!$A$1:$A$49,0),MATCH(W$5,Python0831!$B$1:$BV$1,0))</f>
        <v>2287.3581832794598</v>
      </c>
      <c r="X41" s="5">
        <f>INDEX(Python0831!$B$1:$BV$49,MATCH($D41,Python0831!$A$1:$A$49,0),MATCH(X$5,Python0831!$B$1:$BV$1,0))</f>
        <v>35369.199999999997</v>
      </c>
      <c r="Y41" s="5">
        <f>INDEX(Python0831!$B$1:$BV$49,MATCH($D41,Python0831!$A$1:$A$49,0),MATCH(Y$5,Python0831!$B$1:$BV$1,0))</f>
        <v>516.66666666666595</v>
      </c>
      <c r="Z41" s="5">
        <f>INDEX(Python0831!$B$1:$BV$49,MATCH($D41,Python0831!$A$1:$A$49,0),MATCH(Z$5,Python0831!$B$1:$BV$1,0))</f>
        <v>1897.92662436348</v>
      </c>
      <c r="AA41" s="7">
        <f>INDEX(Python0831!$B$1:$BV$49,MATCH($D41,Python0831!$A$1:$A$49,0),MATCH(AA$5,Python0831!$B$1:$BV$1,0))</f>
        <v>0</v>
      </c>
      <c r="AB41" s="5">
        <f>INDEX(Python0831!$B$1:$BV$49,MATCH($D41,Python0831!$A$1:$A$49,0),MATCH(AB$5,Python0831!$B$1:$BV$1,0))</f>
        <v>413.33333333333297</v>
      </c>
      <c r="AC41" s="5">
        <f>INDEX(Python0831!$B$1:$BV$49,MATCH($D41,Python0831!$A$1:$A$49,0),MATCH(AC$5,Python0831!$B$1:$BV$1,0))</f>
        <v>19</v>
      </c>
      <c r="AD41" s="5">
        <f>INDEX(Python0831!$B$1:$BV$49,MATCH($D41,Python0831!$A$1:$A$49,0),MATCH(AD$5,Python0831!$B$1:$BV$1,0))</f>
        <v>39.062499999999901</v>
      </c>
      <c r="AE41" s="5">
        <f>INDEX(Python0831!$B$1:$BV$49,MATCH($D41,Python0831!$A$1:$A$49,0),MATCH(AE$5,Python0831!$B$1:$BV$1,0))</f>
        <v>24.026009116540301</v>
      </c>
      <c r="AF41" s="5">
        <f>INDEX(Python0831!$B$1:$BV$49,MATCH($D41,Python0831!$A$1:$A$49,0),MATCH(AF$5,Python0831!$B$1:$BV$1,0))</f>
        <v>5.7498916670134701</v>
      </c>
      <c r="AG41" s="5">
        <f>INDEX(Python0831!$B$1:$BV$49,MATCH($D41,Python0831!$A$1:$A$49,0),MATCH(AG$5,Python0831!$B$1:$BV$1,0))</f>
        <v>37.400973325933201</v>
      </c>
      <c r="AH41" s="5">
        <f>INDEX(Python0831!$B$1:$BV$49,MATCH($D41,Python0831!$A$1:$A$49,0),MATCH(AH$5,Python0831!$B$1:$BV$1,0))</f>
        <v>0</v>
      </c>
      <c r="AI41" s="5">
        <f>INDEX(Python0831!$B$1:$BV$49,MATCH($D41,Python0831!$A$1:$A$49,0),MATCH(AI$5,Python0831!$B$1:$BV$1,0))</f>
        <v>29.976053486976198</v>
      </c>
      <c r="AJ41" s="5">
        <f>INDEX(Python0831!$B$1:$BV$49,MATCH($D41,Python0831!$A$1:$A$49,0),MATCH(AJ$5,Python0831!$B$1:$BV$1,0))</f>
        <v>60</v>
      </c>
      <c r="AK41" s="5">
        <f>INDEX(Python0831!$B$1:$BV$49,MATCH($D41,Python0831!$A$1:$A$49,0),MATCH(AK$5,Python0831!$B$1:$BV$1,0))</f>
        <v>73</v>
      </c>
      <c r="AL41" s="5">
        <f>INDEX(Python0831!$B$1:$BV$49,MATCH($D41,Python0831!$A$1:$A$49,0),MATCH(AL$5,Python0831!$B$1:$BV$1,0))</f>
        <v>4</v>
      </c>
      <c r="AM41" s="5">
        <f>INDEX(Python0831!$B$1:$BV$49,MATCH($D41,Python0831!$A$1:$A$49,0),MATCH(AM$5,Python0831!$B$1:$BV$1,0))</f>
        <v>20455</v>
      </c>
      <c r="AN41" s="5">
        <f>INDEX(Python0831!$B$1:$BV$49,MATCH($D41,Python0831!$A$1:$A$49,0),MATCH(AN$5,Python0831!$B$1:$BV$1,0))</f>
        <v>1604</v>
      </c>
      <c r="AO41" s="5">
        <f>INDEX(Python0831!$B$1:$BV$49,MATCH($D41,Python0831!$A$1:$A$49,0),MATCH(AO$5,Python0831!$B$1:$BV$1,0))</f>
        <v>30.427654087890598</v>
      </c>
      <c r="AP41" s="5">
        <f>INDEX(Python0831!$B$1:$BV$49,MATCH($D41,Python0831!$A$1:$A$49,0),MATCH(AP$5,Python0831!$B$1:$BV$1,0))</f>
        <v>34.739136894070398</v>
      </c>
      <c r="AQ41" s="5">
        <f>INDEX(Python0831!$B$1:$BV$49,MATCH($D41,Python0831!$A$1:$A$49,0),MATCH(AQ$5,Python0831!$B$1:$BV$1,0))</f>
        <v>477230</v>
      </c>
      <c r="AR41" s="5">
        <f>INDEX(Python0831!$B$1:$BV$49,MATCH($D41,Python0831!$A$1:$A$49,0),MATCH(AR$5,Python0831!$B$1:$BV$1,0))</f>
        <v>1730000</v>
      </c>
      <c r="AS41" s="328">
        <f>INDEX(Python0831!$B$1:$BV$49,MATCH($D41,Python0831!$A$1:$A$49,0),MATCH(AS$5,Python0831!$B$1:$BV$1,0))</f>
        <v>6.4000000000000001E-2</v>
      </c>
      <c r="AT41" s="5">
        <f>INDEX(Python0831!$B$1:$BV$49,MATCH($D41,Python0831!$A$1:$A$49,0),MATCH(AT$5,Python0831!$B$1:$BV$1,0))</f>
        <v>2000.97032134406</v>
      </c>
      <c r="AU41" s="7">
        <f>INDEX(Python0831!$B$1:$BV$49,MATCH($D41,Python0831!$A$1:$A$49,0),MATCH(AU$5,Python0831!$B$1:$BV$1,0))</f>
        <v>0.57232704402515699</v>
      </c>
      <c r="AV41" s="5">
        <f>INDEX(Python0831!$B$1:$BV$49,MATCH($D41,Python0831!$A$1:$A$49,0),MATCH(AV$5,Python0831!$B$1:$BV$1,0))</f>
        <v>2378.1997607655499</v>
      </c>
      <c r="AW41" s="5">
        <f>INDEX(Python0831!$B$1:$BV$49,MATCH($D41,Python0831!$A$1:$A$49,0),MATCH(AW$5,Python0831!$B$1:$BV$1,0))</f>
        <v>49.011484428310801</v>
      </c>
      <c r="AX41" s="5">
        <f>INDEX(Python0831!$B$1:$BV$49,MATCH($D41,Python0831!$A$1:$A$49,0),MATCH(AX$5,Python0831!$B$1:$BV$1,0))</f>
        <v>23.4660553593991</v>
      </c>
      <c r="AY41" s="329">
        <f>INDEX(Python0831!$B$1:$BV$49,MATCH($D41,Python0831!$A$1:$A$49,0),MATCH(AY$5,Python0831!$B$1:$BV$1,0))</f>
        <v>8.0000000000000004E-4</v>
      </c>
      <c r="AZ41" s="5">
        <f>INDEX(Python0831!$B$1:$BV$49,MATCH($D41,Python0831!$A$1:$A$49,0),MATCH(AZ$5,Python0831!$B$1:$BV$1,0))</f>
        <v>82.2</v>
      </c>
      <c r="BA41" s="5">
        <f>INDEX(Python0831!$B$1:$BV$49,MATCH($D41,Python0831!$A$1:$A$49,0),MATCH(BA$5,Python0831!$B$1:$BV$1,0))</f>
        <v>80.806079161340307</v>
      </c>
      <c r="BB41" s="5">
        <f>INDEX(Python0831!$B$1:$BV$49,MATCH($D41,Python0831!$A$1:$A$49,0),MATCH(BB$5,Python0831!$B$1:$BV$1,0))</f>
        <v>20.791605759410299</v>
      </c>
      <c r="BC41" s="5">
        <f>INDEX(Python0831!$B$1:$BV$49,MATCH($D41,Python0831!$A$1:$A$49,0),MATCH(BC$5,Python0831!$B$1:$BV$1,0))</f>
        <v>2947.9146754421299</v>
      </c>
      <c r="BD41" s="5">
        <f>INDEX(Python0831!$B$1:$BV$49,MATCH($D41,Python0831!$A$1:$A$49,0),MATCH(BD$5,Python0831!$B$1:$BV$1,0))</f>
        <v>79.105141392263306</v>
      </c>
      <c r="BE41" s="5">
        <f>INDEX(Python0831!$B$1:$BV$49,MATCH($D41,Python0831!$A$1:$A$49,0),MATCH(BE$5,Python0831!$B$1:$BV$1,0))</f>
        <v>39.451891867276103</v>
      </c>
      <c r="BF41" s="5">
        <f>INDEX(Python0831!$B$1:$BV$49,MATCH($D41,Python0831!$A$1:$A$49,0),MATCH(BF$5,Python0831!$B$1:$BV$1,0))</f>
        <v>37.878033699680401</v>
      </c>
      <c r="BG41" s="5">
        <f>INDEX(Python0831!$B$1:$BV$49,MATCH($D41,Python0831!$A$1:$A$49,0),MATCH(BG$5,Python0831!$B$1:$BV$1,0))</f>
        <v>39.619696969696903</v>
      </c>
      <c r="BH41" s="327">
        <f>INDEX(Python0831!$B$1:$BV$49,MATCH($D41,Python0831!$A$1:$A$49,0),MATCH(BH$5,Python0831!$B$1:$BV$1,0))</f>
        <v>0.16109999999999999</v>
      </c>
      <c r="BI41" s="327">
        <f>INDEX(Python0831!$B$1:$BV$49,MATCH($D41,Python0831!$A$1:$A$49,0),MATCH(BI$5,Python0831!$B$1:$BV$1,0))</f>
        <v>0.19625999999999999</v>
      </c>
      <c r="BJ41" s="5">
        <f>INDEX(Python0831!$B$1:$BV$49,MATCH($D41,Python0831!$A$1:$A$49,0),MATCH(BJ$5,Python0831!$B$1:$BV$1,0))</f>
        <v>14.306285875880601</v>
      </c>
      <c r="BK41" s="5">
        <f>INDEX(Python0831!$B$1:$BV$49,MATCH($D41,Python0831!$A$1:$A$49,0),MATCH(BK$5,Python0831!$B$1:$BV$1,0))</f>
        <v>8.5</v>
      </c>
      <c r="BL41" s="7">
        <f>INDEX(Python0831!$B$1:$BV$49,MATCH($D41,Python0831!$A$1:$A$49,0),MATCH(BL$5,Python0831!$B$1:$BV$1,0))</f>
        <v>1.1675817890642799</v>
      </c>
      <c r="BM41" s="5">
        <f>INDEX(Python0831!$B$1:$BV$49,MATCH($D41,Python0831!$A$1:$A$49,0),MATCH(BM$5,Python0831!$B$1:$BV$1,0))</f>
        <v>62.2</v>
      </c>
      <c r="BN41" s="5">
        <f>INDEX(Python0831!$B$1:$BV$49,MATCH($D41,Python0831!$A$1:$A$49,0),MATCH(BN$5,Python0831!$B$1:$BV$1,0))</f>
        <v>66.867196462476002</v>
      </c>
      <c r="BO41" s="5">
        <f>INDEX(Python0831!$B$1:$BV$49,MATCH($D41,Python0831!$A$1:$A$49,0),MATCH(BO$5,Python0831!$B$1:$BV$1,0))</f>
        <v>64.662250081194898</v>
      </c>
      <c r="BP41" s="5">
        <f>INDEX(Python0831!$B$1:$BV$49,MATCH($D41,Python0831!$A$1:$A$49,0),MATCH(BP$5,Python0831!$B$1:$BV$1,0))</f>
        <v>152.99999999999901</v>
      </c>
      <c r="BQ41" s="7">
        <f>INDEX(Python0831!$B$1:$BV$49,MATCH($D41,Python0831!$A$1:$A$49,0),MATCH(BQ$5,Python0831!$B$1:$BV$1,0))</f>
        <v>3.88708533279708</v>
      </c>
      <c r="BR41" s="5">
        <f>INDEX(Python0831!$B$1:$BV$49,MATCH($D41,Python0831!$A$1:$A$49,0),MATCH(BR$5,Python0831!$B$1:$BV$1,0))</f>
        <v>35627429</v>
      </c>
      <c r="BS41" s="5">
        <f>INDEX(Python0831!$B$1:$BV$49,MATCH($D41,Python0831!$A$1:$A$49,0),MATCH(BS$5,Python0831!$B$1:$BV$1,0))</f>
        <v>329047</v>
      </c>
      <c r="BT41" s="8">
        <f>INDEX(Python0831!$B$1:$BV$49,MATCH($D41,Python0831!$A$1:$A$49,0),MATCH(BT$5,Python0831!$B$1:$BV$1,0))</f>
        <v>0.92628176879482904</v>
      </c>
      <c r="BU41" s="8">
        <f>INDEX(Python0831!$B$1:$BV$49,MATCH($D41,Python0831!$A$1:$A$49,0),MATCH(BU$5,Python0831!$B$1:$BV$1,0))</f>
        <v>0.332175771336984</v>
      </c>
      <c r="BV41" s="5">
        <f>INDEX(Python0831!$B$1:$BV$49,MATCH($D41,Python0831!$A$1:$A$49,0),MATCH(BV$5,Python0831!$B$1:$BV$1,0))</f>
        <v>24</v>
      </c>
      <c r="BW41" s="5">
        <f>INDEX(Python0831!$B$1:$BV$49,MATCH($D41,Python0831!$A$1:$A$49,0),MATCH(BW$5,Python0831!$B$1:$BV$1,0))</f>
        <v>35.479999999999997</v>
      </c>
      <c r="BX41" s="382">
        <f>INDEX(Python0831!$B$1:$BV$49,MATCH($D41,Python0831!$A$1:$A$49,0),MATCH(BX$5,Python0831!$B$1:$BV$1,0))</f>
        <v>26.666666666666668</v>
      </c>
      <c r="BY41" s="5">
        <f>INDEX(Python0831!$B$1:$BV$49,MATCH($D41,Python0831!$A$1:$A$49,0),MATCH(BY$5,Python0831!$B$1:$BV$1,0))</f>
        <v>57.656154923340402</v>
      </c>
    </row>
    <row r="42" spans="1:77">
      <c r="A42" s="2">
        <v>37</v>
      </c>
      <c r="B42" s="58">
        <f>INDEX(順位表[Comprehensive],MATCH($C42,順位表['#],0))</f>
        <v>36</v>
      </c>
      <c r="C42" s="3">
        <v>37</v>
      </c>
      <c r="D42" s="1" t="str">
        <f>INDEX(都市マスタ[City Name],MATCH($C42,都市マスタ['#],0))</f>
        <v>Washington, DC</v>
      </c>
      <c r="E42" s="5">
        <f>INDEX(Python0831!$B$1:$BV$49,MATCH($D42,Python0831!$A$1:$A$49,0),MATCH(E$5,Python0831!$B$1:$BV$1,0))</f>
        <v>670050</v>
      </c>
      <c r="F42" s="5">
        <f>INDEX(Python0831!$B$1:$BV$49,MATCH($D42,Python0831!$A$1:$A$49,0),MATCH(F$5,Python0831!$B$1:$BV$1,0))</f>
        <v>158.32608870000001</v>
      </c>
      <c r="G42" s="7">
        <f>INDEX(Python0831!$B$1:$BV$49,MATCH($D42,Python0831!$A$1:$A$49,0),MATCH(G$5,Python0831!$B$1:$BV$1,0))</f>
        <v>1</v>
      </c>
      <c r="H42" s="5">
        <f>INDEX(Python0831!$B$1:$BV$49,MATCH($D42,Python0831!$A$1:$A$49,0),MATCH(H$5,Python0831!$B$1:$BV$1,0))</f>
        <v>153670.5</v>
      </c>
      <c r="I42" s="5">
        <f>INDEX(Python0831!$B$1:$BV$49,MATCH($D42,Python0831!$A$1:$A$49,0),MATCH(I$5,Python0831!$B$1:$BV$1,0))</f>
        <v>229341.84016118199</v>
      </c>
      <c r="J42" s="328">
        <f>INDEX(Python0831!$B$1:$BV$49,MATCH($D42,Python0831!$A$1:$A$49,0),MATCH(J$5,Python0831!$B$1:$BV$1,0))</f>
        <v>1.54490217464131E-2</v>
      </c>
      <c r="K42" s="5">
        <f>INDEX(Python0831!$B$1:$BV$49,MATCH($D42,Python0831!$A$1:$A$49,0),MATCH(K$5,Python0831!$B$1:$BV$1,0))</f>
        <v>70.616666666666603</v>
      </c>
      <c r="L42" s="5">
        <f>INDEX(Python0831!$B$1:$BV$49,MATCH($D42,Python0831!$A$1:$A$49,0),MATCH(L$5,Python0831!$B$1:$BV$1,0))</f>
        <v>0</v>
      </c>
      <c r="M42" s="5">
        <f>INDEX(Python0831!$B$1:$BV$49,MATCH($D42,Python0831!$A$1:$A$49,0),MATCH(M$5,Python0831!$B$1:$BV$1,0))</f>
        <v>593045</v>
      </c>
      <c r="N42" s="5">
        <f>INDEX(Python0831!$B$1:$BV$49,MATCH($D42,Python0831!$A$1:$A$49,0),MATCH(N$5,Python0831!$B$1:$BV$1,0))</f>
        <v>869482</v>
      </c>
      <c r="O42" s="328">
        <f>INDEX(Python0831!$B$1:$BV$49,MATCH($D42,Python0831!$A$1:$A$49,0),MATCH(O$5,Python0831!$B$1:$BV$1,0))</f>
        <v>0.13536220416293801</v>
      </c>
      <c r="P42" s="5">
        <f>INDEX(Python0831!$B$1:$BV$49,MATCH($D42,Python0831!$A$1:$A$49,0),MATCH(P$5,Python0831!$B$1:$BV$1,0))</f>
        <v>92.504678341869294</v>
      </c>
      <c r="Q42" s="5">
        <f>INDEX(Python0831!$B$1:$BV$49,MATCH($D42,Python0831!$A$1:$A$49,0),MATCH(Q$5,Python0831!$B$1:$BV$1,0))</f>
        <v>93.181818181818102</v>
      </c>
      <c r="R42" s="5">
        <f>INDEX(Python0831!$B$1:$BV$49,MATCH($D42,Python0831!$A$1:$A$49,0),MATCH(R$5,Python0831!$B$1:$BV$1,0))</f>
        <v>37.769469851647997</v>
      </c>
      <c r="S42" s="327">
        <f>INDEX(Python0831!$B$1:$BV$49,MATCH($D42,Python0831!$A$1:$A$49,0),MATCH(S$5,Python0831!$B$1:$BV$1,0))</f>
        <v>0.275175</v>
      </c>
      <c r="T42" s="5">
        <f>INDEX(Python0831!$B$1:$BV$49,MATCH($D42,Python0831!$A$1:$A$49,0),MATCH(T$5,Python0831!$B$1:$BV$1,0))</f>
        <v>95.976777923657707</v>
      </c>
      <c r="U42" s="5">
        <f>INDEX(Python0831!$B$1:$BV$49,MATCH($D42,Python0831!$A$1:$A$49,0),MATCH(U$5,Python0831!$B$1:$BV$1,0))</f>
        <v>35179.825521536397</v>
      </c>
      <c r="V42" s="5">
        <f>INDEX(Python0831!$B$1:$BV$49,MATCH($D42,Python0831!$A$1:$A$49,0),MATCH(V$5,Python0831!$B$1:$BV$1,0))</f>
        <v>167</v>
      </c>
      <c r="W42" s="5">
        <f>INDEX(Python0831!$B$1:$BV$49,MATCH($D42,Python0831!$A$1:$A$49,0),MATCH(W$5,Python0831!$B$1:$BV$1,0))</f>
        <v>15984.3472660633</v>
      </c>
      <c r="X42" s="5">
        <f>INDEX(Python0831!$B$1:$BV$49,MATCH($D42,Python0831!$A$1:$A$49,0),MATCH(X$5,Python0831!$B$1:$BV$1,0))</f>
        <v>16790.7</v>
      </c>
      <c r="Y42" s="5">
        <f>INDEX(Python0831!$B$1:$BV$49,MATCH($D42,Python0831!$A$1:$A$49,0),MATCH(Y$5,Python0831!$B$1:$BV$1,0))</f>
        <v>495</v>
      </c>
      <c r="Z42" s="5">
        <f>INDEX(Python0831!$B$1:$BV$49,MATCH($D42,Python0831!$A$1:$A$49,0),MATCH(Z$5,Python0831!$B$1:$BV$1,0))</f>
        <v>6802.0640631830302</v>
      </c>
      <c r="AA42" s="7">
        <f>INDEX(Python0831!$B$1:$BV$49,MATCH($D42,Python0831!$A$1:$A$49,0),MATCH(AA$5,Python0831!$B$1:$BV$1,0))</f>
        <v>5.6</v>
      </c>
      <c r="AB42" s="5">
        <f>INDEX(Python0831!$B$1:$BV$49,MATCH($D42,Python0831!$A$1:$A$49,0),MATCH(AB$5,Python0831!$B$1:$BV$1,0))</f>
        <v>157.666666666666</v>
      </c>
      <c r="AC42" s="5">
        <f>INDEX(Python0831!$B$1:$BV$49,MATCH($D42,Python0831!$A$1:$A$49,0),MATCH(AC$5,Python0831!$B$1:$BV$1,0))</f>
        <v>45</v>
      </c>
      <c r="AD42" s="5">
        <f>INDEX(Python0831!$B$1:$BV$49,MATCH($D42,Python0831!$A$1:$A$49,0),MATCH(AD$5,Python0831!$B$1:$BV$1,0))</f>
        <v>12.5</v>
      </c>
      <c r="AE42" s="5">
        <f>INDEX(Python0831!$B$1:$BV$49,MATCH($D42,Python0831!$A$1:$A$49,0),MATCH(AE$5,Python0831!$B$1:$BV$1,0))</f>
        <v>13.495360774656801</v>
      </c>
      <c r="AF42" s="5">
        <f>INDEX(Python0831!$B$1:$BV$49,MATCH($D42,Python0831!$A$1:$A$49,0),MATCH(AF$5,Python0831!$B$1:$BV$1,0))</f>
        <v>4.1818600445676699</v>
      </c>
      <c r="AG42" s="5">
        <f>INDEX(Python0831!$B$1:$BV$49,MATCH($D42,Python0831!$A$1:$A$49,0),MATCH(AG$5,Python0831!$B$1:$BV$1,0))</f>
        <v>32.862093801500698</v>
      </c>
      <c r="AH42" s="5">
        <f>INDEX(Python0831!$B$1:$BV$49,MATCH($D42,Python0831!$A$1:$A$49,0),MATCH(AH$5,Python0831!$B$1:$BV$1,0))</f>
        <v>0</v>
      </c>
      <c r="AI42" s="5">
        <f>INDEX(Python0831!$B$1:$BV$49,MATCH($D42,Python0831!$A$1:$A$49,0),MATCH(AI$5,Python0831!$B$1:$BV$1,0))</f>
        <v>17.070396785637001</v>
      </c>
      <c r="AJ42" s="5">
        <f>INDEX(Python0831!$B$1:$BV$49,MATCH($D42,Python0831!$A$1:$A$49,0),MATCH(AJ$5,Python0831!$B$1:$BV$1,0))</f>
        <v>39.5</v>
      </c>
      <c r="AK42" s="5">
        <f>INDEX(Python0831!$B$1:$BV$49,MATCH($D42,Python0831!$A$1:$A$49,0),MATCH(AK$5,Python0831!$B$1:$BV$1,0))</f>
        <v>119</v>
      </c>
      <c r="AL42" s="5">
        <f>INDEX(Python0831!$B$1:$BV$49,MATCH($D42,Python0831!$A$1:$A$49,0),MATCH(AL$5,Python0831!$B$1:$BV$1,0))</f>
        <v>5</v>
      </c>
      <c r="AM42" s="5">
        <f>INDEX(Python0831!$B$1:$BV$49,MATCH($D42,Python0831!$A$1:$A$49,0),MATCH(AM$5,Python0831!$B$1:$BV$1,0))</f>
        <v>47053</v>
      </c>
      <c r="AN42" s="5">
        <f>INDEX(Python0831!$B$1:$BV$49,MATCH($D42,Python0831!$A$1:$A$49,0),MATCH(AN$5,Python0831!$B$1:$BV$1,0))</f>
        <v>3645</v>
      </c>
      <c r="AO42" s="5">
        <f>INDEX(Python0831!$B$1:$BV$49,MATCH($D42,Python0831!$A$1:$A$49,0),MATCH(AO$5,Python0831!$B$1:$BV$1,0))</f>
        <v>0.50949265257964105</v>
      </c>
      <c r="AP42" s="5">
        <f>INDEX(Python0831!$B$1:$BV$49,MATCH($D42,Python0831!$A$1:$A$49,0),MATCH(AP$5,Python0831!$B$1:$BV$1,0))</f>
        <v>18.177718815210799</v>
      </c>
      <c r="AQ42" s="5">
        <f>INDEX(Python0831!$B$1:$BV$49,MATCH($D42,Python0831!$A$1:$A$49,0),MATCH(AQ$5,Python0831!$B$1:$BV$1,0))</f>
        <v>44326</v>
      </c>
      <c r="AR42" s="5">
        <f>INDEX(Python0831!$B$1:$BV$49,MATCH($D42,Python0831!$A$1:$A$49,0),MATCH(AR$5,Python0831!$B$1:$BV$1,0))</f>
        <v>617426.52201204898</v>
      </c>
      <c r="AS42" s="328">
        <f>INDEX(Python0831!$B$1:$BV$49,MATCH($D42,Python0831!$A$1:$A$49,0),MATCH(AS$5,Python0831!$B$1:$BV$1,0))</f>
        <v>4.7E-2</v>
      </c>
      <c r="AT42" s="5">
        <f>INDEX(Python0831!$B$1:$BV$49,MATCH($D42,Python0831!$A$1:$A$49,0),MATCH(AT$5,Python0831!$B$1:$BV$1,0))</f>
        <v>2180.9884169884099</v>
      </c>
      <c r="AU42" s="7">
        <f>INDEX(Python0831!$B$1:$BV$49,MATCH($D42,Python0831!$A$1:$A$49,0),MATCH(AU$5,Python0831!$B$1:$BV$1,0))</f>
        <v>0.70547945205479401</v>
      </c>
      <c r="AV42" s="5">
        <f>INDEX(Python0831!$B$1:$BV$49,MATCH($D42,Python0831!$A$1:$A$49,0),MATCH(AV$5,Python0831!$B$1:$BV$1,0))</f>
        <v>3424.3</v>
      </c>
      <c r="AW42" s="5">
        <f>INDEX(Python0831!$B$1:$BV$49,MATCH($D42,Python0831!$A$1:$A$49,0),MATCH(AW$5,Python0831!$B$1:$BV$1,0))</f>
        <v>48.443679800787102</v>
      </c>
      <c r="AX42" s="5">
        <f>INDEX(Python0831!$B$1:$BV$49,MATCH($D42,Python0831!$A$1:$A$49,0),MATCH(AX$5,Python0831!$B$1:$BV$1,0))</f>
        <v>277.77154272631299</v>
      </c>
      <c r="AY42" s="329">
        <f>INDEX(Python0831!$B$1:$BV$49,MATCH($D42,Python0831!$A$1:$A$49,0),MATCH(AY$5,Python0831!$B$1:$BV$1,0))</f>
        <v>1.1999999999999999E-3</v>
      </c>
      <c r="AZ42" s="5">
        <f>INDEX(Python0831!$B$1:$BV$49,MATCH($D42,Python0831!$A$1:$A$49,0),MATCH(AZ$5,Python0831!$B$1:$BV$1,0))</f>
        <v>78.5</v>
      </c>
      <c r="BA42" s="5">
        <f>INDEX(Python0831!$B$1:$BV$49,MATCH($D42,Python0831!$A$1:$A$49,0),MATCH(BA$5,Python0831!$B$1:$BV$1,0))</f>
        <v>67.750995245412895</v>
      </c>
      <c r="BB42" s="5">
        <f>INDEX(Python0831!$B$1:$BV$49,MATCH($D42,Python0831!$A$1:$A$49,0),MATCH(BB$5,Python0831!$B$1:$BV$1,0))</f>
        <v>52.542387828333801</v>
      </c>
      <c r="BC42" s="5">
        <f>INDEX(Python0831!$B$1:$BV$49,MATCH($D42,Python0831!$A$1:$A$49,0),MATCH(BC$5,Python0831!$B$1:$BV$1,0))</f>
        <v>6649.3304024027402</v>
      </c>
      <c r="BD42" s="5">
        <f>INDEX(Python0831!$B$1:$BV$49,MATCH($D42,Python0831!$A$1:$A$49,0),MATCH(BD$5,Python0831!$B$1:$BV$1,0))</f>
        <v>88.068681249780397</v>
      </c>
      <c r="BE42" s="5">
        <f>INDEX(Python0831!$B$1:$BV$49,MATCH($D42,Python0831!$A$1:$A$49,0),MATCH(BE$5,Python0831!$B$1:$BV$1,0))</f>
        <v>22.702133575080101</v>
      </c>
      <c r="BF42" s="5">
        <f>INDEX(Python0831!$B$1:$BV$49,MATCH($D42,Python0831!$A$1:$A$49,0),MATCH(BF$5,Python0831!$B$1:$BV$1,0))</f>
        <v>28.116591005544201</v>
      </c>
      <c r="BG42" s="5">
        <f>INDEX(Python0831!$B$1:$BV$49,MATCH($D42,Python0831!$A$1:$A$49,0),MATCH(BG$5,Python0831!$B$1:$BV$1,0))</f>
        <v>41.062937062937003</v>
      </c>
      <c r="BH42" s="327">
        <f>INDEX(Python0831!$B$1:$BV$49,MATCH($D42,Python0831!$A$1:$A$49,0),MATCH(BH$5,Python0831!$B$1:$BV$1,0))</f>
        <v>0.08</v>
      </c>
      <c r="BI42" s="327">
        <f>INDEX(Python0831!$B$1:$BV$49,MATCH($D42,Python0831!$A$1:$A$49,0),MATCH(BI$5,Python0831!$B$1:$BV$1,0))</f>
        <v>0.23619984556450299</v>
      </c>
      <c r="BJ42" s="5">
        <f>INDEX(Python0831!$B$1:$BV$49,MATCH($D42,Python0831!$A$1:$A$49,0),MATCH(BJ$5,Python0831!$B$1:$BV$1,0))</f>
        <v>44.796103277835797</v>
      </c>
      <c r="BK42" s="5">
        <f>INDEX(Python0831!$B$1:$BV$49,MATCH($D42,Python0831!$A$1:$A$49,0),MATCH(BK$5,Python0831!$B$1:$BV$1,0))</f>
        <v>9.8000000000000007</v>
      </c>
      <c r="BL42" s="7">
        <f>INDEX(Python0831!$B$1:$BV$49,MATCH($D42,Python0831!$A$1:$A$49,0),MATCH(BL$5,Python0831!$B$1:$BV$1,0))</f>
        <v>0.98608417930877101</v>
      </c>
      <c r="BM42" s="5">
        <f>INDEX(Python0831!$B$1:$BV$49,MATCH($D42,Python0831!$A$1:$A$49,0),MATCH(BM$5,Python0831!$B$1:$BV$1,0))</f>
        <v>51.6</v>
      </c>
      <c r="BN42" s="5">
        <f>INDEX(Python0831!$B$1:$BV$49,MATCH($D42,Python0831!$A$1:$A$49,0),MATCH(BN$5,Python0831!$B$1:$BV$1,0))</f>
        <v>74.333655119432706</v>
      </c>
      <c r="BO42" s="5">
        <f>INDEX(Python0831!$B$1:$BV$49,MATCH($D42,Python0831!$A$1:$A$49,0),MATCH(BO$5,Python0831!$B$1:$BV$1,0))</f>
        <v>57.571795732952602</v>
      </c>
      <c r="BP42" s="5">
        <f>INDEX(Python0831!$B$1:$BV$49,MATCH($D42,Python0831!$A$1:$A$49,0),MATCH(BP$5,Python0831!$B$1:$BV$1,0))</f>
        <v>65.999999999999901</v>
      </c>
      <c r="BQ42" s="7">
        <f>INDEX(Python0831!$B$1:$BV$49,MATCH($D42,Python0831!$A$1:$A$49,0),MATCH(BQ$5,Python0831!$B$1:$BV$1,0))</f>
        <v>1.93989854757905</v>
      </c>
      <c r="BR42" s="5">
        <f>INDEX(Python0831!$B$1:$BV$49,MATCH($D42,Python0831!$A$1:$A$49,0),MATCH(BR$5,Python0831!$B$1:$BV$1,0))</f>
        <v>44030570</v>
      </c>
      <c r="BS42" s="5">
        <f>INDEX(Python0831!$B$1:$BV$49,MATCH($D42,Python0831!$A$1:$A$49,0),MATCH(BS$5,Python0831!$B$1:$BV$1,0))</f>
        <v>229658</v>
      </c>
      <c r="BT42" s="8">
        <f>INDEX(Python0831!$B$1:$BV$49,MATCH($D42,Python0831!$A$1:$A$49,0),MATCH(BT$5,Python0831!$B$1:$BV$1,0))</f>
        <v>0.26101410667070801</v>
      </c>
      <c r="BU42" s="8">
        <f>INDEX(Python0831!$B$1:$BV$49,MATCH($D42,Python0831!$A$1:$A$49,0),MATCH(BU$5,Python0831!$B$1:$BV$1,0))</f>
        <v>0.19704311094545901</v>
      </c>
      <c r="BV42" s="5">
        <f>INDEX(Python0831!$B$1:$BV$49,MATCH($D42,Python0831!$A$1:$A$49,0),MATCH(BV$5,Python0831!$B$1:$BV$1,0))</f>
        <v>37.589648964344498</v>
      </c>
      <c r="BW42" s="5">
        <f>INDEX(Python0831!$B$1:$BV$49,MATCH($D42,Python0831!$A$1:$A$49,0),MATCH(BW$5,Python0831!$B$1:$BV$1,0))</f>
        <v>31.08</v>
      </c>
      <c r="BX42" s="382">
        <f>INDEX(Python0831!$B$1:$BV$49,MATCH($D42,Python0831!$A$1:$A$49,0),MATCH(BX$5,Python0831!$B$1:$BV$1,0))</f>
        <v>29.032258064516128</v>
      </c>
      <c r="BY42" s="5">
        <f>INDEX(Python0831!$B$1:$BV$49,MATCH($D42,Python0831!$A$1:$A$49,0),MATCH(BY$5,Python0831!$B$1:$BV$1,0))</f>
        <v>48.529943945244497</v>
      </c>
    </row>
    <row r="43" spans="1:77">
      <c r="A43" s="2">
        <v>38</v>
      </c>
      <c r="B43" s="58">
        <f>INDEX(順位表[Comprehensive],MATCH($C43,順位表['#],0))</f>
        <v>2</v>
      </c>
      <c r="C43" s="3">
        <v>38</v>
      </c>
      <c r="D43" s="1" t="str">
        <f>INDEX(都市マスタ[City Name],MATCH($C43,都市マスタ['#],0))</f>
        <v>New York</v>
      </c>
      <c r="E43" s="5">
        <f>INDEX(Python0831!$B$1:$BV$49,MATCH($D43,Python0831!$A$1:$A$49,0),MATCH(E$5,Python0831!$B$1:$BV$1,0))</f>
        <v>8467513</v>
      </c>
      <c r="F43" s="5">
        <f>INDEX(Python0831!$B$1:$BV$49,MATCH($D43,Python0831!$A$1:$A$49,0),MATCH(F$5,Python0831!$B$1:$BV$1,0))</f>
        <v>778.16249549999895</v>
      </c>
      <c r="G43" s="7">
        <f>INDEX(Python0831!$B$1:$BV$49,MATCH($D43,Python0831!$A$1:$A$49,0),MATCH(G$5,Python0831!$B$1:$BV$1,0))</f>
        <v>1</v>
      </c>
      <c r="H43" s="5">
        <f>INDEX(Python0831!$B$1:$BV$49,MATCH($D43,Python0831!$A$1:$A$49,0),MATCH(H$5,Python0831!$B$1:$BV$1,0))</f>
        <v>905077.36801702098</v>
      </c>
      <c r="I43" s="5">
        <f>INDEX(Python0831!$B$1:$BV$49,MATCH($D43,Python0831!$A$1:$A$49,0),MATCH(I$5,Python0831!$B$1:$BV$1,0))</f>
        <v>106888.217120776</v>
      </c>
      <c r="J43" s="328">
        <f>INDEX(Python0831!$B$1:$BV$49,MATCH($D43,Python0831!$A$1:$A$49,0),MATCH(J$5,Python0831!$B$1:$BV$1,0))</f>
        <v>3.0302904506341401E-2</v>
      </c>
      <c r="K43" s="5">
        <f>INDEX(Python0831!$B$1:$BV$49,MATCH($D43,Python0831!$A$1:$A$49,0),MATCH(K$5,Python0831!$B$1:$BV$1,0))</f>
        <v>70.616666666666603</v>
      </c>
      <c r="L43" s="5">
        <f>INDEX(Python0831!$B$1:$BV$49,MATCH($D43,Python0831!$A$1:$A$49,0),MATCH(L$5,Python0831!$B$1:$BV$1,0))</f>
        <v>40297980.32</v>
      </c>
      <c r="M43" s="5">
        <f>INDEX(Python0831!$B$1:$BV$49,MATCH($D43,Python0831!$A$1:$A$49,0),MATCH(M$5,Python0831!$B$1:$BV$1,0))</f>
        <v>1183274.8</v>
      </c>
      <c r="N43" s="5">
        <f>INDEX(Python0831!$B$1:$BV$49,MATCH($D43,Python0831!$A$1:$A$49,0),MATCH(N$5,Python0831!$B$1:$BV$1,0))</f>
        <v>5751282</v>
      </c>
      <c r="O43" s="328">
        <f>INDEX(Python0831!$B$1:$BV$49,MATCH($D43,Python0831!$A$1:$A$49,0),MATCH(O$5,Python0831!$B$1:$BV$1,0))</f>
        <v>0.17147550754770799</v>
      </c>
      <c r="P43" s="5">
        <f>INDEX(Python0831!$B$1:$BV$49,MATCH($D43,Python0831!$A$1:$A$49,0),MATCH(P$5,Python0831!$B$1:$BV$1,0))</f>
        <v>100</v>
      </c>
      <c r="Q43" s="5">
        <f>INDEX(Python0831!$B$1:$BV$49,MATCH($D43,Python0831!$A$1:$A$49,0),MATCH(Q$5,Python0831!$B$1:$BV$1,0))</f>
        <v>87.099567099567096</v>
      </c>
      <c r="R43" s="5">
        <f>INDEX(Python0831!$B$1:$BV$49,MATCH($D43,Python0831!$A$1:$A$49,0),MATCH(R$5,Python0831!$B$1:$BV$1,0))</f>
        <v>57.9965730256488</v>
      </c>
      <c r="S43" s="327">
        <f>INDEX(Python0831!$B$1:$BV$49,MATCH($D43,Python0831!$A$1:$A$49,0),MATCH(S$5,Python0831!$B$1:$BV$1,0))</f>
        <v>0.34076218250000001</v>
      </c>
      <c r="T43" s="5">
        <f>INDEX(Python0831!$B$1:$BV$49,MATCH($D43,Python0831!$A$1:$A$49,0),MATCH(T$5,Python0831!$B$1:$BV$1,0))</f>
        <v>98.194403425871201</v>
      </c>
      <c r="U43" s="5">
        <f>INDEX(Python0831!$B$1:$BV$49,MATCH($D43,Python0831!$A$1:$A$49,0),MATCH(U$5,Python0831!$B$1:$BV$1,0))</f>
        <v>102333.390527417</v>
      </c>
      <c r="V43" s="5">
        <f>INDEX(Python0831!$B$1:$BV$49,MATCH($D43,Python0831!$A$1:$A$49,0),MATCH(V$5,Python0831!$B$1:$BV$1,0))</f>
        <v>371</v>
      </c>
      <c r="W43" s="5">
        <f>INDEX(Python0831!$B$1:$BV$49,MATCH($D43,Python0831!$A$1:$A$49,0),MATCH(W$5,Python0831!$B$1:$BV$1,0))</f>
        <v>44733.281477682802</v>
      </c>
      <c r="X43" s="5">
        <f>INDEX(Python0831!$B$1:$BV$49,MATCH($D43,Python0831!$A$1:$A$49,0),MATCH(X$5,Python0831!$B$1:$BV$1,0))</f>
        <v>39437.46</v>
      </c>
      <c r="Y43" s="5">
        <f>INDEX(Python0831!$B$1:$BV$49,MATCH($D43,Python0831!$A$1:$A$49,0),MATCH(Y$5,Python0831!$B$1:$BV$1,0))</f>
        <v>495</v>
      </c>
      <c r="Z43" s="5">
        <f>INDEX(Python0831!$B$1:$BV$49,MATCH($D43,Python0831!$A$1:$A$49,0),MATCH(Z$5,Python0831!$B$1:$BV$1,0))</f>
        <v>19307.480818166801</v>
      </c>
      <c r="AA43" s="7">
        <f>INDEX(Python0831!$B$1:$BV$49,MATCH($D43,Python0831!$A$1:$A$49,0),MATCH(AA$5,Python0831!$B$1:$BV$1,0))</f>
        <v>9.6</v>
      </c>
      <c r="AB43" s="5">
        <f>INDEX(Python0831!$B$1:$BV$49,MATCH($D43,Python0831!$A$1:$A$49,0),MATCH(AB$5,Python0831!$B$1:$BV$1,0))</f>
        <v>1443</v>
      </c>
      <c r="AC43" s="5">
        <f>INDEX(Python0831!$B$1:$BV$49,MATCH($D43,Python0831!$A$1:$A$49,0),MATCH(AC$5,Python0831!$B$1:$BV$1,0))</f>
        <v>39</v>
      </c>
      <c r="AD43" s="5">
        <f>INDEX(Python0831!$B$1:$BV$49,MATCH($D43,Python0831!$A$1:$A$49,0),MATCH(AD$5,Python0831!$B$1:$BV$1,0))</f>
        <v>31.25</v>
      </c>
      <c r="AE43" s="5">
        <f>INDEX(Python0831!$B$1:$BV$49,MATCH($D43,Python0831!$A$1:$A$49,0),MATCH(AE$5,Python0831!$B$1:$BV$1,0))</f>
        <v>110.281243433163</v>
      </c>
      <c r="AF43" s="5">
        <f>INDEX(Python0831!$B$1:$BV$49,MATCH($D43,Python0831!$A$1:$A$49,0),MATCH(AF$5,Python0831!$B$1:$BV$1,0))</f>
        <v>100</v>
      </c>
      <c r="AG43" s="5">
        <f>INDEX(Python0831!$B$1:$BV$49,MATCH($D43,Python0831!$A$1:$A$49,0),MATCH(AG$5,Python0831!$B$1:$BV$1,0))</f>
        <v>69.068737813450895</v>
      </c>
      <c r="AH43" s="5">
        <f>INDEX(Python0831!$B$1:$BV$49,MATCH($D43,Python0831!$A$1:$A$49,0),MATCH(AH$5,Python0831!$B$1:$BV$1,0))</f>
        <v>1.25</v>
      </c>
      <c r="AI43" s="5">
        <f>INDEX(Python0831!$B$1:$BV$49,MATCH($D43,Python0831!$A$1:$A$49,0),MATCH(AI$5,Python0831!$B$1:$BV$1,0))</f>
        <v>54.358945524244298</v>
      </c>
      <c r="AJ43" s="5">
        <f>INDEX(Python0831!$B$1:$BV$49,MATCH($D43,Python0831!$A$1:$A$49,0),MATCH(AJ$5,Python0831!$B$1:$BV$1,0))</f>
        <v>197.5</v>
      </c>
      <c r="AK43" s="5">
        <f>INDEX(Python0831!$B$1:$BV$49,MATCH($D43,Python0831!$A$1:$A$49,0),MATCH(AK$5,Python0831!$B$1:$BV$1,0))</f>
        <v>167</v>
      </c>
      <c r="AL43" s="5">
        <f>INDEX(Python0831!$B$1:$BV$49,MATCH($D43,Python0831!$A$1:$A$49,0),MATCH(AL$5,Python0831!$B$1:$BV$1,0))</f>
        <v>6</v>
      </c>
      <c r="AM43" s="5">
        <f>INDEX(Python0831!$B$1:$BV$49,MATCH($D43,Python0831!$A$1:$A$49,0),MATCH(AM$5,Python0831!$B$1:$BV$1,0))</f>
        <v>128561</v>
      </c>
      <c r="AN43" s="5">
        <f>INDEX(Python0831!$B$1:$BV$49,MATCH($D43,Python0831!$A$1:$A$49,0),MATCH(AN$5,Python0831!$B$1:$BV$1,0))</f>
        <v>12444</v>
      </c>
      <c r="AO43" s="5">
        <f>INDEX(Python0831!$B$1:$BV$49,MATCH($D43,Python0831!$A$1:$A$49,0),MATCH(AO$5,Python0831!$B$1:$BV$1,0))</f>
        <v>65.063161259183403</v>
      </c>
      <c r="AP43" s="5">
        <f>INDEX(Python0831!$B$1:$BV$49,MATCH($D43,Python0831!$A$1:$A$49,0),MATCH(AP$5,Python0831!$B$1:$BV$1,0))</f>
        <v>56.232304794099299</v>
      </c>
      <c r="AQ43" s="5">
        <f>INDEX(Python0831!$B$1:$BV$49,MATCH($D43,Python0831!$A$1:$A$49,0),MATCH(AQ$5,Python0831!$B$1:$BV$1,0))</f>
        <v>1257717</v>
      </c>
      <c r="AR43" s="5">
        <f>INDEX(Python0831!$B$1:$BV$49,MATCH($D43,Python0831!$A$1:$A$49,0),MATCH(AR$5,Python0831!$B$1:$BV$1,0))</f>
        <v>3014765.5761299701</v>
      </c>
      <c r="AS43" s="328">
        <f>INDEX(Python0831!$B$1:$BV$49,MATCH($D43,Python0831!$A$1:$A$49,0),MATCH(AS$5,Python0831!$B$1:$BV$1,0))</f>
        <v>5.7000000000000002E-2</v>
      </c>
      <c r="AT43" s="5">
        <f>INDEX(Python0831!$B$1:$BV$49,MATCH($D43,Python0831!$A$1:$A$49,0),MATCH(AT$5,Python0831!$B$1:$BV$1,0))</f>
        <v>2067.0377837143001</v>
      </c>
      <c r="AU43" s="7">
        <f>INDEX(Python0831!$B$1:$BV$49,MATCH($D43,Python0831!$A$1:$A$49,0),MATCH(AU$5,Python0831!$B$1:$BV$1,0))</f>
        <v>0.78709677419354795</v>
      </c>
      <c r="AV43" s="5">
        <f>INDEX(Python0831!$B$1:$BV$49,MATCH($D43,Python0831!$A$1:$A$49,0),MATCH(AV$5,Python0831!$B$1:$BV$1,0))</f>
        <v>4613.7375000000002</v>
      </c>
      <c r="AW43" s="5">
        <f>INDEX(Python0831!$B$1:$BV$49,MATCH($D43,Python0831!$A$1:$A$49,0),MATCH(AW$5,Python0831!$B$1:$BV$1,0))</f>
        <v>64.006438354829498</v>
      </c>
      <c r="AX43" s="5">
        <f>INDEX(Python0831!$B$1:$BV$49,MATCH($D43,Python0831!$A$1:$A$49,0),MATCH(AX$5,Python0831!$B$1:$BV$1,0))</f>
        <v>56.382981158566601</v>
      </c>
      <c r="AY43" s="329">
        <f>INDEX(Python0831!$B$1:$BV$49,MATCH($D43,Python0831!$A$1:$A$49,0),MATCH(AY$5,Python0831!$B$1:$BV$1,0))</f>
        <v>2.0999999999999999E-3</v>
      </c>
      <c r="AZ43" s="5">
        <f>INDEX(Python0831!$B$1:$BV$49,MATCH($D43,Python0831!$A$1:$A$49,0),MATCH(AZ$5,Python0831!$B$1:$BV$1,0))</f>
        <v>78.5</v>
      </c>
      <c r="BA43" s="5">
        <f>INDEX(Python0831!$B$1:$BV$49,MATCH($D43,Python0831!$A$1:$A$49,0),MATCH(BA$5,Python0831!$B$1:$BV$1,0))</f>
        <v>67.750995245412895</v>
      </c>
      <c r="BB43" s="5">
        <f>INDEX(Python0831!$B$1:$BV$49,MATCH($D43,Python0831!$A$1:$A$49,0),MATCH(BB$5,Python0831!$B$1:$BV$1,0))</f>
        <v>52.542387828333801</v>
      </c>
      <c r="BC43" s="5">
        <f>INDEX(Python0831!$B$1:$BV$49,MATCH($D43,Python0831!$A$1:$A$49,0),MATCH(BC$5,Python0831!$B$1:$BV$1,0))</f>
        <v>3602.2271099729201</v>
      </c>
      <c r="BD43" s="5">
        <f>INDEX(Python0831!$B$1:$BV$49,MATCH($D43,Python0831!$A$1:$A$49,0),MATCH(BD$5,Python0831!$B$1:$BV$1,0))</f>
        <v>88.068681249780397</v>
      </c>
      <c r="BE43" s="5">
        <f>INDEX(Python0831!$B$1:$BV$49,MATCH($D43,Python0831!$A$1:$A$49,0),MATCH(BE$5,Python0831!$B$1:$BV$1,0))</f>
        <v>51.713073430742099</v>
      </c>
      <c r="BF43" s="5">
        <f>INDEX(Python0831!$B$1:$BV$49,MATCH($D43,Python0831!$A$1:$A$49,0),MATCH(BF$5,Python0831!$B$1:$BV$1,0))</f>
        <v>54.606881729240399</v>
      </c>
      <c r="BG43" s="5">
        <f>INDEX(Python0831!$B$1:$BV$49,MATCH($D43,Python0831!$A$1:$A$49,0),MATCH(BG$5,Python0831!$B$1:$BV$1,0))</f>
        <v>47.894545454545401</v>
      </c>
      <c r="BH43" s="327">
        <f>INDEX(Python0831!$B$1:$BV$49,MATCH($D43,Python0831!$A$1:$A$49,0),MATCH(BH$5,Python0831!$B$1:$BV$1,0))</f>
        <v>0.08</v>
      </c>
      <c r="BI43" s="327">
        <f>INDEX(Python0831!$B$1:$BV$49,MATCH($D43,Python0831!$A$1:$A$49,0),MATCH(BI$5,Python0831!$B$1:$BV$1,0))</f>
        <v>0.23619984556450299</v>
      </c>
      <c r="BJ43" s="5">
        <f>INDEX(Python0831!$B$1:$BV$49,MATCH($D43,Python0831!$A$1:$A$49,0),MATCH(BJ$5,Python0831!$B$1:$BV$1,0))</f>
        <v>6.2465535712788398</v>
      </c>
      <c r="BK43" s="5">
        <f>INDEX(Python0831!$B$1:$BV$49,MATCH($D43,Python0831!$A$1:$A$49,0),MATCH(BK$5,Python0831!$B$1:$BV$1,0))</f>
        <v>9.9</v>
      </c>
      <c r="BL43" s="7">
        <f>INDEX(Python0831!$B$1:$BV$49,MATCH($D43,Python0831!$A$1:$A$49,0),MATCH(BL$5,Python0831!$B$1:$BV$1,0))</f>
        <v>1.01118466103629</v>
      </c>
      <c r="BM43" s="5">
        <f>INDEX(Python0831!$B$1:$BV$49,MATCH($D43,Python0831!$A$1:$A$49,0),MATCH(BM$5,Python0831!$B$1:$BV$1,0))</f>
        <v>50.2</v>
      </c>
      <c r="BN43" s="5">
        <f>INDEX(Python0831!$B$1:$BV$49,MATCH($D43,Python0831!$A$1:$A$49,0),MATCH(BN$5,Python0831!$B$1:$BV$1,0))</f>
        <v>50.664966497512196</v>
      </c>
      <c r="BO43" s="5">
        <f>INDEX(Python0831!$B$1:$BV$49,MATCH($D43,Python0831!$A$1:$A$49,0),MATCH(BO$5,Python0831!$B$1:$BV$1,0))</f>
        <v>27.7950641548276</v>
      </c>
      <c r="BP43" s="5">
        <f>INDEX(Python0831!$B$1:$BV$49,MATCH($D43,Python0831!$A$1:$A$49,0),MATCH(BP$5,Python0831!$B$1:$BV$1,0))</f>
        <v>140</v>
      </c>
      <c r="BQ43" s="7">
        <f>INDEX(Python0831!$B$1:$BV$49,MATCH($D43,Python0831!$A$1:$A$49,0),MATCH(BQ$5,Python0831!$B$1:$BV$1,0))</f>
        <v>24.228704044496499</v>
      </c>
      <c r="BR43" s="5">
        <f>INDEX(Python0831!$B$1:$BV$49,MATCH($D43,Python0831!$A$1:$A$49,0),MATCH(BR$5,Python0831!$B$1:$BV$1,0))</f>
        <v>127850557</v>
      </c>
      <c r="BS43" s="5">
        <f>INDEX(Python0831!$B$1:$BV$49,MATCH($D43,Python0831!$A$1:$A$49,0),MATCH(BS$5,Python0831!$B$1:$BV$1,0))</f>
        <v>1189262</v>
      </c>
      <c r="BT43" s="8">
        <f>INDEX(Python0831!$B$1:$BV$49,MATCH($D43,Python0831!$A$1:$A$49,0),MATCH(BT$5,Python0831!$B$1:$BV$1,0))</f>
        <v>0.97402825172239904</v>
      </c>
      <c r="BU43" s="8">
        <f>INDEX(Python0831!$B$1:$BV$49,MATCH($D43,Python0831!$A$1:$A$49,0),MATCH(BU$5,Python0831!$B$1:$BV$1,0))</f>
        <v>0.68266475644699098</v>
      </c>
      <c r="BV43" s="5">
        <f>INDEX(Python0831!$B$1:$BV$49,MATCH($D43,Python0831!$A$1:$A$49,0),MATCH(BV$5,Python0831!$B$1:$BV$1,0))</f>
        <v>31.1442556405913</v>
      </c>
      <c r="BW43" s="5">
        <f>INDEX(Python0831!$B$1:$BV$49,MATCH($D43,Python0831!$A$1:$A$49,0),MATCH(BW$5,Python0831!$B$1:$BV$1,0))</f>
        <v>34.472499999999997</v>
      </c>
      <c r="BX43" s="382">
        <f>INDEX(Python0831!$B$1:$BV$49,MATCH($D43,Python0831!$A$1:$A$49,0),MATCH(BX$5,Python0831!$B$1:$BV$1,0))</f>
        <v>24.489795918367346</v>
      </c>
      <c r="BY43" s="5">
        <f>INDEX(Python0831!$B$1:$BV$49,MATCH($D43,Python0831!$A$1:$A$49,0),MATCH(BY$5,Python0831!$B$1:$BV$1,0))</f>
        <v>40.444042789689803</v>
      </c>
    </row>
    <row r="44" spans="1:77">
      <c r="A44" s="2">
        <v>39</v>
      </c>
      <c r="B44" s="58">
        <f>INDEX(順位表[Comprehensive],MATCH($C44,順位表['#],0))</f>
        <v>29</v>
      </c>
      <c r="C44" s="3">
        <v>39</v>
      </c>
      <c r="D44" s="1" t="str">
        <f>INDEX(都市マスタ[City Name],MATCH($C44,都市マスタ['#],0))</f>
        <v>Boston</v>
      </c>
      <c r="E44" s="5">
        <f>INDEX(Python0831!$B$1:$BV$49,MATCH($D44,Python0831!$A$1:$A$49,0),MATCH(E$5,Python0831!$B$1:$BV$1,0))</f>
        <v>654776</v>
      </c>
      <c r="F44" s="5">
        <f>INDEX(Python0831!$B$1:$BV$49,MATCH($D44,Python0831!$A$1:$A$49,0),MATCH(F$5,Python0831!$B$1:$BV$1,0))</f>
        <v>125.2001166</v>
      </c>
      <c r="G44" s="7">
        <f>INDEX(Python0831!$B$1:$BV$49,MATCH($D44,Python0831!$A$1:$A$49,0),MATCH(G$5,Python0831!$B$1:$BV$1,0))</f>
        <v>1</v>
      </c>
      <c r="H44" s="5">
        <f>INDEX(Python0831!$B$1:$BV$49,MATCH($D44,Python0831!$A$1:$A$49,0),MATCH(H$5,Python0831!$B$1:$BV$1,0))</f>
        <v>107347.173884023</v>
      </c>
      <c r="I44" s="5">
        <f>INDEX(Python0831!$B$1:$BV$49,MATCH($D44,Python0831!$A$1:$A$49,0),MATCH(I$5,Python0831!$B$1:$BV$1,0))</f>
        <v>163944.88173669099</v>
      </c>
      <c r="J44" s="328">
        <f>INDEX(Python0831!$B$1:$BV$49,MATCH($D44,Python0831!$A$1:$A$49,0),MATCH(J$5,Python0831!$B$1:$BV$1,0))</f>
        <v>2.8083399217038101E-2</v>
      </c>
      <c r="K44" s="5">
        <f>INDEX(Python0831!$B$1:$BV$49,MATCH($D44,Python0831!$A$1:$A$49,0),MATCH(K$5,Python0831!$B$1:$BV$1,0))</f>
        <v>70.616666666666603</v>
      </c>
      <c r="L44" s="5">
        <f>INDEX(Python0831!$B$1:$BV$49,MATCH($D44,Python0831!$A$1:$A$49,0),MATCH(L$5,Python0831!$B$1:$BV$1,0))</f>
        <v>0</v>
      </c>
      <c r="M44" s="5">
        <f>INDEX(Python0831!$B$1:$BV$49,MATCH($D44,Python0831!$A$1:$A$49,0),MATCH(M$5,Python0831!$B$1:$BV$1,0))</f>
        <v>171426</v>
      </c>
      <c r="N44" s="5">
        <f>INDEX(Python0831!$B$1:$BV$49,MATCH($D44,Python0831!$A$1:$A$49,0),MATCH(N$5,Python0831!$B$1:$BV$1,0))</f>
        <v>729323.66070241504</v>
      </c>
      <c r="O44" s="328">
        <f>INDEX(Python0831!$B$1:$BV$49,MATCH($D44,Python0831!$A$1:$A$49,0),MATCH(O$5,Python0831!$B$1:$BV$1,0))</f>
        <v>0.143018807177517</v>
      </c>
      <c r="P44" s="5">
        <f>INDEX(Python0831!$B$1:$BV$49,MATCH($D44,Python0831!$A$1:$A$49,0),MATCH(P$5,Python0831!$B$1:$BV$1,0))</f>
        <v>88.608112393890096</v>
      </c>
      <c r="Q44" s="5">
        <f>INDEX(Python0831!$B$1:$BV$49,MATCH($D44,Python0831!$A$1:$A$49,0),MATCH(Q$5,Python0831!$B$1:$BV$1,0))</f>
        <v>100</v>
      </c>
      <c r="R44" s="5">
        <f>INDEX(Python0831!$B$1:$BV$49,MATCH($D44,Python0831!$A$1:$A$49,0),MATCH(R$5,Python0831!$B$1:$BV$1,0))</f>
        <v>41.694499210365301</v>
      </c>
      <c r="S44" s="327">
        <f>INDEX(Python0831!$B$1:$BV$49,MATCH($D44,Python0831!$A$1:$A$49,0),MATCH(S$5,Python0831!$B$1:$BV$1,0))</f>
        <v>0.2732</v>
      </c>
      <c r="T44" s="5">
        <f>INDEX(Python0831!$B$1:$BV$49,MATCH($D44,Python0831!$A$1:$A$49,0),MATCH(T$5,Python0831!$B$1:$BV$1,0))</f>
        <v>95.976777923657707</v>
      </c>
      <c r="U44" s="5">
        <f>INDEX(Python0831!$B$1:$BV$49,MATCH($D44,Python0831!$A$1:$A$49,0),MATCH(U$5,Python0831!$B$1:$BV$1,0))</f>
        <v>29145.569203662999</v>
      </c>
      <c r="V44" s="5">
        <f>INDEX(Python0831!$B$1:$BV$49,MATCH($D44,Python0831!$A$1:$A$49,0),MATCH(V$5,Python0831!$B$1:$BV$1,0))</f>
        <v>620</v>
      </c>
      <c r="W44" s="5">
        <f>INDEX(Python0831!$B$1:$BV$49,MATCH($D44,Python0831!$A$1:$A$49,0),MATCH(W$5,Python0831!$B$1:$BV$1,0))</f>
        <v>12996.7943519358</v>
      </c>
      <c r="X44" s="5">
        <f>INDEX(Python0831!$B$1:$BV$49,MATCH($D44,Python0831!$A$1:$A$49,0),MATCH(X$5,Python0831!$B$1:$BV$1,0))</f>
        <v>39061.31</v>
      </c>
      <c r="Y44" s="5">
        <f>INDEX(Python0831!$B$1:$BV$49,MATCH($D44,Python0831!$A$1:$A$49,0),MATCH(Y$5,Python0831!$B$1:$BV$1,0))</f>
        <v>495</v>
      </c>
      <c r="Z44" s="5">
        <f>INDEX(Python0831!$B$1:$BV$49,MATCH($D44,Python0831!$A$1:$A$49,0),MATCH(Z$5,Python0831!$B$1:$BV$1,0))</f>
        <v>5555.34800044645</v>
      </c>
      <c r="AA44" s="7">
        <f>INDEX(Python0831!$B$1:$BV$49,MATCH($D44,Python0831!$A$1:$A$49,0),MATCH(AA$5,Python0831!$B$1:$BV$1,0))</f>
        <v>15.35</v>
      </c>
      <c r="AB44" s="5">
        <f>INDEX(Python0831!$B$1:$BV$49,MATCH($D44,Python0831!$A$1:$A$49,0),MATCH(AB$5,Python0831!$B$1:$BV$1,0))</f>
        <v>268.666666666666</v>
      </c>
      <c r="AC44" s="5">
        <f>INDEX(Python0831!$B$1:$BV$49,MATCH($D44,Python0831!$A$1:$A$49,0),MATCH(AC$5,Python0831!$B$1:$BV$1,0))</f>
        <v>15</v>
      </c>
      <c r="AD44" s="5">
        <f>INDEX(Python0831!$B$1:$BV$49,MATCH($D44,Python0831!$A$1:$A$49,0),MATCH(AD$5,Python0831!$B$1:$BV$1,0))</f>
        <v>20.3125</v>
      </c>
      <c r="AE44" s="5">
        <f>INDEX(Python0831!$B$1:$BV$49,MATCH($D44,Python0831!$A$1:$A$49,0),MATCH(AE$5,Python0831!$B$1:$BV$1,0))</f>
        <v>9.7329208404003804</v>
      </c>
      <c r="AF44" s="5">
        <f>INDEX(Python0831!$B$1:$BV$49,MATCH($D44,Python0831!$A$1:$A$49,0),MATCH(AF$5,Python0831!$B$1:$BV$1,0))</f>
        <v>6.2420390806765402</v>
      </c>
      <c r="AG44" s="5">
        <f>INDEX(Python0831!$B$1:$BV$49,MATCH($D44,Python0831!$A$1:$A$49,0),MATCH(AG$5,Python0831!$B$1:$BV$1,0))</f>
        <v>31.595318854660899</v>
      </c>
      <c r="AH44" s="5">
        <f>INDEX(Python0831!$B$1:$BV$49,MATCH($D44,Python0831!$A$1:$A$49,0),MATCH(AH$5,Python0831!$B$1:$BV$1,0))</f>
        <v>0</v>
      </c>
      <c r="AI44" s="5">
        <f>INDEX(Python0831!$B$1:$BV$49,MATCH($D44,Python0831!$A$1:$A$49,0),MATCH(AI$5,Python0831!$B$1:$BV$1,0))</f>
        <v>16.926033930401399</v>
      </c>
      <c r="AJ44" s="5">
        <f>INDEX(Python0831!$B$1:$BV$49,MATCH($D44,Python0831!$A$1:$A$49,0),MATCH(AJ$5,Python0831!$B$1:$BV$1,0))</f>
        <v>48.5</v>
      </c>
      <c r="AK44" s="5">
        <f>INDEX(Python0831!$B$1:$BV$49,MATCH($D44,Python0831!$A$1:$A$49,0),MATCH(AK$5,Python0831!$B$1:$BV$1,0))</f>
        <v>41</v>
      </c>
      <c r="AL44" s="5">
        <f>INDEX(Python0831!$B$1:$BV$49,MATCH($D44,Python0831!$A$1:$A$49,0),MATCH(AL$5,Python0831!$B$1:$BV$1,0))</f>
        <v>2</v>
      </c>
      <c r="AM44" s="5">
        <f>INDEX(Python0831!$B$1:$BV$49,MATCH($D44,Python0831!$A$1:$A$49,0),MATCH(AM$5,Python0831!$B$1:$BV$1,0))</f>
        <v>36057</v>
      </c>
      <c r="AN44" s="5">
        <f>INDEX(Python0831!$B$1:$BV$49,MATCH($D44,Python0831!$A$1:$A$49,0),MATCH(AN$5,Python0831!$B$1:$BV$1,0))</f>
        <v>3115</v>
      </c>
      <c r="AO44" s="5">
        <f>INDEX(Python0831!$B$1:$BV$49,MATCH($D44,Python0831!$A$1:$A$49,0),MATCH(AO$5,Python0831!$B$1:$BV$1,0))</f>
        <v>11.341883155700501</v>
      </c>
      <c r="AP44" s="5">
        <f>INDEX(Python0831!$B$1:$BV$49,MATCH($D44,Python0831!$A$1:$A$49,0),MATCH(AP$5,Python0831!$B$1:$BV$1,0))</f>
        <v>29.122823147186299</v>
      </c>
      <c r="AQ44" s="5">
        <f>INDEX(Python0831!$B$1:$BV$49,MATCH($D44,Python0831!$A$1:$A$49,0),MATCH(AQ$5,Python0831!$B$1:$BV$1,0))</f>
        <v>85349</v>
      </c>
      <c r="AR44" s="5">
        <f>INDEX(Python0831!$B$1:$BV$49,MATCH($D44,Python0831!$A$1:$A$49,0),MATCH(AR$5,Python0831!$B$1:$BV$1,0))</f>
        <v>448891.34250675299</v>
      </c>
      <c r="AS44" s="328">
        <f>INDEX(Python0831!$B$1:$BV$49,MATCH($D44,Python0831!$A$1:$A$49,0),MATCH(AS$5,Python0831!$B$1:$BV$1,0))</f>
        <v>3.5999999999999997E-2</v>
      </c>
      <c r="AT44" s="5">
        <f>INDEX(Python0831!$B$1:$BV$49,MATCH($D44,Python0831!$A$1:$A$49,0),MATCH(AT$5,Python0831!$B$1:$BV$1,0))</f>
        <v>2076.5467181467102</v>
      </c>
      <c r="AU44" s="7">
        <f>INDEX(Python0831!$B$1:$BV$49,MATCH($D44,Python0831!$A$1:$A$49,0),MATCH(AU$5,Python0831!$B$1:$BV$1,0))</f>
        <v>0.56976744186046502</v>
      </c>
      <c r="AV44" s="5">
        <f>INDEX(Python0831!$B$1:$BV$49,MATCH($D44,Python0831!$A$1:$A$49,0),MATCH(AV$5,Python0831!$B$1:$BV$1,0))</f>
        <v>3391.6025</v>
      </c>
      <c r="AW44" s="5">
        <f>INDEX(Python0831!$B$1:$BV$49,MATCH($D44,Python0831!$A$1:$A$49,0),MATCH(AW$5,Python0831!$B$1:$BV$1,0))</f>
        <v>58.796275499553403</v>
      </c>
      <c r="AX44" s="5">
        <f>INDEX(Python0831!$B$1:$BV$49,MATCH($D44,Python0831!$A$1:$A$49,0),MATCH(AX$5,Python0831!$B$1:$BV$1,0))</f>
        <v>83.175228696027503</v>
      </c>
      <c r="AY44" s="329">
        <f>INDEX(Python0831!$B$1:$BV$49,MATCH($D44,Python0831!$A$1:$A$49,0),MATCH(AY$5,Python0831!$B$1:$BV$1,0))</f>
        <v>1.1000000000000001E-3</v>
      </c>
      <c r="AZ44" s="5">
        <f>INDEX(Python0831!$B$1:$BV$49,MATCH($D44,Python0831!$A$1:$A$49,0),MATCH(AZ$5,Python0831!$B$1:$BV$1,0))</f>
        <v>78.5</v>
      </c>
      <c r="BA44" s="5">
        <f>INDEX(Python0831!$B$1:$BV$49,MATCH($D44,Python0831!$A$1:$A$49,0),MATCH(BA$5,Python0831!$B$1:$BV$1,0))</f>
        <v>67.750995245412895</v>
      </c>
      <c r="BB44" s="5">
        <f>INDEX(Python0831!$B$1:$BV$49,MATCH($D44,Python0831!$A$1:$A$49,0),MATCH(BB$5,Python0831!$B$1:$BV$1,0))</f>
        <v>52.542387828333801</v>
      </c>
      <c r="BC44" s="5">
        <f>INDEX(Python0831!$B$1:$BV$49,MATCH($D44,Python0831!$A$1:$A$49,0),MATCH(BC$5,Python0831!$B$1:$BV$1,0))</f>
        <v>5488.6872978695501</v>
      </c>
      <c r="BD44" s="5">
        <f>INDEX(Python0831!$B$1:$BV$49,MATCH($D44,Python0831!$A$1:$A$49,0),MATCH(BD$5,Python0831!$B$1:$BV$1,0))</f>
        <v>88.068681249780397</v>
      </c>
      <c r="BE44" s="5">
        <f>INDEX(Python0831!$B$1:$BV$49,MATCH($D44,Python0831!$A$1:$A$49,0),MATCH(BE$5,Python0831!$B$1:$BV$1,0))</f>
        <v>21.586824719976299</v>
      </c>
      <c r="BF44" s="5">
        <f>INDEX(Python0831!$B$1:$BV$49,MATCH($D44,Python0831!$A$1:$A$49,0),MATCH(BF$5,Python0831!$B$1:$BV$1,0))</f>
        <v>32.268620458489998</v>
      </c>
      <c r="BG44" s="5">
        <f>INDEX(Python0831!$B$1:$BV$49,MATCH($D44,Python0831!$A$1:$A$49,0),MATCH(BG$5,Python0831!$B$1:$BV$1,0))</f>
        <v>33.224242424242398</v>
      </c>
      <c r="BH44" s="327">
        <f>INDEX(Python0831!$B$1:$BV$49,MATCH($D44,Python0831!$A$1:$A$49,0),MATCH(BH$5,Python0831!$B$1:$BV$1,0))</f>
        <v>0.08</v>
      </c>
      <c r="BI44" s="327">
        <f>INDEX(Python0831!$B$1:$BV$49,MATCH($D44,Python0831!$A$1:$A$49,0),MATCH(BI$5,Python0831!$B$1:$BV$1,0))</f>
        <v>0.23619984556450299</v>
      </c>
      <c r="BJ44" s="5">
        <f>INDEX(Python0831!$B$1:$BV$49,MATCH($D44,Python0831!$A$1:$A$49,0),MATCH(BJ$5,Python0831!$B$1:$BV$1,0))</f>
        <v>32.022468508092302</v>
      </c>
      <c r="BK44" s="5">
        <f>INDEX(Python0831!$B$1:$BV$49,MATCH($D44,Python0831!$A$1:$A$49,0),MATCH(BK$5,Python0831!$B$1:$BV$1,0))</f>
        <v>7</v>
      </c>
      <c r="BL44" s="7">
        <f>INDEX(Python0831!$B$1:$BV$49,MATCH($D44,Python0831!$A$1:$A$49,0),MATCH(BL$5,Python0831!$B$1:$BV$1,0))</f>
        <v>1.0529709811146899</v>
      </c>
      <c r="BM44" s="5">
        <f>INDEX(Python0831!$B$1:$BV$49,MATCH($D44,Python0831!$A$1:$A$49,0),MATCH(BM$5,Python0831!$B$1:$BV$1,0))</f>
        <v>62</v>
      </c>
      <c r="BN44" s="5">
        <f>INDEX(Python0831!$B$1:$BV$49,MATCH($D44,Python0831!$A$1:$A$49,0),MATCH(BN$5,Python0831!$B$1:$BV$1,0))</f>
        <v>72.020077203234706</v>
      </c>
      <c r="BO44" s="5">
        <f>INDEX(Python0831!$B$1:$BV$49,MATCH($D44,Python0831!$A$1:$A$49,0),MATCH(BO$5,Python0831!$B$1:$BV$1,0))</f>
        <v>60.879274336676502</v>
      </c>
      <c r="BP44" s="5">
        <f>INDEX(Python0831!$B$1:$BV$49,MATCH($D44,Python0831!$A$1:$A$49,0),MATCH(BP$5,Python0831!$B$1:$BV$1,0))</f>
        <v>50.999999999999901</v>
      </c>
      <c r="BQ44" s="7">
        <f>INDEX(Python0831!$B$1:$BV$49,MATCH($D44,Python0831!$A$1:$A$49,0),MATCH(BQ$5,Python0831!$B$1:$BV$1,0))</f>
        <v>1.2550783041217699</v>
      </c>
      <c r="BR44" s="5">
        <f>INDEX(Python0831!$B$1:$BV$49,MATCH($D44,Python0831!$A$1:$A$49,0),MATCH(BR$5,Python0831!$B$1:$BV$1,0))</f>
        <v>36112473</v>
      </c>
      <c r="BS44" s="5">
        <f>INDEX(Python0831!$B$1:$BV$49,MATCH($D44,Python0831!$A$1:$A$49,0),MATCH(BS$5,Python0831!$B$1:$BV$1,0))</f>
        <v>358653</v>
      </c>
      <c r="BT44" s="8">
        <f>INDEX(Python0831!$B$1:$BV$49,MATCH($D44,Python0831!$A$1:$A$49,0),MATCH(BT$5,Python0831!$B$1:$BV$1,0))</f>
        <v>0.30557749073643897</v>
      </c>
      <c r="BU44" s="8">
        <f>INDEX(Python0831!$B$1:$BV$49,MATCH($D44,Python0831!$A$1:$A$49,0),MATCH(BU$5,Python0831!$B$1:$BV$1,0))</f>
        <v>0.21789394320180899</v>
      </c>
      <c r="BV44" s="5">
        <f>INDEX(Python0831!$B$1:$BV$49,MATCH($D44,Python0831!$A$1:$A$49,0),MATCH(BV$5,Python0831!$B$1:$BV$1,0))</f>
        <v>9</v>
      </c>
      <c r="BW44" s="5">
        <f>INDEX(Python0831!$B$1:$BV$49,MATCH($D44,Python0831!$A$1:$A$49,0),MATCH(BW$5,Python0831!$B$1:$BV$1,0))</f>
        <v>34.4925</v>
      </c>
      <c r="BX44" s="382">
        <f>INDEX(Python0831!$B$1:$BV$49,MATCH($D44,Python0831!$A$1:$A$49,0),MATCH(BX$5,Python0831!$B$1:$BV$1,0))</f>
        <v>32.142857142857146</v>
      </c>
      <c r="BY44" s="5">
        <f>INDEX(Python0831!$B$1:$BV$49,MATCH($D44,Python0831!$A$1:$A$49,0),MATCH(BY$5,Python0831!$B$1:$BV$1,0))</f>
        <v>37.540326636335202</v>
      </c>
    </row>
    <row r="45" spans="1:77">
      <c r="A45" s="2">
        <v>40</v>
      </c>
      <c r="B45" s="58">
        <f>INDEX(順位表[Comprehensive],MATCH($C45,順位表['#],0))</f>
        <v>39</v>
      </c>
      <c r="C45" s="3">
        <v>40</v>
      </c>
      <c r="D45" s="1" t="str">
        <f>INDEX(都市マスタ[City Name],MATCH($C45,都市マスタ['#],0))</f>
        <v>Sao Paulo</v>
      </c>
      <c r="E45" s="5">
        <f>INDEX(Python0831!$B$1:$BV$49,MATCH($D45,Python0831!$A$1:$A$49,0),MATCH(E$5,Python0831!$B$1:$BV$1,0))</f>
        <v>12396372</v>
      </c>
      <c r="F45" s="5">
        <f>INDEX(Python0831!$B$1:$BV$49,MATCH($D45,Python0831!$A$1:$A$49,0),MATCH(F$5,Python0831!$B$1:$BV$1,0))</f>
        <v>1521.202</v>
      </c>
      <c r="G45" s="7">
        <f>INDEX(Python0831!$B$1:$BV$49,MATCH($D45,Python0831!$A$1:$A$49,0),MATCH(G$5,Python0831!$B$1:$BV$1,0))</f>
        <v>5.165</v>
      </c>
      <c r="H45" s="5">
        <f>INDEX(Python0831!$B$1:$BV$49,MATCH($D45,Python0831!$A$1:$A$49,0),MATCH(H$5,Python0831!$B$1:$BV$1,0))</f>
        <v>161460.03266239099</v>
      </c>
      <c r="I45" s="5">
        <f>INDEX(Python0831!$B$1:$BV$49,MATCH($D45,Python0831!$A$1:$A$49,0),MATCH(I$5,Python0831!$B$1:$BV$1,0))</f>
        <v>13024.781174878501</v>
      </c>
      <c r="J45" s="328">
        <f>INDEX(Python0831!$B$1:$BV$49,MATCH($D45,Python0831!$A$1:$A$49,0),MATCH(J$5,Python0831!$B$1:$BV$1,0))</f>
        <v>6.7263512305062003E-3</v>
      </c>
      <c r="K45" s="5">
        <f>INDEX(Python0831!$B$1:$BV$49,MATCH($D45,Python0831!$A$1:$A$49,0),MATCH(K$5,Python0831!$B$1:$BV$1,0))</f>
        <v>53.5</v>
      </c>
      <c r="L45" s="5">
        <f>INDEX(Python0831!$B$1:$BV$49,MATCH($D45,Python0831!$A$1:$A$49,0),MATCH(L$5,Python0831!$B$1:$BV$1,0))</f>
        <v>794417.9</v>
      </c>
      <c r="M45" s="5">
        <f>INDEX(Python0831!$B$1:$BV$49,MATCH($D45,Python0831!$A$1:$A$49,0),MATCH(M$5,Python0831!$B$1:$BV$1,0))</f>
        <v>235818.6</v>
      </c>
      <c r="N45" s="5">
        <f>INDEX(Python0831!$B$1:$BV$49,MATCH($D45,Python0831!$A$1:$A$49,0),MATCH(N$5,Python0831!$B$1:$BV$1,0))</f>
        <v>5894259.7848384799</v>
      </c>
      <c r="O45" s="328">
        <f>INDEX(Python0831!$B$1:$BV$49,MATCH($D45,Python0831!$A$1:$A$49,0),MATCH(O$5,Python0831!$B$1:$BV$1,0))</f>
        <v>0.29949458262297102</v>
      </c>
      <c r="P45" s="5">
        <f>INDEX(Python0831!$B$1:$BV$49,MATCH($D45,Python0831!$A$1:$A$49,0),MATCH(P$5,Python0831!$B$1:$BV$1,0))</f>
        <v>2.8874708350499998</v>
      </c>
      <c r="Q45" s="5">
        <f>INDEX(Python0831!$B$1:$BV$49,MATCH($D45,Python0831!$A$1:$A$49,0),MATCH(Q$5,Python0831!$B$1:$BV$1,0))</f>
        <v>26.003491226235301</v>
      </c>
      <c r="R45" s="5">
        <f>INDEX(Python0831!$B$1:$BV$49,MATCH($D45,Python0831!$A$1:$A$49,0),MATCH(R$5,Python0831!$B$1:$BV$1,0))</f>
        <v>31.249766309801601</v>
      </c>
      <c r="S45" s="327">
        <f>INDEX(Python0831!$B$1:$BV$49,MATCH($D45,Python0831!$A$1:$A$49,0),MATCH(S$5,Python0831!$B$1:$BV$1,0))</f>
        <v>0.34</v>
      </c>
      <c r="T45" s="5">
        <f>INDEX(Python0831!$B$1:$BV$49,MATCH($D45,Python0831!$A$1:$A$49,0),MATCH(T$5,Python0831!$B$1:$BV$1,0))</f>
        <v>30</v>
      </c>
      <c r="U45" s="5">
        <f>INDEX(Python0831!$B$1:$BV$49,MATCH($D45,Python0831!$A$1:$A$49,0),MATCH(U$5,Python0831!$B$1:$BV$1,0))</f>
        <v>19274.251807420202</v>
      </c>
      <c r="V45" s="5">
        <f>INDEX(Python0831!$B$1:$BV$49,MATCH($D45,Python0831!$A$1:$A$49,0),MATCH(V$5,Python0831!$B$1:$BV$1,0))</f>
        <v>2</v>
      </c>
      <c r="W45" s="5">
        <f>INDEX(Python0831!$B$1:$BV$49,MATCH($D45,Python0831!$A$1:$A$49,0),MATCH(W$5,Python0831!$B$1:$BV$1,0))</f>
        <v>1091.55259848128</v>
      </c>
      <c r="X45" s="5">
        <f>INDEX(Python0831!$B$1:$BV$49,MATCH($D45,Python0831!$A$1:$A$49,0),MATCH(X$5,Python0831!$B$1:$BV$1,0))</f>
        <v>3469.17</v>
      </c>
      <c r="Y45" s="5">
        <f>INDEX(Python0831!$B$1:$BV$49,MATCH($D45,Python0831!$A$1:$A$49,0),MATCH(Y$5,Python0831!$B$1:$BV$1,0))</f>
        <v>400.33333333333297</v>
      </c>
      <c r="Z45" s="5">
        <f>INDEX(Python0831!$B$1:$BV$49,MATCH($D45,Python0831!$A$1:$A$49,0),MATCH(Z$5,Python0831!$B$1:$BV$1,0))</f>
        <v>591.42659448828795</v>
      </c>
      <c r="AA45" s="7">
        <f>INDEX(Python0831!$B$1:$BV$49,MATCH($D45,Python0831!$A$1:$A$49,0),MATCH(AA$5,Python0831!$B$1:$BV$1,0))</f>
        <v>0</v>
      </c>
      <c r="AB45" s="5">
        <f>INDEX(Python0831!$B$1:$BV$49,MATCH($D45,Python0831!$A$1:$A$49,0),MATCH(AB$5,Python0831!$B$1:$BV$1,0))</f>
        <v>209.333333333333</v>
      </c>
      <c r="AC45" s="5">
        <f>INDEX(Python0831!$B$1:$BV$49,MATCH($D45,Python0831!$A$1:$A$49,0),MATCH(AC$5,Python0831!$B$1:$BV$1,0))</f>
        <v>10</v>
      </c>
      <c r="AD45" s="5">
        <f>INDEX(Python0831!$B$1:$BV$49,MATCH($D45,Python0831!$A$1:$A$49,0),MATCH(AD$5,Python0831!$B$1:$BV$1,0))</f>
        <v>45.370370370370303</v>
      </c>
      <c r="AE45" s="5">
        <f>INDEX(Python0831!$B$1:$BV$49,MATCH($D45,Python0831!$A$1:$A$49,0),MATCH(AE$5,Python0831!$B$1:$BV$1,0))</f>
        <v>2.5188933321060198</v>
      </c>
      <c r="AF45" s="5">
        <f>INDEX(Python0831!$B$1:$BV$49,MATCH($D45,Python0831!$A$1:$A$49,0),MATCH(AF$5,Python0831!$B$1:$BV$1,0))</f>
        <v>3.2819290393752798</v>
      </c>
      <c r="AG45" s="5">
        <f>INDEX(Python0831!$B$1:$BV$49,MATCH($D45,Python0831!$A$1:$A$49,0),MATCH(AG$5,Python0831!$B$1:$BV$1,0))</f>
        <v>54.524041517699501</v>
      </c>
      <c r="AH45" s="5">
        <f>INDEX(Python0831!$B$1:$BV$49,MATCH($D45,Python0831!$A$1:$A$49,0),MATCH(AH$5,Python0831!$B$1:$BV$1,0))</f>
        <v>0</v>
      </c>
      <c r="AI45" s="5">
        <f>INDEX(Python0831!$B$1:$BV$49,MATCH($D45,Python0831!$A$1:$A$49,0),MATCH(AI$5,Python0831!$B$1:$BV$1,0))</f>
        <v>58.113456464379901</v>
      </c>
      <c r="AJ45" s="5">
        <f>INDEX(Python0831!$B$1:$BV$49,MATCH($D45,Python0831!$A$1:$A$49,0),MATCH(AJ$5,Python0831!$B$1:$BV$1,0))</f>
        <v>121.5</v>
      </c>
      <c r="AK45" s="5">
        <f>INDEX(Python0831!$B$1:$BV$49,MATCH($D45,Python0831!$A$1:$A$49,0),MATCH(AK$5,Python0831!$B$1:$BV$1,0))</f>
        <v>67</v>
      </c>
      <c r="AL45" s="5">
        <f>INDEX(Python0831!$B$1:$BV$49,MATCH($D45,Python0831!$A$1:$A$49,0),MATCH(AL$5,Python0831!$B$1:$BV$1,0))</f>
        <v>10</v>
      </c>
      <c r="AM45" s="5">
        <f>INDEX(Python0831!$B$1:$BV$49,MATCH($D45,Python0831!$A$1:$A$49,0),MATCH(AM$5,Python0831!$B$1:$BV$1,0))</f>
        <v>38180</v>
      </c>
      <c r="AN45" s="5">
        <f>INDEX(Python0831!$B$1:$BV$49,MATCH($D45,Python0831!$A$1:$A$49,0),MATCH(AN$5,Python0831!$B$1:$BV$1,0))</f>
        <v>1638</v>
      </c>
      <c r="AO45" s="5">
        <f>INDEX(Python0831!$B$1:$BV$49,MATCH($D45,Python0831!$A$1:$A$49,0),MATCH(AO$5,Python0831!$B$1:$BV$1,0))</f>
        <v>57.856913010833402</v>
      </c>
      <c r="AP45" s="5">
        <f>INDEX(Python0831!$B$1:$BV$49,MATCH($D45,Python0831!$A$1:$A$49,0),MATCH(AP$5,Python0831!$B$1:$BV$1,0))</f>
        <v>51.275338623619703</v>
      </c>
      <c r="AQ45" s="5">
        <f>INDEX(Python0831!$B$1:$BV$49,MATCH($D45,Python0831!$A$1:$A$49,0),MATCH(AQ$5,Python0831!$B$1:$BV$1,0))</f>
        <v>529373</v>
      </c>
      <c r="AR45" s="5">
        <f>INDEX(Python0831!$B$1:$BV$49,MATCH($D45,Python0831!$A$1:$A$49,0),MATCH(AR$5,Python0831!$B$1:$BV$1,0))</f>
        <v>1236685.80070693</v>
      </c>
      <c r="AS45" s="328">
        <f>INDEX(Python0831!$B$1:$BV$49,MATCH($D45,Python0831!$A$1:$A$49,0),MATCH(AS$5,Python0831!$B$1:$BV$1,0))</f>
        <v>0.157797021367241</v>
      </c>
      <c r="AT45" s="5">
        <f>INDEX(Python0831!$B$1:$BV$49,MATCH($D45,Python0831!$A$1:$A$49,0),MATCH(AT$5,Python0831!$B$1:$BV$1,0))</f>
        <v>2090.36156891152</v>
      </c>
      <c r="AU45" s="7">
        <f>INDEX(Python0831!$B$1:$BV$49,MATCH($D45,Python0831!$A$1:$A$49,0),MATCH(AU$5,Python0831!$B$1:$BV$1,0))</f>
        <v>0.78142076502732205</v>
      </c>
      <c r="AV45" s="5">
        <f>INDEX(Python0831!$B$1:$BV$49,MATCH($D45,Python0831!$A$1:$A$49,0),MATCH(AV$5,Python0831!$B$1:$BV$1,0))</f>
        <v>666.32900834105601</v>
      </c>
      <c r="AW45" s="5">
        <f>INDEX(Python0831!$B$1:$BV$49,MATCH($D45,Python0831!$A$1:$A$49,0),MATCH(AW$5,Python0831!$B$1:$BV$1,0))</f>
        <v>16.0810753940236</v>
      </c>
      <c r="AX45" s="5">
        <f>INDEX(Python0831!$B$1:$BV$49,MATCH($D45,Python0831!$A$1:$A$49,0),MATCH(AX$5,Python0831!$B$1:$BV$1,0))</f>
        <v>45.174507509132503</v>
      </c>
      <c r="AY45" s="329">
        <f>INDEX(Python0831!$B$1:$BV$49,MATCH($D45,Python0831!$A$1:$A$49,0),MATCH(AY$5,Python0831!$B$1:$BV$1,0))</f>
        <v>2.0999999999999999E-3</v>
      </c>
      <c r="AZ45" s="5">
        <f>INDEX(Python0831!$B$1:$BV$49,MATCH($D45,Python0831!$A$1:$A$49,0),MATCH(AZ$5,Python0831!$B$1:$BV$1,0))</f>
        <v>75.900000000000006</v>
      </c>
      <c r="BA45" s="5">
        <f>INDEX(Python0831!$B$1:$BV$49,MATCH($D45,Python0831!$A$1:$A$49,0),MATCH(BA$5,Python0831!$B$1:$BV$1,0))</f>
        <v>45.221308953922097</v>
      </c>
      <c r="BB45" s="5">
        <f>INDEX(Python0831!$B$1:$BV$49,MATCH($D45,Python0831!$A$1:$A$49,0),MATCH(BB$5,Python0831!$B$1:$BV$1,0))</f>
        <v>22.397996886861598</v>
      </c>
      <c r="BC45" s="5">
        <f>INDEX(Python0831!$B$1:$BV$49,MATCH($D45,Python0831!$A$1:$A$49,0),MATCH(BC$5,Python0831!$B$1:$BV$1,0))</f>
        <v>2439.0635810513099</v>
      </c>
      <c r="BD45" s="5">
        <f>INDEX(Python0831!$B$1:$BV$49,MATCH($D45,Python0831!$A$1:$A$49,0),MATCH(BD$5,Python0831!$B$1:$BV$1,0))</f>
        <v>53.740104848076598</v>
      </c>
      <c r="BE45" s="5">
        <f>INDEX(Python0831!$B$1:$BV$49,MATCH($D45,Python0831!$A$1:$A$49,0),MATCH(BE$5,Python0831!$B$1:$BV$1,0))</f>
        <v>47.299564650468398</v>
      </c>
      <c r="BF45" s="5">
        <f>INDEX(Python0831!$B$1:$BV$49,MATCH($D45,Python0831!$A$1:$A$49,0),MATCH(BF$5,Python0831!$B$1:$BV$1,0))</f>
        <v>37.275673029208797</v>
      </c>
      <c r="BG45" s="5">
        <f>INDEX(Python0831!$B$1:$BV$49,MATCH($D45,Python0831!$A$1:$A$49,0),MATCH(BG$5,Python0831!$B$1:$BV$1,0))</f>
        <v>41.169696969696901</v>
      </c>
      <c r="BH45" s="327">
        <f>INDEX(Python0831!$B$1:$BV$49,MATCH($D45,Python0831!$A$1:$A$49,0),MATCH(BH$5,Python0831!$B$1:$BV$1,0))</f>
        <v>0.44169999999999998</v>
      </c>
      <c r="BI45" s="327">
        <f>INDEX(Python0831!$B$1:$BV$49,MATCH($D45,Python0831!$A$1:$A$49,0),MATCH(BI$5,Python0831!$B$1:$BV$1,0))</f>
        <v>3.00854890999246E-2</v>
      </c>
      <c r="BJ45" s="5">
        <f>INDEX(Python0831!$B$1:$BV$49,MATCH($D45,Python0831!$A$1:$A$49,0),MATCH(BJ$5,Python0831!$B$1:$BV$1,0))</f>
        <v>3.6966387277316199</v>
      </c>
      <c r="BK45" s="5">
        <f>INDEX(Python0831!$B$1:$BV$49,MATCH($D45,Python0831!$A$1:$A$49,0),MATCH(BK$5,Python0831!$B$1:$BV$1,0))</f>
        <v>13.5</v>
      </c>
      <c r="BL45" s="7">
        <f>INDEX(Python0831!$B$1:$BV$49,MATCH($D45,Python0831!$A$1:$A$49,0),MATCH(BL$5,Python0831!$B$1:$BV$1,0))</f>
        <v>0.35205992509363299</v>
      </c>
      <c r="BM45" s="5">
        <f>INDEX(Python0831!$B$1:$BV$49,MATCH($D45,Python0831!$A$1:$A$49,0),MATCH(BM$5,Python0831!$B$1:$BV$1,0))</f>
        <v>26.7</v>
      </c>
      <c r="BN45" s="5">
        <f>INDEX(Python0831!$B$1:$BV$49,MATCH($D45,Python0831!$A$1:$A$49,0),MATCH(BN$5,Python0831!$B$1:$BV$1,0))</f>
        <v>46.234392519677698</v>
      </c>
      <c r="BO45" s="5">
        <f>INDEX(Python0831!$B$1:$BV$49,MATCH($D45,Python0831!$A$1:$A$49,0),MATCH(BO$5,Python0831!$B$1:$BV$1,0))</f>
        <v>24.140721903550599</v>
      </c>
      <c r="BP45" s="5">
        <f>INDEX(Python0831!$B$1:$BV$49,MATCH($D45,Python0831!$A$1:$A$49,0),MATCH(BP$5,Python0831!$B$1:$BV$1,0))</f>
        <v>49.000000000000099</v>
      </c>
      <c r="BQ45" s="7">
        <f>INDEX(Python0831!$B$1:$BV$49,MATCH($D45,Python0831!$A$1:$A$49,0),MATCH(BQ$5,Python0831!$B$1:$BV$1,0))</f>
        <v>8.5556597110167107</v>
      </c>
      <c r="BR45" s="5">
        <f>INDEX(Python0831!$B$1:$BV$49,MATCH($D45,Python0831!$A$1:$A$49,0),MATCH(BR$5,Python0831!$B$1:$BV$1,0))</f>
        <v>34481318</v>
      </c>
      <c r="BS45" s="5">
        <f>INDEX(Python0831!$B$1:$BV$49,MATCH($D45,Python0831!$A$1:$A$49,0),MATCH(BS$5,Python0831!$B$1:$BV$1,0))</f>
        <v>226412</v>
      </c>
      <c r="BT45" s="8">
        <f>INDEX(Python0831!$B$1:$BV$49,MATCH($D45,Python0831!$A$1:$A$49,0),MATCH(BT$5,Python0831!$B$1:$BV$1,0))</f>
        <v>0.251464810085194</v>
      </c>
      <c r="BU45" s="8">
        <f>INDEX(Python0831!$B$1:$BV$49,MATCH($D45,Python0831!$A$1:$A$49,0),MATCH(BU$5,Python0831!$B$1:$BV$1,0))</f>
        <v>0.36159320764140301</v>
      </c>
      <c r="BV45" s="5">
        <f>INDEX(Python0831!$B$1:$BV$49,MATCH($D45,Python0831!$A$1:$A$49,0),MATCH(BV$5,Python0831!$B$1:$BV$1,0))</f>
        <v>28</v>
      </c>
      <c r="BW45" s="5">
        <f>INDEX(Python0831!$B$1:$BV$49,MATCH($D45,Python0831!$A$1:$A$49,0),MATCH(BW$5,Python0831!$B$1:$BV$1,0))</f>
        <v>46.03</v>
      </c>
      <c r="BX45" s="382">
        <f>INDEX(Python0831!$B$1:$BV$49,MATCH($D45,Python0831!$A$1:$A$49,0),MATCH(BX$5,Python0831!$B$1:$BV$1,0))</f>
        <v>27.06766917293233</v>
      </c>
      <c r="BY45" s="5">
        <f>INDEX(Python0831!$B$1:$BV$49,MATCH($D45,Python0831!$A$1:$A$49,0),MATCH(BY$5,Python0831!$B$1:$BV$1,0))</f>
        <v>50.359700158831302</v>
      </c>
    </row>
    <row r="46" spans="1:77">
      <c r="A46" s="2">
        <v>41</v>
      </c>
      <c r="B46" s="58">
        <f>INDEX(順位表[Comprehensive],MATCH($C46,順位表['#],0))</f>
        <v>46</v>
      </c>
      <c r="C46" s="3">
        <v>41</v>
      </c>
      <c r="D46" s="1" t="str">
        <f>INDEX(都市マスタ[City Name],MATCH($C46,都市マスタ['#],0))</f>
        <v>Johannesburg</v>
      </c>
      <c r="E46" s="5">
        <f>INDEX(Python0831!$B$1:$BV$49,MATCH($D46,Python0831!$A$1:$A$49,0),MATCH(E$5,Python0831!$B$1:$BV$1,0))</f>
        <v>4949347</v>
      </c>
      <c r="F46" s="5">
        <f>INDEX(Python0831!$B$1:$BV$49,MATCH($D46,Python0831!$A$1:$A$49,0),MATCH(F$5,Python0831!$B$1:$BV$1,0))</f>
        <v>1643</v>
      </c>
      <c r="G46" s="7">
        <f>INDEX(Python0831!$B$1:$BV$49,MATCH($D46,Python0831!$A$1:$A$49,0),MATCH(G$5,Python0831!$B$1:$BV$1,0))</f>
        <v>16.376999999999999</v>
      </c>
      <c r="H46" s="5">
        <f>INDEX(Python0831!$B$1:$BV$49,MATCH($D46,Python0831!$A$1:$A$49,0),MATCH(H$5,Python0831!$B$1:$BV$1,0))</f>
        <v>48316.469442253401</v>
      </c>
      <c r="I46" s="5">
        <f>INDEX(Python0831!$B$1:$BV$49,MATCH($D46,Python0831!$A$1:$A$49,0),MATCH(I$5,Python0831!$B$1:$BV$1,0))</f>
        <v>9814.07974088429</v>
      </c>
      <c r="J46" s="328">
        <f>INDEX(Python0831!$B$1:$BV$49,MATCH($D46,Python0831!$A$1:$A$49,0),MATCH(J$5,Python0831!$B$1:$BV$1,0))</f>
        <v>2.4205777308554002E-3</v>
      </c>
      <c r="K46" s="5">
        <f>INDEX(Python0831!$B$1:$BV$49,MATCH($D46,Python0831!$A$1:$A$49,0),MATCH(K$5,Python0831!$B$1:$BV$1,0))</f>
        <v>55.741666666666603</v>
      </c>
      <c r="L46" s="5">
        <f>INDEX(Python0831!$B$1:$BV$49,MATCH($D46,Python0831!$A$1:$A$49,0),MATCH(L$5,Python0831!$B$1:$BV$1,0))</f>
        <v>1171748.1299999999</v>
      </c>
      <c r="M46" s="5">
        <f>INDEX(Python0831!$B$1:$BV$49,MATCH($D46,Python0831!$A$1:$A$49,0),MATCH(M$5,Python0831!$B$1:$BV$1,0))</f>
        <v>0</v>
      </c>
      <c r="N46" s="5">
        <f>INDEX(Python0831!$B$1:$BV$49,MATCH($D46,Python0831!$A$1:$A$49,0),MATCH(N$5,Python0831!$B$1:$BV$1,0))</f>
        <v>1862000</v>
      </c>
      <c r="O46" s="328">
        <f>INDEX(Python0831!$B$1:$BV$49,MATCH($D46,Python0831!$A$1:$A$49,0),MATCH(O$5,Python0831!$B$1:$BV$1,0))</f>
        <v>0.238003710595065</v>
      </c>
      <c r="P46" s="5">
        <f>INDEX(Python0831!$B$1:$BV$49,MATCH($D46,Python0831!$A$1:$A$49,0),MATCH(P$5,Python0831!$B$1:$BV$1,0))</f>
        <v>22.0991342182819</v>
      </c>
      <c r="Q46" s="5">
        <f>INDEX(Python0831!$B$1:$BV$49,MATCH($D46,Python0831!$A$1:$A$49,0),MATCH(Q$5,Python0831!$B$1:$BV$1,0))</f>
        <v>27.331257274474201</v>
      </c>
      <c r="R46" s="5">
        <f>INDEX(Python0831!$B$1:$BV$49,MATCH($D46,Python0831!$A$1:$A$49,0),MATCH(R$5,Python0831!$B$1:$BV$1,0))</f>
        <v>8.7562904144404001</v>
      </c>
      <c r="S46" s="327">
        <f>INDEX(Python0831!$B$1:$BV$49,MATCH($D46,Python0831!$A$1:$A$49,0),MATCH(S$5,Python0831!$B$1:$BV$1,0))</f>
        <v>0.27</v>
      </c>
      <c r="T46" s="5">
        <f>INDEX(Python0831!$B$1:$BV$49,MATCH($D46,Python0831!$A$1:$A$49,0),MATCH(T$5,Python0831!$B$1:$BV$1,0))</f>
        <v>44.948974519424802</v>
      </c>
      <c r="U46" s="5">
        <f>INDEX(Python0831!$B$1:$BV$49,MATCH($D46,Python0831!$A$1:$A$49,0),MATCH(U$5,Python0831!$B$1:$BV$1,0))</f>
        <v>3362.4759216664002</v>
      </c>
      <c r="V46" s="5">
        <f>INDEX(Python0831!$B$1:$BV$49,MATCH($D46,Python0831!$A$1:$A$49,0),MATCH(V$5,Python0831!$B$1:$BV$1,0))</f>
        <v>2</v>
      </c>
      <c r="W46" s="5">
        <f>INDEX(Python0831!$B$1:$BV$49,MATCH($D46,Python0831!$A$1:$A$49,0),MATCH(W$5,Python0831!$B$1:$BV$1,0))</f>
        <v>282.71816318680197</v>
      </c>
      <c r="X46" s="5">
        <f>INDEX(Python0831!$B$1:$BV$49,MATCH($D46,Python0831!$A$1:$A$49,0),MATCH(X$5,Python0831!$B$1:$BV$1,0))</f>
        <v>6256.02</v>
      </c>
      <c r="Y46" s="5">
        <f>INDEX(Python0831!$B$1:$BV$49,MATCH($D46,Python0831!$A$1:$A$49,0),MATCH(Y$5,Python0831!$B$1:$BV$1,0))</f>
        <v>338.23603562403298</v>
      </c>
      <c r="Z46" s="5">
        <f>INDEX(Python0831!$B$1:$BV$49,MATCH($D46,Python0831!$A$1:$A$49,0),MATCH(Z$5,Python0831!$B$1:$BV$1,0))</f>
        <v>586.13505111328902</v>
      </c>
      <c r="AA46" s="7">
        <f>INDEX(Python0831!$B$1:$BV$49,MATCH($D46,Python0831!$A$1:$A$49,0),MATCH(AA$5,Python0831!$B$1:$BV$1,0))</f>
        <v>0</v>
      </c>
      <c r="AB46" s="5">
        <f>INDEX(Python0831!$B$1:$BV$49,MATCH($D46,Python0831!$A$1:$A$49,0),MATCH(AB$5,Python0831!$B$1:$BV$1,0))</f>
        <v>39.6666666666666</v>
      </c>
      <c r="AC46" s="5">
        <f>INDEX(Python0831!$B$1:$BV$49,MATCH($D46,Python0831!$A$1:$A$49,0),MATCH(AC$5,Python0831!$B$1:$BV$1,0))</f>
        <v>6</v>
      </c>
      <c r="AD46" s="5">
        <f>INDEX(Python0831!$B$1:$BV$49,MATCH($D46,Python0831!$A$1:$A$49,0),MATCH(AD$5,Python0831!$B$1:$BV$1,0))</f>
        <v>25.462962962962902</v>
      </c>
      <c r="AE46" s="5">
        <f>INDEX(Python0831!$B$1:$BV$49,MATCH($D46,Python0831!$A$1:$A$49,0),MATCH(AE$5,Python0831!$B$1:$BV$1,0))</f>
        <v>2.7528693255301202</v>
      </c>
      <c r="AF46" s="5">
        <f>INDEX(Python0831!$B$1:$BV$49,MATCH($D46,Python0831!$A$1:$A$49,0),MATCH(AF$5,Python0831!$B$1:$BV$1,0))</f>
        <v>2.0091906553566701</v>
      </c>
      <c r="AG46" s="5">
        <f>INDEX(Python0831!$B$1:$BV$49,MATCH($D46,Python0831!$A$1:$A$49,0),MATCH(AG$5,Python0831!$B$1:$BV$1,0))</f>
        <v>36.359014546066803</v>
      </c>
      <c r="AH46" s="5">
        <f>INDEX(Python0831!$B$1:$BV$49,MATCH($D46,Python0831!$A$1:$A$49,0),MATCH(AH$5,Python0831!$B$1:$BV$1,0))</f>
        <v>0</v>
      </c>
      <c r="AI46" s="5">
        <f>INDEX(Python0831!$B$1:$BV$49,MATCH($D46,Python0831!$A$1:$A$49,0),MATCH(AI$5,Python0831!$B$1:$BV$1,0))</f>
        <v>33.758332894541603</v>
      </c>
      <c r="AJ46" s="5">
        <f>INDEX(Python0831!$B$1:$BV$49,MATCH($D46,Python0831!$A$1:$A$49,0),MATCH(AJ$5,Python0831!$B$1:$BV$1,0))</f>
        <v>11</v>
      </c>
      <c r="AK46" s="5">
        <f>INDEX(Python0831!$B$1:$BV$49,MATCH($D46,Python0831!$A$1:$A$49,0),MATCH(AK$5,Python0831!$B$1:$BV$1,0))</f>
        <v>22</v>
      </c>
      <c r="AL46" s="5">
        <f>INDEX(Python0831!$B$1:$BV$49,MATCH($D46,Python0831!$A$1:$A$49,0),MATCH(AL$5,Python0831!$B$1:$BV$1,0))</f>
        <v>11</v>
      </c>
      <c r="AM46" s="5">
        <f>INDEX(Python0831!$B$1:$BV$49,MATCH($D46,Python0831!$A$1:$A$49,0),MATCH(AM$5,Python0831!$B$1:$BV$1,0))</f>
        <v>8122</v>
      </c>
      <c r="AN46" s="5">
        <f>INDEX(Python0831!$B$1:$BV$49,MATCH($D46,Python0831!$A$1:$A$49,0),MATCH(AN$5,Python0831!$B$1:$BV$1,0))</f>
        <v>869</v>
      </c>
      <c r="AO46" s="5">
        <f>INDEX(Python0831!$B$1:$BV$49,MATCH($D46,Python0831!$A$1:$A$49,0),MATCH(AO$5,Python0831!$B$1:$BV$1,0))</f>
        <v>23.977880982135702</v>
      </c>
      <c r="AP46" s="5">
        <f>INDEX(Python0831!$B$1:$BV$49,MATCH($D46,Python0831!$A$1:$A$49,0),MATCH(AP$5,Python0831!$B$1:$BV$1,0))</f>
        <v>32.619543908026202</v>
      </c>
      <c r="AQ46" s="5">
        <f>INDEX(Python0831!$B$1:$BV$49,MATCH($D46,Python0831!$A$1:$A$49,0),MATCH(AQ$5,Python0831!$B$1:$BV$1,0))</f>
        <v>540956.79</v>
      </c>
      <c r="AR46" s="5">
        <f>INDEX(Python0831!$B$1:$BV$49,MATCH($D46,Python0831!$A$1:$A$49,0),MATCH(AR$5,Python0831!$B$1:$BV$1,0))</f>
        <v>937942.35960838397</v>
      </c>
      <c r="AS46" s="328">
        <f>INDEX(Python0831!$B$1:$BV$49,MATCH($D46,Python0831!$A$1:$A$49,0),MATCH(AS$5,Python0831!$B$1:$BV$1,0))</f>
        <v>0.34928219178082098</v>
      </c>
      <c r="AT46" s="5">
        <f>INDEX(Python0831!$B$1:$BV$49,MATCH($D46,Python0831!$A$1:$A$49,0),MATCH(AT$5,Python0831!$B$1:$BV$1,0))</f>
        <v>2105.7721420612302</v>
      </c>
      <c r="AU46" s="7">
        <f>INDEX(Python0831!$B$1:$BV$49,MATCH($D46,Python0831!$A$1:$A$49,0),MATCH(AU$5,Python0831!$B$1:$BV$1,0))</f>
        <v>0.75531914893617003</v>
      </c>
      <c r="AV46" s="5">
        <f>INDEX(Python0831!$B$1:$BV$49,MATCH($D46,Python0831!$A$1:$A$49,0),MATCH(AV$5,Python0831!$B$1:$BV$1,0))</f>
        <v>680.48397457569797</v>
      </c>
      <c r="AW46" s="5">
        <f>INDEX(Python0831!$B$1:$BV$49,MATCH($D46,Python0831!$A$1:$A$49,0),MATCH(AW$5,Python0831!$B$1:$BV$1,0))</f>
        <v>14.600229427084599</v>
      </c>
      <c r="AX46" s="5">
        <f>INDEX(Python0831!$B$1:$BV$49,MATCH($D46,Python0831!$A$1:$A$49,0),MATCH(AX$5,Python0831!$B$1:$BV$1,0))</f>
        <v>394.196478681244</v>
      </c>
      <c r="AY46" s="329">
        <f>INDEX(Python0831!$B$1:$BV$49,MATCH($D46,Python0831!$A$1:$A$49,0),MATCH(AY$5,Python0831!$B$1:$BV$1,0))</f>
        <v>8.0000000000000004E-4</v>
      </c>
      <c r="AZ46" s="5">
        <f>INDEX(Python0831!$B$1:$BV$49,MATCH($D46,Python0831!$A$1:$A$49,0),MATCH(AZ$5,Python0831!$B$1:$BV$1,0))</f>
        <v>65.3</v>
      </c>
      <c r="BA46" s="5">
        <f>INDEX(Python0831!$B$1:$BV$49,MATCH($D46,Python0831!$A$1:$A$49,0),MATCH(BA$5,Python0831!$B$1:$BV$1,0))</f>
        <v>63.038346811117698</v>
      </c>
      <c r="BB46" s="5">
        <f>INDEX(Python0831!$B$1:$BV$49,MATCH($D46,Python0831!$A$1:$A$49,0),MATCH(BB$5,Python0831!$B$1:$BV$1,0))</f>
        <v>52.495874606464398</v>
      </c>
      <c r="BC46" s="5">
        <f>INDEX(Python0831!$B$1:$BV$49,MATCH($D46,Python0831!$A$1:$A$49,0),MATCH(BC$5,Python0831!$B$1:$BV$1,0))</f>
        <v>1119.5705730971899</v>
      </c>
      <c r="BD46" s="5">
        <f>INDEX(Python0831!$B$1:$BV$49,MATCH($D46,Python0831!$A$1:$A$49,0),MATCH(BD$5,Python0831!$B$1:$BV$1,0))</f>
        <v>50.3857102926153</v>
      </c>
      <c r="BE46" s="5">
        <f>INDEX(Python0831!$B$1:$BV$49,MATCH($D46,Python0831!$A$1:$A$49,0),MATCH(BE$5,Python0831!$B$1:$BV$1,0))</f>
        <v>31.265267344713401</v>
      </c>
      <c r="BF46" s="5">
        <f>INDEX(Python0831!$B$1:$BV$49,MATCH($D46,Python0831!$A$1:$A$49,0),MATCH(BF$5,Python0831!$B$1:$BV$1,0))</f>
        <v>15.5120263048059</v>
      </c>
      <c r="BG46" s="5">
        <f>INDEX(Python0831!$B$1:$BV$49,MATCH($D46,Python0831!$A$1:$A$49,0),MATCH(BG$5,Python0831!$B$1:$BV$1,0))</f>
        <v>28.6969696969696</v>
      </c>
      <c r="BH46" s="327">
        <f>INDEX(Python0831!$B$1:$BV$49,MATCH($D46,Python0831!$A$1:$A$49,0),MATCH(BH$5,Python0831!$B$1:$BV$1,0))</f>
        <v>6.2100000000000002E-2</v>
      </c>
      <c r="BI46" s="327">
        <f>INDEX(Python0831!$B$1:$BV$49,MATCH($D46,Python0831!$A$1:$A$49,0),MATCH(BI$5,Python0831!$B$1:$BV$1,0))</f>
        <v>0.34499999999999997</v>
      </c>
      <c r="BJ46" s="5">
        <f>INDEX(Python0831!$B$1:$BV$49,MATCH($D46,Python0831!$A$1:$A$49,0),MATCH(BJ$5,Python0831!$B$1:$BV$1,0))</f>
        <v>8.1350232197211607</v>
      </c>
      <c r="BK46" s="5">
        <f>INDEX(Python0831!$B$1:$BV$49,MATCH($D46,Python0831!$A$1:$A$49,0),MATCH(BK$5,Python0831!$B$1:$BV$1,0))</f>
        <v>21.7</v>
      </c>
      <c r="BL46" s="7">
        <f>INDEX(Python0831!$B$1:$BV$49,MATCH($D46,Python0831!$A$1:$A$49,0),MATCH(BL$5,Python0831!$B$1:$BV$1,0))</f>
        <v>0.61806782436333796</v>
      </c>
      <c r="BM46" s="5">
        <f>INDEX(Python0831!$B$1:$BV$49,MATCH($D46,Python0831!$A$1:$A$49,0),MATCH(BM$5,Python0831!$B$1:$BV$1,0))</f>
        <v>42.7</v>
      </c>
      <c r="BN46" s="5">
        <f>INDEX(Python0831!$B$1:$BV$49,MATCH($D46,Python0831!$A$1:$A$49,0),MATCH(BN$5,Python0831!$B$1:$BV$1,0))</f>
        <v>34.6653539725976</v>
      </c>
      <c r="BO46" s="5">
        <f>INDEX(Python0831!$B$1:$BV$49,MATCH($D46,Python0831!$A$1:$A$49,0),MATCH(BO$5,Python0831!$B$1:$BV$1,0))</f>
        <v>20.9659755871138</v>
      </c>
      <c r="BP46" s="5">
        <f>INDEX(Python0831!$B$1:$BV$49,MATCH($D46,Python0831!$A$1:$A$49,0),MATCH(BP$5,Python0831!$B$1:$BV$1,0))</f>
        <v>63</v>
      </c>
      <c r="BQ46" s="7">
        <f>INDEX(Python0831!$B$1:$BV$49,MATCH($D46,Python0831!$A$1:$A$49,0),MATCH(BQ$5,Python0831!$B$1:$BV$1,0))</f>
        <v>3.3513110261414298</v>
      </c>
      <c r="BR46" s="5">
        <f>INDEX(Python0831!$B$1:$BV$49,MATCH($D46,Python0831!$A$1:$A$49,0),MATCH(BR$5,Python0831!$B$1:$BV$1,0))</f>
        <v>14789778</v>
      </c>
      <c r="BS46" s="5">
        <f>INDEX(Python0831!$B$1:$BV$49,MATCH($D46,Python0831!$A$1:$A$49,0),MATCH(BS$5,Python0831!$B$1:$BV$1,0))</f>
        <v>161028</v>
      </c>
      <c r="BT46" s="8">
        <f>INDEX(Python0831!$B$1:$BV$49,MATCH($D46,Python0831!$A$1:$A$49,0),MATCH(BT$5,Python0831!$B$1:$BV$1,0))</f>
        <v>0.101859163578813</v>
      </c>
      <c r="BU46" s="8">
        <f>INDEX(Python0831!$B$1:$BV$49,MATCH($D46,Python0831!$A$1:$A$49,0),MATCH(BU$5,Python0831!$B$1:$BV$1,0))</f>
        <v>1.08306937774598E-2</v>
      </c>
      <c r="BV46" s="5">
        <f>INDEX(Python0831!$B$1:$BV$49,MATCH($D46,Python0831!$A$1:$A$49,0),MATCH(BV$5,Python0831!$B$1:$BV$1,0))</f>
        <v>24</v>
      </c>
      <c r="BW46" s="5">
        <f>INDEX(Python0831!$B$1:$BV$49,MATCH($D46,Python0831!$A$1:$A$49,0),MATCH(BW$5,Python0831!$B$1:$BV$1,0))</f>
        <v>37.982500000000002</v>
      </c>
      <c r="BX46" s="382">
        <f>INDEX(Python0831!$B$1:$BV$49,MATCH($D46,Python0831!$A$1:$A$49,0),MATCH(BX$5,Python0831!$B$1:$BV$1,0))</f>
        <v>43.902439024390247</v>
      </c>
      <c r="BY46" s="5">
        <f>INDEX(Python0831!$B$1:$BV$49,MATCH($D46,Python0831!$A$1:$A$49,0),MATCH(BY$5,Python0831!$B$1:$BV$1,0))</f>
        <v>45.161070105270397</v>
      </c>
    </row>
    <row r="47" spans="1:77">
      <c r="A47" s="2">
        <v>42</v>
      </c>
      <c r="B47" s="58">
        <f>INDEX(順位表[Comprehensive],MATCH($C47,順位表['#],0))</f>
        <v>45</v>
      </c>
      <c r="C47" s="3">
        <v>42</v>
      </c>
      <c r="D47" s="1" t="str">
        <f>INDEX(都市マスタ[City Name],MATCH($C47,都市マスタ['#],0))</f>
        <v>Jakarta</v>
      </c>
      <c r="E47" s="5">
        <f>INDEX(Python0831!$B$1:$BV$49,MATCH($D47,Python0831!$A$1:$A$49,0),MATCH(E$5,Python0831!$B$1:$BV$1,0))</f>
        <v>10748230</v>
      </c>
      <c r="F47" s="5">
        <f>INDEX(Python0831!$B$1:$BV$49,MATCH($D47,Python0831!$A$1:$A$49,0),MATCH(F$5,Python0831!$B$1:$BV$1,0))</f>
        <v>661.23</v>
      </c>
      <c r="G47" s="7">
        <f>INDEX(Python0831!$B$1:$BV$49,MATCH($D47,Python0831!$A$1:$A$49,0),MATCH(G$5,Python0831!$B$1:$BV$1,0))</f>
        <v>14848.8212</v>
      </c>
      <c r="H47" s="5">
        <f>INDEX(Python0831!$B$1:$BV$49,MATCH($D47,Python0831!$A$1:$A$49,0),MATCH(H$5,Python0831!$B$1:$BV$1,0))</f>
        <v>203557.90041408499</v>
      </c>
      <c r="I47" s="5">
        <f>INDEX(Python0831!$B$1:$BV$49,MATCH($D47,Python0831!$A$1:$A$49,0),MATCH(I$5,Python0831!$B$1:$BV$1,0))</f>
        <v>19199.345781649899</v>
      </c>
      <c r="J47" s="328">
        <f>INDEX(Python0831!$B$1:$BV$49,MATCH($D47,Python0831!$A$1:$A$49,0),MATCH(J$5,Python0831!$B$1:$BV$1,0))</f>
        <v>3.8070832750821897E-2</v>
      </c>
      <c r="K47" s="5">
        <f>INDEX(Python0831!$B$1:$BV$49,MATCH($D47,Python0831!$A$1:$A$49,0),MATCH(K$5,Python0831!$B$1:$BV$1,0))</f>
        <v>63.475000000000001</v>
      </c>
      <c r="L47" s="5">
        <f>INDEX(Python0831!$B$1:$BV$49,MATCH($D47,Python0831!$A$1:$A$49,0),MATCH(L$5,Python0831!$B$1:$BV$1,0))</f>
        <v>610288.39</v>
      </c>
      <c r="M47" s="5">
        <f>INDEX(Python0831!$B$1:$BV$49,MATCH($D47,Python0831!$A$1:$A$49,0),MATCH(M$5,Python0831!$B$1:$BV$1,0))</f>
        <v>84888.3</v>
      </c>
      <c r="N47" s="5">
        <f>INDEX(Python0831!$B$1:$BV$49,MATCH($D47,Python0831!$A$1:$A$49,0),MATCH(N$5,Python0831!$B$1:$BV$1,0))</f>
        <v>4875102</v>
      </c>
      <c r="O47" s="328">
        <f>INDEX(Python0831!$B$1:$BV$49,MATCH($D47,Python0831!$A$1:$A$49,0),MATCH(O$5,Python0831!$B$1:$BV$1,0))</f>
        <v>0.16099888781814201</v>
      </c>
      <c r="P47" s="5">
        <f>INDEX(Python0831!$B$1:$BV$49,MATCH($D47,Python0831!$A$1:$A$49,0),MATCH(P$5,Python0831!$B$1:$BV$1,0))</f>
        <v>2.8739324347213699</v>
      </c>
      <c r="Q47" s="5">
        <f>INDEX(Python0831!$B$1:$BV$49,MATCH($D47,Python0831!$A$1:$A$49,0),MATCH(Q$5,Python0831!$B$1:$BV$1,0))</f>
        <v>16.612397933892801</v>
      </c>
      <c r="R47" s="5">
        <f>INDEX(Python0831!$B$1:$BV$49,MATCH($D47,Python0831!$A$1:$A$49,0),MATCH(R$5,Python0831!$B$1:$BV$1,0))</f>
        <v>9.7821797070890106</v>
      </c>
      <c r="S47" s="327">
        <f>INDEX(Python0831!$B$1:$BV$49,MATCH($D47,Python0831!$A$1:$A$49,0),MATCH(S$5,Python0831!$B$1:$BV$1,0))</f>
        <v>0.22</v>
      </c>
      <c r="T47" s="5">
        <f>INDEX(Python0831!$B$1:$BV$49,MATCH($D47,Python0831!$A$1:$A$49,0),MATCH(T$5,Python0831!$B$1:$BV$1,0))</f>
        <v>55.05078607019</v>
      </c>
      <c r="U47" s="5">
        <f>INDEX(Python0831!$B$1:$BV$49,MATCH($D47,Python0831!$A$1:$A$49,0),MATCH(U$5,Python0831!$B$1:$BV$1,0))</f>
        <v>3899.85863912693</v>
      </c>
      <c r="V47" s="5">
        <f>INDEX(Python0831!$B$1:$BV$49,MATCH($D47,Python0831!$A$1:$A$49,0),MATCH(V$5,Python0831!$B$1:$BV$1,0))</f>
        <v>0</v>
      </c>
      <c r="W47" s="5">
        <f>INDEX(Python0831!$B$1:$BV$49,MATCH($D47,Python0831!$A$1:$A$49,0),MATCH(W$5,Python0831!$B$1:$BV$1,0))</f>
        <v>107.81692185272701</v>
      </c>
      <c r="X47" s="5">
        <f>INDEX(Python0831!$B$1:$BV$49,MATCH($D47,Python0831!$A$1:$A$49,0),MATCH(X$5,Python0831!$B$1:$BV$1,0))</f>
        <v>0</v>
      </c>
      <c r="Y47" s="5">
        <f>INDEX(Python0831!$B$1:$BV$49,MATCH($D47,Python0831!$A$1:$A$49,0),MATCH(Y$5,Python0831!$B$1:$BV$1,0))</f>
        <v>382</v>
      </c>
      <c r="Z47" s="5">
        <f>INDEX(Python0831!$B$1:$BV$49,MATCH($D47,Python0831!$A$1:$A$49,0),MATCH(Z$5,Python0831!$B$1:$BV$1,0))</f>
        <v>163.88751568736501</v>
      </c>
      <c r="AA47" s="7">
        <f>INDEX(Python0831!$B$1:$BV$49,MATCH($D47,Python0831!$A$1:$A$49,0),MATCH(AA$5,Python0831!$B$1:$BV$1,0))</f>
        <v>0</v>
      </c>
      <c r="AB47" s="5">
        <f>INDEX(Python0831!$B$1:$BV$49,MATCH($D47,Python0831!$A$1:$A$49,0),MATCH(AB$5,Python0831!$B$1:$BV$1,0))</f>
        <v>125.666666666666</v>
      </c>
      <c r="AC47" s="5">
        <f>INDEX(Python0831!$B$1:$BV$49,MATCH($D47,Python0831!$A$1:$A$49,0),MATCH(AC$5,Python0831!$B$1:$BV$1,0))</f>
        <v>10</v>
      </c>
      <c r="AD47" s="5">
        <f>INDEX(Python0831!$B$1:$BV$49,MATCH($D47,Python0831!$A$1:$A$49,0),MATCH(AD$5,Python0831!$B$1:$BV$1,0))</f>
        <v>31.25</v>
      </c>
      <c r="AE47" s="5">
        <f>INDEX(Python0831!$B$1:$BV$49,MATCH($D47,Python0831!$A$1:$A$49,0),MATCH(AE$5,Python0831!$B$1:$BV$1,0))</f>
        <v>0.95440459537801603</v>
      </c>
      <c r="AF47" s="5">
        <f>INDEX(Python0831!$B$1:$BV$49,MATCH($D47,Python0831!$A$1:$A$49,0),MATCH(AF$5,Python0831!$B$1:$BV$1,0))</f>
        <v>0.70864949464041305</v>
      </c>
      <c r="AG47" s="5">
        <f>INDEX(Python0831!$B$1:$BV$49,MATCH($D47,Python0831!$A$1:$A$49,0),MATCH(AG$5,Python0831!$B$1:$BV$1,0))</f>
        <v>16.921421446055199</v>
      </c>
      <c r="AH47" s="5">
        <f>INDEX(Python0831!$B$1:$BV$49,MATCH($D47,Python0831!$A$1:$A$49,0),MATCH(AH$5,Python0831!$B$1:$BV$1,0))</f>
        <v>0</v>
      </c>
      <c r="AI47" s="5">
        <f>INDEX(Python0831!$B$1:$BV$49,MATCH($D47,Python0831!$A$1:$A$49,0),MATCH(AI$5,Python0831!$B$1:$BV$1,0))</f>
        <v>28.497257852877802</v>
      </c>
      <c r="AJ47" s="5">
        <f>INDEX(Python0831!$B$1:$BV$49,MATCH($D47,Python0831!$A$1:$A$49,0),MATCH(AJ$5,Python0831!$B$1:$BV$1,0))</f>
        <v>7.5</v>
      </c>
      <c r="AK47" s="5">
        <f>INDEX(Python0831!$B$1:$BV$49,MATCH($D47,Python0831!$A$1:$A$49,0),MATCH(AK$5,Python0831!$B$1:$BV$1,0))</f>
        <v>33</v>
      </c>
      <c r="AL47" s="5">
        <f>INDEX(Python0831!$B$1:$BV$49,MATCH($D47,Python0831!$A$1:$A$49,0),MATCH(AL$5,Python0831!$B$1:$BV$1,0))</f>
        <v>3</v>
      </c>
      <c r="AM47" s="5">
        <f>INDEX(Python0831!$B$1:$BV$49,MATCH($D47,Python0831!$A$1:$A$49,0),MATCH(AM$5,Python0831!$B$1:$BV$1,0))</f>
        <v>78811</v>
      </c>
      <c r="AN47" s="5">
        <f>INDEX(Python0831!$B$1:$BV$49,MATCH($D47,Python0831!$A$1:$A$49,0),MATCH(AN$5,Python0831!$B$1:$BV$1,0))</f>
        <v>8255</v>
      </c>
      <c r="AO47" s="5">
        <f>INDEX(Python0831!$B$1:$BV$49,MATCH($D47,Python0831!$A$1:$A$49,0),MATCH(AO$5,Python0831!$B$1:$BV$1,0))</f>
        <v>32.122149957403799</v>
      </c>
      <c r="AP47" s="5">
        <f>INDEX(Python0831!$B$1:$BV$49,MATCH($D47,Python0831!$A$1:$A$49,0),MATCH(AP$5,Python0831!$B$1:$BV$1,0))</f>
        <v>29.962721761309599</v>
      </c>
      <c r="AQ47" s="5">
        <f>INDEX(Python0831!$B$1:$BV$49,MATCH($D47,Python0831!$A$1:$A$49,0),MATCH(AQ$5,Python0831!$B$1:$BV$1,0))</f>
        <v>7326</v>
      </c>
      <c r="AR47" s="5">
        <f>INDEX(Python0831!$B$1:$BV$49,MATCH($D47,Python0831!$A$1:$A$49,0),MATCH(AR$5,Python0831!$B$1:$BV$1,0))</f>
        <v>935182</v>
      </c>
      <c r="AS47" s="328">
        <f>INDEX(Python0831!$B$1:$BV$49,MATCH($D47,Python0831!$A$1:$A$49,0),MATCH(AS$5,Python0831!$B$1:$BV$1,0))</f>
        <v>7.1800000000000003E-2</v>
      </c>
      <c r="AT47" s="5">
        <f>INDEX(Python0831!$B$1:$BV$49,MATCH($D47,Python0831!$A$1:$A$49,0),MATCH(AT$5,Python0831!$B$1:$BV$1,0))</f>
        <v>2372.05440619828</v>
      </c>
      <c r="AU47" s="7">
        <f>INDEX(Python0831!$B$1:$BV$49,MATCH($D47,Python0831!$A$1:$A$49,0),MATCH(AU$5,Python0831!$B$1:$BV$1,0))</f>
        <v>0.78865979381443296</v>
      </c>
      <c r="AV47" s="5">
        <f>INDEX(Python0831!$B$1:$BV$49,MATCH($D47,Python0831!$A$1:$A$49,0),MATCH(AV$5,Python0831!$B$1:$BV$1,0))</f>
        <v>746.56334338194404</v>
      </c>
      <c r="AW47" s="5">
        <f>INDEX(Python0831!$B$1:$BV$49,MATCH($D47,Python0831!$A$1:$A$49,0),MATCH(AW$5,Python0831!$B$1:$BV$1,0))</f>
        <v>6.2489637750347304</v>
      </c>
      <c r="AX47" s="5">
        <f>INDEX(Python0831!$B$1:$BV$49,MATCH($D47,Python0831!$A$1:$A$49,0),MATCH(AX$5,Python0831!$B$1:$BV$1,0))</f>
        <v>2.0735778955088202</v>
      </c>
      <c r="AY47" s="329">
        <f>INDEX(Python0831!$B$1:$BV$49,MATCH($D47,Python0831!$A$1:$A$49,0),MATCH(AY$5,Python0831!$B$1:$BV$1,0))</f>
        <v>5.5999999999999999E-3</v>
      </c>
      <c r="AZ47" s="5">
        <f>INDEX(Python0831!$B$1:$BV$49,MATCH($D47,Python0831!$A$1:$A$49,0),MATCH(AZ$5,Python0831!$B$1:$BV$1,0))</f>
        <v>71.3</v>
      </c>
      <c r="BA47" s="5">
        <f>INDEX(Python0831!$B$1:$BV$49,MATCH($D47,Python0831!$A$1:$A$49,0),MATCH(BA$5,Python0831!$B$1:$BV$1,0))</f>
        <v>35.269060044444998</v>
      </c>
      <c r="BB47" s="5">
        <f>INDEX(Python0831!$B$1:$BV$49,MATCH($D47,Python0831!$A$1:$A$49,0),MATCH(BB$5,Python0831!$B$1:$BV$1,0))</f>
        <v>7.6797842080996297</v>
      </c>
      <c r="BC47" s="5">
        <f>INDEX(Python0831!$B$1:$BV$49,MATCH($D47,Python0831!$A$1:$A$49,0),MATCH(BC$5,Python0831!$B$1:$BV$1,0))</f>
        <v>650.48284034721303</v>
      </c>
      <c r="BD47" s="5">
        <f>INDEX(Python0831!$B$1:$BV$49,MATCH($D47,Python0831!$A$1:$A$49,0),MATCH(BD$5,Python0831!$B$1:$BV$1,0))</f>
        <v>56.429935290032198</v>
      </c>
      <c r="BE47" s="5">
        <f>INDEX(Python0831!$B$1:$BV$49,MATCH($D47,Python0831!$A$1:$A$49,0),MATCH(BE$5,Python0831!$B$1:$BV$1,0))</f>
        <v>44.288755001592897</v>
      </c>
      <c r="BF47" s="5">
        <f>INDEX(Python0831!$B$1:$BV$49,MATCH($D47,Python0831!$A$1:$A$49,0),MATCH(BF$5,Python0831!$B$1:$BV$1,0))</f>
        <v>23.675024154471899</v>
      </c>
      <c r="BG47" s="5">
        <f>INDEX(Python0831!$B$1:$BV$49,MATCH($D47,Python0831!$A$1:$A$49,0),MATCH(BG$5,Python0831!$B$1:$BV$1,0))</f>
        <v>20.690909090908999</v>
      </c>
      <c r="BH47" s="327">
        <f>INDEX(Python0831!$B$1:$BV$49,MATCH($D47,Python0831!$A$1:$A$49,0),MATCH(BH$5,Python0831!$B$1:$BV$1,0))</f>
        <v>0.26750000000000002</v>
      </c>
      <c r="BI47" s="327">
        <f>INDEX(Python0831!$B$1:$BV$49,MATCH($D47,Python0831!$A$1:$A$49,0),MATCH(BI$5,Python0831!$B$1:$BV$1,0))</f>
        <v>7.4999999999999997E-2</v>
      </c>
      <c r="BJ47" s="5">
        <f>INDEX(Python0831!$B$1:$BV$49,MATCH($D47,Python0831!$A$1:$A$49,0),MATCH(BJ$5,Python0831!$B$1:$BV$1,0))</f>
        <v>9.2853197481289307</v>
      </c>
      <c r="BK47" s="5">
        <f>INDEX(Python0831!$B$1:$BV$49,MATCH($D47,Python0831!$A$1:$A$49,0),MATCH(BK$5,Python0831!$B$1:$BV$1,0))</f>
        <v>36.200000000000003</v>
      </c>
      <c r="BL47" s="7">
        <f>INDEX(Python0831!$B$1:$BV$49,MATCH($D47,Python0831!$A$1:$A$49,0),MATCH(BL$5,Python0831!$B$1:$BV$1,0))</f>
        <v>1.4126875071567599</v>
      </c>
      <c r="BM47" s="5">
        <f>INDEX(Python0831!$B$1:$BV$49,MATCH($D47,Python0831!$A$1:$A$49,0),MATCH(BM$5,Python0831!$B$1:$BV$1,0))</f>
        <v>22</v>
      </c>
      <c r="BN47" s="5">
        <f>INDEX(Python0831!$B$1:$BV$49,MATCH($D47,Python0831!$A$1:$A$49,0),MATCH(BN$5,Python0831!$B$1:$BV$1,0))</f>
        <v>17.404885996175</v>
      </c>
      <c r="BO47" s="5">
        <f>INDEX(Python0831!$B$1:$BV$49,MATCH($D47,Python0831!$A$1:$A$49,0),MATCH(BO$5,Python0831!$B$1:$BV$1,0))</f>
        <v>38.754275945970697</v>
      </c>
      <c r="BP47" s="5">
        <f>INDEX(Python0831!$B$1:$BV$49,MATCH($D47,Python0831!$A$1:$A$49,0),MATCH(BP$5,Python0831!$B$1:$BV$1,0))</f>
        <v>44.999999999999901</v>
      </c>
      <c r="BQ47" s="7">
        <f>INDEX(Python0831!$B$1:$BV$49,MATCH($D47,Python0831!$A$1:$A$49,0),MATCH(BQ$5,Python0831!$B$1:$BV$1,0))</f>
        <v>10.661518121809401</v>
      </c>
      <c r="BR47" s="5">
        <f>INDEX(Python0831!$B$1:$BV$49,MATCH($D47,Python0831!$A$1:$A$49,0),MATCH(BR$5,Python0831!$B$1:$BV$1,0))</f>
        <v>39603449</v>
      </c>
      <c r="BS47" s="5">
        <f>INDEX(Python0831!$B$1:$BV$49,MATCH($D47,Python0831!$A$1:$A$49,0),MATCH(BS$5,Python0831!$B$1:$BV$1,0))</f>
        <v>371301</v>
      </c>
      <c r="BT47" s="8">
        <f>INDEX(Python0831!$B$1:$BV$49,MATCH($D47,Python0831!$A$1:$A$49,0),MATCH(BT$5,Python0831!$B$1:$BV$1,0))</f>
        <v>0.21963382146681501</v>
      </c>
      <c r="BU47" s="8">
        <f>INDEX(Python0831!$B$1:$BV$49,MATCH($D47,Python0831!$A$1:$A$49,0),MATCH(BU$5,Python0831!$B$1:$BV$1,0))</f>
        <v>0.21595421630460099</v>
      </c>
      <c r="BV47" s="5">
        <f>INDEX(Python0831!$B$1:$BV$49,MATCH($D47,Python0831!$A$1:$A$49,0),MATCH(BV$5,Python0831!$B$1:$BV$1,0))</f>
        <v>50</v>
      </c>
      <c r="BW47" s="5">
        <f>INDEX(Python0831!$B$1:$BV$49,MATCH($D47,Python0831!$A$1:$A$49,0),MATCH(BW$5,Python0831!$B$1:$BV$1,0))</f>
        <v>46.84</v>
      </c>
      <c r="BX47" s="382">
        <f>INDEX(Python0831!$B$1:$BV$49,MATCH($D47,Python0831!$A$1:$A$49,0),MATCH(BX$5,Python0831!$B$1:$BV$1,0))</f>
        <v>26.470588235294116</v>
      </c>
      <c r="BY47" s="5">
        <f>INDEX(Python0831!$B$1:$BV$49,MATCH($D47,Python0831!$A$1:$A$49,0),MATCH(BY$5,Python0831!$B$1:$BV$1,0))</f>
        <v>54.147429079460998</v>
      </c>
    </row>
    <row r="48" spans="1:77">
      <c r="A48" s="2">
        <v>43</v>
      </c>
      <c r="B48" s="58">
        <f>INDEX(順位表[Comprehensive],MATCH($C48,順位表['#],0))</f>
        <v>44</v>
      </c>
      <c r="C48" s="3">
        <v>43</v>
      </c>
      <c r="D48" s="1" t="str">
        <f>INDEX(都市マスタ[City Name],MATCH($C48,都市マスタ['#],0))</f>
        <v>Buenos Aires</v>
      </c>
      <c r="E48" s="5">
        <f>INDEX(Python0831!$B$1:$BV$49,MATCH($D48,Python0831!$A$1:$A$49,0),MATCH(E$5,Python0831!$B$1:$BV$1,0))</f>
        <v>3078836</v>
      </c>
      <c r="F48" s="5">
        <f>INDEX(Python0831!$B$1:$BV$49,MATCH($D48,Python0831!$A$1:$A$49,0),MATCH(F$5,Python0831!$B$1:$BV$1,0))</f>
        <v>204.02</v>
      </c>
      <c r="G48" s="7">
        <f>INDEX(Python0831!$B$1:$BV$49,MATCH($D48,Python0831!$A$1:$A$49,0),MATCH(G$5,Python0831!$B$1:$BV$1,0))</f>
        <v>130.792</v>
      </c>
      <c r="H48" s="5">
        <f>INDEX(Python0831!$B$1:$BV$49,MATCH($D48,Python0831!$A$1:$A$49,0),MATCH(H$5,Python0831!$B$1:$BV$1,0))</f>
        <v>81860.786401688805</v>
      </c>
      <c r="I48" s="5">
        <f>INDEX(Python0831!$B$1:$BV$49,MATCH($D48,Python0831!$A$1:$A$49,0),MATCH(I$5,Python0831!$B$1:$BV$1,0))</f>
        <v>26588.225680643201</v>
      </c>
      <c r="J48" s="328">
        <f>INDEX(Python0831!$B$1:$BV$49,MATCH($D48,Python0831!$A$1:$A$49,0),MATCH(J$5,Python0831!$B$1:$BV$1,0))</f>
        <v>-3.2488087320887002E-3</v>
      </c>
      <c r="K48" s="5">
        <f>INDEX(Python0831!$B$1:$BV$49,MATCH($D48,Python0831!$A$1:$A$49,0),MATCH(K$5,Python0831!$B$1:$BV$1,0))</f>
        <v>50.991666666666603</v>
      </c>
      <c r="L48" s="5">
        <f>INDEX(Python0831!$B$1:$BV$49,MATCH($D48,Python0831!$A$1:$A$49,0),MATCH(L$5,Python0831!$B$1:$BV$1,0))</f>
        <v>52947.83</v>
      </c>
      <c r="M48" s="5">
        <f>INDEX(Python0831!$B$1:$BV$49,MATCH($D48,Python0831!$A$1:$A$49,0),MATCH(M$5,Python0831!$B$1:$BV$1,0))</f>
        <v>0</v>
      </c>
      <c r="N48" s="5">
        <f>INDEX(Python0831!$B$1:$BV$49,MATCH($D48,Python0831!$A$1:$A$49,0),MATCH(N$5,Python0831!$B$1:$BV$1,0))</f>
        <v>1604073.5560000001</v>
      </c>
      <c r="O48" s="328">
        <f>INDEX(Python0831!$B$1:$BV$49,MATCH($D48,Python0831!$A$1:$A$49,0),MATCH(O$5,Python0831!$B$1:$BV$1,0))</f>
        <v>0.31579162819887502</v>
      </c>
      <c r="P48" s="5">
        <f>INDEX(Python0831!$B$1:$BV$49,MATCH($D48,Python0831!$A$1:$A$49,0),MATCH(P$5,Python0831!$B$1:$BV$1,0))</f>
        <v>1.8477857978754699</v>
      </c>
      <c r="Q48" s="5">
        <f>INDEX(Python0831!$B$1:$BV$49,MATCH($D48,Python0831!$A$1:$A$49,0),MATCH(Q$5,Python0831!$B$1:$BV$1,0))</f>
        <v>54.850728292465497</v>
      </c>
      <c r="R48" s="5">
        <f>INDEX(Python0831!$B$1:$BV$49,MATCH($D48,Python0831!$A$1:$A$49,0),MATCH(R$5,Python0831!$B$1:$BV$1,0))</f>
        <v>19.6237520450562</v>
      </c>
      <c r="S48" s="327">
        <f>INDEX(Python0831!$B$1:$BV$49,MATCH($D48,Python0831!$A$1:$A$49,0),MATCH(S$5,Python0831!$B$1:$BV$1,0))</f>
        <v>0.35</v>
      </c>
      <c r="T48" s="5">
        <f>INDEX(Python0831!$B$1:$BV$49,MATCH($D48,Python0831!$A$1:$A$49,0),MATCH(T$5,Python0831!$B$1:$BV$1,0))</f>
        <v>5.2234868532630099</v>
      </c>
      <c r="U48" s="5">
        <f>INDEX(Python0831!$B$1:$BV$49,MATCH($D48,Python0831!$A$1:$A$49,0),MATCH(U$5,Python0831!$B$1:$BV$1,0))</f>
        <v>4942.5016625886001</v>
      </c>
      <c r="V48" s="5">
        <f>INDEX(Python0831!$B$1:$BV$49,MATCH($D48,Python0831!$A$1:$A$49,0),MATCH(V$5,Python0831!$B$1:$BV$1,0))</f>
        <v>0</v>
      </c>
      <c r="W48" s="5">
        <f>INDEX(Python0831!$B$1:$BV$49,MATCH($D48,Python0831!$A$1:$A$49,0),MATCH(W$5,Python0831!$B$1:$BV$1,0))</f>
        <v>178.31574037658501</v>
      </c>
      <c r="X48" s="5">
        <f>INDEX(Python0831!$B$1:$BV$49,MATCH($D48,Python0831!$A$1:$A$49,0),MATCH(X$5,Python0831!$B$1:$BV$1,0))</f>
        <v>0</v>
      </c>
      <c r="Y48" s="5">
        <f>INDEX(Python0831!$B$1:$BV$49,MATCH($D48,Python0831!$A$1:$A$49,0),MATCH(Y$5,Python0831!$B$1:$BV$1,0))</f>
        <v>395</v>
      </c>
      <c r="Z48" s="5">
        <f>INDEX(Python0831!$B$1:$BV$49,MATCH($D48,Python0831!$A$1:$A$49,0),MATCH(Z$5,Python0831!$B$1:$BV$1,0))</f>
        <v>148.24609859409901</v>
      </c>
      <c r="AA48" s="7">
        <f>INDEX(Python0831!$B$1:$BV$49,MATCH($D48,Python0831!$A$1:$A$49,0),MATCH(AA$5,Python0831!$B$1:$BV$1,0))</f>
        <v>0</v>
      </c>
      <c r="AB48" s="5">
        <f>INDEX(Python0831!$B$1:$BV$49,MATCH($D48,Python0831!$A$1:$A$49,0),MATCH(AB$5,Python0831!$B$1:$BV$1,0))</f>
        <v>47.6666666666666</v>
      </c>
      <c r="AC48" s="5">
        <f>INDEX(Python0831!$B$1:$BV$49,MATCH($D48,Python0831!$A$1:$A$49,0),MATCH(AC$5,Python0831!$B$1:$BV$1,0))</f>
        <v>15</v>
      </c>
      <c r="AD48" s="5">
        <f>INDEX(Python0831!$B$1:$BV$49,MATCH($D48,Python0831!$A$1:$A$49,0),MATCH(AD$5,Python0831!$B$1:$BV$1,0))</f>
        <v>29.6875</v>
      </c>
      <c r="AE48" s="5">
        <f>INDEX(Python0831!$B$1:$BV$49,MATCH($D48,Python0831!$A$1:$A$49,0),MATCH(AE$5,Python0831!$B$1:$BV$1,0))</f>
        <v>3.1044988022753199</v>
      </c>
      <c r="AF48" s="5">
        <f>INDEX(Python0831!$B$1:$BV$49,MATCH($D48,Python0831!$A$1:$A$49,0),MATCH(AF$5,Python0831!$B$1:$BV$1,0))</f>
        <v>2.87179269957451</v>
      </c>
      <c r="AG48" s="5">
        <f>INDEX(Python0831!$B$1:$BV$49,MATCH($D48,Python0831!$A$1:$A$49,0),MATCH(AG$5,Python0831!$B$1:$BV$1,0))</f>
        <v>62.194045788401603</v>
      </c>
      <c r="AH48" s="5">
        <f>INDEX(Python0831!$B$1:$BV$49,MATCH($D48,Python0831!$A$1:$A$49,0),MATCH(AH$5,Python0831!$B$1:$BV$1,0))</f>
        <v>1.125</v>
      </c>
      <c r="AI48" s="5">
        <f>INDEX(Python0831!$B$1:$BV$49,MATCH($D48,Python0831!$A$1:$A$49,0),MATCH(AI$5,Python0831!$B$1:$BV$1,0))</f>
        <v>50.709922144932897</v>
      </c>
      <c r="AJ48" s="5">
        <f>INDEX(Python0831!$B$1:$BV$49,MATCH($D48,Python0831!$A$1:$A$49,0),MATCH(AJ$5,Python0831!$B$1:$BV$1,0))</f>
        <v>89</v>
      </c>
      <c r="AK48" s="5">
        <f>INDEX(Python0831!$B$1:$BV$49,MATCH($D48,Python0831!$A$1:$A$49,0),MATCH(AK$5,Python0831!$B$1:$BV$1,0))</f>
        <v>138</v>
      </c>
      <c r="AL48" s="5">
        <f>INDEX(Python0831!$B$1:$BV$49,MATCH($D48,Python0831!$A$1:$A$49,0),MATCH(AL$5,Python0831!$B$1:$BV$1,0))</f>
        <v>20</v>
      </c>
      <c r="AM48" s="5">
        <f>INDEX(Python0831!$B$1:$BV$49,MATCH($D48,Python0831!$A$1:$A$49,0),MATCH(AM$5,Python0831!$B$1:$BV$1,0))</f>
        <v>28226</v>
      </c>
      <c r="AN48" s="5">
        <f>INDEX(Python0831!$B$1:$BV$49,MATCH($D48,Python0831!$A$1:$A$49,0),MATCH(AN$5,Python0831!$B$1:$BV$1,0))</f>
        <v>1770</v>
      </c>
      <c r="AO48" s="5">
        <f>INDEX(Python0831!$B$1:$BV$49,MATCH($D48,Python0831!$A$1:$A$49,0),MATCH(AO$5,Python0831!$B$1:$BV$1,0))</f>
        <v>58.186374623763299</v>
      </c>
      <c r="AP48" s="5">
        <f>INDEX(Python0831!$B$1:$BV$49,MATCH($D48,Python0831!$A$1:$A$49,0),MATCH(AP$5,Python0831!$B$1:$BV$1,0))</f>
        <v>49.743191163315799</v>
      </c>
      <c r="AQ48" s="5">
        <f>INDEX(Python0831!$B$1:$BV$49,MATCH($D48,Python0831!$A$1:$A$49,0),MATCH(AQ$5,Python0831!$B$1:$BV$1,0))</f>
        <v>381778</v>
      </c>
      <c r="AR48" s="5">
        <f>INDEX(Python0831!$B$1:$BV$49,MATCH($D48,Python0831!$A$1:$A$49,0),MATCH(AR$5,Python0831!$B$1:$BV$1,0))</f>
        <v>81776.028985859797</v>
      </c>
      <c r="AS48" s="328">
        <f>INDEX(Python0831!$B$1:$BV$49,MATCH($D48,Python0831!$A$1:$A$49,0),MATCH(AS$5,Python0831!$B$1:$BV$1,0))</f>
        <v>9.3638356164383499E-2</v>
      </c>
      <c r="AT48" s="5">
        <f>INDEX(Python0831!$B$1:$BV$49,MATCH($D48,Python0831!$A$1:$A$49,0),MATCH(AT$5,Python0831!$B$1:$BV$1,0))</f>
        <v>1884.02275756877</v>
      </c>
      <c r="AU48" s="7">
        <f>INDEX(Python0831!$B$1:$BV$49,MATCH($D48,Python0831!$A$1:$A$49,0),MATCH(AU$5,Python0831!$B$1:$BV$1,0))</f>
        <v>0.35978835978835899</v>
      </c>
      <c r="AV48" s="5">
        <f>INDEX(Python0831!$B$1:$BV$49,MATCH($D48,Python0831!$A$1:$A$49,0),MATCH(AV$5,Python0831!$B$1:$BV$1,0))</f>
        <v>467.38</v>
      </c>
      <c r="AW48" s="5">
        <f>INDEX(Python0831!$B$1:$BV$49,MATCH($D48,Python0831!$A$1:$A$49,0),MATCH(AW$5,Python0831!$B$1:$BV$1,0))</f>
        <v>77.315626557595607</v>
      </c>
      <c r="AX48" s="5">
        <f>INDEX(Python0831!$B$1:$BV$49,MATCH($D48,Python0831!$A$1:$A$49,0),MATCH(AX$5,Python0831!$B$1:$BV$1,0))</f>
        <v>46.675161763707401</v>
      </c>
      <c r="AY48" s="329">
        <f>INDEX(Python0831!$B$1:$BV$49,MATCH($D48,Python0831!$A$1:$A$49,0),MATCH(AY$5,Python0831!$B$1:$BV$1,0))</f>
        <v>1.6999999999999999E-3</v>
      </c>
      <c r="AZ48" s="5">
        <f>INDEX(Python0831!$B$1:$BV$49,MATCH($D48,Python0831!$A$1:$A$49,0),MATCH(AZ$5,Python0831!$B$1:$BV$1,0))</f>
        <v>76.599999999999994</v>
      </c>
      <c r="BA48" s="5">
        <f>INDEX(Python0831!$B$1:$BV$49,MATCH($D48,Python0831!$A$1:$A$49,0),MATCH(BA$5,Python0831!$B$1:$BV$1,0))</f>
        <v>58.076462228750302</v>
      </c>
      <c r="BB48" s="5">
        <f>INDEX(Python0831!$B$1:$BV$49,MATCH($D48,Python0831!$A$1:$A$49,0),MATCH(BB$5,Python0831!$B$1:$BV$1,0))</f>
        <v>15.5916455025869</v>
      </c>
      <c r="BC48" s="5">
        <f>INDEX(Python0831!$B$1:$BV$49,MATCH($D48,Python0831!$A$1:$A$49,0),MATCH(BC$5,Python0831!$B$1:$BV$1,0))</f>
        <v>5022.4892162981396</v>
      </c>
      <c r="BD48" s="5">
        <f>INDEX(Python0831!$B$1:$BV$49,MATCH($D48,Python0831!$A$1:$A$49,0),MATCH(BD$5,Python0831!$B$1:$BV$1,0))</f>
        <v>51.144655187042801</v>
      </c>
      <c r="BE48" s="5">
        <f>INDEX(Python0831!$B$1:$BV$49,MATCH($D48,Python0831!$A$1:$A$49,0),MATCH(BE$5,Python0831!$B$1:$BV$1,0))</f>
        <v>65.409065474306004</v>
      </c>
      <c r="BF48" s="5">
        <f>INDEX(Python0831!$B$1:$BV$49,MATCH($D48,Python0831!$A$1:$A$49,0),MATCH(BF$5,Python0831!$B$1:$BV$1,0))</f>
        <v>36.224925149329998</v>
      </c>
      <c r="BG48" s="5">
        <f>INDEX(Python0831!$B$1:$BV$49,MATCH($D48,Python0831!$A$1:$A$49,0),MATCH(BG$5,Python0831!$B$1:$BV$1,0))</f>
        <v>45.5936969696969</v>
      </c>
      <c r="BH48" s="327">
        <f>INDEX(Python0831!$B$1:$BV$49,MATCH($D48,Python0831!$A$1:$A$49,0),MATCH(BH$5,Python0831!$B$1:$BV$1,0))</f>
        <v>8.1000000000000003E-2</v>
      </c>
      <c r="BI48" s="327">
        <f>INDEX(Python0831!$B$1:$BV$49,MATCH($D48,Python0831!$A$1:$A$49,0),MATCH(BI$5,Python0831!$B$1:$BV$1,0))</f>
        <v>5.6601085267468598E-2</v>
      </c>
      <c r="BJ48" s="5">
        <f>INDEX(Python0831!$B$1:$BV$49,MATCH($D48,Python0831!$A$1:$A$49,0),MATCH(BJ$5,Python0831!$B$1:$BV$1,0))</f>
        <v>9.15297178535703</v>
      </c>
      <c r="BK48" s="5">
        <f>INDEX(Python0831!$B$1:$BV$49,MATCH($D48,Python0831!$A$1:$A$49,0),MATCH(BK$5,Python0831!$B$1:$BV$1,0))</f>
        <v>14.2</v>
      </c>
      <c r="BL48" s="7">
        <f>INDEX(Python0831!$B$1:$BV$49,MATCH($D48,Python0831!$A$1:$A$49,0),MATCH(BL$5,Python0831!$B$1:$BV$1,0))</f>
        <v>0.58965063795003003</v>
      </c>
      <c r="BM48" s="5">
        <f>INDEX(Python0831!$B$1:$BV$49,MATCH($D48,Python0831!$A$1:$A$49,0),MATCH(BM$5,Python0831!$B$1:$BV$1,0))</f>
        <v>45.9</v>
      </c>
      <c r="BN48" s="5">
        <f>INDEX(Python0831!$B$1:$BV$49,MATCH($D48,Python0831!$A$1:$A$49,0),MATCH(BN$5,Python0831!$B$1:$BV$1,0))</f>
        <v>42.595474066422497</v>
      </c>
      <c r="BO48" s="5">
        <f>INDEX(Python0831!$B$1:$BV$49,MATCH($D48,Python0831!$A$1:$A$49,0),MATCH(BO$5,Python0831!$B$1:$BV$1,0))</f>
        <v>41.644007541601802</v>
      </c>
      <c r="BP48" s="5">
        <f>INDEX(Python0831!$B$1:$BV$49,MATCH($D48,Python0831!$A$1:$A$49,0),MATCH(BP$5,Python0831!$B$1:$BV$1,0))</f>
        <v>40.000000000000298</v>
      </c>
      <c r="BQ48" s="7">
        <f>INDEX(Python0831!$B$1:$BV$49,MATCH($D48,Python0831!$A$1:$A$49,0),MATCH(BQ$5,Python0831!$B$1:$BV$1,0))</f>
        <v>3.1929562483006499</v>
      </c>
      <c r="BR48" s="5">
        <f>INDEX(Python0831!$B$1:$BV$49,MATCH($D48,Python0831!$A$1:$A$49,0),MATCH(BR$5,Python0831!$B$1:$BV$1,0))</f>
        <v>7513387</v>
      </c>
      <c r="BS48" s="5">
        <f>INDEX(Python0831!$B$1:$BV$49,MATCH($D48,Python0831!$A$1:$A$49,0),MATCH(BS$5,Python0831!$B$1:$BV$1,0))</f>
        <v>46609</v>
      </c>
      <c r="BT48" s="8">
        <f>INDEX(Python0831!$B$1:$BV$49,MATCH($D48,Python0831!$A$1:$A$49,0),MATCH(BT$5,Python0831!$B$1:$BV$1,0))</f>
        <v>0.36605636911135903</v>
      </c>
      <c r="BU48" s="8">
        <f>INDEX(Python0831!$B$1:$BV$49,MATCH($D48,Python0831!$A$1:$A$49,0),MATCH(BU$5,Python0831!$B$1:$BV$1,0))</f>
        <v>0.65810531750128998</v>
      </c>
      <c r="BV48" s="5">
        <f>INDEX(Python0831!$B$1:$BV$49,MATCH($D48,Python0831!$A$1:$A$49,0),MATCH(BV$5,Python0831!$B$1:$BV$1,0))</f>
        <v>40</v>
      </c>
      <c r="BW48" s="5">
        <f>INDEX(Python0831!$B$1:$BV$49,MATCH($D48,Python0831!$A$1:$A$49,0),MATCH(BW$5,Python0831!$B$1:$BV$1,0))</f>
        <v>41.844999999999999</v>
      </c>
      <c r="BX48" s="382">
        <f>INDEX(Python0831!$B$1:$BV$49,MATCH($D48,Python0831!$A$1:$A$49,0),MATCH(BX$5,Python0831!$B$1:$BV$1,0))</f>
        <v>24.324324324324323</v>
      </c>
      <c r="BY48" s="5">
        <f>INDEX(Python0831!$B$1:$BV$49,MATCH($D48,Python0831!$A$1:$A$49,0),MATCH(BY$5,Python0831!$B$1:$BV$1,0))</f>
        <v>54.205266085951003</v>
      </c>
    </row>
    <row r="49" spans="1:77">
      <c r="A49" s="2">
        <v>44</v>
      </c>
      <c r="B49" s="58">
        <f>INDEX(順位表[Comprehensive],MATCH($C49,順位表['#],0))</f>
        <v>8</v>
      </c>
      <c r="C49" s="3">
        <v>44</v>
      </c>
      <c r="D49" s="1" t="str">
        <f>INDEX(都市マスタ[City Name],MATCH($C49,都市マスタ['#],0))</f>
        <v>Dubai</v>
      </c>
      <c r="E49" s="5">
        <f>INDEX(Python0831!$B$1:$BV$49,MATCH($D49,Python0831!$A$1:$A$49,0),MATCH(E$5,Python0831!$B$1:$BV$1,0))</f>
        <v>3478300</v>
      </c>
      <c r="F49" s="5">
        <f>INDEX(Python0831!$B$1:$BV$49,MATCH($D49,Python0831!$A$1:$A$49,0),MATCH(F$5,Python0831!$B$1:$BV$1,0))</f>
        <v>4758.5</v>
      </c>
      <c r="G49" s="7">
        <f>INDEX(Python0831!$B$1:$BV$49,MATCH($D49,Python0831!$A$1:$A$49,0),MATCH(G$5,Python0831!$B$1:$BV$1,0))</f>
        <v>3.673</v>
      </c>
      <c r="H49" s="5">
        <f>INDEX(Python0831!$B$1:$BV$49,MATCH($D49,Python0831!$A$1:$A$49,0),MATCH(H$5,Python0831!$B$1:$BV$1,0))</f>
        <v>123640.284737697</v>
      </c>
      <c r="I49" s="5">
        <f>INDEX(Python0831!$B$1:$BV$49,MATCH($D49,Python0831!$A$1:$A$49,0),MATCH(I$5,Python0831!$B$1:$BV$1,0))</f>
        <v>35546.181967540797</v>
      </c>
      <c r="J49" s="328">
        <f>INDEX(Python0831!$B$1:$BV$49,MATCH($D49,Python0831!$A$1:$A$49,0),MATCH(J$5,Python0831!$B$1:$BV$1,0))</f>
        <v>1.6607734020874E-3</v>
      </c>
      <c r="K49" s="5">
        <f>INDEX(Python0831!$B$1:$BV$49,MATCH($D49,Python0831!$A$1:$A$49,0),MATCH(K$5,Python0831!$B$1:$BV$1,0))</f>
        <v>70.874999999999901</v>
      </c>
      <c r="L49" s="5">
        <f>INDEX(Python0831!$B$1:$BV$49,MATCH($D49,Python0831!$A$1:$A$49,0),MATCH(L$5,Python0831!$B$1:$BV$1,0))</f>
        <v>158759.69</v>
      </c>
      <c r="M49" s="5">
        <f>INDEX(Python0831!$B$1:$BV$49,MATCH($D49,Python0831!$A$1:$A$49,0),MATCH(M$5,Python0831!$B$1:$BV$1,0))</f>
        <v>0</v>
      </c>
      <c r="N49" s="5">
        <f>INDEX(Python0831!$B$1:$BV$49,MATCH($D49,Python0831!$A$1:$A$49,0),MATCH(N$5,Python0831!$B$1:$BV$1,0))</f>
        <v>2358173.19942</v>
      </c>
      <c r="O49" s="328">
        <f>INDEX(Python0831!$B$1:$BV$49,MATCH($D49,Python0831!$A$1:$A$49,0),MATCH(O$5,Python0831!$B$1:$BV$1,0))</f>
        <v>0.19799999999999901</v>
      </c>
      <c r="P49" s="5">
        <f>INDEX(Python0831!$B$1:$BV$49,MATCH($D49,Python0831!$A$1:$A$49,0),MATCH(P$5,Python0831!$B$1:$BV$1,0))</f>
        <v>66.184250527426599</v>
      </c>
      <c r="Q49" s="5">
        <f>INDEX(Python0831!$B$1:$BV$49,MATCH($D49,Python0831!$A$1:$A$49,0),MATCH(Q$5,Python0831!$B$1:$BV$1,0))</f>
        <v>37.886681481044398</v>
      </c>
      <c r="R49" s="5">
        <f>INDEX(Python0831!$B$1:$BV$49,MATCH($D49,Python0831!$A$1:$A$49,0),MATCH(R$5,Python0831!$B$1:$BV$1,0))</f>
        <v>40.556959394319598</v>
      </c>
      <c r="S49" s="327">
        <f>INDEX(Python0831!$B$1:$BV$49,MATCH($D49,Python0831!$A$1:$A$49,0),MATCH(S$5,Python0831!$B$1:$BV$1,0))</f>
        <v>0.09</v>
      </c>
      <c r="T49" s="5">
        <f>INDEX(Python0831!$B$1:$BV$49,MATCH($D49,Python0831!$A$1:$A$49,0),MATCH(T$5,Python0831!$B$1:$BV$1,0))</f>
        <v>90.048028281859501</v>
      </c>
      <c r="U49" s="5">
        <f>INDEX(Python0831!$B$1:$BV$49,MATCH($D49,Python0831!$A$1:$A$49,0),MATCH(U$5,Python0831!$B$1:$BV$1,0))</f>
        <v>9088.4790563219103</v>
      </c>
      <c r="V49" s="5">
        <f>INDEX(Python0831!$B$1:$BV$49,MATCH($D49,Python0831!$A$1:$A$49,0),MATCH(V$5,Python0831!$B$1:$BV$1,0))</f>
        <v>3</v>
      </c>
      <c r="W49" s="5">
        <f>INDEX(Python0831!$B$1:$BV$49,MATCH($D49,Python0831!$A$1:$A$49,0),MATCH(W$5,Python0831!$B$1:$BV$1,0))</f>
        <v>2312.3657830356801</v>
      </c>
      <c r="X49" s="5">
        <f>INDEX(Python0831!$B$1:$BV$49,MATCH($D49,Python0831!$A$1:$A$49,0),MATCH(X$5,Python0831!$B$1:$BV$1,0))</f>
        <v>10680.69</v>
      </c>
      <c r="Y49" s="5">
        <f>INDEX(Python0831!$B$1:$BV$49,MATCH($D49,Python0831!$A$1:$A$49,0),MATCH(Y$5,Python0831!$B$1:$BV$1,0))</f>
        <v>433.666666666666</v>
      </c>
      <c r="Z49" s="5">
        <f>INDEX(Python0831!$B$1:$BV$49,MATCH($D49,Python0831!$A$1:$A$49,0),MATCH(Z$5,Python0831!$B$1:$BV$1,0))</f>
        <v>144.99254232945901</v>
      </c>
      <c r="AA49" s="7">
        <f>INDEX(Python0831!$B$1:$BV$49,MATCH($D49,Python0831!$A$1:$A$49,0),MATCH(AA$5,Python0831!$B$1:$BV$1,0))</f>
        <v>0</v>
      </c>
      <c r="AB49" s="5">
        <f>INDEX(Python0831!$B$1:$BV$49,MATCH($D49,Python0831!$A$1:$A$49,0),MATCH(AB$5,Python0831!$B$1:$BV$1,0))</f>
        <v>343</v>
      </c>
      <c r="AC49" s="5">
        <f>INDEX(Python0831!$B$1:$BV$49,MATCH($D49,Python0831!$A$1:$A$49,0),MATCH(AC$5,Python0831!$B$1:$BV$1,0))</f>
        <v>73</v>
      </c>
      <c r="AD49" s="5">
        <f>INDEX(Python0831!$B$1:$BV$49,MATCH($D49,Python0831!$A$1:$A$49,0),MATCH(AD$5,Python0831!$B$1:$BV$1,0))</f>
        <v>52.6041666666666</v>
      </c>
      <c r="AE49" s="5">
        <f>INDEX(Python0831!$B$1:$BV$49,MATCH($D49,Python0831!$A$1:$A$49,0),MATCH(AE$5,Python0831!$B$1:$BV$1,0))</f>
        <v>10.166419134446301</v>
      </c>
      <c r="AF49" s="5">
        <f>INDEX(Python0831!$B$1:$BV$49,MATCH($D49,Python0831!$A$1:$A$49,0),MATCH(AF$5,Python0831!$B$1:$BV$1,0))</f>
        <v>1.4630593474729401</v>
      </c>
      <c r="AG49" s="5">
        <f>INDEX(Python0831!$B$1:$BV$49,MATCH($D49,Python0831!$A$1:$A$49,0),MATCH(AG$5,Python0831!$B$1:$BV$1,0))</f>
        <v>63.197026022304797</v>
      </c>
      <c r="AH49" s="5">
        <f>INDEX(Python0831!$B$1:$BV$49,MATCH($D49,Python0831!$A$1:$A$49,0),MATCH(AH$5,Python0831!$B$1:$BV$1,0))</f>
        <v>0</v>
      </c>
      <c r="AI49" s="5">
        <f>INDEX(Python0831!$B$1:$BV$49,MATCH($D49,Python0831!$A$1:$A$49,0),MATCH(AI$5,Python0831!$B$1:$BV$1,0))</f>
        <v>46.262457088523298</v>
      </c>
      <c r="AJ49" s="5">
        <f>INDEX(Python0831!$B$1:$BV$49,MATCH($D49,Python0831!$A$1:$A$49,0),MATCH(AJ$5,Python0831!$B$1:$BV$1,0))</f>
        <v>9.5</v>
      </c>
      <c r="AK49" s="5">
        <f>INDEX(Python0831!$B$1:$BV$49,MATCH($D49,Python0831!$A$1:$A$49,0),MATCH(AK$5,Python0831!$B$1:$BV$1,0))</f>
        <v>3</v>
      </c>
      <c r="AL49" s="5">
        <f>INDEX(Python0831!$B$1:$BV$49,MATCH($D49,Python0831!$A$1:$A$49,0),MATCH(AL$5,Python0831!$B$1:$BV$1,0))</f>
        <v>8</v>
      </c>
      <c r="AM49" s="5">
        <f>INDEX(Python0831!$B$1:$BV$49,MATCH($D49,Python0831!$A$1:$A$49,0),MATCH(AM$5,Python0831!$B$1:$BV$1,0))</f>
        <v>87549</v>
      </c>
      <c r="AN49" s="5">
        <f>INDEX(Python0831!$B$1:$BV$49,MATCH($D49,Python0831!$A$1:$A$49,0),MATCH(AN$5,Python0831!$B$1:$BV$1,0))</f>
        <v>28305</v>
      </c>
      <c r="AO49" s="5">
        <f>INDEX(Python0831!$B$1:$BV$49,MATCH($D49,Python0831!$A$1:$A$49,0),MATCH(AO$5,Python0831!$B$1:$BV$1,0))</f>
        <v>55.590861099388697</v>
      </c>
      <c r="AP49" s="5">
        <f>INDEX(Python0831!$B$1:$BV$49,MATCH($D49,Python0831!$A$1:$A$49,0),MATCH(AP$5,Python0831!$B$1:$BV$1,0))</f>
        <v>38.886056689488697</v>
      </c>
      <c r="AQ49" s="5">
        <f>INDEX(Python0831!$B$1:$BV$49,MATCH($D49,Python0831!$A$1:$A$49,0),MATCH(AQ$5,Python0831!$B$1:$BV$1,0))</f>
        <v>3265250</v>
      </c>
      <c r="AR49" s="5">
        <f>INDEX(Python0831!$B$1:$BV$49,MATCH($D49,Python0831!$A$1:$A$49,0),MATCH(AR$5,Python0831!$B$1:$BV$1,0))</f>
        <v>14360000</v>
      </c>
      <c r="AS49" s="328">
        <f>INDEX(Python0831!$B$1:$BV$49,MATCH($D49,Python0831!$A$1:$A$49,0),MATCH(AS$5,Python0831!$B$1:$BV$1,0))</f>
        <v>4.5731715767312001E-3</v>
      </c>
      <c r="AT49" s="5">
        <f>INDEX(Python0831!$B$1:$BV$49,MATCH($D49,Python0831!$A$1:$A$49,0),MATCH(AT$5,Python0831!$B$1:$BV$1,0))</f>
        <v>2331.4524772539098</v>
      </c>
      <c r="AU49" s="7">
        <f>INDEX(Python0831!$B$1:$BV$49,MATCH($D49,Python0831!$A$1:$A$49,0),MATCH(AU$5,Python0831!$B$1:$BV$1,0))</f>
        <v>0.81770833333333304</v>
      </c>
      <c r="AV49" s="5">
        <f>INDEX(Python0831!$B$1:$BV$49,MATCH($D49,Python0831!$A$1:$A$49,0),MATCH(AV$5,Python0831!$B$1:$BV$1,0))</f>
        <v>2291.7356384426898</v>
      </c>
      <c r="AW49" s="5">
        <f>INDEX(Python0831!$B$1:$BV$49,MATCH($D49,Python0831!$A$1:$A$49,0),MATCH(AW$5,Python0831!$B$1:$BV$1,0))</f>
        <v>30.9841623344523</v>
      </c>
      <c r="AX49" s="5">
        <f>INDEX(Python0831!$B$1:$BV$49,MATCH($D49,Python0831!$A$1:$A$49,0),MATCH(AX$5,Python0831!$B$1:$BV$1,0))</f>
        <v>4.4897959183673404</v>
      </c>
      <c r="AY49" s="329">
        <f>INDEX(Python0831!$B$1:$BV$49,MATCH($D49,Python0831!$A$1:$A$49,0),MATCH(AY$5,Python0831!$B$1:$BV$1,0))</f>
        <v>5.1000000000000004E-3</v>
      </c>
      <c r="AZ49" s="5">
        <f>INDEX(Python0831!$B$1:$BV$49,MATCH($D49,Python0831!$A$1:$A$49,0),MATCH(AZ$5,Python0831!$B$1:$BV$1,0))</f>
        <v>76.099999999999994</v>
      </c>
      <c r="BA49" s="5">
        <f>INDEX(Python0831!$B$1:$BV$49,MATCH($D49,Python0831!$A$1:$A$49,0),MATCH(BA$5,Python0831!$B$1:$BV$1,0))</f>
        <v>34.746908817709603</v>
      </c>
      <c r="BB49" s="5">
        <f>INDEX(Python0831!$B$1:$BV$49,MATCH($D49,Python0831!$A$1:$A$49,0),MATCH(BB$5,Python0831!$B$1:$BV$1,0))</f>
        <v>7.3018141121171203</v>
      </c>
      <c r="BC49" s="5">
        <f>INDEX(Python0831!$B$1:$BV$49,MATCH($D49,Python0831!$A$1:$A$49,0),MATCH(BC$5,Python0831!$B$1:$BV$1,0))</f>
        <v>2920.5273803507798</v>
      </c>
      <c r="BD49" s="5">
        <f>INDEX(Python0831!$B$1:$BV$49,MATCH($D49,Python0831!$A$1:$A$49,0),MATCH(BD$5,Python0831!$B$1:$BV$1,0))</f>
        <v>71.630653166184402</v>
      </c>
      <c r="BE49" s="5">
        <f>INDEX(Python0831!$B$1:$BV$49,MATCH($D49,Python0831!$A$1:$A$49,0),MATCH(BE$5,Python0831!$B$1:$BV$1,0))</f>
        <v>46.547206800574799</v>
      </c>
      <c r="BF49" s="5">
        <f>INDEX(Python0831!$B$1:$BV$49,MATCH($D49,Python0831!$A$1:$A$49,0),MATCH(BF$5,Python0831!$B$1:$BV$1,0))</f>
        <v>53.235387959154998</v>
      </c>
      <c r="BG49" s="5">
        <f>INDEX(Python0831!$B$1:$BV$49,MATCH($D49,Python0831!$A$1:$A$49,0),MATCH(BG$5,Python0831!$B$1:$BV$1,0))</f>
        <v>38.030303030303003</v>
      </c>
      <c r="BH49" s="327">
        <f>INDEX(Python0831!$B$1:$BV$49,MATCH($D49,Python0831!$A$1:$A$49,0),MATCH(BH$5,Python0831!$B$1:$BV$1,0))</f>
        <v>6.7999999999999996E-3</v>
      </c>
      <c r="BI49" s="327">
        <f>INDEX(Python0831!$B$1:$BV$49,MATCH($D49,Python0831!$A$1:$A$49,0),MATCH(BI$5,Python0831!$B$1:$BV$1,0))</f>
        <v>0.206436446442954</v>
      </c>
      <c r="BJ49" s="5">
        <f>INDEX(Python0831!$B$1:$BV$49,MATCH($D49,Python0831!$A$1:$A$49,0),MATCH(BJ$5,Python0831!$B$1:$BV$1,0))</f>
        <v>15.886839878163601</v>
      </c>
      <c r="BK49" s="5">
        <f>INDEX(Python0831!$B$1:$BV$49,MATCH($D49,Python0831!$A$1:$A$49,0),MATCH(BK$5,Python0831!$B$1:$BV$1,0))</f>
        <v>43.7</v>
      </c>
      <c r="BL49" s="7">
        <f>INDEX(Python0831!$B$1:$BV$49,MATCH($D49,Python0831!$A$1:$A$49,0),MATCH(BL$5,Python0831!$B$1:$BV$1,0))</f>
        <v>1.4778151529713199</v>
      </c>
      <c r="BM49" s="5">
        <f>INDEX(Python0831!$B$1:$BV$49,MATCH($D49,Python0831!$A$1:$A$49,0),MATCH(BM$5,Python0831!$B$1:$BV$1,0))</f>
        <v>61.3</v>
      </c>
      <c r="BN49" s="5">
        <f>INDEX(Python0831!$B$1:$BV$49,MATCH($D49,Python0831!$A$1:$A$49,0),MATCH(BN$5,Python0831!$B$1:$BV$1,0))</f>
        <v>28.5066458170445</v>
      </c>
      <c r="BO49" s="5">
        <f>INDEX(Python0831!$B$1:$BV$49,MATCH($D49,Python0831!$A$1:$A$49,0),MATCH(BO$5,Python0831!$B$1:$BV$1,0))</f>
        <v>99.374325536847195</v>
      </c>
      <c r="BP49" s="5">
        <f>INDEX(Python0831!$B$1:$BV$49,MATCH($D49,Python0831!$A$1:$A$49,0),MATCH(BP$5,Python0831!$B$1:$BV$1,0))</f>
        <v>277.00000000000398</v>
      </c>
      <c r="BQ49" s="7">
        <f>INDEX(Python0831!$B$1:$BV$49,MATCH($D49,Python0831!$A$1:$A$49,0),MATCH(BQ$5,Python0831!$B$1:$BV$1,0))</f>
        <v>41.008091484930603</v>
      </c>
      <c r="BR49" s="5">
        <f>INDEX(Python0831!$B$1:$BV$49,MATCH($D49,Python0831!$A$1:$A$49,0),MATCH(BR$5,Python0831!$B$1:$BV$1,0))</f>
        <v>66984377</v>
      </c>
      <c r="BS49" s="5">
        <f>INDEX(Python0831!$B$1:$BV$49,MATCH($D49,Python0831!$A$1:$A$49,0),MATCH(BS$5,Python0831!$B$1:$BV$1,0))</f>
        <v>356829</v>
      </c>
      <c r="BT49" s="8">
        <f>INDEX(Python0831!$B$1:$BV$49,MATCH($D49,Python0831!$A$1:$A$49,0),MATCH(BT$5,Python0831!$B$1:$BV$1,0))</f>
        <v>9.5492965855137196E-2</v>
      </c>
      <c r="BU49" s="8">
        <f>INDEX(Python0831!$B$1:$BV$49,MATCH($D49,Python0831!$A$1:$A$49,0),MATCH(BU$5,Python0831!$B$1:$BV$1,0))</f>
        <v>0.11376284246575299</v>
      </c>
      <c r="BV49" s="5">
        <f>INDEX(Python0831!$B$1:$BV$49,MATCH($D49,Python0831!$A$1:$A$49,0),MATCH(BV$5,Python0831!$B$1:$BV$1,0))</f>
        <v>16.191112384310099</v>
      </c>
      <c r="BW49" s="5">
        <f>INDEX(Python0831!$B$1:$BV$49,MATCH($D49,Python0831!$A$1:$A$49,0),MATCH(BW$5,Python0831!$B$1:$BV$1,0))</f>
        <v>34.914999999999999</v>
      </c>
      <c r="BX49" s="382">
        <f>INDEX(Python0831!$B$1:$BV$49,MATCH($D49,Python0831!$A$1:$A$49,0),MATCH(BX$5,Python0831!$B$1:$BV$1,0))</f>
        <v>49.315068493150683</v>
      </c>
      <c r="BY49" s="5">
        <f>INDEX(Python0831!$B$1:$BV$49,MATCH($D49,Python0831!$A$1:$A$49,0),MATCH(BY$5,Python0831!$B$1:$BV$1,0))</f>
        <v>44.988285984647902</v>
      </c>
    </row>
    <row r="50" spans="1:77">
      <c r="A50" s="2">
        <v>45</v>
      </c>
      <c r="B50" s="58">
        <f>INDEX(順位表[Comprehensive],MATCH($C50,順位表['#],0))</f>
        <v>28</v>
      </c>
      <c r="C50" s="3">
        <v>45</v>
      </c>
      <c r="D50" s="1" t="str">
        <f>INDEX(都市マスタ[City Name],MATCH($C50,都市マスタ['#],0))</f>
        <v>Dublin</v>
      </c>
      <c r="E50" s="5">
        <f>INDEX(Python0831!$B$1:$BV$49,MATCH($D50,Python0831!$A$1:$A$49,0),MATCH(E$5,Python0831!$B$1:$BV$1,0))</f>
        <v>592713</v>
      </c>
      <c r="F50" s="5">
        <f>INDEX(Python0831!$B$1:$BV$49,MATCH($D50,Python0831!$A$1:$A$49,0),MATCH(F$5,Python0831!$B$1:$BV$1,0))</f>
        <v>116.01</v>
      </c>
      <c r="G50" s="7">
        <f>INDEX(Python0831!$B$1:$BV$49,MATCH($D50,Python0831!$A$1:$A$49,0),MATCH(G$5,Python0831!$B$1:$BV$1,0))</f>
        <v>0.95099999999999996</v>
      </c>
      <c r="H50" s="5">
        <f>INDEX(Python0831!$B$1:$BV$49,MATCH($D50,Python0831!$A$1:$A$49,0),MATCH(H$5,Python0831!$B$1:$BV$1,0))</f>
        <v>82317.182938534199</v>
      </c>
      <c r="I50" s="5">
        <f>INDEX(Python0831!$B$1:$BV$49,MATCH($D50,Python0831!$A$1:$A$49,0),MATCH(I$5,Python0831!$B$1:$BV$1,0))</f>
        <v>148438.12056737501</v>
      </c>
      <c r="J50" s="328">
        <f>INDEX(Python0831!$B$1:$BV$49,MATCH($D50,Python0831!$A$1:$A$49,0),MATCH(J$5,Python0831!$B$1:$BV$1,0))</f>
        <v>0.11513805671250001</v>
      </c>
      <c r="K50" s="5">
        <f>INDEX(Python0831!$B$1:$BV$49,MATCH($D50,Python0831!$A$1:$A$49,0),MATCH(K$5,Python0831!$B$1:$BV$1,0))</f>
        <v>81.983333333333306</v>
      </c>
      <c r="L50" s="5">
        <f>INDEX(Python0831!$B$1:$BV$49,MATCH($D50,Python0831!$A$1:$A$49,0),MATCH(L$5,Python0831!$B$1:$BV$1,0))</f>
        <v>131182.58301896899</v>
      </c>
      <c r="M50" s="5">
        <f>INDEX(Python0831!$B$1:$BV$49,MATCH($D50,Python0831!$A$1:$A$49,0),MATCH(M$5,Python0831!$B$1:$BV$1,0))</f>
        <v>126648.3</v>
      </c>
      <c r="N50" s="5">
        <f>INDEX(Python0831!$B$1:$BV$49,MATCH($D50,Python0831!$A$1:$A$49,0),MATCH(N$5,Python0831!$B$1:$BV$1,0))</f>
        <v>315605.21599264699</v>
      </c>
      <c r="O50" s="328">
        <f>INDEX(Python0831!$B$1:$BV$49,MATCH($D50,Python0831!$A$1:$A$49,0),MATCH(O$5,Python0831!$B$1:$BV$1,0))</f>
        <v>0.21315541837618099</v>
      </c>
      <c r="P50" s="5">
        <f>INDEX(Python0831!$B$1:$BV$49,MATCH($D50,Python0831!$A$1:$A$49,0),MATCH(P$5,Python0831!$B$1:$BV$1,0))</f>
        <v>44.838588452772498</v>
      </c>
      <c r="Q50" s="5">
        <f>INDEX(Python0831!$B$1:$BV$49,MATCH($D50,Python0831!$A$1:$A$49,0),MATCH(Q$5,Python0831!$B$1:$BV$1,0))</f>
        <v>78.892870824008497</v>
      </c>
      <c r="R50" s="5">
        <f>INDEX(Python0831!$B$1:$BV$49,MATCH($D50,Python0831!$A$1:$A$49,0),MATCH(R$5,Python0831!$B$1:$BV$1,0))</f>
        <v>18.538958037093</v>
      </c>
      <c r="S50" s="327">
        <f>INDEX(Python0831!$B$1:$BV$49,MATCH($D50,Python0831!$A$1:$A$49,0),MATCH(S$5,Python0831!$B$1:$BV$1,0))</f>
        <v>0.125</v>
      </c>
      <c r="T50" s="5">
        <f>INDEX(Python0831!$B$1:$BV$49,MATCH($D50,Python0831!$A$1:$A$49,0),MATCH(T$5,Python0831!$B$1:$BV$1,0))</f>
        <v>87.897974990204304</v>
      </c>
      <c r="U50" s="5">
        <f>INDEX(Python0831!$B$1:$BV$49,MATCH($D50,Python0831!$A$1:$A$49,0),MATCH(U$5,Python0831!$B$1:$BV$1,0))</f>
        <v>2924.9738265548299</v>
      </c>
      <c r="V50" s="5">
        <f>INDEX(Python0831!$B$1:$BV$49,MATCH($D50,Python0831!$A$1:$A$49,0),MATCH(V$5,Python0831!$B$1:$BV$1,0))</f>
        <v>44</v>
      </c>
      <c r="W50" s="5">
        <f>INDEX(Python0831!$B$1:$BV$49,MATCH($D50,Python0831!$A$1:$A$49,0),MATCH(W$5,Python0831!$B$1:$BV$1,0))</f>
        <v>643.39256817514899</v>
      </c>
      <c r="X50" s="5">
        <f>INDEX(Python0831!$B$1:$BV$49,MATCH($D50,Python0831!$A$1:$A$49,0),MATCH(X$5,Python0831!$B$1:$BV$1,0))</f>
        <v>18100.55</v>
      </c>
      <c r="Y50" s="5">
        <f>INDEX(Python0831!$B$1:$BV$49,MATCH($D50,Python0831!$A$1:$A$49,0),MATCH(Y$5,Python0831!$B$1:$BV$1,0))</f>
        <v>504.666666666666</v>
      </c>
      <c r="Z50" s="5">
        <f>INDEX(Python0831!$B$1:$BV$49,MATCH($D50,Python0831!$A$1:$A$49,0),MATCH(Z$5,Python0831!$B$1:$BV$1,0))</f>
        <v>14.4502895366437</v>
      </c>
      <c r="AA50" s="7">
        <f>INDEX(Python0831!$B$1:$BV$49,MATCH($D50,Python0831!$A$1:$A$49,0),MATCH(AA$5,Python0831!$B$1:$BV$1,0))</f>
        <v>0</v>
      </c>
      <c r="AB50" s="5">
        <f>INDEX(Python0831!$B$1:$BV$49,MATCH($D50,Python0831!$A$1:$A$49,0),MATCH(AB$5,Python0831!$B$1:$BV$1,0))</f>
        <v>98.6666666666666</v>
      </c>
      <c r="AC50" s="5">
        <f>INDEX(Python0831!$B$1:$BV$49,MATCH($D50,Python0831!$A$1:$A$49,0),MATCH(AC$5,Python0831!$B$1:$BV$1,0))</f>
        <v>21</v>
      </c>
      <c r="AD50" s="5">
        <f>INDEX(Python0831!$B$1:$BV$49,MATCH($D50,Python0831!$A$1:$A$49,0),MATCH(AD$5,Python0831!$B$1:$BV$1,0))</f>
        <v>31.25</v>
      </c>
      <c r="AE50" s="5">
        <f>INDEX(Python0831!$B$1:$BV$49,MATCH($D50,Python0831!$A$1:$A$49,0),MATCH(AE$5,Python0831!$B$1:$BV$1,0))</f>
        <v>7.3217486266271798</v>
      </c>
      <c r="AF50" s="5">
        <f>INDEX(Python0831!$B$1:$BV$49,MATCH($D50,Python0831!$A$1:$A$49,0),MATCH(AF$5,Python0831!$B$1:$BV$1,0))</f>
        <v>0.78226857887874801</v>
      </c>
      <c r="AG50" s="5">
        <f>INDEX(Python0831!$B$1:$BV$49,MATCH($D50,Python0831!$A$1:$A$49,0),MATCH(AG$5,Python0831!$B$1:$BV$1,0))</f>
        <v>35.332846642737302</v>
      </c>
      <c r="AH50" s="5">
        <f>INDEX(Python0831!$B$1:$BV$49,MATCH($D50,Python0831!$A$1:$A$49,0),MATCH(AH$5,Python0831!$B$1:$BV$1,0))</f>
        <v>2</v>
      </c>
      <c r="AI50" s="5">
        <f>INDEX(Python0831!$B$1:$BV$49,MATCH($D50,Python0831!$A$1:$A$49,0),MATCH(AI$5,Python0831!$B$1:$BV$1,0))</f>
        <v>39.101995638706498</v>
      </c>
      <c r="AJ50" s="5">
        <f>INDEX(Python0831!$B$1:$BV$49,MATCH($D50,Python0831!$A$1:$A$49,0),MATCH(AJ$5,Python0831!$B$1:$BV$1,0))</f>
        <v>29</v>
      </c>
      <c r="AK50" s="5">
        <f>INDEX(Python0831!$B$1:$BV$49,MATCH($D50,Python0831!$A$1:$A$49,0),MATCH(AK$5,Python0831!$B$1:$BV$1,0))</f>
        <v>80</v>
      </c>
      <c r="AL50" s="5">
        <f>INDEX(Python0831!$B$1:$BV$49,MATCH($D50,Python0831!$A$1:$A$49,0),MATCH(AL$5,Python0831!$B$1:$BV$1,0))</f>
        <v>5</v>
      </c>
      <c r="AM50" s="5">
        <f>INDEX(Python0831!$B$1:$BV$49,MATCH($D50,Python0831!$A$1:$A$49,0),MATCH(AM$5,Python0831!$B$1:$BV$1,0))</f>
        <v>29416</v>
      </c>
      <c r="AN50" s="5">
        <f>INDEX(Python0831!$B$1:$BV$49,MATCH($D50,Python0831!$A$1:$A$49,0),MATCH(AN$5,Python0831!$B$1:$BV$1,0))</f>
        <v>1755</v>
      </c>
      <c r="AO50" s="5">
        <f>INDEX(Python0831!$B$1:$BV$49,MATCH($D50,Python0831!$A$1:$A$49,0),MATCH(AO$5,Python0831!$B$1:$BV$1,0))</f>
        <v>10.667568577185399</v>
      </c>
      <c r="AP50" s="5">
        <f>INDEX(Python0831!$B$1:$BV$49,MATCH($D50,Python0831!$A$1:$A$49,0),MATCH(AP$5,Python0831!$B$1:$BV$1,0))</f>
        <v>20.483572049906002</v>
      </c>
      <c r="AQ50" s="5">
        <f>INDEX(Python0831!$B$1:$BV$49,MATCH($D50,Python0831!$A$1:$A$49,0),MATCH(AQ$5,Python0831!$B$1:$BV$1,0))</f>
        <v>91876</v>
      </c>
      <c r="AR50" s="5">
        <f>INDEX(Python0831!$B$1:$BV$49,MATCH($D50,Python0831!$A$1:$A$49,0),MATCH(AR$5,Python0831!$B$1:$BV$1,0))</f>
        <v>1191426.4964766901</v>
      </c>
      <c r="AS50" s="328">
        <f>INDEX(Python0831!$B$1:$BV$49,MATCH($D50,Python0831!$A$1:$A$49,0),MATCH(AS$5,Python0831!$B$1:$BV$1,0))</f>
        <v>5.0219178082191701E-2</v>
      </c>
      <c r="AT50" s="5">
        <f>INDEX(Python0831!$B$1:$BV$49,MATCH($D50,Python0831!$A$1:$A$49,0),MATCH(AT$5,Python0831!$B$1:$BV$1,0))</f>
        <v>2032.00167238207</v>
      </c>
      <c r="AU50" s="7">
        <f>INDEX(Python0831!$B$1:$BV$49,MATCH($D50,Python0831!$A$1:$A$49,0),MATCH(AU$5,Python0831!$B$1:$BV$1,0))</f>
        <v>0.311764705882352</v>
      </c>
      <c r="AV50" s="5">
        <f>INDEX(Python0831!$B$1:$BV$49,MATCH($D50,Python0831!$A$1:$A$49,0),MATCH(AV$5,Python0831!$B$1:$BV$1,0))</f>
        <v>2909.81678486997</v>
      </c>
      <c r="AW50" s="5">
        <f>INDEX(Python0831!$B$1:$BV$49,MATCH($D50,Python0831!$A$1:$A$49,0),MATCH(AW$5,Python0831!$B$1:$BV$1,0))</f>
        <v>44.147366470379801</v>
      </c>
      <c r="AX50" s="5">
        <f>INDEX(Python0831!$B$1:$BV$49,MATCH($D50,Python0831!$A$1:$A$49,0),MATCH(AX$5,Python0831!$B$1:$BV$1,0))</f>
        <v>13.3333333333333</v>
      </c>
      <c r="AY50" s="329">
        <f>INDEX(Python0831!$B$1:$BV$49,MATCH($D50,Python0831!$A$1:$A$49,0),MATCH(AY$5,Python0831!$B$1:$BV$1,0))</f>
        <v>6.9999999999999999E-4</v>
      </c>
      <c r="AZ50" s="5">
        <f>INDEX(Python0831!$B$1:$BV$49,MATCH($D50,Python0831!$A$1:$A$49,0),MATCH(AZ$5,Python0831!$B$1:$BV$1,0))</f>
        <v>81.8</v>
      </c>
      <c r="BA50" s="5">
        <f>INDEX(Python0831!$B$1:$BV$49,MATCH($D50,Python0831!$A$1:$A$49,0),MATCH(BA$5,Python0831!$B$1:$BV$1,0))</f>
        <v>86.760892911362404</v>
      </c>
      <c r="BB50" s="5">
        <f>INDEX(Python0831!$B$1:$BV$49,MATCH($D50,Python0831!$A$1:$A$49,0),MATCH(BB$5,Python0831!$B$1:$BV$1,0))</f>
        <v>15.7554639186252</v>
      </c>
      <c r="BC50" s="5">
        <f>INDEX(Python0831!$B$1:$BV$49,MATCH($D50,Python0831!$A$1:$A$49,0),MATCH(BC$5,Python0831!$B$1:$BV$1,0))</f>
        <v>4189.4837630805296</v>
      </c>
      <c r="BD50" s="5">
        <f>INDEX(Python0831!$B$1:$BV$49,MATCH($D50,Python0831!$A$1:$A$49,0),MATCH(BD$5,Python0831!$B$1:$BV$1,0))</f>
        <v>70.451691932529798</v>
      </c>
      <c r="BE50" s="5">
        <f>INDEX(Python0831!$B$1:$BV$49,MATCH($D50,Python0831!$A$1:$A$49,0),MATCH(BE$5,Python0831!$B$1:$BV$1,0))</f>
        <v>29.222469482675798</v>
      </c>
      <c r="BF50" s="5">
        <f>INDEX(Python0831!$B$1:$BV$49,MATCH($D50,Python0831!$A$1:$A$49,0),MATCH(BF$5,Python0831!$B$1:$BV$1,0))</f>
        <v>27.4411037015293</v>
      </c>
      <c r="BG50" s="5">
        <f>INDEX(Python0831!$B$1:$BV$49,MATCH($D50,Python0831!$A$1:$A$49,0),MATCH(BG$5,Python0831!$B$1:$BV$1,0))</f>
        <v>11.9393939393939</v>
      </c>
      <c r="BH50" s="327">
        <f>INDEX(Python0831!$B$1:$BV$49,MATCH($D50,Python0831!$A$1:$A$49,0),MATCH(BH$5,Python0831!$B$1:$BV$1,0))</f>
        <v>0.115</v>
      </c>
      <c r="BI50" s="327">
        <f>INDEX(Python0831!$B$1:$BV$49,MATCH($D50,Python0831!$A$1:$A$49,0),MATCH(BI$5,Python0831!$B$1:$BV$1,0))</f>
        <v>0.28858990605000001</v>
      </c>
      <c r="BJ50" s="5">
        <f>INDEX(Python0831!$B$1:$BV$49,MATCH($D50,Python0831!$A$1:$A$49,0),MATCH(BJ$5,Python0831!$B$1:$BV$1,0))</f>
        <v>9.4690413745668902</v>
      </c>
      <c r="BK50" s="5">
        <f>INDEX(Python0831!$B$1:$BV$49,MATCH($D50,Python0831!$A$1:$A$49,0),MATCH(BK$5,Python0831!$B$1:$BV$1,0))</f>
        <v>7.1</v>
      </c>
      <c r="BL50" s="7">
        <f>INDEX(Python0831!$B$1:$BV$49,MATCH($D50,Python0831!$A$1:$A$49,0),MATCH(BL$5,Python0831!$B$1:$BV$1,0))</f>
        <v>1.0947439094571201</v>
      </c>
      <c r="BM50" s="5">
        <f>INDEX(Python0831!$B$1:$BV$49,MATCH($D50,Python0831!$A$1:$A$49,0),MATCH(BM$5,Python0831!$B$1:$BV$1,0))</f>
        <v>60</v>
      </c>
      <c r="BN50" s="5">
        <f>INDEX(Python0831!$B$1:$BV$49,MATCH($D50,Python0831!$A$1:$A$49,0),MATCH(BN$5,Python0831!$B$1:$BV$1,0))</f>
        <v>69.345723838744306</v>
      </c>
      <c r="BO50" s="5">
        <f>INDEX(Python0831!$B$1:$BV$49,MATCH($D50,Python0831!$A$1:$A$49,0),MATCH(BO$5,Python0831!$B$1:$BV$1,0))</f>
        <v>54.779806281201999</v>
      </c>
      <c r="BP50" s="5">
        <f>INDEX(Python0831!$B$1:$BV$49,MATCH($D50,Python0831!$A$1:$A$49,0),MATCH(BP$5,Python0831!$B$1:$BV$1,0))</f>
        <v>190.00000000000099</v>
      </c>
      <c r="BQ50" s="7">
        <f>INDEX(Python0831!$B$1:$BV$49,MATCH($D50,Python0831!$A$1:$A$49,0),MATCH(BQ$5,Python0831!$B$1:$BV$1,0))</f>
        <v>2.2374382837239999</v>
      </c>
      <c r="BR50" s="5">
        <f>INDEX(Python0831!$B$1:$BV$49,MATCH($D50,Python0831!$A$1:$A$49,0),MATCH(BR$5,Python0831!$B$1:$BV$1,0))</f>
        <v>28084926</v>
      </c>
      <c r="BS50" s="5">
        <f>INDEX(Python0831!$B$1:$BV$49,MATCH($D50,Python0831!$A$1:$A$49,0),MATCH(BS$5,Python0831!$B$1:$BV$1,0))</f>
        <v>209767</v>
      </c>
      <c r="BT50" s="8">
        <f>INDEX(Python0831!$B$1:$BV$49,MATCH($D50,Python0831!$A$1:$A$49,0),MATCH(BT$5,Python0831!$B$1:$BV$1,0))</f>
        <v>0.27056340325622202</v>
      </c>
      <c r="BU50" s="8">
        <f>INDEX(Python0831!$B$1:$BV$49,MATCH($D50,Python0831!$A$1:$A$49,0),MATCH(BU$5,Python0831!$B$1:$BV$1,0))</f>
        <v>0.48701938876109102</v>
      </c>
      <c r="BV50" s="5">
        <f>INDEX(Python0831!$B$1:$BV$49,MATCH($D50,Python0831!$A$1:$A$49,0),MATCH(BV$5,Python0831!$B$1:$BV$1,0))</f>
        <v>14</v>
      </c>
      <c r="BW50" s="5">
        <f>INDEX(Python0831!$B$1:$BV$49,MATCH($D50,Python0831!$A$1:$A$49,0),MATCH(BW$5,Python0831!$B$1:$BV$1,0))</f>
        <v>34.207500000000003</v>
      </c>
      <c r="BX50" s="382">
        <f>INDEX(Python0831!$B$1:$BV$49,MATCH($D50,Python0831!$A$1:$A$49,0),MATCH(BX$5,Python0831!$B$1:$BV$1,0))</f>
        <v>21.05263157894737</v>
      </c>
      <c r="BY50" s="5">
        <f>INDEX(Python0831!$B$1:$BV$49,MATCH($D50,Python0831!$A$1:$A$49,0),MATCH(BY$5,Python0831!$B$1:$BV$1,0))</f>
        <v>44.240116084565003</v>
      </c>
    </row>
    <row r="51" spans="1:77">
      <c r="A51" s="2">
        <v>46</v>
      </c>
      <c r="B51" s="58">
        <f>INDEX(順位表[Comprehensive],MATCH($C51,順位表['#],0))</f>
        <v>31</v>
      </c>
      <c r="C51" s="3">
        <v>46</v>
      </c>
      <c r="D51" s="1" t="str">
        <f>INDEX(都市マスタ[City Name],MATCH($C51,都市マスタ['#],0))</f>
        <v>Helsinki</v>
      </c>
      <c r="E51" s="5">
        <f>INDEX(Python0831!$B$1:$BV$49,MATCH($D51,Python0831!$A$1:$A$49,0),MATCH(E$5,Python0831!$B$1:$BV$1,0))</f>
        <v>658457</v>
      </c>
      <c r="F51" s="5">
        <f>INDEX(Python0831!$B$1:$BV$49,MATCH($D51,Python0831!$A$1:$A$49,0),MATCH(F$5,Python0831!$B$1:$BV$1,0))</f>
        <v>214</v>
      </c>
      <c r="G51" s="7">
        <f>INDEX(Python0831!$B$1:$BV$49,MATCH($D51,Python0831!$A$1:$A$49,0),MATCH(G$5,Python0831!$B$1:$BV$1,0))</f>
        <v>0.95099999999999996</v>
      </c>
      <c r="H51" s="5">
        <f>INDEX(Python0831!$B$1:$BV$49,MATCH($D51,Python0831!$A$1:$A$49,0),MATCH(H$5,Python0831!$B$1:$BV$1,0))</f>
        <v>45198.148736219497</v>
      </c>
      <c r="I51" s="5">
        <f>INDEX(Python0831!$B$1:$BV$49,MATCH($D51,Python0831!$A$1:$A$49,0),MATCH(I$5,Python0831!$B$1:$BV$1,0))</f>
        <v>68642.521434534894</v>
      </c>
      <c r="J51" s="328">
        <f>INDEX(Python0831!$B$1:$BV$49,MATCH($D51,Python0831!$A$1:$A$49,0),MATCH(J$5,Python0831!$B$1:$BV$1,0))</f>
        <v>2.0202403811980501E-2</v>
      </c>
      <c r="K51" s="5">
        <f>INDEX(Python0831!$B$1:$BV$49,MATCH($D51,Python0831!$A$1:$A$49,0),MATCH(K$5,Python0831!$B$1:$BV$1,0))</f>
        <v>77.05</v>
      </c>
      <c r="L51" s="5">
        <f>INDEX(Python0831!$B$1:$BV$49,MATCH($D51,Python0831!$A$1:$A$49,0),MATCH(L$5,Python0831!$B$1:$BV$1,0))</f>
        <v>296475.86876173498</v>
      </c>
      <c r="M51" s="5">
        <f>INDEX(Python0831!$B$1:$BV$49,MATCH($D51,Python0831!$A$1:$A$49,0),MATCH(M$5,Python0831!$B$1:$BV$1,0))</f>
        <v>0</v>
      </c>
      <c r="N51" s="5">
        <f>INDEX(Python0831!$B$1:$BV$49,MATCH($D51,Python0831!$A$1:$A$49,0),MATCH(N$5,Python0831!$B$1:$BV$1,0))</f>
        <v>342900</v>
      </c>
      <c r="O51" s="328">
        <f>INDEX(Python0831!$B$1:$BV$49,MATCH($D51,Python0831!$A$1:$A$49,0),MATCH(O$5,Python0831!$B$1:$BV$1,0))</f>
        <v>0.30059473998804498</v>
      </c>
      <c r="P51" s="5">
        <f>INDEX(Python0831!$B$1:$BV$49,MATCH($D51,Python0831!$A$1:$A$49,0),MATCH(P$5,Python0831!$B$1:$BV$1,0))</f>
        <v>47.977269288526699</v>
      </c>
      <c r="Q51" s="5">
        <f>INDEX(Python0831!$B$1:$BV$49,MATCH($D51,Python0831!$A$1:$A$49,0),MATCH(Q$5,Python0831!$B$1:$BV$1,0))</f>
        <v>73.666910469254006</v>
      </c>
      <c r="R51" s="5">
        <f>INDEX(Python0831!$B$1:$BV$49,MATCH($D51,Python0831!$A$1:$A$49,0),MATCH(R$5,Python0831!$B$1:$BV$1,0))</f>
        <v>13.994528905859299</v>
      </c>
      <c r="S51" s="327">
        <f>INDEX(Python0831!$B$1:$BV$49,MATCH($D51,Python0831!$A$1:$A$49,0),MATCH(S$5,Python0831!$B$1:$BV$1,0))</f>
        <v>0.2</v>
      </c>
      <c r="T51" s="5">
        <f>INDEX(Python0831!$B$1:$BV$49,MATCH($D51,Python0831!$A$1:$A$49,0),MATCH(T$5,Python0831!$B$1:$BV$1,0))</f>
        <v>88.998528083020901</v>
      </c>
      <c r="U51" s="5">
        <f>INDEX(Python0831!$B$1:$BV$49,MATCH($D51,Python0831!$A$1:$A$49,0),MATCH(U$5,Python0831!$B$1:$BV$1,0))</f>
        <v>5508.1257630043501</v>
      </c>
      <c r="V51" s="5">
        <f>INDEX(Python0831!$B$1:$BV$49,MATCH($D51,Python0831!$A$1:$A$49,0),MATCH(V$5,Python0831!$B$1:$BV$1,0))</f>
        <v>92</v>
      </c>
      <c r="W51" s="5">
        <f>INDEX(Python0831!$B$1:$BV$49,MATCH($D51,Python0831!$A$1:$A$49,0),MATCH(W$5,Python0831!$B$1:$BV$1,0))</f>
        <v>1047.97563316166</v>
      </c>
      <c r="X51" s="5">
        <f>INDEX(Python0831!$B$1:$BV$49,MATCH($D51,Python0831!$A$1:$A$49,0),MATCH(X$5,Python0831!$B$1:$BV$1,0))</f>
        <v>3947.21</v>
      </c>
      <c r="Y51" s="5">
        <f>INDEX(Python0831!$B$1:$BV$49,MATCH($D51,Python0831!$A$1:$A$49,0),MATCH(Y$5,Python0831!$B$1:$BV$1,0))</f>
        <v>516.33333333333303</v>
      </c>
      <c r="Z51" s="5">
        <f>INDEX(Python0831!$B$1:$BV$49,MATCH($D51,Python0831!$A$1:$A$49,0),MATCH(Z$5,Python0831!$B$1:$BV$1,0))</f>
        <v>93.543807249667196</v>
      </c>
      <c r="AA51" s="7">
        <f>INDEX(Python0831!$B$1:$BV$49,MATCH($D51,Python0831!$A$1:$A$49,0),MATCH(AA$5,Python0831!$B$1:$BV$1,0))</f>
        <v>0.45</v>
      </c>
      <c r="AB51" s="5">
        <f>INDEX(Python0831!$B$1:$BV$49,MATCH($D51,Python0831!$A$1:$A$49,0),MATCH(AB$5,Python0831!$B$1:$BV$1,0))</f>
        <v>73</v>
      </c>
      <c r="AC51" s="5">
        <f>INDEX(Python0831!$B$1:$BV$49,MATCH($D51,Python0831!$A$1:$A$49,0),MATCH(AC$5,Python0831!$B$1:$BV$1,0))</f>
        <v>56</v>
      </c>
      <c r="AD51" s="5">
        <f>INDEX(Python0831!$B$1:$BV$49,MATCH($D51,Python0831!$A$1:$A$49,0),MATCH(AD$5,Python0831!$B$1:$BV$1,0))</f>
        <v>31.25</v>
      </c>
      <c r="AE51" s="5">
        <f>INDEX(Python0831!$B$1:$BV$49,MATCH($D51,Python0831!$A$1:$A$49,0),MATCH(AE$5,Python0831!$B$1:$BV$1,0))</f>
        <v>0.60654468464451206</v>
      </c>
      <c r="AF51" s="5">
        <f>INDEX(Python0831!$B$1:$BV$49,MATCH($D51,Python0831!$A$1:$A$49,0),MATCH(AF$5,Python0831!$B$1:$BV$1,0))</f>
        <v>0.78226857887874801</v>
      </c>
      <c r="AG51" s="5">
        <f>INDEX(Python0831!$B$1:$BV$49,MATCH($D51,Python0831!$A$1:$A$49,0),MATCH(AG$5,Python0831!$B$1:$BV$1,0))</f>
        <v>10.637462125577001</v>
      </c>
      <c r="AH51" s="5">
        <f>INDEX(Python0831!$B$1:$BV$49,MATCH($D51,Python0831!$A$1:$A$49,0),MATCH(AH$5,Python0831!$B$1:$BV$1,0))</f>
        <v>3</v>
      </c>
      <c r="AI51" s="5">
        <f>INDEX(Python0831!$B$1:$BV$49,MATCH($D51,Python0831!$A$1:$A$49,0),MATCH(AI$5,Python0831!$B$1:$BV$1,0))</f>
        <v>1.97889182058047</v>
      </c>
      <c r="AJ51" s="5">
        <f>INDEX(Python0831!$B$1:$BV$49,MATCH($D51,Python0831!$A$1:$A$49,0),MATCH(AJ$5,Python0831!$B$1:$BV$1,0))</f>
        <v>33</v>
      </c>
      <c r="AK51" s="5">
        <f>INDEX(Python0831!$B$1:$BV$49,MATCH($D51,Python0831!$A$1:$A$49,0),MATCH(AK$5,Python0831!$B$1:$BV$1,0))</f>
        <v>72</v>
      </c>
      <c r="AL51" s="5">
        <f>INDEX(Python0831!$B$1:$BV$49,MATCH($D51,Python0831!$A$1:$A$49,0),MATCH(AL$5,Python0831!$B$1:$BV$1,0))</f>
        <v>3</v>
      </c>
      <c r="AM51" s="5">
        <f>INDEX(Python0831!$B$1:$BV$49,MATCH($D51,Python0831!$A$1:$A$49,0),MATCH(AM$5,Python0831!$B$1:$BV$1,0))</f>
        <v>16103</v>
      </c>
      <c r="AN51" s="5">
        <f>INDEX(Python0831!$B$1:$BV$49,MATCH($D51,Python0831!$A$1:$A$49,0),MATCH(AN$5,Python0831!$B$1:$BV$1,0))</f>
        <v>469</v>
      </c>
      <c r="AO51" s="5">
        <f>INDEX(Python0831!$B$1:$BV$49,MATCH($D51,Python0831!$A$1:$A$49,0),MATCH(AO$5,Python0831!$B$1:$BV$1,0))</f>
        <v>4.8975345055127297</v>
      </c>
      <c r="AP51" s="5">
        <f>INDEX(Python0831!$B$1:$BV$49,MATCH($D51,Python0831!$A$1:$A$49,0),MATCH(AP$5,Python0831!$B$1:$BV$1,0))</f>
        <v>1.2820512820512799</v>
      </c>
      <c r="AQ51" s="5">
        <f>INDEX(Python0831!$B$1:$BV$49,MATCH($D51,Python0831!$A$1:$A$49,0),MATCH(AQ$5,Python0831!$B$1:$BV$1,0))</f>
        <v>68033</v>
      </c>
      <c r="AR51" s="5">
        <f>INDEX(Python0831!$B$1:$BV$49,MATCH($D51,Python0831!$A$1:$A$49,0),MATCH(AR$5,Python0831!$B$1:$BV$1,0))</f>
        <v>764315</v>
      </c>
      <c r="AS51" s="328">
        <f>INDEX(Python0831!$B$1:$BV$49,MATCH($D51,Python0831!$A$1:$A$49,0),MATCH(AS$5,Python0831!$B$1:$BV$1,0))</f>
        <v>0.14130000000000001</v>
      </c>
      <c r="AT51" s="5">
        <f>INDEX(Python0831!$B$1:$BV$49,MATCH($D51,Python0831!$A$1:$A$49,0),MATCH(AT$5,Python0831!$B$1:$BV$1,0))</f>
        <v>1762.01494913397</v>
      </c>
      <c r="AU51" s="7">
        <f>INDEX(Python0831!$B$1:$BV$49,MATCH($D51,Python0831!$A$1:$A$49,0),MATCH(AU$5,Python0831!$B$1:$BV$1,0))</f>
        <v>0.68208092485549099</v>
      </c>
      <c r="AV51" s="5">
        <f>INDEX(Python0831!$B$1:$BV$49,MATCH($D51,Python0831!$A$1:$A$49,0),MATCH(AV$5,Python0831!$B$1:$BV$1,0))</f>
        <v>1420.83037825059</v>
      </c>
      <c r="AW51" s="5">
        <f>INDEX(Python0831!$B$1:$BV$49,MATCH($D51,Python0831!$A$1:$A$49,0),MATCH(AW$5,Python0831!$B$1:$BV$1,0))</f>
        <v>39.125153947182802</v>
      </c>
      <c r="AX51" s="5">
        <f>INDEX(Python0831!$B$1:$BV$49,MATCH($D51,Python0831!$A$1:$A$49,0),MATCH(AX$5,Python0831!$B$1:$BV$1,0))</f>
        <v>12.1496164517956</v>
      </c>
      <c r="AY51" s="329">
        <f>INDEX(Python0831!$B$1:$BV$49,MATCH($D51,Python0831!$A$1:$A$49,0),MATCH(AY$5,Python0831!$B$1:$BV$1,0))</f>
        <v>1.5E-3</v>
      </c>
      <c r="AZ51" s="5">
        <f>INDEX(Python0831!$B$1:$BV$49,MATCH($D51,Python0831!$A$1:$A$49,0),MATCH(AZ$5,Python0831!$B$1:$BV$1,0))</f>
        <v>81.599999999999994</v>
      </c>
      <c r="BA51" s="5">
        <f>INDEX(Python0831!$B$1:$BV$49,MATCH($D51,Python0831!$A$1:$A$49,0),MATCH(BA$5,Python0831!$B$1:$BV$1,0))</f>
        <v>98.054589087965098</v>
      </c>
      <c r="BB51" s="5">
        <f>INDEX(Python0831!$B$1:$BV$49,MATCH($D51,Python0831!$A$1:$A$49,0),MATCH(BB$5,Python0831!$B$1:$BV$1,0))</f>
        <v>26.445332272165899</v>
      </c>
      <c r="BC51" s="5">
        <f>INDEX(Python0831!$B$1:$BV$49,MATCH($D51,Python0831!$A$1:$A$49,0),MATCH(BC$5,Python0831!$B$1:$BV$1,0))</f>
        <v>4420.7711007535099</v>
      </c>
      <c r="BD51" s="5">
        <f>INDEX(Python0831!$B$1:$BV$49,MATCH($D51,Python0831!$A$1:$A$49,0),MATCH(BD$5,Python0831!$B$1:$BV$1,0))</f>
        <v>75.700500346529594</v>
      </c>
      <c r="BE51" s="5">
        <f>INDEX(Python0831!$B$1:$BV$49,MATCH($D51,Python0831!$A$1:$A$49,0),MATCH(BE$5,Python0831!$B$1:$BV$1,0))</f>
        <v>4.2687670167250102</v>
      </c>
      <c r="BF51" s="5">
        <f>INDEX(Python0831!$B$1:$BV$49,MATCH($D51,Python0831!$A$1:$A$49,0),MATCH(BF$5,Python0831!$B$1:$BV$1,0))</f>
        <v>9.2057461629416792</v>
      </c>
      <c r="BG51" s="5">
        <f>INDEX(Python0831!$B$1:$BV$49,MATCH($D51,Python0831!$A$1:$A$49,0),MATCH(BG$5,Python0831!$B$1:$BV$1,0))</f>
        <v>33.830303030303</v>
      </c>
      <c r="BH51" s="327">
        <f>INDEX(Python0831!$B$1:$BV$49,MATCH($D51,Python0831!$A$1:$A$49,0),MATCH(BH$5,Python0831!$B$1:$BV$1,0))</f>
        <v>0.38840000000000002</v>
      </c>
      <c r="BI51" s="327">
        <f>INDEX(Python0831!$B$1:$BV$49,MATCH($D51,Python0831!$A$1:$A$49,0),MATCH(BI$5,Python0831!$B$1:$BV$1,0))</f>
        <v>0.26969385844999999</v>
      </c>
      <c r="BJ51" s="5">
        <f>INDEX(Python0831!$B$1:$BV$49,MATCH($D51,Python0831!$A$1:$A$49,0),MATCH(BJ$5,Python0831!$B$1:$BV$1,0))</f>
        <v>8.6903790662414497</v>
      </c>
      <c r="BK51" s="5">
        <f>INDEX(Python0831!$B$1:$BV$49,MATCH($D51,Python0831!$A$1:$A$49,0),MATCH(BK$5,Python0831!$B$1:$BV$1,0))</f>
        <v>5.5</v>
      </c>
      <c r="BL51" s="7">
        <f>INDEX(Python0831!$B$1:$BV$49,MATCH($D51,Python0831!$A$1:$A$49,0),MATCH(BL$5,Python0831!$B$1:$BV$1,0))</f>
        <v>1.3552566209347601</v>
      </c>
      <c r="BM51" s="5">
        <f>INDEX(Python0831!$B$1:$BV$49,MATCH($D51,Python0831!$A$1:$A$49,0),MATCH(BM$5,Python0831!$B$1:$BV$1,0))</f>
        <v>86.3</v>
      </c>
      <c r="BN51" s="5">
        <f>INDEX(Python0831!$B$1:$BV$49,MATCH($D51,Python0831!$A$1:$A$49,0),MATCH(BN$5,Python0831!$B$1:$BV$1,0))</f>
        <v>90.457942983252906</v>
      </c>
      <c r="BO51" s="5">
        <f>INDEX(Python0831!$B$1:$BV$49,MATCH($D51,Python0831!$A$1:$A$49,0),MATCH(BO$5,Python0831!$B$1:$BV$1,0))</f>
        <v>67.077358254526303</v>
      </c>
      <c r="BP51" s="5">
        <f>INDEX(Python0831!$B$1:$BV$49,MATCH($D51,Python0831!$A$1:$A$49,0),MATCH(BP$5,Python0831!$B$1:$BV$1,0))</f>
        <v>122.00000000000099</v>
      </c>
      <c r="BQ51" s="7">
        <f>INDEX(Python0831!$B$1:$BV$49,MATCH($D51,Python0831!$A$1:$A$49,0),MATCH(BQ$5,Python0831!$B$1:$BV$1,0))</f>
        <v>2.27210187301892</v>
      </c>
      <c r="BR51" s="5">
        <f>INDEX(Python0831!$B$1:$BV$49,MATCH($D51,Python0831!$A$1:$A$49,0),MATCH(BR$5,Python0831!$B$1:$BV$1,0))</f>
        <v>12875064</v>
      </c>
      <c r="BS51" s="5">
        <f>INDEX(Python0831!$B$1:$BV$49,MATCH($D51,Python0831!$A$1:$A$49,0),MATCH(BS$5,Python0831!$B$1:$BV$1,0))</f>
        <v>127723</v>
      </c>
      <c r="BT51" s="8">
        <f>INDEX(Python0831!$B$1:$BV$49,MATCH($D51,Python0831!$A$1:$A$49,0),MATCH(BT$5,Python0831!$B$1:$BV$1,0))</f>
        <v>0.60478878374920197</v>
      </c>
      <c r="BU51" s="8">
        <f>INDEX(Python0831!$B$1:$BV$49,MATCH($D51,Python0831!$A$1:$A$49,0),MATCH(BU$5,Python0831!$B$1:$BV$1,0))</f>
        <v>0.66666666666666596</v>
      </c>
      <c r="BV51" s="5">
        <f>INDEX(Python0831!$B$1:$BV$49,MATCH($D51,Python0831!$A$1:$A$49,0),MATCH(BV$5,Python0831!$B$1:$BV$1,0))</f>
        <v>22</v>
      </c>
      <c r="BW51" s="5">
        <f>INDEX(Python0831!$B$1:$BV$49,MATCH($D51,Python0831!$A$1:$A$49,0),MATCH(BW$5,Python0831!$B$1:$BV$1,0))</f>
        <v>24.77</v>
      </c>
      <c r="BX51" s="382">
        <f>INDEX(Python0831!$B$1:$BV$49,MATCH($D51,Python0831!$A$1:$A$49,0),MATCH(BX$5,Python0831!$B$1:$BV$1,0))</f>
        <v>29.75206611570248</v>
      </c>
      <c r="BY51" s="5">
        <f>INDEX(Python0831!$B$1:$BV$49,MATCH($D51,Python0831!$A$1:$A$49,0),MATCH(BY$5,Python0831!$B$1:$BV$1,0))</f>
        <v>42.079741226014697</v>
      </c>
    </row>
    <row r="52" spans="1:77">
      <c r="A52" s="2">
        <v>47</v>
      </c>
      <c r="B52" s="58">
        <f>INDEX(順位表[Comprehensive],MATCH($C52,順位表['#],0))</f>
        <v>40</v>
      </c>
      <c r="C52" s="3">
        <v>47</v>
      </c>
      <c r="D52" s="1" t="str">
        <f>INDEX(都市マスタ[City Name],MATCH($C52,都市マスタ['#],0))</f>
        <v>Tel Aviv</v>
      </c>
      <c r="E52" s="5">
        <f>INDEX(Python0831!$B$1:$BV$49,MATCH($D52,Python0831!$A$1:$A$49,0),MATCH(E$5,Python0831!$B$1:$BV$1,0))</f>
        <v>1481400</v>
      </c>
      <c r="F52" s="5">
        <f>INDEX(Python0831!$B$1:$BV$49,MATCH($D52,Python0831!$A$1:$A$49,0),MATCH(F$5,Python0831!$B$1:$BV$1,0))</f>
        <v>172</v>
      </c>
      <c r="G52" s="7">
        <f>INDEX(Python0831!$B$1:$BV$49,MATCH($D52,Python0831!$A$1:$A$49,0),MATCH(G$5,Python0831!$B$1:$BV$1,0))</f>
        <v>3.3610000000000002</v>
      </c>
      <c r="H52" s="5">
        <f>INDEX(Python0831!$B$1:$BV$49,MATCH($D52,Python0831!$A$1:$A$49,0),MATCH(H$5,Python0831!$B$1:$BV$1,0))</f>
        <v>82859.116063931098</v>
      </c>
      <c r="I52" s="5">
        <f>INDEX(Python0831!$B$1:$BV$49,MATCH($D52,Python0831!$A$1:$A$49,0),MATCH(I$5,Python0831!$B$1:$BV$1,0))</f>
        <v>55932.979657034601</v>
      </c>
      <c r="J52" s="328">
        <f>INDEX(Python0831!$B$1:$BV$49,MATCH($D52,Python0831!$A$1:$A$49,0),MATCH(J$5,Python0831!$B$1:$BV$1,0))</f>
        <v>3.5800809263769301E-2</v>
      </c>
      <c r="K52" s="5">
        <f>INDEX(Python0831!$B$1:$BV$49,MATCH($D52,Python0831!$A$1:$A$49,0),MATCH(K$5,Python0831!$B$1:$BV$1,0))</f>
        <v>68.858333333333306</v>
      </c>
      <c r="L52" s="5">
        <f>INDEX(Python0831!$B$1:$BV$49,MATCH($D52,Python0831!$A$1:$A$49,0),MATCH(L$5,Python0831!$B$1:$BV$1,0))</f>
        <v>269637.28999999998</v>
      </c>
      <c r="M52" s="5">
        <f>INDEX(Python0831!$B$1:$BV$49,MATCH($D52,Python0831!$A$1:$A$49,0),MATCH(M$5,Python0831!$B$1:$BV$1,0))</f>
        <v>0</v>
      </c>
      <c r="N52" s="5">
        <f>INDEX(Python0831!$B$1:$BV$49,MATCH($D52,Python0831!$A$1:$A$49,0),MATCH(N$5,Python0831!$B$1:$BV$1,0))</f>
        <v>722893</v>
      </c>
      <c r="O52" s="328">
        <f>INDEX(Python0831!$B$1:$BV$49,MATCH($D52,Python0831!$A$1:$A$49,0),MATCH(O$5,Python0831!$B$1:$BV$1,0))</f>
        <v>0.24771140369369499</v>
      </c>
      <c r="P52" s="5">
        <f>INDEX(Python0831!$B$1:$BV$49,MATCH($D52,Python0831!$A$1:$A$49,0),MATCH(P$5,Python0831!$B$1:$BV$1,0))</f>
        <v>48.087775427069701</v>
      </c>
      <c r="Q52" s="5">
        <f>INDEX(Python0831!$B$1:$BV$49,MATCH($D52,Python0831!$A$1:$A$49,0),MATCH(Q$5,Python0831!$B$1:$BV$1,0))</f>
        <v>39.527296603488999</v>
      </c>
      <c r="R52" s="5">
        <f>INDEX(Python0831!$B$1:$BV$49,MATCH($D52,Python0831!$A$1:$A$49,0),MATCH(R$5,Python0831!$B$1:$BV$1,0))</f>
        <v>17.3066738897883</v>
      </c>
      <c r="S52" s="327">
        <f>INDEX(Python0831!$B$1:$BV$49,MATCH($D52,Python0831!$A$1:$A$49,0),MATCH(S$5,Python0831!$B$1:$BV$1,0))</f>
        <v>0.23</v>
      </c>
      <c r="T52" s="5">
        <f>INDEX(Python0831!$B$1:$BV$49,MATCH($D52,Python0831!$A$1:$A$49,0),MATCH(T$5,Python0831!$B$1:$BV$1,0))</f>
        <v>82.597270063686807</v>
      </c>
      <c r="U52" s="5">
        <f>INDEX(Python0831!$B$1:$BV$49,MATCH($D52,Python0831!$A$1:$A$49,0),MATCH(U$5,Python0831!$B$1:$BV$1,0))</f>
        <v>9987.5580718296605</v>
      </c>
      <c r="V52" s="5">
        <f>INDEX(Python0831!$B$1:$BV$49,MATCH($D52,Python0831!$A$1:$A$49,0),MATCH(V$5,Python0831!$B$1:$BV$1,0))</f>
        <v>2</v>
      </c>
      <c r="W52" s="5">
        <f>INDEX(Python0831!$B$1:$BV$49,MATCH($D52,Python0831!$A$1:$A$49,0),MATCH(W$5,Python0831!$B$1:$BV$1,0))</f>
        <v>4087.5979167870901</v>
      </c>
      <c r="X52" s="5">
        <f>INDEX(Python0831!$B$1:$BV$49,MATCH($D52,Python0831!$A$1:$A$49,0),MATCH(X$5,Python0831!$B$1:$BV$1,0))</f>
        <v>2358.58</v>
      </c>
      <c r="Y52" s="5">
        <f>INDEX(Python0831!$B$1:$BV$49,MATCH($D52,Python0831!$A$1:$A$49,0),MATCH(Y$5,Python0831!$B$1:$BV$1,0))</f>
        <v>465</v>
      </c>
      <c r="Z52" s="5">
        <f>INDEX(Python0831!$B$1:$BV$49,MATCH($D52,Python0831!$A$1:$A$49,0),MATCH(Z$5,Python0831!$B$1:$BV$1,0))</f>
        <v>799.57646082963697</v>
      </c>
      <c r="AA52" s="7">
        <f>INDEX(Python0831!$B$1:$BV$49,MATCH($D52,Python0831!$A$1:$A$49,0),MATCH(AA$5,Python0831!$B$1:$BV$1,0))</f>
        <v>0.35</v>
      </c>
      <c r="AB52" s="5">
        <f>INDEX(Python0831!$B$1:$BV$49,MATCH($D52,Python0831!$A$1:$A$49,0),MATCH(AB$5,Python0831!$B$1:$BV$1,0))</f>
        <v>247.333333333333</v>
      </c>
      <c r="AC52" s="5">
        <f>INDEX(Python0831!$B$1:$BV$49,MATCH($D52,Python0831!$A$1:$A$49,0),MATCH(AC$5,Python0831!$B$1:$BV$1,0))</f>
        <v>5</v>
      </c>
      <c r="AD52" s="5">
        <f>INDEX(Python0831!$B$1:$BV$49,MATCH($D52,Python0831!$A$1:$A$49,0),MATCH(AD$5,Python0831!$B$1:$BV$1,0))</f>
        <v>31.25</v>
      </c>
      <c r="AE52" s="5">
        <f>INDEX(Python0831!$B$1:$BV$49,MATCH($D52,Python0831!$A$1:$A$49,0),MATCH(AE$5,Python0831!$B$1:$BV$1,0))</f>
        <v>5.0246042093451502</v>
      </c>
      <c r="AF52" s="5">
        <f>INDEX(Python0831!$B$1:$BV$49,MATCH($D52,Python0831!$A$1:$A$49,0),MATCH(AF$5,Python0831!$B$1:$BV$1,0))</f>
        <v>1.2991936126211601</v>
      </c>
      <c r="AG52" s="5">
        <f>INDEX(Python0831!$B$1:$BV$49,MATCH($D52,Python0831!$A$1:$A$49,0),MATCH(AG$5,Python0831!$B$1:$BV$1,0))</f>
        <v>24.822924334699501</v>
      </c>
      <c r="AH52" s="5">
        <f>INDEX(Python0831!$B$1:$BV$49,MATCH($D52,Python0831!$A$1:$A$49,0),MATCH(AH$5,Python0831!$B$1:$BV$1,0))</f>
        <v>14</v>
      </c>
      <c r="AI52" s="5">
        <f>INDEX(Python0831!$B$1:$BV$49,MATCH($D52,Python0831!$A$1:$A$49,0),MATCH(AI$5,Python0831!$B$1:$BV$1,0))</f>
        <v>46.318892848223697</v>
      </c>
      <c r="AJ52" s="5">
        <f>INDEX(Python0831!$B$1:$BV$49,MATCH($D52,Python0831!$A$1:$A$49,0),MATCH(AJ$5,Python0831!$B$1:$BV$1,0))</f>
        <v>22</v>
      </c>
      <c r="AK52" s="5">
        <f>INDEX(Python0831!$B$1:$BV$49,MATCH($D52,Python0831!$A$1:$A$49,0),MATCH(AK$5,Python0831!$B$1:$BV$1,0))</f>
        <v>39</v>
      </c>
      <c r="AL52" s="5">
        <f>INDEX(Python0831!$B$1:$BV$49,MATCH($D52,Python0831!$A$1:$A$49,0),MATCH(AL$5,Python0831!$B$1:$BV$1,0))</f>
        <v>2</v>
      </c>
      <c r="AM52" s="5">
        <f>INDEX(Python0831!$B$1:$BV$49,MATCH($D52,Python0831!$A$1:$A$49,0),MATCH(AM$5,Python0831!$B$1:$BV$1,0))</f>
        <v>17196</v>
      </c>
      <c r="AN52" s="5">
        <f>INDEX(Python0831!$B$1:$BV$49,MATCH($D52,Python0831!$A$1:$A$49,0),MATCH(AN$5,Python0831!$B$1:$BV$1,0))</f>
        <v>1640</v>
      </c>
      <c r="AO52" s="5">
        <f>INDEX(Python0831!$B$1:$BV$49,MATCH($D52,Python0831!$A$1:$A$49,0),MATCH(AO$5,Python0831!$B$1:$BV$1,0))</f>
        <v>24.398101846900602</v>
      </c>
      <c r="AP52" s="5">
        <f>INDEX(Python0831!$B$1:$BV$49,MATCH($D52,Python0831!$A$1:$A$49,0),MATCH(AP$5,Python0831!$B$1:$BV$1,0))</f>
        <v>31.4052687722921</v>
      </c>
      <c r="AQ52" s="5">
        <f>INDEX(Python0831!$B$1:$BV$49,MATCH($D52,Python0831!$A$1:$A$49,0),MATCH(AQ$5,Python0831!$B$1:$BV$1,0))</f>
        <v>195921.68674698699</v>
      </c>
      <c r="AR52" s="5">
        <f>INDEX(Python0831!$B$1:$BV$49,MATCH($D52,Python0831!$A$1:$A$49,0),MATCH(AR$5,Python0831!$B$1:$BV$1,0))</f>
        <v>231169.29313366101</v>
      </c>
      <c r="AS52" s="328">
        <f>INDEX(Python0831!$B$1:$BV$49,MATCH($D52,Python0831!$A$1:$A$49,0),MATCH(AS$5,Python0831!$B$1:$BV$1,0))</f>
        <v>3.7499999999999999E-2</v>
      </c>
      <c r="AT52" s="5">
        <f>INDEX(Python0831!$B$1:$BV$49,MATCH($D52,Python0831!$A$1:$A$49,0),MATCH(AT$5,Python0831!$B$1:$BV$1,0))</f>
        <v>2346.5369904942299</v>
      </c>
      <c r="AU52" s="7">
        <f>INDEX(Python0831!$B$1:$BV$49,MATCH($D52,Python0831!$A$1:$A$49,0),MATCH(AU$5,Python0831!$B$1:$BV$1,0))</f>
        <v>0.344444444444444</v>
      </c>
      <c r="AV52" s="5">
        <f>INDEX(Python0831!$B$1:$BV$49,MATCH($D52,Python0831!$A$1:$A$49,0),MATCH(AV$5,Python0831!$B$1:$BV$1,0))</f>
        <v>2267.40563118811</v>
      </c>
      <c r="AW52" s="5">
        <f>INDEX(Python0831!$B$1:$BV$49,MATCH($D52,Python0831!$A$1:$A$49,0),MATCH(AW$5,Python0831!$B$1:$BV$1,0))</f>
        <v>50.359706612577497</v>
      </c>
      <c r="AX52" s="5">
        <f>INDEX(Python0831!$B$1:$BV$49,MATCH($D52,Python0831!$A$1:$A$49,0),MATCH(AX$5,Python0831!$B$1:$BV$1,0))</f>
        <v>18.404255319148898</v>
      </c>
      <c r="AY52" s="329">
        <f>INDEX(Python0831!$B$1:$BV$49,MATCH($D52,Python0831!$A$1:$A$49,0),MATCH(AY$5,Python0831!$B$1:$BV$1,0))</f>
        <v>2.7000000000000001E-3</v>
      </c>
      <c r="AZ52" s="5">
        <f>INDEX(Python0831!$B$1:$BV$49,MATCH($D52,Python0831!$A$1:$A$49,0),MATCH(AZ$5,Python0831!$B$1:$BV$1,0))</f>
        <v>82.6</v>
      </c>
      <c r="BA52" s="5">
        <f>INDEX(Python0831!$B$1:$BV$49,MATCH($D52,Python0831!$A$1:$A$49,0),MATCH(BA$5,Python0831!$B$1:$BV$1,0))</f>
        <v>53.627634031339902</v>
      </c>
      <c r="BB52" s="5">
        <f>INDEX(Python0831!$B$1:$BV$49,MATCH($D52,Python0831!$A$1:$A$49,0),MATCH(BB$5,Python0831!$B$1:$BV$1,0))</f>
        <v>6.9540273705083502</v>
      </c>
      <c r="BC52" s="5">
        <f>INDEX(Python0831!$B$1:$BV$49,MATCH($D52,Python0831!$A$1:$A$49,0),MATCH(BC$5,Python0831!$B$1:$BV$1,0))</f>
        <v>3984.96266067128</v>
      </c>
      <c r="BD52" s="5">
        <f>INDEX(Python0831!$B$1:$BV$49,MATCH($D52,Python0831!$A$1:$A$49,0),MATCH(BD$5,Python0831!$B$1:$BV$1,0))</f>
        <v>72.778646007400795</v>
      </c>
      <c r="BE52" s="5">
        <f>INDEX(Python0831!$B$1:$BV$49,MATCH($D52,Python0831!$A$1:$A$49,0),MATCH(BE$5,Python0831!$B$1:$BV$1,0))</f>
        <v>27.700118413319199</v>
      </c>
      <c r="BF52" s="5">
        <f>INDEX(Python0831!$B$1:$BV$49,MATCH($D52,Python0831!$A$1:$A$49,0),MATCH(BF$5,Python0831!$B$1:$BV$1,0))</f>
        <v>16.823018629731099</v>
      </c>
      <c r="BG52" s="5">
        <f>INDEX(Python0831!$B$1:$BV$49,MATCH($D52,Python0831!$A$1:$A$49,0),MATCH(BG$5,Python0831!$B$1:$BV$1,0))</f>
        <v>19.2715151515151</v>
      </c>
      <c r="BH52" s="327">
        <f>INDEX(Python0831!$B$1:$BV$49,MATCH($D52,Python0831!$A$1:$A$49,0),MATCH(BH$5,Python0831!$B$1:$BV$1,0))</f>
        <v>5.0700000000000002E-2</v>
      </c>
      <c r="BI52" s="327">
        <f>INDEX(Python0831!$B$1:$BV$49,MATCH($D52,Python0831!$A$1:$A$49,0),MATCH(BI$5,Python0831!$B$1:$BV$1,0))</f>
        <v>7.1730000000000002E-2</v>
      </c>
      <c r="BJ52" s="5">
        <f>INDEX(Python0831!$B$1:$BV$49,MATCH($D52,Python0831!$A$1:$A$49,0),MATCH(BJ$5,Python0831!$B$1:$BV$1,0))</f>
        <v>6.7098143538177997</v>
      </c>
      <c r="BK52" s="5">
        <f>INDEX(Python0831!$B$1:$BV$49,MATCH($D52,Python0831!$A$1:$A$49,0),MATCH(BK$5,Python0831!$B$1:$BV$1,0))</f>
        <v>19.5</v>
      </c>
      <c r="BL52" s="7">
        <f>INDEX(Python0831!$B$1:$BV$49,MATCH($D52,Python0831!$A$1:$A$49,0),MATCH(BL$5,Python0831!$B$1:$BV$1,0))</f>
        <v>0.73460020196456399</v>
      </c>
      <c r="BM52" s="5">
        <f>INDEX(Python0831!$B$1:$BV$49,MATCH($D52,Python0831!$A$1:$A$49,0),MATCH(BM$5,Python0831!$B$1:$BV$1,0))</f>
        <v>64.599999999999994</v>
      </c>
      <c r="BN52" s="5">
        <f>INDEX(Python0831!$B$1:$BV$49,MATCH($D52,Python0831!$A$1:$A$49,0),MATCH(BN$5,Python0831!$B$1:$BV$1,0))</f>
        <v>37.602076182373203</v>
      </c>
      <c r="BO52" s="5">
        <f>INDEX(Python0831!$B$1:$BV$49,MATCH($D52,Python0831!$A$1:$A$49,0),MATCH(BO$5,Python0831!$B$1:$BV$1,0))</f>
        <v>62.297264191634902</v>
      </c>
      <c r="BP52" s="5">
        <f>INDEX(Python0831!$B$1:$BV$49,MATCH($D52,Python0831!$A$1:$A$49,0),MATCH(BP$5,Python0831!$B$1:$BV$1,0))</f>
        <v>155.00000000000199</v>
      </c>
      <c r="BQ52" s="7">
        <f>INDEX(Python0831!$B$1:$BV$49,MATCH($D52,Python0831!$A$1:$A$49,0),MATCH(BQ$5,Python0831!$B$1:$BV$1,0))</f>
        <v>5.8780907220115397</v>
      </c>
      <c r="BR52" s="5">
        <f>INDEX(Python0831!$B$1:$BV$49,MATCH($D52,Python0831!$A$1:$A$49,0),MATCH(BR$5,Python0831!$B$1:$BV$1,0))</f>
        <v>20004418</v>
      </c>
      <c r="BS52" s="5">
        <f>INDEX(Python0831!$B$1:$BV$49,MATCH($D52,Python0831!$A$1:$A$49,0),MATCH(BS$5,Python0831!$B$1:$BV$1,0))</f>
        <v>128269</v>
      </c>
      <c r="BT52" s="8">
        <f>INDEX(Python0831!$B$1:$BV$49,MATCH($D52,Python0831!$A$1:$A$49,0),MATCH(BT$5,Python0831!$B$1:$BV$1,0))</f>
        <v>4.4563384065730599E-2</v>
      </c>
      <c r="BU52" s="8">
        <f>INDEX(Python0831!$B$1:$BV$49,MATCH($D52,Python0831!$A$1:$A$49,0),MATCH(BU$5,Python0831!$B$1:$BV$1,0))</f>
        <v>0.24563275103347099</v>
      </c>
      <c r="BV52" s="5">
        <f>INDEX(Python0831!$B$1:$BV$49,MATCH($D52,Python0831!$A$1:$A$49,0),MATCH(BV$5,Python0831!$B$1:$BV$1,0))</f>
        <v>36</v>
      </c>
      <c r="BW52" s="5">
        <f>INDEX(Python0831!$B$1:$BV$49,MATCH($D52,Python0831!$A$1:$A$49,0),MATCH(BW$5,Python0831!$B$1:$BV$1,0))</f>
        <v>32.802185929648203</v>
      </c>
      <c r="BX52" s="382">
        <f>INDEX(Python0831!$B$1:$BV$49,MATCH($D52,Python0831!$A$1:$A$49,0),MATCH(BX$5,Python0831!$B$1:$BV$1,0))</f>
        <v>29.75206611570248</v>
      </c>
      <c r="BY52" s="5">
        <f>INDEX(Python0831!$B$1:$BV$49,MATCH($D52,Python0831!$A$1:$A$49,0),MATCH(BY$5,Python0831!$B$1:$BV$1,0))</f>
        <v>58.094766806378402</v>
      </c>
    </row>
    <row r="53" spans="1:77">
      <c r="A53" s="2">
        <v>48</v>
      </c>
      <c r="B53" s="58">
        <f>INDEX(順位表[Comprehensive],MATCH($C53,順位表['#],0))</f>
        <v>9</v>
      </c>
      <c r="C53" s="3">
        <v>48</v>
      </c>
      <c r="D53" s="1" t="str">
        <f>INDEX(都市マスタ[City Name],MATCH($C53,都市マスタ['#],0))</f>
        <v>Melbourne</v>
      </c>
      <c r="E53" s="5">
        <f>INDEX(Python0831!$B$1:$BV$49,MATCH($D53,Python0831!$A$1:$A$49,0),MATCH(E$5,Python0831!$B$1:$BV$1,0))</f>
        <v>5031195</v>
      </c>
      <c r="F53" s="5">
        <f>INDEX(Python0831!$B$1:$BV$49,MATCH($D53,Python0831!$A$1:$A$49,0),MATCH(F$5,Python0831!$B$1:$BV$1,0))</f>
        <v>9992.7000000000007</v>
      </c>
      <c r="G53" s="7">
        <f>INDEX(Python0831!$B$1:$BV$49,MATCH($D53,Python0831!$A$1:$A$49,0),MATCH(G$5,Python0831!$B$1:$BV$1,0))</f>
        <v>1.4419999999999999</v>
      </c>
      <c r="H53" s="5">
        <f>INDEX(Python0831!$B$1:$BV$49,MATCH($D53,Python0831!$A$1:$A$49,0),MATCH(H$5,Python0831!$B$1:$BV$1,0))</f>
        <v>307143.05847737199</v>
      </c>
      <c r="I53" s="5">
        <f>INDEX(Python0831!$B$1:$BV$49,MATCH($D53,Python0831!$A$1:$A$49,0),MATCH(I$5,Python0831!$B$1:$BV$1,0))</f>
        <v>60267.876501211802</v>
      </c>
      <c r="J53" s="328">
        <f>INDEX(Python0831!$B$1:$BV$49,MATCH($D53,Python0831!$A$1:$A$49,0),MATCH(J$5,Python0831!$B$1:$BV$1,0))</f>
        <v>4.7782691765543901E-2</v>
      </c>
      <c r="K53" s="5">
        <f>INDEX(Python0831!$B$1:$BV$49,MATCH($D53,Python0831!$A$1:$A$49,0),MATCH(K$5,Python0831!$B$1:$BV$1,0))</f>
        <v>74.75</v>
      </c>
      <c r="L53" s="5">
        <f>INDEX(Python0831!$B$1:$BV$49,MATCH($D53,Python0831!$A$1:$A$49,0),MATCH(L$5,Python0831!$B$1:$BV$1,0))</f>
        <v>0</v>
      </c>
      <c r="M53" s="5">
        <f>INDEX(Python0831!$B$1:$BV$49,MATCH($D53,Python0831!$A$1:$A$49,0),MATCH(M$5,Python0831!$B$1:$BV$1,0))</f>
        <v>71502</v>
      </c>
      <c r="N53" s="5">
        <f>INDEX(Python0831!$B$1:$BV$49,MATCH($D53,Python0831!$A$1:$A$49,0),MATCH(N$5,Python0831!$B$1:$BV$1,0))</f>
        <v>2444990</v>
      </c>
      <c r="O53" s="328">
        <f>INDEX(Python0831!$B$1:$BV$49,MATCH($D53,Python0831!$A$1:$A$49,0),MATCH(O$5,Python0831!$B$1:$BV$1,0))</f>
        <v>0.23854992644141601</v>
      </c>
      <c r="P53" s="5">
        <f>INDEX(Python0831!$B$1:$BV$49,MATCH($D53,Python0831!$A$1:$A$49,0),MATCH(P$5,Python0831!$B$1:$BV$1,0))</f>
        <v>52.918866612924198</v>
      </c>
      <c r="Q53" s="5">
        <f>INDEX(Python0831!$B$1:$BV$49,MATCH($D53,Python0831!$A$1:$A$49,0),MATCH(Q$5,Python0831!$B$1:$BV$1,0))</f>
        <v>83.699253729193799</v>
      </c>
      <c r="R53" s="5">
        <f>INDEX(Python0831!$B$1:$BV$49,MATCH($D53,Python0831!$A$1:$A$49,0),MATCH(R$5,Python0831!$B$1:$BV$1,0))</f>
        <v>13.245473375679801</v>
      </c>
      <c r="S53" s="327">
        <f>INDEX(Python0831!$B$1:$BV$49,MATCH($D53,Python0831!$A$1:$A$49,0),MATCH(S$5,Python0831!$B$1:$BV$1,0))</f>
        <v>0.3</v>
      </c>
      <c r="T53" s="5">
        <f>INDEX(Python0831!$B$1:$BV$49,MATCH($D53,Python0831!$A$1:$A$49,0),MATCH(T$5,Python0831!$B$1:$BV$1,0))</f>
        <v>90.893187148011904</v>
      </c>
      <c r="U53" s="5">
        <f>INDEX(Python0831!$B$1:$BV$49,MATCH($D53,Python0831!$A$1:$A$49,0),MATCH(U$5,Python0831!$B$1:$BV$1,0))</f>
        <v>24972.036408057302</v>
      </c>
      <c r="V53" s="5">
        <f>INDEX(Python0831!$B$1:$BV$49,MATCH($D53,Python0831!$A$1:$A$49,0),MATCH(V$5,Python0831!$B$1:$BV$1,0))</f>
        <v>328</v>
      </c>
      <c r="W53" s="5">
        <f>INDEX(Python0831!$B$1:$BV$49,MATCH($D53,Python0831!$A$1:$A$49,0),MATCH(W$5,Python0831!$B$1:$BV$1,0))</f>
        <v>5166.73633709772</v>
      </c>
      <c r="X53" s="5">
        <f>INDEX(Python0831!$B$1:$BV$49,MATCH($D53,Python0831!$A$1:$A$49,0),MATCH(X$5,Python0831!$B$1:$BV$1,0))</f>
        <v>73505.929999999993</v>
      </c>
      <c r="Y53" s="5">
        <f>INDEX(Python0831!$B$1:$BV$49,MATCH($D53,Python0831!$A$1:$A$49,0),MATCH(Y$5,Python0831!$B$1:$BV$1,0))</f>
        <v>499</v>
      </c>
      <c r="Z53" s="5">
        <f>INDEX(Python0831!$B$1:$BV$49,MATCH($D53,Python0831!$A$1:$A$49,0),MATCH(Z$5,Python0831!$B$1:$BV$1,0))</f>
        <v>3910.7954129874001</v>
      </c>
      <c r="AA53" s="7">
        <f>INDEX(Python0831!$B$1:$BV$49,MATCH($D53,Python0831!$A$1:$A$49,0),MATCH(AA$5,Python0831!$B$1:$BV$1,0))</f>
        <v>0</v>
      </c>
      <c r="AB53" s="5">
        <f>INDEX(Python0831!$B$1:$BV$49,MATCH($D53,Python0831!$A$1:$A$49,0),MATCH(AB$5,Python0831!$B$1:$BV$1,0))</f>
        <v>176.666666666666</v>
      </c>
      <c r="AC53" s="5">
        <f>INDEX(Python0831!$B$1:$BV$49,MATCH($D53,Python0831!$A$1:$A$49,0),MATCH(AC$5,Python0831!$B$1:$BV$1,0))</f>
        <v>17</v>
      </c>
      <c r="AD53" s="5">
        <f>INDEX(Python0831!$B$1:$BV$49,MATCH($D53,Python0831!$A$1:$A$49,0),MATCH(AD$5,Python0831!$B$1:$BV$1,0))</f>
        <v>25</v>
      </c>
      <c r="AE53" s="5">
        <f>INDEX(Python0831!$B$1:$BV$49,MATCH($D53,Python0831!$A$1:$A$49,0),MATCH(AE$5,Python0831!$B$1:$BV$1,0))</f>
        <v>7.23484557322735</v>
      </c>
      <c r="AF53" s="5">
        <f>INDEX(Python0831!$B$1:$BV$49,MATCH($D53,Python0831!$A$1:$A$49,0),MATCH(AF$5,Python0831!$B$1:$BV$1,0))</f>
        <v>0.95610604085180295</v>
      </c>
      <c r="AG53" s="5">
        <f>INDEX(Python0831!$B$1:$BV$49,MATCH($D53,Python0831!$A$1:$A$49,0),MATCH(AG$5,Python0831!$B$1:$BV$1,0))</f>
        <v>43.294351828869097</v>
      </c>
      <c r="AH53" s="5">
        <f>INDEX(Python0831!$B$1:$BV$49,MATCH($D53,Python0831!$A$1:$A$49,0),MATCH(AH$5,Python0831!$B$1:$BV$1,0))</f>
        <v>1</v>
      </c>
      <c r="AI53" s="5">
        <f>INDEX(Python0831!$B$1:$BV$49,MATCH($D53,Python0831!$A$1:$A$49,0),MATCH(AI$5,Python0831!$B$1:$BV$1,0))</f>
        <v>28.637417465054099</v>
      </c>
      <c r="AJ53" s="5">
        <f>INDEX(Python0831!$B$1:$BV$49,MATCH($D53,Python0831!$A$1:$A$49,0),MATCH(AJ$5,Python0831!$B$1:$BV$1,0))</f>
        <v>39.5</v>
      </c>
      <c r="AK53" s="5">
        <f>INDEX(Python0831!$B$1:$BV$49,MATCH($D53,Python0831!$A$1:$A$49,0),MATCH(AK$5,Python0831!$B$1:$BV$1,0))</f>
        <v>23</v>
      </c>
      <c r="AL53" s="5">
        <f>INDEX(Python0831!$B$1:$BV$49,MATCH($D53,Python0831!$A$1:$A$49,0),MATCH(AL$5,Python0831!$B$1:$BV$1,0))</f>
        <v>16</v>
      </c>
      <c r="AM53" s="5">
        <f>INDEX(Python0831!$B$1:$BV$49,MATCH($D53,Python0831!$A$1:$A$49,0),MATCH(AM$5,Python0831!$B$1:$BV$1,0))</f>
        <v>38416</v>
      </c>
      <c r="AN53" s="5">
        <f>INDEX(Python0831!$B$1:$BV$49,MATCH($D53,Python0831!$A$1:$A$49,0),MATCH(AN$5,Python0831!$B$1:$BV$1,0))</f>
        <v>6453</v>
      </c>
      <c r="AO53" s="5">
        <f>INDEX(Python0831!$B$1:$BV$49,MATCH($D53,Python0831!$A$1:$A$49,0),MATCH(AO$5,Python0831!$B$1:$BV$1,0))</f>
        <v>27.616303700157999</v>
      </c>
      <c r="AP53" s="5">
        <f>INDEX(Python0831!$B$1:$BV$49,MATCH($D53,Python0831!$A$1:$A$49,0),MATCH(AP$5,Python0831!$B$1:$BV$1,0))</f>
        <v>30.291800160822099</v>
      </c>
      <c r="AQ53" s="5">
        <f>INDEX(Python0831!$B$1:$BV$49,MATCH($D53,Python0831!$A$1:$A$49,0),MATCH(AQ$5,Python0831!$B$1:$BV$1,0))</f>
        <v>1970615</v>
      </c>
      <c r="AR53" s="5">
        <f>INDEX(Python0831!$B$1:$BV$49,MATCH($D53,Python0831!$A$1:$A$49,0),MATCH(AR$5,Python0831!$B$1:$BV$1,0))</f>
        <v>692980.35841834894</v>
      </c>
      <c r="AS53" s="328">
        <f>INDEX(Python0831!$B$1:$BV$49,MATCH($D53,Python0831!$A$1:$A$49,0),MATCH(AS$5,Python0831!$B$1:$BV$1,0))</f>
        <v>3.9438610449315001E-2</v>
      </c>
      <c r="AT53" s="5">
        <f>INDEX(Python0831!$B$1:$BV$49,MATCH($D53,Python0831!$A$1:$A$49,0),MATCH(AT$5,Python0831!$B$1:$BV$1,0))</f>
        <v>1800.3622043969699</v>
      </c>
      <c r="AU53" s="7">
        <f>INDEX(Python0831!$B$1:$BV$49,MATCH($D53,Python0831!$A$1:$A$49,0),MATCH(AU$5,Python0831!$B$1:$BV$1,0))</f>
        <v>0.42635658914728602</v>
      </c>
      <c r="AV53" s="5">
        <f>INDEX(Python0831!$B$1:$BV$49,MATCH($D53,Python0831!$A$1:$A$49,0),MATCH(AV$5,Python0831!$B$1:$BV$1,0))</f>
        <v>2149.7597597597601</v>
      </c>
      <c r="AW53" s="5">
        <f>INDEX(Python0831!$B$1:$BV$49,MATCH($D53,Python0831!$A$1:$A$49,0),MATCH(AW$5,Python0831!$B$1:$BV$1,0))</f>
        <v>46.772451090452499</v>
      </c>
      <c r="AX53" s="5">
        <f>INDEX(Python0831!$B$1:$BV$49,MATCH($D53,Python0831!$A$1:$A$49,0),MATCH(AX$5,Python0831!$B$1:$BV$1,0))</f>
        <v>21.863593043004599</v>
      </c>
      <c r="AY53" s="329">
        <f>INDEX(Python0831!$B$1:$BV$49,MATCH($D53,Python0831!$A$1:$A$49,0),MATCH(AY$5,Python0831!$B$1:$BV$1,0))</f>
        <v>1.8E-3</v>
      </c>
      <c r="AZ53" s="5">
        <f>INDEX(Python0831!$B$1:$BV$49,MATCH($D53,Python0831!$A$1:$A$49,0),MATCH(AZ$5,Python0831!$B$1:$BV$1,0))</f>
        <v>83</v>
      </c>
      <c r="BA53" s="5">
        <f>INDEX(Python0831!$B$1:$BV$49,MATCH($D53,Python0831!$A$1:$A$49,0),MATCH(BA$5,Python0831!$B$1:$BV$1,0))</f>
        <v>79.253361164482399</v>
      </c>
      <c r="BB53" s="5">
        <f>INDEX(Python0831!$B$1:$BV$49,MATCH($D53,Python0831!$A$1:$A$49,0),MATCH(BB$5,Python0831!$B$1:$BV$1,0))</f>
        <v>22.6390838973483</v>
      </c>
      <c r="BC53" s="5">
        <f>INDEX(Python0831!$B$1:$BV$49,MATCH($D53,Python0831!$A$1:$A$49,0),MATCH(BC$5,Python0831!$B$1:$BV$1,0))</f>
        <v>4165.3856555781604</v>
      </c>
      <c r="BD53" s="5">
        <f>INDEX(Python0831!$B$1:$BV$49,MATCH($D53,Python0831!$A$1:$A$49,0),MATCH(BD$5,Python0831!$B$1:$BV$1,0))</f>
        <v>78.319994691271006</v>
      </c>
      <c r="BE53" s="5">
        <f>INDEX(Python0831!$B$1:$BV$49,MATCH($D53,Python0831!$A$1:$A$49,0),MATCH(BE$5,Python0831!$B$1:$BV$1,0))</f>
        <v>26.933478086617601</v>
      </c>
      <c r="BF53" s="5">
        <f>INDEX(Python0831!$B$1:$BV$49,MATCH($D53,Python0831!$A$1:$A$49,0),MATCH(BF$5,Python0831!$B$1:$BV$1,0))</f>
        <v>24.821600513294101</v>
      </c>
      <c r="BG53" s="5">
        <f>INDEX(Python0831!$B$1:$BV$49,MATCH($D53,Python0831!$A$1:$A$49,0),MATCH(BG$5,Python0831!$B$1:$BV$1,0))</f>
        <v>62.969696969696898</v>
      </c>
      <c r="BH53" s="327">
        <f>INDEX(Python0831!$B$1:$BV$49,MATCH($D53,Python0831!$A$1:$A$49,0),MATCH(BH$5,Python0831!$B$1:$BV$1,0))</f>
        <v>8.3499999999999894E-2</v>
      </c>
      <c r="BI53" s="327">
        <f>INDEX(Python0831!$B$1:$BV$49,MATCH($D53,Python0831!$A$1:$A$49,0),MATCH(BI$5,Python0831!$B$1:$BV$1,0))</f>
        <v>0.252320262889971</v>
      </c>
      <c r="BJ53" s="5">
        <f>INDEX(Python0831!$B$1:$BV$49,MATCH($D53,Python0831!$A$1:$A$49,0),MATCH(BJ$5,Python0831!$B$1:$BV$1,0))</f>
        <v>14.8536739950381</v>
      </c>
      <c r="BK53" s="5">
        <f>INDEX(Python0831!$B$1:$BV$49,MATCH($D53,Python0831!$A$1:$A$49,0),MATCH(BK$5,Python0831!$B$1:$BV$1,0))</f>
        <v>4.8</v>
      </c>
      <c r="BL53" s="7">
        <f>INDEX(Python0831!$B$1:$BV$49,MATCH($D53,Python0831!$A$1:$A$49,0),MATCH(BL$5,Python0831!$B$1:$BV$1,0))</f>
        <v>0.837493077019277</v>
      </c>
      <c r="BM53" s="5">
        <f>INDEX(Python0831!$B$1:$BV$49,MATCH($D53,Python0831!$A$1:$A$49,0),MATCH(BM$5,Python0831!$B$1:$BV$1,0))</f>
        <v>69.400000000000006</v>
      </c>
      <c r="BN53" s="5">
        <f>INDEX(Python0831!$B$1:$BV$49,MATCH($D53,Python0831!$A$1:$A$49,0),MATCH(BN$5,Python0831!$B$1:$BV$1,0))</f>
        <v>96.744436810491095</v>
      </c>
      <c r="BO53" s="5">
        <f>INDEX(Python0831!$B$1:$BV$49,MATCH($D53,Python0831!$A$1:$A$49,0),MATCH(BO$5,Python0831!$B$1:$BV$1,0))</f>
        <v>70.940034150907707</v>
      </c>
      <c r="BP53" s="5">
        <f>INDEX(Python0831!$B$1:$BV$49,MATCH($D53,Python0831!$A$1:$A$49,0),MATCH(BP$5,Python0831!$B$1:$BV$1,0))</f>
        <v>37</v>
      </c>
      <c r="BQ53" s="7">
        <f>INDEX(Python0831!$B$1:$BV$49,MATCH($D53,Python0831!$A$1:$A$49,0),MATCH(BQ$5,Python0831!$B$1:$BV$1,0))</f>
        <v>5.9553288593760296</v>
      </c>
      <c r="BR53" s="5">
        <f>INDEX(Python0831!$B$1:$BV$49,MATCH($D53,Python0831!$A$1:$A$49,0),MATCH(BR$5,Python0831!$B$1:$BV$1,0))</f>
        <v>25866561</v>
      </c>
      <c r="BS53" s="5">
        <f>INDEX(Python0831!$B$1:$BV$49,MATCH($D53,Python0831!$A$1:$A$49,0),MATCH(BS$5,Python0831!$B$1:$BV$1,0))</f>
        <v>208154</v>
      </c>
      <c r="BT53" s="8">
        <f>INDEX(Python0831!$B$1:$BV$49,MATCH($D53,Python0831!$A$1:$A$49,0),MATCH(BT$5,Python0831!$B$1:$BV$1,0))</f>
        <v>2.8132227740923401</v>
      </c>
      <c r="BU53" s="8">
        <f>INDEX(Python0831!$B$1:$BV$49,MATCH($D53,Python0831!$A$1:$A$49,0),MATCH(BU$5,Python0831!$B$1:$BV$1,0))</f>
        <v>0.29572671120635302</v>
      </c>
      <c r="BV53" s="5">
        <f>INDEX(Python0831!$B$1:$BV$49,MATCH($D53,Python0831!$A$1:$A$49,0),MATCH(BV$5,Python0831!$B$1:$BV$1,0))</f>
        <v>22</v>
      </c>
      <c r="BW53" s="5">
        <f>INDEX(Python0831!$B$1:$BV$49,MATCH($D53,Python0831!$A$1:$A$49,0),MATCH(BW$5,Python0831!$B$1:$BV$1,0))</f>
        <v>31.75</v>
      </c>
      <c r="BX53" s="382">
        <f>INDEX(Python0831!$B$1:$BV$49,MATCH($D53,Python0831!$A$1:$A$49,0),MATCH(BX$5,Python0831!$B$1:$BV$1,0))</f>
        <v>29.26829268292683</v>
      </c>
      <c r="BY53" s="5">
        <f>INDEX(Python0831!$B$1:$BV$49,MATCH($D53,Python0831!$A$1:$A$49,0),MATCH(BY$5,Python0831!$B$1:$BV$1,0))</f>
        <v>65.175582272960796</v>
      </c>
    </row>
    <row r="54" spans="1:77">
      <c r="A54" s="2">
        <v>49</v>
      </c>
      <c r="B54" s="55"/>
      <c r="C54" s="3"/>
      <c r="D54" s="1"/>
      <c r="E54" s="5"/>
      <c r="F54" s="5"/>
      <c r="G54" s="5"/>
      <c r="H54" s="5"/>
      <c r="I54" s="5"/>
      <c r="J54" s="6"/>
      <c r="K54" s="7"/>
      <c r="L54" s="5"/>
      <c r="M54" s="5"/>
      <c r="N54" s="5"/>
      <c r="O54" s="6"/>
      <c r="P54" s="7"/>
      <c r="Q54" s="8"/>
      <c r="R54" s="7"/>
      <c r="S54" s="6"/>
      <c r="T54" s="7"/>
      <c r="U54" s="5"/>
      <c r="V54" s="5"/>
      <c r="W54" s="5"/>
      <c r="X54" s="5"/>
      <c r="Y54" s="5"/>
      <c r="Z54" s="5"/>
      <c r="AA54" s="7"/>
      <c r="AB54" s="5"/>
      <c r="AC54" s="5"/>
      <c r="AD54" s="16"/>
      <c r="AE54" s="7"/>
      <c r="AF54" s="7"/>
      <c r="AG54" s="7"/>
      <c r="AH54" s="7"/>
      <c r="AI54" s="17"/>
      <c r="AJ54" s="5"/>
      <c r="AK54" s="5"/>
      <c r="AL54" s="5"/>
      <c r="AM54" s="5"/>
      <c r="AN54" s="5"/>
      <c r="AO54" s="7"/>
      <c r="AP54" s="7"/>
      <c r="AQ54" s="5"/>
      <c r="AR54" s="5"/>
      <c r="AS54" s="6"/>
      <c r="AT54" s="5"/>
      <c r="AU54" s="7"/>
      <c r="AV54" s="5"/>
      <c r="AW54" s="7"/>
      <c r="AX54" s="5"/>
      <c r="AY54" s="10"/>
      <c r="AZ54" s="7"/>
      <c r="BA54" s="7"/>
      <c r="BB54" s="7"/>
      <c r="BC54" s="5"/>
      <c r="BD54" s="8"/>
      <c r="BE54" s="5"/>
      <c r="BF54" s="5"/>
      <c r="BG54" s="19"/>
      <c r="BH54" s="6"/>
      <c r="BI54" s="6"/>
      <c r="BJ54" s="7"/>
      <c r="BK54" s="7"/>
      <c r="BL54" s="7"/>
      <c r="BM54" s="7"/>
      <c r="BN54" s="18"/>
      <c r="BO54" s="8"/>
      <c r="BP54" s="5"/>
      <c r="BQ54" s="7"/>
      <c r="BR54" s="5"/>
      <c r="BS54" s="5"/>
      <c r="BT54" s="8"/>
      <c r="BU54" s="9"/>
      <c r="BV54" s="5"/>
      <c r="BW54" s="7"/>
      <c r="BX54" s="9"/>
      <c r="BY54" s="7"/>
    </row>
    <row r="55" spans="1:77">
      <c r="A55" s="2">
        <v>50</v>
      </c>
      <c r="B55" s="55"/>
      <c r="C55" s="3"/>
      <c r="D55" s="1"/>
      <c r="E55" s="5"/>
      <c r="F55" s="5"/>
      <c r="G55" s="5"/>
      <c r="H55" s="5"/>
      <c r="I55" s="5"/>
      <c r="J55" s="6"/>
      <c r="K55" s="7"/>
      <c r="L55" s="5"/>
      <c r="M55" s="5"/>
      <c r="N55" s="5"/>
      <c r="O55" s="6"/>
      <c r="P55" s="7"/>
      <c r="Q55" s="8"/>
      <c r="R55" s="7"/>
      <c r="S55" s="6"/>
      <c r="T55" s="7"/>
      <c r="U55" s="5"/>
      <c r="V55" s="5"/>
      <c r="W55" s="5"/>
      <c r="X55" s="5"/>
      <c r="Y55" s="5"/>
      <c r="Z55" s="5"/>
      <c r="AA55" s="7"/>
      <c r="AB55" s="5"/>
      <c r="AC55" s="5"/>
      <c r="AD55" s="16"/>
      <c r="AE55" s="7"/>
      <c r="AF55" s="7"/>
      <c r="AG55" s="7"/>
      <c r="AH55" s="7"/>
      <c r="AI55" s="17"/>
      <c r="AJ55" s="5"/>
      <c r="AK55" s="5"/>
      <c r="AL55" s="5"/>
      <c r="AM55" s="5"/>
      <c r="AN55" s="5"/>
      <c r="AO55" s="7"/>
      <c r="AP55" s="7"/>
      <c r="AQ55" s="5"/>
      <c r="AR55" s="5"/>
      <c r="AS55" s="6"/>
      <c r="AT55" s="5"/>
      <c r="AU55" s="7"/>
      <c r="AV55" s="5"/>
      <c r="AW55" s="7"/>
      <c r="AX55" s="5"/>
      <c r="AY55" s="10"/>
      <c r="AZ55" s="7"/>
      <c r="BA55" s="7"/>
      <c r="BB55" s="7"/>
      <c r="BC55" s="5"/>
      <c r="BD55" s="8"/>
      <c r="BE55" s="5"/>
      <c r="BF55" s="5"/>
      <c r="BG55" s="19"/>
      <c r="BH55" s="6"/>
      <c r="BI55" s="6"/>
      <c r="BJ55" s="7"/>
      <c r="BK55" s="7"/>
      <c r="BL55" s="7"/>
      <c r="BM55" s="7"/>
      <c r="BN55" s="18"/>
      <c r="BO55" s="8"/>
      <c r="BP55" s="5"/>
      <c r="BQ55" s="7"/>
      <c r="BR55" s="5"/>
      <c r="BS55" s="5"/>
      <c r="BT55" s="8"/>
      <c r="BU55" s="9"/>
      <c r="BV55" s="5"/>
      <c r="BW55" s="7"/>
      <c r="BX55" s="9"/>
      <c r="BY55" s="7"/>
    </row>
    <row r="56" spans="1:77">
      <c r="S56" s="57"/>
    </row>
    <row r="57" spans="1:77" s="2" customFormat="1">
      <c r="C57"/>
      <c r="D57" s="60" t="s">
        <v>612</v>
      </c>
      <c r="E57" s="56" t="s">
        <v>1088</v>
      </c>
      <c r="F57" s="56" t="s">
        <v>1089</v>
      </c>
      <c r="G57" s="56" t="s">
        <v>1090</v>
      </c>
      <c r="H57" s="132" t="s">
        <v>211</v>
      </c>
      <c r="I57" s="132" t="s">
        <v>212</v>
      </c>
      <c r="J57" s="132" t="s">
        <v>213</v>
      </c>
      <c r="K57" s="132" t="s">
        <v>214</v>
      </c>
      <c r="L57" s="132" t="s">
        <v>215</v>
      </c>
      <c r="M57" s="132" t="s">
        <v>216</v>
      </c>
      <c r="N57" s="132" t="s">
        <v>217</v>
      </c>
      <c r="O57" s="132" t="s">
        <v>218</v>
      </c>
      <c r="P57" s="132" t="s">
        <v>219</v>
      </c>
      <c r="Q57" s="134" t="s">
        <v>546</v>
      </c>
      <c r="R57" s="134" t="s">
        <v>547</v>
      </c>
      <c r="S57" s="134" t="s">
        <v>548</v>
      </c>
      <c r="T57" s="134" t="s">
        <v>549</v>
      </c>
      <c r="U57" s="142" t="s">
        <v>550</v>
      </c>
      <c r="V57" s="142" t="s">
        <v>551</v>
      </c>
      <c r="W57" s="142" t="s">
        <v>552</v>
      </c>
      <c r="X57" s="142" t="s">
        <v>553</v>
      </c>
      <c r="Y57" s="142" t="s">
        <v>554</v>
      </c>
      <c r="Z57" s="142" t="s">
        <v>555</v>
      </c>
      <c r="AA57" s="142" t="s">
        <v>556</v>
      </c>
      <c r="AB57" s="142" t="s">
        <v>557</v>
      </c>
      <c r="AC57" s="150" t="s">
        <v>558</v>
      </c>
      <c r="AD57" s="150" t="s">
        <v>559</v>
      </c>
      <c r="AE57" s="150" t="s">
        <v>560</v>
      </c>
      <c r="AF57" s="150" t="s">
        <v>561</v>
      </c>
      <c r="AG57" s="150" t="s">
        <v>562</v>
      </c>
      <c r="AH57" s="150" t="s">
        <v>563</v>
      </c>
      <c r="AI57" s="150" t="s">
        <v>564</v>
      </c>
      <c r="AJ57" s="150" t="s">
        <v>565</v>
      </c>
      <c r="AK57" s="150" t="s">
        <v>566</v>
      </c>
      <c r="AL57" s="150" t="s">
        <v>567</v>
      </c>
      <c r="AM57" s="150" t="s">
        <v>568</v>
      </c>
      <c r="AN57" s="150" t="s">
        <v>569</v>
      </c>
      <c r="AO57" s="150" t="s">
        <v>570</v>
      </c>
      <c r="AP57" s="150" t="s">
        <v>571</v>
      </c>
      <c r="AQ57" s="150" t="s">
        <v>572</v>
      </c>
      <c r="AR57" s="150" t="s">
        <v>573</v>
      </c>
      <c r="AS57" s="157" t="s">
        <v>574</v>
      </c>
      <c r="AT57" s="157" t="s">
        <v>575</v>
      </c>
      <c r="AU57" s="157" t="s">
        <v>576</v>
      </c>
      <c r="AV57" s="157" t="s">
        <v>577</v>
      </c>
      <c r="AW57" s="157" t="s">
        <v>578</v>
      </c>
      <c r="AX57" s="157" t="s">
        <v>579</v>
      </c>
      <c r="AY57" s="157" t="s">
        <v>580</v>
      </c>
      <c r="AZ57" s="157" t="s">
        <v>581</v>
      </c>
      <c r="BA57" s="157" t="s">
        <v>582</v>
      </c>
      <c r="BB57" s="157" t="s">
        <v>583</v>
      </c>
      <c r="BC57" s="157" t="s">
        <v>584</v>
      </c>
      <c r="BD57" s="157" t="s">
        <v>585</v>
      </c>
      <c r="BE57" s="157" t="s">
        <v>586</v>
      </c>
      <c r="BF57" s="157" t="s">
        <v>587</v>
      </c>
      <c r="BG57" s="165" t="s">
        <v>588</v>
      </c>
      <c r="BH57" s="165" t="s">
        <v>589</v>
      </c>
      <c r="BI57" s="165" t="s">
        <v>590</v>
      </c>
      <c r="BJ57" s="165" t="s">
        <v>591</v>
      </c>
      <c r="BK57" s="165" t="s">
        <v>592</v>
      </c>
      <c r="BL57" s="165" t="s">
        <v>593</v>
      </c>
      <c r="BM57" s="165" t="s">
        <v>594</v>
      </c>
      <c r="BN57" s="165" t="s">
        <v>595</v>
      </c>
      <c r="BO57" s="165" t="s">
        <v>596</v>
      </c>
      <c r="BP57" s="173" t="s">
        <v>597</v>
      </c>
      <c r="BQ57" s="173" t="s">
        <v>598</v>
      </c>
      <c r="BR57" s="173" t="s">
        <v>599</v>
      </c>
      <c r="BS57" s="173" t="s">
        <v>600</v>
      </c>
      <c r="BT57" s="173" t="s">
        <v>601</v>
      </c>
      <c r="BU57" s="173" t="s">
        <v>602</v>
      </c>
      <c r="BV57" s="173" t="s">
        <v>603</v>
      </c>
      <c r="BW57" s="173" t="s">
        <v>604</v>
      </c>
      <c r="BX57" s="173" t="s">
        <v>605</v>
      </c>
      <c r="BY57" s="175" t="s">
        <v>606</v>
      </c>
    </row>
    <row r="58" spans="1:77">
      <c r="C58"/>
      <c r="D58" s="42" t="s">
        <v>607</v>
      </c>
      <c r="E58" s="5">
        <f>IF(E62="プラス",MAX(E6:E55),IF(E62="マイナス",MIN(E6:E55),"プラマイ？"))</f>
        <v>24894300</v>
      </c>
      <c r="F58" s="5">
        <f>IF(F62="プラス",MAX(F6:F55),IF(F62="マイナス",MIN(F6:F55),"プラマイ？"))</f>
        <v>16406.160599999999</v>
      </c>
      <c r="G58" s="308">
        <f t="shared" ref="G58:BQ58" si="0">IF(G62="プラス",MAX(G6:G55),IF(G62="マイナス",MIN(G6:G55),"プラマイ？"))</f>
        <v>14848.8212</v>
      </c>
      <c r="H58" s="5">
        <f t="shared" si="0"/>
        <v>905077.36801702098</v>
      </c>
      <c r="I58" s="5">
        <f t="shared" si="0"/>
        <v>229341.84016118199</v>
      </c>
      <c r="J58" s="6">
        <f t="shared" si="0"/>
        <v>0.11513805671250001</v>
      </c>
      <c r="K58" s="7">
        <f t="shared" si="0"/>
        <v>83.933333333333294</v>
      </c>
      <c r="L58" s="5">
        <f t="shared" si="0"/>
        <v>40297980.32</v>
      </c>
      <c r="M58" s="5">
        <f t="shared" si="0"/>
        <v>5258097.7</v>
      </c>
      <c r="N58" s="5">
        <f t="shared" si="0"/>
        <v>13762000</v>
      </c>
      <c r="O58" s="6">
        <f t="shared" si="0"/>
        <v>0.36445365736526802</v>
      </c>
      <c r="P58" s="7">
        <f t="shared" si="0"/>
        <v>100</v>
      </c>
      <c r="Q58" s="8">
        <f t="shared" si="0"/>
        <v>100</v>
      </c>
      <c r="R58" s="7">
        <f t="shared" si="0"/>
        <v>63.815508249978599</v>
      </c>
      <c r="S58" s="9">
        <f t="shared" si="0"/>
        <v>0.09</v>
      </c>
      <c r="T58" s="7">
        <f t="shared" si="0"/>
        <v>100</v>
      </c>
      <c r="U58" s="5">
        <f t="shared" si="0"/>
        <v>102333.390527417</v>
      </c>
      <c r="V58" s="5">
        <f t="shared" si="0"/>
        <v>793</v>
      </c>
      <c r="W58" s="5">
        <f t="shared" si="0"/>
        <v>44733.281477682802</v>
      </c>
      <c r="X58" s="5">
        <f t="shared" si="0"/>
        <v>141792.04999999999</v>
      </c>
      <c r="Y58" s="5">
        <f t="shared" si="0"/>
        <v>578.66666666666595</v>
      </c>
      <c r="Z58" s="5">
        <f t="shared" si="0"/>
        <v>28488.872673517399</v>
      </c>
      <c r="AA58" s="7">
        <f t="shared" si="0"/>
        <v>15.35</v>
      </c>
      <c r="AB58" s="5">
        <f t="shared" si="0"/>
        <v>1896.3333333333301</v>
      </c>
      <c r="AC58" s="5">
        <f t="shared" si="0"/>
        <v>319</v>
      </c>
      <c r="AD58" s="16">
        <f t="shared" si="0"/>
        <v>85.9375</v>
      </c>
      <c r="AE58" s="7">
        <f t="shared" si="0"/>
        <v>121.53314323874299</v>
      </c>
      <c r="AF58" s="7">
        <f t="shared" si="0"/>
        <v>100</v>
      </c>
      <c r="AG58" s="7">
        <f t="shared" si="0"/>
        <v>85.563728072485901</v>
      </c>
      <c r="AH58" s="8">
        <f t="shared" si="0"/>
        <v>19.999999999999901</v>
      </c>
      <c r="AI58" s="17">
        <f t="shared" si="0"/>
        <v>70.635688953785404</v>
      </c>
      <c r="AJ58" s="5">
        <f t="shared" si="0"/>
        <v>248.5</v>
      </c>
      <c r="AK58" s="5">
        <f t="shared" si="0"/>
        <v>295</v>
      </c>
      <c r="AL58" s="5">
        <f t="shared" si="0"/>
        <v>20</v>
      </c>
      <c r="AM58" s="5">
        <f t="shared" si="0"/>
        <v>174002</v>
      </c>
      <c r="AN58" s="5">
        <f t="shared" si="0"/>
        <v>33038</v>
      </c>
      <c r="AO58" s="7">
        <f t="shared" si="0"/>
        <v>85.653334020804607</v>
      </c>
      <c r="AP58" s="7">
        <f t="shared" si="0"/>
        <v>82.964203794166195</v>
      </c>
      <c r="AQ58" s="5">
        <f t="shared" si="0"/>
        <v>3265250</v>
      </c>
      <c r="AR58" s="5">
        <f t="shared" si="0"/>
        <v>16117938.625770301</v>
      </c>
      <c r="AS58" s="6">
        <f t="shared" si="0"/>
        <v>4.5731715767312001E-3</v>
      </c>
      <c r="AT58" s="5">
        <f t="shared" si="0"/>
        <v>1638.4115804724199</v>
      </c>
      <c r="AU58" s="7">
        <f t="shared" si="0"/>
        <v>0.81770833333333304</v>
      </c>
      <c r="AV58" s="5">
        <f t="shared" si="0"/>
        <v>419.39670000637</v>
      </c>
      <c r="AW58" s="7">
        <f t="shared" si="0"/>
        <v>0</v>
      </c>
      <c r="AX58" s="7">
        <f t="shared" si="0"/>
        <v>1.0526315789473599</v>
      </c>
      <c r="AY58" s="10">
        <f t="shared" si="0"/>
        <v>5.9999999999999995E-4</v>
      </c>
      <c r="AZ58" s="7">
        <f t="shared" si="0"/>
        <v>85.492682926829204</v>
      </c>
      <c r="BA58" s="7">
        <f t="shared" si="0"/>
        <v>98.054589087965098</v>
      </c>
      <c r="BB58" s="7">
        <f t="shared" si="0"/>
        <v>3.4302787379908701</v>
      </c>
      <c r="BC58" s="5">
        <f t="shared" si="0"/>
        <v>8791.4086696542399</v>
      </c>
      <c r="BD58" s="8">
        <f t="shared" si="0"/>
        <v>88.068681249780397</v>
      </c>
      <c r="BE58" s="7">
        <f t="shared" si="0"/>
        <v>81.863440052274697</v>
      </c>
      <c r="BF58" s="7">
        <f t="shared" si="0"/>
        <v>83.222816775910005</v>
      </c>
      <c r="BG58" s="17">
        <f t="shared" si="0"/>
        <v>73.727272727272705</v>
      </c>
      <c r="BH58" s="6">
        <f t="shared" si="0"/>
        <v>0.45899999999999902</v>
      </c>
      <c r="BI58" s="6">
        <f t="shared" si="0"/>
        <v>0.59015214882902201</v>
      </c>
      <c r="BJ58" s="7">
        <f t="shared" si="0"/>
        <v>1.5699962953894899</v>
      </c>
      <c r="BK58" s="7">
        <f t="shared" si="0"/>
        <v>3.1</v>
      </c>
      <c r="BL58" s="8">
        <f t="shared" si="0"/>
        <v>0.35205992509363299</v>
      </c>
      <c r="BM58" s="7">
        <f t="shared" si="0"/>
        <v>90.9</v>
      </c>
      <c r="BN58" s="17">
        <f t="shared" si="0"/>
        <v>96.744436810491095</v>
      </c>
      <c r="BO58" s="7">
        <f t="shared" si="0"/>
        <v>99.374325536847195</v>
      </c>
      <c r="BP58" s="5">
        <f t="shared" si="0"/>
        <v>380.00000000000301</v>
      </c>
      <c r="BQ58" s="7">
        <f t="shared" si="0"/>
        <v>80.701347024928097</v>
      </c>
      <c r="BR58" s="5">
        <f t="shared" ref="BR58:BY58" si="1">IF(BR62="プラス",MAX(BR6:BR55),IF(BR62="マイナス",MIN(BR6:BR55),"プラマイ？"))</f>
        <v>134004325</v>
      </c>
      <c r="BS58" s="5">
        <f t="shared" si="1"/>
        <v>1189262</v>
      </c>
      <c r="BT58" s="8">
        <f t="shared" si="1"/>
        <v>2.8132227740923401</v>
      </c>
      <c r="BU58" s="9">
        <f t="shared" si="1"/>
        <v>0.88064192577733102</v>
      </c>
      <c r="BV58" s="5">
        <f t="shared" si="1"/>
        <v>8</v>
      </c>
      <c r="BW58" s="7">
        <f t="shared" si="1"/>
        <v>24.272500000000001</v>
      </c>
      <c r="BX58" s="16">
        <f t="shared" si="1"/>
        <v>49.315068493150683</v>
      </c>
      <c r="BY58" s="59">
        <f t="shared" si="1"/>
        <v>73.951664581900502</v>
      </c>
    </row>
    <row r="59" spans="1:77">
      <c r="C59"/>
      <c r="D59" s="42" t="s">
        <v>608</v>
      </c>
      <c r="E59" s="5">
        <f>IF(E62="プラス",MIN(E6:E55),IF(E62="マイナス",MAX(E6:E55),"プラマイ？"))</f>
        <v>204784</v>
      </c>
      <c r="F59" s="5">
        <f t="shared" ref="F59:BQ59" si="2">IF(F62="プラス",MIN(F6:F55),IF(F62="マイナス",MAX(F6:F55),"プラマイ？"))</f>
        <v>15.89</v>
      </c>
      <c r="G59" s="308">
        <f t="shared" si="2"/>
        <v>0.81100000000000005</v>
      </c>
      <c r="H59" s="5">
        <f t="shared" si="2"/>
        <v>24324.391272471999</v>
      </c>
      <c r="I59" s="5">
        <f t="shared" si="2"/>
        <v>2297.6971177649102</v>
      </c>
      <c r="J59" s="6">
        <f t="shared" si="2"/>
        <v>-2.74844257044932E-2</v>
      </c>
      <c r="K59" s="7">
        <f t="shared" si="2"/>
        <v>48.2916666666666</v>
      </c>
      <c r="L59" s="5">
        <f t="shared" si="2"/>
        <v>0</v>
      </c>
      <c r="M59" s="5">
        <f t="shared" si="2"/>
        <v>0</v>
      </c>
      <c r="N59" s="5">
        <f t="shared" si="2"/>
        <v>167757.35686999999</v>
      </c>
      <c r="O59" s="6">
        <f t="shared" si="2"/>
        <v>2.4480112215215798E-2</v>
      </c>
      <c r="P59" s="7">
        <f t="shared" si="2"/>
        <v>0</v>
      </c>
      <c r="Q59" s="8">
        <f t="shared" si="2"/>
        <v>5.7395428330282696</v>
      </c>
      <c r="R59" s="7">
        <f t="shared" si="2"/>
        <v>2.8823981552651801</v>
      </c>
      <c r="S59" s="9">
        <f t="shared" si="2"/>
        <v>0.35</v>
      </c>
      <c r="T59" s="7">
        <f t="shared" si="2"/>
        <v>5.2234868532630099</v>
      </c>
      <c r="U59" s="5">
        <f t="shared" si="2"/>
        <v>1419.9685025941401</v>
      </c>
      <c r="V59" s="5">
        <f t="shared" si="2"/>
        <v>0</v>
      </c>
      <c r="W59" s="5">
        <f t="shared" si="2"/>
        <v>107.81692185272701</v>
      </c>
      <c r="X59" s="5">
        <f t="shared" si="2"/>
        <v>0</v>
      </c>
      <c r="Y59" s="5">
        <f t="shared" si="2"/>
        <v>338.23603562403298</v>
      </c>
      <c r="Z59" s="5">
        <f t="shared" si="2"/>
        <v>14.4502895366437</v>
      </c>
      <c r="AA59" s="7">
        <f t="shared" si="2"/>
        <v>0</v>
      </c>
      <c r="AB59" s="5">
        <f t="shared" si="2"/>
        <v>16.3333333333333</v>
      </c>
      <c r="AC59" s="5">
        <f t="shared" si="2"/>
        <v>2</v>
      </c>
      <c r="AD59" s="16">
        <f t="shared" si="2"/>
        <v>0</v>
      </c>
      <c r="AE59" s="7">
        <f t="shared" si="2"/>
        <v>0.21970337912663801</v>
      </c>
      <c r="AF59" s="7">
        <f t="shared" si="2"/>
        <v>0</v>
      </c>
      <c r="AG59" s="7">
        <f t="shared" si="2"/>
        <v>0</v>
      </c>
      <c r="AH59" s="8">
        <f t="shared" si="2"/>
        <v>0</v>
      </c>
      <c r="AI59" s="17">
        <f t="shared" si="2"/>
        <v>1.97889182058047</v>
      </c>
      <c r="AJ59" s="5">
        <f t="shared" si="2"/>
        <v>7.5</v>
      </c>
      <c r="AK59" s="5">
        <f t="shared" si="2"/>
        <v>3</v>
      </c>
      <c r="AL59" s="5">
        <f t="shared" si="2"/>
        <v>1</v>
      </c>
      <c r="AM59" s="5">
        <f t="shared" si="2"/>
        <v>8122</v>
      </c>
      <c r="AN59" s="5">
        <f t="shared" si="2"/>
        <v>372</v>
      </c>
      <c r="AO59" s="7">
        <f t="shared" si="2"/>
        <v>0.50949265257964105</v>
      </c>
      <c r="AP59" s="7">
        <f t="shared" si="2"/>
        <v>1.2820512820512799</v>
      </c>
      <c r="AQ59" s="5">
        <f t="shared" si="2"/>
        <v>7326</v>
      </c>
      <c r="AR59" s="5">
        <f t="shared" si="2"/>
        <v>70959.812344612699</v>
      </c>
      <c r="AS59" s="6">
        <f t="shared" si="2"/>
        <v>0.34928219178082098</v>
      </c>
      <c r="AT59" s="5">
        <f t="shared" si="2"/>
        <v>2751.2950034116998</v>
      </c>
      <c r="AU59" s="7">
        <f t="shared" si="2"/>
        <v>-8.8541666666666602E-2</v>
      </c>
      <c r="AV59" s="5">
        <f t="shared" si="2"/>
        <v>4613.7375000000002</v>
      </c>
      <c r="AW59" s="7">
        <f t="shared" si="2"/>
        <v>84.624180286767796</v>
      </c>
      <c r="AX59" s="7">
        <f t="shared" si="2"/>
        <v>394.196478681244</v>
      </c>
      <c r="AY59" s="10">
        <f t="shared" si="2"/>
        <v>5.9900000000000002E-2</v>
      </c>
      <c r="AZ59" s="7">
        <f t="shared" si="2"/>
        <v>65.3</v>
      </c>
      <c r="BA59" s="7">
        <f t="shared" si="2"/>
        <v>7.1630543767363397</v>
      </c>
      <c r="BB59" s="7">
        <f t="shared" si="2"/>
        <v>70.179963116438103</v>
      </c>
      <c r="BC59" s="5">
        <f t="shared" si="2"/>
        <v>650.48284034721303</v>
      </c>
      <c r="BD59" s="8">
        <f t="shared" si="2"/>
        <v>48.533034455918397</v>
      </c>
      <c r="BE59" s="7">
        <f t="shared" si="2"/>
        <v>4.2687670167250102</v>
      </c>
      <c r="BF59" s="7">
        <f t="shared" si="2"/>
        <v>7.7435797416213497</v>
      </c>
      <c r="BG59" s="17">
        <f t="shared" si="2"/>
        <v>0</v>
      </c>
      <c r="BH59" s="6">
        <f t="shared" si="2"/>
        <v>6.7999999999999996E-3</v>
      </c>
      <c r="BI59" s="6">
        <f t="shared" si="2"/>
        <v>2.1029219547160201E-2</v>
      </c>
      <c r="BJ59" s="7">
        <f t="shared" si="2"/>
        <v>44.796103277835797</v>
      </c>
      <c r="BK59" s="7">
        <f t="shared" si="2"/>
        <v>47.4</v>
      </c>
      <c r="BL59" s="8">
        <f t="shared" si="2"/>
        <v>1.86950096623849</v>
      </c>
      <c r="BM59" s="7">
        <f t="shared" si="2"/>
        <v>22</v>
      </c>
      <c r="BN59" s="17">
        <f t="shared" si="2"/>
        <v>0.11934640039731099</v>
      </c>
      <c r="BO59" s="7">
        <f t="shared" si="2"/>
        <v>20.103663306877198</v>
      </c>
      <c r="BP59" s="5">
        <f t="shared" si="2"/>
        <v>11.999999999999901</v>
      </c>
      <c r="BQ59" s="7">
        <f t="shared" si="2"/>
        <v>0</v>
      </c>
      <c r="BR59" s="5">
        <f t="shared" ref="BR59:BY59" si="3">IF(BR62="プラス",MIN(BR6:BR55),IF(BR62="マイナス",MAX(BR6:BR55),"プラマイ？"))</f>
        <v>5650458</v>
      </c>
      <c r="BS59" s="5">
        <f t="shared" si="3"/>
        <v>46609</v>
      </c>
      <c r="BT59" s="8">
        <f t="shared" si="3"/>
        <v>4.4563384065730599E-2</v>
      </c>
      <c r="BU59" s="9">
        <f t="shared" si="3"/>
        <v>1.08306937774598E-2</v>
      </c>
      <c r="BV59" s="5">
        <f t="shared" si="3"/>
        <v>50</v>
      </c>
      <c r="BW59" s="7">
        <f t="shared" si="3"/>
        <v>46.912500000000001</v>
      </c>
      <c r="BX59" s="16">
        <f>IF(BX62="プラス",MIN(BX6:BX55),IF(BX62="マイナス",MAX(BX6:BX55),"プラマイ？"))</f>
        <v>16.513761467889907</v>
      </c>
      <c r="BY59" s="59">
        <f t="shared" si="3"/>
        <v>30.2547009252959</v>
      </c>
    </row>
    <row r="60" spans="1:77">
      <c r="C60"/>
      <c r="D60" s="42" t="s">
        <v>609</v>
      </c>
      <c r="E60" s="5">
        <f>AVERAGE(E6:E55)</f>
        <v>5334151.1908825561</v>
      </c>
      <c r="F60" s="5">
        <f t="shared" ref="F60:BQ60" si="4">AVERAGE(F6:F55)</f>
        <v>1701.5965456562499</v>
      </c>
      <c r="G60" s="308">
        <f t="shared" si="4"/>
        <v>354.84287500000005</v>
      </c>
      <c r="H60" s="5">
        <f t="shared" si="4"/>
        <v>219862.28247750457</v>
      </c>
      <c r="I60" s="5">
        <f t="shared" si="4"/>
        <v>71200.049750158287</v>
      </c>
      <c r="J60" s="6">
        <f t="shared" si="4"/>
        <v>2.5143182238948122E-2</v>
      </c>
      <c r="K60" s="7">
        <f t="shared" si="4"/>
        <v>67.719791666666637</v>
      </c>
      <c r="L60" s="5">
        <f t="shared" si="4"/>
        <v>1838839.4038311476</v>
      </c>
      <c r="M60" s="5">
        <f t="shared" si="4"/>
        <v>365788.37500000006</v>
      </c>
      <c r="N60" s="5">
        <f t="shared" si="4"/>
        <v>2909740.6336852014</v>
      </c>
      <c r="O60" s="6">
        <f t="shared" si="4"/>
        <v>0.22528490415521427</v>
      </c>
      <c r="P60" s="7">
        <f t="shared" si="4"/>
        <v>44.046385709423845</v>
      </c>
      <c r="Q60" s="8">
        <f t="shared" si="4"/>
        <v>54.361863201303542</v>
      </c>
      <c r="R60" s="7">
        <f t="shared" si="4"/>
        <v>29.049281526809207</v>
      </c>
      <c r="S60" s="9">
        <f t="shared" si="4"/>
        <v>0.25017031553657504</v>
      </c>
      <c r="T60" s="7">
        <f t="shared" si="4"/>
        <v>79.01250183669795</v>
      </c>
      <c r="U60" s="5">
        <f t="shared" si="4"/>
        <v>23177.308949037397</v>
      </c>
      <c r="V60" s="5">
        <f t="shared" si="4"/>
        <v>201.58333333333334</v>
      </c>
      <c r="W60" s="5">
        <f t="shared" si="4"/>
        <v>5839.5417354027768</v>
      </c>
      <c r="X60" s="5">
        <f t="shared" si="4"/>
        <v>21439.227499999983</v>
      </c>
      <c r="Y60" s="5">
        <f t="shared" si="4"/>
        <v>481.85249452472993</v>
      </c>
      <c r="Z60" s="5">
        <f t="shared" si="4"/>
        <v>3708.0376730804255</v>
      </c>
      <c r="AA60" s="7">
        <f t="shared" si="4"/>
        <v>1.6968750000000001</v>
      </c>
      <c r="AB60" s="5">
        <f t="shared" si="4"/>
        <v>259.60416666666612</v>
      </c>
      <c r="AC60" s="5">
        <f t="shared" si="4"/>
        <v>51.791666666666664</v>
      </c>
      <c r="AD60" s="16">
        <f t="shared" si="4"/>
        <v>30.896749614197514</v>
      </c>
      <c r="AE60" s="7">
        <f t="shared" si="4"/>
        <v>17.115467906904723</v>
      </c>
      <c r="AF60" s="7">
        <f t="shared" si="4"/>
        <v>7.7736126161520289</v>
      </c>
      <c r="AG60" s="7">
        <f t="shared" si="4"/>
        <v>37.992088270573198</v>
      </c>
      <c r="AH60" s="8">
        <f t="shared" si="4"/>
        <v>4.6874999999999973</v>
      </c>
      <c r="AI60" s="17">
        <f t="shared" si="4"/>
        <v>33.034110216630836</v>
      </c>
      <c r="AJ60" s="5">
        <f t="shared" si="4"/>
        <v>62.3125</v>
      </c>
      <c r="AK60" s="5">
        <f t="shared" si="4"/>
        <v>77.3125</v>
      </c>
      <c r="AL60" s="5">
        <f t="shared" si="4"/>
        <v>6.708333333333333</v>
      </c>
      <c r="AM60" s="5">
        <f t="shared" si="4"/>
        <v>54502.6875</v>
      </c>
      <c r="AN60" s="5">
        <f t="shared" si="4"/>
        <v>7202.25</v>
      </c>
      <c r="AO60" s="7">
        <f t="shared" si="4"/>
        <v>37.188061144715597</v>
      </c>
      <c r="AP60" s="7">
        <f t="shared" si="4"/>
        <v>33.09587432974336</v>
      </c>
      <c r="AQ60" s="5">
        <f t="shared" si="4"/>
        <v>493524.00932211772</v>
      </c>
      <c r="AR60" s="5">
        <f t="shared" si="4"/>
        <v>2994210.6429179627</v>
      </c>
      <c r="AS60" s="6">
        <f t="shared" si="4"/>
        <v>6.2915159896801978E-2</v>
      </c>
      <c r="AT60" s="5">
        <f t="shared" si="4"/>
        <v>2047.6067413897656</v>
      </c>
      <c r="AU60" s="7">
        <f t="shared" si="4"/>
        <v>0.46754526912482625</v>
      </c>
      <c r="AV60" s="5">
        <f t="shared" si="4"/>
        <v>1990.0762119194112</v>
      </c>
      <c r="AW60" s="7">
        <f t="shared" si="4"/>
        <v>38.433069699401592</v>
      </c>
      <c r="AX60" s="7">
        <f t="shared" si="4"/>
        <v>41.925757962236794</v>
      </c>
      <c r="AY60" s="10">
        <f t="shared" si="4"/>
        <v>4.2062499999999982E-3</v>
      </c>
      <c r="AZ60" s="7">
        <f t="shared" si="4"/>
        <v>79.817972560975633</v>
      </c>
      <c r="BA60" s="7">
        <f t="shared" si="4"/>
        <v>60.793397485040082</v>
      </c>
      <c r="BB60" s="7">
        <f t="shared" si="4"/>
        <v>26.726352914415255</v>
      </c>
      <c r="BC60" s="5">
        <f t="shared" si="4"/>
        <v>4188.5665632072032</v>
      </c>
      <c r="BD60" s="8">
        <f t="shared" si="4"/>
        <v>72.059497955964332</v>
      </c>
      <c r="BE60" s="7">
        <f t="shared" si="4"/>
        <v>39.614786749528811</v>
      </c>
      <c r="BF60" s="7">
        <f t="shared" si="4"/>
        <v>36.461244348528538</v>
      </c>
      <c r="BG60" s="17">
        <f t="shared" si="4"/>
        <v>34.617465877652215</v>
      </c>
      <c r="BH60" s="6">
        <f t="shared" si="4"/>
        <v>0.13725624999999994</v>
      </c>
      <c r="BI60" s="6">
        <f t="shared" si="4"/>
        <v>0.26182771903060981</v>
      </c>
      <c r="BJ60" s="7">
        <f t="shared" si="4"/>
        <v>12.123959114414665</v>
      </c>
      <c r="BK60" s="7">
        <f t="shared" si="4"/>
        <v>15.177083333333336</v>
      </c>
      <c r="BL60" s="8">
        <f t="shared" si="4"/>
        <v>0.99919314443301566</v>
      </c>
      <c r="BM60" s="7">
        <f t="shared" si="4"/>
        <v>56.693749999999987</v>
      </c>
      <c r="BN60" s="17">
        <f t="shared" si="4"/>
        <v>58.809235278099415</v>
      </c>
      <c r="BO60" s="7">
        <f t="shared" si="4"/>
        <v>54.513318484248551</v>
      </c>
      <c r="BP60" s="5">
        <f t="shared" si="4"/>
        <v>133.16712962962995</v>
      </c>
      <c r="BQ60" s="7">
        <f t="shared" si="4"/>
        <v>14.769115866554323</v>
      </c>
      <c r="BR60" s="5">
        <f t="shared" ref="BR60:BY60" si="5">AVERAGE(BR6:BR55)</f>
        <v>39215069.541666664</v>
      </c>
      <c r="BS60" s="5">
        <f t="shared" si="5"/>
        <v>312760.45833333331</v>
      </c>
      <c r="BT60" s="8">
        <f t="shared" si="5"/>
        <v>0.65941871796549434</v>
      </c>
      <c r="BU60" s="9">
        <f t="shared" si="5"/>
        <v>0.45625122915209387</v>
      </c>
      <c r="BV60" s="5">
        <f t="shared" si="5"/>
        <v>27.200261318435381</v>
      </c>
      <c r="BW60" s="7">
        <f t="shared" si="5"/>
        <v>35.069941373534341</v>
      </c>
      <c r="BX60" s="16">
        <f t="shared" si="5"/>
        <v>29.895682328840095</v>
      </c>
      <c r="BY60" s="59">
        <f t="shared" si="5"/>
        <v>51.068530009935166</v>
      </c>
    </row>
    <row r="61" spans="1:77">
      <c r="C61"/>
      <c r="D61" s="66" t="s">
        <v>610</v>
      </c>
      <c r="E61" s="64">
        <f>_xlfn.STDEV.P(E6:E55)</f>
        <v>5611261.193593679</v>
      </c>
      <c r="F61" s="64">
        <f t="shared" ref="F61:BQ61" si="6">_xlfn.STDEV.P(F6:F55)</f>
        <v>3256.7907746211563</v>
      </c>
      <c r="G61" s="309">
        <f t="shared" si="6"/>
        <v>2122.2828452970839</v>
      </c>
      <c r="H61" s="64">
        <f t="shared" si="6"/>
        <v>210467.08438189633</v>
      </c>
      <c r="I61" s="64">
        <f t="shared" si="6"/>
        <v>54071.337962846068</v>
      </c>
      <c r="J61" s="65">
        <f t="shared" si="6"/>
        <v>2.6851422770079337E-2</v>
      </c>
      <c r="K61" s="69">
        <f t="shared" si="6"/>
        <v>9.8627475595894722</v>
      </c>
      <c r="L61" s="64">
        <f t="shared" si="6"/>
        <v>5803466.9782201936</v>
      </c>
      <c r="M61" s="64">
        <f t="shared" si="6"/>
        <v>820948.28728397086</v>
      </c>
      <c r="N61" s="64">
        <f t="shared" si="6"/>
        <v>2947641.5421922719</v>
      </c>
      <c r="O61" s="65">
        <f t="shared" si="6"/>
        <v>7.5505005099219299E-2</v>
      </c>
      <c r="P61" s="69">
        <f t="shared" si="6"/>
        <v>28.530103610139076</v>
      </c>
      <c r="Q61" s="70">
        <f t="shared" si="6"/>
        <v>27.008352310176281</v>
      </c>
      <c r="R61" s="69">
        <f t="shared" si="6"/>
        <v>15.066040213890187</v>
      </c>
      <c r="S61" s="68">
        <f t="shared" si="6"/>
        <v>5.6530783741359641E-2</v>
      </c>
      <c r="T61" s="69">
        <f t="shared" si="6"/>
        <v>21.559216283138419</v>
      </c>
      <c r="U61" s="64">
        <f t="shared" si="6"/>
        <v>23874.456296368247</v>
      </c>
      <c r="V61" s="64">
        <f t="shared" si="6"/>
        <v>211.03898073315483</v>
      </c>
      <c r="W61" s="64">
        <f t="shared" si="6"/>
        <v>8634.9224206826784</v>
      </c>
      <c r="X61" s="64">
        <f t="shared" si="6"/>
        <v>23660.210701953605</v>
      </c>
      <c r="Y61" s="64">
        <f t="shared" si="6"/>
        <v>52.448756979689968</v>
      </c>
      <c r="Z61" s="64">
        <f t="shared" si="6"/>
        <v>6070.1312096477905</v>
      </c>
      <c r="AA61" s="69">
        <f t="shared" si="6"/>
        <v>3.1804154316234117</v>
      </c>
      <c r="AB61" s="64">
        <f t="shared" si="6"/>
        <v>354.04881474646857</v>
      </c>
      <c r="AC61" s="64">
        <f t="shared" si="6"/>
        <v>71.584436836663201</v>
      </c>
      <c r="AD61" s="73">
        <f t="shared" si="6"/>
        <v>16.446317553888253</v>
      </c>
      <c r="AE61" s="69">
        <f t="shared" si="6"/>
        <v>26.058629293947487</v>
      </c>
      <c r="AF61" s="69">
        <f t="shared" si="6"/>
        <v>15.764932274308846</v>
      </c>
      <c r="AG61" s="69">
        <f t="shared" si="6"/>
        <v>18.158727892701791</v>
      </c>
      <c r="AH61" s="70">
        <f t="shared" si="6"/>
        <v>5.1568565004434639</v>
      </c>
      <c r="AI61" s="72">
        <f t="shared" si="6"/>
        <v>14.387903256417037</v>
      </c>
      <c r="AJ61" s="64">
        <f t="shared" si="6"/>
        <v>57.456199350026623</v>
      </c>
      <c r="AK61" s="64">
        <f t="shared" si="6"/>
        <v>67.261045019263065</v>
      </c>
      <c r="AL61" s="64">
        <f t="shared" si="6"/>
        <v>4.5550262226346065</v>
      </c>
      <c r="AM61" s="64">
        <f t="shared" si="6"/>
        <v>38259.521732698697</v>
      </c>
      <c r="AN61" s="64">
        <f t="shared" si="6"/>
        <v>7669.0751112829766</v>
      </c>
      <c r="AO61" s="69">
        <f t="shared" si="6"/>
        <v>18.951785372510816</v>
      </c>
      <c r="AP61" s="69">
        <f t="shared" si="6"/>
        <v>15.502656564394186</v>
      </c>
      <c r="AQ61" s="64">
        <f t="shared" si="6"/>
        <v>650595.54481690226</v>
      </c>
      <c r="AR61" s="64">
        <f t="shared" si="6"/>
        <v>3845394.2113536429</v>
      </c>
      <c r="AS61" s="65">
        <f t="shared" si="6"/>
        <v>5.3540352541433071E-2</v>
      </c>
      <c r="AT61" s="64">
        <f t="shared" si="6"/>
        <v>230.5003226648102</v>
      </c>
      <c r="AU61" s="69">
        <f t="shared" si="6"/>
        <v>0.23498412031756225</v>
      </c>
      <c r="AV61" s="64">
        <f t="shared" si="6"/>
        <v>1043.8740684030538</v>
      </c>
      <c r="AW61" s="69">
        <f t="shared" si="6"/>
        <v>17.619501567150998</v>
      </c>
      <c r="AX61" s="69">
        <f t="shared" si="6"/>
        <v>78.398168102204579</v>
      </c>
      <c r="AY61" s="71">
        <f t="shared" si="6"/>
        <v>8.5158285526130677E-3</v>
      </c>
      <c r="AZ61" s="69">
        <f t="shared" si="6"/>
        <v>4.2240581649540223</v>
      </c>
      <c r="BA61" s="69">
        <f t="shared" si="6"/>
        <v>23.57039339746273</v>
      </c>
      <c r="BB61" s="69">
        <f t="shared" si="6"/>
        <v>17.582389111653647</v>
      </c>
      <c r="BC61" s="64">
        <f t="shared" si="6"/>
        <v>2011.1292416277358</v>
      </c>
      <c r="BD61" s="70">
        <f t="shared" si="6"/>
        <v>10.845599675640484</v>
      </c>
      <c r="BE61" s="69">
        <f t="shared" si="6"/>
        <v>17.139193135332587</v>
      </c>
      <c r="BF61" s="69">
        <f t="shared" si="6"/>
        <v>17.100560444802877</v>
      </c>
      <c r="BG61" s="72">
        <f t="shared" si="6"/>
        <v>16.499434863930997</v>
      </c>
      <c r="BH61" s="65">
        <f t="shared" si="6"/>
        <v>0.11084822188141219</v>
      </c>
      <c r="BI61" s="65">
        <f t="shared" si="6"/>
        <v>0.13041891511163292</v>
      </c>
      <c r="BJ61" s="69">
        <f t="shared" si="6"/>
        <v>9.0110578322403363</v>
      </c>
      <c r="BK61" s="69">
        <f t="shared" si="6"/>
        <v>10.318677232397032</v>
      </c>
      <c r="BL61" s="70">
        <f t="shared" si="6"/>
        <v>0.3031606428546238</v>
      </c>
      <c r="BM61" s="69">
        <f t="shared" si="6"/>
        <v>18.265853915731292</v>
      </c>
      <c r="BN61" s="72">
        <f t="shared" si="6"/>
        <v>22.351442505242741</v>
      </c>
      <c r="BO61" s="69">
        <f t="shared" si="6"/>
        <v>19.875785225603718</v>
      </c>
      <c r="BP61" s="64">
        <f t="shared" si="6"/>
        <v>85.956254185082884</v>
      </c>
      <c r="BQ61" s="69">
        <f t="shared" si="6"/>
        <v>17.975253915232489</v>
      </c>
      <c r="BR61" s="64">
        <f t="shared" ref="BR61:BX61" si="7">_xlfn.STDEV.P(BR6:BR55)</f>
        <v>28155107.155695859</v>
      </c>
      <c r="BS61" s="64">
        <f t="shared" si="7"/>
        <v>214484.09747839876</v>
      </c>
      <c r="BT61" s="70">
        <f t="shared" si="7"/>
        <v>0.53932903073796412</v>
      </c>
      <c r="BU61" s="68">
        <f t="shared" si="7"/>
        <v>0.22867493453740576</v>
      </c>
      <c r="BV61" s="64">
        <f t="shared" si="7"/>
        <v>11.502596861599036</v>
      </c>
      <c r="BW61" s="69">
        <f t="shared" si="7"/>
        <v>6.3375715076384305</v>
      </c>
      <c r="BX61" s="73">
        <f t="shared" si="7"/>
        <v>6.7388923395553677</v>
      </c>
      <c r="BY61" s="67">
        <f>_xlfn.STDEV.P(BY6:BY55)</f>
        <v>9.1317408967425955</v>
      </c>
    </row>
    <row r="62" spans="1:77">
      <c r="B62" s="366"/>
      <c r="C62" s="427" t="s">
        <v>4384</v>
      </c>
      <c r="D62" s="1" t="s">
        <v>207</v>
      </c>
      <c r="E62" s="236" t="s">
        <v>222</v>
      </c>
      <c r="F62" s="236" t="s">
        <v>222</v>
      </c>
      <c r="G62" s="236" t="s">
        <v>222</v>
      </c>
      <c r="H62" s="236" t="s">
        <v>222</v>
      </c>
      <c r="I62" s="236" t="s">
        <v>222</v>
      </c>
      <c r="J62" s="236" t="s">
        <v>222</v>
      </c>
      <c r="K62" s="236" t="s">
        <v>222</v>
      </c>
      <c r="L62" s="236" t="s">
        <v>222</v>
      </c>
      <c r="M62" s="236" t="s">
        <v>222</v>
      </c>
      <c r="N62" s="236" t="s">
        <v>222</v>
      </c>
      <c r="O62" s="236" t="s">
        <v>222</v>
      </c>
      <c r="P62" s="236" t="s">
        <v>222</v>
      </c>
      <c r="Q62" s="236" t="s">
        <v>222</v>
      </c>
      <c r="R62" s="236" t="s">
        <v>222</v>
      </c>
      <c r="S62" s="236" t="s">
        <v>234</v>
      </c>
      <c r="T62" s="236" t="s">
        <v>222</v>
      </c>
      <c r="U62" s="236" t="s">
        <v>222</v>
      </c>
      <c r="V62" s="236" t="s">
        <v>222</v>
      </c>
      <c r="W62" s="236" t="s">
        <v>222</v>
      </c>
      <c r="X62" s="236" t="s">
        <v>222</v>
      </c>
      <c r="Y62" s="236" t="s">
        <v>222</v>
      </c>
      <c r="Z62" s="236" t="s">
        <v>222</v>
      </c>
      <c r="AA62" s="236" t="s">
        <v>222</v>
      </c>
      <c r="AB62" s="236" t="s">
        <v>222</v>
      </c>
      <c r="AC62" s="236" t="s">
        <v>222</v>
      </c>
      <c r="AD62" s="236" t="s">
        <v>222</v>
      </c>
      <c r="AE62" s="236" t="s">
        <v>222</v>
      </c>
      <c r="AF62" s="236" t="s">
        <v>222</v>
      </c>
      <c r="AG62" s="236" t="s">
        <v>222</v>
      </c>
      <c r="AH62" s="236" t="s">
        <v>222</v>
      </c>
      <c r="AI62" s="236" t="s">
        <v>222</v>
      </c>
      <c r="AJ62" s="236" t="s">
        <v>222</v>
      </c>
      <c r="AK62" s="236" t="s">
        <v>222</v>
      </c>
      <c r="AL62" s="236" t="s">
        <v>222</v>
      </c>
      <c r="AM62" s="236" t="s">
        <v>222</v>
      </c>
      <c r="AN62" s="236" t="s">
        <v>222</v>
      </c>
      <c r="AO62" s="236" t="s">
        <v>222</v>
      </c>
      <c r="AP62" s="236" t="s">
        <v>222</v>
      </c>
      <c r="AQ62" s="236" t="s">
        <v>222</v>
      </c>
      <c r="AR62" s="236" t="s">
        <v>222</v>
      </c>
      <c r="AS62" s="236" t="s">
        <v>234</v>
      </c>
      <c r="AT62" s="236" t="s">
        <v>234</v>
      </c>
      <c r="AU62" s="236" t="s">
        <v>222</v>
      </c>
      <c r="AV62" s="236" t="s">
        <v>234</v>
      </c>
      <c r="AW62" s="236" t="s">
        <v>234</v>
      </c>
      <c r="AX62" s="236" t="s">
        <v>234</v>
      </c>
      <c r="AY62" s="236" t="s">
        <v>234</v>
      </c>
      <c r="AZ62" s="236" t="s">
        <v>222</v>
      </c>
      <c r="BA62" s="236" t="s">
        <v>222</v>
      </c>
      <c r="BB62" s="236" t="s">
        <v>234</v>
      </c>
      <c r="BC62" s="236" t="s">
        <v>222</v>
      </c>
      <c r="BD62" s="236" t="s">
        <v>222</v>
      </c>
      <c r="BE62" s="236" t="s">
        <v>222</v>
      </c>
      <c r="BF62" s="236" t="s">
        <v>222</v>
      </c>
      <c r="BG62" s="236" t="s">
        <v>222</v>
      </c>
      <c r="BH62" s="236" t="s">
        <v>222</v>
      </c>
      <c r="BI62" s="236" t="s">
        <v>222</v>
      </c>
      <c r="BJ62" s="236" t="s">
        <v>234</v>
      </c>
      <c r="BK62" s="236" t="s">
        <v>234</v>
      </c>
      <c r="BL62" s="236" t="s">
        <v>234</v>
      </c>
      <c r="BM62" s="236" t="s">
        <v>222</v>
      </c>
      <c r="BN62" s="236" t="s">
        <v>222</v>
      </c>
      <c r="BO62" s="236" t="s">
        <v>222</v>
      </c>
      <c r="BP62" s="236" t="s">
        <v>222</v>
      </c>
      <c r="BQ62" s="236" t="s">
        <v>222</v>
      </c>
      <c r="BR62" s="236" t="s">
        <v>222</v>
      </c>
      <c r="BS62" s="236" t="s">
        <v>222</v>
      </c>
      <c r="BT62" s="236" t="s">
        <v>222</v>
      </c>
      <c r="BU62" s="236" t="s">
        <v>222</v>
      </c>
      <c r="BV62" s="236" t="s">
        <v>234</v>
      </c>
      <c r="BW62" s="236" t="s">
        <v>3595</v>
      </c>
      <c r="BX62" s="383" t="s">
        <v>3958</v>
      </c>
      <c r="BY62" s="236" t="s">
        <v>222</v>
      </c>
    </row>
    <row r="63" spans="1:77">
      <c r="D63" s="1" t="s">
        <v>206</v>
      </c>
      <c r="E63" s="13" t="str">
        <f>VLOOKUP(生データ表2[[#Headers],[00a]],指標!$B:$L,10,FALSE)</f>
        <v>人</v>
      </c>
      <c r="F63" s="13" t="str">
        <f>VLOOKUP(生データ表2[[#Headers],[00b]],指標!$B:$L,10,FALSE)</f>
        <v>k㎡</v>
      </c>
      <c r="G63" s="13" t="str">
        <f>VLOOKUP(生データ表2[[#Headers],[00c]],指標!$B:$L,10,FALSE)</f>
        <v>/USD</v>
      </c>
      <c r="H63" s="13" t="str">
        <f>VLOOKUP(生データ表2[[#Headers],[01]],指標!$B:$L,10,FALSE)</f>
        <v>百万ドル</v>
      </c>
      <c r="I63" s="13" t="str">
        <f>VLOOKUP(生データ表2[[#Headers],[02]],指標!$B:$L,10,FALSE)</f>
        <v>ドル/人</v>
      </c>
      <c r="J63" s="13" t="str">
        <f>VLOOKUP(生データ表2[[#Headers],[03]],指標!$B:$L,10,FALSE)</f>
        <v>%</v>
      </c>
      <c r="K63" s="13" t="str">
        <f>VLOOKUP(生データ表2[[#Headers],[04]],指標!$B:$L,10,FALSE)</f>
        <v>pt</v>
      </c>
      <c r="L63" s="13" t="str">
        <f>VLOOKUP(生データ表2[[#Headers],[05]],指標!$B:$L,10,FALSE)</f>
        <v>百万ドル</v>
      </c>
      <c r="M63" s="13" t="str">
        <f>VLOOKUP(生データ表2[[#Headers],[06]],指標!$B:$L,10,FALSE)</f>
        <v>百万ドル</v>
      </c>
      <c r="N63" s="13" t="str">
        <f>VLOOKUP(生データ表2[[#Headers],[07]],指標!$B:$L,10,FALSE)</f>
        <v>人</v>
      </c>
      <c r="O63" s="13" t="str">
        <f>VLOOKUP(生データ表2[[#Headers],[08]],指標!$B:$L,10,FALSE)</f>
        <v>%</v>
      </c>
      <c r="P63" s="13" t="str">
        <f>VLOOKUP(生データ表2[[#Headers],[09]],指標!$B:$L,10,FALSE)</f>
        <v>ドル/月</v>
      </c>
      <c r="Q63" s="13" t="str">
        <f>VLOOKUP(生データ表2[[#Headers],[10]],指標!$B:$L,10,FALSE)</f>
        <v>（合算）</v>
      </c>
      <c r="R63" s="13" t="str">
        <f>VLOOKUP(生データ表2[[#Headers],[11]],指標!$B:$L,10,FALSE)</f>
        <v>（合算）</v>
      </c>
      <c r="S63" s="13" t="str">
        <f>VLOOKUP(生データ表2[[#Headers],[12]],指標!$B:$L,10,FALSE)</f>
        <v>%</v>
      </c>
      <c r="T63" s="13" t="str">
        <f>VLOOKUP(生データ表2[[#Headers],[13]],指標!$B:$L,10,FALSE)</f>
        <v>（合算）</v>
      </c>
      <c r="U63" s="13" t="str">
        <f>VLOOKUP(生データ表2[[#Headers],[14]],指標!$B:$L,10,FALSE)</f>
        <v>人</v>
      </c>
      <c r="V63" s="13" t="str">
        <f>VLOOKUP(生データ表2[[#Headers],[15]],指標!$B:$L,10,FALSE)</f>
        <v>pt</v>
      </c>
      <c r="W63" s="13" t="str">
        <f>VLOOKUP(生データ表2[[#Headers],[16]],指標!$B:$L,10,FALSE)</f>
        <v>百万ドル</v>
      </c>
      <c r="X63" s="13" t="str">
        <f>VLOOKUP(生データ表2[[#Headers],[17]],指標!$B:$L,10,FALSE)</f>
        <v>人</v>
      </c>
      <c r="Y63" s="13" t="str">
        <f>VLOOKUP(生データ表2[[#Headers],[18]],指標!$B:$L,10,FALSE)</f>
        <v>pt</v>
      </c>
      <c r="Z63" s="13" t="str">
        <f>VLOOKUP(生データ表2[[#Headers],[19]],指標!$B:$L,10,FALSE)</f>
        <v>件</v>
      </c>
      <c r="AA63" s="13" t="str">
        <f>VLOOKUP(生データ表2[[#Headers],[20]],指標!$B:$L,10,FALSE)</f>
        <v>pt</v>
      </c>
      <c r="AB63" s="13" t="str">
        <f>VLOOKUP(生データ表2[[#Headers],[21]],指標!$B:$L,10,FALSE)</f>
        <v>社</v>
      </c>
      <c r="AC63" s="13" t="str">
        <f>VLOOKUP(生データ表2[[#Headers],[22]],指標!$B:$L,10,FALSE)</f>
        <v>件</v>
      </c>
      <c r="AD63" s="13" t="str">
        <f>VLOOKUP(生データ表2[[#Headers],[23]],指標!$B:$L,10,FALSE)</f>
        <v>（合算）</v>
      </c>
      <c r="AE63" s="13" t="str">
        <f>VLOOKUP(生データ表2[[#Headers],[24]],指標!$B:$L,10,FALSE)</f>
        <v>（合算）</v>
      </c>
      <c r="AF63" s="13" t="str">
        <f>VLOOKUP(生データ表2[[#Headers],[25]],指標!$B:$L,10,FALSE)</f>
        <v>（合算）</v>
      </c>
      <c r="AG63" s="13" t="str">
        <f>VLOOKUP(生データ表2[[#Headers],[26]],指標!$B:$L,10,FALSE)</f>
        <v>（合算）</v>
      </c>
      <c r="AH63" s="13" t="str">
        <f>VLOOKUP(生データ表2[[#Headers],[27]],指標!$B:$L,10,FALSE)</f>
        <v>pt</v>
      </c>
      <c r="AI63" s="13" t="str">
        <f>VLOOKUP(生データ表2[[#Headers],[28]],指標!$B:$L,10,FALSE)</f>
        <v>（合算）</v>
      </c>
      <c r="AJ63" s="13" t="str">
        <f>VLOOKUP(生データ表2[[#Headers],[29]],指標!$B:$L,10,FALSE)</f>
        <v>施設（平均）</v>
      </c>
      <c r="AK63" s="13" t="str">
        <f>VLOOKUP(生データ表2[[#Headers],[30]],指標!$B:$L,10,FALSE)</f>
        <v>施設</v>
      </c>
      <c r="AL63" s="13" t="str">
        <f>VLOOKUP(生データ表2[[#Headers],[31]],指標!$B:$L,10,FALSE)</f>
        <v>施設</v>
      </c>
      <c r="AM63" s="13" t="str">
        <f>VLOOKUP(生データ表2[[#Headers],[32]],指標!$B:$L,10,FALSE)</f>
        <v>室</v>
      </c>
      <c r="AN63" s="13" t="str">
        <f>VLOOKUP(生データ表2[[#Headers],[33]],指標!$B:$L,10,FALSE)</f>
        <v>室</v>
      </c>
      <c r="AO63" s="13" t="str">
        <f>VLOOKUP(生データ表2[[#Headers],[34]],指標!$B:$L,10,FALSE)</f>
        <v>（合算）</v>
      </c>
      <c r="AP63" s="13" t="str">
        <f>VLOOKUP(生データ表2[[#Headers],[35]],指標!$B:$L,10,FALSE)</f>
        <v>（合算）</v>
      </c>
      <c r="AQ63" s="13" t="str">
        <f>VLOOKUP(生データ表2[[#Headers],[36]],指標!$B:$L,10,FALSE)</f>
        <v>人</v>
      </c>
      <c r="AR63" s="13" t="str">
        <f>VLOOKUP(生データ表2[[#Headers],[37]],指標!$B:$L,10,FALSE)</f>
        <v>人</v>
      </c>
      <c r="AS63" s="13" t="str">
        <f>VLOOKUP(生データ表2[[#Headers],[38]],指標!$B:$L,10,FALSE)</f>
        <v>%</v>
      </c>
      <c r="AT63" s="13" t="str">
        <f>VLOOKUP(生データ表2[[#Headers],[39]],指標!$B:$L,10,FALSE)</f>
        <v>時間/年</v>
      </c>
      <c r="AU63" s="13" t="str">
        <f>VLOOKUP(生データ表2[[#Headers],[40]],指標!$B:$L,10,FALSE)</f>
        <v>pt</v>
      </c>
      <c r="AV63" s="13" t="str">
        <f>VLOOKUP(生データ表2[[#Headers],[41]],指標!$B:$L,10,FALSE)</f>
        <v>ドル/月</v>
      </c>
      <c r="AW63" s="13" t="str">
        <f>VLOOKUP(生データ表2[[#Headers],[42]],指標!$B:$L,10,FALSE)</f>
        <v>pt</v>
      </c>
      <c r="AX63" s="13" t="str">
        <f>VLOOKUP(生データ表2[[#Headers],[43]],指標!$B:$L,10,FALSE)</f>
        <v>件/百万人</v>
      </c>
      <c r="AY63" s="13" t="str">
        <f>VLOOKUP(生データ表2[[#Headers],[44]],指標!$B:$L,10,FALSE)</f>
        <v>%</v>
      </c>
      <c r="AZ63" s="13" t="str">
        <f>VLOOKUP(生データ表2[[#Headers],[45]],指標!$B:$L,10,FALSE)</f>
        <v>歳</v>
      </c>
      <c r="BA63" s="13" t="str">
        <f>VLOOKUP(生データ表2[[#Headers],[46]],指標!$B:$L,10,FALSE)</f>
        <v>（合算）</v>
      </c>
      <c r="BB63" s="13" t="str">
        <f>VLOOKUP(生データ表2[[#Headers],[47]],指標!$B:$L,10,FALSE)</f>
        <v>（合算）</v>
      </c>
      <c r="BC63" s="13" t="str">
        <f>VLOOKUP(生データ表2[[#Headers],[48]],指標!$B:$L,10,FALSE)</f>
        <v>人/百万人</v>
      </c>
      <c r="BD63" s="13" t="str">
        <f>VLOOKUP(生データ表2[[#Headers],[49]],指標!$B:$L,10,FALSE)</f>
        <v>pt</v>
      </c>
      <c r="BE63" s="13" t="str">
        <f>VLOOKUP(生データ表2[[#Headers],[50]],指標!$B:$L,10,FALSE)</f>
        <v>（合算）</v>
      </c>
      <c r="BF63" s="13" t="str">
        <f>VLOOKUP(生データ表2[[#Headers],[51]],指標!$B:$L,10,FALSE)</f>
        <v>（合算）</v>
      </c>
      <c r="BG63" s="13" t="str">
        <f>VLOOKUP(生データ表2[[#Headers],[52]],指標!$B:$L,10,FALSE)</f>
        <v>（合算）</v>
      </c>
      <c r="BH63" s="13" t="str">
        <f>VLOOKUP(生データ表2[[#Headers],[53]],指標!$B:$L,10,FALSE)</f>
        <v>%</v>
      </c>
      <c r="BI63" s="13" t="str">
        <f>VLOOKUP(生データ表2[[#Headers],[54]],指標!$B:$L,10,FALSE)</f>
        <v>%</v>
      </c>
      <c r="BJ63" s="13" t="str">
        <f>VLOOKUP(生データ表2[[#Headers],[55]],指標!$B:$L,10,FALSE)</f>
        <v>トン/人</v>
      </c>
      <c r="BK63" s="13" t="str">
        <f>VLOOKUP(生データ表2[[#Headers],[56]],指標!$B:$L,10,FALSE)</f>
        <v>µg /m³</v>
      </c>
      <c r="BL63" s="13" t="str">
        <f>VLOOKUP(生データ表2[[#Headers],[57]],指標!$B:$L,10,FALSE)</f>
        <v>pt</v>
      </c>
      <c r="BM63" s="13" t="str">
        <f>VLOOKUP(生データ表2[[#Headers],[58]],指標!$B:$L,10,FALSE)</f>
        <v>pt</v>
      </c>
      <c r="BN63" s="13" t="str">
        <f>VLOOKUP(生データ表2[[#Headers],[59]],指標!$B:$L,10,FALSE)</f>
        <v>（合算）</v>
      </c>
      <c r="BO63" s="13" t="str">
        <f>VLOOKUP(生データ表2[[#Headers],[60]],指標!$B:$L,10,FALSE)</f>
        <v>（合算）</v>
      </c>
      <c r="BP63" s="13" t="str">
        <f>VLOOKUP(生データ表2[[#Headers],[61]],指標!$B:$L,10,FALSE)</f>
        <v>都市</v>
      </c>
      <c r="BQ63" s="13" t="str">
        <f>VLOOKUP(生データ表2[[#Headers],[62]],指標!$B:$L,10,FALSE)</f>
        <v>（合算）</v>
      </c>
      <c r="BR63" s="13" t="str">
        <f>VLOOKUP(生データ表2[[#Headers],[63]],指標!$B:$L,10,FALSE)</f>
        <v>人</v>
      </c>
      <c r="BS63" s="13" t="str">
        <f>VLOOKUP(生データ表2[[#Headers],[64]],指標!$B:$L,10,FALSE)</f>
        <v>回</v>
      </c>
      <c r="BT63" s="13" t="str">
        <f>VLOOKUP(生データ表2[[#Headers],[65]],指標!$B:$L,10,FALSE)</f>
        <v>駅/k㎡</v>
      </c>
      <c r="BU63" s="13" t="str">
        <f>VLOOKUP(生データ表2[[#Headers],[66]],指標!$B:$L,10,FALSE)</f>
        <v>%</v>
      </c>
      <c r="BV63" s="13" t="str">
        <f>VLOOKUP(生データ表2[[#Headers],[67]],指標!$B:$L,10,FALSE)</f>
        <v>分（平均）</v>
      </c>
      <c r="BW63" s="13" t="str">
        <f>VLOOKUP(生データ表2[[#Headers],[68]],指標!$B:$L,10,FALSE)</f>
        <v>分（平均）</v>
      </c>
      <c r="BX63" s="13" t="str">
        <f>VLOOKUP(生データ表2[[#Headers],[69]],指標!$B:$L,10,FALSE)</f>
        <v>km/h</v>
      </c>
      <c r="BY63" s="13" t="str">
        <f>VLOOKUP(生データ表2[[#Headers],[70]],指標!$B:$L,10,FALSE)</f>
        <v>（合算）</v>
      </c>
    </row>
    <row r="64" spans="1:77">
      <c r="D64" s="42" t="s">
        <v>251</v>
      </c>
      <c r="E64" s="426" t="str">
        <f>VLOOKUP(生データ表2[[#Headers],[00a]],指標!$B:$L,11,FALSE)</f>
        <v>people</v>
      </c>
      <c r="F64" s="426" t="str">
        <f>VLOOKUP(生データ表2[[#Headers],[00b]],指標!$B:$L,11,FALSE)</f>
        <v>k㎡</v>
      </c>
      <c r="G64" s="426" t="str">
        <f>VLOOKUP(生データ表2[[#Headers],[00c]],指標!$B:$L,11,FALSE)</f>
        <v>/USD</v>
      </c>
      <c r="H64" s="426" t="str">
        <f>VLOOKUP(生データ表2[[#Headers],[01]],指標!$B:$L,11,FALSE)</f>
        <v>million USD</v>
      </c>
      <c r="I64" s="426" t="str">
        <f>VLOOKUP(生データ表2[[#Headers],[02]],指標!$B:$L,11,FALSE)</f>
        <v>USD/people</v>
      </c>
      <c r="J64" s="426" t="str">
        <f>VLOOKUP(生データ表2[[#Headers],[03]],指標!$B:$L,11,FALSE)</f>
        <v>%</v>
      </c>
      <c r="K64" s="426" t="str">
        <f>VLOOKUP(生データ表2[[#Headers],[04]],指標!$B:$L,11,FALSE)</f>
        <v>pt</v>
      </c>
      <c r="L64" s="426" t="str">
        <f>VLOOKUP(生データ表2[[#Headers],[05]],指標!$B:$L,11,FALSE)</f>
        <v>million USD</v>
      </c>
      <c r="M64" s="426" t="str">
        <f>VLOOKUP(生データ表2[[#Headers],[06]],指標!$B:$L,11,FALSE)</f>
        <v>million USD</v>
      </c>
      <c r="N64" s="426" t="str">
        <f>VLOOKUP(生データ表2[[#Headers],[07]],指標!$B:$L,11,FALSE)</f>
        <v>people</v>
      </c>
      <c r="O64" s="426" t="str">
        <f>VLOOKUP(生データ表2[[#Headers],[08]],指標!$B:$L,11,FALSE)</f>
        <v>%</v>
      </c>
      <c r="P64" s="426" t="str">
        <f>VLOOKUP(生データ表2[[#Headers],[09]],指標!$B:$L,11,FALSE)</f>
        <v>USD/month</v>
      </c>
      <c r="Q64" s="426" t="str">
        <f>VLOOKUP(生データ表2[[#Headers],[10]],指標!$B:$L,11,FALSE)</f>
        <v>(combined)</v>
      </c>
      <c r="R64" s="426" t="str">
        <f>VLOOKUP(生データ表2[[#Headers],[11]],指標!$B:$L,11,FALSE)</f>
        <v>(combined)</v>
      </c>
      <c r="S64" s="426" t="str">
        <f>VLOOKUP(生データ表2[[#Headers],[12]],指標!$B:$L,11,FALSE)</f>
        <v>%</v>
      </c>
      <c r="T64" s="426" t="str">
        <f>VLOOKUP(生データ表2[[#Headers],[13]],指標!$B:$L,11,FALSE)</f>
        <v>(combined)</v>
      </c>
      <c r="U64" s="426" t="str">
        <f>VLOOKUP(生データ表2[[#Headers],[14]],指標!$B:$L,11,FALSE)</f>
        <v>people</v>
      </c>
      <c r="V64" s="426" t="str">
        <f>VLOOKUP(生データ表2[[#Headers],[15]],指標!$B:$L,11,FALSE)</f>
        <v>pt</v>
      </c>
      <c r="W64" s="426" t="str">
        <f>VLOOKUP(生データ表2[[#Headers],[16]],指標!$B:$L,11,FALSE)</f>
        <v>million USD</v>
      </c>
      <c r="X64" s="426" t="str">
        <f>VLOOKUP(生データ表2[[#Headers],[17]],指標!$B:$L,11,FALSE)</f>
        <v>people</v>
      </c>
      <c r="Y64" s="426" t="str">
        <f>VLOOKUP(生データ表2[[#Headers],[18]],指標!$B:$L,11,FALSE)</f>
        <v>pt</v>
      </c>
      <c r="Z64" s="426" t="str">
        <f>VLOOKUP(生データ表2[[#Headers],[19]],指標!$B:$L,11,FALSE)</f>
        <v>patents</v>
      </c>
      <c r="AA64" s="426" t="str">
        <f>VLOOKUP(生データ表2[[#Headers],[20]],指標!$B:$L,11,FALSE)</f>
        <v>pt</v>
      </c>
      <c r="AB64" s="426" t="str">
        <f>VLOOKUP(生データ表2[[#Headers],[21]],指標!$B:$L,11,FALSE)</f>
        <v xml:space="preserve">companies </v>
      </c>
      <c r="AC64" s="426" t="str">
        <f>VLOOKUP(生データ表2[[#Headers],[22]],指標!$B:$L,11,FALSE)</f>
        <v>cases</v>
      </c>
      <c r="AD64" s="426" t="str">
        <f>VLOOKUP(生データ表2[[#Headers],[23]],指標!$B:$L,11,FALSE)</f>
        <v>(combined)</v>
      </c>
      <c r="AE64" s="426" t="str">
        <f>VLOOKUP(生データ表2[[#Headers],[24]],指標!$B:$L,11,FALSE)</f>
        <v>(combined)</v>
      </c>
      <c r="AF64" s="426" t="str">
        <f>VLOOKUP(生データ表2[[#Headers],[25]],指標!$B:$L,11,FALSE)</f>
        <v>(combined)</v>
      </c>
      <c r="AG64" s="426" t="str">
        <f>VLOOKUP(生データ表2[[#Headers],[26]],指標!$B:$L,11,FALSE)</f>
        <v>(combined)</v>
      </c>
      <c r="AH64" s="426" t="str">
        <f>VLOOKUP(生データ表2[[#Headers],[27]],指標!$B:$L,11,FALSE)</f>
        <v>pt</v>
      </c>
      <c r="AI64" s="426" t="str">
        <f>VLOOKUP(生データ表2[[#Headers],[28]],指標!$B:$L,11,FALSE)</f>
        <v>(combined)</v>
      </c>
      <c r="AJ64" s="426" t="str">
        <f>VLOOKUP(生データ表2[[#Headers],[29]],指標!$B:$L,11,FALSE)</f>
        <v>places</v>
      </c>
      <c r="AK64" s="426" t="str">
        <f>VLOOKUP(生データ表2[[#Headers],[30]],指標!$B:$L,11,FALSE)</f>
        <v>places</v>
      </c>
      <c r="AL64" s="426" t="str">
        <f>VLOOKUP(生データ表2[[#Headers],[31]],指標!$B:$L,11,FALSE)</f>
        <v>places</v>
      </c>
      <c r="AM64" s="426" t="str">
        <f>VLOOKUP(生データ表2[[#Headers],[32]],指標!$B:$L,11,FALSE)</f>
        <v>rooms</v>
      </c>
      <c r="AN64" s="426" t="str">
        <f>VLOOKUP(生データ表2[[#Headers],[33]],指標!$B:$L,11,FALSE)</f>
        <v>rooms</v>
      </c>
      <c r="AO64" s="426" t="str">
        <f>VLOOKUP(生データ表2[[#Headers],[34]],指標!$B:$L,11,FALSE)</f>
        <v>(combined)</v>
      </c>
      <c r="AP64" s="426" t="str">
        <f>VLOOKUP(生データ表2[[#Headers],[35]],指標!$B:$L,11,FALSE)</f>
        <v>(combined)</v>
      </c>
      <c r="AQ64" s="426" t="str">
        <f>VLOOKUP(生データ表2[[#Headers],[36]],指標!$B:$L,11,FALSE)</f>
        <v>people</v>
      </c>
      <c r="AR64" s="426" t="str">
        <f>VLOOKUP(生データ表2[[#Headers],[37]],指標!$B:$L,11,FALSE)</f>
        <v>people</v>
      </c>
      <c r="AS64" s="426" t="str">
        <f>VLOOKUP(生データ表2[[#Headers],[38]],指標!$B:$L,11,FALSE)</f>
        <v>%</v>
      </c>
      <c r="AT64" s="426" t="str">
        <f>VLOOKUP(生データ表2[[#Headers],[39]],指標!$B:$L,11,FALSE)</f>
        <v>hours/year</v>
      </c>
      <c r="AU64" s="426" t="str">
        <f>VLOOKUP(生データ表2[[#Headers],[40]],指標!$B:$L,11,FALSE)</f>
        <v>pt</v>
      </c>
      <c r="AV64" s="426" t="str">
        <f>VLOOKUP(生データ表2[[#Headers],[41]],指標!$B:$L,11,FALSE)</f>
        <v>USD/month</v>
      </c>
      <c r="AW64" s="426" t="str">
        <f>VLOOKUP(生データ表2[[#Headers],[42]],指標!$B:$L,11,FALSE)</f>
        <v>pt</v>
      </c>
      <c r="AX64" s="426" t="str">
        <f>VLOOKUP(生データ表2[[#Headers],[43]],指標!$B:$L,11,FALSE)</f>
        <v>cases/million people</v>
      </c>
      <c r="AY64" s="426" t="str">
        <f>VLOOKUP(生データ表2[[#Headers],[44]],指標!$B:$L,11,FALSE)</f>
        <v>%</v>
      </c>
      <c r="AZ64" s="426" t="str">
        <f>VLOOKUP(生データ表2[[#Headers],[45]],指標!$B:$L,11,FALSE)</f>
        <v>years</v>
      </c>
      <c r="BA64" s="426" t="str">
        <f>VLOOKUP(生データ表2[[#Headers],[46]],指標!$B:$L,11,FALSE)</f>
        <v>(combined)</v>
      </c>
      <c r="BB64" s="426" t="str">
        <f>VLOOKUP(生データ表2[[#Headers],[47]],指標!$B:$L,11,FALSE)</f>
        <v>(combined)</v>
      </c>
      <c r="BC64" s="426" t="str">
        <f>VLOOKUP(生データ表2[[#Headers],[48]],指標!$B:$L,11,FALSE)</f>
        <v>doctors/million people</v>
      </c>
      <c r="BD64" s="426" t="str">
        <f>VLOOKUP(生データ表2[[#Headers],[49]],指標!$B:$L,11,FALSE)</f>
        <v>pt</v>
      </c>
      <c r="BE64" s="426" t="str">
        <f>VLOOKUP(生データ表2[[#Headers],[50]],指標!$B:$L,11,FALSE)</f>
        <v>(combined)</v>
      </c>
      <c r="BF64" s="426" t="str">
        <f>VLOOKUP(生データ表2[[#Headers],[51]],指標!$B:$L,11,FALSE)</f>
        <v>(combined)</v>
      </c>
      <c r="BG64" s="426" t="str">
        <f>VLOOKUP(生データ表2[[#Headers],[52]],指標!$B:$L,11,FALSE)</f>
        <v>(combined)</v>
      </c>
      <c r="BH64" s="426" t="str">
        <f>VLOOKUP(生データ表2[[#Headers],[53]],指標!$B:$L,11,FALSE)</f>
        <v>%</v>
      </c>
      <c r="BI64" s="426" t="str">
        <f>VLOOKUP(生データ表2[[#Headers],[54]],指標!$B:$L,11,FALSE)</f>
        <v>%</v>
      </c>
      <c r="BJ64" s="426" t="str">
        <f>VLOOKUP(生データ表2[[#Headers],[55]],指標!$B:$L,11,FALSE)</f>
        <v>tons/people</v>
      </c>
      <c r="BK64" s="426" t="str">
        <f>VLOOKUP(生データ表2[[#Headers],[56]],指標!$B:$L,11,FALSE)</f>
        <v>µg /m³</v>
      </c>
      <c r="BL64" s="426" t="str">
        <f>VLOOKUP(生データ表2[[#Headers],[57]],指標!$B:$L,11,FALSE)</f>
        <v>pt</v>
      </c>
      <c r="BM64" s="426" t="str">
        <f>VLOOKUP(生データ表2[[#Headers],[58]],指標!$B:$L,11,FALSE)</f>
        <v>pt</v>
      </c>
      <c r="BN64" s="426" t="str">
        <f>VLOOKUP(生データ表2[[#Headers],[59]],指標!$B:$L,11,FALSE)</f>
        <v>(combined)</v>
      </c>
      <c r="BO64" s="426" t="str">
        <f>VLOOKUP(生データ表2[[#Headers],[60]],指標!$B:$L,11,FALSE)</f>
        <v>(combined)</v>
      </c>
      <c r="BP64" s="426" t="str">
        <f>VLOOKUP(生データ表2[[#Headers],[61]],指標!$B:$L,11,FALSE)</f>
        <v>cities</v>
      </c>
      <c r="BQ64" s="426" t="str">
        <f>VLOOKUP(生データ表2[[#Headers],[62]],指標!$B:$L,11,FALSE)</f>
        <v>(combined)</v>
      </c>
      <c r="BR64" s="426" t="str">
        <f>VLOOKUP(生データ表2[[#Headers],[63]],指標!$B:$L,11,FALSE)</f>
        <v>people</v>
      </c>
      <c r="BS64" s="426" t="str">
        <f>VLOOKUP(生データ表2[[#Headers],[64]],指標!$B:$L,11,FALSE)</f>
        <v>times</v>
      </c>
      <c r="BT64" s="426" t="str">
        <f>VLOOKUP(生データ表2[[#Headers],[65]],指標!$B:$L,11,FALSE)</f>
        <v>stations/k㎡</v>
      </c>
      <c r="BU64" s="426" t="str">
        <f>VLOOKUP(生データ表2[[#Headers],[66]],指標!$B:$L,11,FALSE)</f>
        <v>%</v>
      </c>
      <c r="BV64" s="426" t="str">
        <f>VLOOKUP(生データ表2[[#Headers],[67]],指標!$B:$L,11,FALSE)</f>
        <v>minutes</v>
      </c>
      <c r="BW64" s="426" t="str">
        <f>VLOOKUP(生データ表2[[#Headers],[68]],指標!$B:$L,11,FALSE)</f>
        <v>minutes</v>
      </c>
      <c r="BX64" s="426" t="str">
        <f>VLOOKUP(生データ表2[[#Headers],[69]],指標!$B:$L,11,FALSE)</f>
        <v>km/h</v>
      </c>
      <c r="BY64" s="426" t="str">
        <f>VLOOKUP(生データ表2[[#Headers],[70]],指標!$B:$L,11,FALSE)</f>
        <v>(combined)</v>
      </c>
    </row>
    <row r="65" spans="4:77">
      <c r="D65" s="1" t="s">
        <v>642</v>
      </c>
      <c r="E65" s="13" t="s">
        <v>2527</v>
      </c>
      <c r="F65" s="13"/>
      <c r="G65" s="13" t="s">
        <v>464</v>
      </c>
      <c r="H65" s="13" t="s">
        <v>225</v>
      </c>
      <c r="I65" s="13" t="s">
        <v>230</v>
      </c>
      <c r="J65" s="13" t="s">
        <v>464</v>
      </c>
      <c r="K65" s="13" t="s">
        <v>464</v>
      </c>
      <c r="L65" s="13" t="s">
        <v>464</v>
      </c>
      <c r="M65" s="13" t="s">
        <v>464</v>
      </c>
      <c r="N65" s="13" t="s">
        <v>232</v>
      </c>
      <c r="O65" s="13" t="s">
        <v>233</v>
      </c>
      <c r="P65" s="13" t="s">
        <v>464</v>
      </c>
      <c r="Q65" s="13" t="s">
        <v>464</v>
      </c>
      <c r="R65" s="13" t="s">
        <v>464</v>
      </c>
      <c r="S65" s="13" t="s">
        <v>464</v>
      </c>
      <c r="T65" s="13" t="s">
        <v>464</v>
      </c>
      <c r="U65" s="13" t="s">
        <v>235</v>
      </c>
      <c r="V65" s="13" t="s">
        <v>417</v>
      </c>
      <c r="W65" s="13" t="s">
        <v>453</v>
      </c>
      <c r="X65" s="13" t="s">
        <v>417</v>
      </c>
      <c r="Y65" s="13" t="s">
        <v>464</v>
      </c>
      <c r="Z65" s="13" t="s">
        <v>237</v>
      </c>
      <c r="AA65" s="13" t="s">
        <v>464</v>
      </c>
      <c r="AB65" s="13" t="s">
        <v>464</v>
      </c>
      <c r="AC65" s="13" t="s">
        <v>464</v>
      </c>
      <c r="AD65" s="13" t="s">
        <v>464</v>
      </c>
      <c r="AE65" s="13" t="s">
        <v>238</v>
      </c>
      <c r="AF65" s="13" t="s">
        <v>464</v>
      </c>
      <c r="AG65" s="13" t="s">
        <v>464</v>
      </c>
      <c r="AH65" s="13" t="s">
        <v>464</v>
      </c>
      <c r="AI65" s="13" t="s">
        <v>464</v>
      </c>
      <c r="AJ65" s="13" t="s">
        <v>464</v>
      </c>
      <c r="AK65" s="13" t="s">
        <v>464</v>
      </c>
      <c r="AL65" s="13" t="s">
        <v>464</v>
      </c>
      <c r="AM65" s="13" t="s">
        <v>418</v>
      </c>
      <c r="AN65" s="13" t="s">
        <v>418</v>
      </c>
      <c r="AO65" s="13" t="s">
        <v>464</v>
      </c>
      <c r="AP65" s="13" t="s">
        <v>464</v>
      </c>
      <c r="AQ65" s="13" t="s">
        <v>464</v>
      </c>
      <c r="AR65" s="13" t="s">
        <v>464</v>
      </c>
      <c r="AS65" s="13" t="s">
        <v>464</v>
      </c>
      <c r="AT65" s="13" t="s">
        <v>464</v>
      </c>
      <c r="AU65" s="13" t="s">
        <v>464</v>
      </c>
      <c r="AV65" s="13" t="s">
        <v>464</v>
      </c>
      <c r="AW65" s="13" t="s">
        <v>464</v>
      </c>
      <c r="AX65" s="13" t="s">
        <v>241</v>
      </c>
      <c r="AY65" s="13" t="s">
        <v>464</v>
      </c>
      <c r="AZ65" s="13" t="s">
        <v>464</v>
      </c>
      <c r="BA65" s="13" t="s">
        <v>464</v>
      </c>
      <c r="BB65" s="13" t="s">
        <v>464</v>
      </c>
      <c r="BC65" s="13" t="s">
        <v>244</v>
      </c>
      <c r="BD65" s="13" t="s">
        <v>464</v>
      </c>
      <c r="BE65" s="13" t="s">
        <v>464</v>
      </c>
      <c r="BF65" s="13" t="s">
        <v>464</v>
      </c>
      <c r="BG65" s="13" t="s">
        <v>464</v>
      </c>
      <c r="BH65" s="13" t="s">
        <v>464</v>
      </c>
      <c r="BI65" s="13" t="s">
        <v>464</v>
      </c>
      <c r="BJ65" s="13" t="s">
        <v>245</v>
      </c>
      <c r="BK65" s="13" t="s">
        <v>464</v>
      </c>
      <c r="BL65" s="13" t="s">
        <v>464</v>
      </c>
      <c r="BM65" s="13" t="s">
        <v>464</v>
      </c>
      <c r="BN65" s="13" t="s">
        <v>464</v>
      </c>
      <c r="BO65" s="13" t="s">
        <v>464</v>
      </c>
      <c r="BP65" s="13" t="s">
        <v>464</v>
      </c>
      <c r="BQ65" s="13" t="s">
        <v>464</v>
      </c>
      <c r="BR65" s="13" t="s">
        <v>464</v>
      </c>
      <c r="BS65" s="13" t="s">
        <v>248</v>
      </c>
      <c r="BT65" s="13" t="s">
        <v>464</v>
      </c>
      <c r="BU65" s="13" t="s">
        <v>464</v>
      </c>
      <c r="BV65" s="13" t="s">
        <v>250</v>
      </c>
      <c r="BW65" s="13" t="s">
        <v>464</v>
      </c>
      <c r="BX65" s="13" t="s">
        <v>464</v>
      </c>
      <c r="BY65" s="13" t="s">
        <v>464</v>
      </c>
    </row>
  </sheetData>
  <sortState xmlns:xlrd2="http://schemas.microsoft.com/office/spreadsheetml/2017/richdata2" ref="B6:BY53">
    <sortCondition ref="C5"/>
  </sortState>
  <phoneticPr fontId="5"/>
  <conditionalFormatting sqref="E6:BY53">
    <cfRule type="expression" dxfId="676" priority="1">
      <formula>OR(E6="-",E6="")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①生データ">
                <anchor moveWithCells="1" sizeWithCells="1">
                  <from>
                    <xdr:col>0</xdr:col>
                    <xdr:colOff>0</xdr:colOff>
                    <xdr:row>0</xdr:row>
                    <xdr:rowOff>0</xdr:rowOff>
                  </from>
                  <to>
                    <xdr:col>2</xdr:col>
                    <xdr:colOff>85725</xdr:colOff>
                    <xdr:row>1</xdr:row>
                    <xdr:rowOff>47625</xdr:rowOff>
                  </to>
                </anchor>
              </controlPr>
            </control>
          </mc:Choice>
        </mc:AlternateContent>
      </controls>
    </mc:Choice>
  </mc:AlternateContent>
  <tableParts count="2">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DF64"/>
  <sheetViews>
    <sheetView showGridLines="0" tabSelected="1" zoomScaleNormal="100" workbookViewId="0">
      <pane xSplit="4" ySplit="5" topLeftCell="T6" activePane="bottomRight" state="frozen"/>
      <selection activeCell="I27" sqref="I27"/>
      <selection pane="topRight" activeCell="I27" sqref="I27"/>
      <selection pane="bottomLeft" activeCell="I27" sqref="I27"/>
      <selection pane="bottomRight" activeCell="D4" sqref="D4:D5 P4:P5 T4:T5 X4:X5 AB4:AB5 AF4:AG5 AL4:AO5 AQ4:AR5 BB4:BB5 BE4:BE5 BO4:BP5 BX4:BX5 D8:D9 P8:P9 T8:T9 X8:X9 AB8:AB9 AF8:AG9 AL8:AO9 AQ8:AR9 BB8:BB9 BE8:BE9 BO8:BP9 BX8:BX9 D26 P26 T26 X26 AB26 AF26:AG26 AL26:AO26 AQ26:AR26 BB26 BE26 BO26:BP26 BX26 D34 P34 T34 X34 AB34 AF34:AG34 AL34:AO34 AQ34:AR34 BB34 BE34 BO34:BP34 BX34 D43 P43 T43 X43 AB43 AF43:AG43 AL43:AO43 AQ43:AR43 BB43 BE43 BO43:BP43 BX43"/>
    </sheetView>
  </sheetViews>
  <sheetFormatPr defaultRowHeight="15.75"/>
  <cols>
    <col min="1" max="1" width="3.28515625" style="2" bestFit="1" customWidth="1"/>
    <col min="2" max="2" width="8.140625" customWidth="1"/>
    <col min="3" max="3" width="3.28515625" style="2" customWidth="1"/>
    <col min="4" max="4" width="16" customWidth="1"/>
    <col min="5" max="6" width="10.7109375" hidden="1" customWidth="1"/>
    <col min="7" max="7" width="10.42578125" hidden="1" customWidth="1"/>
    <col min="8" max="12" width="10.7109375" hidden="1" customWidth="1"/>
    <col min="13" max="13" width="9.7109375" hidden="1" customWidth="1"/>
    <col min="14" max="14" width="10.7109375" hidden="1" customWidth="1"/>
    <col min="15" max="15" width="10.85546875" hidden="1" customWidth="1"/>
    <col min="16" max="16" width="10.7109375" customWidth="1"/>
    <col min="17" max="19" width="10.7109375" hidden="1" customWidth="1"/>
    <col min="20" max="20" width="10.7109375" customWidth="1"/>
    <col min="21" max="23" width="10.7109375" hidden="1" customWidth="1"/>
    <col min="24" max="24" width="10.7109375" customWidth="1"/>
    <col min="25" max="27" width="10.7109375" hidden="1" customWidth="1"/>
    <col min="28" max="28" width="10.7109375" customWidth="1"/>
    <col min="29" max="31" width="10.7109375" hidden="1" customWidth="1"/>
    <col min="32" max="33" width="10.7109375" customWidth="1"/>
    <col min="34" max="37" width="10.7109375" hidden="1" customWidth="1"/>
    <col min="38" max="41" width="10.7109375" customWidth="1"/>
    <col min="42" max="42" width="10.7109375" hidden="1" customWidth="1"/>
    <col min="43" max="44" width="10.7109375" customWidth="1"/>
    <col min="45" max="53" width="10.7109375" hidden="1" customWidth="1"/>
    <col min="54" max="54" width="10.7109375" customWidth="1"/>
    <col min="55" max="56" width="10.7109375" hidden="1" customWidth="1"/>
    <col min="57" max="57" width="10.7109375" customWidth="1"/>
    <col min="58" max="66" width="10.7109375" hidden="1" customWidth="1"/>
    <col min="67" max="68" width="10.7109375" customWidth="1"/>
    <col min="69" max="75" width="10.7109375" hidden="1" customWidth="1"/>
    <col min="76" max="76" width="10.7109375" customWidth="1"/>
    <col min="77" max="77" width="10.7109375" hidden="1" customWidth="1"/>
    <col min="78" max="110" width="10.7109375" customWidth="1"/>
  </cols>
  <sheetData>
    <row r="1" spans="1:110">
      <c r="H1" t="s">
        <v>229</v>
      </c>
      <c r="I1" s="21"/>
      <c r="J1" s="21"/>
      <c r="BZ1" t="s">
        <v>228</v>
      </c>
      <c r="CZ1" t="s">
        <v>227</v>
      </c>
    </row>
    <row r="2" spans="1:110" ht="15.4" customHeight="1">
      <c r="D2" s="36" t="str">
        <f>IF(JPEN!$C$2="EN",指標!$E$2,指標!$D$2)</f>
        <v>分野</v>
      </c>
      <c r="E2" s="39" t="str">
        <f>IFERROR(INDEX(指標マスタ[],MATCH(E$5,指標マスタ['#],0),MATCH($D2,指標マスタ[#Headers],0))&amp;"","")</f>
        <v>基礎</v>
      </c>
      <c r="F2" s="39" t="str">
        <f>IFERROR(INDEX(指標マスタ[],MATCH(F$5,指標マスタ['#],0),MATCH($D2,指標マスタ[#Headers],0))&amp;"","")</f>
        <v/>
      </c>
      <c r="G2" s="39" t="str">
        <f>IFERROR(INDEX(指標マスタ[],MATCH(G$5,指標マスタ['#],0),MATCH($D2,指標マスタ[#Headers],0))&amp;"","")</f>
        <v/>
      </c>
      <c r="H2" s="183" t="str">
        <f>IFERROR(INDEX(指標マスタ[],MATCH(H$5,指標マスタ['#],0),MATCH($D2,指標マスタ[#Headers],0))&amp;"","")</f>
        <v>経済</v>
      </c>
      <c r="I2" s="183" t="str">
        <f>IFERROR(INDEX(指標マスタ[],MATCH(I$5,指標マスタ['#],0),MATCH($D2,指標マスタ[#Headers],0))&amp;"","")</f>
        <v/>
      </c>
      <c r="J2" s="183" t="str">
        <f>IFERROR(INDEX(指標マスタ[],MATCH(J$5,指標マスタ['#],0),MATCH($D2,指標マスタ[#Headers],0))&amp;"","")</f>
        <v/>
      </c>
      <c r="K2" s="183" t="str">
        <f>IFERROR(INDEX(指標マスタ[],MATCH(K$5,指標マスタ['#],0),MATCH($D2,指標マスタ[#Headers],0))&amp;"","")</f>
        <v/>
      </c>
      <c r="L2" s="183" t="str">
        <f>IFERROR(INDEX(指標マスタ[],MATCH(L$5,指標マスタ['#],0),MATCH($D2,指標マスタ[#Headers],0))&amp;"","")</f>
        <v/>
      </c>
      <c r="M2" s="183" t="str">
        <f>IFERROR(INDEX(指標マスタ[],MATCH(M$5,指標マスタ['#],0),MATCH($D2,指標マスタ[#Headers],0))&amp;"","")</f>
        <v/>
      </c>
      <c r="N2" s="183" t="str">
        <f>IFERROR(INDEX(指標マスタ[],MATCH(N$5,指標マスタ['#],0),MATCH($D2,指標マスタ[#Headers],0))&amp;"","")</f>
        <v/>
      </c>
      <c r="O2" s="183" t="str">
        <f>IFERROR(INDEX(指標マスタ[],MATCH(O$5,指標マスタ['#],0),MATCH($D2,指標マスタ[#Headers],0))&amp;"","")</f>
        <v/>
      </c>
      <c r="P2" s="183" t="str">
        <f>IFERROR(INDEX(指標マスタ[],MATCH(P$5,指標マスタ['#],0),MATCH($D2,指標マスタ[#Headers],0))&amp;"","")</f>
        <v/>
      </c>
      <c r="Q2" s="183" t="str">
        <f>IFERROR(INDEX(指標マスタ[],MATCH(Q$5,指標マスタ['#],0),MATCH($D2,指標マスタ[#Headers],0))&amp;"","")</f>
        <v/>
      </c>
      <c r="R2" s="183" t="str">
        <f>IFERROR(INDEX(指標マスタ[],MATCH(R$5,指標マスタ['#],0),MATCH($D2,指標マスタ[#Headers],0))&amp;"","")</f>
        <v/>
      </c>
      <c r="S2" s="183" t="str">
        <f>IFERROR(INDEX(指標マスタ[],MATCH(S$5,指標マスタ['#],0),MATCH($D2,指標マスタ[#Headers],0))&amp;"","")</f>
        <v/>
      </c>
      <c r="T2" s="183" t="str">
        <f>IFERROR(INDEX(指標マスタ[],MATCH(T$5,指標マスタ['#],0),MATCH($D2,指標マスタ[#Headers],0))&amp;"","")</f>
        <v/>
      </c>
      <c r="U2" s="187" t="str">
        <f>IFERROR(INDEX(指標マスタ[],MATCH(U$5,指標マスタ['#],0),MATCH($D2,指標マスタ[#Headers],0))&amp;"","")</f>
        <v>研究・開発</v>
      </c>
      <c r="V2" s="187" t="str">
        <f>IFERROR(INDEX(指標マスタ[],MATCH(V$5,指標マスタ['#],0),MATCH($D2,指標マスタ[#Headers],0))&amp;"","")</f>
        <v/>
      </c>
      <c r="W2" s="187" t="str">
        <f>IFERROR(INDEX(指標マスタ[],MATCH(W$5,指標マスタ['#],0),MATCH($D2,指標マスタ[#Headers],0))&amp;"","")</f>
        <v/>
      </c>
      <c r="X2" s="187" t="str">
        <f>IFERROR(INDEX(指標マスタ[],MATCH(X$5,指標マスタ['#],0),MATCH($D2,指標マスタ[#Headers],0))&amp;"","")</f>
        <v/>
      </c>
      <c r="Y2" s="187" t="str">
        <f>IFERROR(INDEX(指標マスタ[],MATCH(Y$5,指標マスタ['#],0),MATCH($D2,指標マスタ[#Headers],0))&amp;"","")</f>
        <v/>
      </c>
      <c r="Z2" s="187" t="str">
        <f>IFERROR(INDEX(指標マスタ[],MATCH(Z$5,指標マスタ['#],0),MATCH($D2,指標マスタ[#Headers],0))&amp;"","")</f>
        <v/>
      </c>
      <c r="AA2" s="187" t="str">
        <f>IFERROR(INDEX(指標マスタ[],MATCH(AA$5,指標マスタ['#],0),MATCH($D2,指標マスタ[#Headers],0))&amp;"","")</f>
        <v/>
      </c>
      <c r="AB2" s="187" t="str">
        <f>IFERROR(INDEX(指標マスタ[],MATCH(AB$5,指標マスタ['#],0),MATCH($D2,指標マスタ[#Headers],0))&amp;"","")</f>
        <v/>
      </c>
      <c r="AC2" s="193" t="str">
        <f>IFERROR(INDEX(指標マスタ[],MATCH(AC$5,指標マスタ['#],0),MATCH($D2,指標マスタ[#Headers],0))&amp;"","")</f>
        <v>文化・交流</v>
      </c>
      <c r="AD2" s="193" t="str">
        <f>IFERROR(INDEX(指標マスタ[],MATCH(AD$5,指標マスタ['#],0),MATCH($D2,指標マスタ[#Headers],0))&amp;"","")</f>
        <v/>
      </c>
      <c r="AE2" s="193" t="str">
        <f>IFERROR(INDEX(指標マスタ[],MATCH(AE$5,指標マスタ['#],0),MATCH($D2,指標マスタ[#Headers],0))&amp;"","")</f>
        <v/>
      </c>
      <c r="AF2" s="193" t="str">
        <f>IFERROR(INDEX(指標マスタ[],MATCH(AF$5,指標マスタ['#],0),MATCH($D2,指標マスタ[#Headers],0))&amp;"","")</f>
        <v/>
      </c>
      <c r="AG2" s="193" t="str">
        <f>IFERROR(INDEX(指標マスタ[],MATCH(AG$5,指標マスタ['#],0),MATCH($D2,指標マスタ[#Headers],0))&amp;"","")</f>
        <v/>
      </c>
      <c r="AH2" s="193" t="str">
        <f>IFERROR(INDEX(指標マスタ[],MATCH(AH$5,指標マスタ['#],0),MATCH($D2,指標マスタ[#Headers],0))&amp;"","")</f>
        <v/>
      </c>
      <c r="AI2" s="193" t="str">
        <f>IFERROR(INDEX(指標マスタ[],MATCH(AI$5,指標マスタ['#],0),MATCH($D2,指標マスタ[#Headers],0))&amp;"","")</f>
        <v/>
      </c>
      <c r="AJ2" s="193" t="str">
        <f>IFERROR(INDEX(指標マスタ[],MATCH(AJ$5,指標マスタ['#],0),MATCH($D2,指標マスタ[#Headers],0))&amp;"","")</f>
        <v/>
      </c>
      <c r="AK2" s="193" t="str">
        <f>IFERROR(INDEX(指標マスタ[],MATCH(AK$5,指標マスタ['#],0),MATCH($D2,指標マスタ[#Headers],0))&amp;"","")</f>
        <v/>
      </c>
      <c r="AL2" s="193" t="str">
        <f>IFERROR(INDEX(指標マスタ[],MATCH(AL$5,指標マスタ['#],0),MATCH($D2,指標マスタ[#Headers],0))&amp;"","")</f>
        <v/>
      </c>
      <c r="AM2" s="193" t="str">
        <f>IFERROR(INDEX(指標マスタ[],MATCH(AM$5,指標マスタ['#],0),MATCH($D2,指標マスタ[#Headers],0))&amp;"","")</f>
        <v/>
      </c>
      <c r="AN2" s="193" t="str">
        <f>IFERROR(INDEX(指標マスタ[],MATCH(AN$5,指標マスタ['#],0),MATCH($D2,指標マスタ[#Headers],0))&amp;"","")</f>
        <v/>
      </c>
      <c r="AO2" s="193" t="str">
        <f>IFERROR(INDEX(指標マスタ[],MATCH(AO$5,指標マスタ['#],0),MATCH($D2,指標マスタ[#Headers],0))&amp;"","")</f>
        <v/>
      </c>
      <c r="AP2" s="193" t="str">
        <f>IFERROR(INDEX(指標マスタ[],MATCH(AP$5,指標マスタ['#],0),MATCH($D2,指標マスタ[#Headers],0))&amp;"","")</f>
        <v/>
      </c>
      <c r="AQ2" s="193" t="str">
        <f>IFERROR(INDEX(指標マスタ[],MATCH(AQ$5,指標マスタ['#],0),MATCH($D2,指標マスタ[#Headers],0))&amp;"","")</f>
        <v/>
      </c>
      <c r="AR2" s="193" t="str">
        <f>IFERROR(INDEX(指標マスタ[],MATCH(AR$5,指標マスタ['#],0),MATCH($D2,指標マスタ[#Headers],0))&amp;"","")</f>
        <v/>
      </c>
      <c r="AS2" s="199" t="str">
        <f>IFERROR(INDEX(指標マスタ[],MATCH(AS$5,指標マスタ['#],0),MATCH($D2,指標マスタ[#Headers],0))&amp;"","")</f>
        <v>居住</v>
      </c>
      <c r="AT2" s="199" t="str">
        <f>IFERROR(INDEX(指標マスタ[],MATCH(AT$5,指標マスタ['#],0),MATCH($D2,指標マスタ[#Headers],0))&amp;"","")</f>
        <v/>
      </c>
      <c r="AU2" s="199" t="str">
        <f>IFERROR(INDEX(指標マスタ[],MATCH(AU$5,指標マスタ['#],0),MATCH($D2,指標マスタ[#Headers],0))&amp;"","")</f>
        <v/>
      </c>
      <c r="AV2" s="199" t="str">
        <f>IFERROR(INDEX(指標マスタ[],MATCH(AV$5,指標マスタ['#],0),MATCH($D2,指標マスタ[#Headers],0))&amp;"","")</f>
        <v/>
      </c>
      <c r="AW2" s="199" t="str">
        <f>IFERROR(INDEX(指標マスタ[],MATCH(AW$5,指標マスタ['#],0),MATCH($D2,指標マスタ[#Headers],0))&amp;"","")</f>
        <v/>
      </c>
      <c r="AX2" s="199" t="str">
        <f>IFERROR(INDEX(指標マスタ[],MATCH(AX$5,指標マスタ['#],0),MATCH($D2,指標マスタ[#Headers],0))&amp;"","")</f>
        <v/>
      </c>
      <c r="AY2" s="199" t="str">
        <f>IFERROR(INDEX(指標マスタ[],MATCH(AY$5,指標マスタ['#],0),MATCH($D2,指標マスタ[#Headers],0))&amp;"","")</f>
        <v/>
      </c>
      <c r="AZ2" s="199" t="str">
        <f>IFERROR(INDEX(指標マスタ[],MATCH(AZ$5,指標マスタ['#],0),MATCH($D2,指標マスタ[#Headers],0))&amp;"","")</f>
        <v/>
      </c>
      <c r="BA2" s="199" t="str">
        <f>IFERROR(INDEX(指標マスタ[],MATCH(BA$5,指標マスタ['#],0),MATCH($D2,指標マスタ[#Headers],0))&amp;"","")</f>
        <v/>
      </c>
      <c r="BB2" s="199" t="str">
        <f>IFERROR(INDEX(指標マスタ[],MATCH(BB$5,指標マスタ['#],0),MATCH($D2,指標マスタ[#Headers],0))&amp;"","")</f>
        <v/>
      </c>
      <c r="BC2" s="199" t="str">
        <f>IFERROR(INDEX(指標マスタ[],MATCH(BC$5,指標マスタ['#],0),MATCH($D2,指標マスタ[#Headers],0))&amp;"","")</f>
        <v/>
      </c>
      <c r="BD2" s="199" t="str">
        <f>IFERROR(INDEX(指標マスタ[],MATCH(BD$5,指標マスタ['#],0),MATCH($D2,指標マスタ[#Headers],0))&amp;"","")</f>
        <v/>
      </c>
      <c r="BE2" s="199" t="str">
        <f>IFERROR(INDEX(指標マスタ[],MATCH(BE$5,指標マスタ['#],0),MATCH($D2,指標マスタ[#Headers],0))&amp;"","")</f>
        <v/>
      </c>
      <c r="BF2" s="199" t="str">
        <f>IFERROR(INDEX(指標マスタ[],MATCH(BF$5,指標マスタ['#],0),MATCH($D2,指標マスタ[#Headers],0))&amp;"","")</f>
        <v/>
      </c>
      <c r="BG2" s="204" t="str">
        <f>IFERROR(INDEX(指標マスタ[],MATCH(BG$5,指標マスタ['#],0),MATCH($D2,指標マスタ[#Headers],0))&amp;"","")</f>
        <v>環境</v>
      </c>
      <c r="BH2" s="204" t="str">
        <f>IFERROR(INDEX(指標マスタ[],MATCH(BH$5,指標マスタ['#],0),MATCH($D2,指標マスタ[#Headers],0))&amp;"","")</f>
        <v/>
      </c>
      <c r="BI2" s="204" t="str">
        <f>IFERROR(INDEX(指標マスタ[],MATCH(BI$5,指標マスタ['#],0),MATCH($D2,指標マスタ[#Headers],0))&amp;"","")</f>
        <v/>
      </c>
      <c r="BJ2" s="204" t="str">
        <f>IFERROR(INDEX(指標マスタ[],MATCH(BJ$5,指標マスタ['#],0),MATCH($D2,指標マスタ[#Headers],0))&amp;"","")</f>
        <v/>
      </c>
      <c r="BK2" s="204" t="str">
        <f>IFERROR(INDEX(指標マスタ[],MATCH(BK$5,指標マスタ['#],0),MATCH($D2,指標マスタ[#Headers],0))&amp;"","")</f>
        <v/>
      </c>
      <c r="BL2" s="204" t="str">
        <f>IFERROR(INDEX(指標マスタ[],MATCH(BL$5,指標マスタ['#],0),MATCH($D2,指標マスタ[#Headers],0))&amp;"","")</f>
        <v/>
      </c>
      <c r="BM2" s="204" t="str">
        <f>IFERROR(INDEX(指標マスタ[],MATCH(BM$5,指標マスタ['#],0),MATCH($D2,指標マスタ[#Headers],0))&amp;"","")</f>
        <v/>
      </c>
      <c r="BN2" s="204" t="str">
        <f>IFERROR(INDEX(指標マスタ[],MATCH(BN$5,指標マスタ['#],0),MATCH($D2,指標マスタ[#Headers],0))&amp;"","")</f>
        <v/>
      </c>
      <c r="BO2" s="204" t="str">
        <f>IFERROR(INDEX(指標マスタ[],MATCH(BO$5,指標マスタ['#],0),MATCH($D2,指標マスタ[#Headers],0))&amp;"","")</f>
        <v/>
      </c>
      <c r="BP2" s="209" t="str">
        <f>IFERROR(INDEX(指標マスタ[],MATCH(BP$5,指標マスタ['#],0),MATCH($D2,指標マスタ[#Headers],0))&amp;"","")</f>
        <v>交通・アクセス</v>
      </c>
      <c r="BQ2" s="209" t="str">
        <f>IFERROR(INDEX(指標マスタ[],MATCH(BQ$5,指標マスタ['#],0),MATCH($D2,指標マスタ[#Headers],0))&amp;"","")</f>
        <v/>
      </c>
      <c r="BR2" s="209" t="str">
        <f>IFERROR(INDEX(指標マスタ[],MATCH(BR$5,指標マスタ['#],0),MATCH($D2,指標マスタ[#Headers],0))&amp;"","")</f>
        <v/>
      </c>
      <c r="BS2" s="209" t="str">
        <f>IFERROR(INDEX(指標マスタ[],MATCH(BS$5,指標マスタ['#],0),MATCH($D2,指標マスタ[#Headers],0))&amp;"","")</f>
        <v/>
      </c>
      <c r="BT2" s="209" t="str">
        <f>IFERROR(INDEX(指標マスタ[],MATCH(BT$5,指標マスタ['#],0),MATCH($D2,指標マスタ[#Headers],0))&amp;"","")</f>
        <v/>
      </c>
      <c r="BU2" s="209" t="str">
        <f>IFERROR(INDEX(指標マスタ[],MATCH(BU$5,指標マスタ['#],0),MATCH($D2,指標マスタ[#Headers],0))&amp;"","")</f>
        <v/>
      </c>
      <c r="BV2" s="209" t="str">
        <f>IFERROR(INDEX(指標マスタ[],MATCH(BV$5,指標マスタ['#],0),MATCH($D2,指標マスタ[#Headers],0))&amp;"","")</f>
        <v/>
      </c>
      <c r="BW2" s="209" t="str">
        <f>IFERROR(INDEX(指標マスタ[],MATCH(BW$5,指標マスタ['#],0),MATCH($D2,指標マスタ[#Headers],0))&amp;"","")</f>
        <v/>
      </c>
      <c r="BX2" s="209" t="str">
        <f>IFERROR(INDEX(指標マスタ[],MATCH(BX$5,指標マスタ['#],0),MATCH($D2,指標マスタ[#Headers],0))&amp;"","")</f>
        <v/>
      </c>
      <c r="BY2" s="209" t="str">
        <f>IFERROR(INDEX(指標マスタ[],MATCH(BY$5,指標マスタ['#],0),MATCH($D2,指標マスタ[#Headers],0))&amp;"","")</f>
        <v/>
      </c>
      <c r="BZ2" s="183" t="str">
        <f>IFERROR(INDEX(指標マスタ[],MATCH(BZ$5,指標マスタ[IG'#],0),MATCH($D2,指標マスタ[#Headers],0))&amp;"","")</f>
        <v>経済</v>
      </c>
      <c r="CA2" s="183" t="str">
        <f>IFERROR(INDEX(指標マスタ[],MATCH(CA$5,指標マスタ[IG'#],0),MATCH($D2,指標マスタ[#Headers],0))&amp;"","")</f>
        <v/>
      </c>
      <c r="CB2" s="183" t="str">
        <f>IFERROR(INDEX(指標マスタ[],MATCH(CB$5,指標マスタ[IG'#],0),MATCH($D2,指標マスタ[#Headers],0))&amp;"","")</f>
        <v/>
      </c>
      <c r="CC2" s="183" t="str">
        <f>IFERROR(INDEX(指標マスタ[],MATCH(CC$5,指標マスタ[IG'#],0),MATCH($D2,指標マスタ[#Headers],0))&amp;"","")</f>
        <v/>
      </c>
      <c r="CD2" s="183" t="str">
        <f>IFERROR(INDEX(指標マスタ[],MATCH(CD$5,指標マスタ[IG'#],0),MATCH($D2,指標マスタ[#Headers],0))&amp;"","")</f>
        <v/>
      </c>
      <c r="CE2" s="183" t="str">
        <f>IFERROR(INDEX(指標マスタ[],MATCH(CE$5,指標マスタ[IG'#],0),MATCH($D2,指標マスタ[#Headers],0))&amp;"","")</f>
        <v/>
      </c>
      <c r="CF2" s="187" t="str">
        <f>IFERROR(INDEX(指標マスタ[],MATCH(CF$5,指標マスタ[IG'#],0),MATCH($D2,指標マスタ[#Headers],0))&amp;"","")</f>
        <v>研究・開発</v>
      </c>
      <c r="CG2" s="187" t="str">
        <f>IFERROR(INDEX(指標マスタ[],MATCH(CG$5,指標マスタ[IG'#],0),MATCH($D2,指標マスタ[#Headers],0))&amp;"","")</f>
        <v/>
      </c>
      <c r="CH2" s="187" t="str">
        <f>IFERROR(INDEX(指標マスタ[],MATCH(CH$5,指標マスタ[IG'#],0),MATCH($D2,指標マスタ[#Headers],0))&amp;"","")</f>
        <v/>
      </c>
      <c r="CI2" s="193" t="str">
        <f>IFERROR(INDEX(指標マスタ[],MATCH(CI$5,指標マスタ[IG'#],0),MATCH($D2,指標マスタ[#Headers],0))&amp;"","")</f>
        <v>文化・交流</v>
      </c>
      <c r="CJ2" s="193" t="str">
        <f>IFERROR(INDEX(指標マスタ[],MATCH(CJ$5,指標マスタ[IG'#],0),MATCH($D2,指標マスタ[#Headers],0))&amp;"","")</f>
        <v/>
      </c>
      <c r="CK2" s="193" t="str">
        <f>IFERROR(INDEX(指標マスタ[],MATCH(CK$5,指標マスタ[IG'#],0),MATCH($D2,指標マスタ[#Headers],0))&amp;"","")</f>
        <v/>
      </c>
      <c r="CL2" s="193" t="str">
        <f>IFERROR(INDEX(指標マスタ[],MATCH(CL$5,指標マスタ[IG'#],0),MATCH($D2,指標マスタ[#Headers],0))&amp;"","")</f>
        <v/>
      </c>
      <c r="CM2" s="193" t="str">
        <f>IFERROR(INDEX(指標マスタ[],MATCH(CM$5,指標マスタ[IG'#],0),MATCH($D2,指標マスタ[#Headers],0))&amp;"","")</f>
        <v/>
      </c>
      <c r="CN2" s="199" t="str">
        <f>IFERROR(INDEX(指標マスタ[],MATCH(CN$5,指標マスタ[IG'#],0),MATCH($D2,指標マスタ[#Headers],0))&amp;"","")</f>
        <v>居住</v>
      </c>
      <c r="CO2" s="199" t="str">
        <f>IFERROR(INDEX(指標マスタ[],MATCH(CO$5,指標マスタ[IG'#],0),MATCH($D2,指標マスタ[#Headers],0))&amp;"","")</f>
        <v/>
      </c>
      <c r="CP2" s="199" t="str">
        <f>IFERROR(INDEX(指標マスタ[],MATCH(CP$5,指標マスタ[IG'#],0),MATCH($D2,指標マスタ[#Headers],0))&amp;"","")</f>
        <v/>
      </c>
      <c r="CQ2" s="199" t="str">
        <f>IFERROR(INDEX(指標マスタ[],MATCH(CQ$5,指標マスタ[IG'#],0),MATCH($D2,指標マスタ[#Headers],0))&amp;"","")</f>
        <v/>
      </c>
      <c r="CR2" s="199" t="str">
        <f>IFERROR(INDEX(指標マスタ[],MATCH(CR$5,指標マスタ[IG'#],0),MATCH($D2,指標マスタ[#Headers],0))&amp;"","")</f>
        <v/>
      </c>
      <c r="CS2" s="204" t="str">
        <f>IFERROR(INDEX(指標マスタ[],MATCH(CS$5,指標マスタ[IG'#],0),MATCH($D2,指標マスタ[#Headers],0))&amp;"","")</f>
        <v>環境</v>
      </c>
      <c r="CT2" s="204" t="str">
        <f>IFERROR(INDEX(指標マスタ[],MATCH(CT$5,指標マスタ[IG'#],0),MATCH($D2,指標マスタ[#Headers],0))&amp;"","")</f>
        <v/>
      </c>
      <c r="CU2" s="204" t="str">
        <f>IFERROR(INDEX(指標マスタ[],MATCH(CU$5,指標マスタ[IG'#],0),MATCH($D2,指標マスタ[#Headers],0))&amp;"","")</f>
        <v/>
      </c>
      <c r="CV2" s="209" t="str">
        <f>IFERROR(INDEX(指標マスタ[],MATCH(CV$5,指標マスタ[IG'#],0),MATCH($D2,指標マスタ[#Headers],0))&amp;"","")</f>
        <v>交通・アクセス</v>
      </c>
      <c r="CW2" s="209" t="str">
        <f>IFERROR(INDEX(指標マスタ[],MATCH(CW$5,指標マスタ[IG'#],0),MATCH($D2,指標マスタ[#Headers],0))&amp;"","")</f>
        <v/>
      </c>
      <c r="CX2" s="209" t="str">
        <f>IFERROR(INDEX(指標マスタ[],MATCH(CX$5,指標マスタ[IG'#],0),MATCH($D2,指標マスタ[#Headers],0))&amp;"","")</f>
        <v/>
      </c>
      <c r="CY2" s="209" t="str">
        <f>IFERROR(INDEX(指標マスタ[],MATCH(CY$5,指標マスタ[IG'#],0),MATCH($D2,指標マスタ[#Headers],0))&amp;"","")</f>
        <v/>
      </c>
      <c r="CZ2" s="183" t="str">
        <f>IF(JPEN!$C$2="EN","Economy","経済")</f>
        <v>経済</v>
      </c>
      <c r="DA2" s="187" t="str">
        <f>IF(JPEN!$C$2="EN","R&amp;D","研究・開発")</f>
        <v>研究・開発</v>
      </c>
      <c r="DB2" s="193" t="str">
        <f>IF(JPEN!$C$2="EN","Cultural Interaction","文化・交流")</f>
        <v>文化・交流</v>
      </c>
      <c r="DC2" s="199" t="str">
        <f>IF(JPEN!$C$2="EN","Livability","居住")</f>
        <v>居住</v>
      </c>
      <c r="DD2" s="204" t="str">
        <f>IF(JPEN!$C$2="EN","Environment","環境")</f>
        <v>環境</v>
      </c>
      <c r="DE2" s="209" t="str">
        <f>IF(JPEN!$C$2="EN","Accessibility","交通・アクセス")</f>
        <v>交通・アクセス</v>
      </c>
      <c r="DF2" s="43" t="str">
        <f>IF(JPEN!$C$2="EN","Comprehensive","総合")</f>
        <v>総合</v>
      </c>
    </row>
    <row r="3" spans="1:110" ht="15.4" customHeight="1">
      <c r="D3" s="36" t="str">
        <f>IF(JPEN!$C$2="EN",指標!$G$2,指標!$F$2)</f>
        <v>指標グループ</v>
      </c>
      <c r="E3" s="39" t="str">
        <f>IFERROR(INDEX(指標マスタ[],MATCH(E$5,指標マスタ['#],0),MATCH($D3,指標マスタ[#Headers],0))&amp;"","")</f>
        <v>基礎</v>
      </c>
      <c r="F3" s="39" t="str">
        <f>IFERROR(INDEX(指標マスタ[],MATCH(F$5,指標マスタ['#],0),MATCH($D3,指標マスタ[#Headers],0))&amp;"","")</f>
        <v/>
      </c>
      <c r="G3" s="39" t="str">
        <f>IFERROR(INDEX(指標マスタ[],MATCH(G$5,指標マスタ['#],0),MATCH($D3,指標マスタ[#Headers],0))&amp;"","")</f>
        <v/>
      </c>
      <c r="H3" s="183" t="str">
        <f>IFERROR(INDEX(指標マスタ[],MATCH(H$5,指標マスタ['#],0),MATCH($D3,指標マスタ[#Headers],0))&amp;"","")</f>
        <v>市場の規模</v>
      </c>
      <c r="I3" s="183" t="str">
        <f>IFERROR(INDEX(指標マスタ[],MATCH(I$5,指標マスタ['#],0),MATCH($D3,指標マスタ[#Headers],0))&amp;"","")</f>
        <v/>
      </c>
      <c r="J3" s="183" t="str">
        <f>IFERROR(INDEX(指標マスタ[],MATCH(J$5,指標マスタ['#],0),MATCH($D3,指標マスタ[#Headers],0))&amp;"","")</f>
        <v>市場の魅力</v>
      </c>
      <c r="K3" s="183" t="str">
        <f>IFERROR(INDEX(指標マスタ[],MATCH(K$5,指標マスタ['#],0),MATCH($D3,指標マスタ[#Headers],0))&amp;"","")</f>
        <v/>
      </c>
      <c r="L3" s="183" t="str">
        <f>IFERROR(INDEX(指標マスタ[],MATCH(L$5,指標マスタ['#],0),MATCH($D3,指標マスタ[#Headers],0))&amp;"","")</f>
        <v>経済集積</v>
      </c>
      <c r="M3" s="183" t="str">
        <f>IFERROR(INDEX(指標マスタ[],MATCH(M$5,指標マスタ['#],0),MATCH($D3,指標マスタ[#Headers],0))&amp;"","")</f>
        <v/>
      </c>
      <c r="N3" s="183" t="str">
        <f>IFERROR(INDEX(指標マスタ[],MATCH(N$5,指標マスタ['#],0),MATCH($D3,指標マスタ[#Headers],0))&amp;"","")</f>
        <v>人的集積</v>
      </c>
      <c r="O3" s="183" t="str">
        <f>IFERROR(INDEX(指標マスタ[],MATCH(O$5,指標マスタ['#],0),MATCH($D3,指標マスタ[#Headers],0))&amp;"","")</f>
        <v/>
      </c>
      <c r="P3" s="183" t="str">
        <f>IFERROR(INDEX(指標マスタ[],MATCH(P$5,指標マスタ['#],0),MATCH($D3,指標マスタ[#Headers],0))&amp;"","")</f>
        <v>ビジネス環境</v>
      </c>
      <c r="Q3" s="183" t="str">
        <f>IFERROR(INDEX(指標マスタ[],MATCH(Q$5,指標マスタ['#],0),MATCH($D3,指標マスタ[#Headers],0))&amp;"","")</f>
        <v/>
      </c>
      <c r="R3" s="183" t="str">
        <f>IFERROR(INDEX(指標マスタ[],MATCH(R$5,指標マスタ['#],0),MATCH($D3,指標マスタ[#Headers],0))&amp;"","")</f>
        <v/>
      </c>
      <c r="S3" s="183" t="str">
        <f>IFERROR(INDEX(指標マスタ[],MATCH(S$5,指標マスタ['#],0),MATCH($D3,指標マスタ[#Headers],0))&amp;"","")</f>
        <v>ビジネスの容易性</v>
      </c>
      <c r="T3" s="183" t="str">
        <f>IFERROR(INDEX(指標マスタ[],MATCH(T$5,指標マスタ['#],0),MATCH($D3,指標マスタ[#Headers],0))&amp;"","")</f>
        <v/>
      </c>
      <c r="U3" s="187" t="str">
        <f>IFERROR(INDEX(指標マスタ[],MATCH(U$5,指標マスタ['#],0),MATCH($D3,指標マスタ[#Headers],0))&amp;"","")</f>
        <v>研究集積</v>
      </c>
      <c r="V3" s="187" t="str">
        <f>IFERROR(INDEX(指標マスタ[],MATCH(V$5,指標マスタ['#],0),MATCH($D3,指標マスタ[#Headers],0))&amp;"","")</f>
        <v/>
      </c>
      <c r="W3" s="188" t="str">
        <f>IFERROR(INDEX(指標マスタ[],MATCH(W$5,指標マスタ['#],0),MATCH($D3,指標マスタ[#Headers],0))&amp;"","")</f>
        <v>研究環境</v>
      </c>
      <c r="X3" s="188" t="str">
        <f>IFERROR(INDEX(指標マスタ[],MATCH(X$5,指標マスタ['#],0),MATCH($D3,指標マスタ[#Headers],0))&amp;"","")</f>
        <v/>
      </c>
      <c r="Y3" s="188" t="str">
        <f>IFERROR(INDEX(指標マスタ[],MATCH(Y$5,指標マスタ['#],0),MATCH($D3,指標マスタ[#Headers],0))&amp;"","")</f>
        <v/>
      </c>
      <c r="Z3" s="188" t="str">
        <f>IFERROR(INDEX(指標マスタ[],MATCH(Z$5,指標マスタ['#],0),MATCH($D3,指標マスタ[#Headers],0))&amp;"","")</f>
        <v>イノベーション</v>
      </c>
      <c r="AA3" s="188" t="str">
        <f>IFERROR(INDEX(指標マスタ[],MATCH(AA$5,指標マスタ['#],0),MATCH($D3,指標マスタ[#Headers],0))&amp;"","")</f>
        <v/>
      </c>
      <c r="AB3" s="188" t="str">
        <f>IFERROR(INDEX(指標マスタ[],MATCH(AB$5,指標マスタ['#],0),MATCH($D3,指標マスタ[#Headers],0))&amp;"","")</f>
        <v/>
      </c>
      <c r="AC3" s="195" t="str">
        <f>IFERROR(INDEX(指標マスタ[],MATCH(AC$5,指標マスタ['#],0),MATCH($D3,指標マスタ[#Headers],0))&amp;"","")</f>
        <v>発信力</v>
      </c>
      <c r="AD3" s="293" t="str">
        <f>IFERROR(INDEX(指標マスタ[],MATCH(AD$5,指標マスタ['#],0),MATCH($D3,指標マスタ[#Headers],0))&amp;"","")</f>
        <v/>
      </c>
      <c r="AE3" s="293" t="str">
        <f>IFERROR(INDEX(指標マスタ[],MATCH(AE$5,指標マスタ['#],0),MATCH($D3,指標マスタ[#Headers],0))&amp;"","")</f>
        <v/>
      </c>
      <c r="AF3" s="294" t="str">
        <f>IFERROR(INDEX(指標マスタ[],MATCH(AF$5,指標マスタ['#],0),MATCH($D3,指標マスタ[#Headers],0))&amp;"","")</f>
        <v/>
      </c>
      <c r="AG3" s="295" t="str">
        <f>IFERROR(INDEX(指標マスタ[],MATCH(AG$5,指標マスタ['#],0),MATCH($D3,指標マスタ[#Headers],0))&amp;"","")</f>
        <v>観光資源</v>
      </c>
      <c r="AH3" s="296" t="str">
        <f>IFERROR(INDEX(指標マスタ[],MATCH(AH$5,指標マスタ['#],0),MATCH($D3,指標マスタ[#Headers],0))&amp;"","")</f>
        <v/>
      </c>
      <c r="AI3" s="297" t="str">
        <f>IFERROR(INDEX(指標マスタ[],MATCH(AI$5,指標マスタ['#],0),MATCH($D3,指標マスタ[#Headers],0))&amp;"","")</f>
        <v/>
      </c>
      <c r="AJ3" s="195" t="str">
        <f>IFERROR(INDEX(指標マスタ[],MATCH(AJ$5,指標マスタ['#],0),MATCH($D3,指標マスタ[#Headers],0))&amp;"","")</f>
        <v>文化施設</v>
      </c>
      <c r="AK3" s="293" t="str">
        <f>IFERROR(INDEX(指標マスタ[],MATCH(AK$5,指標マスタ['#],0),MATCH($D3,指標マスタ[#Headers],0))&amp;"","")</f>
        <v/>
      </c>
      <c r="AL3" s="294" t="str">
        <f>IFERROR(INDEX(指標マスタ[],MATCH(AL$5,指標マスタ['#],0),MATCH($D3,指標マスタ[#Headers],0))&amp;"","")</f>
        <v/>
      </c>
      <c r="AM3" s="195" t="str">
        <f>IFERROR(INDEX(指標マスタ[],MATCH(AM$5,指標マスタ['#],0),MATCH($D3,指標マスタ[#Headers],0))&amp;"","")</f>
        <v>受入環境</v>
      </c>
      <c r="AN3" s="293" t="str">
        <f>IFERROR(INDEX(指標マスタ[],MATCH(AN$5,指標マスタ['#],0),MATCH($D3,指標マスタ[#Headers],0))&amp;"","")</f>
        <v/>
      </c>
      <c r="AO3" s="293" t="str">
        <f>IFERROR(INDEX(指標マスタ[],MATCH(AO$5,指標マスタ['#],0),MATCH($D3,指標マスタ[#Headers],0))&amp;"","")</f>
        <v/>
      </c>
      <c r="AP3" s="294" t="str">
        <f>IFERROR(INDEX(指標マスタ[],MATCH(AP$5,指標マスタ['#],0),MATCH($D3,指標マスタ[#Headers],0))&amp;"","")</f>
        <v/>
      </c>
      <c r="AQ3" s="195" t="str">
        <f>IFERROR(INDEX(指標マスタ[],MATCH(AQ$5,指標マスタ['#],0),MATCH($D3,指標マスタ[#Headers],0))&amp;"","")</f>
        <v>外国人受入実績</v>
      </c>
      <c r="AR3" s="294" t="str">
        <f>IFERROR(INDEX(指標マスタ[],MATCH(AR$5,指標マスタ['#],0),MATCH($D3,指標マスタ[#Headers],0))&amp;"","")</f>
        <v/>
      </c>
      <c r="AS3" s="199" t="str">
        <f>IFERROR(INDEX(指標マスタ[],MATCH(AS$5,指標マスタ['#],0),MATCH($D3,指標マスタ[#Headers],0))&amp;"","")</f>
        <v>就業環境</v>
      </c>
      <c r="AT3" s="199" t="str">
        <f>IFERROR(INDEX(指標マスタ[],MATCH(AT$5,指標マスタ['#],0),MATCH($D3,指標マスタ[#Headers],0))&amp;"","")</f>
        <v/>
      </c>
      <c r="AU3" s="199" t="str">
        <f>IFERROR(INDEX(指標マスタ[],MATCH(AU$5,指標マスタ['#],0),MATCH($D3,指標マスタ[#Headers],0))&amp;"","")</f>
        <v/>
      </c>
      <c r="AV3" s="199" t="str">
        <f>IFERROR(INDEX(指標マスタ[],MATCH(AV$5,指標マスタ['#],0),MATCH($D3,指標マスタ[#Headers],0))&amp;"","")</f>
        <v>居住コスト</v>
      </c>
      <c r="AW3" s="199" t="str">
        <f>IFERROR(INDEX(指標マスタ[],MATCH(AW$5,指標マスタ['#],0),MATCH($D3,指標マスタ[#Headers],0))&amp;"","")</f>
        <v/>
      </c>
      <c r="AX3" s="199" t="str">
        <f>IFERROR(INDEX(指標マスタ[],MATCH(AX$5,指標マスタ['#],0),MATCH($D3,指標マスタ[#Headers],0))&amp;"","")</f>
        <v>安全・安心</v>
      </c>
      <c r="AY3" s="199" t="str">
        <f>IFERROR(INDEX(指標マスタ[],MATCH(AY$5,指標マスタ['#],0),MATCH($D3,指標マスタ[#Headers],0))&amp;"","")</f>
        <v/>
      </c>
      <c r="AZ3" s="199" t="str">
        <f>IFERROR(INDEX(指標マスタ[],MATCH(AZ$5,指標マスタ['#],0),MATCH($D3,指標マスタ[#Headers],0))&amp;"","")</f>
        <v>生活良好性</v>
      </c>
      <c r="BA3" s="199" t="str">
        <f>IFERROR(INDEX(指標マスタ[],MATCH(BA$5,指標マスタ['#],0),MATCH($D3,指標マスタ[#Headers],0))&amp;"","")</f>
        <v/>
      </c>
      <c r="BB3" s="199" t="str">
        <f>IFERROR(INDEX(指標マスタ[],MATCH(BB$5,指標マスタ['#],0),MATCH($D3,指標マスタ[#Headers],0))&amp;"","")</f>
        <v/>
      </c>
      <c r="BC3" s="199" t="str">
        <f>IFERROR(INDEX(指標マスタ[],MATCH(BC$5,指標マスタ['#],0),MATCH($D3,指標マスタ[#Headers],0))&amp;"","")</f>
        <v>生活利便性</v>
      </c>
      <c r="BD3" s="199" t="str">
        <f>IFERROR(INDEX(指標マスタ[],MATCH(BD$5,指標マスタ['#],0),MATCH($D3,指標マスタ[#Headers],0))&amp;"","")</f>
        <v/>
      </c>
      <c r="BE3" s="199" t="str">
        <f>IFERROR(INDEX(指標マスタ[],MATCH(BE$5,指標マスタ['#],0),MATCH($D3,指標マスタ[#Headers],0))&amp;"","")</f>
        <v/>
      </c>
      <c r="BF3" s="199" t="str">
        <f>IFERROR(INDEX(指標マスタ[],MATCH(BF$5,指標マスタ['#],0),MATCH($D3,指標マスタ[#Headers],0))&amp;"","")</f>
        <v/>
      </c>
      <c r="BG3" s="204" t="str">
        <f>IFERROR(INDEX(指標マスタ[],MATCH(BG$5,指標マスタ['#],0),MATCH($D3,指標マスタ[#Headers],0))&amp;"","")</f>
        <v>持続可能性</v>
      </c>
      <c r="BH3" s="204" t="str">
        <f>IFERROR(INDEX(指標マスタ[],MATCH(BH$5,指標マスタ['#],0),MATCH($D3,指標マスタ[#Headers],0))&amp;"","")</f>
        <v/>
      </c>
      <c r="BI3" s="204" t="str">
        <f>IFERROR(INDEX(指標マスタ[],MATCH(BI$5,指標マスタ['#],0),MATCH($D3,指標マスタ[#Headers],0))&amp;"","")</f>
        <v/>
      </c>
      <c r="BJ3" s="204" t="str">
        <f>IFERROR(INDEX(指標マスタ[],MATCH(BJ$5,指標マスタ['#],0),MATCH($D3,指標マスタ[#Headers],0))&amp;"","")</f>
        <v>空気環境</v>
      </c>
      <c r="BK3" s="204" t="str">
        <f>IFERROR(INDEX(指標マスタ[],MATCH(BK$5,指標マスタ['#],0),MATCH($D3,指標マスタ[#Headers],0))&amp;"","")</f>
        <v/>
      </c>
      <c r="BL3" s="204" t="str">
        <f>IFERROR(INDEX(指標マスタ[],MATCH(BL$5,指標マスタ['#],0),MATCH($D3,指標マスタ[#Headers],0))&amp;"","")</f>
        <v/>
      </c>
      <c r="BM3" s="204" t="str">
        <f>IFERROR(INDEX(指標マスタ[],MATCH(BM$5,指標マスタ['#],0),MATCH($D3,指標マスタ[#Headers],0))&amp;"","")</f>
        <v>都市環境</v>
      </c>
      <c r="BN3" s="204" t="str">
        <f>IFERROR(INDEX(指標マスタ[],MATCH(BN$5,指標マスタ['#],0),MATCH($D3,指標マスタ[#Headers],0))&amp;"","")</f>
        <v/>
      </c>
      <c r="BO3" s="204" t="str">
        <f>IFERROR(INDEX(指標マスタ[],MATCH(BO$5,指標マスタ['#],0),MATCH($D3,指標マスタ[#Headers],0))&amp;"","")</f>
        <v/>
      </c>
      <c r="BP3" s="209" t="str">
        <f>IFERROR(INDEX(指標マスタ[],MATCH(BP$5,指標マスタ['#],0),MATCH($D3,指標マスタ[#Headers],0))&amp;"","")</f>
        <v>国際ネットワーク</v>
      </c>
      <c r="BQ3" s="209" t="str">
        <f>IFERROR(INDEX(指標マスタ[],MATCH(BQ$5,指標マスタ['#],0),MATCH($D3,指標マスタ[#Headers],0))&amp;"","")</f>
        <v/>
      </c>
      <c r="BR3" s="209" t="str">
        <f>IFERROR(INDEX(指標マスタ[],MATCH(BR$5,指標マスタ['#],0),MATCH($D3,指標マスタ[#Headers],0))&amp;"","")</f>
        <v>航空キャパシティ</v>
      </c>
      <c r="BS3" s="209" t="str">
        <f>IFERROR(INDEX(指標マスタ[],MATCH(BS$5,指標マスタ['#],0),MATCH($D3,指標マスタ[#Headers],0))&amp;"","")</f>
        <v/>
      </c>
      <c r="BT3" s="209" t="str">
        <f>IFERROR(INDEX(指標マスタ[],MATCH(BT$5,指標マスタ['#],0),MATCH($D3,指標マスタ[#Headers],0))&amp;"","")</f>
        <v>都市内交通</v>
      </c>
      <c r="BU3" s="209" t="str">
        <f>IFERROR(INDEX(指標マスタ[],MATCH(BU$5,指標マスタ['#],0),MATCH($D3,指標マスタ[#Headers],0))&amp;"","")</f>
        <v/>
      </c>
      <c r="BV3" s="209" t="str">
        <f>IFERROR(INDEX(指標マスタ[],MATCH(BV$5,指標マスタ['#],0),MATCH($D3,指標マスタ[#Headers],0))&amp;"","")</f>
        <v/>
      </c>
      <c r="BW3" s="209" t="str">
        <f>IFERROR(INDEX(指標マスタ[],MATCH(BW$5,指標マスタ['#],0),MATCH($D3,指標マスタ[#Headers],0))&amp;"","")</f>
        <v>移動の快適性</v>
      </c>
      <c r="BX3" s="209" t="str">
        <f>IFERROR(INDEX(指標マスタ[],MATCH(BX$5,指標マスタ['#],0),MATCH($D3,指標マスタ[#Headers],0))&amp;"","")</f>
        <v/>
      </c>
      <c r="BY3" s="209" t="str">
        <f>IFERROR(INDEX(指標マスタ[],MATCH(BY$5,指標マスタ['#],0),MATCH($D3,指標マスタ[#Headers],0))&amp;"","")</f>
        <v/>
      </c>
      <c r="BZ3" s="183" t="str">
        <f>IFERROR(INDEX(指標マスタ[],MATCH(BZ$5,指標マスタ[IG'#],0),MATCH($D3,指標マスタ[#Headers],0))&amp;"","")</f>
        <v>市場の規模</v>
      </c>
      <c r="CA3" s="183" t="str">
        <f>IFERROR(INDEX(指標マスタ[],MATCH(CA$5,指標マスタ[IG'#],0),MATCH($D3,指標マスタ[#Headers],0))&amp;"","")</f>
        <v>市場の魅力</v>
      </c>
      <c r="CB3" s="183" t="str">
        <f>IFERROR(INDEX(指標マスタ[],MATCH(CB$5,指標マスタ[IG'#],0),MATCH($D3,指標マスタ[#Headers],0))&amp;"","")</f>
        <v>経済集積</v>
      </c>
      <c r="CC3" s="183" t="str">
        <f>IFERROR(INDEX(指標マスタ[],MATCH(CC$5,指標マスタ[IG'#],0),MATCH($D3,指標マスタ[#Headers],0))&amp;"","")</f>
        <v>人的集積</v>
      </c>
      <c r="CD3" s="183" t="str">
        <f>IFERROR(INDEX(指標マスタ[],MATCH(CD$5,指標マスタ[IG'#],0),MATCH($D3,指標マスタ[#Headers],0))&amp;"","")</f>
        <v>ビジネス環境</v>
      </c>
      <c r="CE3" s="183" t="str">
        <f>IFERROR(INDEX(指標マスタ[],MATCH(CE$5,指標マスタ[IG'#],0),MATCH($D3,指標マスタ[#Headers],0))&amp;"","")</f>
        <v>ビジネスの容易性</v>
      </c>
      <c r="CF3" s="187" t="str">
        <f>IFERROR(INDEX(指標マスタ[],MATCH(CF$5,指標マスタ[IG'#],0),MATCH($D3,指標マスタ[#Headers],0))&amp;"","")</f>
        <v>研究集積</v>
      </c>
      <c r="CG3" s="188" t="str">
        <f>IFERROR(INDEX(指標マスタ[],MATCH(CG$5,指標マスタ[IG'#],0),MATCH($D3,指標マスタ[#Headers],0))&amp;"","")</f>
        <v>研究環境</v>
      </c>
      <c r="CH3" s="188" t="str">
        <f>IFERROR(INDEX(指標マスタ[],MATCH(CH$5,指標マスタ[IG'#],0),MATCH($D3,指標マスタ[#Headers],0))&amp;"","")</f>
        <v>イノベーション</v>
      </c>
      <c r="CI3" s="194" t="str">
        <f>IFERROR(INDEX(指標マスタ[],MATCH(CI$5,指標マスタ[IG'#],0),MATCH($D3,指標マスタ[#Headers],0))&amp;"","")</f>
        <v>発信力</v>
      </c>
      <c r="CJ3" s="193" t="str">
        <f>IFERROR(INDEX(指標マスタ[],MATCH(CJ$5,指標マスタ[IG'#],0),MATCH($D3,指標マスタ[#Headers],0))&amp;"","")</f>
        <v>観光資源</v>
      </c>
      <c r="CK3" s="193" t="str">
        <f>IFERROR(INDEX(指標マスタ[],MATCH(CK$5,指標マスタ[IG'#],0),MATCH($D3,指標マスタ[#Headers],0))&amp;"","")</f>
        <v>文化施設</v>
      </c>
      <c r="CL3" s="193" t="str">
        <f>IFERROR(INDEX(指標マスタ[],MATCH(CL$5,指標マスタ[IG'#],0),MATCH($D3,指標マスタ[#Headers],0))&amp;"","")</f>
        <v>受入環境</v>
      </c>
      <c r="CM3" s="194" t="str">
        <f>IFERROR(INDEX(指標マスタ[],MATCH(CM$5,指標マスタ[IG'#],0),MATCH($D3,指標マスタ[#Headers],0))&amp;"","")</f>
        <v>外国人受入実績</v>
      </c>
      <c r="CN3" s="199" t="str">
        <f>IFERROR(INDEX(指標マスタ[],MATCH(CN$5,指標マスタ[IG'#],0),MATCH($D3,指標マスタ[#Headers],0))&amp;"","")</f>
        <v>就業環境</v>
      </c>
      <c r="CO3" s="199" t="str">
        <f>IFERROR(INDEX(指標マスタ[],MATCH(CO$5,指標マスタ[IG'#],0),MATCH($D3,指標マスタ[#Headers],0))&amp;"","")</f>
        <v>居住コスト</v>
      </c>
      <c r="CP3" s="199" t="str">
        <f>IFERROR(INDEX(指標マスタ[],MATCH(CP$5,指標マスタ[IG'#],0),MATCH($D3,指標マスタ[#Headers],0))&amp;"","")</f>
        <v>安全・安心</v>
      </c>
      <c r="CQ3" s="199" t="str">
        <f>IFERROR(INDEX(指標マスタ[],MATCH(CQ$5,指標マスタ[IG'#],0),MATCH($D3,指標マスタ[#Headers],0))&amp;"","")</f>
        <v>生活良好性</v>
      </c>
      <c r="CR3" s="199" t="str">
        <f>IFERROR(INDEX(指標マスタ[],MATCH(CR$5,指標マスタ[IG'#],0),MATCH($D3,指標マスタ[#Headers],0))&amp;"","")</f>
        <v>生活利便性</v>
      </c>
      <c r="CS3" s="204" t="str">
        <f>IFERROR(INDEX(指標マスタ[],MATCH(CS$5,指標マスタ[IG'#],0),MATCH($D3,指標マスタ[#Headers],0))&amp;"","")</f>
        <v>持続可能性</v>
      </c>
      <c r="CT3" s="204" t="str">
        <f>IFERROR(INDEX(指標マスタ[],MATCH(CT$5,指標マスタ[IG'#],0),MATCH($D3,指標マスタ[#Headers],0))&amp;"","")</f>
        <v>空気環境</v>
      </c>
      <c r="CU3" s="204" t="str">
        <f>IFERROR(INDEX(指標マスタ[],MATCH(CU$5,指標マスタ[IG'#],0),MATCH($D3,指標マスタ[#Headers],0))&amp;"","")</f>
        <v>都市環境</v>
      </c>
      <c r="CV3" s="209" t="str">
        <f>IFERROR(INDEX(指標マスタ[],MATCH(CV$5,指標マスタ[IG'#],0),MATCH($D3,指標マスタ[#Headers],0))&amp;"","")</f>
        <v>国際ネットワーク</v>
      </c>
      <c r="CW3" s="209" t="str">
        <f>IFERROR(INDEX(指標マスタ[],MATCH(CW$5,指標マスタ[IG'#],0),MATCH($D3,指標マスタ[#Headers],0))&amp;"","")</f>
        <v>航空キャパシティ</v>
      </c>
      <c r="CX3" s="209" t="str">
        <f>IFERROR(INDEX(指標マスタ[],MATCH(CX$5,指標マスタ[IG'#],0),MATCH($D3,指標マスタ[#Headers],0))&amp;"","")</f>
        <v>都市内交通</v>
      </c>
      <c r="CY3" s="209" t="str">
        <f>IFERROR(INDEX(指標マスタ[],MATCH(CY$5,指標マスタ[IG'#],0),MATCH($D3,指標マスタ[#Headers],0))&amp;"","")</f>
        <v>移動の快適性</v>
      </c>
      <c r="CZ3" s="183"/>
      <c r="DA3" s="187"/>
      <c r="DB3" s="194"/>
      <c r="DC3" s="199"/>
      <c r="DD3" s="204"/>
      <c r="DE3" s="209"/>
      <c r="DF3" s="43"/>
    </row>
    <row r="4" spans="1:110">
      <c r="D4" s="75" t="str">
        <f>IF(JPEN!$C$2="EN",指標!$I$2,指標!$H$2)</f>
        <v>指標</v>
      </c>
      <c r="E4" s="74" t="str">
        <f>IFERROR(INDEX(指標マスタ[],MATCH(E$5,指標マスタ['#],0),MATCH($D4,指標マスタ[#Headers],0))&amp;"","")</f>
        <v>人口</v>
      </c>
      <c r="F4" s="74" t="str">
        <f>IFERROR(INDEX(指標マスタ[],MATCH(F$5,指標マスタ['#],0),MATCH($D4,指標マスタ[#Headers],0))&amp;"","")</f>
        <v>面積</v>
      </c>
      <c r="G4" s="74" t="str">
        <f>IFERROR(INDEX(指標マスタ[],MATCH(G$5,指標マスタ['#],0),MATCH($D4,指標マスタ[#Headers],0))&amp;"","")</f>
        <v>為替</v>
      </c>
      <c r="H4" s="186" t="str">
        <f>IFERROR(INDEX(指標マスタ[],MATCH(H$5,指標マスタ['#],0),MATCH($D4,指標マスタ[#Headers],0))&amp;"","")</f>
        <v>GDP</v>
      </c>
      <c r="I4" s="186" t="str">
        <f>IFERROR(INDEX(指標マスタ[],MATCH(I$5,指標マスタ['#],0),MATCH($D4,指標マスタ[#Headers],0))&amp;"","")</f>
        <v>1人あたりGDP</v>
      </c>
      <c r="J4" s="186" t="str">
        <f>IFERROR(INDEX(指標マスタ[],MATCH(J$5,指標マスタ['#],0),MATCH($D4,指標マスタ[#Headers],0))&amp;"","")</f>
        <v>GDP成長率</v>
      </c>
      <c r="K4" s="186" t="str">
        <f>IFERROR(INDEX(指標マスタ[],MATCH(K$5,指標マスタ['#],0),MATCH($D4,指標マスタ[#Headers],0))&amp;"","")</f>
        <v>経済自由度</v>
      </c>
      <c r="L4" s="186" t="str">
        <f>IFERROR(INDEX(指標マスタ[],MATCH(L$5,指標マスタ['#],0),MATCH($D4,指標マスタ[#Headers],0))&amp;"","")</f>
        <v>上場株式時価総額</v>
      </c>
      <c r="M4" s="186" t="str">
        <f>IFERROR(INDEX(指標マスタ[],MATCH(M$5,指標マスタ['#],0),MATCH($D4,指標マスタ[#Headers],0))&amp;"","")</f>
        <v>世界トップ500企業</v>
      </c>
      <c r="N4" s="186" t="str">
        <f>IFERROR(INDEX(指標マスタ[],MATCH(N$5,指標マスタ['#],0),MATCH($D4,指標マスタ[#Headers],0))&amp;"","")</f>
        <v>従業者数</v>
      </c>
      <c r="O4" s="186" t="str">
        <f>IFERROR(INDEX(指標マスタ[],MATCH(O$5,指標マスタ['#],0),MATCH($D4,指標マスタ[#Headers],0))&amp;"","")</f>
        <v>ビジネスサポート人材の多さ</v>
      </c>
      <c r="P4" s="428" t="str">
        <f>IFERROR(INDEX(指標マスタ[],MATCH(P$5,指標マスタ['#],0),MATCH($D4,指標マスタ[#Headers],0))&amp;"","")</f>
        <v>賃金水準の高さ</v>
      </c>
      <c r="Q4" s="186" t="str">
        <f>IFERROR(INDEX(指標マスタ[],MATCH(Q$5,指標マスタ['#],0),MATCH($D4,指標マスタ[#Headers],0))&amp;"","")</f>
        <v>優秀な人材確保の容易性</v>
      </c>
      <c r="R4" s="186" t="str">
        <f>IFERROR(INDEX(指標マスタ[],MATCH(R$5,指標マスタ['#],0),MATCH($D4,指標マスタ[#Headers],0))&amp;"","")</f>
        <v>ワークプレイス充実度</v>
      </c>
      <c r="S4" s="186" t="str">
        <f>IFERROR(INDEX(指標マスタ[],MATCH(S$5,指標マスタ['#],0),MATCH($D4,指標マスタ[#Headers],0))&amp;"","")</f>
        <v>法人税率の低さ</v>
      </c>
      <c r="T4" s="428" t="str">
        <f>IFERROR(INDEX(指標マスタ[],MATCH(T$5,指標マスタ['#],0),MATCH($D4,指標マスタ[#Headers],0))&amp;"","")</f>
        <v>政治・経済・商機のリスクの低さ</v>
      </c>
      <c r="U4" s="192" t="str">
        <f>IFERROR(INDEX(指標マスタ[],MATCH(U$5,指標マスタ['#],0),MATCH($D4,指標マスタ[#Headers],0))&amp;"","")</f>
        <v>研究者数</v>
      </c>
      <c r="V4" s="192" t="str">
        <f>IFERROR(INDEX(指標マスタ[],MATCH(V$5,指標マスタ['#],0),MATCH($D4,指標マスタ[#Headers],0))&amp;"","")</f>
        <v>世界トップ大学</v>
      </c>
      <c r="W4" s="192" t="str">
        <f>IFERROR(INDEX(指標マスタ[],MATCH(W$5,指標マスタ['#],0),MATCH($D4,指標マスタ[#Headers],0))&amp;"","")</f>
        <v>研究開発費</v>
      </c>
      <c r="X4" s="428" t="str">
        <f>IFERROR(INDEX(指標マスタ[],MATCH(X$5,指標マスタ['#],0),MATCH($D4,指標マスタ[#Headers],0))&amp;"","")</f>
        <v>留学生数</v>
      </c>
      <c r="Y4" s="192" t="str">
        <f>IFERROR(INDEX(指標マスタ[],MATCH(Y$5,指標マスタ['#],0),MATCH($D4,指標マスタ[#Headers],0))&amp;"","")</f>
        <v>学力の高さ</v>
      </c>
      <c r="Z4" s="192" t="str">
        <f>IFERROR(INDEX(指標マスタ[],MATCH(Z$5,指標マスタ['#],0),MATCH($D4,指標マスタ[#Headers],0))&amp;"","")</f>
        <v>特許登録件数</v>
      </c>
      <c r="AA4" s="192" t="str">
        <f>IFERROR(INDEX(指標マスタ[],MATCH(AA$5,指標マスタ['#],0),MATCH($D4,指標マスタ[#Headers],0))&amp;"","")</f>
        <v>主要科学技術賞受賞者数</v>
      </c>
      <c r="AB4" s="428" t="str">
        <f>IFERROR(INDEX(指標マスタ[],MATCH(AB$5,指標マスタ['#],0),MATCH($D4,指標マスタ[#Headers],0))&amp;"","")</f>
        <v>スタートアップ数</v>
      </c>
      <c r="AC4" s="198" t="str">
        <f>IFERROR(INDEX(指標マスタ[],MATCH(AC$5,指標マスタ['#],0),MATCH($D4,指標マスタ[#Headers],0))&amp;"","")</f>
        <v>国際コンベンション件数</v>
      </c>
      <c r="AD4" s="198" t="str">
        <f>IFERROR(INDEX(指標マスタ[],MATCH(AD$5,指標マスタ['#],0),MATCH($D4,指標マスタ[#Headers],0))&amp;"","")</f>
        <v>文化イベント開催件数</v>
      </c>
      <c r="AE4" s="198" t="str">
        <f>IFERROR(INDEX(指標マスタ[],MATCH(AE$5,指標マスタ['#],0),MATCH($D4,指標マスタ[#Headers],0))&amp;"","")</f>
        <v>コンテンツ輸出額</v>
      </c>
      <c r="AF4" s="428" t="str">
        <f>IFERROR(INDEX(指標マスタ[],MATCH(AF$5,指標マスタ['#],0),MATCH($D4,指標マスタ[#Headers],0))&amp;"","")</f>
        <v>アート市場環境</v>
      </c>
      <c r="AG4" s="428" t="str">
        <f>IFERROR(INDEX(指標マスタ[],MATCH(AG$5,指標マスタ['#],0),MATCH($D4,指標マスタ[#Headers],0))&amp;"","")</f>
        <v>観光地の充実度</v>
      </c>
      <c r="AH4" s="198" t="str">
        <f>IFERROR(INDEX(指標マスタ[],MATCH(AH$5,指標マスタ['#],0),MATCH($D4,指標マスタ[#Headers],0))&amp;"","")</f>
        <v>世界遺産への近接性</v>
      </c>
      <c r="AI4" s="198" t="str">
        <f>IFERROR(INDEX(指標マスタ[],MATCH(AI$5,指標マスタ['#],0),MATCH($D4,指標マスタ[#Headers],0))&amp;"","")</f>
        <v>ナイトライフ充実度</v>
      </c>
      <c r="AJ4" s="198" t="str">
        <f>IFERROR(INDEX(指標マスタ[],MATCH(AJ$5,指標マスタ['#],0),MATCH($D4,指標マスタ[#Headers],0))&amp;"","")</f>
        <v>劇場・コンサートホール数</v>
      </c>
      <c r="AK4" s="198" t="str">
        <f>IFERROR(INDEX(指標マスタ[],MATCH(AK$5,指標マスタ['#],0),MATCH($D4,指標マスタ[#Headers],0))&amp;"","")</f>
        <v>美術館・博物館数</v>
      </c>
      <c r="AL4" s="428" t="str">
        <f>IFERROR(INDEX(指標マスタ[],MATCH(AL$5,指標マスタ['#],0),MATCH($D4,指標マスタ[#Headers],0))&amp;"","")</f>
        <v>スタジアム数</v>
      </c>
      <c r="AM4" s="428" t="str">
        <f>IFERROR(INDEX(指標マスタ[],MATCH(AM$5,指標マスタ['#],0),MATCH($D4,指標マスタ[#Headers],0))&amp;"","")</f>
        <v>ホテル客室数</v>
      </c>
      <c r="AN4" s="428" t="str">
        <f>IFERROR(INDEX(指標マスタ[],MATCH(AN$5,指標マスタ['#],0),MATCH($D4,指標マスタ[#Headers],0))&amp;"","")</f>
        <v>ハイクラスホテル客室数</v>
      </c>
      <c r="AO4" s="428" t="str">
        <f>IFERROR(INDEX(指標マスタ[],MATCH(AO$5,指標マスタ['#],0),MATCH($D4,指標マスタ[#Headers],0))&amp;"","")</f>
        <v>買物の魅力</v>
      </c>
      <c r="AP4" s="198" t="str">
        <f>IFERROR(INDEX(指標マスタ[],MATCH(AP$5,指標マスタ['#],0),MATCH($D4,指標マスタ[#Headers],0))&amp;"","")</f>
        <v>食事の魅力</v>
      </c>
      <c r="AQ4" s="428" t="str">
        <f>IFERROR(INDEX(指標マスタ[],MATCH(AQ$5,指標マスタ['#],0),MATCH($D4,指標マスタ[#Headers],0))&amp;"","")</f>
        <v>外国人居住者数</v>
      </c>
      <c r="AR4" s="428" t="str">
        <f>IFERROR(INDEX(指標マスタ[],MATCH(AR$5,指標マスタ['#],0),MATCH($D4,指標マスタ[#Headers],0))&amp;"","")</f>
        <v>外国人訪問者数</v>
      </c>
      <c r="AS4" s="203" t="str">
        <f>IFERROR(INDEX(指標マスタ[],MATCH(AS$5,指標マスタ['#],0),MATCH($D4,指標マスタ[#Headers],0))&amp;"","")</f>
        <v>完全失業率の低さ</v>
      </c>
      <c r="AT4" s="203" t="str">
        <f>IFERROR(INDEX(指標マスタ[],MATCH(AT$5,指標マスタ['#],0),MATCH($D4,指標マスタ[#Headers],0))&amp;"","")</f>
        <v>1人あたりの総労働時間の短さ</v>
      </c>
      <c r="AU4" s="203" t="str">
        <f>IFERROR(INDEX(指標マスタ[],MATCH(AU$5,指標マスタ['#],0),MATCH($D4,指標マスタ[#Headers],0))&amp;"","")</f>
        <v>働き方の柔軟性</v>
      </c>
      <c r="AV4" s="203" t="str">
        <f>IFERROR(INDEX(指標マスタ[],MATCH(AV$5,指標マスタ['#],0),MATCH($D4,指標マスタ[#Headers],0))&amp;"","")</f>
        <v>住宅賃料水準の低さ</v>
      </c>
      <c r="AW4" s="203" t="str">
        <f>IFERROR(INDEX(指標マスタ[],MATCH(AW$5,指標マスタ['#],0),MATCH($D4,指標マスタ[#Headers],0))&amp;"","")</f>
        <v>物価水準の低さ</v>
      </c>
      <c r="AX4" s="203" t="str">
        <f>IFERROR(INDEX(指標マスタ[],MATCH(AX$5,指標マスタ['#],0),MATCH($D4,指標マスタ[#Headers],0))&amp;"","")</f>
        <v>殺人件数の少なさ</v>
      </c>
      <c r="AY4" s="203" t="str">
        <f>IFERROR(INDEX(指標マスタ[],MATCH(AY$5,指標マスタ['#],0),MATCH($D4,指標マスタ[#Headers],0))&amp;"","")</f>
        <v>自然災害の経済的リスクの少なさ</v>
      </c>
      <c r="AZ4" s="203" t="str">
        <f>IFERROR(INDEX(指標マスタ[],MATCH(AZ$5,指標マスタ['#],0),MATCH($D4,指標マスタ[#Headers],0))&amp;"","")</f>
        <v>平均寿命</v>
      </c>
      <c r="BA4" s="203" t="str">
        <f>IFERROR(INDEX(指標マスタ[],MATCH(BA$5,指標マスタ['#],0),MATCH($D4,指標マスタ[#Headers],0))&amp;"","")</f>
        <v>社会の自由度・平等さ</v>
      </c>
      <c r="BB4" s="428" t="str">
        <f>IFERROR(INDEX(指標マスタ[],MATCH(BB$5,指標マスタ['#],0),MATCH($D4,指標マスタ[#Headers],0))&amp;"","")</f>
        <v>メンタルヘルス水準</v>
      </c>
      <c r="BC4" s="203" t="str">
        <f>IFERROR(INDEX(指標マスタ[],MATCH(BC$5,指標マスタ['#],0),MATCH($D4,指標マスタ[#Headers],0))&amp;"","")</f>
        <v>医師数</v>
      </c>
      <c r="BD4" s="203" t="str">
        <f>IFERROR(INDEX(指標マスタ[],MATCH(BD$5,指標マスタ['#],0),MATCH($D4,指標マスタ[#Headers],0))&amp;"","")</f>
        <v>ICT環境の充実度</v>
      </c>
      <c r="BE4" s="428" t="str">
        <f>IFERROR(INDEX(指標マスタ[],MATCH(BE$5,指標マスタ['#],0),MATCH($D4,指標マスタ[#Headers],0))&amp;"","")</f>
        <v>小売店舗の多さ</v>
      </c>
      <c r="BF4" s="203" t="str">
        <f>IFERROR(INDEX(指標マスタ[],MATCH(BF$5,指標マスタ['#],0),MATCH($D4,指標マスタ[#Headers],0))&amp;"","")</f>
        <v>飲食店の多さ</v>
      </c>
      <c r="BG4" s="208" t="str">
        <f>IFERROR(INDEX(指標マスタ[],MATCH(BG$5,指標マスタ['#],0),MATCH($D4,指標マスタ[#Headers],0))&amp;"","")</f>
        <v>環境への取り組み</v>
      </c>
      <c r="BH4" s="208" t="str">
        <f>IFERROR(INDEX(指標マスタ[],MATCH(BH$5,指標マスタ['#],0),MATCH($D4,指標マスタ[#Headers],0))&amp;"","")</f>
        <v>再生可能エネルギー比率</v>
      </c>
      <c r="BI4" s="208" t="str">
        <f>IFERROR(INDEX(指標マスタ[],MATCH(BI$5,指標マスタ['#],0),MATCH($D4,指標マスタ[#Headers],0))&amp;"","")</f>
        <v>リサイクル率</v>
      </c>
      <c r="BJ4" s="208" t="str">
        <f>IFERROR(INDEX(指標マスタ[],MATCH(BJ$5,指標マスタ['#],0),MATCH($D4,指標マスタ[#Headers],0))&amp;"","")</f>
        <v>1人あたりのCO2排出量の少なさ</v>
      </c>
      <c r="BK4" s="208" t="str">
        <f>IFERROR(INDEX(指標マスタ[],MATCH(BK$5,指標マスタ['#],0),MATCH($D4,指標マスタ[#Headers],0))&amp;"","")</f>
        <v>空気のきれいさ</v>
      </c>
      <c r="BL4" s="208" t="str">
        <f>IFERROR(INDEX(指標マスタ[],MATCH(BL$5,指標マスタ['#],0),MATCH($D4,指標マスタ[#Headers],0))&amp;"","")</f>
        <v>気温の快適性</v>
      </c>
      <c r="BM4" s="208" t="str">
        <f>IFERROR(INDEX(指標マスタ[],MATCH(BM$5,指標マスタ['#],0),MATCH($D4,指標マスタ[#Headers],0))&amp;"","")</f>
        <v>水質の良好性</v>
      </c>
      <c r="BN4" s="208" t="str">
        <f>IFERROR(INDEX(指標マスタ[],MATCH(BN$5,指標マスタ['#],0),MATCH($D4,指標マスタ[#Headers],0))&amp;"","")</f>
        <v>緑地の充実度</v>
      </c>
      <c r="BO4" s="428" t="str">
        <f>IFERROR(INDEX(指標マスタ[],MATCH(BO$5,指標マスタ['#],0),MATCH($D4,指標マスタ[#Headers],0))&amp;"","")</f>
        <v>都市空間の清潔さ</v>
      </c>
      <c r="BP4" s="428" t="str">
        <f>IFERROR(INDEX(指標マスタ[],MATCH(BP$5,指標マスタ['#],0),MATCH($D4,指標マスタ[#Headers],0))&amp;"","")</f>
        <v>国際線直行便就航都市数</v>
      </c>
      <c r="BQ4" s="213" t="str">
        <f>IFERROR(INDEX(指標マスタ[],MATCH(BQ$5,指標マスタ['#],0),MATCH($D4,指標マスタ[#Headers],0))&amp;"","")</f>
        <v>国際貨物流通規模</v>
      </c>
      <c r="BR4" s="213" t="str">
        <f>IFERROR(INDEX(指標マスタ[],MATCH(BR$5,指標マスタ['#],0),MATCH($D4,指標マスタ[#Headers],0))&amp;"","")</f>
        <v>国内・国際線旅客数</v>
      </c>
      <c r="BS4" s="213" t="str">
        <f>IFERROR(INDEX(指標マスタ[],MATCH(BS$5,指標マスタ['#],0),MATCH($D4,指標マスタ[#Headers],0))&amp;"","")</f>
        <v>航空機の発着回数</v>
      </c>
      <c r="BT4" s="213" t="str">
        <f>IFERROR(INDEX(指標マスタ[],MATCH(BT$5,指標マスタ['#],0),MATCH($D4,指標マスタ[#Headers],0))&amp;"","")</f>
        <v>駅密度</v>
      </c>
      <c r="BU4" s="213" t="str">
        <f>IFERROR(INDEX(指標マスタ[],MATCH(BU$5,指標マスタ['#],0),MATCH($D4,指標マスタ[#Headers],0))&amp;"","")</f>
        <v>公共交通機関利用率</v>
      </c>
      <c r="BV4" s="213" t="str">
        <f>IFERROR(INDEX(指標マスタ[],MATCH(BV$5,指標マスタ['#],0),MATCH($D4,指標マスタ[#Headers],0))&amp;"","")</f>
        <v>空港アクセス時間の短さ</v>
      </c>
      <c r="BW4" s="213" t="str">
        <f>IFERROR(INDEX(指標マスタ[],MATCH(BW$5,指標マスタ['#],0),MATCH($D4,指標マスタ[#Headers],0))&amp;"","")</f>
        <v>通勤・通学時間の短さ</v>
      </c>
      <c r="BX4" s="428" t="str">
        <f>IFERROR(INDEX(指標マスタ[],MATCH(BX$5,指標マスタ['#],0),MATCH($D4,指標マスタ[#Headers],0))&amp;"","")</f>
        <v>自動車の移動速度</v>
      </c>
      <c r="BY4" s="213" t="str">
        <f>IFERROR(INDEX(指標マスタ[],MATCH(BY$5,指標マスタ['#],0),MATCH($D4,指標マスタ[#Headers],0))&amp;"","")</f>
        <v>タクシー・自転車での移動のしやすさ</v>
      </c>
      <c r="BZ4" s="186"/>
      <c r="CA4" s="186"/>
      <c r="CB4" s="186"/>
      <c r="CC4" s="186"/>
      <c r="CD4" s="186"/>
      <c r="CE4" s="186"/>
      <c r="CF4" s="192"/>
      <c r="CG4" s="192"/>
      <c r="CH4" s="192"/>
      <c r="CI4" s="198"/>
      <c r="CJ4" s="198"/>
      <c r="CK4" s="198"/>
      <c r="CL4" s="198"/>
      <c r="CM4" s="198"/>
      <c r="CN4" s="203"/>
      <c r="CO4" s="203"/>
      <c r="CP4" s="203"/>
      <c r="CQ4" s="203"/>
      <c r="CR4" s="203"/>
      <c r="CS4" s="204"/>
      <c r="CT4" s="204"/>
      <c r="CU4" s="204"/>
      <c r="CV4" s="209"/>
      <c r="CW4" s="209"/>
      <c r="CX4" s="209"/>
      <c r="CY4" s="209"/>
      <c r="CZ4" s="183"/>
      <c r="DA4" s="187"/>
      <c r="DB4" s="193"/>
      <c r="DC4" s="199"/>
      <c r="DD4" s="204"/>
      <c r="DE4" s="209"/>
      <c r="DF4" s="43"/>
    </row>
    <row r="5" spans="1:110" s="2" customFormat="1">
      <c r="B5" s="60" t="s">
        <v>537</v>
      </c>
      <c r="C5" s="51" t="s">
        <v>208</v>
      </c>
      <c r="D5" s="52" t="s">
        <v>210</v>
      </c>
      <c r="E5" s="56" t="s">
        <v>1088</v>
      </c>
      <c r="F5" s="56" t="s">
        <v>1089</v>
      </c>
      <c r="G5" s="56" t="s">
        <v>1090</v>
      </c>
      <c r="H5" s="132" t="s">
        <v>211</v>
      </c>
      <c r="I5" s="132" t="s">
        <v>212</v>
      </c>
      <c r="J5" s="132" t="s">
        <v>213</v>
      </c>
      <c r="K5" s="132" t="s">
        <v>214</v>
      </c>
      <c r="L5" s="132" t="s">
        <v>215</v>
      </c>
      <c r="M5" s="132" t="s">
        <v>216</v>
      </c>
      <c r="N5" s="132" t="s">
        <v>217</v>
      </c>
      <c r="O5" s="132" t="s">
        <v>218</v>
      </c>
      <c r="P5" s="132" t="s">
        <v>219</v>
      </c>
      <c r="Q5" s="134" t="s">
        <v>611</v>
      </c>
      <c r="R5" s="134" t="s">
        <v>547</v>
      </c>
      <c r="S5" s="134" t="s">
        <v>548</v>
      </c>
      <c r="T5" s="134" t="s">
        <v>549</v>
      </c>
      <c r="U5" s="142" t="s">
        <v>550</v>
      </c>
      <c r="V5" s="142" t="s">
        <v>551</v>
      </c>
      <c r="W5" s="142" t="s">
        <v>552</v>
      </c>
      <c r="X5" s="142" t="s">
        <v>553</v>
      </c>
      <c r="Y5" s="142" t="s">
        <v>554</v>
      </c>
      <c r="Z5" s="142" t="s">
        <v>555</v>
      </c>
      <c r="AA5" s="142" t="s">
        <v>556</v>
      </c>
      <c r="AB5" s="142" t="s">
        <v>557</v>
      </c>
      <c r="AC5" s="150" t="s">
        <v>558</v>
      </c>
      <c r="AD5" s="150" t="s">
        <v>559</v>
      </c>
      <c r="AE5" s="150" t="s">
        <v>560</v>
      </c>
      <c r="AF5" s="150" t="s">
        <v>561</v>
      </c>
      <c r="AG5" s="150" t="s">
        <v>562</v>
      </c>
      <c r="AH5" s="150" t="s">
        <v>563</v>
      </c>
      <c r="AI5" s="150" t="s">
        <v>564</v>
      </c>
      <c r="AJ5" s="150" t="s">
        <v>565</v>
      </c>
      <c r="AK5" s="150" t="s">
        <v>566</v>
      </c>
      <c r="AL5" s="150" t="s">
        <v>567</v>
      </c>
      <c r="AM5" s="150" t="s">
        <v>568</v>
      </c>
      <c r="AN5" s="150" t="s">
        <v>569</v>
      </c>
      <c r="AO5" s="150" t="s">
        <v>570</v>
      </c>
      <c r="AP5" s="150" t="s">
        <v>571</v>
      </c>
      <c r="AQ5" s="150" t="s">
        <v>572</v>
      </c>
      <c r="AR5" s="150" t="s">
        <v>573</v>
      </c>
      <c r="AS5" s="157" t="s">
        <v>574</v>
      </c>
      <c r="AT5" s="157" t="s">
        <v>575</v>
      </c>
      <c r="AU5" s="157" t="s">
        <v>576</v>
      </c>
      <c r="AV5" s="157" t="s">
        <v>577</v>
      </c>
      <c r="AW5" s="157" t="s">
        <v>578</v>
      </c>
      <c r="AX5" s="157" t="s">
        <v>579</v>
      </c>
      <c r="AY5" s="157" t="s">
        <v>580</v>
      </c>
      <c r="AZ5" s="157" t="s">
        <v>581</v>
      </c>
      <c r="BA5" s="157" t="s">
        <v>582</v>
      </c>
      <c r="BB5" s="157" t="s">
        <v>583</v>
      </c>
      <c r="BC5" s="157" t="s">
        <v>584</v>
      </c>
      <c r="BD5" s="157" t="s">
        <v>585</v>
      </c>
      <c r="BE5" s="157" t="s">
        <v>586</v>
      </c>
      <c r="BF5" s="157" t="s">
        <v>587</v>
      </c>
      <c r="BG5" s="165" t="s">
        <v>588</v>
      </c>
      <c r="BH5" s="165" t="s">
        <v>589</v>
      </c>
      <c r="BI5" s="165" t="s">
        <v>590</v>
      </c>
      <c r="BJ5" s="165" t="s">
        <v>591</v>
      </c>
      <c r="BK5" s="165" t="s">
        <v>592</v>
      </c>
      <c r="BL5" s="165" t="s">
        <v>593</v>
      </c>
      <c r="BM5" s="165" t="s">
        <v>594</v>
      </c>
      <c r="BN5" s="165" t="s">
        <v>595</v>
      </c>
      <c r="BO5" s="165" t="s">
        <v>596</v>
      </c>
      <c r="BP5" s="173" t="s">
        <v>597</v>
      </c>
      <c r="BQ5" s="173" t="s">
        <v>598</v>
      </c>
      <c r="BR5" s="173" t="s">
        <v>599</v>
      </c>
      <c r="BS5" s="173" t="s">
        <v>600</v>
      </c>
      <c r="BT5" s="173" t="s">
        <v>601</v>
      </c>
      <c r="BU5" s="173" t="s">
        <v>602</v>
      </c>
      <c r="BV5" s="173" t="s">
        <v>603</v>
      </c>
      <c r="BW5" s="173" t="s">
        <v>604</v>
      </c>
      <c r="BX5" s="173" t="s">
        <v>605</v>
      </c>
      <c r="BY5" s="173" t="s">
        <v>606</v>
      </c>
      <c r="BZ5" s="134" t="s">
        <v>254</v>
      </c>
      <c r="CA5" s="134" t="s">
        <v>255</v>
      </c>
      <c r="CB5" s="134" t="s">
        <v>256</v>
      </c>
      <c r="CC5" s="134" t="s">
        <v>257</v>
      </c>
      <c r="CD5" s="134" t="s">
        <v>615</v>
      </c>
      <c r="CE5" s="134" t="s">
        <v>259</v>
      </c>
      <c r="CF5" s="142" t="s">
        <v>260</v>
      </c>
      <c r="CG5" s="142" t="s">
        <v>261</v>
      </c>
      <c r="CH5" s="142" t="s">
        <v>262</v>
      </c>
      <c r="CI5" s="150" t="s">
        <v>263</v>
      </c>
      <c r="CJ5" s="150" t="s">
        <v>264</v>
      </c>
      <c r="CK5" s="150" t="s">
        <v>265</v>
      </c>
      <c r="CL5" s="150" t="s">
        <v>266</v>
      </c>
      <c r="CM5" s="150" t="s">
        <v>267</v>
      </c>
      <c r="CN5" s="157" t="s">
        <v>268</v>
      </c>
      <c r="CO5" s="157" t="s">
        <v>269</v>
      </c>
      <c r="CP5" s="157" t="s">
        <v>270</v>
      </c>
      <c r="CQ5" s="157" t="s">
        <v>271</v>
      </c>
      <c r="CR5" s="157" t="s">
        <v>272</v>
      </c>
      <c r="CS5" s="165" t="s">
        <v>273</v>
      </c>
      <c r="CT5" s="165" t="s">
        <v>274</v>
      </c>
      <c r="CU5" s="165" t="s">
        <v>275</v>
      </c>
      <c r="CV5" s="173" t="s">
        <v>276</v>
      </c>
      <c r="CW5" s="173" t="s">
        <v>277</v>
      </c>
      <c r="CX5" s="173" t="s">
        <v>278</v>
      </c>
      <c r="CY5" s="173" t="s">
        <v>279</v>
      </c>
      <c r="CZ5" s="134" t="s">
        <v>614</v>
      </c>
      <c r="DA5" s="142" t="s">
        <v>442</v>
      </c>
      <c r="DB5" s="150" t="s">
        <v>616</v>
      </c>
      <c r="DC5" s="157" t="s">
        <v>617</v>
      </c>
      <c r="DD5" s="165" t="s">
        <v>618</v>
      </c>
      <c r="DE5" s="173" t="s">
        <v>619</v>
      </c>
      <c r="DF5" s="227" t="s">
        <v>226</v>
      </c>
    </row>
    <row r="6" spans="1:110" hidden="1">
      <c r="A6" s="2">
        <v>1</v>
      </c>
      <c r="B6" s="58">
        <f>INDEX(順位表[Comprehensive],MATCH($C6,順位表['#],0))</f>
        <v>14</v>
      </c>
      <c r="C6" s="3">
        <v>1</v>
      </c>
      <c r="D6" s="1" t="str">
        <f>INDEX(都市マスタ[City Name],MATCH($C6,都市マスタ['#],0))</f>
        <v>Madrid</v>
      </c>
      <c r="E6" s="4">
        <f>IFERROR(ROUND(
(INDEX(生データ表[],MATCH($C6,生データ表['#],0),MATCH(E$5,生データ表[#Headers],0))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12.458721345500001</v>
      </c>
      <c r="F6" s="4">
        <f>IFERROR(ROUND(
(INDEX(生データ表[],MATCH($C6,生データ表['#],0),MATCH(F$5,生データ表[#Headers],0))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3.5941444431999998</v>
      </c>
      <c r="G6" s="4">
        <f>IFERROR(ROUND(
(INDEX(生データ表[],MATCH($C6,生データ表['#],0),MATCH(G$5,生データ表[#Headers],0))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6" s="4">
        <f>IFERROR(ROUND(
(INDEX(生データ表[],MATCH($C6,生データ表['#],0),MATCH(H$5,生データ表[#Headers],0))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12.864060666</v>
      </c>
      <c r="I6" s="4">
        <f>IFERROR(ROUND(
(INDEX(生データ表[],MATCH($C6,生データ表['#],0),MATCH(I$5,生データ表[#Headers],0))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17.326415582399999</v>
      </c>
      <c r="J6" s="4">
        <f>IFERROR(ROUND(
(INDEX(生データ表[],MATCH($C6,生データ表['#],0),MATCH(J$5,生データ表[#Headers],0))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27.348118180099998</v>
      </c>
      <c r="K6" s="4">
        <f>IFERROR(ROUND(
(INDEX(生データ表[],MATCH($C6,生データ表['#],0),MATCH(K$5,生データ表[#Headers],0))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46.761748889400003</v>
      </c>
      <c r="L6" s="4">
        <f>IFERROR(ROUND(
(INDEX(生データ表[],MATCH($C6,生データ表['#],0),MATCH(L$5,生データ表[#Headers],0))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1.6514417713</v>
      </c>
      <c r="M6" s="4">
        <f>IFERROR(ROUND(
(INDEX(生データ表[],MATCH($C6,生データ表['#],0),MATCH(M$5,生データ表[#Headers],0))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5.4184615094000002</v>
      </c>
      <c r="N6" s="4">
        <f>IFERROR(ROUND(
(INDEX(生データ表[],MATCH($C6,生データ表['#],0),MATCH(N$5,生データ表[#Headers],0))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10.606274148400001</v>
      </c>
      <c r="O6" s="4">
        <f>IFERROR(ROUND(
(INDEX(生データ表[],MATCH($C6,生データ表['#],0),MATCH(O$5,生データ表[#Headers],0))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58.750772656700001</v>
      </c>
      <c r="P6" s="4">
        <f>IFERROR(ROUND(
(INDEX(生データ表[],MATCH($C6,生データ表['#],0),MATCH(P$5,生データ表[#Headers],0))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36.460508139399998</v>
      </c>
      <c r="Q6" s="4">
        <f>IFERROR(ROUND(
(INDEX(生データ表[],MATCH($C6,生データ表['#],0),MATCH(Q$5,生データ表[#Headers],0))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45.9784035156</v>
      </c>
      <c r="R6" s="4">
        <f>IFERROR(ROUND(
(INDEX(生データ表[],MATCH($C6,生データ表['#],0),MATCH(R$5,生データ表[#Headers],0))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73.365474716700007</v>
      </c>
      <c r="S6" s="4">
        <f>IFERROR(ROUND(
(INDEX(生データ表[],MATCH($C6,生データ表['#],0),MATCH(S$5,生データ表[#Headers],0))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38.461538461499998</v>
      </c>
      <c r="T6" s="4">
        <f>IFERROR(ROUND(
(INDEX(生データ表[],MATCH($C6,生データ表['#],0),MATCH(T$5,生データ表[#Headers],0))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81.430302614300004</v>
      </c>
      <c r="U6" s="4">
        <f>IFERROR(ROUND(
(INDEX(生データ表[],MATCH($C6,生データ表['#],0),MATCH(U$5,生データ表[#Headers],0))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9.7121575840999999</v>
      </c>
      <c r="V6" s="4">
        <f>IFERROR(ROUND(
(INDEX(生データ表[],MATCH($C6,生データ表['#],0),MATCH(V$5,生データ表[#Headers],0))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0.37831021440000001</v>
      </c>
      <c r="W6" s="4">
        <f>IFERROR(ROUND(
(INDEX(生データ表[],MATCH($C6,生データ表['#],0),MATCH(W$5,生データ表[#Headers],0))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2.8159847415999999</v>
      </c>
      <c r="X6" s="4">
        <f>IFERROR(ROUND(
(INDEX(生データ表[],MATCH($C6,生データ表['#],0),MATCH(X$5,生データ表[#Headers],0))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10.353500072799999</v>
      </c>
      <c r="Y6" s="4">
        <f>IFERROR(ROUND(
(INDEX(生データ表[],MATCH($C6,生データ表['#],0),MATCH(Y$5,生データ表[#Headers],0))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58.635481754700002</v>
      </c>
      <c r="Z6" s="4">
        <f>IFERROR(ROUND(
(INDEX(生データ表[],MATCH($C6,生データ表['#],0),MATCH(Z$5,生データ表[#Headers],0))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0.4784218918</v>
      </c>
      <c r="AA6" s="4">
        <f>IFERROR(ROUND(
(INDEX(生データ表[],MATCH($C6,生データ表['#],0),MATCH(AA$5,生データ表[#Headers],0))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6" s="4">
        <f>IFERROR(ROUND(
(INDEX(生データ表[],MATCH($C6,生データ表['#],0),MATCH(AB$5,生データ表[#Headers],0))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6.2411347517999998</v>
      </c>
      <c r="AC6" s="4">
        <f>IFERROR(ROUND(
(INDEX(生データ表[],MATCH($C6,生データ表['#],0),MATCH(AC$5,生データ表[#Headers],0))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11.0410094637</v>
      </c>
      <c r="AD6" s="4">
        <f>IFERROR(ROUND(
(INDEX(生データ表[],MATCH($C6,生データ表['#],0),MATCH(AD$5,生データ表[#Headers],0))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47.272727272700003</v>
      </c>
      <c r="AE6" s="4">
        <f>IFERROR(ROUND(
(INDEX(生データ表[],MATCH($C6,生データ表['#],0),MATCH(AE$5,生データ表[#Headers],0))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5.8666893097999999</v>
      </c>
      <c r="AF6" s="4">
        <f>IFERROR(ROUND(
(INDEX(生データ表[],MATCH($C6,生データ表['#],0),MATCH(AF$5,生データ表[#Headers],0))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6.6338933518000003</v>
      </c>
      <c r="AG6" s="4">
        <f>IFERROR(ROUND(
(INDEX(生データ表[],MATCH($C6,生データ表['#],0),MATCH(AG$5,生データ表[#Headers],0))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66.139356976800002</v>
      </c>
      <c r="AH6" s="4">
        <f>IFERROR(ROUND(
(INDEX(生データ表[],MATCH($C6,生データ表['#],0),MATCH(AH$5,生データ表[#Headers],0))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46</v>
      </c>
      <c r="AI6" s="4">
        <f>IFERROR(ROUND(
(INDEX(生データ表[],MATCH($C6,生データ表['#],0),MATCH(AI$5,生データ表[#Headers],0))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84.885018618000004</v>
      </c>
      <c r="AJ6" s="4">
        <f>IFERROR(ROUND(
(INDEX(生データ表[],MATCH($C6,生データ表['#],0),MATCH(AJ$5,生データ表[#Headers],0))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43.153526970999998</v>
      </c>
      <c r="AK6" s="4">
        <f>IFERROR(ROUND(
(INDEX(生データ表[],MATCH($C6,生データ表['#],0),MATCH(AK$5,生データ表[#Headers],0))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31.164383561600001</v>
      </c>
      <c r="AL6" s="4">
        <f>IFERROR(ROUND(
(INDEX(生データ表[],MATCH($C6,生データ表['#],0),MATCH(AL$5,生データ表[#Headers],0))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36.842105263199997</v>
      </c>
      <c r="AM6" s="4">
        <f>IFERROR(ROUND(
(INDEX(生データ表[],MATCH($C6,生データ表['#],0),MATCH(AM$5,生データ表[#Headers],0))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23.383168555600001</v>
      </c>
      <c r="AN6" s="4">
        <f>IFERROR(ROUND(
(INDEX(生データ表[],MATCH($C6,生データ表['#],0),MATCH(AN$5,生データ表[#Headers],0))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17.302393926400001</v>
      </c>
      <c r="AO6" s="4">
        <f>IFERROR(ROUND(
(INDEX(生データ表[],MATCH($C6,生データ表['#],0),MATCH(AO$5,生データ表[#Headers],0))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67.522869943399996</v>
      </c>
      <c r="AP6" s="4">
        <f>IFERROR(ROUND(
(INDEX(生データ表[],MATCH($C6,生データ表['#],0),MATCH(AP$5,生データ表[#Headers],0))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61.738446636900001</v>
      </c>
      <c r="AQ6" s="4">
        <f>IFERROR(ROUND(
(INDEX(生データ表[],MATCH($C6,生データ表['#],0),MATCH(AQ$5,生データ表[#Headers],0))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15.4973535294</v>
      </c>
      <c r="AR6" s="4">
        <f>IFERROR(ROUND(
(INDEX(生データ表[],MATCH($C6,生データ表['#],0),MATCH(AR$5,生データ表[#Headers],0))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26.394695455800001</v>
      </c>
      <c r="AS6" s="4">
        <f>IFERROR(ROUND(
(INDEX(生データ表[],MATCH($C6,生データ表['#],0),MATCH(AS$5,生データ表[#Headers],0))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81.3066935943</v>
      </c>
      <c r="AT6" s="4">
        <f>IFERROR(ROUND(
(INDEX(生データ表[],MATCH($C6,生データ表['#],0),MATCH(AT$5,生データ表[#Headers],0))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76.155131760499998</v>
      </c>
      <c r="AU6" s="4">
        <f>IFERROR(ROUND(
(INDEX(生データ表[],MATCH($C6,生データ表['#],0),MATCH(AU$5,生データ表[#Headers],0))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24.1901776385</v>
      </c>
      <c r="AV6" s="4">
        <f>IFERROR(ROUND(
(INDEX(生データ表[],MATCH($C6,生データ表['#],0),MATCH(AV$5,生データ表[#Headers],0))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76.914241676000003</v>
      </c>
      <c r="AW6" s="4">
        <f>IFERROR(ROUND(
(INDEX(生データ表[],MATCH($C6,生データ表['#],0),MATCH(AW$5,生データ表[#Headers],0))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67.946869399999997</v>
      </c>
      <c r="AX6" s="4">
        <f>IFERROR(ROUND(
(INDEX(生データ表[],MATCH($C6,生データ表['#],0),MATCH(AX$5,生データ表[#Headers],0))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98.882599921099995</v>
      </c>
      <c r="AY6" s="4">
        <f>IFERROR(ROUND(
(INDEX(生データ表[],MATCH($C6,生データ表['#],0),MATCH(AY$5,生データ表[#Headers],0))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97.976391230999994</v>
      </c>
      <c r="AZ6" s="4">
        <f>IFERROR(ROUND(
(INDEX(生データ表[],MATCH($C6,生データ表['#],0),MATCH(AZ$5,生データ表[#Headers],0))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88.645971735700002</v>
      </c>
      <c r="BA6" s="4">
        <f>IFERROR(ROUND(
(INDEX(生データ表[],MATCH($C6,生データ表['#],0),MATCH(BA$5,生データ表[#Headers],0))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71.478324299099995</v>
      </c>
      <c r="BB6" s="4">
        <f>IFERROR(ROUND(
(INDEX(生データ表[],MATCH($C6,生データ表['#],0),MATCH(BB$5,生データ表[#Headers],0))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90.827051773299999</v>
      </c>
      <c r="BC6" s="4">
        <f>IFERROR(ROUND(
(INDEX(生データ表[],MATCH($C6,生データ表['#],0),MATCH(BC$5,生データ表[#Headers],0))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51.939695646099999</v>
      </c>
      <c r="BD6" s="4">
        <f>IFERROR(ROUND(
(INDEX(生データ表[],MATCH($C6,生データ表['#],0),MATCH(BD$5,生データ表[#Headers],0))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47.875391224700003</v>
      </c>
      <c r="BE6" s="4">
        <f>IFERROR(ROUND(
(INDEX(生データ表[],MATCH($C6,生データ表['#],0),MATCH(BE$5,生データ表[#Headers],0))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81.284873775700007</v>
      </c>
      <c r="BF6" s="4">
        <f>IFERROR(ROUND(
(INDEX(生データ表[],MATCH($C6,生データ表['#],0),MATCH(BF$5,生データ表[#Headers],0))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82.292035262100001</v>
      </c>
      <c r="BG6" s="4">
        <f>IFERROR(ROUND(
(INDEX(生データ表[],MATCH($C6,生データ表['#],0),MATCH(BG$5,生データ表[#Headers],0))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29.488286066600001</v>
      </c>
      <c r="BH6" s="4">
        <f>IFERROR(ROUND(
(INDEX(生データ表[],MATCH($C6,生データ表['#],0),MATCH(BH$5,生データ表[#Headers],0))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35.360459973499999</v>
      </c>
      <c r="BI6" s="4">
        <f>IFERROR(ROUND(
(INDEX(生データ表[],MATCH($C6,生データ表['#],0),MATCH(BI$5,生データ表[#Headers],0))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30.867185684199999</v>
      </c>
      <c r="BJ6" s="4">
        <f>IFERROR(ROUND(
(INDEX(生データ表[],MATCH($C6,生データ表['#],0),MATCH(BJ$5,生データ表[#Headers],0))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89.180573268800003</v>
      </c>
      <c r="BK6" s="4">
        <f>IFERROR(ROUND(
(INDEX(生データ表[],MATCH($C6,生データ表['#],0),MATCH(BK$5,生データ表[#Headers],0))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85.553047404099999</v>
      </c>
      <c r="BL6" s="4">
        <f>IFERROR(ROUND(
(INDEX(生データ表[],MATCH($C6,生データ表['#],0),MATCH(BL$5,生データ表[#Headers],0))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67.141801348399994</v>
      </c>
      <c r="BM6" s="4">
        <f>IFERROR(ROUND(
(INDEX(生データ表[],MATCH($C6,生データ表['#],0),MATCH(BM$5,生データ表[#Headers],0))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91.146589259799995</v>
      </c>
      <c r="BN6" s="4">
        <f>IFERROR(ROUND(
(INDEX(生データ表[],MATCH($C6,生データ表['#],0),MATCH(BN$5,生データ表[#Headers],0))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52.9253459902</v>
      </c>
      <c r="BO6" s="4">
        <f>IFERROR(ROUND(
(INDEX(生データ表[],MATCH($C6,生データ表['#],0),MATCH(BO$5,生データ表[#Headers],0))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48.353871639499999</v>
      </c>
      <c r="BP6" s="4">
        <f>IFERROR(ROUND(
(INDEX(生データ表[],MATCH($C6,生データ表['#],0),MATCH(BP$5,生データ表[#Headers],0))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42.663043478299997</v>
      </c>
      <c r="BQ6" s="4">
        <f>IFERROR(ROUND(
(INDEX(生データ表[],MATCH($C6,生データ表['#],0),MATCH(BQ$5,生データ表[#Headers],0))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7.6857116137999997</v>
      </c>
      <c r="BR6" s="4">
        <f>IFERROR(ROUND(
(INDEX(生データ表[],MATCH($C6,生データ表['#],0),MATCH(BR$5,生データ表[#Headers],0))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35.022245181000002</v>
      </c>
      <c r="BS6" s="4">
        <f>IFERROR(ROUND(
(INDEX(生データ表[],MATCH($C6,生データ表['#],0),MATCH(BS$5,生データ表[#Headers],0))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25.210803279699999</v>
      </c>
      <c r="BT6" s="4">
        <f>IFERROR(ROUND(
(INDEX(生データ表[],MATCH($C6,生データ表['#],0),MATCH(BT$5,生データ表[#Headers],0))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27.132674177999998</v>
      </c>
      <c r="BU6" s="4">
        <f>IFERROR(ROUND(
(INDEX(生データ表[],MATCH($C6,生データ表['#],0),MATCH(BU$5,生データ表[#Headers],0))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36.459879348000001</v>
      </c>
      <c r="BV6" s="4">
        <f>IFERROR(ROUND(
(INDEX(生データ表[],MATCH($C6,生データ表['#],0),MATCH(BV$5,生データ表[#Headers],0))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66.666666666699996</v>
      </c>
      <c r="BW6" s="4">
        <f>IFERROR(ROUND(
(INDEX(生データ表[],MATCH($C6,生データ表['#],0),MATCH(BW$5,生データ表[#Headers],0))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73.001325088300007</v>
      </c>
      <c r="BX6" s="4">
        <f>IFERROR(ROUND(
(INDEX(生データ表[],MATCH($C6,生データ表['#],0),MATCH(BX$5,生データ表[#Headers],0))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51.277139208199998</v>
      </c>
      <c r="BY6" s="4">
        <f>IFERROR(ROUND(
(INDEX(生データ表[],MATCH($C6,生データ表['#],0),MATCH(BY$5,生データ表[#Headers],0))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49.4581377043</v>
      </c>
      <c r="BZ6" s="4">
        <f t="shared" ref="BZ6:CI15" si="0">IFERROR(AVERAGEIF($63:$63,BZ$5,6:6),"-")</f>
        <v>15.0952381242</v>
      </c>
      <c r="CA6" s="4">
        <f t="shared" si="0"/>
        <v>37.054933534749999</v>
      </c>
      <c r="CB6" s="4">
        <f t="shared" si="0"/>
        <v>3.5349516403500001</v>
      </c>
      <c r="CC6" s="4">
        <f t="shared" si="0"/>
        <v>34.678523402549999</v>
      </c>
      <c r="CD6" s="4">
        <f t="shared" si="0"/>
        <v>51.934795457233328</v>
      </c>
      <c r="CE6" s="4">
        <f t="shared" si="0"/>
        <v>59.945920537900001</v>
      </c>
      <c r="CF6" s="4">
        <f t="shared" si="0"/>
        <v>5.0452338992500003</v>
      </c>
      <c r="CG6" s="4">
        <f t="shared" si="0"/>
        <v>23.934988856366669</v>
      </c>
      <c r="CH6" s="4">
        <f t="shared" si="0"/>
        <v>2.2398522145333333</v>
      </c>
      <c r="CI6" s="4">
        <f t="shared" si="0"/>
        <v>17.703579849499999</v>
      </c>
      <c r="CJ6" s="4">
        <f t="shared" ref="CJ6:CS15" si="1">IFERROR(AVERAGEIF($63:$63,CJ$5,6:6),"-")</f>
        <v>65.67479186493334</v>
      </c>
      <c r="CK6" s="4">
        <f t="shared" si="1"/>
        <v>37.0533385986</v>
      </c>
      <c r="CL6" s="4">
        <f t="shared" si="1"/>
        <v>42.486719765574996</v>
      </c>
      <c r="CM6" s="4">
        <f t="shared" si="1"/>
        <v>20.946024492599999</v>
      </c>
      <c r="CN6" s="4">
        <f t="shared" si="1"/>
        <v>60.550667664433327</v>
      </c>
      <c r="CO6" s="4">
        <f t="shared" si="1"/>
        <v>72.430555537999993</v>
      </c>
      <c r="CP6" s="4">
        <f t="shared" si="1"/>
        <v>98.429495576049987</v>
      </c>
      <c r="CQ6" s="4">
        <f t="shared" si="1"/>
        <v>83.650449269366675</v>
      </c>
      <c r="CR6" s="4">
        <f t="shared" si="1"/>
        <v>65.847998977149999</v>
      </c>
      <c r="CS6" s="4">
        <f t="shared" si="1"/>
        <v>31.905310574766663</v>
      </c>
      <c r="CT6" s="4">
        <f t="shared" ref="CT6:CY15" si="2">IFERROR(AVERAGEIF($63:$63,CT$5,6:6),"-")</f>
        <v>80.625140673766666</v>
      </c>
      <c r="CU6" s="4">
        <f t="shared" si="2"/>
        <v>64.141935629833327</v>
      </c>
      <c r="CV6" s="4">
        <f t="shared" si="2"/>
        <v>25.17437754605</v>
      </c>
      <c r="CW6" s="4">
        <f t="shared" si="2"/>
        <v>30.116524230350002</v>
      </c>
      <c r="CX6" s="4">
        <f t="shared" si="2"/>
        <v>43.419740064233338</v>
      </c>
      <c r="CY6" s="4">
        <f t="shared" si="2"/>
        <v>57.912200666933337</v>
      </c>
      <c r="CZ6" s="4">
        <f t="shared" ref="CZ6:DE15" si="3">SUMIF($64:$64,CZ$5,6:6)</f>
        <v>202.24436269698333</v>
      </c>
      <c r="DA6" s="4">
        <f t="shared" si="3"/>
        <v>31.220074970150002</v>
      </c>
      <c r="DB6" s="4">
        <f t="shared" si="3"/>
        <v>183.86445457120834</v>
      </c>
      <c r="DC6" s="4">
        <f t="shared" si="3"/>
        <v>380.90916702499993</v>
      </c>
      <c r="DD6" s="4">
        <f t="shared" si="3"/>
        <v>176.67238687836664</v>
      </c>
      <c r="DE6" s="4">
        <f t="shared" si="3"/>
        <v>156.62284250756667</v>
      </c>
      <c r="DF6" s="76">
        <f t="shared" ref="DF6:DF53" si="4">SUM(CZ6:DE6)</f>
        <v>1131.5332886492749</v>
      </c>
    </row>
    <row r="7" spans="1:110" hidden="1">
      <c r="A7" s="2">
        <v>2</v>
      </c>
      <c r="B7" s="58">
        <f>INDEX(順位表[Comprehensive],MATCH($C7,順位表['#],0))</f>
        <v>22</v>
      </c>
      <c r="C7" s="3">
        <v>2</v>
      </c>
      <c r="D7" s="1" t="str">
        <f>INDEX(都市マスタ[City Name],MATCH($C7,都市マスタ['#],0))</f>
        <v>Barcelona</v>
      </c>
      <c r="E7" s="4">
        <f>IFERROR(ROUND(
(INDEX(生データ表[],MATCH($C7,生データ表['#],0),MATCH(E$5,生データ表[#Headers],0))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5.7976389655</v>
      </c>
      <c r="F7" s="4">
        <f>IFERROR(ROUND(
(INDEX(生データ表[],MATCH($C7,生データ表['#],0),MATCH(F$5,生データ表[#Headers],0))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0.52171194779999996</v>
      </c>
      <c r="G7" s="4">
        <f>IFERROR(ROUND(
(INDEX(生データ表[],MATCH($C7,生データ表['#],0),MATCH(G$5,生データ表[#Headers],0))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7" s="4">
        <f>IFERROR(ROUND(
(INDEX(生データ表[],MATCH($C7,生データ表['#],0),MATCH(H$5,生データ表[#Headers],0))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8.5032755475999995</v>
      </c>
      <c r="I7" s="4">
        <f>IFERROR(ROUND(
(INDEX(生データ表[],MATCH($C7,生データ表['#],0),MATCH(I$5,生データ表[#Headers],0))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25.6872589406</v>
      </c>
      <c r="J7" s="4">
        <f>IFERROR(ROUND(
(INDEX(生データ表[],MATCH($C7,生データ表['#],0),MATCH(J$5,生データ表[#Headers],0))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26.183728759499999</v>
      </c>
      <c r="K7" s="4">
        <f>IFERROR(ROUND(
(INDEX(生データ表[],MATCH($C7,生データ表['#],0),MATCH(K$5,生データ表[#Headers],0))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46.761748889400003</v>
      </c>
      <c r="L7" s="4">
        <f>IFERROR(ROUND(
(INDEX(生データ表[],MATCH($C7,生データ表['#],0),MATCH(L$5,生データ表[#Headers],0))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7" s="4">
        <f>IFERROR(ROUND(
(INDEX(生データ表[],MATCH($C7,生データ表['#],0),MATCH(M$5,生データ表[#Headers],0))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7" s="4">
        <f>IFERROR(ROUND(
(INDEX(生データ表[],MATCH($C7,生データ表['#],0),MATCH(N$5,生データ表[#Headers],0))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3.8519442155000001</v>
      </c>
      <c r="O7" s="4">
        <f>IFERROR(ROUND(
(INDEX(生データ表[],MATCH($C7,生データ表['#],0),MATCH(O$5,生データ表[#Headers],0))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61.335767695599998</v>
      </c>
      <c r="P7" s="4">
        <f>IFERROR(ROUND(
(INDEX(生データ表[],MATCH($C7,生データ表['#],0),MATCH(P$5,生データ表[#Headers],0))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26.947326500100001</v>
      </c>
      <c r="Q7" s="4">
        <f>IFERROR(ROUND(
(INDEX(生データ表[],MATCH($C7,生データ表['#],0),MATCH(Q$5,生データ表[#Headers],0))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46.061545384699997</v>
      </c>
      <c r="R7" s="4">
        <f>IFERROR(ROUND(
(INDEX(生データ表[],MATCH($C7,生データ表['#],0),MATCH(R$5,生データ表[#Headers],0))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66.272943616999996</v>
      </c>
      <c r="S7" s="4">
        <f>IFERROR(ROUND(
(INDEX(生データ表[],MATCH($C7,生データ表['#],0),MATCH(S$5,生データ表[#Headers],0))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38.461538461499998</v>
      </c>
      <c r="T7" s="4">
        <f>IFERROR(ROUND(
(INDEX(生データ表[],MATCH($C7,生データ表['#],0),MATCH(T$5,生データ表[#Headers],0))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81.430302614300004</v>
      </c>
      <c r="U7" s="4">
        <f>IFERROR(ROUND(
(INDEX(生データ表[],MATCH($C7,生データ表['#],0),MATCH(U$5,生データ表[#Headers],0))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3.6676229452000002</v>
      </c>
      <c r="V7" s="4">
        <f>IFERROR(ROUND(
(INDEX(生データ表[],MATCH($C7,生データ表['#],0),MATCH(V$5,生データ表[#Headers],0))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7.0617906682999996</v>
      </c>
      <c r="W7" s="4">
        <f>IFERROR(ROUND(
(INDEX(生データ表[],MATCH($C7,生データ表['#],0),MATCH(W$5,生データ表[#Headers],0))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1.1538526083</v>
      </c>
      <c r="X7" s="4">
        <f>IFERROR(ROUND(
(INDEX(生データ表[],MATCH($C7,生データ表['#],0),MATCH(X$5,生データ表[#Headers],0))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14.9958971607</v>
      </c>
      <c r="Y7" s="4">
        <f>IFERROR(ROUND(
(INDEX(生データ表[],MATCH($C7,生データ表['#],0),MATCH(Y$5,生データ表[#Headers],0))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58.635481754700002</v>
      </c>
      <c r="Z7" s="4">
        <f>IFERROR(ROUND(
(INDEX(生データ表[],MATCH($C7,生データ表['#],0),MATCH(Z$5,生データ表[#Headers],0))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0.2031192507</v>
      </c>
      <c r="AA7" s="4">
        <f>IFERROR(ROUND(
(INDEX(生データ表[],MATCH($C7,生データ表['#],0),MATCH(AA$5,生データ表[#Headers],0))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7" s="4">
        <f>IFERROR(ROUND(
(INDEX(生データ表[],MATCH($C7,生データ表['#],0),MATCH(AB$5,生データ表[#Headers],0))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7.7836879433000004</v>
      </c>
      <c r="AC7" s="4">
        <f>IFERROR(ROUND(
(INDEX(生データ表[],MATCH($C7,生データ表['#],0),MATCH(AC$5,生データ表[#Headers],0))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21.4511041009</v>
      </c>
      <c r="AD7" s="4">
        <f>IFERROR(ROUND(
(INDEX(生データ表[],MATCH($C7,生データ表['#],0),MATCH(AD$5,生データ表[#Headers],0))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49.090909090899999</v>
      </c>
      <c r="AE7" s="4">
        <f>IFERROR(ROUND(
(INDEX(生データ表[],MATCH($C7,生データ表['#],0),MATCH(AE$5,生データ表[#Headers],0))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4.1327018317000004</v>
      </c>
      <c r="AF7" s="4">
        <f>IFERROR(ROUND(
(INDEX(生データ表[],MATCH($C7,生データ表['#],0),MATCH(AF$5,生データ表[#Headers],0))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4.7328564564000004</v>
      </c>
      <c r="AG7" s="4">
        <f>IFERROR(ROUND(
(INDEX(生データ表[],MATCH($C7,生データ表['#],0),MATCH(AG$5,生データ表[#Headers],0))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73.507445059000005</v>
      </c>
      <c r="AH7" s="4">
        <f>IFERROR(ROUND(
(INDEX(生データ表[],MATCH($C7,生データ表['#],0),MATCH(AH$5,生データ表[#Headers],0))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20</v>
      </c>
      <c r="AI7" s="4">
        <f>IFERROR(ROUND(
(INDEX(生データ表[],MATCH($C7,生データ表['#],0),MATCH(AI$5,生データ表[#Headers],0))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79.778080373799995</v>
      </c>
      <c r="AJ7" s="4">
        <f>IFERROR(ROUND(
(INDEX(生データ表[],MATCH($C7,生データ表['#],0),MATCH(AJ$5,生データ表[#Headers],0))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23.2365145228</v>
      </c>
      <c r="AK7" s="4">
        <f>IFERROR(ROUND(
(INDEX(生データ表[],MATCH($C7,生データ表['#],0),MATCH(AK$5,生データ表[#Headers],0))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18.150684931499999</v>
      </c>
      <c r="AL7" s="4">
        <f>IFERROR(ROUND(
(INDEX(生データ表[],MATCH($C7,生データ表['#],0),MATCH(AL$5,生データ表[#Headers],0))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15.789473684200001</v>
      </c>
      <c r="AM7" s="4">
        <f>IFERROR(ROUND(
(INDEX(生データ表[],MATCH($C7,生データ表['#],0),MATCH(AM$5,生データ表[#Headers],0))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27.9925247167</v>
      </c>
      <c r="AN7" s="4">
        <f>IFERROR(ROUND(
(INDEX(生データ表[],MATCH($C7,生データ表['#],0),MATCH(AN$5,生データ表[#Headers],0))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19.892242698800001</v>
      </c>
      <c r="AO7" s="4">
        <f>IFERROR(ROUND(
(INDEX(生データ表[],MATCH($C7,生データ表['#],0),MATCH(AO$5,生データ表[#Headers],0))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71.434602392900004</v>
      </c>
      <c r="AP7" s="4">
        <f>IFERROR(ROUND(
(INDEX(生データ表[],MATCH($C7,生データ表['#],0),MATCH(AP$5,生データ表[#Headers],0))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59.636288150600002</v>
      </c>
      <c r="AQ7" s="4">
        <f>IFERROR(ROUND(
(INDEX(生データ表[],MATCH($C7,生データ表['#],0),MATCH(AQ$5,生データ表[#Headers],0))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10.8091533136</v>
      </c>
      <c r="AR7" s="4">
        <f>IFERROR(ROUND(
(INDEX(生データ表[],MATCH($C7,生データ表['#],0),MATCH(AR$5,生データ表[#Headers],0))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33.913955087300003</v>
      </c>
      <c r="AS7" s="4">
        <f>IFERROR(ROUND(
(INDEX(生データ表[],MATCH($C7,生データ表['#],0),MATCH(AS$5,生データ表[#Headers],0))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73.187000337699999</v>
      </c>
      <c r="AT7" s="4">
        <f>IFERROR(ROUND(
(INDEX(生データ表[],MATCH($C7,生データ表['#],0),MATCH(AT$5,生データ表[#Headers],0))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83.290018841800006</v>
      </c>
      <c r="AU7" s="4">
        <f>IFERROR(ROUND(
(INDEX(生データ表[],MATCH($C7,生データ表['#],0),MATCH(AU$5,生データ表[#Headers],0))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4.4019881951000004</v>
      </c>
      <c r="AV7" s="4">
        <f>IFERROR(ROUND(
(INDEX(生データ表[],MATCH($C7,生データ表['#],0),MATCH(AV$5,生データ表[#Headers],0))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74.532401786600005</v>
      </c>
      <c r="AW7" s="4">
        <f>IFERROR(ROUND(
(INDEX(生データ表[],MATCH($C7,生データ表['#],0),MATCH(AW$5,生データ表[#Headers],0))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64.855650155899994</v>
      </c>
      <c r="AX7" s="4">
        <f>IFERROR(ROUND(
(INDEX(生データ表[],MATCH($C7,生データ表['#],0),MATCH(AX$5,生データ表[#Headers],0))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94.123401209299999</v>
      </c>
      <c r="AY7" s="4">
        <f>IFERROR(ROUND(
(INDEX(生データ表[],MATCH($C7,生データ表['#],0),MATCH(AY$5,生データ表[#Headers],0))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96.964586846499998</v>
      </c>
      <c r="AZ7" s="4">
        <f>IFERROR(ROUND(
(INDEX(生データ表[],MATCH($C7,生データ表['#],0),MATCH(AZ$5,生データ表[#Headers],0))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88.645971735700002</v>
      </c>
      <c r="BA7" s="4">
        <f>IFERROR(ROUND(
(INDEX(生データ表[],MATCH($C7,生データ表['#],0),MATCH(BA$5,生データ表[#Headers],0))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71.478324299099995</v>
      </c>
      <c r="BB7" s="4">
        <f>IFERROR(ROUND(
(INDEX(生データ表[],MATCH($C7,生データ表['#],0),MATCH(BB$5,生データ表[#Headers],0))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90.827051773299999</v>
      </c>
      <c r="BC7" s="4">
        <f>IFERROR(ROUND(
(INDEX(生データ表[],MATCH($C7,生データ表['#],0),MATCH(BC$5,生データ表[#Headers],0))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46.817375965799997</v>
      </c>
      <c r="BD7" s="4">
        <f>IFERROR(ROUND(
(INDEX(生データ表[],MATCH($C7,生データ表['#],0),MATCH(BD$5,生データ表[#Headers],0))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47.875391224700003</v>
      </c>
      <c r="BE7" s="4">
        <f>IFERROR(ROUND(
(INDEX(生データ表[],MATCH($C7,生データ表['#],0),MATCH(BE$5,生データ表[#Headers],0))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77.831833041099998</v>
      </c>
      <c r="BF7" s="4">
        <f>IFERROR(ROUND(
(INDEX(生データ表[],MATCH($C7,生データ表['#],0),MATCH(BF$5,生データ表[#Headers],0))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79.865041470799994</v>
      </c>
      <c r="BG7" s="4">
        <f>IFERROR(ROUND(
(INDEX(生データ表[],MATCH($C7,生データ表['#],0),MATCH(BG$5,生データ表[#Headers],0))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44.050014060999999</v>
      </c>
      <c r="BH7" s="4">
        <f>IFERROR(ROUND(
(INDEX(生データ表[],MATCH($C7,生データ表['#],0),MATCH(BH$5,生データ表[#Headers],0))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35.360459973499999</v>
      </c>
      <c r="BI7" s="4">
        <f>IFERROR(ROUND(
(INDEX(生データ表[],MATCH($C7,生データ表['#],0),MATCH(BI$5,生データ表[#Headers],0))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30.867185684199999</v>
      </c>
      <c r="BJ7" s="4">
        <f>IFERROR(ROUND(
(INDEX(生データ表[],MATCH($C7,生データ表['#],0),MATCH(BJ$5,生データ表[#Headers],0))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82.591860604100006</v>
      </c>
      <c r="BK7" s="4">
        <f>IFERROR(ROUND(
(INDEX(生データ表[],MATCH($C7,生データ表['#],0),MATCH(BK$5,生データ表[#Headers],0))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77.652370203199993</v>
      </c>
      <c r="BL7" s="4">
        <f>IFERROR(ROUND(
(INDEX(生データ表[],MATCH($C7,生データ表['#],0),MATCH(BL$5,生データ表[#Headers],0))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74.675376615499999</v>
      </c>
      <c r="BM7" s="4">
        <f>IFERROR(ROUND(
(INDEX(生データ表[],MATCH($C7,生データ表['#],0),MATCH(BM$5,生データ表[#Headers],0))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40.203193033399998</v>
      </c>
      <c r="BN7" s="4">
        <f>IFERROR(ROUND(
(INDEX(生データ表[],MATCH($C7,生データ表['#],0),MATCH(BN$5,生データ表[#Headers],0))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35.210064077399998</v>
      </c>
      <c r="BO7" s="4">
        <f>IFERROR(ROUND(
(INDEX(生データ表[],MATCH($C7,生データ表['#],0),MATCH(BO$5,生データ表[#Headers],0))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26.7366328194</v>
      </c>
      <c r="BP7" s="4">
        <f>IFERROR(ROUND(
(INDEX(生データ表[],MATCH($C7,生データ表['#],0),MATCH(BP$5,生データ表[#Headers],0))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40.760869565199997</v>
      </c>
      <c r="BQ7" s="4">
        <f>IFERROR(ROUND(
(INDEX(生データ表[],MATCH($C7,生データ表['#],0),MATCH(BQ$5,生データ表[#Headers],0))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6.5022112347999999</v>
      </c>
      <c r="BR7" s="4">
        <f>IFERROR(ROUND(
(INDEX(生データ表[],MATCH($C7,生データ表['#],0),MATCH(BR$5,生データ表[#Headers],0))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28.020849578299998</v>
      </c>
      <c r="BS7" s="4">
        <f>IFERROR(ROUND(
(INDEX(生データ表[],MATCH($C7,生データ表['#],0),MATCH(BS$5,生データ表[#Headers],0))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20.299425984999999</v>
      </c>
      <c r="BT7" s="4">
        <f>IFERROR(ROUND(
(INDEX(生データ表[],MATCH($C7,生データ表['#],0),MATCH(BT$5,生データ表[#Headers],0))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29.547022303999999</v>
      </c>
      <c r="BU7" s="4">
        <f>IFERROR(ROUND(
(INDEX(生データ表[],MATCH($C7,生データ表['#],0),MATCH(BU$5,生データ表[#Headers],0))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54.9409367174</v>
      </c>
      <c r="BV7" s="4">
        <f>IFERROR(ROUND(
(INDEX(生データ表[],MATCH($C7,生データ表['#],0),MATCH(BV$5,生データ表[#Headers],0))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76.190476190499993</v>
      </c>
      <c r="BW7" s="4">
        <f>IFERROR(ROUND(
(INDEX(生データ表[],MATCH($C7,生データ表['#],0),MATCH(BW$5,生データ表[#Headers],0))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84.540636042399996</v>
      </c>
      <c r="BX7" s="4">
        <f>IFERROR(ROUND(
(INDEX(生データ表[],MATCH($C7,生データ表['#],0),MATCH(BX$5,生データ表[#Headers],0))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51.277139208199998</v>
      </c>
      <c r="BY7" s="4">
        <f>IFERROR(ROUND(
(INDEX(生データ表[],MATCH($C7,生データ表['#],0),MATCH(BY$5,生データ表[#Headers],0))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50.835421374799999</v>
      </c>
      <c r="BZ7" s="4">
        <f t="shared" si="0"/>
        <v>17.0952672441</v>
      </c>
      <c r="CA7" s="4">
        <f t="shared" si="0"/>
        <v>36.472738824450005</v>
      </c>
      <c r="CB7" s="4">
        <f t="shared" si="0"/>
        <v>0</v>
      </c>
      <c r="CC7" s="4">
        <f t="shared" si="0"/>
        <v>32.593855955549998</v>
      </c>
      <c r="CD7" s="4">
        <f t="shared" si="0"/>
        <v>46.427271833933332</v>
      </c>
      <c r="CE7" s="4">
        <f t="shared" si="0"/>
        <v>59.945920537900001</v>
      </c>
      <c r="CF7" s="4">
        <f t="shared" si="0"/>
        <v>5.3647068067500001</v>
      </c>
      <c r="CG7" s="4">
        <f t="shared" si="0"/>
        <v>24.928410507900001</v>
      </c>
      <c r="CH7" s="4">
        <f t="shared" si="0"/>
        <v>2.6622690646666669</v>
      </c>
      <c r="CI7" s="4">
        <f t="shared" si="0"/>
        <v>19.851892869975</v>
      </c>
      <c r="CJ7" s="4">
        <f t="shared" si="1"/>
        <v>57.761841810933333</v>
      </c>
      <c r="CK7" s="4">
        <f t="shared" si="1"/>
        <v>19.058891046166668</v>
      </c>
      <c r="CL7" s="4">
        <f t="shared" si="1"/>
        <v>44.738914489750002</v>
      </c>
      <c r="CM7" s="4">
        <f t="shared" si="1"/>
        <v>22.361554200450001</v>
      </c>
      <c r="CN7" s="4">
        <f t="shared" si="1"/>
        <v>53.626335791533336</v>
      </c>
      <c r="CO7" s="4">
        <f t="shared" si="1"/>
        <v>69.694025971249999</v>
      </c>
      <c r="CP7" s="4">
        <f t="shared" si="1"/>
        <v>95.543994027899998</v>
      </c>
      <c r="CQ7" s="4">
        <f t="shared" si="1"/>
        <v>83.650449269366675</v>
      </c>
      <c r="CR7" s="4">
        <f t="shared" si="1"/>
        <v>63.097410425600003</v>
      </c>
      <c r="CS7" s="4">
        <f t="shared" si="1"/>
        <v>36.759219906233334</v>
      </c>
      <c r="CT7" s="4">
        <f t="shared" si="2"/>
        <v>78.3065358076</v>
      </c>
      <c r="CU7" s="4">
        <f t="shared" si="2"/>
        <v>34.049963310066666</v>
      </c>
      <c r="CV7" s="4">
        <f t="shared" si="2"/>
        <v>23.631540399999999</v>
      </c>
      <c r="CW7" s="4">
        <f t="shared" si="2"/>
        <v>24.16013778165</v>
      </c>
      <c r="CX7" s="4">
        <f t="shared" si="2"/>
        <v>53.559478403966665</v>
      </c>
      <c r="CY7" s="4">
        <f t="shared" si="2"/>
        <v>62.217732208466664</v>
      </c>
      <c r="CZ7" s="4">
        <f t="shared" si="3"/>
        <v>192.53505439593334</v>
      </c>
      <c r="DA7" s="4">
        <f t="shared" si="3"/>
        <v>32.955386379316664</v>
      </c>
      <c r="DB7" s="4">
        <f t="shared" si="3"/>
        <v>163.77309441727502</v>
      </c>
      <c r="DC7" s="4">
        <f t="shared" si="3"/>
        <v>365.61221548564998</v>
      </c>
      <c r="DD7" s="4">
        <f t="shared" si="3"/>
        <v>149.1157190239</v>
      </c>
      <c r="DE7" s="4">
        <f t="shared" si="3"/>
        <v>163.56888879408334</v>
      </c>
      <c r="DF7" s="76">
        <f t="shared" si="4"/>
        <v>1067.5603584961584</v>
      </c>
    </row>
    <row r="8" spans="1:110">
      <c r="A8" s="2">
        <v>3</v>
      </c>
      <c r="B8" s="58">
        <f>INDEX(順位表[Comprehensive],MATCH($C8,順位表['#],0))</f>
        <v>1</v>
      </c>
      <c r="C8" s="3">
        <v>3</v>
      </c>
      <c r="D8" s="1" t="str">
        <f>INDEX(都市マスタ[City Name],MATCH($C8,都市マスタ['#],0))</f>
        <v>London</v>
      </c>
      <c r="E8" s="4">
        <f>IFERROR(ROUND(
(INDEX(生データ表[],MATCH($C8,生データ表['#],0),MATCH(E$5,生データ表[#Headers],0))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34.7995643171</v>
      </c>
      <c r="F8" s="4">
        <f>IFERROR(ROUND(
(INDEX(生データ表[],MATCH($C8,生データ表['#],0),MATCH(F$5,生データ表[#Headers],0))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9.4950058116000005</v>
      </c>
      <c r="G8" s="4">
        <f>IFERROR(ROUND(
(INDEX(生データ表[],MATCH($C8,生データ表['#],0),MATCH(G$5,生データ表[#Headers],0))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v>
      </c>
      <c r="H8" s="4">
        <f>IFERROR(ROUND(
(INDEX(生データ表[],MATCH($C8,生データ表['#],0),MATCH(H$5,生データ表[#Headers],0))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79.614559965300003</v>
      </c>
      <c r="I8" s="4">
        <f>IFERROR(ROUND(
(INDEX(生データ表[],MATCH($C8,生データ表['#],0),MATCH(I$5,生データ表[#Headers],0))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35.3150378618</v>
      </c>
      <c r="J8" s="4">
        <f>IFERROR(ROUND(
(INDEX(生データ表[],MATCH($C8,生データ表['#],0),MATCH(J$5,生データ表[#Headers],0))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37.6568433443</v>
      </c>
      <c r="K8" s="4">
        <f>IFERROR(ROUND(
(INDEX(生データ表[],MATCH($C8,生データ表['#],0),MATCH(K$5,生データ表[#Headers],0))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60.743511807300003</v>
      </c>
      <c r="L8" s="4">
        <f>IFERROR(ROUND(
(INDEX(生データ表[],MATCH($C8,生データ表['#],0),MATCH(L$5,生データ表[#Headers],0))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7.6827260459</v>
      </c>
      <c r="M8" s="4">
        <f>IFERROR(ROUND(
(INDEX(生データ表[],MATCH($C8,生データ表['#],0),MATCH(M$5,生データ表[#Headers],0))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19.718486782799999</v>
      </c>
      <c r="N8" s="4">
        <f>IFERROR(ROUND(
(INDEX(生データ表[],MATCH($C8,生データ表['#],0),MATCH(N$5,生データ表[#Headers],0))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45.432782136299998</v>
      </c>
      <c r="O8" s="4">
        <f>IFERROR(ROUND(
(INDEX(生データ表[],MATCH($C8,生データ表['#],0),MATCH(O$5,生データ表[#Headers],0))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93.550885234500001</v>
      </c>
      <c r="P8" s="4">
        <f>IFERROR(ROUND(
(INDEX(生データ表[],MATCH($C8,生データ表['#],0),MATCH(P$5,生データ表[#Headers],0))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60.506179016799997</v>
      </c>
      <c r="Q8" s="4">
        <f>IFERROR(ROUND(
(INDEX(生データ表[],MATCH($C8,生データ表['#],0),MATCH(Q$5,生データ表[#Headers],0))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78.519667488600007</v>
      </c>
      <c r="R8" s="4">
        <f>IFERROR(ROUND(
(INDEX(生データ表[],MATCH($C8,生データ表['#],0),MATCH(R$5,生データ表[#Headers],0))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100</v>
      </c>
      <c r="S8" s="4">
        <f>IFERROR(ROUND(
(INDEX(生データ表[],MATCH($C8,生データ表['#],0),MATCH(S$5,生データ表[#Headers],0))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38.461538461499998</v>
      </c>
      <c r="T8" s="4">
        <f>IFERROR(ROUND(
(INDEX(生データ表[],MATCH($C8,生データ表['#],0),MATCH(T$5,生データ表[#Headers],0))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94.893104138799998</v>
      </c>
      <c r="U8" s="4">
        <f>IFERROR(ROUND(
(INDEX(生データ表[],MATCH($C8,生データ表['#],0),MATCH(U$5,生データ表[#Headers],0))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51.694765022399999</v>
      </c>
      <c r="V8" s="4">
        <f>IFERROR(ROUND(
(INDEX(生データ表[],MATCH($C8,生データ表['#],0),MATCH(V$5,生データ表[#Headers],0))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100</v>
      </c>
      <c r="W8" s="4">
        <f>IFERROR(ROUND(
(INDEX(生データ表[],MATCH($C8,生データ表['#],0),MATCH(W$5,生データ表[#Headers],0))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18.619502324399999</v>
      </c>
      <c r="X8" s="4">
        <f>IFERROR(ROUND(
(INDEX(生データ表[],MATCH($C8,生データ表['#],0),MATCH(X$5,生データ表[#Headers],0))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100</v>
      </c>
      <c r="Y8" s="4">
        <f>IFERROR(ROUND(
(INDEX(生データ表[],MATCH($C8,生データ表['#],0),MATCH(Y$5,生データ表[#Headers],0))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68.805971321200005</v>
      </c>
      <c r="Z8" s="4">
        <f>IFERROR(ROUND(
(INDEX(生データ表[],MATCH($C8,生データ表['#],0),MATCH(Z$5,生データ表[#Headers],0))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3.9465546798000002</v>
      </c>
      <c r="AA8" s="4">
        <f>IFERROR(ROUND(
(INDEX(生データ表[],MATCH($C8,生データ表['#],0),MATCH(AA$5,生データ表[#Headers],0))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25.4071661238</v>
      </c>
      <c r="AB8" s="4">
        <f>IFERROR(ROUND(
(INDEX(生データ表[],MATCH($C8,生データ表['#],0),MATCH(AB$5,生データ表[#Headers],0))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100</v>
      </c>
      <c r="AC8" s="4">
        <f>IFERROR(ROUND(
(INDEX(生データ表[],MATCH($C8,生データ表['#],0),MATCH(AC$5,生データ表[#Headers],0))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31.5457413249</v>
      </c>
      <c r="AD8" s="4">
        <f>IFERROR(ROUND(
(INDEX(生データ表[],MATCH($C8,生データ表['#],0),MATCH(AD$5,生データ表[#Headers],0))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43.636363636399999</v>
      </c>
      <c r="AE8" s="4">
        <f>IFERROR(ROUND(
(INDEX(生データ表[],MATCH($C8,生データ表['#],0),MATCH(AE$5,生データ表[#Headers],0))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100</v>
      </c>
      <c r="AF8" s="4">
        <f>IFERROR(ROUND(
(INDEX(生データ表[],MATCH($C8,生データ表['#],0),MATCH(AF$5,生データ表[#Headers],0))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46.157388409100001</v>
      </c>
      <c r="AG8" s="4">
        <f>IFERROR(ROUND(
(INDEX(生データ表[],MATCH($C8,生データ表['#],0),MATCH(AG$5,生データ表[#Headers],0))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100</v>
      </c>
      <c r="AH8" s="4">
        <f>IFERROR(ROUND(
(INDEX(生データ表[],MATCH($C8,生データ表['#],0),MATCH(AH$5,生データ表[#Headers],0))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30</v>
      </c>
      <c r="AI8" s="4">
        <f>IFERROR(ROUND(
(INDEX(生データ表[],MATCH($C8,生データ表['#],0),MATCH(AI$5,生データ表[#Headers],0))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100</v>
      </c>
      <c r="AJ8" s="4">
        <f>IFERROR(ROUND(
(INDEX(生データ表[],MATCH($C8,生データ表['#],0),MATCH(AJ$5,生データ表[#Headers],0))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79.460580912899999</v>
      </c>
      <c r="AK8" s="4">
        <f>IFERROR(ROUND(
(INDEX(生データ表[],MATCH($C8,生データ表['#],0),MATCH(AK$5,生データ表[#Headers],0))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98.972602739699994</v>
      </c>
      <c r="AL8" s="4">
        <f>IFERROR(ROUND(
(INDEX(生データ表[],MATCH($C8,生データ表['#],0),MATCH(AL$5,生データ表[#Headers],0))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100</v>
      </c>
      <c r="AM8" s="4">
        <f>IFERROR(ROUND(
(INDEX(生データ表[],MATCH($C8,生データ表['#],0),MATCH(AM$5,生データ表[#Headers],0))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74.508680974200004</v>
      </c>
      <c r="AN8" s="4">
        <f>IFERROR(ROUND(
(INDEX(生データ表[],MATCH($C8,生データ表['#],0),MATCH(AN$5,生データ表[#Headers],0))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63.494152941899998</v>
      </c>
      <c r="AO8" s="4">
        <f>IFERROR(ROUND(
(INDEX(生データ表[],MATCH($C8,生データ表['#],0),MATCH(AO$5,生データ表[#Headers],0))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74.618484396300005</v>
      </c>
      <c r="AP8" s="4">
        <f>IFERROR(ROUND(
(INDEX(生データ表[],MATCH($C8,生データ表['#],0),MATCH(AP$5,生データ表[#Headers],0))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39.557913801700003</v>
      </c>
      <c r="AQ8" s="4">
        <f>IFERROR(ROUND(
(INDEX(生データ表[],MATCH($C8,生データ表['#],0),MATCH(AQ$5,生データ表[#Headers],0))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59.445033094700001</v>
      </c>
      <c r="AR8" s="4">
        <f>IFERROR(ROUND(
(INDEX(生データ表[],MATCH($C8,生データ表['#],0),MATCH(AR$5,生データ表[#Headers],0))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100</v>
      </c>
      <c r="AS8" s="4">
        <f>IFERROR(ROUND(
(INDEX(生データ表[],MATCH($C8,生データ表['#],0),MATCH(AS$5,生データ表[#Headers],0))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88.238216117600004</v>
      </c>
      <c r="AT8" s="4">
        <f>IFERROR(ROUND(
(INDEX(生データ表[],MATCH($C8,生データ表['#],0),MATCH(AT$5,生データ表[#Headers],0))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67.635031008799999</v>
      </c>
      <c r="AU8" s="4">
        <f>IFERROR(ROUND(
(INDEX(生データ表[],MATCH($C8,生データ表['#],0),MATCH(AU$5,生データ表[#Headers],0))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68.837052062200002</v>
      </c>
      <c r="AV8" s="4">
        <f>IFERROR(ROUND(
(INDEX(生データ表[],MATCH($C8,生データ表['#],0),MATCH(AV$5,生データ表[#Headers],0))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28.644975603799999</v>
      </c>
      <c r="AW8" s="4">
        <f>IFERROR(ROUND(
(INDEX(生データ表[],MATCH($C8,生データ表['#],0),MATCH(AW$5,生データ表[#Headers],0))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47.397611096399999</v>
      </c>
      <c r="AX8" s="4">
        <f>IFERROR(ROUND(
(INDEX(生データ表[],MATCH($C8,生データ表['#],0),MATCH(AX$5,生データ表[#Headers],0))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97.029199372400001</v>
      </c>
      <c r="AY8" s="4">
        <f>IFERROR(ROUND(
(INDEX(生データ表[],MATCH($C8,生データ表['#],0),MATCH(AY$5,生データ表[#Headers],0))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96.795952782499995</v>
      </c>
      <c r="AZ8" s="4">
        <f>IFERROR(ROUND(
(INDEX(生データ表[],MATCH($C8,生データ表['#],0),MATCH(AZ$5,生データ表[#Headers],0))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79.731851672900007</v>
      </c>
      <c r="BA8" s="4">
        <f>IFERROR(ROUND(
(INDEX(生データ表[],MATCH($C8,生データ表['#],0),MATCH(BA$5,生データ表[#Headers],0))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79.558602101000005</v>
      </c>
      <c r="BB8" s="4">
        <f>IFERROR(ROUND(
(INDEX(生データ表[],MATCH($C8,生データ表['#],0),MATCH(BB$5,生データ表[#Headers],0))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83.276426823999998</v>
      </c>
      <c r="BC8" s="4">
        <f>IFERROR(ROUND(
(INDEX(生データ表[],MATCH($C8,生データ表['#],0),MATCH(BC$5,生データ表[#Headers],0))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42.771112084899997</v>
      </c>
      <c r="BD8" s="4">
        <f>IFERROR(ROUND(
(INDEX(生データ表[],MATCH($C8,生データ表['#],0),MATCH(BD$5,生データ表[#Headers],0))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84.858753760200003</v>
      </c>
      <c r="BE8" s="4">
        <f>IFERROR(ROUND(
(INDEX(生データ表[],MATCH($C8,生データ表['#],0),MATCH(BE$5,生データ表[#Headers],0))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71.881787993399996</v>
      </c>
      <c r="BF8" s="4">
        <f>IFERROR(ROUND(
(INDEX(生データ表[],MATCH($C8,生データ表['#],0),MATCH(BF$5,生データ表[#Headers],0))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69.208493243000007</v>
      </c>
      <c r="BG8" s="4">
        <f>IFERROR(ROUND(
(INDEX(生データ表[],MATCH($C8,生データ表['#],0),MATCH(BG$5,生データ表[#Headers],0))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73.777229757499995</v>
      </c>
      <c r="BH8" s="4">
        <f>IFERROR(ROUND(
(INDEX(生データ表[],MATCH($C8,生データ表['#],0),MATCH(BH$5,生データ表[#Headers],0))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26.337903582500001</v>
      </c>
      <c r="BI8" s="4">
        <f>IFERROR(ROUND(
(INDEX(生データ表[],MATCH($C8,生データ表['#],0),MATCH(BI$5,生データ表[#Headers],0))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43.117802202</v>
      </c>
      <c r="BJ8" s="4">
        <f>IFERROR(ROUND(
(INDEX(生データ表[],MATCH($C8,生データ表['#],0),MATCH(BJ$5,生データ表[#Headers],0))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96.499893563399993</v>
      </c>
      <c r="BK8" s="4">
        <f>IFERROR(ROUND(
(INDEX(生データ表[],MATCH($C8,生データ表['#],0),MATCH(BK$5,生データ表[#Headers],0))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85.3273137698</v>
      </c>
      <c r="BL8" s="4">
        <f>IFERROR(ROUND(
(INDEX(生データ表[],MATCH($C8,生データ表['#],0),MATCH(BL$5,生データ表[#Headers],0))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62.404394088499998</v>
      </c>
      <c r="BM8" s="4">
        <f>IFERROR(ROUND(
(INDEX(生データ表[],MATCH($C8,生データ表['#],0),MATCH(BM$5,生データ表[#Headers],0))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54.281567489099999</v>
      </c>
      <c r="BN8" s="4">
        <f>IFERROR(ROUND(
(INDEX(生データ表[],MATCH($C8,生データ表['#],0),MATCH(BN$5,生データ表[#Headers],0))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82.859861860300001</v>
      </c>
      <c r="BO8" s="4">
        <f>IFERROR(ROUND(
(INDEX(生データ表[],MATCH($C8,生データ表['#],0),MATCH(BO$5,生データ表[#Headers],0))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38.448613813599998</v>
      </c>
      <c r="BP8" s="4">
        <f>IFERROR(ROUND(
(INDEX(生データ表[],MATCH($C8,生データ表['#],0),MATCH(BP$5,生データ表[#Headers],0))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100</v>
      </c>
      <c r="BQ8" s="4">
        <f>IFERROR(ROUND(
(INDEX(生データ表[],MATCH($C8,生データ表['#],0),MATCH(BQ$5,生データ表[#Headers],0))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27.316848119300001</v>
      </c>
      <c r="BR8" s="4">
        <f>IFERROR(ROUND(
(INDEX(生データ表[],MATCH($C8,生データ表['#],0),MATCH(BR$5,生データ表[#Headers],0))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100</v>
      </c>
      <c r="BS8" s="4">
        <f>IFERROR(ROUND(
(INDEX(生データ表[],MATCH($C8,生データ表['#],0),MATCH(BS$5,生データ表[#Headers],0))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79.549347002100006</v>
      </c>
      <c r="BT8" s="4">
        <f>IFERROR(ROUND(
(INDEX(生データ表[],MATCH($C8,生データ表['#],0),MATCH(BT$5,生データ表[#Headers],0))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31.3865256381</v>
      </c>
      <c r="BU8" s="4">
        <f>IFERROR(ROUND(
(INDEX(生データ表[],MATCH($C8,生データ表['#],0),MATCH(BU$5,生データ表[#Headers],0))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92.3532212426</v>
      </c>
      <c r="BV8" s="4">
        <f>IFERROR(ROUND(
(INDEX(生データ表[],MATCH($C8,生データ表['#],0),MATCH(BV$5,生データ表[#Headers],0))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11.606405880700001</v>
      </c>
      <c r="BW8" s="4">
        <f>IFERROR(ROUND(
(INDEX(生データ表[],MATCH($C8,生データ表['#],0),MATCH(BW$5,生データ表[#Headers],0))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45.1192579505</v>
      </c>
      <c r="BX8" s="4">
        <f>IFERROR(ROUND(
(INDEX(生データ表[],MATCH($C8,生データ表['#],0),MATCH(BX$5,生データ表[#Headers],0))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0</v>
      </c>
      <c r="BY8" s="4">
        <f>IFERROR(ROUND(
(INDEX(生データ表[],MATCH($C8,生データ表['#],0),MATCH(BY$5,生データ表[#Headers],0))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7.0616165092000003</v>
      </c>
      <c r="BZ8" s="4">
        <f t="shared" si="0"/>
        <v>57.464798913549998</v>
      </c>
      <c r="CA8" s="4">
        <f t="shared" si="0"/>
        <v>49.200177575799998</v>
      </c>
      <c r="CB8" s="4">
        <f t="shared" si="0"/>
        <v>13.70060641435</v>
      </c>
      <c r="CC8" s="4">
        <f t="shared" si="0"/>
        <v>69.491833685399996</v>
      </c>
      <c r="CD8" s="4">
        <f t="shared" si="0"/>
        <v>79.675282168466666</v>
      </c>
      <c r="CE8" s="4">
        <f t="shared" si="0"/>
        <v>66.677321300149998</v>
      </c>
      <c r="CF8" s="4">
        <f t="shared" si="0"/>
        <v>75.847382511199996</v>
      </c>
      <c r="CG8" s="4">
        <f t="shared" si="0"/>
        <v>62.475157881866664</v>
      </c>
      <c r="CH8" s="4">
        <f t="shared" si="0"/>
        <v>43.11790693453333</v>
      </c>
      <c r="CI8" s="4">
        <f t="shared" si="0"/>
        <v>55.334873342600005</v>
      </c>
      <c r="CJ8" s="4">
        <f t="shared" si="1"/>
        <v>76.666666666666671</v>
      </c>
      <c r="CK8" s="4">
        <f t="shared" si="1"/>
        <v>92.811061217533336</v>
      </c>
      <c r="CL8" s="4">
        <f t="shared" si="1"/>
        <v>63.044808028525004</v>
      </c>
      <c r="CM8" s="4">
        <f t="shared" si="1"/>
        <v>79.722516547349997</v>
      </c>
      <c r="CN8" s="4">
        <f t="shared" si="1"/>
        <v>74.903433062866668</v>
      </c>
      <c r="CO8" s="4">
        <f t="shared" si="1"/>
        <v>38.021293350099995</v>
      </c>
      <c r="CP8" s="4">
        <f t="shared" si="1"/>
        <v>96.912576077449998</v>
      </c>
      <c r="CQ8" s="4">
        <f t="shared" si="1"/>
        <v>80.85562686596667</v>
      </c>
      <c r="CR8" s="4">
        <f t="shared" si="1"/>
        <v>67.180036770374997</v>
      </c>
      <c r="CS8" s="4">
        <f t="shared" si="1"/>
        <v>47.744311847333336</v>
      </c>
      <c r="CT8" s="4">
        <f t="shared" si="2"/>
        <v>81.410533807233335</v>
      </c>
      <c r="CU8" s="4">
        <f t="shared" si="2"/>
        <v>58.530014387666661</v>
      </c>
      <c r="CV8" s="4">
        <f t="shared" si="2"/>
        <v>63.658424059650002</v>
      </c>
      <c r="CW8" s="4">
        <f t="shared" si="2"/>
        <v>89.774673501050003</v>
      </c>
      <c r="CX8" s="4">
        <f t="shared" si="2"/>
        <v>45.115384253799995</v>
      </c>
      <c r="CY8" s="4">
        <f t="shared" si="2"/>
        <v>17.393624819900001</v>
      </c>
      <c r="CZ8" s="4">
        <f t="shared" si="3"/>
        <v>336.21002005771663</v>
      </c>
      <c r="DA8" s="4">
        <f t="shared" si="3"/>
        <v>181.4404473276</v>
      </c>
      <c r="DB8" s="4">
        <f t="shared" si="3"/>
        <v>367.57992580267501</v>
      </c>
      <c r="DC8" s="4">
        <f t="shared" si="3"/>
        <v>357.87296612675834</v>
      </c>
      <c r="DD8" s="4">
        <f t="shared" si="3"/>
        <v>187.68486004223331</v>
      </c>
      <c r="DE8" s="4">
        <f t="shared" si="3"/>
        <v>215.94210663439998</v>
      </c>
      <c r="DF8" s="76">
        <f t="shared" si="4"/>
        <v>1646.7303259913833</v>
      </c>
    </row>
    <row r="9" spans="1:110">
      <c r="A9" s="2">
        <v>4</v>
      </c>
      <c r="B9" s="58">
        <f>INDEX(順位表[Comprehensive],MATCH($C9,順位表['#],0))</f>
        <v>4</v>
      </c>
      <c r="C9" s="3">
        <v>4</v>
      </c>
      <c r="D9" s="1" t="str">
        <f>INDEX(都市マスタ[City Name],MATCH($C9,都市マスタ['#],0))</f>
        <v>Paris</v>
      </c>
      <c r="E9" s="4">
        <f>IFERROR(ROUND(
(INDEX(生データ表[],MATCH($C9,生データ表['#],0),MATCH(E$5,生データ表[#Headers],0))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7.6869307604000001</v>
      </c>
      <c r="F9" s="4">
        <f>IFERROR(ROUND(
(INDEX(生データ表[],MATCH($C9,生データ表['#],0),MATCH(F$5,生データ表[#Headers],0))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0.54611666999999997</v>
      </c>
      <c r="G9" s="4">
        <f>IFERROR(ROUND(
(INDEX(生データ表[],MATCH($C9,生データ表['#],0),MATCH(G$5,生データ表[#Headers],0))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9" s="4">
        <f>IFERROR(ROUND(
(INDEX(生データ表[],MATCH($C9,生データ表['#],0),MATCH(H$5,生データ表[#Headers],0))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30.033245540799999</v>
      </c>
      <c r="I9" s="4">
        <f>IFERROR(ROUND(
(INDEX(生データ表[],MATCH($C9,生データ表['#],0),MATCH(I$5,生データ表[#Headers],0))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58.370432885600003</v>
      </c>
      <c r="J9" s="4">
        <f>IFERROR(ROUND(
(INDEX(生データ表[],MATCH($C9,生データ表['#],0),MATCH(J$5,生データ表[#Headers],0))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27.229622378199998</v>
      </c>
      <c r="K9" s="4">
        <f>IFERROR(ROUND(
(INDEX(生データ表[],MATCH($C9,生データ表['#],0),MATCH(K$5,生データ表[#Headers],0))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42.950666354900001</v>
      </c>
      <c r="L9" s="4">
        <f>IFERROR(ROUND(
(INDEX(生データ表[],MATCH($C9,生データ表['#],0),MATCH(L$5,生データ表[#Headers],0))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7.3632429524000003</v>
      </c>
      <c r="M9" s="4">
        <f>IFERROR(ROUND(
(INDEX(生データ表[],MATCH($C9,生データ表['#],0),MATCH(M$5,生データ表[#Headers],0))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31.8003258098</v>
      </c>
      <c r="N9" s="4">
        <f>IFERROR(ROUND(
(INDEX(生データ表[],MATCH($C9,生データ表['#],0),MATCH(N$5,生データ表[#Headers],0))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14.253170948899999</v>
      </c>
      <c r="O9" s="4">
        <f>IFERROR(ROUND(
(INDEX(生データ表[],MATCH($C9,生データ表['#],0),MATCH(O$5,生データ表[#Headers],0))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75.500201306099996</v>
      </c>
      <c r="P9" s="4">
        <f>IFERROR(ROUND(
(INDEX(生データ表[],MATCH($C9,生データ表['#],0),MATCH(P$5,生データ表[#Headers],0))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39.833036151400002</v>
      </c>
      <c r="Q9" s="4">
        <f>IFERROR(ROUND(
(INDEX(生データ表[],MATCH($C9,生データ表['#],0),MATCH(Q$5,生データ表[#Headers],0))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49.260429261200002</v>
      </c>
      <c r="R9" s="4">
        <f>IFERROR(ROUND(
(INDEX(生データ表[],MATCH($C9,生データ表['#],0),MATCH(R$5,生データ表[#Headers],0))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58.317746320700003</v>
      </c>
      <c r="S9" s="4">
        <f>IFERROR(ROUND(
(INDEX(生データ表[],MATCH($C9,生データ表['#],0),MATCH(S$5,生データ表[#Headers],0))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38.461538461499998</v>
      </c>
      <c r="T9" s="4">
        <f>IFERROR(ROUND(
(INDEX(生データ表[],MATCH($C9,生データ表['#],0),MATCH(T$5,生データ表[#Headers],0))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81.886756324800004</v>
      </c>
      <c r="U9" s="4">
        <f>IFERROR(ROUND(
(INDEX(生データ表[],MATCH($C9,生データ表['#],0),MATCH(U$5,生データ表[#Headers],0))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21.137243769400001</v>
      </c>
      <c r="V9" s="4">
        <f>IFERROR(ROUND(
(INDEX(生データ表[],MATCH($C9,生データ表['#],0),MATCH(V$5,生データ表[#Headers],0))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72.005044136199999</v>
      </c>
      <c r="W9" s="4">
        <f>IFERROR(ROUND(
(INDEX(生データ表[],MATCH($C9,生データ表['#],0),MATCH(W$5,生データ表[#Headers],0))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16.839230486000002</v>
      </c>
      <c r="X9" s="4">
        <f>IFERROR(ROUND(
(INDEX(生データ表[],MATCH($C9,生データ表['#],0),MATCH(X$5,生データ表[#Headers],0))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36.311626780200001</v>
      </c>
      <c r="Y9" s="4">
        <f>IFERROR(ROUND(
(INDEX(生データ表[],MATCH($C9,生データ表['#],0),MATCH(Y$5,生データ表[#Headers],0))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64.646767497400006</v>
      </c>
      <c r="Z9" s="4">
        <f>IFERROR(ROUND(
(INDEX(生データ表[],MATCH($C9,生データ表['#],0),MATCH(Z$5,生データ表[#Headers],0))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3.1021826022000001</v>
      </c>
      <c r="AA9" s="4">
        <f>IFERROR(ROUND(
(INDEX(生データ表[],MATCH($C9,生データ表['#],0),MATCH(AA$5,生データ表[#Headers],0))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40.716612377899999</v>
      </c>
      <c r="AB9" s="4">
        <f>IFERROR(ROUND(
(INDEX(生データ表[],MATCH($C9,生データ表['#],0),MATCH(AB$5,生データ表[#Headers],0))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23.510638297900002</v>
      </c>
      <c r="AC9" s="4">
        <f>IFERROR(ROUND(
(INDEX(生データ表[],MATCH($C9,生データ表['#],0),MATCH(AC$5,生データ表[#Headers],0))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47.634069400599998</v>
      </c>
      <c r="AD9" s="4">
        <f>IFERROR(ROUND(
(INDEX(生データ表[],MATCH($C9,生データ表['#],0),MATCH(AD$5,生データ表[#Headers],0))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14.5454545455</v>
      </c>
      <c r="AE9" s="4">
        <f>IFERROR(ROUND(
(INDEX(生データ表[],MATCH($C9,生データ表['#],0),MATCH(AE$5,生データ表[#Headers],0))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14.635876295299999</v>
      </c>
      <c r="AF9" s="4">
        <f>IFERROR(ROUND(
(INDEX(生データ表[],MATCH($C9,生データ表['#],0),MATCH(AF$5,生データ表[#Headers],0))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30.099998962000001</v>
      </c>
      <c r="AG9" s="4">
        <f>IFERROR(ROUND(
(INDEX(生データ表[],MATCH($C9,生データ表['#],0),MATCH(AG$5,生データ表[#Headers],0))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82.294780052700006</v>
      </c>
      <c r="AH9" s="4">
        <f>IFERROR(ROUND(
(INDEX(生データ表[],MATCH($C9,生データ表['#],0),MATCH(AH$5,生データ表[#Headers],0))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41.875</v>
      </c>
      <c r="AI9" s="4">
        <f>IFERROR(ROUND(
(INDEX(生データ表[],MATCH($C9,生データ表['#],0),MATCH(AI$5,生データ表[#Headers],0))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61.123569918199998</v>
      </c>
      <c r="AJ9" s="4">
        <f>IFERROR(ROUND(
(INDEX(生データ表[],MATCH($C9,生データ表['#],0),MATCH(AJ$5,生データ表[#Headers],0))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100</v>
      </c>
      <c r="AK9" s="4">
        <f>IFERROR(ROUND(
(INDEX(生データ表[],MATCH($C9,生データ表['#],0),MATCH(AK$5,生データ表[#Headers],0))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67.465753424699997</v>
      </c>
      <c r="AL9" s="4">
        <f>IFERROR(ROUND(
(INDEX(生データ表[],MATCH($C9,生データ表['#],0),MATCH(AL$5,生データ表[#Headers],0))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47.368421052599999</v>
      </c>
      <c r="AM9" s="4">
        <f>IFERROR(ROUND(
(INDEX(生データ表[],MATCH($C9,生データ表['#],0),MATCH(AM$5,生データ表[#Headers],0))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71.641548107099993</v>
      </c>
      <c r="AN9" s="4">
        <f>IFERROR(ROUND(
(INDEX(生データ表[],MATCH($C9,生データ表['#],0),MATCH(AN$5,生データ表[#Headers],0))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27.784240494700001</v>
      </c>
      <c r="AO9" s="4">
        <f>IFERROR(ROUND(
(INDEX(生データ表[],MATCH($C9,生データ表['#],0),MATCH(AO$5,生データ表[#Headers],0))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88.452758054399993</v>
      </c>
      <c r="AP9" s="4">
        <f>IFERROR(ROUND(
(INDEX(生データ表[],MATCH($C9,生データ表['#],0),MATCH(AP$5,生データ表[#Headers],0))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65.612392426</v>
      </c>
      <c r="AQ9" s="4">
        <f>IFERROR(ROUND(
(INDEX(生データ表[],MATCH($C9,生データ表['#],0),MATCH(AQ$5,生データ表[#Headers],0))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9.2598845153999996</v>
      </c>
      <c r="AR9" s="4">
        <f>IFERROR(ROUND(
(INDEX(生データ表[],MATCH($C9,生データ表['#],0),MATCH(AR$5,生データ表[#Headers],0))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45.258329842899997</v>
      </c>
      <c r="AS9" s="4">
        <f>IFERROR(ROUND(
(INDEX(生データ表[],MATCH($C9,生データ表['#],0),MATCH(AS$5,生データ表[#Headers],0))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84.648722174200003</v>
      </c>
      <c r="AT9" s="4">
        <f>IFERROR(ROUND(
(INDEX(生データ表[],MATCH($C9,生データ表['#],0),MATCH(AT$5,生データ表[#Headers],0))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92.973667127200002</v>
      </c>
      <c r="AU9" s="4">
        <f>IFERROR(ROUND(
(INDEX(生データ表[],MATCH($C9,生データ表['#],0),MATCH(AU$5,生データ表[#Headers],0))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50.564263322899997</v>
      </c>
      <c r="AV9" s="4">
        <f>IFERROR(ROUND(
(INDEX(生データ表[],MATCH($C9,生データ表['#],0),MATCH(AV$5,生データ表[#Headers],0))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60.203176358299999</v>
      </c>
      <c r="AW9" s="4">
        <f>IFERROR(ROUND(
(INDEX(生データ表[],MATCH($C9,生データ表['#],0),MATCH(AW$5,生データ表[#Headers],0))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53.159365935099999</v>
      </c>
      <c r="AX9" s="4">
        <f>IFERROR(ROUND(
(INDEX(生データ表[],MATCH($C9,生データ表['#],0),MATCH(AX$5,生データ表[#Headers],0))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98.130634830800005</v>
      </c>
      <c r="AY9" s="4">
        <f>IFERROR(ROUND(
(INDEX(生データ表[],MATCH($C9,生データ表['#],0),MATCH(AY$5,生データ表[#Headers],0))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97.976391230999994</v>
      </c>
      <c r="AZ9" s="4">
        <f>IFERROR(ROUND(
(INDEX(生データ表[],MATCH($C9,生データ表['#],0),MATCH(AZ$5,生データ表[#Headers],0))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85.179369489099997</v>
      </c>
      <c r="BA9" s="4">
        <f>IFERROR(ROUND(
(INDEX(生データ表[],MATCH($C9,生データ表['#],0),MATCH(BA$5,生データ表[#Headers],0))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73.814209256300003</v>
      </c>
      <c r="BB9" s="4">
        <f>IFERROR(ROUND(
(INDEX(生データ表[],MATCH($C9,生データ表['#],0),MATCH(BB$5,生データ表[#Headers],0))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74.125095735000002</v>
      </c>
      <c r="BC9" s="4">
        <f>IFERROR(ROUND(
(INDEX(生データ表[],MATCH($C9,生データ表['#],0),MATCH(BC$5,生データ表[#Headers],0))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79.442937119899995</v>
      </c>
      <c r="BD9" s="4">
        <f>IFERROR(ROUND(
(INDEX(生データ表[],MATCH($C9,生データ表['#],0),MATCH(BD$5,生データ表[#Headers],0))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62.062608893300002</v>
      </c>
      <c r="BE9" s="4">
        <f>IFERROR(ROUND(
(INDEX(生データ表[],MATCH($C9,生データ表['#],0),MATCH(BE$5,生データ表[#Headers],0))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100</v>
      </c>
      <c r="BF9" s="4">
        <f>IFERROR(ROUND(
(INDEX(生データ表[],MATCH($C9,生データ表['#],0),MATCH(BF$5,生データ表[#Headers],0))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84.425304413099994</v>
      </c>
      <c r="BG9" s="4">
        <f>IFERROR(ROUND(
(INDEX(生データ表[],MATCH($C9,生データ表['#],0),MATCH(BG$5,生データ表[#Headers],0))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81.589680356599999</v>
      </c>
      <c r="BH9" s="4">
        <f>IFERROR(ROUND(
(INDEX(生データ表[],MATCH($C9,生データ表['#],0),MATCH(BH$5,生データ表[#Headers],0))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24.237063246400002</v>
      </c>
      <c r="BI9" s="4">
        <f>IFERROR(ROUND(
(INDEX(生データ表[],MATCH($C9,生データ表['#],0),MATCH(BI$5,生データ表[#Headers],0))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39.016610169400003</v>
      </c>
      <c r="BJ9" s="4">
        <f>IFERROR(ROUND(
(INDEX(生データ表[],MATCH($C9,生データ表['#],0),MATCH(BJ$5,生データ表[#Headers],0))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72.703735307200006</v>
      </c>
      <c r="BK9" s="4">
        <f>IFERROR(ROUND(
(INDEX(生データ表[],MATCH($C9,生データ表['#],0),MATCH(BK$5,生データ表[#Headers],0))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78.329571106100005</v>
      </c>
      <c r="BL9" s="4">
        <f>IFERROR(ROUND(
(INDEX(生データ表[],MATCH($C9,生データ表['#],0),MATCH(BL$5,生データ表[#Headers],0))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63.219219731800003</v>
      </c>
      <c r="BM9" s="4">
        <f>IFERROR(ROUND(
(INDEX(生データ表[],MATCH($C9,生データ表['#],0),MATCH(BM$5,生データ表[#Headers],0))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51.523947750399998</v>
      </c>
      <c r="BN9" s="4">
        <f>IFERROR(ROUND(
(INDEX(生データ表[],MATCH($C9,生データ表['#],0),MATCH(BN$5,生データ表[#Headers],0))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42.3050944696</v>
      </c>
      <c r="BO9" s="4">
        <f>IFERROR(ROUND(
(INDEX(生データ表[],MATCH($C9,生データ表['#],0),MATCH(BO$5,生データ表[#Headers],0))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0.8218143698</v>
      </c>
      <c r="BP9" s="4">
        <f>IFERROR(ROUND(
(INDEX(生データ表[],MATCH($C9,生データ表['#],0),MATCH(BP$5,生データ表[#Headers],0))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81.793478260900002</v>
      </c>
      <c r="BQ9" s="4">
        <f>IFERROR(ROUND(
(INDEX(生データ表[],MATCH($C9,生データ表['#],0),MATCH(BQ$5,生データ表[#Headers],0))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27.7479797441</v>
      </c>
      <c r="BR9" s="4">
        <f>IFERROR(ROUND(
(INDEX(生データ表[],MATCH($C9,生データ表['#],0),MATCH(BR$5,生データ表[#Headers],0))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66.710314228399994</v>
      </c>
      <c r="BS9" s="4">
        <f>IFERROR(ROUND(
(INDEX(生データ表[],MATCH($C9,生データ表['#],0),MATCH(BS$5,生データ表[#Headers],0))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50.130704597099999</v>
      </c>
      <c r="BT9" s="4">
        <f>IFERROR(ROUND(
(INDEX(生データ表[],MATCH($C9,生データ表['#],0),MATCH(BT$5,生データ表[#Headers],0))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60.588641066900003</v>
      </c>
      <c r="BU9" s="4">
        <f>IFERROR(ROUND(
(INDEX(生データ表[],MATCH($C9,生データ表['#],0),MATCH(BU$5,生データ表[#Headers],0))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79.349004684700006</v>
      </c>
      <c r="BV9" s="4">
        <f>IFERROR(ROUND(
(INDEX(生データ表[],MATCH($C9,生データ表['#],0),MATCH(BV$5,生データ表[#Headers],0))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29.7849054267</v>
      </c>
      <c r="BW9" s="4">
        <f>IFERROR(ROUND(
(INDEX(生データ表[],MATCH($C9,生データ表['#],0),MATCH(BW$5,生データ表[#Headers],0))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51.479681978800002</v>
      </c>
      <c r="BX9" s="4">
        <f>IFERROR(ROUND(
(INDEX(生データ表[],MATCH($C9,生データ表['#],0),MATCH(BX$5,生データ表[#Headers],0))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19.560729189500002</v>
      </c>
      <c r="BY9" s="4">
        <f>IFERROR(ROUND(
(INDEX(生データ表[],MATCH($C9,生データ表['#],0),MATCH(BY$5,生データ表[#Headers],0))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50.8351842103</v>
      </c>
      <c r="BZ9" s="4">
        <f t="shared" si="0"/>
        <v>44.201839213200003</v>
      </c>
      <c r="CA9" s="4">
        <f t="shared" si="0"/>
        <v>35.09014436655</v>
      </c>
      <c r="CB9" s="4">
        <f t="shared" si="0"/>
        <v>19.5817843811</v>
      </c>
      <c r="CC9" s="4">
        <f t="shared" si="0"/>
        <v>44.876686127499994</v>
      </c>
      <c r="CD9" s="4">
        <f t="shared" si="0"/>
        <v>49.137070577766671</v>
      </c>
      <c r="CE9" s="4">
        <f t="shared" si="0"/>
        <v>60.174147393150001</v>
      </c>
      <c r="CF9" s="4">
        <f t="shared" si="0"/>
        <v>46.5711439528</v>
      </c>
      <c r="CG9" s="4">
        <f t="shared" si="0"/>
        <v>39.265874921200002</v>
      </c>
      <c r="CH9" s="4">
        <f t="shared" si="0"/>
        <v>22.443144426000003</v>
      </c>
      <c r="CI9" s="4">
        <f t="shared" si="0"/>
        <v>26.72884980085</v>
      </c>
      <c r="CJ9" s="4">
        <f t="shared" si="1"/>
        <v>61.764449990300001</v>
      </c>
      <c r="CK9" s="4">
        <f t="shared" si="1"/>
        <v>71.611391492433327</v>
      </c>
      <c r="CL9" s="4">
        <f t="shared" si="1"/>
        <v>63.372734770549997</v>
      </c>
      <c r="CM9" s="4">
        <f t="shared" si="1"/>
        <v>27.25910717915</v>
      </c>
      <c r="CN9" s="4">
        <f t="shared" si="1"/>
        <v>76.062217541433327</v>
      </c>
      <c r="CO9" s="4">
        <f t="shared" si="1"/>
        <v>56.681271146699999</v>
      </c>
      <c r="CP9" s="4">
        <f t="shared" si="1"/>
        <v>98.053513030900007</v>
      </c>
      <c r="CQ9" s="4">
        <f t="shared" si="1"/>
        <v>77.706224826799996</v>
      </c>
      <c r="CR9" s="4">
        <f t="shared" si="1"/>
        <v>81.482712606574992</v>
      </c>
      <c r="CS9" s="4">
        <f t="shared" si="1"/>
        <v>48.281117924133333</v>
      </c>
      <c r="CT9" s="4">
        <f t="shared" si="2"/>
        <v>71.417508715033335</v>
      </c>
      <c r="CU9" s="4">
        <f t="shared" si="2"/>
        <v>31.55028552993333</v>
      </c>
      <c r="CV9" s="4">
        <f t="shared" si="2"/>
        <v>54.770729002500005</v>
      </c>
      <c r="CW9" s="4">
        <f t="shared" si="2"/>
        <v>58.420509412749993</v>
      </c>
      <c r="CX9" s="4">
        <f t="shared" si="2"/>
        <v>56.574183726099996</v>
      </c>
      <c r="CY9" s="4">
        <f t="shared" si="2"/>
        <v>40.625198459533337</v>
      </c>
      <c r="CZ9" s="4">
        <f t="shared" si="3"/>
        <v>253.06167205926667</v>
      </c>
      <c r="DA9" s="4">
        <f t="shared" si="3"/>
        <v>108.2801633</v>
      </c>
      <c r="DB9" s="4">
        <f t="shared" si="3"/>
        <v>250.73653323328332</v>
      </c>
      <c r="DC9" s="4">
        <f t="shared" si="3"/>
        <v>389.98593915240826</v>
      </c>
      <c r="DD9" s="4">
        <f t="shared" si="3"/>
        <v>151.24891216909998</v>
      </c>
      <c r="DE9" s="4">
        <f t="shared" si="3"/>
        <v>210.39062060088332</v>
      </c>
      <c r="DF9" s="76">
        <f t="shared" si="4"/>
        <v>1363.7038405149415</v>
      </c>
    </row>
    <row r="10" spans="1:110" hidden="1">
      <c r="A10" s="2">
        <v>5</v>
      </c>
      <c r="B10" s="58">
        <f>INDEX(順位表[Comprehensive],MATCH($C10,順位表['#],0))</f>
        <v>24</v>
      </c>
      <c r="C10" s="3">
        <v>5</v>
      </c>
      <c r="D10" s="1" t="str">
        <f>INDEX(都市マスタ[City Name],MATCH($C10,都市マスタ['#],0))</f>
        <v>Brussels</v>
      </c>
      <c r="E10" s="4">
        <f>IFERROR(ROUND(
(INDEX(生データ表[],MATCH($C10,生データ表['#],0),MATCH(E$5,生データ表[#Headers],0))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4.1226122051000003</v>
      </c>
      <c r="F10" s="4">
        <f>IFERROR(ROUND(
(INDEX(生データ表[],MATCH($C10,生データ表['#],0),MATCH(F$5,生データ表[#Headers],0))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0.89400467859999999</v>
      </c>
      <c r="G10" s="4">
        <f>IFERROR(ROUND(
(INDEX(生データ表[],MATCH($C10,生データ表['#],0),MATCH(G$5,生データ表[#Headers],0))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10" s="4">
        <f>IFERROR(ROUND(
(INDEX(生データ表[],MATCH($C10,生データ表['#],0),MATCH(H$5,生データ表[#Headers],0))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9.4274123408000001</v>
      </c>
      <c r="I10" s="4">
        <f>IFERROR(ROUND(
(INDEX(生データ表[],MATCH($C10,生データ表['#],0),MATCH(I$5,生データ表[#Headers],0))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37.746705888199998</v>
      </c>
      <c r="J10" s="4">
        <f>IFERROR(ROUND(
(INDEX(生データ表[],MATCH($C10,生データ表['#],0),MATCH(J$5,生データ表[#Headers],0))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22.978222580200001</v>
      </c>
      <c r="K10" s="4">
        <f>IFERROR(ROUND(
(INDEX(生データ表[],MATCH($C10,生データ表['#],0),MATCH(K$5,生データ表[#Headers],0))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52.7706336217</v>
      </c>
      <c r="L10" s="4">
        <f>IFERROR(ROUND(
(INDEX(生データ表[],MATCH($C10,生データ表['#],0),MATCH(L$5,生データ表[#Headers],0))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0.83396999810000005</v>
      </c>
      <c r="M10" s="4">
        <f>IFERROR(ROUND(
(INDEX(生データ表[],MATCH($C10,生データ表['#],0),MATCH(M$5,生データ表[#Headers],0))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10" s="4">
        <f>IFERROR(ROUND(
(INDEX(生データ表[],MATCH($C10,生データ表['#],0),MATCH(N$5,生データ表[#Headers],0))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4.6187928724000002</v>
      </c>
      <c r="O10" s="4">
        <f>IFERROR(ROUND(
(INDEX(生データ表[],MATCH($C10,生データ表['#],0),MATCH(O$5,生データ表[#Headers],0))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70.769680758099994</v>
      </c>
      <c r="P10" s="4">
        <f>IFERROR(ROUND(
(INDEX(生データ表[],MATCH($C10,生データ表['#],0),MATCH(P$5,生データ表[#Headers],0))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44.115309496000002</v>
      </c>
      <c r="Q10" s="4">
        <f>IFERROR(ROUND(
(INDEX(生データ表[],MATCH($C10,生データ表['#],0),MATCH(Q$5,生データ表[#Headers],0))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69.198561758699995</v>
      </c>
      <c r="R10" s="4">
        <f>IFERROR(ROUND(
(INDEX(生データ表[],MATCH($C10,生データ表['#],0),MATCH(R$5,生データ表[#Headers],0))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19.2804003633</v>
      </c>
      <c r="S10" s="4">
        <f>IFERROR(ROUND(
(INDEX(生データ表[],MATCH($C10,生データ表['#],0),MATCH(S$5,生データ表[#Headers],0))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38.461538461499998</v>
      </c>
      <c r="T10" s="4">
        <f>IFERROR(ROUND(
(INDEX(生データ表[],MATCH($C10,生データ表['#],0),MATCH(T$5,生データ表[#Headers],0))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78.385754533099998</v>
      </c>
      <c r="U10" s="4">
        <f>IFERROR(ROUND(
(INDEX(生データ表[],MATCH($C10,生データ表['#],0),MATCH(U$5,生データ表[#Headers],0))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9.1687948216000006</v>
      </c>
      <c r="V10" s="4">
        <f>IFERROR(ROUND(
(INDEX(生データ表[],MATCH($C10,生データ表['#],0),MATCH(V$5,生データ表[#Headers],0))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44.892812105899999</v>
      </c>
      <c r="W10" s="4">
        <f>IFERROR(ROUND(
(INDEX(生データ表[],MATCH($C10,生データ表['#],0),MATCH(W$5,生データ表[#Headers],0))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6.3126963454</v>
      </c>
      <c r="X10" s="4">
        <f>IFERROR(ROUND(
(INDEX(生データ表[],MATCH($C10,生データ表['#],0),MATCH(X$5,生データ表[#Headers],0))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23.250450219200001</v>
      </c>
      <c r="Y10" s="4">
        <f>IFERROR(ROUND(
(INDEX(生データ表[],MATCH($C10,生データ表['#],0),MATCH(Y$5,生データ表[#Headers],0))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67.280929919200005</v>
      </c>
      <c r="Z10" s="4">
        <f>IFERROR(ROUND(
(INDEX(生データ表[],MATCH($C10,生データ表['#],0),MATCH(Z$5,生データ表[#Headers],0))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0.49115302700000002</v>
      </c>
      <c r="AA10" s="4">
        <f>IFERROR(ROUND(
(INDEX(生データ表[],MATCH($C10,生データ表['#],0),MATCH(AA$5,生データ表[#Headers],0))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3.5830618893000001</v>
      </c>
      <c r="AB10" s="4">
        <f>IFERROR(ROUND(
(INDEX(生データ表[],MATCH($C10,生データ表['#],0),MATCH(AB$5,生データ表[#Headers],0))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1.3475177304999999</v>
      </c>
      <c r="AC10" s="4">
        <f>IFERROR(ROUND(
(INDEX(生データ表[],MATCH($C10,生データ表['#],0),MATCH(AC$5,生データ表[#Headers],0))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100</v>
      </c>
      <c r="AD10" s="4">
        <f>IFERROR(ROUND(
(INDEX(生データ表[],MATCH($C10,生データ表['#],0),MATCH(AD$5,生データ表[#Headers],0))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30.909090909100001</v>
      </c>
      <c r="AE10" s="4">
        <f>IFERROR(ROUND(
(INDEX(生データ表[],MATCH($C10,生データ表['#],0),MATCH(AE$5,生データ表[#Headers],0))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12.0115878771</v>
      </c>
      <c r="AF10" s="4">
        <f>IFERROR(ROUND(
(INDEX(生データ表[],MATCH($C10,生データ表['#],0),MATCH(AF$5,生データ表[#Headers],0))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4.9466657246999999</v>
      </c>
      <c r="AG10" s="4">
        <f>IFERROR(ROUND(
(INDEX(生データ表[],MATCH($C10,生データ表['#],0),MATCH(AG$5,生データ表[#Headers],0))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24.240005006899999</v>
      </c>
      <c r="AH10" s="4">
        <f>IFERROR(ROUND(
(INDEX(生データ表[],MATCH($C10,生データ表['#],0),MATCH(AH$5,生データ表[#Headers],0))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95.625</v>
      </c>
      <c r="AI10" s="4">
        <f>IFERROR(ROUND(
(INDEX(生データ表[],MATCH($C10,生データ表['#],0),MATCH(AI$5,生データ表[#Headers],0))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21.006564588300002</v>
      </c>
      <c r="AJ10" s="4">
        <f>IFERROR(ROUND(
(INDEX(生データ表[],MATCH($C10,生データ表['#],0),MATCH(AJ$5,生データ表[#Headers],0))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15.975103734399999</v>
      </c>
      <c r="AK10" s="4">
        <f>IFERROR(ROUND(
(INDEX(生データ表[],MATCH($C10,生データ表['#],0),MATCH(AK$5,生データ表[#Headers],0))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26.027397260299999</v>
      </c>
      <c r="AL10" s="4">
        <f>IFERROR(ROUND(
(INDEX(生データ表[],MATCH($C10,生データ表['#],0),MATCH(AL$5,生データ表[#Headers],0))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15.789473684200001</v>
      </c>
      <c r="AM10" s="4">
        <f>IFERROR(ROUND(
(INDEX(生データ表[],MATCH($C10,生データ表['#],0),MATCH(AM$5,生データ表[#Headers],0))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9.5798167349999996</v>
      </c>
      <c r="AN10" s="4">
        <f>IFERROR(ROUND(
(INDEX(生データ表[],MATCH($C10,生データ表['#],0),MATCH(AN$5,生データ表[#Headers],0))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4.5000918386000004</v>
      </c>
      <c r="AO10" s="4">
        <f>IFERROR(ROUND(
(INDEX(生データ表[],MATCH($C10,生データ表['#],0),MATCH(AO$5,生データ表[#Headers],0))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29.590029270999999</v>
      </c>
      <c r="AP10" s="4">
        <f>IFERROR(ROUND(
(INDEX(生データ表[],MATCH($C10,生データ表['#],0),MATCH(AP$5,生データ表[#Headers],0))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31.246683577399999</v>
      </c>
      <c r="AQ10" s="4">
        <f>IFERROR(ROUND(
(INDEX(生データ表[],MATCH($C10,生データ表['#],0),MATCH(AQ$5,生データ表[#Headers],0))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13.2418988288</v>
      </c>
      <c r="AR10" s="4">
        <f>IFERROR(ROUND(
(INDEX(生データ表[],MATCH($C10,生データ表['#],0),MATCH(AR$5,生データ表[#Headers],0))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9.8955877902000005</v>
      </c>
      <c r="AS10" s="4">
        <f>IFERROR(ROUND(
(INDEX(生データ表[],MATCH($C10,生データ表['#],0),MATCH(AS$5,生データ表[#Headers],0))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67.892833909100005</v>
      </c>
      <c r="AT10" s="4">
        <f>IFERROR(ROUND(
(INDEX(生データ表[],MATCH($C10,生データ表['#],0),MATCH(AT$5,生データ表[#Headers],0))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79.821313067899993</v>
      </c>
      <c r="AU10" s="4">
        <f>IFERROR(ROUND(
(INDEX(生データ表[],MATCH($C10,生データ表['#],0),MATCH(AU$5,生データ表[#Headers],0))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28.868258178600001</v>
      </c>
      <c r="AV10" s="4">
        <f>IFERROR(ROUND(
(INDEX(生データ表[],MATCH($C10,生データ表['#],0),MATCH(AV$5,生データ表[#Headers],0))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74.4231275633</v>
      </c>
      <c r="AW10" s="4">
        <f>IFERROR(ROUND(
(INDEX(生データ表[],MATCH($C10,生データ表['#],0),MATCH(AW$5,生データ表[#Headers],0))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58.1107660216</v>
      </c>
      <c r="AX10" s="4">
        <f>IFERROR(ROUND(
(INDEX(生データ表[],MATCH($C10,生データ表['#],0),MATCH(AX$5,生データ表[#Headers],0))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99.850753610799998</v>
      </c>
      <c r="AY10" s="4">
        <f>IFERROR(ROUND(
(INDEX(生データ表[],MATCH($C10,生データ表['#],0),MATCH(AY$5,生データ表[#Headers],0))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97.807757166900004</v>
      </c>
      <c r="AZ10" s="4">
        <f>IFERROR(ROUND(
(INDEX(生データ表[],MATCH($C10,生データ表['#],0),MATCH(AZ$5,生データ表[#Headers],0))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79.731851672900007</v>
      </c>
      <c r="BA10" s="4">
        <f>IFERROR(ROUND(
(INDEX(生データ表[],MATCH($C10,生データ表['#],0),MATCH(BA$5,生データ表[#Headers],0))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80.091369477900002</v>
      </c>
      <c r="BB10" s="4">
        <f>IFERROR(ROUND(
(INDEX(生データ表[],MATCH($C10,生データ表['#],0),MATCH(BB$5,生データ表[#Headers],0))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63.295298609100001</v>
      </c>
      <c r="BC10" s="4">
        <f>IFERROR(ROUND(
(INDEX(生データ表[],MATCH($C10,生データ表['#],0),MATCH(BC$5,生データ表[#Headers],0))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85.826521193100007</v>
      </c>
      <c r="BD10" s="4">
        <f>IFERROR(ROUND(
(INDEX(生データ表[],MATCH($C10,生データ表['#],0),MATCH(BD$5,生データ表[#Headers],0))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60.975633136699997</v>
      </c>
      <c r="BE10" s="4">
        <f>IFERROR(ROUND(
(INDEX(生データ表[],MATCH($C10,生データ表['#],0),MATCH(BE$5,生データ表[#Headers],0))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47.911349826799999</v>
      </c>
      <c r="BF10" s="4">
        <f>IFERROR(ROUND(
(INDEX(生データ表[],MATCH($C10,生データ表['#],0),MATCH(BF$5,生データ表[#Headers],0))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36.3666258656</v>
      </c>
      <c r="BG10" s="4">
        <f>IFERROR(ROUND(
(INDEX(生データ表[],MATCH($C10,生データ表['#],0),MATCH(BG$5,生データ表[#Headers],0))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32.470201397499999</v>
      </c>
      <c r="BH10" s="4">
        <f>IFERROR(ROUND(
(INDEX(生データ表[],MATCH($C10,生データ表['#],0),MATCH(BH$5,生データ表[#Headers],0))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18.089340999600001</v>
      </c>
      <c r="BI10" s="4">
        <f>IFERROR(ROUND(
(INDEX(生データ表[],MATCH($C10,生データ表['#],0),MATCH(BI$5,生データ表[#Headers],0))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53.317685624699998</v>
      </c>
      <c r="BJ10" s="4">
        <f>IFERROR(ROUND(
(INDEX(生データ表[],MATCH($C10,生データ表['#],0),MATCH(BJ$5,生データ表[#Headers],0))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73.4860464068</v>
      </c>
      <c r="BK10" s="4">
        <f>IFERROR(ROUND(
(INDEX(生データ表[],MATCH($C10,生データ表['#],0),MATCH(BK$5,生データ表[#Headers],0))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83.069977426600005</v>
      </c>
      <c r="BL10" s="4">
        <f>IFERROR(ROUND(
(INDEX(生データ表[],MATCH($C10,生データ表['#],0),MATCH(BL$5,生データ表[#Headers],0))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59.876537100100002</v>
      </c>
      <c r="BM10" s="4">
        <f>IFERROR(ROUND(
(INDEX(生データ表[],MATCH($C10,生データ表['#],0),MATCH(BM$5,生データ表[#Headers],0))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48.911465892599999</v>
      </c>
      <c r="BN10" s="4">
        <f>IFERROR(ROUND(
(INDEX(生データ表[],MATCH($C10,生データ表['#],0),MATCH(BN$5,生データ表[#Headers],0))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74.038612146600002</v>
      </c>
      <c r="BO10" s="4">
        <f>IFERROR(ROUND(
(INDEX(生データ表[],MATCH($C10,生データ表['#],0),MATCH(BO$5,生データ表[#Headers],0))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22.886709995099999</v>
      </c>
      <c r="BP10" s="4">
        <f>IFERROR(ROUND(
(INDEX(生データ表[],MATCH($C10,生データ表['#],0),MATCH(BP$5,生データ表[#Headers],0))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66.576086956500006</v>
      </c>
      <c r="BQ10" s="4">
        <f>IFERROR(ROUND(
(INDEX(生データ表[],MATCH($C10,生データ表['#],0),MATCH(BQ$5,生データ表[#Headers],0))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8.8791318255</v>
      </c>
      <c r="BR10" s="4">
        <f>IFERROR(ROUND(
(INDEX(生データ表[],MATCH($C10,生データ表['#],0),MATCH(BR$5,生データ表[#Headers],0))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16.7482846465</v>
      </c>
      <c r="BS10" s="4">
        <f>IFERROR(ROUND(
(INDEX(生データ表[],MATCH($C10,生データ表['#],0),MATCH(BS$5,生データ表[#Headers],0))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13.740741939999999</v>
      </c>
      <c r="BT10" s="4">
        <f>IFERROR(ROUND(
(INDEX(生データ表[],MATCH($C10,生データ表['#],0),MATCH(BT$5,生データ表[#Headers],0))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42.423545642699999</v>
      </c>
      <c r="BU10" s="4">
        <f>IFERROR(ROUND(
(INDEX(生データ表[],MATCH($C10,生データ表['#],0),MATCH(BU$5,生データ表[#Headers],0))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51.821630963200001</v>
      </c>
      <c r="BV10" s="4">
        <f>IFERROR(ROUND(
(INDEX(生データ表[],MATCH($C10,生データ表['#],0),MATCH(BV$5,生データ表[#Headers],0))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53.317445313599997</v>
      </c>
      <c r="BW10" s="4">
        <f>IFERROR(ROUND(
(INDEX(生データ表[],MATCH($C10,生データ表['#],0),MATCH(BW$5,生データ表[#Headers],0))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66.5967314488</v>
      </c>
      <c r="BX10" s="4">
        <f>IFERROR(ROUND(
(INDEX(生データ表[],MATCH($C10,生データ表['#],0),MATCH(BX$5,生データ表[#Headers],0))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21.388325445100001</v>
      </c>
      <c r="BY10" s="4">
        <f>IFERROR(ROUND(
(INDEX(生データ表[],MATCH($C10,生データ表['#],0),MATCH(BY$5,生データ表[#Headers],0))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28.568659672100001</v>
      </c>
      <c r="BZ10" s="4">
        <f t="shared" si="0"/>
        <v>23.587059114500001</v>
      </c>
      <c r="CA10" s="4">
        <f t="shared" si="0"/>
        <v>37.874428100949999</v>
      </c>
      <c r="CB10" s="4">
        <f t="shared" si="0"/>
        <v>0.41698499905000003</v>
      </c>
      <c r="CC10" s="4">
        <f t="shared" si="0"/>
        <v>37.694236815249994</v>
      </c>
      <c r="CD10" s="4">
        <f t="shared" si="0"/>
        <v>44.198090539333329</v>
      </c>
      <c r="CE10" s="4">
        <f t="shared" si="0"/>
        <v>58.423646497299998</v>
      </c>
      <c r="CF10" s="4">
        <f t="shared" si="0"/>
        <v>27.030803463750001</v>
      </c>
      <c r="CG10" s="4">
        <f t="shared" si="0"/>
        <v>32.281358827933339</v>
      </c>
      <c r="CH10" s="4">
        <f t="shared" si="0"/>
        <v>1.8072442155999999</v>
      </c>
      <c r="CI10" s="4">
        <f t="shared" si="0"/>
        <v>36.966836127725003</v>
      </c>
      <c r="CJ10" s="4">
        <f t="shared" si="1"/>
        <v>46.95718986506666</v>
      </c>
      <c r="CK10" s="4">
        <f t="shared" si="1"/>
        <v>19.263991559633336</v>
      </c>
      <c r="CL10" s="4">
        <f t="shared" si="1"/>
        <v>18.729155355499998</v>
      </c>
      <c r="CM10" s="4">
        <f t="shared" si="1"/>
        <v>11.5687433095</v>
      </c>
      <c r="CN10" s="4">
        <f t="shared" si="1"/>
        <v>58.860801718533331</v>
      </c>
      <c r="CO10" s="4">
        <f t="shared" si="1"/>
        <v>66.26694679245</v>
      </c>
      <c r="CP10" s="4">
        <f t="shared" si="1"/>
        <v>98.829255388850001</v>
      </c>
      <c r="CQ10" s="4">
        <f t="shared" si="1"/>
        <v>74.372839919966665</v>
      </c>
      <c r="CR10" s="4">
        <f t="shared" si="1"/>
        <v>57.770032505550006</v>
      </c>
      <c r="CS10" s="4">
        <f t="shared" si="1"/>
        <v>34.625742673933331</v>
      </c>
      <c r="CT10" s="4">
        <f t="shared" si="2"/>
        <v>72.144186977833328</v>
      </c>
      <c r="CU10" s="4">
        <f t="shared" si="2"/>
        <v>48.612262678100002</v>
      </c>
      <c r="CV10" s="4">
        <f t="shared" si="2"/>
        <v>37.727609391000001</v>
      </c>
      <c r="CW10" s="4">
        <f t="shared" si="2"/>
        <v>15.24451329325</v>
      </c>
      <c r="CX10" s="4">
        <f t="shared" si="2"/>
        <v>49.187540639833337</v>
      </c>
      <c r="CY10" s="4">
        <f t="shared" si="2"/>
        <v>38.851238855333335</v>
      </c>
      <c r="CZ10" s="4">
        <f t="shared" si="3"/>
        <v>202.19444606638331</v>
      </c>
      <c r="DA10" s="4">
        <f t="shared" si="3"/>
        <v>61.119406507283337</v>
      </c>
      <c r="DB10" s="4">
        <f t="shared" si="3"/>
        <v>133.485916217425</v>
      </c>
      <c r="DC10" s="4">
        <f t="shared" si="3"/>
        <v>356.09987632535001</v>
      </c>
      <c r="DD10" s="4">
        <f t="shared" si="3"/>
        <v>155.38219232986665</v>
      </c>
      <c r="DE10" s="4">
        <f t="shared" si="3"/>
        <v>141.01090217941669</v>
      </c>
      <c r="DF10" s="76">
        <f t="shared" si="4"/>
        <v>1049.2927396257251</v>
      </c>
    </row>
    <row r="11" spans="1:110" hidden="1">
      <c r="A11" s="2">
        <v>6</v>
      </c>
      <c r="B11" s="58">
        <f>INDEX(順位表[Comprehensive],MATCH($C11,順位表['#],0))</f>
        <v>6</v>
      </c>
      <c r="C11" s="3">
        <v>6</v>
      </c>
      <c r="D11" s="1" t="str">
        <f>INDEX(都市マスタ[City Name],MATCH($C11,都市マスタ['#],0))</f>
        <v>Amsterdam</v>
      </c>
      <c r="E11" s="4">
        <f>IFERROR(ROUND(
(INDEX(生データ表[],MATCH($C11,生データ表['#],0),MATCH(E$5,生データ表[#Headers],0))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2.7039655212000002</v>
      </c>
      <c r="F11" s="4">
        <f>IFERROR(ROUND(
(INDEX(生データ表[],MATCH($C11,生データ表['#],0),MATCH(F$5,生データ表[#Headers],0))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0.9080997113</v>
      </c>
      <c r="G11" s="4">
        <f>IFERROR(ROUND(
(INDEX(生データ表[],MATCH($C11,生データ表['#],0),MATCH(G$5,生データ表[#Headers],0))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11" s="4">
        <f>IFERROR(ROUND(
(INDEX(生データ表[],MATCH($C11,生データ表['#],0),MATCH(H$5,生データ表[#Headers],0))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9.3386090067000005</v>
      </c>
      <c r="I11" s="4">
        <f>IFERROR(ROUND(
(INDEX(生データ表[],MATCH($C11,生データ表['#],0),MATCH(I$5,生データ表[#Headers],0))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52.7537972553</v>
      </c>
      <c r="J11" s="4">
        <f>IFERROR(ROUND(
(INDEX(生データ表[],MATCH($C11,生データ表['#],0),MATCH(J$5,生データ表[#Headers],0))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34.103093925300001</v>
      </c>
      <c r="K11" s="4">
        <f>IFERROR(ROUND(
(INDEX(生データ表[],MATCH($C11,生データ表['#],0),MATCH(K$5,生データ表[#Headers],0))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83.212532148700006</v>
      </c>
      <c r="L11" s="4">
        <f>IFERROR(ROUND(
(INDEX(生データ表[],MATCH($C11,生データ表['#],0),MATCH(L$5,生データ表[#Headers],0))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3.3101395855</v>
      </c>
      <c r="M11" s="4">
        <f>IFERROR(ROUND(
(INDEX(生データ表[],MATCH($C11,生データ表['#],0),MATCH(M$5,生データ表[#Headers],0))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7.8337456529000002</v>
      </c>
      <c r="N11" s="4">
        <f>IFERROR(ROUND(
(INDEX(生データ表[],MATCH($C11,生データ表['#],0),MATCH(N$5,生データ表[#Headers],0))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3.0448010529</v>
      </c>
      <c r="O11" s="4">
        <f>IFERROR(ROUND(
(INDEX(生データ表[],MATCH($C11,生データ表['#],0),MATCH(O$5,生データ表[#Headers],0))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95.209413823000006</v>
      </c>
      <c r="P11" s="4">
        <f>IFERROR(ROUND(
(INDEX(生データ表[],MATCH($C11,生データ表['#],0),MATCH(P$5,生データ表[#Headers],0))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59.119399449399999</v>
      </c>
      <c r="Q11" s="4">
        <f>IFERROR(ROUND(
(INDEX(生データ表[],MATCH($C11,生データ表['#],0),MATCH(Q$5,生データ表[#Headers],0))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80.068187501500006</v>
      </c>
      <c r="R11" s="4">
        <f>IFERROR(ROUND(
(INDEX(生データ表[],MATCH($C11,生データ表['#],0),MATCH(R$5,生データ表[#Headers],0))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31.099516892499999</v>
      </c>
      <c r="S11" s="4">
        <f>IFERROR(ROUND(
(INDEX(生データ表[],MATCH($C11,生データ表['#],0),MATCH(S$5,生データ表[#Headers],0))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35.384615384600004</v>
      </c>
      <c r="T11" s="4">
        <f>IFERROR(ROUND(
(INDEX(生データ表[],MATCH($C11,生データ表['#],0),MATCH(T$5,生データ表[#Headers],0))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80.535247244999994</v>
      </c>
      <c r="U11" s="4">
        <f>IFERROR(ROUND(
(INDEX(生データ表[],MATCH($C11,生データ表['#],0),MATCH(U$5,生データ表[#Headers],0))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5.1220382255999999</v>
      </c>
      <c r="V11" s="4">
        <f>IFERROR(ROUND(
(INDEX(生データ表[],MATCH($C11,生データ表['#],0),MATCH(V$5,生データ表[#Headers],0))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60.5296343001</v>
      </c>
      <c r="W11" s="4">
        <f>IFERROR(ROUND(
(INDEX(生データ表[],MATCH($C11,生データ表['#],0),MATCH(W$5,生データ表[#Headers],0))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2.7562663950999999</v>
      </c>
      <c r="X11" s="4">
        <f>IFERROR(ROUND(
(INDEX(生データ表[],MATCH($C11,生データ表['#],0),MATCH(X$5,生データ表[#Headers],0))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17.671202299400001</v>
      </c>
      <c r="Y11" s="4">
        <f>IFERROR(ROUND(
(INDEX(生データ表[],MATCH($C11,生データ表['#],0),MATCH(Y$5,生データ表[#Headers],0))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68.251410811400007</v>
      </c>
      <c r="Z11" s="4">
        <f>IFERROR(ROUND(
(INDEX(生データ表[],MATCH($C11,生データ表['#],0),MATCH(Z$5,生データ表[#Headers],0))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0.3823491141</v>
      </c>
      <c r="AA11" s="4">
        <f>IFERROR(ROUND(
(INDEX(生データ表[],MATCH($C11,生データ表['#],0),MATCH(AA$5,生データ表[#Headers],0))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6.5146579805</v>
      </c>
      <c r="AB11" s="4">
        <f>IFERROR(ROUND(
(INDEX(生データ表[],MATCH($C11,生データ表['#],0),MATCH(AB$5,生データ表[#Headers],0))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9.3971631206000001</v>
      </c>
      <c r="AC11" s="4">
        <f>IFERROR(ROUND(
(INDEX(生データ表[],MATCH($C11,生データ表['#],0),MATCH(AC$5,生データ表[#Headers],0))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14.195583596200001</v>
      </c>
      <c r="AD11" s="4">
        <f>IFERROR(ROUND(
(INDEX(生データ表[],MATCH($C11,生データ表['#],0),MATCH(AD$5,生データ表[#Headers],0))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40</v>
      </c>
      <c r="AE11" s="4">
        <f>IFERROR(ROUND(
(INDEX(生データ表[],MATCH($C11,生データ表['#],0),MATCH(AE$5,生データ表[#Headers],0))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16.402435039699998</v>
      </c>
      <c r="AF11" s="4">
        <f>IFERROR(ROUND(
(INDEX(生データ表[],MATCH($C11,生データ表['#],0),MATCH(AF$5,生データ表[#Headers],0))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5.1451519745000001</v>
      </c>
      <c r="AG11" s="4">
        <f>IFERROR(ROUND(
(INDEX(生データ表[],MATCH($C11,生データ表['#],0),MATCH(AG$5,生データ表[#Headers],0))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41.980752139300002</v>
      </c>
      <c r="AH11" s="4">
        <f>IFERROR(ROUND(
(INDEX(生データ表[],MATCH($C11,生データ表['#],0),MATCH(AH$5,生データ表[#Headers],0))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100</v>
      </c>
      <c r="AI11" s="4">
        <f>IFERROR(ROUND(
(INDEX(生データ表[],MATCH($C11,生データ表['#],0),MATCH(AI$5,生データ表[#Headers],0))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70.913252663400002</v>
      </c>
      <c r="AJ11" s="4">
        <f>IFERROR(ROUND(
(INDEX(生データ表[],MATCH($C11,生データ表['#],0),MATCH(AJ$5,生データ表[#Headers],0))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24.481327800799999</v>
      </c>
      <c r="AK11" s="4">
        <f>IFERROR(ROUND(
(INDEX(生データ表[],MATCH($C11,生データ表['#],0),MATCH(AK$5,生データ表[#Headers],0))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28.424657534200001</v>
      </c>
      <c r="AL11" s="4">
        <f>IFERROR(ROUND(
(INDEX(生データ表[],MATCH($C11,生データ表['#],0),MATCH(AL$5,生データ表[#Headers],0))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11" s="4">
        <f>IFERROR(ROUND(
(INDEX(生データ表[],MATCH($C11,生データ表['#],0),MATCH(AM$5,生データ表[#Headers],0))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23.229442970800001</v>
      </c>
      <c r="AN11" s="4">
        <f>IFERROR(ROUND(
(INDEX(生データ表[],MATCH($C11,生データ表['#],0),MATCH(AN$5,生データ表[#Headers],0))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10.757362395199999</v>
      </c>
      <c r="AO11" s="4">
        <f>IFERROR(ROUND(
(INDEX(生データ表[],MATCH($C11,生データ表['#],0),MATCH(AO$5,生データ表[#Headers],0))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53.108690903199999</v>
      </c>
      <c r="AP11" s="4">
        <f>IFERROR(ROUND(
(INDEX(生データ表[],MATCH($C11,生データ表['#],0),MATCH(AP$5,生データ表[#Headers],0))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28.032732597599999</v>
      </c>
      <c r="AQ11" s="4">
        <f>IFERROR(ROUND(
(INDEX(生データ表[],MATCH($C11,生データ表['#],0),MATCH(AQ$5,生データ表[#Headers],0))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4.6968560346999997</v>
      </c>
      <c r="AR11" s="4">
        <f>IFERROR(ROUND(
(INDEX(生データ表[],MATCH($C11,生データ表['#],0),MATCH(AR$5,生データ表[#Headers],0))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32.754079436200001</v>
      </c>
      <c r="AS11" s="4">
        <f>IFERROR(ROUND(
(INDEX(生データ表[],MATCH($C11,生データ表['#],0),MATCH(AS$5,生データ表[#Headers],0))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88.852386746199997</v>
      </c>
      <c r="AT11" s="4">
        <f>IFERROR(ROUND(
(INDEX(生データ表[],MATCH($C11,生データ表['#],0),MATCH(AT$5,生データ表[#Headers],0))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73.450565223300003</v>
      </c>
      <c r="AU11" s="4">
        <f>IFERROR(ROUND(
(INDEX(生データ表[],MATCH($C11,生データ表['#],0),MATCH(AU$5,生データ表[#Headers],0))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59.168671478199997</v>
      </c>
      <c r="AV11" s="4">
        <f>IFERROR(ROUND(
(INDEX(生データ表[],MATCH($C11,生データ表['#],0),MATCH(AV$5,生データ表[#Headers],0))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54.873327876399998</v>
      </c>
      <c r="AW11" s="4">
        <f>IFERROR(ROUND(
(INDEX(生データ表[],MATCH($C11,生データ表['#],0),MATCH(AW$5,生データ表[#Headers],0))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53.9708069972</v>
      </c>
      <c r="AX11" s="4">
        <f>IFERROR(ROUND(
(INDEX(生データ表[],MATCH($C11,生データ表['#],0),MATCH(AX$5,生データ表[#Headers],0))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96.185767376000001</v>
      </c>
      <c r="AY11" s="4">
        <f>IFERROR(ROUND(
(INDEX(生データ表[],MATCH($C11,生データ表['#],0),MATCH(AY$5,生データ表[#Headers],0))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96.290050590199996</v>
      </c>
      <c r="AZ11" s="4">
        <f>IFERROR(ROUND(
(INDEX(生データ表[],MATCH($C11,生データ表['#],0),MATCH(AZ$5,生データ表[#Headers],0))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81.712767242400005</v>
      </c>
      <c r="BA11" s="4">
        <f>IFERROR(ROUND(
(INDEX(生データ表[],MATCH($C11,生データ表['#],0),MATCH(BA$5,生データ表[#Headers],0))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85.620721313600001</v>
      </c>
      <c r="BB11" s="4">
        <f>IFERROR(ROUND(
(INDEX(生データ表[],MATCH($C11,生データ表['#],0),MATCH(BB$5,生データ表[#Headers],0))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79.301582012799997</v>
      </c>
      <c r="BC11" s="4">
        <f>IFERROR(ROUND(
(INDEX(生データ表[],MATCH($C11,生データ表['#],0),MATCH(BC$5,生データ表[#Headers],0))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52.760137102100003</v>
      </c>
      <c r="BD11" s="4">
        <f>IFERROR(ROUND(
(INDEX(生データ表[],MATCH($C11,生データ表['#],0),MATCH(BD$5,生データ表[#Headers],0))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87.1753485869</v>
      </c>
      <c r="BE11" s="4">
        <f>IFERROR(ROUND(
(INDEX(生データ表[],MATCH($C11,生データ表['#],0),MATCH(BE$5,生データ表[#Headers],0))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40.752956398800002</v>
      </c>
      <c r="BF11" s="4">
        <f>IFERROR(ROUND(
(INDEX(生データ表[],MATCH($C11,生データ表['#],0),MATCH(BF$5,生データ表[#Headers],0))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24.2240603871</v>
      </c>
      <c r="BG11" s="4">
        <f>IFERROR(ROUND(
(INDEX(生データ表[],MATCH($C11,生データ表['#],0),MATCH(BG$5,生データ表[#Headers],0))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35.667899712299999</v>
      </c>
      <c r="BH11" s="4">
        <f>IFERROR(ROUND(
(INDEX(生データ表[],MATCH($C11,生データ表['#],0),MATCH(BH$5,生データ表[#Headers],0))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22.003538257399999</v>
      </c>
      <c r="BI11" s="4">
        <f>IFERROR(ROUND(
(INDEX(生データ表[],MATCH($C11,生データ表['#],0),MATCH(BI$5,生データ表[#Headers],0))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45.155352197299997</v>
      </c>
      <c r="BJ11" s="4">
        <f>IFERROR(ROUND(
(INDEX(生データ表[],MATCH($C11,生データ表['#],0),MATCH(BJ$5,生データ表[#Headers],0))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65.275781303000002</v>
      </c>
      <c r="BK11" s="4">
        <f>IFERROR(ROUND(
(INDEX(生データ表[],MATCH($C11,生データ表['#],0),MATCH(BK$5,生データ表[#Headers],0))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84.198645598200002</v>
      </c>
      <c r="BL11" s="4">
        <f>IFERROR(ROUND(
(INDEX(生データ表[],MATCH($C11,生データ表['#],0),MATCH(BL$5,生データ表[#Headers],0))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57.377411185</v>
      </c>
      <c r="BM11" s="4">
        <f>IFERROR(ROUND(
(INDEX(生データ表[],MATCH($C11,生データ表['#],0),MATCH(BM$5,生データ表[#Headers],0))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83.0188679245</v>
      </c>
      <c r="BN11" s="4">
        <f>IFERROR(ROUND(
(INDEX(生データ表[],MATCH($C11,生データ表['#],0),MATCH(BN$5,生データ表[#Headers],0))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80.071239176399999</v>
      </c>
      <c r="BO11" s="4">
        <f>IFERROR(ROUND(
(INDEX(生データ表[],MATCH($C11,生データ表['#],0),MATCH(BO$5,生データ表[#Headers],0))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48.433995241799998</v>
      </c>
      <c r="BP11" s="4">
        <f>IFERROR(ROUND(
(INDEX(生データ表[],MATCH($C11,生データ表['#],0),MATCH(BP$5,生データ表[#Headers],0))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72.554347826099999</v>
      </c>
      <c r="BQ11" s="4">
        <f>IFERROR(ROUND(
(INDEX(生データ表[],MATCH($C11,生データ表['#],0),MATCH(BQ$5,生データ表[#Headers],0))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21.2773657712</v>
      </c>
      <c r="BR11" s="4">
        <f>IFERROR(ROUND(
(INDEX(生データ表[],MATCH($C11,生データ表['#],0),MATCH(BR$5,生データ表[#Headers],0))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36.478628259799997</v>
      </c>
      <c r="BS11" s="4">
        <f>IFERROR(ROUND(
(INDEX(生データ表[],MATCH($C11,生データ表['#],0),MATCH(BS$5,生データ表[#Headers],0))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30.595377599300001</v>
      </c>
      <c r="BT11" s="4">
        <f>IFERROR(ROUND(
(INDEX(生データ表[],MATCH($C11,生データ表['#],0),MATCH(BT$5,生データ表[#Headers],0))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26.327891469299999</v>
      </c>
      <c r="BU11" s="4">
        <f>IFERROR(ROUND(
(INDEX(生データ表[],MATCH($C11,生データ表['#],0),MATCH(BU$5,生データ表[#Headers],0))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58.729246403799998</v>
      </c>
      <c r="BV11" s="4">
        <f>IFERROR(ROUND(
(INDEX(生データ表[],MATCH($C11,生データ表['#],0),MATCH(BV$5,生データ表[#Headers],0))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69.047619047599994</v>
      </c>
      <c r="BW11" s="4">
        <f>IFERROR(ROUND(
(INDEX(生データ表[],MATCH($C11,生データ表['#],0),MATCH(BW$5,生データ表[#Headers],0))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100</v>
      </c>
      <c r="BX11" s="4">
        <f>IFERROR(ROUND(
(INDEX(生データ表[],MATCH($C11,生データ表['#],0),MATCH(BX$5,生データ表[#Headers],0))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92.189879086399998</v>
      </c>
      <c r="BY11" s="4">
        <f>IFERROR(ROUND(
(INDEX(生データ表[],MATCH($C11,生データ表['#],0),MATCH(BY$5,生データ表[#Headers],0))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99.838055794300004</v>
      </c>
      <c r="BZ11" s="4">
        <f t="shared" si="0"/>
        <v>31.046203130999999</v>
      </c>
      <c r="CA11" s="4">
        <f t="shared" si="0"/>
        <v>58.657813037000004</v>
      </c>
      <c r="CB11" s="4">
        <f t="shared" si="0"/>
        <v>5.5719426191999997</v>
      </c>
      <c r="CC11" s="4">
        <f t="shared" si="0"/>
        <v>49.127107437950002</v>
      </c>
      <c r="CD11" s="4">
        <f t="shared" si="0"/>
        <v>56.762367947799994</v>
      </c>
      <c r="CE11" s="4">
        <f t="shared" si="0"/>
        <v>57.959931314800002</v>
      </c>
      <c r="CF11" s="4">
        <f t="shared" si="0"/>
        <v>32.825836262849997</v>
      </c>
      <c r="CG11" s="4">
        <f t="shared" si="0"/>
        <v>29.559626501966665</v>
      </c>
      <c r="CH11" s="4">
        <f t="shared" si="0"/>
        <v>5.4313900717333334</v>
      </c>
      <c r="CI11" s="4">
        <f t="shared" si="0"/>
        <v>18.9357926526</v>
      </c>
      <c r="CJ11" s="4">
        <f t="shared" si="1"/>
        <v>70.964668267566665</v>
      </c>
      <c r="CK11" s="4">
        <f t="shared" si="1"/>
        <v>21.144100374833332</v>
      </c>
      <c r="CL11" s="4">
        <f t="shared" si="1"/>
        <v>28.7820572167</v>
      </c>
      <c r="CM11" s="4">
        <f t="shared" si="1"/>
        <v>18.72546773545</v>
      </c>
      <c r="CN11" s="4">
        <f t="shared" si="1"/>
        <v>73.823874482566666</v>
      </c>
      <c r="CO11" s="4">
        <f t="shared" si="1"/>
        <v>54.422067436799999</v>
      </c>
      <c r="CP11" s="4">
        <f t="shared" si="1"/>
        <v>96.237908983099999</v>
      </c>
      <c r="CQ11" s="4">
        <f t="shared" si="1"/>
        <v>82.211690189600006</v>
      </c>
      <c r="CR11" s="4">
        <f t="shared" si="1"/>
        <v>51.228125618725002</v>
      </c>
      <c r="CS11" s="4">
        <f t="shared" si="1"/>
        <v>34.275596722333326</v>
      </c>
      <c r="CT11" s="4">
        <f t="shared" si="2"/>
        <v>68.950612695399997</v>
      </c>
      <c r="CU11" s="4">
        <f t="shared" si="2"/>
        <v>70.50803411423334</v>
      </c>
      <c r="CV11" s="4">
        <f t="shared" si="2"/>
        <v>46.915856798649997</v>
      </c>
      <c r="CW11" s="4">
        <f t="shared" si="2"/>
        <v>33.537002929549999</v>
      </c>
      <c r="CX11" s="4">
        <f t="shared" si="2"/>
        <v>51.368252306899997</v>
      </c>
      <c r="CY11" s="4">
        <f t="shared" si="2"/>
        <v>97.342644960233329</v>
      </c>
      <c r="CZ11" s="4">
        <f t="shared" si="3"/>
        <v>259.12536548775</v>
      </c>
      <c r="DA11" s="4">
        <f t="shared" si="3"/>
        <v>67.816852836549998</v>
      </c>
      <c r="DB11" s="4">
        <f t="shared" si="3"/>
        <v>158.55208624714999</v>
      </c>
      <c r="DC11" s="4">
        <f t="shared" si="3"/>
        <v>357.92366671079168</v>
      </c>
      <c r="DD11" s="4">
        <f t="shared" si="3"/>
        <v>173.73424353196665</v>
      </c>
      <c r="DE11" s="4">
        <f t="shared" si="3"/>
        <v>229.1637569953333</v>
      </c>
      <c r="DF11" s="76">
        <f t="shared" si="4"/>
        <v>1246.3159718095417</v>
      </c>
    </row>
    <row r="12" spans="1:110" hidden="1">
      <c r="A12" s="2">
        <v>7</v>
      </c>
      <c r="B12" s="58">
        <f>INDEX(順位表[Comprehensive],MATCH($C12,順位表['#],0))</f>
        <v>26</v>
      </c>
      <c r="C12" s="3">
        <v>7</v>
      </c>
      <c r="D12" s="1" t="str">
        <f>INDEX(都市マスタ[City Name],MATCH($C12,都市マスタ['#],0))</f>
        <v>Geneva</v>
      </c>
      <c r="E12" s="4">
        <f>IFERROR(ROUND(
(INDEX(生データ表[],MATCH($C12,生データ表['#],0),MATCH(E$5,生データ表[#Headers],0))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0</v>
      </c>
      <c r="F12" s="4">
        <f>IFERROR(ROUND(
(INDEX(生データ表[],MATCH($C12,生データ表['#],0),MATCH(F$5,生データ表[#Headers],0))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v>
      </c>
      <c r="G12" s="4">
        <f>IFERROR(ROUND(
(INDEX(生データ表[],MATCH($C12,生データ表['#],0),MATCH(G$5,生データ表[#Headers],0))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9.698269E-4</v>
      </c>
      <c r="H12" s="4">
        <f>IFERROR(ROUND(
(INDEX(生データ表[],MATCH($C12,生データ表['#],0),MATCH(H$5,生データ表[#Headers],0))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0</v>
      </c>
      <c r="I12" s="4">
        <f>IFERROR(ROUND(
(INDEX(生データ表[],MATCH($C12,生データ表['#],0),MATCH(I$5,生データ表[#Headers],0))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52.691647042600003</v>
      </c>
      <c r="J12" s="4">
        <f>IFERROR(ROUND(
(INDEX(生データ表[],MATCH($C12,生データ表['#],0),MATCH(J$5,生データ表[#Headers],0))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34.755791242900003</v>
      </c>
      <c r="K12" s="4">
        <f>IFERROR(ROUND(
(INDEX(生データ表[],MATCH($C12,生データ表['#],0),MATCH(K$5,生データ表[#Headers],0))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99.649286883299993</v>
      </c>
      <c r="L12" s="4">
        <f>IFERROR(ROUND(
(INDEX(生データ表[],MATCH($C12,生データ表['#],0),MATCH(L$5,生データ表[#Headers],0))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12" s="4">
        <f>IFERROR(ROUND(
(INDEX(生データ表[],MATCH($C12,生データ表['#],0),MATCH(M$5,生データ表[#Headers],0))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12" s="4">
        <f>IFERROR(ROUND(
(INDEX(生データ表[],MATCH($C12,生データ表['#],0),MATCH(N$5,生データ表[#Headers],0))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0</v>
      </c>
      <c r="O12" s="4">
        <f>IFERROR(ROUND(
(INDEX(生データ表[],MATCH($C12,生データ表['#],0),MATCH(O$5,生データ表[#Headers],0))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72.537829422800002</v>
      </c>
      <c r="P12" s="4">
        <f>IFERROR(ROUND(
(INDEX(生データ表[],MATCH($C12,生データ表['#],0),MATCH(P$5,生データ表[#Headers],0))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86.063733315700006</v>
      </c>
      <c r="Q12" s="4">
        <f>IFERROR(ROUND(
(INDEX(生データ表[],MATCH($C12,生データ表['#],0),MATCH(Q$5,生データ表[#Headers],0))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57.301623564099998</v>
      </c>
      <c r="R12" s="4">
        <f>IFERROR(ROUND(
(INDEX(生データ表[],MATCH($C12,生データ表['#],0),MATCH(R$5,生データ表[#Headers],0))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47.4197203246</v>
      </c>
      <c r="S12" s="4">
        <f>IFERROR(ROUND(
(INDEX(生データ表[],MATCH($C12,生データ表['#],0),MATCH(S$5,生データ表[#Headers],0))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80.769230769200007</v>
      </c>
      <c r="T12" s="4">
        <f>IFERROR(ROUND(
(INDEX(生データ表[],MATCH($C12,生データ表['#],0),MATCH(T$5,生データ表[#Headers],0))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81.528087816400003</v>
      </c>
      <c r="U12" s="4">
        <f>IFERROR(ROUND(
(INDEX(生データ表[],MATCH($C12,生データ表['#],0),MATCH(U$5,生データ表[#Headers],0))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0.15502894840000001</v>
      </c>
      <c r="V12" s="4">
        <f>IFERROR(ROUND(
(INDEX(生データ表[],MATCH($C12,生データ表['#],0),MATCH(V$5,生データ表[#Headers],0))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28.625472887800001</v>
      </c>
      <c r="W12" s="4">
        <f>IFERROR(ROUND(
(INDEX(生データ表[],MATCH($C12,生データ表['#],0),MATCH(W$5,生データ表[#Headers],0))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1.4676573932999999</v>
      </c>
      <c r="X12" s="4">
        <f>IFERROR(ROUND(
(INDEX(生データ表[],MATCH($C12,生データ表['#],0),MATCH(X$5,生データ表[#Headers],0))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12.6458782421</v>
      </c>
      <c r="Y12" s="4">
        <f>IFERROR(ROUND(
(INDEX(生データ表[],MATCH($C12,生データ表['#],0),MATCH(Y$5,生データ表[#Headers],0))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66.449089154399999</v>
      </c>
      <c r="Z12" s="4">
        <f>IFERROR(ROUND(
(INDEX(生データ表[],MATCH($C12,生データ表['#],0),MATCH(Z$5,生データ表[#Headers],0))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2.4155577599999999E-2</v>
      </c>
      <c r="AA12" s="4">
        <f>IFERROR(ROUND(
(INDEX(生データ表[],MATCH($C12,生データ表['#],0),MATCH(AA$5,生データ表[#Headers],0))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33.8762214984</v>
      </c>
      <c r="AB12" s="4">
        <f>IFERROR(ROUND(
(INDEX(生データ表[],MATCH($C12,生データ表['#],0),MATCH(AB$5,生データ表[#Headers],0))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0.86879432619999997</v>
      </c>
      <c r="AC12" s="4">
        <f>IFERROR(ROUND(
(INDEX(生データ表[],MATCH($C12,生データ表['#],0),MATCH(AC$5,生データ表[#Headers],0))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26.813880126200001</v>
      </c>
      <c r="AD12" s="4">
        <f>IFERROR(ROUND(
(INDEX(生データ表[],MATCH($C12,生データ表['#],0),MATCH(AD$5,生データ表[#Headers],0))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34.5454545455</v>
      </c>
      <c r="AE12" s="4">
        <f>IFERROR(ROUND(
(INDEX(生データ表[],MATCH($C12,生データ表['#],0),MATCH(AE$5,生データ表[#Headers],0))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0.1852170823</v>
      </c>
      <c r="AF12" s="4">
        <f>IFERROR(ROUND(
(INDEX(生データ表[],MATCH($C12,生データ表['#],0),MATCH(AF$5,生データ表[#Headers],0))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2.4553770821000001</v>
      </c>
      <c r="AG12" s="4">
        <f>IFERROR(ROUND(
(INDEX(生データ表[],MATCH($C12,生データ表['#],0),MATCH(AG$5,生データ表[#Headers],0))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7.3161840091999997</v>
      </c>
      <c r="AH12" s="4">
        <f>IFERROR(ROUND(
(INDEX(生データ表[],MATCH($C12,生データ表['#],0),MATCH(AH$5,生データ表[#Headers],0))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18.206521739100001</v>
      </c>
      <c r="AI12" s="4">
        <f>IFERROR(ROUND(
(INDEX(生データ表[],MATCH($C12,生データ表['#],0),MATCH(AI$5,生データ表[#Headers],0))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17.547371009900001</v>
      </c>
      <c r="AJ12" s="4">
        <f>IFERROR(ROUND(
(INDEX(生データ表[],MATCH($C12,生データ表['#],0),MATCH(AJ$5,生データ表[#Headers],0))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9.3360995850999995</v>
      </c>
      <c r="AK12" s="4">
        <f>IFERROR(ROUND(
(INDEX(生データ表[],MATCH($C12,生データ表['#],0),MATCH(AK$5,生データ表[#Headers],0))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9.9315068492999998</v>
      </c>
      <c r="AL12" s="4">
        <f>IFERROR(ROUND(
(INDEX(生データ表[],MATCH($C12,生データ表['#],0),MATCH(AL$5,生データ表[#Headers],0))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0</v>
      </c>
      <c r="AM12" s="4">
        <f>IFERROR(ROUND(
(INDEX(生データ表[],MATCH($C12,生データ表['#],0),MATCH(AM$5,生データ表[#Headers],0))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3.4066795274000001</v>
      </c>
      <c r="AN12" s="4">
        <f>IFERROR(ROUND(
(INDEX(生データ表[],MATCH($C12,生データ表['#],0),MATCH(AN$5,生データ表[#Headers],0))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4.8827527092</v>
      </c>
      <c r="AO12" s="4">
        <f>IFERROR(ROUND(
(INDEX(生データ表[],MATCH($C12,生データ表['#],0),MATCH(AO$5,生データ表[#Headers],0))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27.936708051499998</v>
      </c>
      <c r="AP12" s="4">
        <f>IFERROR(ROUND(
(INDEX(生データ表[],MATCH($C12,生データ表['#],0),MATCH(AP$5,生データ表[#Headers],0))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6.6168881018999999</v>
      </c>
      <c r="AQ12" s="4">
        <f>IFERROR(ROUND(
(INDEX(生データ表[],MATCH($C12,生データ表['#],0),MATCH(AQ$5,生データ表[#Headers],0))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2.8701099228000002</v>
      </c>
      <c r="AR12" s="4">
        <f>IFERROR(ROUND(
(INDEX(生データ表[],MATCH($C12,生データ表['#],0),MATCH(AR$5,生データ表[#Headers],0))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3.8333956491999999</v>
      </c>
      <c r="AS12" s="4">
        <f>IFERROR(ROUND(
(INDEX(生データ表[],MATCH($C12,生データ表['#],0),MATCH(AS$5,生データ表[#Headers],0))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89.995300275199995</v>
      </c>
      <c r="AT12" s="4">
        <f>IFERROR(ROUND(
(INDEX(生データ表[],MATCH($C12,生データ表['#],0),MATCH(AT$5,生データ表[#Headers],0))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60.170917256499997</v>
      </c>
      <c r="AU12" s="4">
        <f>IFERROR(ROUND(
(INDEX(生データ表[],MATCH($C12,生データ表['#],0),MATCH(AU$5,生データ表[#Headers],0))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64.942528735600007</v>
      </c>
      <c r="AV12" s="4">
        <f>IFERROR(ROUND(
(INDEX(生データ表[],MATCH($C12,生データ表['#],0),MATCH(AV$5,生データ表[#Headers],0))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37.451958446600003</v>
      </c>
      <c r="AW12" s="4">
        <f>IFERROR(ROUND(
(INDEX(生データ表[],MATCH($C12,生データ表['#],0),MATCH(AW$5,生データ表[#Headers],0))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11.2001328119</v>
      </c>
      <c r="AX12" s="4">
        <f>IFERROR(ROUND(
(INDEX(生データ表[],MATCH($C12,生データ表['#],0),MATCH(AX$5,生データ表[#Headers],0))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97.754657842200004</v>
      </c>
      <c r="AY12" s="4">
        <f>IFERROR(ROUND(
(INDEX(生データ表[],MATCH($C12,生データ表['#],0),MATCH(AY$5,生データ表[#Headers],0))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97.807757166900004</v>
      </c>
      <c r="AZ12" s="4">
        <f>IFERROR(ROUND(
(INDEX(生データ表[],MATCH($C12,生データ表['#],0),MATCH(AZ$5,生データ表[#Headers],0))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89.636429520500002</v>
      </c>
      <c r="BA12" s="4">
        <f>IFERROR(ROUND(
(INDEX(生データ表[],MATCH($C12,生データ表['#],0),MATCH(BA$5,生データ表[#Headers],0))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85.833743250500007</v>
      </c>
      <c r="BB12" s="4">
        <f>IFERROR(ROUND(
(INDEX(生データ表[],MATCH($C12,生データ表['#],0),MATCH(BB$5,生データ表[#Headers],0))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77.952492397300006</v>
      </c>
      <c r="BC12" s="4">
        <f>IFERROR(ROUND(
(INDEX(生データ表[],MATCH($C12,生データ表['#],0),MATCH(BC$5,生データ表[#Headers],0))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68.729015305199994</v>
      </c>
      <c r="BD12" s="4">
        <f>IFERROR(ROUND(
(INDEX(生データ表[],MATCH($C12,生データ表['#],0),MATCH(BD$5,生データ表[#Headers],0))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66.375493678699996</v>
      </c>
      <c r="BE12" s="4">
        <f>IFERROR(ROUND(
(INDEX(生データ表[],MATCH($C12,生データ表['#],0),MATCH(BE$5,生データ表[#Headers],0))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28.713776491499999</v>
      </c>
      <c r="BF12" s="4">
        <f>IFERROR(ROUND(
(INDEX(生データ表[],MATCH($C12,生データ表['#],0),MATCH(BF$5,生データ表[#Headers],0))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23.2560889248</v>
      </c>
      <c r="BG12" s="4">
        <f>IFERROR(ROUND(
(INDEX(生データ表[],MATCH($C12,生データ表['#],0),MATCH(BG$5,生データ表[#Headers],0))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81.586518701200006</v>
      </c>
      <c r="BH12" s="4">
        <f>IFERROR(ROUND(
(INDEX(生データ表[],MATCH($C12,生データ表['#],0),MATCH(BH$5,生データ表[#Headers],0))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52.366209641799998</v>
      </c>
      <c r="BI12" s="4">
        <f>IFERROR(ROUND(
(INDEX(生データ表[],MATCH($C12,生データ表['#],0),MATCH(BI$5,生データ表[#Headers],0))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48.978821377800003</v>
      </c>
      <c r="BJ12" s="4">
        <f>IFERROR(ROUND(
(INDEX(生データ表[],MATCH($C12,生データ表['#],0),MATCH(BJ$5,生データ表[#Headers],0))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91.731338278199999</v>
      </c>
      <c r="BK12" s="4">
        <f>IFERROR(ROUND(
(INDEX(生データ表[],MATCH($C12,生データ表['#],0),MATCH(BK$5,生データ表[#Headers],0))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80.812641083499997</v>
      </c>
      <c r="BL12" s="4">
        <f>IFERROR(ROUND(
(INDEX(生データ表[],MATCH($C12,生データ表['#],0),MATCH(BL$5,生データ表[#Headers],0))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62.381361265599999</v>
      </c>
      <c r="BM12" s="4">
        <f>IFERROR(ROUND(
(INDEX(生データ表[],MATCH($C12,生データ表['#],0),MATCH(BM$5,生データ表[#Headers],0))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86.792452830200006</v>
      </c>
      <c r="BN12" s="4">
        <f>IFERROR(ROUND(
(INDEX(生データ表[],MATCH($C12,生データ表['#],0),MATCH(BN$5,生データ表[#Headers],0))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75.359667894799998</v>
      </c>
      <c r="BO12" s="4">
        <f>IFERROR(ROUND(
(INDEX(生データ表[],MATCH($C12,生データ表['#],0),MATCH(BO$5,生データ表[#Headers],0))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72.826869904600002</v>
      </c>
      <c r="BP12" s="4">
        <f>IFERROR(ROUND(
(INDEX(生データ表[],MATCH($C12,生データ表['#],0),MATCH(BP$5,生データ表[#Headers],0))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34.782608695699999</v>
      </c>
      <c r="BQ12" s="4">
        <f>IFERROR(ROUND(
(INDEX(生データ表[],MATCH($C12,生データ表['#],0),MATCH(BQ$5,生データ表[#Headers],0))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0.1696306846</v>
      </c>
      <c r="BR12" s="4">
        <f>IFERROR(ROUND(
(INDEX(生データ表[],MATCH($C12,生データ表['#],0),MATCH(BR$5,生データ表[#Headers],0))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6.5029836616000001</v>
      </c>
      <c r="BS12" s="4">
        <f>IFERROR(ROUND(
(INDEX(生データ表[],MATCH($C12,生データ表['#],0),MATCH(BS$5,生データ表[#Headers],0))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6.7263639968</v>
      </c>
      <c r="BT12" s="4">
        <f>IFERROR(ROUND(
(INDEX(生データ表[],MATCH($C12,生データ表['#],0),MATCH(BT$5,生データ表[#Headers],0))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9.4274545872999997</v>
      </c>
      <c r="BU12" s="4">
        <f>IFERROR(ROUND(
(INDEX(生データ表[],MATCH($C12,生データ表['#],0),MATCH(BU$5,生データ表[#Headers],0))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29.4139908589</v>
      </c>
      <c r="BV12" s="4">
        <f>IFERROR(ROUND(
(INDEX(生データ表[],MATCH($C12,生データ表['#],0),MATCH(BV$5,生データ表[#Headers],0))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100</v>
      </c>
      <c r="BW12" s="4">
        <f>IFERROR(ROUND(
(INDEX(生データ表[],MATCH($C12,生データ表['#],0),MATCH(BW$5,生データ表[#Headers],0))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87.952738515899995</v>
      </c>
      <c r="BX12" s="4">
        <f>IFERROR(ROUND(
(INDEX(生データ表[],MATCH($C12,生データ表['#],0),MATCH(BX$5,生データ表[#Headers],0))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44.268727705099998</v>
      </c>
      <c r="BY12" s="4">
        <f>IFERROR(ROUND(
(INDEX(生データ表[],MATCH($C12,生データ表['#],0),MATCH(BY$5,生データ表[#Headers],0))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22.683219236900001</v>
      </c>
      <c r="BZ12" s="4">
        <f t="shared" si="0"/>
        <v>26.345823521300002</v>
      </c>
      <c r="CA12" s="4">
        <f t="shared" si="0"/>
        <v>67.202539063100005</v>
      </c>
      <c r="CB12" s="4">
        <f t="shared" si="0"/>
        <v>0</v>
      </c>
      <c r="CC12" s="4">
        <f t="shared" si="0"/>
        <v>36.268914711400001</v>
      </c>
      <c r="CD12" s="4">
        <f t="shared" si="0"/>
        <v>63.595025734800004</v>
      </c>
      <c r="CE12" s="4">
        <f t="shared" si="0"/>
        <v>81.148659292800005</v>
      </c>
      <c r="CF12" s="4">
        <f t="shared" si="0"/>
        <v>14.3902509181</v>
      </c>
      <c r="CG12" s="4">
        <f t="shared" si="0"/>
        <v>26.854208263266667</v>
      </c>
      <c r="CH12" s="4">
        <f t="shared" si="0"/>
        <v>11.589723800733333</v>
      </c>
      <c r="CI12" s="4">
        <f t="shared" si="0"/>
        <v>15.999982209024999</v>
      </c>
      <c r="CJ12" s="4">
        <f t="shared" si="1"/>
        <v>14.356692252733334</v>
      </c>
      <c r="CK12" s="4">
        <f t="shared" si="1"/>
        <v>6.4225354781333337</v>
      </c>
      <c r="CL12" s="4">
        <f t="shared" si="1"/>
        <v>10.7107570975</v>
      </c>
      <c r="CM12" s="4">
        <f t="shared" si="1"/>
        <v>3.351752786</v>
      </c>
      <c r="CN12" s="4">
        <f t="shared" si="1"/>
        <v>71.702915422433335</v>
      </c>
      <c r="CO12" s="4">
        <f t="shared" si="1"/>
        <v>24.32604562925</v>
      </c>
      <c r="CP12" s="4">
        <f t="shared" si="1"/>
        <v>97.781207504549997</v>
      </c>
      <c r="CQ12" s="4">
        <f t="shared" si="1"/>
        <v>84.474221722766671</v>
      </c>
      <c r="CR12" s="4">
        <f t="shared" si="1"/>
        <v>46.768593600049996</v>
      </c>
      <c r="CS12" s="4">
        <f t="shared" si="1"/>
        <v>60.977183240266662</v>
      </c>
      <c r="CT12" s="4">
        <f t="shared" si="2"/>
        <v>78.308446875766663</v>
      </c>
      <c r="CU12" s="4">
        <f t="shared" si="2"/>
        <v>78.326330209866668</v>
      </c>
      <c r="CV12" s="4">
        <f t="shared" si="2"/>
        <v>17.47611969015</v>
      </c>
      <c r="CW12" s="4">
        <f t="shared" si="2"/>
        <v>6.6146738292</v>
      </c>
      <c r="CX12" s="4">
        <f t="shared" si="2"/>
        <v>46.280481815400002</v>
      </c>
      <c r="CY12" s="4">
        <f t="shared" si="2"/>
        <v>51.634895152633327</v>
      </c>
      <c r="CZ12" s="4">
        <f t="shared" si="3"/>
        <v>274.56096232340002</v>
      </c>
      <c r="DA12" s="4">
        <f t="shared" si="3"/>
        <v>52.834182982099996</v>
      </c>
      <c r="DB12" s="4">
        <f t="shared" si="3"/>
        <v>50.841719823391664</v>
      </c>
      <c r="DC12" s="4">
        <f t="shared" si="3"/>
        <v>325.05298387905003</v>
      </c>
      <c r="DD12" s="4">
        <f t="shared" si="3"/>
        <v>217.61196032589999</v>
      </c>
      <c r="DE12" s="4">
        <f t="shared" si="3"/>
        <v>122.00617048738334</v>
      </c>
      <c r="DF12" s="76">
        <f t="shared" si="4"/>
        <v>1042.9079798212251</v>
      </c>
    </row>
    <row r="13" spans="1:110" hidden="1">
      <c r="A13" s="2">
        <v>8</v>
      </c>
      <c r="B13" s="58">
        <f>INDEX(順位表[Comprehensive],MATCH($C13,順位表['#],0))</f>
        <v>20</v>
      </c>
      <c r="C13" s="3">
        <v>8</v>
      </c>
      <c r="D13" s="1" t="str">
        <f>INDEX(都市マスタ[City Name],MATCH($C13,都市マスタ['#],0))</f>
        <v>Frankfurt</v>
      </c>
      <c r="E13" s="4">
        <f>IFERROR(ROUND(
(INDEX(生データ表[],MATCH($C13,生データ表['#],0),MATCH(E$5,生データ表[#Headers],0))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2.2669136163000001</v>
      </c>
      <c r="F13" s="4">
        <f>IFERROR(ROUND(
(INDEX(生データ表[],MATCH($C13,生データ表['#],0),MATCH(F$5,生データ表[#Headers],0))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1.4179753689000001</v>
      </c>
      <c r="G13" s="4">
        <f>IFERROR(ROUND(
(INDEX(生データ表[],MATCH($C13,生データ表['#],0),MATCH(G$5,生データ表[#Headers],0))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13" s="4">
        <f>IFERROR(ROUND(
(INDEX(生データ表[],MATCH($C13,生データ表['#],0),MATCH(H$5,生データ表[#Headers],0))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7.1736728465999997</v>
      </c>
      <c r="I13" s="4">
        <f>IFERROR(ROUND(
(INDEX(生データ表[],MATCH($C13,生データ表['#],0),MATCH(I$5,生データ表[#Headers],0))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50.129708468099999</v>
      </c>
      <c r="J13" s="4">
        <f>IFERROR(ROUND(
(INDEX(生データ表[],MATCH($C13,生データ表['#],0),MATCH(J$5,生データ表[#Headers],0))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19.389705067400001</v>
      </c>
      <c r="K13" s="4">
        <f>IFERROR(ROUND(
(INDEX(生データ表[],MATCH($C13,生データ表['#],0),MATCH(K$5,生データ表[#Headers],0))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71.405190554100002</v>
      </c>
      <c r="L13" s="4">
        <f>IFERROR(ROUND(
(INDEX(生データ表[],MATCH($C13,生データ表['#],0),MATCH(L$5,生データ表[#Headers],0))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4.6892274129000002</v>
      </c>
      <c r="M13" s="4">
        <f>IFERROR(ROUND(
(INDEX(生データ表[],MATCH($C13,生データ表['#],0),MATCH(M$5,生データ表[#Headers],0))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1.6210938796000001</v>
      </c>
      <c r="N13" s="4">
        <f>IFERROR(ROUND(
(INDEX(生データ表[],MATCH($C13,生データ表['#],0),MATCH(N$5,生データ表[#Headers],0))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4.2057704731000003</v>
      </c>
      <c r="O13" s="4">
        <f>IFERROR(ROUND(
(INDEX(生データ表[],MATCH($C13,生データ表['#],0),MATCH(O$5,生データ表[#Headers],0))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93.101328706399997</v>
      </c>
      <c r="P13" s="4">
        <f>IFERROR(ROUND(
(INDEX(生データ表[],MATCH($C13,生データ表['#],0),MATCH(P$5,生データ表[#Headers],0))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55.337426599499999</v>
      </c>
      <c r="Q13" s="4">
        <f>IFERROR(ROUND(
(INDEX(生データ表[],MATCH($C13,生データ表['#],0),MATCH(Q$5,生データ表[#Headers],0))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51.654701857699997</v>
      </c>
      <c r="R13" s="4">
        <f>IFERROR(ROUND(
(INDEX(生データ表[],MATCH($C13,生データ表['#],0),MATCH(R$5,生データ表[#Headers],0))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22.581391544199999</v>
      </c>
      <c r="S13" s="4">
        <f>IFERROR(ROUND(
(INDEX(生データ表[],MATCH($C13,生データ表['#],0),MATCH(S$5,生データ表[#Headers],0))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11.8269230769</v>
      </c>
      <c r="T13" s="4">
        <f>IFERROR(ROUND(
(INDEX(生データ表[],MATCH($C13,生データ表['#],0),MATCH(T$5,生データ表[#Headers],0))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87.489176783800005</v>
      </c>
      <c r="U13" s="4">
        <f>IFERROR(ROUND(
(INDEX(生データ表[],MATCH($C13,生データ表['#],0),MATCH(U$5,生データ表[#Headers],0))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5.8871603807000001</v>
      </c>
      <c r="V13" s="4">
        <f>IFERROR(ROUND(
(INDEX(生データ表[],MATCH($C13,生データ表['#],0),MATCH(V$5,生データ表[#Headers],0))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0.37831021440000001</v>
      </c>
      <c r="W13" s="4">
        <f>IFERROR(ROUND(
(INDEX(生データ表[],MATCH($C13,生データ表['#],0),MATCH(W$5,生データ表[#Headers],0))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4.1989431281999998</v>
      </c>
      <c r="X13" s="4">
        <f>IFERROR(ROUND(
(INDEX(生データ表[],MATCH($C13,生データ表['#],0),MATCH(X$5,生データ表[#Headers],0))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7.5525249828999996</v>
      </c>
      <c r="Y13" s="4">
        <f>IFERROR(ROUND(
(INDEX(生データ表[],MATCH($C13,生データ表['#],0),MATCH(Y$5,生データ表[#Headers],0))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67.419570046600001</v>
      </c>
      <c r="Z13" s="4">
        <f>IFERROR(ROUND(
(INDEX(生データ表[],MATCH($C13,生データ表['#],0),MATCH(Z$5,生データ表[#Headers],0))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0.86624965519999997</v>
      </c>
      <c r="AA13" s="4">
        <f>IFERROR(ROUND(
(INDEX(生データ表[],MATCH($C13,生データ表['#],0),MATCH(AA$5,生データ表[#Headers],0))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13" s="4">
        <f>IFERROR(ROUND(
(INDEX(生データ表[],MATCH($C13,生データ表['#],0),MATCH(AB$5,生データ表[#Headers],0))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1.8439716312000001</v>
      </c>
      <c r="AC13" s="4">
        <f>IFERROR(ROUND(
(INDEX(生データ表[],MATCH($C13,生データ表['#],0),MATCH(AC$5,生データ表[#Headers],0))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0.63091482649999997</v>
      </c>
      <c r="AD13" s="4">
        <f>IFERROR(ROUND(
(INDEX(生データ表[],MATCH($C13,生データ表['#],0),MATCH(AD$5,生データ表[#Headers],0))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21.010101010100001</v>
      </c>
      <c r="AE13" s="4">
        <f>IFERROR(ROUND(
(INDEX(生データ表[],MATCH($C13,生データ表['#],0),MATCH(AE$5,生データ表[#Headers],0))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4.7816600010999997</v>
      </c>
      <c r="AF13" s="4">
        <f>IFERROR(ROUND(
(INDEX(生データ表[],MATCH($C13,生データ表['#],0),MATCH(AF$5,生データ表[#Headers],0))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3.1213668353999999</v>
      </c>
      <c r="AG13" s="4">
        <f>IFERROR(ROUND(
(INDEX(生データ表[],MATCH($C13,生データ表['#],0),MATCH(AG$5,生データ表[#Headers],0))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13.7215371288</v>
      </c>
      <c r="AH13" s="4">
        <f>IFERROR(ROUND(
(INDEX(生データ表[],MATCH($C13,生データ表['#],0),MATCH(AH$5,生データ表[#Headers],0))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67.5</v>
      </c>
      <c r="AI13" s="4">
        <f>IFERROR(ROUND(
(INDEX(生データ表[],MATCH($C13,生データ表['#],0),MATCH(AI$5,生データ表[#Headers],0))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37.874911837600003</v>
      </c>
      <c r="AJ13" s="4">
        <f>IFERROR(ROUND(
(INDEX(生データ表[],MATCH($C13,生データ表['#],0),MATCH(AJ$5,生データ表[#Headers],0))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11.825726141100001</v>
      </c>
      <c r="AK13" s="4">
        <f>IFERROR(ROUND(
(INDEX(生データ表[],MATCH($C13,生データ表['#],0),MATCH(AK$5,生データ表[#Headers],0))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15.0684931507</v>
      </c>
      <c r="AL13" s="4">
        <f>IFERROR(ROUND(
(INDEX(生データ表[],MATCH($C13,生データ表['#],0),MATCH(AL$5,生データ表[#Headers],0))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5.2631578947</v>
      </c>
      <c r="AM13" s="4">
        <f>IFERROR(ROUND(
(INDEX(生データ表[],MATCH($C13,生データ表['#],0),MATCH(AM$5,生データ表[#Headers],0))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18.641186399799999</v>
      </c>
      <c r="AN13" s="4">
        <f>IFERROR(ROUND(
(INDEX(生データ表[],MATCH($C13,生データ表['#],0),MATCH(AN$5,生データ表[#Headers],0))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4.6684626216999998</v>
      </c>
      <c r="AO13" s="4">
        <f>IFERROR(ROUND(
(INDEX(生データ表[],MATCH($C13,生データ表['#],0),MATCH(AO$5,生データ表[#Headers],0))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22.9828858592</v>
      </c>
      <c r="AP13" s="4">
        <f>IFERROR(ROUND(
(INDEX(生データ表[],MATCH($C13,生データ表['#],0),MATCH(AP$5,生データ表[#Headers],0))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8.2279760654</v>
      </c>
      <c r="AQ13" s="4">
        <f>IFERROR(ROUND(
(INDEX(生データ表[],MATCH($C13,生データ表['#],0),MATCH(AQ$5,生データ表[#Headers],0))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7.1420020847999997</v>
      </c>
      <c r="AR13" s="4">
        <f>IFERROR(ROUND(
(INDEX(生データ表[],MATCH($C13,生データ表['#],0),MATCH(AR$5,生データ表[#Headers],0))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11.067251716199999</v>
      </c>
      <c r="AS13" s="4">
        <f>IFERROR(ROUND(
(INDEX(生データ表[],MATCH($C13,生データ表['#],0),MATCH(AS$5,生データ表[#Headers],0))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84.403925674199996</v>
      </c>
      <c r="AT13" s="4">
        <f>IFERROR(ROUND(
(INDEX(生データ表[],MATCH($C13,生データ表['#],0),MATCH(AT$5,生データ表[#Headers],0))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91.756718645000007</v>
      </c>
      <c r="AU13" s="4">
        <f>IFERROR(ROUND(
(INDEX(生データ表[],MATCH($C13,生データ表['#],0),MATCH(AU$5,生データ表[#Headers],0))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44.789730883099999</v>
      </c>
      <c r="AV13" s="4">
        <f>IFERROR(ROUND(
(INDEX(生データ表[],MATCH($C13,生データ表['#],0),MATCH(AV$5,生データ表[#Headers],0))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70.833282623399995</v>
      </c>
      <c r="AW13" s="4">
        <f>IFERROR(ROUND(
(INDEX(生データ表[],MATCH($C13,生データ表['#],0),MATCH(AW$5,生データ表[#Headers],0))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59.1517431726</v>
      </c>
      <c r="AX13" s="4">
        <f>IFERROR(ROUND(
(INDEX(生データ表[],MATCH($C13,生データ表['#],0),MATCH(AX$5,生データ表[#Headers],0))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77.809849544800002</v>
      </c>
      <c r="AY13" s="4">
        <f>IFERROR(ROUND(
(INDEX(生データ表[],MATCH($C13,生データ表['#],0),MATCH(AY$5,生データ表[#Headers],0))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98.313659359200003</v>
      </c>
      <c r="AZ13" s="4">
        <f>IFERROR(ROUND(
(INDEX(生データ表[],MATCH($C13,生データ表['#],0),MATCH(AZ$5,生データ表[#Headers],0))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81.217538349999998</v>
      </c>
      <c r="BA13" s="4">
        <f>IFERROR(ROUND(
(INDEX(生データ表[],MATCH($C13,生データ表['#],0),MATCH(BA$5,生データ表[#Headers],0))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86.588997524000007</v>
      </c>
      <c r="BB13" s="4">
        <f>IFERROR(ROUND(
(INDEX(生データ表[],MATCH($C13,生データ表['#],0),MATCH(BB$5,生データ表[#Headers],0))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77.785852061900002</v>
      </c>
      <c r="BC13" s="4">
        <f>IFERROR(ROUND(
(INDEX(生データ表[],MATCH($C13,生データ表['#],0),MATCH(BC$5,生データ表[#Headers],0))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92.655883790700003</v>
      </c>
      <c r="BD13" s="4">
        <f>IFERROR(ROUND(
(INDEX(生データ表[],MATCH($C13,生データ表['#],0),MATCH(BD$5,生データ表[#Headers],0))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75.045622409100005</v>
      </c>
      <c r="BE13" s="4">
        <f>IFERROR(ROUND(
(INDEX(生データ表[],MATCH($C13,生データ表['#],0),MATCH(BE$5,生データ表[#Headers],0))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22.5848431107</v>
      </c>
      <c r="BF13" s="4">
        <f>IFERROR(ROUND(
(INDEX(生データ表[],MATCH($C13,生データ表['#],0),MATCH(BF$5,生データ表[#Headers],0))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7.8526402101999997</v>
      </c>
      <c r="BG13" s="4">
        <f>IFERROR(ROUND(
(INDEX(生データ表[],MATCH($C13,生データ表['#],0),MATCH(BG$5,生データ表[#Headers],0))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15.2445540485</v>
      </c>
      <c r="BH13" s="4">
        <f>IFERROR(ROUND(
(INDEX(生データ表[],MATCH($C13,生データ表['#],0),MATCH(BH$5,生データ表[#Headers],0))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33.082706766900003</v>
      </c>
      <c r="BI13" s="4">
        <f>IFERROR(ROUND(
(INDEX(生データ表[],MATCH($C13,生データ表['#],0),MATCH(BI$5,生データ表[#Headers],0))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79.150434673399999</v>
      </c>
      <c r="BJ13" s="4">
        <f>IFERROR(ROUND(
(INDEX(生データ表[],MATCH($C13,生データ表['#],0),MATCH(BJ$5,生データ表[#Headers],0))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63.807299114099997</v>
      </c>
      <c r="BK13" s="4">
        <f>IFERROR(ROUND(
(INDEX(生データ表[],MATCH($C13,生データ表['#],0),MATCH(BK$5,生データ表[#Headers],0))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84.424379232500002</v>
      </c>
      <c r="BL13" s="4">
        <f>IFERROR(ROUND(
(INDEX(生データ表[],MATCH($C13,生データ表['#],0),MATCH(BL$5,生データ表[#Headers],0))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59.416650875599998</v>
      </c>
      <c r="BM13" s="4">
        <f>IFERROR(ROUND(
(INDEX(生データ表[],MATCH($C13,生データ表['#],0),MATCH(BM$5,生データ表[#Headers],0))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78.5195936139</v>
      </c>
      <c r="BN13" s="4">
        <f>IFERROR(ROUND(
(INDEX(生データ表[],MATCH($C13,生データ表['#],0),MATCH(BN$5,生データ表[#Headers],0))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90.567687895600002</v>
      </c>
      <c r="BO13" s="4">
        <f>IFERROR(ROUND(
(INDEX(生データ表[],MATCH($C13,生データ表['#],0),MATCH(BO$5,生データ表[#Headers],0))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38.105693781500001</v>
      </c>
      <c r="BP13" s="4">
        <f>IFERROR(ROUND(
(INDEX(生データ表[],MATCH($C13,生データ表['#],0),MATCH(BP$5,生データ表[#Headers],0))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78.532608695700006</v>
      </c>
      <c r="BQ13" s="4">
        <f>IFERROR(ROUND(
(INDEX(生データ表[],MATCH($C13,生データ表['#],0),MATCH(BQ$5,生データ表[#Headers],0))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30.8152401406</v>
      </c>
      <c r="BR13" s="4">
        <f>IFERROR(ROUND(
(INDEX(生データ表[],MATCH($C13,生データ表['#],0),MATCH(BR$5,生データ表[#Headers],0))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34.782832838200001</v>
      </c>
      <c r="BS13" s="4">
        <f>IFERROR(ROUND(
(INDEX(生データ表[],MATCH($C13,生データ表['#],0),MATCH(BS$5,生データ表[#Headers],0))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28.9104391272</v>
      </c>
      <c r="BT13" s="4">
        <f>IFERROR(ROUND(
(INDEX(生データ表[],MATCH($C13,生データ表['#],0),MATCH(BT$5,生データ表[#Headers],0))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27.247643136400001</v>
      </c>
      <c r="BU13" s="4">
        <f>IFERROR(ROUND(
(INDEX(生データ表[],MATCH($C13,生データ表['#],0),MATCH(BU$5,生データ表[#Headers],0))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58.366924251500002</v>
      </c>
      <c r="BV13" s="4">
        <f>IFERROR(ROUND(
(INDEX(生データ表[],MATCH($C13,生データ表['#],0),MATCH(BV$5,生データ表[#Headers],0))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86.043256377000006</v>
      </c>
      <c r="BW13" s="4">
        <f>IFERROR(ROUND(
(INDEX(生データ表[],MATCH($C13,生データ表['#],0),MATCH(BW$5,生データ表[#Headers],0))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99.746024735000006</v>
      </c>
      <c r="BX13" s="4">
        <f>IFERROR(ROUND(
(INDEX(生データ表[],MATCH($C13,生データ表['#],0),MATCH(BX$5,生データ表[#Headers],0))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71.601532567000007</v>
      </c>
      <c r="BY13" s="4">
        <f>IFERROR(ROUND(
(INDEX(生データ表[],MATCH($C13,生データ表['#],0),MATCH(BY$5,生データ表[#Headers],0))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50.376256632299999</v>
      </c>
      <c r="BZ13" s="4">
        <f t="shared" si="0"/>
        <v>28.651690657349999</v>
      </c>
      <c r="CA13" s="4">
        <f t="shared" si="0"/>
        <v>45.397447810750002</v>
      </c>
      <c r="CB13" s="4">
        <f t="shared" si="0"/>
        <v>3.1551606462500001</v>
      </c>
      <c r="CC13" s="4">
        <f t="shared" si="0"/>
        <v>48.65354958975</v>
      </c>
      <c r="CD13" s="4">
        <f t="shared" si="0"/>
        <v>43.191173333800002</v>
      </c>
      <c r="CE13" s="4">
        <f t="shared" si="0"/>
        <v>49.658049930350003</v>
      </c>
      <c r="CF13" s="4">
        <f t="shared" si="0"/>
        <v>3.13273529755</v>
      </c>
      <c r="CG13" s="4">
        <f t="shared" si="0"/>
        <v>26.390346052566667</v>
      </c>
      <c r="CH13" s="4">
        <f t="shared" si="0"/>
        <v>0.90340709546666664</v>
      </c>
      <c r="CI13" s="4">
        <f t="shared" si="0"/>
        <v>7.3860106682750004</v>
      </c>
      <c r="CJ13" s="4">
        <f t="shared" si="1"/>
        <v>39.698816322133332</v>
      </c>
      <c r="CK13" s="4">
        <f t="shared" si="1"/>
        <v>10.719125728833333</v>
      </c>
      <c r="CL13" s="4">
        <f t="shared" si="1"/>
        <v>13.630127736525001</v>
      </c>
      <c r="CM13" s="4">
        <f t="shared" si="1"/>
        <v>9.1046269004999996</v>
      </c>
      <c r="CN13" s="4">
        <f t="shared" si="1"/>
        <v>73.650125067433336</v>
      </c>
      <c r="CO13" s="4">
        <f t="shared" si="1"/>
        <v>64.992512898000001</v>
      </c>
      <c r="CP13" s="4">
        <f t="shared" si="1"/>
        <v>88.061754452000002</v>
      </c>
      <c r="CQ13" s="4">
        <f t="shared" si="1"/>
        <v>81.864129311966678</v>
      </c>
      <c r="CR13" s="4">
        <f t="shared" si="1"/>
        <v>49.534747380175006</v>
      </c>
      <c r="CS13" s="4">
        <f t="shared" si="1"/>
        <v>42.492565162933339</v>
      </c>
      <c r="CT13" s="4">
        <f t="shared" si="2"/>
        <v>69.21610974073333</v>
      </c>
      <c r="CU13" s="4">
        <f t="shared" si="2"/>
        <v>69.064325097000008</v>
      </c>
      <c r="CV13" s="4">
        <f t="shared" si="2"/>
        <v>54.673924418150001</v>
      </c>
      <c r="CW13" s="4">
        <f t="shared" si="2"/>
        <v>31.846635982700001</v>
      </c>
      <c r="CX13" s="4">
        <f t="shared" si="2"/>
        <v>57.219274588300003</v>
      </c>
      <c r="CY13" s="4">
        <f t="shared" si="2"/>
        <v>73.907937978100009</v>
      </c>
      <c r="CZ13" s="4">
        <f t="shared" si="3"/>
        <v>218.70707196824998</v>
      </c>
      <c r="DA13" s="4">
        <f t="shared" si="3"/>
        <v>30.426488445583331</v>
      </c>
      <c r="DB13" s="4">
        <f t="shared" si="3"/>
        <v>80.538707356266656</v>
      </c>
      <c r="DC13" s="4">
        <f t="shared" si="3"/>
        <v>358.10326910957502</v>
      </c>
      <c r="DD13" s="4">
        <f t="shared" si="3"/>
        <v>180.77300000066668</v>
      </c>
      <c r="DE13" s="4">
        <f t="shared" si="3"/>
        <v>217.64777296725003</v>
      </c>
      <c r="DF13" s="76">
        <f t="shared" si="4"/>
        <v>1086.1963098475917</v>
      </c>
    </row>
    <row r="14" spans="1:110" hidden="1">
      <c r="A14" s="2">
        <v>9</v>
      </c>
      <c r="B14" s="58">
        <f>INDEX(順位表[Comprehensive],MATCH($C14,順位表['#],0))</f>
        <v>10</v>
      </c>
      <c r="C14" s="3">
        <v>9</v>
      </c>
      <c r="D14" s="1" t="str">
        <f>INDEX(都市マスタ[City Name],MATCH($C14,都市マスタ['#],0))</f>
        <v>Berlin</v>
      </c>
      <c r="E14" s="4">
        <f>IFERROR(ROUND(
(INDEX(生データ表[],MATCH($C14,生データ表['#],0),MATCH(E$5,生データ表[#Headers],0))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14.065435709599999</v>
      </c>
      <c r="F14" s="4">
        <f>IFERROR(ROUND(
(INDEX(生データ表[],MATCH($C14,生データ表['#],0),MATCH(F$5,生データ表[#Headers],0))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5.3399362424000003</v>
      </c>
      <c r="G14" s="4">
        <f>IFERROR(ROUND(
(INDEX(生データ表[],MATCH($C14,生データ表['#],0),MATCH(G$5,生データ表[#Headers],0))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14" s="4">
        <f>IFERROR(ROUND(
(INDEX(生データ表[],MATCH($C14,生データ表['#],0),MATCH(H$5,生データ表[#Headers],0))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19.443782844899999</v>
      </c>
      <c r="I14" s="4">
        <f>IFERROR(ROUND(
(INDEX(生データ表[],MATCH($C14,生データ表['#],0),MATCH(I$5,生データ表[#Headers],0))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22.056705513099999</v>
      </c>
      <c r="J14" s="4">
        <f>IFERROR(ROUND(
(INDEX(生データ表[],MATCH($C14,生データ表['#],0),MATCH(J$5,生データ表[#Headers],0))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41.715929639499997</v>
      </c>
      <c r="K14" s="4">
        <f>IFERROR(ROUND(
(INDEX(生データ表[],MATCH($C14,生データ表['#],0),MATCH(K$5,生データ表[#Headers],0))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71.405190554100002</v>
      </c>
      <c r="L14" s="4">
        <f>IFERROR(ROUND(
(INDEX(生データ表[],MATCH($C14,生データ表['#],0),MATCH(L$5,生データ表[#Headers],0))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14" s="4">
        <f>IFERROR(ROUND(
(INDEX(生データ表[],MATCH($C14,生データ表['#],0),MATCH(M$5,生データ表[#Headers],0))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1.1260688443</v>
      </c>
      <c r="N14" s="4">
        <f>IFERROR(ROUND(
(INDEX(生データ表[],MATCH($C14,生データ表['#],0),MATCH(N$5,生データ表[#Headers],0))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14.6576289348</v>
      </c>
      <c r="O14" s="4">
        <f>IFERROR(ROUND(
(INDEX(生データ表[],MATCH($C14,生データ表['#],0),MATCH(O$5,生データ表[#Headers],0))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62.850664402900001</v>
      </c>
      <c r="P14" s="4">
        <f>IFERROR(ROUND(
(INDEX(生データ表[],MATCH($C14,生データ表['#],0),MATCH(P$5,生データ表[#Headers],0))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46.946269864599998</v>
      </c>
      <c r="Q14" s="4">
        <f>IFERROR(ROUND(
(INDEX(生データ表[],MATCH($C14,生データ表['#],0),MATCH(Q$5,生データ表[#Headers],0))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48.315566027199999</v>
      </c>
      <c r="R14" s="4">
        <f>IFERROR(ROUND(
(INDEX(生データ表[],MATCH($C14,生データ表['#],0),MATCH(R$5,生データ表[#Headers],0))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29.250239709599999</v>
      </c>
      <c r="S14" s="4">
        <f>IFERROR(ROUND(
(INDEX(生データ表[],MATCH($C14,生データ表['#],0),MATCH(S$5,生データ表[#Headers],0))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18.557692307700002</v>
      </c>
      <c r="T14" s="4">
        <f>IFERROR(ROUND(
(INDEX(生データ表[],MATCH($C14,生データ表['#],0),MATCH(T$5,生データ表[#Headers],0))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87.489176783800005</v>
      </c>
      <c r="U14" s="4">
        <f>IFERROR(ROUND(
(INDEX(生データ表[],MATCH($C14,生データ表['#],0),MATCH(U$5,生データ表[#Headers],0))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18.859123372199999</v>
      </c>
      <c r="V14" s="4">
        <f>IFERROR(ROUND(
(INDEX(生データ表[],MATCH($C14,生データ表['#],0),MATCH(V$5,生データ表[#Headers],0))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50.315258512</v>
      </c>
      <c r="W14" s="4">
        <f>IFERROR(ROUND(
(INDEX(生データ表[],MATCH($C14,生データ表['#],0),MATCH(W$5,生データ表[#Headers],0))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12.095904196199999</v>
      </c>
      <c r="X14" s="4">
        <f>IFERROR(ROUND(
(INDEX(生データ表[],MATCH($C14,生データ表['#],0),MATCH(X$5,生データ表[#Headers],0))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15.005679091299999</v>
      </c>
      <c r="Y14" s="4">
        <f>IFERROR(ROUND(
(INDEX(生データ表[],MATCH($C14,生データ表['#],0),MATCH(Y$5,生データ表[#Headers],0))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67.419570046600001</v>
      </c>
      <c r="Z14" s="4">
        <f>IFERROR(ROUND(
(INDEX(生データ表[],MATCH($C14,生データ表['#],0),MATCH(Z$5,生データ表[#Headers],0))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2.5529809674999999</v>
      </c>
      <c r="AA14" s="4">
        <f>IFERROR(ROUND(
(INDEX(生データ表[],MATCH($C14,生データ表['#],0),MATCH(AA$5,生データ表[#Headers],0))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13.680781759</v>
      </c>
      <c r="AB14" s="4">
        <f>IFERROR(ROUND(
(INDEX(生データ表[],MATCH($C14,生データ表['#],0),MATCH(AB$5,生データ表[#Headers],0))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20.833333333300001</v>
      </c>
      <c r="AC14" s="4">
        <f>IFERROR(ROUND(
(INDEX(生データ表[],MATCH($C14,生データ表['#],0),MATCH(AC$5,生データ表[#Headers],0))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12.3028391167</v>
      </c>
      <c r="AD14" s="4">
        <f>IFERROR(ROUND(
(INDEX(生データ表[],MATCH($C14,生データ表['#],0),MATCH(AD$5,生データ表[#Headers],0))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42.828282828299997</v>
      </c>
      <c r="AE14" s="4">
        <f>IFERROR(ROUND(
(INDEX(生データ表[],MATCH($C14,生データ表['#],0),MATCH(AE$5,生データ表[#Headers],0))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10.9413083536</v>
      </c>
      <c r="AF14" s="4">
        <f>IFERROR(ROUND(
(INDEX(生データ表[],MATCH($C14,生データ表['#],0),MATCH(AF$5,生データ表[#Headers],0))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15.3832855957</v>
      </c>
      <c r="AG14" s="4">
        <f>IFERROR(ROUND(
(INDEX(生データ表[],MATCH($C14,生データ表['#],0),MATCH(AG$5,生データ表[#Headers],0))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48.111329046800002</v>
      </c>
      <c r="AH14" s="4">
        <f>IFERROR(ROUND(
(INDEX(生データ表[],MATCH($C14,生データ表['#],0),MATCH(AH$5,生データ表[#Headers],0))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47</v>
      </c>
      <c r="AI14" s="4">
        <f>IFERROR(ROUND(
(INDEX(生データ表[],MATCH($C14,生データ表['#],0),MATCH(AI$5,生データ表[#Headers],0))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65.785036677099995</v>
      </c>
      <c r="AJ14" s="4">
        <f>IFERROR(ROUND(
(INDEX(生データ表[],MATCH($C14,生データ表['#],0),MATCH(AJ$5,生データ表[#Headers],0))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47.925311203299998</v>
      </c>
      <c r="AK14" s="4">
        <f>IFERROR(ROUND(
(INDEX(生データ表[],MATCH($C14,生データ表['#],0),MATCH(AK$5,生データ表[#Headers],0))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81.849315068500005</v>
      </c>
      <c r="AL14" s="4">
        <f>IFERROR(ROUND(
(INDEX(生データ表[],MATCH($C14,生データ表['#],0),MATCH(AL$5,生データ表[#Headers],0))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36.842105263199997</v>
      </c>
      <c r="AM14" s="4">
        <f>IFERROR(ROUND(
(INDEX(生データ表[],MATCH($C14,生データ表['#],0),MATCH(AM$5,生データ表[#Headers],0))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31.647576561400001</v>
      </c>
      <c r="AN14" s="4">
        <f>IFERROR(ROUND(
(INDEX(生データ表[],MATCH($C14,生データ表['#],0),MATCH(AN$5,生データ表[#Headers],0))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17.4432131268</v>
      </c>
      <c r="AO14" s="4">
        <f>IFERROR(ROUND(
(INDEX(生データ表[],MATCH($C14,生データ表['#],0),MATCH(AO$5,生データ表[#Headers],0))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29.109299507100001</v>
      </c>
      <c r="AP14" s="4">
        <f>IFERROR(ROUND(
(INDEX(生データ表[],MATCH($C14,生データ表['#],0),MATCH(AP$5,生データ表[#Headers],0))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7.3044603171000002</v>
      </c>
      <c r="AQ14" s="4">
        <f>IFERROR(ROUND(
(INDEX(生データ表[],MATCH($C14,生データ表['#],0),MATCH(AQ$5,生データ表[#Headers],0))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24.678537620899998</v>
      </c>
      <c r="AR14" s="4">
        <f>IFERROR(ROUND(
(INDEX(生データ表[],MATCH($C14,生データ表['#],0),MATCH(AR$5,生データ表[#Headers],0))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20.286942831400001</v>
      </c>
      <c r="AS14" s="4">
        <f>IFERROR(ROUND(
(INDEX(生データ表[],MATCH($C14,生データ表['#],0),MATCH(AS$5,生データ表[#Headers],0))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75.797898072400002</v>
      </c>
      <c r="AT14" s="4">
        <f>IFERROR(ROUND(
(INDEX(生データ表[],MATCH($C14,生データ表['#],0),MATCH(AT$5,生データ表[#Headers],0))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89.951616484900001</v>
      </c>
      <c r="AU14" s="4">
        <f>IFERROR(ROUND(
(INDEX(生データ表[],MATCH($C14,生データ表['#],0),MATCH(AU$5,生データ表[#Headers],0))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57.920585162000002</v>
      </c>
      <c r="AV14" s="4">
        <f>IFERROR(ROUND(
(INDEX(生データ表[],MATCH($C14,生データ表['#],0),MATCH(AV$5,生データ表[#Headers],0))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65.825972758099994</v>
      </c>
      <c r="AW14" s="4">
        <f>IFERROR(ROUND(
(INDEX(生データ表[],MATCH($C14,生データ表['#],0),MATCH(AW$5,生データ表[#Headers],0))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50.982533336199999</v>
      </c>
      <c r="AX14" s="4">
        <f>IFERROR(ROUND(
(INDEX(生データ表[],MATCH($C14,生データ表['#],0),MATCH(AX$5,生データ表[#Headers],0))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96.947729633199998</v>
      </c>
      <c r="AY14" s="4">
        <f>IFERROR(ROUND(
(INDEX(生データ表[],MATCH($C14,生データ表['#],0),MATCH(AY$5,生データ表[#Headers],0))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98.145025295099998</v>
      </c>
      <c r="AZ14" s="4">
        <f>IFERROR(ROUND(
(INDEX(生データ表[],MATCH($C14,生データ表['#],0),MATCH(AZ$5,生データ表[#Headers],0))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81.217538349999998</v>
      </c>
      <c r="BA14" s="4">
        <f>IFERROR(ROUND(
(INDEX(生データ表[],MATCH($C14,生データ表['#],0),MATCH(BA$5,生データ表[#Headers],0))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86.588997524000007</v>
      </c>
      <c r="BB14" s="4">
        <f>IFERROR(ROUND(
(INDEX(生データ表[],MATCH($C14,生データ表['#],0),MATCH(BB$5,生データ表[#Headers],0))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77.785852061900002</v>
      </c>
      <c r="BC14" s="4">
        <f>IFERROR(ROUND(
(INDEX(生データ表[],MATCH($C14,生データ表['#],0),MATCH(BC$5,生データ表[#Headers],0))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50.573779711299998</v>
      </c>
      <c r="BD14" s="4">
        <f>IFERROR(ROUND(
(INDEX(生データ表[],MATCH($C14,生データ表['#],0),MATCH(BD$5,生データ表[#Headers],0))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75.045622409100005</v>
      </c>
      <c r="BE14" s="4">
        <f>IFERROR(ROUND(
(INDEX(生データ表[],MATCH($C14,生データ表['#],0),MATCH(BE$5,生データ表[#Headers],0))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35.677928459900002</v>
      </c>
      <c r="BF14" s="4">
        <f>IFERROR(ROUND(
(INDEX(生データ表[],MATCH($C14,生データ表['#],0),MATCH(BF$5,生データ表[#Headers],0))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26.2847255189</v>
      </c>
      <c r="BG14" s="4">
        <f>IFERROR(ROUND(
(INDEX(生データ表[],MATCH($C14,生データ表['#],0),MATCH(BG$5,生データ表[#Headers],0))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45.297986025500002</v>
      </c>
      <c r="BH14" s="4">
        <f>IFERROR(ROUND(
(INDEX(生データ表[],MATCH($C14,生データ表['#],0),MATCH(BH$5,生データ表[#Headers],0))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33.082706766900003</v>
      </c>
      <c r="BI14" s="4">
        <f>IFERROR(ROUND(
(INDEX(生データ表[],MATCH($C14,生データ表['#],0),MATCH(BI$5,生データ表[#Headers],0))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79.150434673399999</v>
      </c>
      <c r="BJ14" s="4">
        <f>IFERROR(ROUND(
(INDEX(生データ表[],MATCH($C14,生データ表['#],0),MATCH(BJ$5,生データ表[#Headers],0))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85.668133325499994</v>
      </c>
      <c r="BK14" s="4">
        <f>IFERROR(ROUND(
(INDEX(生データ表[],MATCH($C14,生データ表['#],0),MATCH(BK$5,生データ表[#Headers],0))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78.555304740400004</v>
      </c>
      <c r="BL14" s="4">
        <f>IFERROR(ROUND(
(INDEX(生データ表[],MATCH($C14,生データ表['#],0),MATCH(BL$5,生データ表[#Headers],0))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56.210146982600001</v>
      </c>
      <c r="BM14" s="4">
        <f>IFERROR(ROUND(
(INDEX(生データ表[],MATCH($C14,生データ表['#],0),MATCH(BM$5,生データ表[#Headers],0))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70.972423802600005</v>
      </c>
      <c r="BN14" s="4">
        <f>IFERROR(ROUND(
(INDEX(生データ表[],MATCH($C14,生データ表['#],0),MATCH(BN$5,生データ表[#Headers],0))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93.703001690099995</v>
      </c>
      <c r="BO14" s="4">
        <f>IFERROR(ROUND(
(INDEX(生データ表[],MATCH($C14,生データ表['#],0),MATCH(BO$5,生データ表[#Headers],0))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33.942714182099998</v>
      </c>
      <c r="BP14" s="4">
        <f>IFERROR(ROUND(
(INDEX(生データ表[],MATCH($C14,生データ表['#],0),MATCH(BP$5,生データ表[#Headers],0))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38.043478260900002</v>
      </c>
      <c r="BQ14" s="4">
        <f>IFERROR(ROUND(
(INDEX(生データ表[],MATCH($C14,生データ表['#],0),MATCH(BQ$5,生データ表[#Headers],0))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0</v>
      </c>
      <c r="BR14" s="4">
        <f>IFERROR(ROUND(
(INDEX(生データ表[],MATCH($C14,生データ表['#],0),MATCH(BR$5,生データ表[#Headers],0))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11.0597805363</v>
      </c>
      <c r="BS14" s="4">
        <f>IFERROR(ROUND(
(INDEX(生データ表[],MATCH($C14,生データ表['#],0),MATCH(BS$5,生データ表[#Headers],0))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8.8739976178000006</v>
      </c>
      <c r="BT14" s="4">
        <f>IFERROR(ROUND(
(INDEX(生データ表[],MATCH($C14,生データ表['#],0),MATCH(BT$5,生データ表[#Headers],0))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45.872614394099998</v>
      </c>
      <c r="BU14" s="4">
        <f>IFERROR(ROUND(
(INDEX(生データ表[],MATCH($C14,生データ表['#],0),MATCH(BU$5,生データ表[#Headers],0))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86.023001783200002</v>
      </c>
      <c r="BV14" s="4">
        <f>IFERROR(ROUND(
(INDEX(生データ表[],MATCH($C14,生データ表['#],0),MATCH(BV$5,生データ表[#Headers],0))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35.714285714299997</v>
      </c>
      <c r="BW14" s="4">
        <f>IFERROR(ROUND(
(INDEX(生データ表[],MATCH($C14,生データ表['#],0),MATCH(BW$5,生データ表[#Headers],0))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78.102915194299996</v>
      </c>
      <c r="BX14" s="4">
        <f>IFERROR(ROUND(
(INDEX(生データ表[],MATCH($C14,生データ表['#],0),MATCH(BX$5,生データ表[#Headers],0))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32.175265750599998</v>
      </c>
      <c r="BY14" s="4">
        <f>IFERROR(ROUND(
(INDEX(生データ表[],MATCH($C14,生データ表['#],0),MATCH(BY$5,生データ表[#Headers],0))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46.9966417734</v>
      </c>
      <c r="BZ14" s="4">
        <f t="shared" si="0"/>
        <v>20.750244178999999</v>
      </c>
      <c r="CA14" s="4">
        <f t="shared" si="0"/>
        <v>56.560560096800003</v>
      </c>
      <c r="CB14" s="4">
        <f t="shared" si="0"/>
        <v>0.56303442214999999</v>
      </c>
      <c r="CC14" s="4">
        <f t="shared" si="0"/>
        <v>38.754146668849998</v>
      </c>
      <c r="CD14" s="4">
        <f t="shared" si="0"/>
        <v>41.504025200466664</v>
      </c>
      <c r="CE14" s="4">
        <f t="shared" si="0"/>
        <v>53.023434545750007</v>
      </c>
      <c r="CF14" s="4">
        <f t="shared" si="0"/>
        <v>34.587190942100001</v>
      </c>
      <c r="CG14" s="4">
        <f t="shared" si="0"/>
        <v>31.507051111366668</v>
      </c>
      <c r="CH14" s="4">
        <f t="shared" si="0"/>
        <v>12.3556986866</v>
      </c>
      <c r="CI14" s="4">
        <f t="shared" si="0"/>
        <v>20.363928973575</v>
      </c>
      <c r="CJ14" s="4">
        <f t="shared" si="1"/>
        <v>53.632121907966656</v>
      </c>
      <c r="CK14" s="4">
        <f t="shared" si="1"/>
        <v>55.538910511666664</v>
      </c>
      <c r="CL14" s="4">
        <f t="shared" si="1"/>
        <v>21.376137378100001</v>
      </c>
      <c r="CM14" s="4">
        <f t="shared" si="1"/>
        <v>22.48274022615</v>
      </c>
      <c r="CN14" s="4">
        <f t="shared" si="1"/>
        <v>74.556699906433337</v>
      </c>
      <c r="CO14" s="4">
        <f t="shared" si="1"/>
        <v>58.404253047149993</v>
      </c>
      <c r="CP14" s="4">
        <f t="shared" si="1"/>
        <v>97.546377464149998</v>
      </c>
      <c r="CQ14" s="4">
        <f t="shared" si="1"/>
        <v>81.864129311966678</v>
      </c>
      <c r="CR14" s="4">
        <f t="shared" si="1"/>
        <v>46.895514024800001</v>
      </c>
      <c r="CS14" s="4">
        <f t="shared" si="1"/>
        <v>52.510375821933337</v>
      </c>
      <c r="CT14" s="4">
        <f t="shared" si="2"/>
        <v>73.477861682833336</v>
      </c>
      <c r="CU14" s="4">
        <f t="shared" si="2"/>
        <v>66.206046558266664</v>
      </c>
      <c r="CV14" s="4">
        <f t="shared" si="2"/>
        <v>19.021739130450001</v>
      </c>
      <c r="CW14" s="4">
        <f t="shared" si="2"/>
        <v>9.9668890770500003</v>
      </c>
      <c r="CX14" s="4">
        <f t="shared" si="2"/>
        <v>55.869967297199992</v>
      </c>
      <c r="CY14" s="4">
        <f t="shared" si="2"/>
        <v>52.424940906099998</v>
      </c>
      <c r="CZ14" s="4">
        <f t="shared" si="3"/>
        <v>211.15544511301667</v>
      </c>
      <c r="DA14" s="4">
        <f t="shared" si="3"/>
        <v>78.449940740066666</v>
      </c>
      <c r="DB14" s="4">
        <f t="shared" si="3"/>
        <v>173.39383899745832</v>
      </c>
      <c r="DC14" s="4">
        <f t="shared" si="3"/>
        <v>359.26697375449999</v>
      </c>
      <c r="DD14" s="4">
        <f t="shared" si="3"/>
        <v>192.19428406303334</v>
      </c>
      <c r="DE14" s="4">
        <f t="shared" si="3"/>
        <v>137.2835364108</v>
      </c>
      <c r="DF14" s="76">
        <f t="shared" si="4"/>
        <v>1151.744019078875</v>
      </c>
    </row>
    <row r="15" spans="1:110" hidden="1">
      <c r="A15" s="2">
        <v>10</v>
      </c>
      <c r="B15" s="58">
        <f>INDEX(順位表[Comprehensive],MATCH($C15,順位表['#],0))</f>
        <v>33</v>
      </c>
      <c r="C15" s="3">
        <v>10</v>
      </c>
      <c r="D15" s="1" t="str">
        <f>INDEX(都市マスタ[City Name],MATCH($C15,都市マスタ['#],0))</f>
        <v>Milan</v>
      </c>
      <c r="E15" s="4">
        <f>IFERROR(ROUND(
(INDEX(生データ表[],MATCH($C15,生データ表['#],0),MATCH(E$5,生データ表[#Headers],0))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4.8275105919000003</v>
      </c>
      <c r="F15" s="4">
        <f>IFERROR(ROUND(
(INDEX(生データ表[],MATCH($C15,生データ表['#],0),MATCH(F$5,生データ表[#Headers],0))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1.0120638277</v>
      </c>
      <c r="G15" s="4">
        <f>IFERROR(ROUND(
(INDEX(生データ表[],MATCH($C15,生データ表['#],0),MATCH(G$5,生データ表[#Headers],0))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15" s="4">
        <f>IFERROR(ROUND(
(INDEX(生データ表[],MATCH($C15,生データ表['#],0),MATCH(H$5,生データ表[#Headers],0))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7.8093494572999997</v>
      </c>
      <c r="I15" s="4">
        <f>IFERROR(ROUND(
(INDEX(生データ表[],MATCH($C15,生データ表['#],0),MATCH(I$5,生データ表[#Headers],0))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28.5689623142</v>
      </c>
      <c r="J15" s="4">
        <f>IFERROR(ROUND(
(INDEX(生データ表[],MATCH($C15,生データ表['#],0),MATCH(J$5,生データ表[#Headers],0))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24.9962852934</v>
      </c>
      <c r="K15" s="4">
        <f>IFERROR(ROUND(
(INDEX(生データ表[],MATCH($C15,生データ表['#],0),MATCH(K$5,生データ表[#Headers],0))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39.209726443800001</v>
      </c>
      <c r="L15" s="4">
        <f>IFERROR(ROUND(
(INDEX(生データ表[],MATCH($C15,生データ表['#],0),MATCH(L$5,生データ表[#Headers],0))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15" s="4">
        <f>IFERROR(ROUND(
(INDEX(生データ表[],MATCH($C15,生データ表['#],0),MATCH(M$5,生データ表[#Headers],0))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15" s="4">
        <f>IFERROR(ROUND(
(INDEX(生データ表[],MATCH($C15,生データ表['#],0),MATCH(N$5,生データ表[#Headers],0))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6.0656953551999999</v>
      </c>
      <c r="O15" s="4">
        <f>IFERROR(ROUND(
(INDEX(生データ表[],MATCH($C15,生データ表['#],0),MATCH(O$5,生データ表[#Headers],0))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100</v>
      </c>
      <c r="P15" s="4">
        <f>IFERROR(ROUND(
(INDEX(生データ表[],MATCH($C15,生データ表['#],0),MATCH(P$5,生データ表[#Headers],0))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24.897554955499999</v>
      </c>
      <c r="Q15" s="4">
        <f>IFERROR(ROUND(
(INDEX(生データ表[],MATCH($C15,生データ表['#],0),MATCH(Q$5,生データ表[#Headers],0))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30.5951001838</v>
      </c>
      <c r="R15" s="4">
        <f>IFERROR(ROUND(
(INDEX(生データ表[],MATCH($C15,生データ表['#],0),MATCH(R$5,生データ表[#Headers],0))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32.264822229899998</v>
      </c>
      <c r="S15" s="4">
        <f>IFERROR(ROUND(
(INDEX(生データ表[],MATCH($C15,生データ表['#],0),MATCH(S$5,生データ表[#Headers],0))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27.307692307700002</v>
      </c>
      <c r="T15" s="4">
        <f>IFERROR(ROUND(
(INDEX(生データ表[],MATCH($C15,生データ表['#],0),MATCH(T$5,生データ表[#Headers],0))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66.348772362899993</v>
      </c>
      <c r="U15" s="4">
        <f>IFERROR(ROUND(
(INDEX(生データ表[],MATCH($C15,生データ表['#],0),MATCH(U$5,生データ表[#Headers],0))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5.4510872902000003</v>
      </c>
      <c r="V15" s="4">
        <f>IFERROR(ROUND(
(INDEX(生データ表[],MATCH($C15,生データ表['#],0),MATCH(V$5,生データ表[#Headers],0))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1.0088272383000001</v>
      </c>
      <c r="W15" s="4">
        <f>IFERROR(ROUND(
(INDEX(生データ表[],MATCH($C15,生データ表['#],0),MATCH(W$5,生データ表[#Headers],0))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2.5473575373999999</v>
      </c>
      <c r="X15" s="4">
        <f>IFERROR(ROUND(
(INDEX(生データ表[],MATCH($C15,生データ表['#],0),MATCH(X$5,生データ表[#Headers],0))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11.4101460554</v>
      </c>
      <c r="Y15" s="4">
        <f>IFERROR(ROUND(
(INDEX(生データ表[],MATCH($C15,生データ表['#],0),MATCH(Y$5,生データ表[#Headers],0))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57.714761124299997</v>
      </c>
      <c r="Z15" s="4">
        <f>IFERROR(ROUND(
(INDEX(生データ表[],MATCH($C15,生データ表['#],0),MATCH(Z$5,生データ表[#Headers],0))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1.0221112096</v>
      </c>
      <c r="AA15" s="4">
        <f>IFERROR(ROUND(
(INDEX(生データ表[],MATCH($C15,生データ表['#],0),MATCH(AA$5,生データ表[#Headers],0))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15" s="4">
        <f>IFERROR(ROUND(
(INDEX(生データ表[],MATCH($C15,生データ表['#],0),MATCH(AB$5,生データ表[#Headers],0))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12.0390070922</v>
      </c>
      <c r="AC15" s="4">
        <f>IFERROR(ROUND(
(INDEX(生データ表[],MATCH($C15,生データ表['#],0),MATCH(AC$5,生データ表[#Headers],0))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7.2555205046999998</v>
      </c>
      <c r="AD15" s="4">
        <f>IFERROR(ROUND(
(INDEX(生データ表[],MATCH($C15,生データ表['#],0),MATCH(AD$5,生データ表[#Headers],0))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49.292929292899998</v>
      </c>
      <c r="AE15" s="4">
        <f>IFERROR(ROUND(
(INDEX(生データ表[],MATCH($C15,生データ表['#],0),MATCH(AE$5,生データ表[#Headers],0))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2.0490383025000001</v>
      </c>
      <c r="AF15" s="4">
        <f>IFERROR(ROUND(
(INDEX(生データ表[],MATCH($C15,生データ表['#],0),MATCH(AF$5,生データ表[#Headers],0))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5.2432632599</v>
      </c>
      <c r="AG15" s="4">
        <f>IFERROR(ROUND(
(INDEX(生データ表[],MATCH($C15,生データ表['#],0),MATCH(AG$5,生データ表[#Headers],0))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38.6763081589</v>
      </c>
      <c r="AH15" s="4">
        <f>IFERROR(ROUND(
(INDEX(生データ表[],MATCH($C15,生データ表['#],0),MATCH(AH$5,生データ表[#Headers],0))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41.362318840599997</v>
      </c>
      <c r="AI15" s="4">
        <f>IFERROR(ROUND(
(INDEX(生データ表[],MATCH($C15,生データ表['#],0),MATCH(AI$5,生データ表[#Headers],0))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55.192281500500002</v>
      </c>
      <c r="AJ15" s="4">
        <f>IFERROR(ROUND(
(INDEX(生データ表[],MATCH($C15,生データ表['#],0),MATCH(AJ$5,生データ表[#Headers],0))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23.651452282200001</v>
      </c>
      <c r="AK15" s="4">
        <f>IFERROR(ROUND(
(INDEX(生データ表[],MATCH($C15,生データ表['#],0),MATCH(AK$5,生データ表[#Headers],0))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28.424657534200001</v>
      </c>
      <c r="AL15" s="4">
        <f>IFERROR(ROUND(
(INDEX(生データ表[],MATCH($C15,生データ表['#],0),MATCH(AL$5,生データ表[#Headers],0))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15" s="4">
        <f>IFERROR(ROUND(
(INDEX(生データ表[],MATCH($C15,生データ表['#],0),MATCH(AM$5,生データ表[#Headers],0))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17.3408488064</v>
      </c>
      <c r="AN15" s="4">
        <f>IFERROR(ROUND(
(INDEX(生データ表[],MATCH($C15,生データ表['#],0),MATCH(AN$5,生データ表[#Headers],0))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7.1848405068999996</v>
      </c>
      <c r="AO15" s="4">
        <f>IFERROR(ROUND(
(INDEX(生データ表[],MATCH($C15,生データ表['#],0),MATCH(AO$5,生データ表[#Headers],0))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62.692798151799998</v>
      </c>
      <c r="AP15" s="4">
        <f>IFERROR(ROUND(
(INDEX(生データ表[],MATCH($C15,生データ表['#],0),MATCH(AP$5,生データ表[#Headers],0))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36.238751541699997</v>
      </c>
      <c r="AQ15" s="4">
        <f>IFERROR(ROUND(
(INDEX(生データ表[],MATCH($C15,生データ表['#],0),MATCH(AQ$5,生データ表[#Headers],0))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8.6137061515000006</v>
      </c>
      <c r="AR15" s="4">
        <f>IFERROR(ROUND(
(INDEX(生データ表[],MATCH($C15,生データ表['#],0),MATCH(AR$5,生データ表[#Headers],0))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15.0341904378</v>
      </c>
      <c r="AS15" s="4">
        <f>IFERROR(ROUND(
(INDEX(生データ表[],MATCH($C15,生データ表['#],0),MATCH(AS$5,生データ表[#Headers],0))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85.342028939800002</v>
      </c>
      <c r="AT15" s="4">
        <f>IFERROR(ROUND(
(INDEX(生データ表[],MATCH($C15,生データ表['#],0),MATCH(AT$5,生データ表[#Headers],0))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74.254086834800006</v>
      </c>
      <c r="AU15" s="4">
        <f>IFERROR(ROUND(
(INDEX(生データ表[],MATCH($C15,生データ表['#],0),MATCH(AU$5,生データ表[#Headers],0))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12.9965718895</v>
      </c>
      <c r="AV15" s="4">
        <f>IFERROR(ROUND(
(INDEX(生データ表[],MATCH($C15,生データ表['#],0),MATCH(AV$5,生データ表[#Headers],0))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62.010886237400001</v>
      </c>
      <c r="AW15" s="4">
        <f>IFERROR(ROUND(
(INDEX(生データ表[],MATCH($C15,生データ表['#],0),MATCH(AW$5,生データ表[#Headers],0))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56.852268008599999</v>
      </c>
      <c r="AX15" s="4">
        <f>IFERROR(ROUND(
(INDEX(生データ表[],MATCH($C15,生データ表['#],0),MATCH(AX$5,生データ表[#Headers],0))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98.983365709300003</v>
      </c>
      <c r="AY15" s="4">
        <f>IFERROR(ROUND(
(INDEX(生データ表[],MATCH($C15,生データ表['#],0),MATCH(AY$5,生データ表[#Headers],0))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100</v>
      </c>
      <c r="AZ15" s="4">
        <f>IFERROR(ROUND(
(INDEX(生データ表[],MATCH($C15,生データ表['#],0),MATCH(AZ$5,生データ表[#Headers],0))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87.655513951000003</v>
      </c>
      <c r="BA15" s="4">
        <f>IFERROR(ROUND(
(INDEX(生データ表[],MATCH($C15,生データ表['#],0),MATCH(BA$5,生データ表[#Headers],0))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58.358786198600001</v>
      </c>
      <c r="BB15" s="4">
        <f>IFERROR(ROUND(
(INDEX(生データ表[],MATCH($C15,生データ表['#],0),MATCH(BB$5,生データ表[#Headers],0))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93.611061459699997</v>
      </c>
      <c r="BC15" s="4">
        <f>IFERROR(ROUND(
(INDEX(生データ表[],MATCH($C15,生データ表['#],0),MATCH(BC$5,生データ表[#Headers],0))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86.270896801700005</v>
      </c>
      <c r="BD15" s="4">
        <f>IFERROR(ROUND(
(INDEX(生データ表[],MATCH($C15,生データ表['#],0),MATCH(BD$5,生データ表[#Headers],0))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51.335807498800001</v>
      </c>
      <c r="BE15" s="4">
        <f>IFERROR(ROUND(
(INDEX(生データ表[],MATCH($C15,生データ表['#],0),MATCH(BE$5,生データ表[#Headers],0))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41.553378417499999</v>
      </c>
      <c r="BF15" s="4">
        <f>IFERROR(ROUND(
(INDEX(生データ表[],MATCH($C15,生データ表['#],0),MATCH(BF$5,生データ表[#Headers],0))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47.685992759199998</v>
      </c>
      <c r="BG15" s="4">
        <f>IFERROR(ROUND(
(INDEX(生データ表[],MATCH($C15,生データ表['#],0),MATCH(BG$5,生データ表[#Headers],0))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43.607069461599998</v>
      </c>
      <c r="BH15" s="4">
        <f>IFERROR(ROUND(
(INDEX(生データ表[],MATCH($C15,生データ表['#],0),MATCH(BH$5,生データ表[#Headers],0))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39.4515701017</v>
      </c>
      <c r="BI15" s="4">
        <f>IFERROR(ROUND(
(INDEX(生データ表[],MATCH($C15,生データ表['#],0),MATCH(BI$5,生データ表[#Headers],0))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49.5148308395</v>
      </c>
      <c r="BJ15" s="4">
        <f>IFERROR(ROUND(
(INDEX(生データ表[],MATCH($C15,生データ表['#],0),MATCH(BJ$5,生データ表[#Headers],0))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81.358027320900007</v>
      </c>
      <c r="BK15" s="4">
        <f>IFERROR(ROUND(
(INDEX(生データ表[],MATCH($C15,生データ表['#],0),MATCH(BK$5,生データ表[#Headers],0))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42.437923250600001</v>
      </c>
      <c r="BL15" s="4">
        <f>IFERROR(ROUND(
(INDEX(生データ表[],MATCH($C15,生データ表['#],0),MATCH(BL$5,生データ表[#Headers],0))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70.3837626981</v>
      </c>
      <c r="BM15" s="4">
        <f>IFERROR(ROUND(
(INDEX(生データ表[],MATCH($C15,生データ表['#],0),MATCH(BM$5,生データ表[#Headers],0))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56.894049346899997</v>
      </c>
      <c r="BN15" s="4">
        <f>IFERROR(ROUND(
(INDEX(生データ表[],MATCH($C15,生データ表['#],0),MATCH(BN$5,生データ表[#Headers],0))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48.009077130400001</v>
      </c>
      <c r="BO15" s="4">
        <f>IFERROR(ROUND(
(INDEX(生データ表[],MATCH($C15,生データ表['#],0),MATCH(BO$5,生データ表[#Headers],0))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28.9717627518</v>
      </c>
      <c r="BP15" s="4">
        <f>IFERROR(ROUND(
(INDEX(生データ表[],MATCH($C15,生データ表['#],0),MATCH(BP$5,生データ表[#Headers],0))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58.152173912999999</v>
      </c>
      <c r="BQ15" s="4">
        <f>IFERROR(ROUND(
(INDEX(生データ表[],MATCH($C15,生データ表['#],0),MATCH(BQ$5,生データ表[#Headers],0))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10.641826938199999</v>
      </c>
      <c r="BR15" s="4">
        <f>IFERROR(ROUND(
(INDEX(生データ表[],MATCH($C15,生データ表['#],0),MATCH(BR$5,生データ表[#Headers],0))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28.443759314200001</v>
      </c>
      <c r="BS15" s="4">
        <f>IFERROR(ROUND(
(INDEX(生データ表[],MATCH($C15,生データ表['#],0),MATCH(BS$5,生データ表[#Headers],0))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24.225552289300001</v>
      </c>
      <c r="BT15" s="4">
        <f>IFERROR(ROUND(
(INDEX(生データ表[],MATCH($C15,生データ表['#],0),MATCH(BT$5,生データ表[#Headers],0))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55.644975856499997</v>
      </c>
      <c r="BU15" s="4">
        <f>IFERROR(ROUND(
(INDEX(生データ表[],MATCH($C15,生データ表['#],0),MATCH(BU$5,生データ表[#Headers],0))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58.316895548399998</v>
      </c>
      <c r="BV15" s="4">
        <f>IFERROR(ROUND(
(INDEX(生データ表[],MATCH($C15,生データ表['#],0),MATCH(BV$5,生データ表[#Headers],0))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28.180492624599999</v>
      </c>
      <c r="BW15" s="4">
        <f>IFERROR(ROUND(
(INDEX(生データ表[],MATCH($C15,生データ表['#],0),MATCH(BW$5,生データ表[#Headers],0))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68.573321554800003</v>
      </c>
      <c r="BX15" s="4">
        <f>IFERROR(ROUND(
(INDEX(生データ表[],MATCH($C15,生データ表['#],0),MATCH(BX$5,生データ表[#Headers],0))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16.171368861000001</v>
      </c>
      <c r="BY15" s="4">
        <f>IFERROR(ROUND(
(INDEX(生データ表[],MATCH($C15,生データ表['#],0),MATCH(BY$5,生データ表[#Headers],0))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36.715902704000001</v>
      </c>
      <c r="BZ15" s="4">
        <f t="shared" si="0"/>
        <v>18.189155885750001</v>
      </c>
      <c r="CA15" s="4">
        <f t="shared" si="0"/>
        <v>32.1030058686</v>
      </c>
      <c r="CB15" s="4">
        <f t="shared" si="0"/>
        <v>0</v>
      </c>
      <c r="CC15" s="4">
        <f t="shared" si="0"/>
        <v>53.032847677600003</v>
      </c>
      <c r="CD15" s="4">
        <f t="shared" si="0"/>
        <v>29.252492456399995</v>
      </c>
      <c r="CE15" s="4">
        <f t="shared" si="0"/>
        <v>46.828232335300001</v>
      </c>
      <c r="CF15" s="4">
        <f t="shared" si="0"/>
        <v>3.2299572642500003</v>
      </c>
      <c r="CG15" s="4">
        <f t="shared" si="0"/>
        <v>23.890754905699996</v>
      </c>
      <c r="CH15" s="4">
        <f t="shared" si="0"/>
        <v>4.3537061006000002</v>
      </c>
      <c r="CI15" s="4">
        <f t="shared" si="0"/>
        <v>15.96018784</v>
      </c>
      <c r="CJ15" s="4">
        <f t="shared" si="1"/>
        <v>45.076969499999997</v>
      </c>
      <c r="CK15" s="4">
        <f t="shared" si="1"/>
        <v>20.86747520196667</v>
      </c>
      <c r="CL15" s="4">
        <f t="shared" si="1"/>
        <v>30.864309751699999</v>
      </c>
      <c r="CM15" s="4">
        <f t="shared" si="1"/>
        <v>11.82394829465</v>
      </c>
      <c r="CN15" s="4">
        <f t="shared" si="1"/>
        <v>57.530895888033335</v>
      </c>
      <c r="CO15" s="4">
        <f t="shared" si="1"/>
        <v>59.431577122999997</v>
      </c>
      <c r="CP15" s="4">
        <f t="shared" si="1"/>
        <v>99.491682854650008</v>
      </c>
      <c r="CQ15" s="4">
        <f t="shared" si="1"/>
        <v>79.875120536433329</v>
      </c>
      <c r="CR15" s="4">
        <f t="shared" si="1"/>
        <v>56.711518869300001</v>
      </c>
      <c r="CS15" s="4">
        <f t="shared" si="1"/>
        <v>44.191156800933335</v>
      </c>
      <c r="CT15" s="4">
        <f t="shared" si="2"/>
        <v>64.726571089866681</v>
      </c>
      <c r="CU15" s="4">
        <f t="shared" si="2"/>
        <v>44.624963076366669</v>
      </c>
      <c r="CV15" s="4">
        <f t="shared" si="2"/>
        <v>34.397000425599998</v>
      </c>
      <c r="CW15" s="4">
        <f t="shared" si="2"/>
        <v>26.334655801750003</v>
      </c>
      <c r="CX15" s="4">
        <f t="shared" si="2"/>
        <v>47.380788009833331</v>
      </c>
      <c r="CY15" s="4">
        <f t="shared" si="2"/>
        <v>40.48686437326667</v>
      </c>
      <c r="CZ15" s="4">
        <f t="shared" si="3"/>
        <v>179.40573422365003</v>
      </c>
      <c r="DA15" s="4">
        <f t="shared" si="3"/>
        <v>31.474418270549997</v>
      </c>
      <c r="DB15" s="4">
        <f t="shared" si="3"/>
        <v>124.59289058831666</v>
      </c>
      <c r="DC15" s="4">
        <f t="shared" si="3"/>
        <v>353.04079527141664</v>
      </c>
      <c r="DD15" s="4">
        <f t="shared" si="3"/>
        <v>153.54269096716669</v>
      </c>
      <c r="DE15" s="4">
        <f t="shared" si="3"/>
        <v>148.59930861045001</v>
      </c>
      <c r="DF15" s="76">
        <f t="shared" si="4"/>
        <v>990.65583793154997</v>
      </c>
    </row>
    <row r="16" spans="1:110" hidden="1">
      <c r="A16" s="2">
        <v>11</v>
      </c>
      <c r="B16" s="58">
        <f>INDEX(順位表[Comprehensive],MATCH($C16,順位表['#],0))</f>
        <v>19</v>
      </c>
      <c r="C16" s="3">
        <v>11</v>
      </c>
      <c r="D16" s="1" t="str">
        <f>INDEX(都市マスタ[City Name],MATCH($C16,都市マスタ['#],0))</f>
        <v>Zurich</v>
      </c>
      <c r="E16" s="4">
        <f>IFERROR(ROUND(
(INDEX(生データ表[],MATCH($C16,生データ表['#],0),MATCH(E$5,生データ表[#Headers],0))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0.96553128060000004</v>
      </c>
      <c r="F16" s="4">
        <f>IFERROR(ROUND(
(INDEX(生データ表[],MATCH($C16,生データ表['#],0),MATCH(F$5,生データ表[#Headers],0))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0.4393460106</v>
      </c>
      <c r="G16" s="4">
        <f>IFERROR(ROUND(
(INDEX(生データ表[],MATCH($C16,生データ表['#],0),MATCH(G$5,生データ表[#Headers],0))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9.698269E-4</v>
      </c>
      <c r="H16" s="4">
        <f>IFERROR(ROUND(
(INDEX(生データ表[],MATCH($C16,生データ表['#],0),MATCH(H$5,生データ表[#Headers],0))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7.4091797872000003</v>
      </c>
      <c r="I16" s="4">
        <f>IFERROR(ROUND(
(INDEX(生データ表[],MATCH($C16,生データ表['#],0),MATCH(I$5,生データ表[#Headers],0))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88.124548367700001</v>
      </c>
      <c r="J16" s="4">
        <f>IFERROR(ROUND(
(INDEX(生データ表[],MATCH($C16,生データ表['#],0),MATCH(J$5,生データ表[#Headers],0))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33.578739988000002</v>
      </c>
      <c r="K16" s="4">
        <f>IFERROR(ROUND(
(INDEX(生データ表[],MATCH($C16,生データ表['#],0),MATCH(K$5,生データ表[#Headers],0))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99.649286883299993</v>
      </c>
      <c r="L16" s="4">
        <f>IFERROR(ROUND(
(INDEX(生データ表[],MATCH($C16,生データ表['#],0),MATCH(L$5,生データ表[#Headers],0))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4.5424723409999999</v>
      </c>
      <c r="M16" s="4">
        <f>IFERROR(ROUND(
(INDEX(生データ表[],MATCH($C16,生データ表['#],0),MATCH(M$5,生データ表[#Headers],0))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3.9071240536</v>
      </c>
      <c r="N16" s="4">
        <f>IFERROR(ROUND(
(INDEX(生データ表[],MATCH($C16,生データ表['#],0),MATCH(N$5,生データ表[#Headers],0))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2.5616921241999999</v>
      </c>
      <c r="O16" s="4">
        <f>IFERROR(ROUND(
(INDEX(生データ表[],MATCH($C16,生データ表['#],0),MATCH(O$5,生データ表[#Headers],0))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73.9412547636</v>
      </c>
      <c r="P16" s="4">
        <f>IFERROR(ROUND(
(INDEX(生データ表[],MATCH($C16,生データ表['#],0),MATCH(P$5,生データ表[#Headers],0))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96.774633375400001</v>
      </c>
      <c r="Q16" s="4">
        <f>IFERROR(ROUND(
(INDEX(生データ表[],MATCH($C16,生データ表['#],0),MATCH(Q$5,生データ表[#Headers],0))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75.127240309399994</v>
      </c>
      <c r="R16" s="4">
        <f>IFERROR(ROUND(
(INDEX(生データ表[],MATCH($C16,生データ表['#],0),MATCH(R$5,生データ表[#Headers],0))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54.8330110064</v>
      </c>
      <c r="S16" s="4">
        <f>IFERROR(ROUND(
(INDEX(生データ表[],MATCH($C16,生データ表['#],0),MATCH(S$5,生データ表[#Headers],0))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59.038461538500002</v>
      </c>
      <c r="T16" s="4">
        <f>IFERROR(ROUND(
(INDEX(生データ表[],MATCH($C16,生データ表['#],0),MATCH(T$5,生データ表[#Headers],0))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81.528087816400003</v>
      </c>
      <c r="U16" s="4">
        <f>IFERROR(ROUND(
(INDEX(生データ表[],MATCH($C16,生データ表['#],0),MATCH(U$5,生データ表[#Headers],0))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3.1131205878000001</v>
      </c>
      <c r="V16" s="4">
        <f>IFERROR(ROUND(
(INDEX(生データ表[],MATCH($C16,生データ表['#],0),MATCH(V$5,生データ表[#Headers],0))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38.965952080699999</v>
      </c>
      <c r="W16" s="4">
        <f>IFERROR(ROUND(
(INDEX(生データ表[],MATCH($C16,生データ表['#],0),MATCH(W$5,生データ表[#Headers],0))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4.7043309407000002</v>
      </c>
      <c r="X16" s="4">
        <f>IFERROR(ROUND(
(INDEX(生データ表[],MATCH($C16,生データ表['#],0),MATCH(X$5,生データ表[#Headers],0))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10.1439467163</v>
      </c>
      <c r="Y16" s="4">
        <f>IFERROR(ROUND(
(INDEX(生データ表[],MATCH($C16,生データ表['#],0),MATCH(Y$5,生データ表[#Headers],0))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66.449089154399999</v>
      </c>
      <c r="Z16" s="4">
        <f>IFERROR(ROUND(
(INDEX(生データ表[],MATCH($C16,生データ表['#],0),MATCH(Z$5,生データ表[#Headers],0))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0.1731124386</v>
      </c>
      <c r="AA16" s="4">
        <f>IFERROR(ROUND(
(INDEX(生データ表[],MATCH($C16,生データ表['#],0),MATCH(AA$5,生データ表[#Headers],0))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5.2117263844000004</v>
      </c>
      <c r="AB16" s="4">
        <f>IFERROR(ROUND(
(INDEX(生データ表[],MATCH($C16,生データ表['#],0),MATCH(AB$5,生データ表[#Headers],0))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6.0815602837</v>
      </c>
      <c r="AC16" s="4">
        <f>IFERROR(ROUND(
(INDEX(生データ表[],MATCH($C16,生データ表['#],0),MATCH(AC$5,生データ表[#Headers],0))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4.1009463722000001</v>
      </c>
      <c r="AD16" s="4">
        <f>IFERROR(ROUND(
(INDEX(生データ表[],MATCH($C16,生データ表['#],0),MATCH(AD$5,生データ表[#Headers],0))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14.5454545455</v>
      </c>
      <c r="AE16" s="4">
        <f>IFERROR(ROUND(
(INDEX(生データ表[],MATCH($C16,生データ表['#],0),MATCH(AE$5,生データ表[#Headers],0))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1.5276685994999999</v>
      </c>
      <c r="AF16" s="4">
        <f>IFERROR(ROUND(
(INDEX(生データ表[],MATCH($C16,生データ表['#],0),MATCH(AF$5,生データ表[#Headers],0))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3.5774810807000001</v>
      </c>
      <c r="AG16" s="4">
        <f>IFERROR(ROUND(
(INDEX(生データ表[],MATCH($C16,生データ表['#],0),MATCH(AG$5,生データ表[#Headers],0))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11.174436929700001</v>
      </c>
      <c r="AH16" s="4">
        <f>IFERROR(ROUND(
(INDEX(生データ表[],MATCH($C16,生データ表['#],0),MATCH(AH$5,生データ表[#Headers],0))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28.681159420299998</v>
      </c>
      <c r="AI16" s="4">
        <f>IFERROR(ROUND(
(INDEX(生データ表[],MATCH($C16,生データ表['#],0),MATCH(AI$5,生データ表[#Headers],0))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30.054301148699999</v>
      </c>
      <c r="AJ16" s="4">
        <f>IFERROR(ROUND(
(INDEX(生データ表[],MATCH($C16,生データ表['#],0),MATCH(AJ$5,生データ表[#Headers],0))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8.0912863071000007</v>
      </c>
      <c r="AK16" s="4">
        <f>IFERROR(ROUND(
(INDEX(生データ表[],MATCH($C16,生データ表['#],0),MATCH(AK$5,生データ表[#Headers],0))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16.438356164399998</v>
      </c>
      <c r="AL16" s="4">
        <f>IFERROR(ROUND(
(INDEX(生データ表[],MATCH($C16,生データ表['#],0),MATCH(AL$5,生データ表[#Headers],0))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16" s="4">
        <f>IFERROR(ROUND(
(INDEX(生データ表[],MATCH($C16,生データ表['#],0),MATCH(AM$5,生データ表[#Headers],0))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5.4400771641999999</v>
      </c>
      <c r="AN16" s="4">
        <f>IFERROR(ROUND(
(INDEX(生データ表[],MATCH($C16,生データ表['#],0),MATCH(AN$5,生データ表[#Headers],0))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4.1817179941999996</v>
      </c>
      <c r="AO16" s="4">
        <f>IFERROR(ROUND(
(INDEX(生データ表[],MATCH($C16,生データ表['#],0),MATCH(AO$5,生データ表[#Headers],0))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29.5083997847</v>
      </c>
      <c r="AP16" s="4">
        <f>IFERROR(ROUND(
(INDEX(生データ表[],MATCH($C16,生データ表['#],0),MATCH(AP$5,生データ表[#Headers],0))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6.5196797729</v>
      </c>
      <c r="AQ16" s="4">
        <f>IFERROR(ROUND(
(INDEX(生データ表[],MATCH($C16,生データ表['#],0),MATCH(AQ$5,生データ表[#Headers],0))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4.2807014527999998</v>
      </c>
      <c r="AR16" s="4">
        <f>IFERROR(ROUND(
(INDEX(生データ表[],MATCH($C16,生データ表['#],0),MATCH(AR$5,生データ表[#Headers],0))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6.3795073175999999</v>
      </c>
      <c r="AS16" s="4">
        <f>IFERROR(ROUND(
(INDEX(生データ表[],MATCH($C16,生データ表['#],0),MATCH(AS$5,生データ表[#Headers],0))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96.0873949896</v>
      </c>
      <c r="AT16" s="4">
        <f>IFERROR(ROUND(
(INDEX(生データ表[],MATCH($C16,生データ表['#],0),MATCH(AT$5,生データ表[#Headers],0))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75.475587015100004</v>
      </c>
      <c r="AU16" s="4">
        <f>IFERROR(ROUND(
(INDEX(生データ表[],MATCH($C16,生データ表['#],0),MATCH(AU$5,生データ表[#Headers],0))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53.409312292999999</v>
      </c>
      <c r="AV16" s="4">
        <f>IFERROR(ROUND(
(INDEX(生データ表[],MATCH($C16,生データ表['#],0),MATCH(AV$5,生データ表[#Headers],0))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36.079955034199997</v>
      </c>
      <c r="AW16" s="4">
        <f>IFERROR(ROUND(
(INDEX(生データ表[],MATCH($C16,生データ表['#],0),MATCH(AW$5,生データ表[#Headers],0))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0</v>
      </c>
      <c r="AX16" s="4">
        <f>IFERROR(ROUND(
(INDEX(生データ表[],MATCH($C16,生データ表['#],0),MATCH(AX$5,生データ表[#Headers],0))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99.683341103000004</v>
      </c>
      <c r="AY16" s="4">
        <f>IFERROR(ROUND(
(INDEX(生データ表[],MATCH($C16,生データ表['#],0),MATCH(AY$5,生データ表[#Headers],0))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97.976391230999994</v>
      </c>
      <c r="AZ16" s="4">
        <f>IFERROR(ROUND(
(INDEX(生データ表[],MATCH($C16,生データ表['#],0),MATCH(AZ$5,生データ表[#Headers],0))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89.636429520500002</v>
      </c>
      <c r="BA16" s="4">
        <f>IFERROR(ROUND(
(INDEX(生データ表[],MATCH($C16,生データ表['#],0),MATCH(BA$5,生データ表[#Headers],0))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85.833743250500007</v>
      </c>
      <c r="BB16" s="4">
        <f>IFERROR(ROUND(
(INDEX(生データ表[],MATCH($C16,生データ表['#],0),MATCH(BB$5,生データ表[#Headers],0))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77.952492397300006</v>
      </c>
      <c r="BC16" s="4">
        <f>IFERROR(ROUND(
(INDEX(生データ表[],MATCH($C16,生データ表['#],0),MATCH(BC$5,生データ表[#Headers],0))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100</v>
      </c>
      <c r="BD16" s="4">
        <f>IFERROR(ROUND(
(INDEX(生データ表[],MATCH($C16,生データ表['#],0),MATCH(BD$5,生データ表[#Headers],0))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66.375493678699996</v>
      </c>
      <c r="BE16" s="4">
        <f>IFERROR(ROUND(
(INDEX(生データ表[],MATCH($C16,生データ表['#],0),MATCH(BE$5,生データ表[#Headers],0))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15.484923483799999</v>
      </c>
      <c r="BF16" s="4">
        <f>IFERROR(ROUND(
(INDEX(生データ表[],MATCH($C16,生データ表['#],0),MATCH(BF$5,生データ表[#Headers],0))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16.377549616500001</v>
      </c>
      <c r="BG16" s="4">
        <f>IFERROR(ROUND(
(INDEX(生データ表[],MATCH($C16,生データ表['#],0),MATCH(BG$5,生データ表[#Headers],0))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17.612001644100001</v>
      </c>
      <c r="BH16" s="4">
        <f>IFERROR(ROUND(
(INDEX(生データ表[],MATCH($C16,生データ表['#],0),MATCH(BH$5,生データ表[#Headers],0))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52.366209641799998</v>
      </c>
      <c r="BI16" s="4">
        <f>IFERROR(ROUND(
(INDEX(生データ表[],MATCH($C16,生データ表['#],0),MATCH(BI$5,生データ表[#Headers],0))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48.978821377800003</v>
      </c>
      <c r="BJ16" s="4">
        <f>IFERROR(ROUND(
(INDEX(生データ表[],MATCH($C16,生データ表['#],0),MATCH(BJ$5,生データ表[#Headers],0))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83.879415095200002</v>
      </c>
      <c r="BK16" s="4">
        <f>IFERROR(ROUND(
(INDEX(生データ表[],MATCH($C16,生データ表['#],0),MATCH(BK$5,生データ表[#Headers],0))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83.521444695300005</v>
      </c>
      <c r="BL16" s="4">
        <f>IFERROR(ROUND(
(INDEX(生データ表[],MATCH($C16,生データ表['#],0),MATCH(BL$5,生データ表[#Headers],0))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58.418389162399997</v>
      </c>
      <c r="BM16" s="4">
        <f>IFERROR(ROUND(
(INDEX(生データ表[],MATCH($C16,生データ表['#],0),MATCH(BM$5,生データ表[#Headers],0))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90.711175616800006</v>
      </c>
      <c r="BN16" s="4">
        <f>IFERROR(ROUND(
(INDEX(生データ表[],MATCH($C16,生データ表['#],0),MATCH(BN$5,生データ表[#Headers],0))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83.468301427900002</v>
      </c>
      <c r="BO16" s="4">
        <f>IFERROR(ROUND(
(INDEX(生データ表[],MATCH($C16,生データ表['#],0),MATCH(BO$5,生データ表[#Headers],0))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85.413015414300006</v>
      </c>
      <c r="BP16" s="4">
        <f>IFERROR(ROUND(
(INDEX(生データ表[],MATCH($C16,生データ表['#],0),MATCH(BP$5,生データ表[#Headers],0))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51.630434782599998</v>
      </c>
      <c r="BQ16" s="4">
        <f>IFERROR(ROUND(
(INDEX(生データ表[],MATCH($C16,生データ表['#],0),MATCH(BQ$5,生データ表[#Headers],0))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3.6753315006</v>
      </c>
      <c r="BR16" s="4">
        <f>IFERROR(ROUND(
(INDEX(生データ表[],MATCH($C16,生データ表['#],0),MATCH(BR$5,生データ表[#Headers],0))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13.1299324235</v>
      </c>
      <c r="BS16" s="4">
        <f>IFERROR(ROUND(
(INDEX(生データ表[],MATCH($C16,生データ表['#],0),MATCH(BS$5,生データ表[#Headers],0))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13.053219131300001</v>
      </c>
      <c r="BT16" s="4">
        <f>IFERROR(ROUND(
(INDEX(生データ表[],MATCH($C16,生データ表['#],0),MATCH(BT$5,生データ表[#Headers],0))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30.006898137499999</v>
      </c>
      <c r="BU16" s="4">
        <f>IFERROR(ROUND(
(INDEX(生データ表[],MATCH($C16,生データ表['#],0),MATCH(BU$5,生データ表[#Headers],0))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82.364300408299997</v>
      </c>
      <c r="BV16" s="4">
        <f>IFERROR(ROUND(
(INDEX(生データ表[],MATCH($C16,生データ表['#],0),MATCH(BV$5,生データ表[#Headers],0))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97.619047619</v>
      </c>
      <c r="BW16" s="4">
        <f>IFERROR(ROUND(
(INDEX(生データ表[],MATCH($C16,生データ表['#],0),MATCH(BW$5,生データ表[#Headers],0))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77.495583038899994</v>
      </c>
      <c r="BX16" s="4">
        <f>IFERROR(ROUND(
(INDEX(生データ表[],MATCH($C16,生データ表['#],0),MATCH(BX$5,生データ表[#Headers],0))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36.759715380400003</v>
      </c>
      <c r="BY16" s="4">
        <f>IFERROR(ROUND(
(INDEX(生データ表[],MATCH($C16,生データ表['#],0),MATCH(BY$5,生データ表[#Headers],0))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0</v>
      </c>
      <c r="BZ16" s="4">
        <f t="shared" ref="BZ16:CI25" si="5">IFERROR(AVERAGEIF($63:$63,BZ$5,16:16),"-")</f>
        <v>47.766864077450002</v>
      </c>
      <c r="CA16" s="4">
        <f t="shared" si="5"/>
        <v>66.614013435649994</v>
      </c>
      <c r="CB16" s="4">
        <f t="shared" si="5"/>
        <v>4.2247981973000002</v>
      </c>
      <c r="CC16" s="4">
        <f t="shared" si="5"/>
        <v>38.251473443899997</v>
      </c>
      <c r="CD16" s="4">
        <f t="shared" si="5"/>
        <v>75.578294897066669</v>
      </c>
      <c r="CE16" s="4">
        <f t="shared" si="5"/>
        <v>70.283274677450009</v>
      </c>
      <c r="CF16" s="4">
        <f t="shared" si="5"/>
        <v>21.039536334249998</v>
      </c>
      <c r="CG16" s="4">
        <f t="shared" si="5"/>
        <v>27.099122270466665</v>
      </c>
      <c r="CH16" s="4">
        <f t="shared" si="5"/>
        <v>3.8221330355666665</v>
      </c>
      <c r="CI16" s="4">
        <f t="shared" si="5"/>
        <v>5.9378876494749999</v>
      </c>
      <c r="CJ16" s="4">
        <f t="shared" ref="CJ16:CS25" si="6">IFERROR(AVERAGEIF($63:$63,CJ$5,16:16),"-")</f>
        <v>23.30329916623333</v>
      </c>
      <c r="CK16" s="4">
        <f t="shared" si="6"/>
        <v>11.685319420333334</v>
      </c>
      <c r="CL16" s="4">
        <f t="shared" si="6"/>
        <v>11.412468679</v>
      </c>
      <c r="CM16" s="4">
        <f t="shared" si="6"/>
        <v>5.3301043852000003</v>
      </c>
      <c r="CN16" s="4">
        <f t="shared" si="6"/>
        <v>74.990764765900011</v>
      </c>
      <c r="CO16" s="4">
        <f t="shared" si="6"/>
        <v>18.039977517099999</v>
      </c>
      <c r="CP16" s="4">
        <f t="shared" si="6"/>
        <v>98.829866167000006</v>
      </c>
      <c r="CQ16" s="4">
        <f t="shared" si="6"/>
        <v>84.474221722766671</v>
      </c>
      <c r="CR16" s="4">
        <f t="shared" si="6"/>
        <v>49.559491694750001</v>
      </c>
      <c r="CS16" s="4">
        <f t="shared" si="6"/>
        <v>39.652344221233335</v>
      </c>
      <c r="CT16" s="4">
        <f t="shared" ref="CT16:CY25" si="7">IFERROR(AVERAGEIF($63:$63,CT$5,16:16),"-")</f>
        <v>75.273082984300004</v>
      </c>
      <c r="CU16" s="4">
        <f t="shared" si="7"/>
        <v>86.530830819666676</v>
      </c>
      <c r="CV16" s="4">
        <f t="shared" si="7"/>
        <v>27.6528831416</v>
      </c>
      <c r="CW16" s="4">
        <f t="shared" si="7"/>
        <v>13.091575777399999</v>
      </c>
      <c r="CX16" s="4">
        <f t="shared" si="7"/>
        <v>69.996748721599999</v>
      </c>
      <c r="CY16" s="4">
        <f t="shared" si="7"/>
        <v>38.085099473100001</v>
      </c>
      <c r="CZ16" s="4">
        <f t="shared" ref="CZ16:DE25" si="8">SUMIF($64:$64,CZ$5,16:16)</f>
        <v>302.71871872881661</v>
      </c>
      <c r="DA16" s="4">
        <f t="shared" si="8"/>
        <v>51.960791640283333</v>
      </c>
      <c r="DB16" s="4">
        <f t="shared" si="8"/>
        <v>57.66907930024167</v>
      </c>
      <c r="DC16" s="4">
        <f t="shared" si="8"/>
        <v>325.89432186751674</v>
      </c>
      <c r="DD16" s="4">
        <f t="shared" si="8"/>
        <v>201.45625802520001</v>
      </c>
      <c r="DE16" s="4">
        <f t="shared" si="8"/>
        <v>148.82630711370001</v>
      </c>
      <c r="DF16" s="76">
        <f t="shared" si="4"/>
        <v>1088.5254766757585</v>
      </c>
    </row>
    <row r="17" spans="1:110" hidden="1">
      <c r="A17" s="2">
        <v>12</v>
      </c>
      <c r="B17" s="58">
        <f>INDEX(順位表[Comprehensive],MATCH($C17,順位表['#],0))</f>
        <v>11</v>
      </c>
      <c r="C17" s="3">
        <v>12</v>
      </c>
      <c r="D17" s="1" t="str">
        <f>INDEX(都市マスタ[City Name],MATCH($C17,都市マスタ['#],0))</f>
        <v>Copenhagen</v>
      </c>
      <c r="E17" s="4">
        <f>IFERROR(ROUND(
(INDEX(生データ表[],MATCH($C17,生データ表['#],0),MATCH(E$5,生データ表[#Headers],0))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2.4755244291</v>
      </c>
      <c r="F17" s="4">
        <f>IFERROR(ROUND(
(INDEX(生データ表[],MATCH($C17,生データ表['#],0),MATCH(F$5,生データ表[#Headers],0))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1.0207885158000001</v>
      </c>
      <c r="G17" s="4">
        <f>IFERROR(ROUND(
(INDEX(生データ表[],MATCH($C17,生データ表['#],0),MATCH(G$5,生データ表[#Headers],0))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4.2200940800000003E-2</v>
      </c>
      <c r="H17" s="4">
        <f>IFERROR(ROUND(
(INDEX(生データ表[],MATCH($C17,生データ表['#],0),MATCH(H$5,生データ表[#Headers],0))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6.5411558772999996</v>
      </c>
      <c r="I17" s="4">
        <f>IFERROR(ROUND(
(INDEX(生データ表[],MATCH($C17,生データ表['#],0),MATCH(I$5,生データ表[#Headers],0))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44.152657597400001</v>
      </c>
      <c r="J17" s="4">
        <f>IFERROR(ROUND(
(INDEX(生データ表[],MATCH($C17,生データ表['#],0),MATCH(J$5,生データ表[#Headers],0))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39.308390404800001</v>
      </c>
      <c r="K17" s="4">
        <f>IFERROR(ROUND(
(INDEX(生データ表[],MATCH($C17,生データ表['#],0),MATCH(K$5,生データ表[#Headers],0))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82.207154547599998</v>
      </c>
      <c r="L17" s="4">
        <f>IFERROR(ROUND(
(INDEX(生データ表[],MATCH($C17,生データ表['#],0),MATCH(L$5,生データ表[#Headers],0))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1.4964832400000001</v>
      </c>
      <c r="M17" s="4">
        <f>IFERROR(ROUND(
(INDEX(生データ表[],MATCH($C17,生データ表['#],0),MATCH(M$5,生データ表[#Headers],0))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1.5505417481999999</v>
      </c>
      <c r="N17" s="4">
        <f>IFERROR(ROUND(
(INDEX(生データ表[],MATCH($C17,生データ表['#],0),MATCH(N$5,生データ表[#Headers],0))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2.4605537205000001</v>
      </c>
      <c r="O17" s="4">
        <f>IFERROR(ROUND(
(INDEX(生データ表[],MATCH($C17,生データ表['#],0),MATCH(O$5,生データ表[#Headers],0))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46.272263062100002</v>
      </c>
      <c r="P17" s="4">
        <f>IFERROR(ROUND(
(INDEX(生データ表[],MATCH($C17,生データ表['#],0),MATCH(P$5,生データ表[#Headers],0))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52.047585143200003</v>
      </c>
      <c r="Q17" s="4">
        <f>IFERROR(ROUND(
(INDEX(生データ表[],MATCH($C17,生データ表['#],0),MATCH(Q$5,生データ表[#Headers],0))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76.994398908299999</v>
      </c>
      <c r="R17" s="4">
        <f>IFERROR(ROUND(
(INDEX(生データ表[],MATCH($C17,生データ表['#],0),MATCH(R$5,生データ表[#Headers],0))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60.185764046300001</v>
      </c>
      <c r="S17" s="4">
        <f>IFERROR(ROUND(
(INDEX(生データ表[],MATCH($C17,生データ表['#],0),MATCH(S$5,生データ表[#Headers],0))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50</v>
      </c>
      <c r="T17" s="4">
        <f>IFERROR(ROUND(
(INDEX(生データ表[],MATCH($C17,生データ表['#],0),MATCH(T$5,生データ表[#Headers],0))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98.246142926100006</v>
      </c>
      <c r="U17" s="4">
        <f>IFERROR(ROUND(
(INDEX(生データ表[],MATCH($C17,生データ表['#],0),MATCH(U$5,生データ表[#Headers],0))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5.8432162941000003</v>
      </c>
      <c r="V17" s="4">
        <f>IFERROR(ROUND(
(INDEX(生データ表[],MATCH($C17,生データ表['#],0),MATCH(V$5,生データ表[#Headers],0))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15.636822194200001</v>
      </c>
      <c r="W17" s="4">
        <f>IFERROR(ROUND(
(INDEX(生データ表[],MATCH($C17,生データ表['#],0),MATCH(W$5,生データ表[#Headers],0))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3.6146698222000002</v>
      </c>
      <c r="X17" s="4">
        <f>IFERROR(ROUND(
(INDEX(生データ表[],MATCH($C17,生データ表['#],0),MATCH(X$5,生データ表[#Headers],0))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8.8058956761000005</v>
      </c>
      <c r="Y17" s="4">
        <f>IFERROR(ROUND(
(INDEX(生データ表[],MATCH($C17,生データ表['#],0),MATCH(Y$5,生データ表[#Headers],0))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67.696850301500007</v>
      </c>
      <c r="Z17" s="4">
        <f>IFERROR(ROUND(
(INDEX(生データ表[],MATCH($C17,生データ表['#],0),MATCH(Z$5,生データ表[#Headers],0))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0.1583287347</v>
      </c>
      <c r="AA17" s="4">
        <f>IFERROR(ROUND(
(INDEX(生データ表[],MATCH($C17,生データ表['#],0),MATCH(AA$5,生データ表[#Headers],0))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13.0293159609</v>
      </c>
      <c r="AB17" s="4">
        <f>IFERROR(ROUND(
(INDEX(生データ表[],MATCH($C17,生データ表['#],0),MATCH(AB$5,生データ表[#Headers],0))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3.3510638298000002</v>
      </c>
      <c r="AC17" s="4">
        <f>IFERROR(ROUND(
(INDEX(生データ表[],MATCH($C17,生データ表['#],0),MATCH(AC$5,生データ表[#Headers],0))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17.0347003155</v>
      </c>
      <c r="AD17" s="4">
        <f>IFERROR(ROUND(
(INDEX(生データ表[],MATCH($C17,生データ表['#],0),MATCH(AD$5,生データ表[#Headers],0))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36.363636363600001</v>
      </c>
      <c r="AE17" s="4">
        <f>IFERROR(ROUND(
(INDEX(生データ表[],MATCH($C17,生データ表['#],0),MATCH(AE$5,生データ表[#Headers],0))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7.3959825497000002</v>
      </c>
      <c r="AF17" s="4">
        <f>IFERROR(ROUND(
(INDEX(生データ表[],MATCH($C17,生データ表['#],0),MATCH(AF$5,生データ表[#Headers],0))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2.4770957085999998</v>
      </c>
      <c r="AG17" s="4">
        <f>IFERROR(ROUND(
(INDEX(生データ表[],MATCH($C17,生データ表['#],0),MATCH(AG$5,生データ表[#Headers],0))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30.083256094999999</v>
      </c>
      <c r="AH17" s="4">
        <f>IFERROR(ROUND(
(INDEX(生データ表[],MATCH($C17,生データ表['#],0),MATCH(AH$5,生データ表[#Headers],0))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35</v>
      </c>
      <c r="AI17" s="4">
        <f>IFERROR(ROUND(
(INDEX(生データ表[],MATCH($C17,生データ表['#],0),MATCH(AI$5,生データ表[#Headers],0))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22.4559734009</v>
      </c>
      <c r="AJ17" s="4">
        <f>IFERROR(ROUND(
(INDEX(生データ表[],MATCH($C17,生データ表['#],0),MATCH(AJ$5,生データ表[#Headers],0))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10.5809128631</v>
      </c>
      <c r="AK17" s="4">
        <f>IFERROR(ROUND(
(INDEX(生データ表[],MATCH($C17,生データ表['#],0),MATCH(AK$5,生データ表[#Headers],0))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11.643835616400001</v>
      </c>
      <c r="AL17" s="4">
        <f>IFERROR(ROUND(
(INDEX(生データ表[],MATCH($C17,生データ表['#],0),MATCH(AL$5,生データ表[#Headers],0))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21.052631578900002</v>
      </c>
      <c r="AM17" s="4">
        <f>IFERROR(ROUND(
(INDEX(生データ表[],MATCH($C17,生データ表['#],0),MATCH(AM$5,生データ表[#Headers],0))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11.1508319267</v>
      </c>
      <c r="AN17" s="4">
        <f>IFERROR(ROUND(
(INDEX(生データ表[],MATCH($C17,生データ表['#],0),MATCH(AN$5,生データ表[#Headers],0))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5.6786873200999999</v>
      </c>
      <c r="AO17" s="4">
        <f>IFERROR(ROUND(
(INDEX(生データ表[],MATCH($C17,生データ表['#],0),MATCH(AO$5,生データ表[#Headers],0))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30.298985291600001</v>
      </c>
      <c r="AP17" s="4">
        <f>IFERROR(ROUND(
(INDEX(生データ表[],MATCH($C17,生データ表['#],0),MATCH(AP$5,生データ表[#Headers],0))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36.769837097900002</v>
      </c>
      <c r="AQ17" s="4">
        <f>IFERROR(ROUND(
(INDEX(生データ表[],MATCH($C17,生データ表['#],0),MATCH(AQ$5,生データ表[#Headers],0))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3.5018926163000001</v>
      </c>
      <c r="AR17" s="4">
        <f>IFERROR(ROUND(
(INDEX(生データ表[],MATCH($C17,生データ表['#],0),MATCH(AR$5,生データ表[#Headers],0))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27.750732642100001</v>
      </c>
      <c r="AS17" s="4">
        <f>IFERROR(ROUND(
(INDEX(生データ表[],MATCH($C17,生データ表['#],0),MATCH(AS$5,生データ表[#Headers],0))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91.779612425699995</v>
      </c>
      <c r="AT17" s="4">
        <f>IFERROR(ROUND(
(INDEX(生データ表[],MATCH($C17,生データ表['#],0),MATCH(AT$5,生データ表[#Headers],0))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78.887682210500003</v>
      </c>
      <c r="AU17" s="4">
        <f>IFERROR(ROUND(
(INDEX(生データ表[],MATCH($C17,生データ表['#],0),MATCH(AU$5,生データ表[#Headers],0))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50.8286554397</v>
      </c>
      <c r="AV17" s="4">
        <f>IFERROR(ROUND(
(INDEX(生データ表[],MATCH($C17,生データ表['#],0),MATCH(AV$5,生データ表[#Headers],0))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56.321039137600003</v>
      </c>
      <c r="AW17" s="4">
        <f>IFERROR(ROUND(
(INDEX(生データ表[],MATCH($C17,生データ表['#],0),MATCH(AW$5,生データ表[#Headers],0))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39.290578345500002</v>
      </c>
      <c r="AX17" s="4">
        <f>IFERROR(ROUND(
(INDEX(生データ表[],MATCH($C17,生データ表['#],0),MATCH(AX$5,生データ表[#Headers],0))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99.312743480799995</v>
      </c>
      <c r="AY17" s="4">
        <f>IFERROR(ROUND(
(INDEX(生データ表[],MATCH($C17,生データ表['#],0),MATCH(AY$5,生データ表[#Headers],0))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98.145025295099998</v>
      </c>
      <c r="AZ17" s="4">
        <f>IFERROR(ROUND(
(INDEX(生データ表[],MATCH($C17,生データ表['#],0),MATCH(AZ$5,生データ表[#Headers],0))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79.236622780499999</v>
      </c>
      <c r="BA17" s="4">
        <f>IFERROR(ROUND(
(INDEX(生データ表[],MATCH($C17,生データ表['#],0),MATCH(BA$5,生データ表[#Headers],0))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91.424250043699999</v>
      </c>
      <c r="BB17" s="4">
        <f>IFERROR(ROUND(
(INDEX(生データ表[],MATCH($C17,生データ表['#],0),MATCH(BB$5,生データ表[#Headers],0))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86.030481128299996</v>
      </c>
      <c r="BC17" s="4">
        <f>IFERROR(ROUND(
(INDEX(生データ表[],MATCH($C17,生データ表['#],0),MATCH(BC$5,生データ表[#Headers],0))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57.487825418200003</v>
      </c>
      <c r="BD17" s="4">
        <f>IFERROR(ROUND(
(INDEX(生データ表[],MATCH($C17,生データ表['#],0),MATCH(BD$5,生データ表[#Headers],0))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81.713858400700005</v>
      </c>
      <c r="BE17" s="4">
        <f>IFERROR(ROUND(
(INDEX(生データ表[],MATCH($C17,生データ表['#],0),MATCH(BE$5,生データ表[#Headers],0))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25.6372527768</v>
      </c>
      <c r="BF17" s="4">
        <f>IFERROR(ROUND(
(INDEX(生データ表[],MATCH($C17,生データ表['#],0),MATCH(BF$5,生データ表[#Headers],0))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19.6851535674</v>
      </c>
      <c r="BG17" s="4">
        <f>IFERROR(ROUND(
(INDEX(生データ表[],MATCH($C17,生データ表['#],0),MATCH(BG$5,生データ表[#Headers],0))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100</v>
      </c>
      <c r="BH17" s="4">
        <f>IFERROR(ROUND(
(INDEX(生データ表[],MATCH($C17,生データ表['#],0),MATCH(BH$5,生データ表[#Headers],0))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87.859354268000004</v>
      </c>
      <c r="BI17" s="4">
        <f>IFERROR(ROUND(
(INDEX(生データ表[],MATCH($C17,生データ表['#],0),MATCH(BI$5,生データ表[#Headers],0))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35.7093967307</v>
      </c>
      <c r="BJ17" s="4">
        <f>IFERROR(ROUND(
(INDEX(生データ表[],MATCH($C17,生データ表['#],0),MATCH(BJ$5,生データ表[#Headers],0))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86.008144910699997</v>
      </c>
      <c r="BK17" s="4">
        <f>IFERROR(ROUND(
(INDEX(生データ表[],MATCH($C17,生データ表['#],0),MATCH(BK$5,生データ表[#Headers],0))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87.358916478599994</v>
      </c>
      <c r="BL17" s="4">
        <f>IFERROR(ROUND(
(INDEX(生データ表[],MATCH($C17,生データ表['#],0),MATCH(BL$5,生データ表[#Headers],0))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47.921974550500003</v>
      </c>
      <c r="BM17" s="4">
        <f>IFERROR(ROUND(
(INDEX(生データ表[],MATCH($C17,生データ表['#],0),MATCH(BM$5,生データ表[#Headers],0))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86.357039187200002</v>
      </c>
      <c r="BN17" s="4">
        <f>IFERROR(ROUND(
(INDEX(生データ表[],MATCH($C17,生データ表['#],0),MATCH(BN$5,生データ表[#Headers],0))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73.736327001999996</v>
      </c>
      <c r="BO17" s="4">
        <f>IFERROR(ROUND(
(INDEX(生データ表[],MATCH($C17,生データ表['#],0),MATCH(BO$5,生データ表[#Headers],0))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67.554184672000005</v>
      </c>
      <c r="BP17" s="4">
        <f>IFERROR(ROUND(
(INDEX(生データ表[],MATCH($C17,生データ表['#],0),MATCH(BP$5,生データ表[#Headers],0))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45.923913043500001</v>
      </c>
      <c r="BQ17" s="4">
        <f>IFERROR(ROUND(
(INDEX(生データ表[],MATCH($C17,生データ表['#],0),MATCH(BQ$5,生データ表[#Headers],0))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3.8967936041</v>
      </c>
      <c r="BR17" s="4">
        <f>IFERROR(ROUND(
(INDEX(生データ表[],MATCH($C17,生データ表['#],0),MATCH(BR$5,生データ表[#Headers],0))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12.8239019086</v>
      </c>
      <c r="BS17" s="4">
        <f>IFERROR(ROUND(
(INDEX(生データ表[],MATCH($C17,生データ表['#],0),MATCH(BS$5,生データ表[#Headers],0))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13.2540675078</v>
      </c>
      <c r="BT17" s="4">
        <f>IFERROR(ROUND(
(INDEX(生データ表[],MATCH($C17,生データ表['#],0),MATCH(BT$5,生データ表[#Headers],0))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4.8286962520000003</v>
      </c>
      <c r="BU17" s="4">
        <f>IFERROR(ROUND(
(INDEX(生データ表[],MATCH($C17,生データ表['#],0),MATCH(BU$5,生データ表[#Headers],0))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71.747886359399999</v>
      </c>
      <c r="BV17" s="4">
        <f>IFERROR(ROUND(
(INDEX(生データ表[],MATCH($C17,生データ表['#],0),MATCH(BV$5,生データ表[#Headers],0))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88.095238095200003</v>
      </c>
      <c r="BW17" s="4">
        <f>IFERROR(ROUND(
(INDEX(生データ表[],MATCH($C17,生データ表['#],0),MATCH(BW$5,生データ表[#Headers],0))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86.594522968199996</v>
      </c>
      <c r="BX17" s="4">
        <f>IFERROR(ROUND(
(INDEX(生データ表[],MATCH($C17,生データ表['#],0),MATCH(BX$5,生データ表[#Headers],0))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58.320245817699998</v>
      </c>
      <c r="BY17" s="4">
        <f>IFERROR(ROUND(
(INDEX(生データ表[],MATCH($C17,生データ表['#],0),MATCH(BY$5,生データ表[#Headers],0))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100</v>
      </c>
      <c r="BZ17" s="4">
        <f t="shared" si="5"/>
        <v>25.34690673735</v>
      </c>
      <c r="CA17" s="4">
        <f t="shared" si="5"/>
        <v>60.757772476200003</v>
      </c>
      <c r="CB17" s="4">
        <f t="shared" si="5"/>
        <v>1.5235124941</v>
      </c>
      <c r="CC17" s="4">
        <f t="shared" si="5"/>
        <v>24.366408391300002</v>
      </c>
      <c r="CD17" s="4">
        <f t="shared" si="5"/>
        <v>63.075916032599999</v>
      </c>
      <c r="CE17" s="4">
        <f t="shared" si="5"/>
        <v>74.123071463049996</v>
      </c>
      <c r="CF17" s="4">
        <f t="shared" si="5"/>
        <v>10.74001924415</v>
      </c>
      <c r="CG17" s="4">
        <f t="shared" si="5"/>
        <v>26.705805266599999</v>
      </c>
      <c r="CH17" s="4">
        <f t="shared" si="5"/>
        <v>5.5129028417999999</v>
      </c>
      <c r="CI17" s="4">
        <f t="shared" si="5"/>
        <v>15.817853734349999</v>
      </c>
      <c r="CJ17" s="4">
        <f t="shared" si="6"/>
        <v>29.1797431653</v>
      </c>
      <c r="CK17" s="4">
        <f t="shared" si="6"/>
        <v>14.4257933528</v>
      </c>
      <c r="CL17" s="4">
        <f t="shared" si="6"/>
        <v>20.974585409075001</v>
      </c>
      <c r="CM17" s="4">
        <f t="shared" si="6"/>
        <v>15.626312629200001</v>
      </c>
      <c r="CN17" s="4">
        <f t="shared" si="6"/>
        <v>73.831983358633337</v>
      </c>
      <c r="CO17" s="4">
        <f t="shared" si="6"/>
        <v>47.805808741550003</v>
      </c>
      <c r="CP17" s="4">
        <f t="shared" si="6"/>
        <v>98.728884387949989</v>
      </c>
      <c r="CQ17" s="4">
        <f t="shared" si="6"/>
        <v>85.563784650833327</v>
      </c>
      <c r="CR17" s="4">
        <f t="shared" si="6"/>
        <v>46.131022540775</v>
      </c>
      <c r="CS17" s="4">
        <f t="shared" si="6"/>
        <v>74.522916999566675</v>
      </c>
      <c r="CT17" s="4">
        <f t="shared" si="7"/>
        <v>73.763011979933324</v>
      </c>
      <c r="CU17" s="4">
        <f t="shared" si="7"/>
        <v>75.88251695373333</v>
      </c>
      <c r="CV17" s="4">
        <f t="shared" si="7"/>
        <v>24.910353323799999</v>
      </c>
      <c r="CW17" s="4">
        <f t="shared" si="7"/>
        <v>13.038984708200001</v>
      </c>
      <c r="CX17" s="4">
        <f t="shared" si="7"/>
        <v>54.890606902199998</v>
      </c>
      <c r="CY17" s="4">
        <f t="shared" si="7"/>
        <v>81.63825626196666</v>
      </c>
      <c r="CZ17" s="4">
        <f t="shared" si="8"/>
        <v>249.19358759459999</v>
      </c>
      <c r="DA17" s="4">
        <f t="shared" si="8"/>
        <v>42.95872735255</v>
      </c>
      <c r="DB17" s="4">
        <f t="shared" si="8"/>
        <v>96.024288290724996</v>
      </c>
      <c r="DC17" s="4">
        <f t="shared" si="8"/>
        <v>352.06148367974163</v>
      </c>
      <c r="DD17" s="4">
        <f t="shared" si="8"/>
        <v>224.16844593323333</v>
      </c>
      <c r="DE17" s="4">
        <f t="shared" si="8"/>
        <v>174.47820119616665</v>
      </c>
      <c r="DF17" s="76">
        <f t="shared" si="4"/>
        <v>1138.8847340470165</v>
      </c>
    </row>
    <row r="18" spans="1:110" hidden="1">
      <c r="A18" s="2">
        <v>13</v>
      </c>
      <c r="B18" s="58">
        <f>INDEX(順位表[Comprehensive],MATCH($C18,順位表['#],0))</f>
        <v>13</v>
      </c>
      <c r="C18" s="3">
        <v>13</v>
      </c>
      <c r="D18" s="1" t="str">
        <f>INDEX(都市マスタ[City Name],MATCH($C18,都市マスタ['#],0))</f>
        <v>Vienna</v>
      </c>
      <c r="E18" s="4">
        <f>IFERROR(ROUND(
(INDEX(生データ表[],MATCH($C18,生データ表['#],0),MATCH(E$5,生データ表[#Headers],0))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7.2000520383</v>
      </c>
      <c r="F18" s="4">
        <f>IFERROR(ROUND(
(INDEX(生データ表[],MATCH($C18,生データ表['#],0),MATCH(F$5,生データ表[#Headers],0))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2.4342490110999999</v>
      </c>
      <c r="G18" s="4">
        <f>IFERROR(ROUND(
(INDEX(生データ表[],MATCH($C18,生データ表['#],0),MATCH(G$5,生データ表[#Headers],0))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18" s="4">
        <f>IFERROR(ROUND(
(INDEX(生データ表[],MATCH($C18,生データ表['#],0),MATCH(H$5,生データ表[#Headers],0))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10.8679271735</v>
      </c>
      <c r="I18" s="4">
        <f>IFERROR(ROUND(
(INDEX(生データ表[],MATCH($C18,生データ表['#],0),MATCH(I$5,生データ表[#Headers],0))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25.6584000645</v>
      </c>
      <c r="J18" s="4">
        <f>IFERROR(ROUND(
(INDEX(生データ表[],MATCH($C18,生データ表['#],0),MATCH(J$5,生データ表[#Headers],0))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23.298723293799998</v>
      </c>
      <c r="K18" s="4">
        <f>IFERROR(ROUND(
(INDEX(生データ表[],MATCH($C18,生データ表['#],0),MATCH(K$5,生データ表[#Headers],0))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63.8531681085</v>
      </c>
      <c r="L18" s="4">
        <f>IFERROR(ROUND(
(INDEX(生データ表[],MATCH($C18,生データ表['#],0),MATCH(L$5,生データ表[#Headers],0))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0.30534532749999999</v>
      </c>
      <c r="M18" s="4">
        <f>IFERROR(ROUND(
(INDEX(生データ表[],MATCH($C18,生データ表['#],0),MATCH(M$5,生データ表[#Headers],0))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1.2461255711999999</v>
      </c>
      <c r="N18" s="4">
        <f>IFERROR(ROUND(
(INDEX(生データ表[],MATCH($C18,生データ表['#],0),MATCH(N$5,生データ表[#Headers],0))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6.6449828567000004</v>
      </c>
      <c r="O18" s="4">
        <f>IFERROR(ROUND(
(INDEX(生データ表[],MATCH($C18,生データ表['#],0),MATCH(O$5,生データ表[#Headers],0))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50.130273952099998</v>
      </c>
      <c r="P18" s="4">
        <f>IFERROR(ROUND(
(INDEX(生データ表[],MATCH($C18,生データ表['#],0),MATCH(P$5,生データ表[#Headers],0))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44.8022461901</v>
      </c>
      <c r="Q18" s="4">
        <f>IFERROR(ROUND(
(INDEX(生データ表[],MATCH($C18,生データ表['#],0),MATCH(Q$5,生データ表[#Headers],0))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62.943645476699999</v>
      </c>
      <c r="R18" s="4">
        <f>IFERROR(ROUND(
(INDEX(生データ表[],MATCH($C18,生データ表['#],0),MATCH(R$5,生データ表[#Headers],0))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31.423252961399999</v>
      </c>
      <c r="S18" s="4">
        <f>IFERROR(ROUND(
(INDEX(生データ表[],MATCH($C18,生データ表['#],0),MATCH(S$5,生データ表[#Headers],0))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42.307692307700002</v>
      </c>
      <c r="T18" s="4">
        <f>IFERROR(ROUND(
(INDEX(生データ表[],MATCH($C18,生データ表['#],0),MATCH(T$5,生データ表[#Headers],0))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85.629242887299995</v>
      </c>
      <c r="U18" s="4">
        <f>IFERROR(ROUND(
(INDEX(生データ表[],MATCH($C18,生データ表['#],0),MATCH(U$5,生データ表[#Headers],0))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9.9955359570999995</v>
      </c>
      <c r="V18" s="4">
        <f>IFERROR(ROUND(
(INDEX(生データ表[],MATCH($C18,生データ表['#],0),MATCH(V$5,生データ表[#Headers],0))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10.718789407299999</v>
      </c>
      <c r="W18" s="4">
        <f>IFERROR(ROUND(
(INDEX(生データ表[],MATCH($C18,生データ表['#],0),MATCH(W$5,生データ表[#Headers],0))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6.7343229181000002</v>
      </c>
      <c r="X18" s="4">
        <f>IFERROR(ROUND(
(INDEX(生データ表[],MATCH($C18,生データ表['#],0),MATCH(X$5,生データ表[#Headers],0))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11.2990820007</v>
      </c>
      <c r="Y18" s="4">
        <f>IFERROR(ROUND(
(INDEX(生データ表[],MATCH($C18,生データ表['#],0),MATCH(Y$5,生データ表[#Headers],0))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63.537646477700001</v>
      </c>
      <c r="Z18" s="4">
        <f>IFERROR(ROUND(
(INDEX(生データ表[],MATCH($C18,生データ表['#],0),MATCH(Z$5,生データ表[#Headers],0))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0.91231853360000004</v>
      </c>
      <c r="AA18" s="4">
        <f>IFERROR(ROUND(
(INDEX(生データ表[],MATCH($C18,生データ表['#],0),MATCH(AA$5,生データ表[#Headers],0))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6.5146579805</v>
      </c>
      <c r="AB18" s="4">
        <f>IFERROR(ROUND(
(INDEX(生データ表[],MATCH($C18,生データ表['#],0),MATCH(AB$5,生データ表[#Headers],0))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2.5886524823000001</v>
      </c>
      <c r="AC18" s="4">
        <f>IFERROR(ROUND(
(INDEX(生データ表[],MATCH($C18,生データ表['#],0),MATCH(AC$5,生データ表[#Headers],0))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60.883280757100003</v>
      </c>
      <c r="AD18" s="4">
        <f>IFERROR(ROUND(
(INDEX(生データ表[],MATCH($C18,生データ表['#],0),MATCH(AD$5,生データ表[#Headers],0))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36.363636363600001</v>
      </c>
      <c r="AE18" s="4">
        <f>IFERROR(ROUND(
(INDEX(生データ表[],MATCH($C18,生データ表['#],0),MATCH(AE$5,生データ表[#Headers],0))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10.223856939299999</v>
      </c>
      <c r="AF18" s="4">
        <f>IFERROR(ROUND(
(INDEX(生データ表[],MATCH($C18,生データ表['#],0),MATCH(AF$5,生データ表[#Headers],0))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5.5428958007000002</v>
      </c>
      <c r="AG18" s="4">
        <f>IFERROR(ROUND(
(INDEX(生データ表[],MATCH($C18,生データ表['#],0),MATCH(AG$5,生データ表[#Headers],0))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44.270133954499997</v>
      </c>
      <c r="AH18" s="4">
        <f>IFERROR(ROUND(
(INDEX(生データ表[],MATCH($C18,生データ表['#],0),MATCH(AH$5,生データ表[#Headers],0))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67.5</v>
      </c>
      <c r="AI18" s="4">
        <f>IFERROR(ROUND(
(INDEX(生データ表[],MATCH($C18,生データ表['#],0),MATCH(AI$5,生データ表[#Headers],0))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21.643682061100002</v>
      </c>
      <c r="AJ18" s="4">
        <f>IFERROR(ROUND(
(INDEX(生データ表[],MATCH($C18,生データ表['#],0),MATCH(AJ$5,生データ表[#Headers],0))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24.688796680500001</v>
      </c>
      <c r="AK18" s="4">
        <f>IFERROR(ROUND(
(INDEX(生データ表[],MATCH($C18,生データ表['#],0),MATCH(AK$5,生データ表[#Headers],0))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52.054794520500003</v>
      </c>
      <c r="AL18" s="4">
        <f>IFERROR(ROUND(
(INDEX(生データ表[],MATCH($C18,生データ表['#],0),MATCH(AL$5,生データ表[#Headers],0))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15.789473684200001</v>
      </c>
      <c r="AM18" s="4">
        <f>IFERROR(ROUND(
(INDEX(生データ表[],MATCH($C18,生データ表['#],0),MATCH(AM$5,生データ表[#Headers],0))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19.909573185399999</v>
      </c>
      <c r="AN18" s="4">
        <f>IFERROR(ROUND(
(INDEX(生データ表[],MATCH($C18,生データ表['#],0),MATCH(AN$5,生データ表[#Headers],0))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13.488030368</v>
      </c>
      <c r="AO18" s="4">
        <f>IFERROR(ROUND(
(INDEX(生データ表[],MATCH($C18,生データ表['#],0),MATCH(AO$5,生データ表[#Headers],0))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25.340777750499999</v>
      </c>
      <c r="AP18" s="4">
        <f>IFERROR(ROUND(
(INDEX(生データ表[],MATCH($C18,生データ表['#],0),MATCH(AP$5,生データ表[#Headers],0))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33.435299787399998</v>
      </c>
      <c r="AQ18" s="4">
        <f>IFERROR(ROUND(
(INDEX(生データ表[],MATCH($C18,生データ表['#],0),MATCH(AQ$5,生データ表[#Headers],0))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18.858665825199999</v>
      </c>
      <c r="AR18" s="4">
        <f>IFERROR(ROUND(
(INDEX(生データ表[],MATCH($C18,生データ表['#],0),MATCH(AR$5,生データ表[#Headers],0))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25.674329327399999</v>
      </c>
      <c r="AS18" s="4">
        <f>IFERROR(ROUND(
(INDEX(生データ表[],MATCH($C18,生データ表['#],0),MATCH(AS$5,生データ表[#Headers],0))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70.9919406052</v>
      </c>
      <c r="AT18" s="4">
        <f>IFERROR(ROUND(
(INDEX(生データ表[],MATCH($C18,生データ表['#],0),MATCH(AT$5,生データ表[#Headers],0))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90.845610659299993</v>
      </c>
      <c r="AU18" s="4">
        <f>IFERROR(ROUND(
(INDEX(生データ表[],MATCH($C18,生データ表['#],0),MATCH(AU$5,生データ表[#Headers],0))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54.2952208106</v>
      </c>
      <c r="AV18" s="4">
        <f>IFERROR(ROUND(
(INDEX(生データ表[],MATCH($C18,生データ表['#],0),MATCH(AV$5,生データ表[#Headers],0))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80.715589658100001</v>
      </c>
      <c r="AW18" s="4">
        <f>IFERROR(ROUND(
(INDEX(生データ表[],MATCH($C18,生データ表['#],0),MATCH(AW$5,生データ表[#Headers],0))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56.755366113800001</v>
      </c>
      <c r="AX18" s="4">
        <f>IFERROR(ROUND(
(INDEX(生データ表[],MATCH($C18,生データ表['#],0),MATCH(AX$5,生データ表[#Headers],0))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98.413956404000004</v>
      </c>
      <c r="AY18" s="4">
        <f>IFERROR(ROUND(
(INDEX(生データ表[],MATCH($C18,生データ表['#],0),MATCH(AY$5,生データ表[#Headers],0))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98.313659359200003</v>
      </c>
      <c r="AZ18" s="4">
        <f>IFERROR(ROUND(
(INDEX(生データ表[],MATCH($C18,生データ表['#],0),MATCH(AZ$5,生データ表[#Headers],0))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80.722309457700007</v>
      </c>
      <c r="BA18" s="4">
        <f>IFERROR(ROUND(
(INDEX(生データ表[],MATCH($C18,生データ表['#],0),MATCH(BA$5,生データ表[#Headers],0))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72.139230293500006</v>
      </c>
      <c r="BB18" s="4">
        <f>IFERROR(ROUND(
(INDEX(生データ表[],MATCH($C18,生データ表['#],0),MATCH(BB$5,生データ表[#Headers],0))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75.952795651800002</v>
      </c>
      <c r="BC18" s="4">
        <f>IFERROR(ROUND(
(INDEX(生データ表[],MATCH($C18,生データ表['#],0),MATCH(BC$5,生データ表[#Headers],0))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65.743888313100001</v>
      </c>
      <c r="BD18" s="4">
        <f>IFERROR(ROUND(
(INDEX(生データ表[],MATCH($C18,生データ表['#],0),MATCH(BD$5,生データ表[#Headers],0))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43.920670555400001</v>
      </c>
      <c r="BE18" s="4">
        <f>IFERROR(ROUND(
(INDEX(生データ表[],MATCH($C18,生データ表['#],0),MATCH(BE$5,生データ表[#Headers],0))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39.453890658600002</v>
      </c>
      <c r="BF18" s="4">
        <f>IFERROR(ROUND(
(INDEX(生データ表[],MATCH($C18,生データ表['#],0),MATCH(BF$5,生データ表[#Headers],0))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29.089254480200001</v>
      </c>
      <c r="BG18" s="4">
        <f>IFERROR(ROUND(
(INDEX(生データ表[],MATCH($C18,生データ表['#],0),MATCH(BG$5,生データ表[#Headers],0))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28.43567612</v>
      </c>
      <c r="BH18" s="4">
        <f>IFERROR(ROUND(
(INDEX(生データ表[],MATCH($C18,生データ表['#],0),MATCH(BH$5,生データ表[#Headers],0))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66.6076957099</v>
      </c>
      <c r="BI18" s="4">
        <f>IFERROR(ROUND(
(INDEX(生データ表[],MATCH($C18,生データ表['#],0),MATCH(BI$5,生データ表[#Headers],0))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54.913678560999998</v>
      </c>
      <c r="BJ18" s="4">
        <f>IFERROR(ROUND(
(INDEX(生データ表[],MATCH($C18,生データ表['#],0),MATCH(BJ$5,生データ表[#Headers],0))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85.010015851299997</v>
      </c>
      <c r="BK18" s="4">
        <f>IFERROR(ROUND(
(INDEX(生データ表[],MATCH($C18,生データ表['#],0),MATCH(BK$5,生データ表[#Headers],0))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83.295711060900004</v>
      </c>
      <c r="BL18" s="4">
        <f>IFERROR(ROUND(
(INDEX(生データ表[],MATCH($C18,生データ表['#],0),MATCH(BL$5,生データ表[#Headers],0))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52.589179195299998</v>
      </c>
      <c r="BM18" s="4">
        <f>IFERROR(ROUND(
(INDEX(生データ表[],MATCH($C18,生データ表['#],0),MATCH(BM$5,生データ表[#Headers],0))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100</v>
      </c>
      <c r="BN18" s="4">
        <f>IFERROR(ROUND(
(INDEX(生データ表[],MATCH($C18,生データ表['#],0),MATCH(BN$5,生データ表[#Headers],0))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87.901037047700001</v>
      </c>
      <c r="BO18" s="4">
        <f>IFERROR(ROUND(
(INDEX(生データ表[],MATCH($C18,生データ表['#],0),MATCH(BO$5,生データ表[#Headers],0))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72.660141363299999</v>
      </c>
      <c r="BP18" s="4">
        <f>IFERROR(ROUND(
(INDEX(生データ表[],MATCH($C18,生データ表['#],0),MATCH(BP$5,生データ表[#Headers],0))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51.086956521700003</v>
      </c>
      <c r="BQ18" s="4">
        <f>IFERROR(ROUND(
(INDEX(生データ表[],MATCH($C18,生データ表['#],0),MATCH(BQ$5,生データ表[#Headers],0))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2.2067824189</v>
      </c>
      <c r="BR18" s="4">
        <f>IFERROR(ROUND(
(INDEX(生データ表[],MATCH($C18,生データ表['#],0),MATCH(BR$5,生データ表[#Headers],0))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14.0484080624</v>
      </c>
      <c r="BS18" s="4">
        <f>IFERROR(ROUND(
(INDEX(生データ表[],MATCH($C18,生データ表['#],0),MATCH(BS$5,生データ表[#Headers],0))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13.169614922499999</v>
      </c>
      <c r="BT18" s="4">
        <f>IFERROR(ROUND(
(INDEX(生データ表[],MATCH($C18,生データ表['#],0),MATCH(BT$5,生データ表[#Headers],0))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56.9096343987</v>
      </c>
      <c r="BU18" s="4">
        <f>IFERROR(ROUND(
(INDEX(生データ表[],MATCH($C18,生データ表['#],0),MATCH(BU$5,生データ表[#Headers],0))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69.412447299899995</v>
      </c>
      <c r="BV18" s="4">
        <f>IFERROR(ROUND(
(INDEX(生データ表[],MATCH($C18,生データ表['#],0),MATCH(BV$5,生データ表[#Headers],0))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78.571428571400006</v>
      </c>
      <c r="BW18" s="4">
        <f>IFERROR(ROUND(
(INDEX(生データ表[],MATCH($C18,生データ表['#],0),MATCH(BW$5,生データ表[#Headers],0))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96.532685512399993</v>
      </c>
      <c r="BX18" s="4">
        <f>IFERROR(ROUND(
(INDEX(生データ表[],MATCH($C18,生データ表['#],0),MATCH(BX$5,生データ表[#Headers],0))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32.800417972799998</v>
      </c>
      <c r="BY18" s="4">
        <f>IFERROR(ROUND(
(INDEX(生データ表[],MATCH($C18,生データ表['#],0),MATCH(BY$5,生データ表[#Headers],0))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59.968110056</v>
      </c>
      <c r="BZ18" s="4">
        <f t="shared" si="5"/>
        <v>18.263163619</v>
      </c>
      <c r="CA18" s="4">
        <f t="shared" si="5"/>
        <v>43.575945701149998</v>
      </c>
      <c r="CB18" s="4">
        <f t="shared" si="5"/>
        <v>0.77573544934999994</v>
      </c>
      <c r="CC18" s="4">
        <f t="shared" si="5"/>
        <v>28.387628404399997</v>
      </c>
      <c r="CD18" s="4">
        <f t="shared" si="5"/>
        <v>46.38971487606667</v>
      </c>
      <c r="CE18" s="4">
        <f t="shared" si="5"/>
        <v>63.968467597499995</v>
      </c>
      <c r="CF18" s="4">
        <f t="shared" si="5"/>
        <v>10.357162682199998</v>
      </c>
      <c r="CG18" s="4">
        <f t="shared" si="5"/>
        <v>27.1903504655</v>
      </c>
      <c r="CH18" s="4">
        <f t="shared" si="5"/>
        <v>3.3385429987999999</v>
      </c>
      <c r="CI18" s="4">
        <f t="shared" si="5"/>
        <v>28.253417465174998</v>
      </c>
      <c r="CJ18" s="4">
        <f t="shared" si="6"/>
        <v>44.471272005199999</v>
      </c>
      <c r="CK18" s="4">
        <f t="shared" si="6"/>
        <v>30.844354961733334</v>
      </c>
      <c r="CL18" s="4">
        <f t="shared" si="6"/>
        <v>23.043420272824999</v>
      </c>
      <c r="CM18" s="4">
        <f t="shared" si="6"/>
        <v>22.266497576299997</v>
      </c>
      <c r="CN18" s="4">
        <f t="shared" si="6"/>
        <v>72.044257358366664</v>
      </c>
      <c r="CO18" s="4">
        <f t="shared" si="6"/>
        <v>68.735477885950004</v>
      </c>
      <c r="CP18" s="4">
        <f t="shared" si="6"/>
        <v>98.363807881599996</v>
      </c>
      <c r="CQ18" s="4">
        <f t="shared" si="6"/>
        <v>76.271445134333348</v>
      </c>
      <c r="CR18" s="4">
        <f t="shared" si="6"/>
        <v>44.551926001824995</v>
      </c>
      <c r="CS18" s="4">
        <f t="shared" si="6"/>
        <v>49.985683463633336</v>
      </c>
      <c r="CT18" s="4">
        <f t="shared" si="7"/>
        <v>73.631635369166659</v>
      </c>
      <c r="CU18" s="4">
        <f t="shared" si="7"/>
        <v>86.85372613700001</v>
      </c>
      <c r="CV18" s="4">
        <f t="shared" si="7"/>
        <v>26.6468694703</v>
      </c>
      <c r="CW18" s="4">
        <f t="shared" si="7"/>
        <v>13.60901149245</v>
      </c>
      <c r="CX18" s="4">
        <f t="shared" si="7"/>
        <v>68.297836756666655</v>
      </c>
      <c r="CY18" s="4">
        <f t="shared" si="7"/>
        <v>63.100404513733331</v>
      </c>
      <c r="CZ18" s="4">
        <f t="shared" si="8"/>
        <v>201.36065564746667</v>
      </c>
      <c r="DA18" s="4">
        <f t="shared" si="8"/>
        <v>40.886056146500003</v>
      </c>
      <c r="DB18" s="4">
        <f t="shared" si="8"/>
        <v>148.87896228123333</v>
      </c>
      <c r="DC18" s="4">
        <f t="shared" si="8"/>
        <v>359.96691426207502</v>
      </c>
      <c r="DD18" s="4">
        <f t="shared" si="8"/>
        <v>210.4710449698</v>
      </c>
      <c r="DE18" s="4">
        <f t="shared" si="8"/>
        <v>171.65412223314999</v>
      </c>
      <c r="DF18" s="76">
        <f t="shared" si="4"/>
        <v>1133.217755540225</v>
      </c>
    </row>
    <row r="19" spans="1:110" hidden="1">
      <c r="A19" s="2">
        <v>14</v>
      </c>
      <c r="B19" s="58">
        <f>INDEX(順位表[Comprehensive],MATCH($C19,順位表['#],0))</f>
        <v>16</v>
      </c>
      <c r="C19" s="3">
        <v>14</v>
      </c>
      <c r="D19" s="1" t="str">
        <f>INDEX(都市マスタ[City Name],MATCH($C19,都市マスタ['#],0))</f>
        <v>Stockholm</v>
      </c>
      <c r="E19" s="4">
        <f>IFERROR(ROUND(
(INDEX(生データ表[],MATCH($C19,生データ表['#],0),MATCH(E$5,生データ表[#Headers],0))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3.1590898744000002</v>
      </c>
      <c r="F19" s="4">
        <f>IFERROR(ROUND(
(INDEX(生データ表[],MATCH($C19,生データ表['#],0),MATCH(F$5,生データ表[#Headers],0))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1.0452542497999999</v>
      </c>
      <c r="G19" s="4">
        <f>IFERROR(ROUND(
(INDEX(生データ表[],MATCH($C19,生データ表['#],0),MATCH(G$5,生データ表[#Headers],0))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6.2708739200000002E-2</v>
      </c>
      <c r="H19" s="4">
        <f>IFERROR(ROUND(
(INDEX(生データ表[],MATCH($C19,生データ表['#],0),MATCH(H$5,生データ表[#Headers],0))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6.7406184063000003</v>
      </c>
      <c r="I19" s="4">
        <f>IFERROR(ROUND(
(INDEX(生データ表[],MATCH($C19,生データ表['#],0),MATCH(I$5,生データ表[#Headers],0))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36.649359671500001</v>
      </c>
      <c r="J19" s="4">
        <f>IFERROR(ROUND(
(INDEX(生データ表[],MATCH($C19,生データ表['#],0),MATCH(J$5,生データ表[#Headers],0))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37.057414107900001</v>
      </c>
      <c r="K19" s="4">
        <f>IFERROR(ROUND(
(INDEX(生データ表[],MATCH($C19,生データ表['#],0),MATCH(K$5,生データ表[#Headers],0))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82.043488426500005</v>
      </c>
      <c r="L19" s="4">
        <f>IFERROR(ROUND(
(INDEX(生データ表[],MATCH($C19,生データ表['#],0),MATCH(L$5,生データ表[#Headers],0))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2.2673315710000002</v>
      </c>
      <c r="M19" s="4">
        <f>IFERROR(ROUND(
(INDEX(生データ表[],MATCH($C19,生データ表['#],0),MATCH(M$5,生データ表[#Headers],0))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19" s="4">
        <f>IFERROR(ROUND(
(INDEX(生データ表[],MATCH($C19,生データ表['#],0),MATCH(N$5,生データ表[#Headers],0))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3.8868266294999998</v>
      </c>
      <c r="O19" s="4">
        <f>IFERROR(ROUND(
(INDEX(生データ表[],MATCH($C19,生データ表['#],0),MATCH(O$5,生データ表[#Headers],0))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75.541669290499996</v>
      </c>
      <c r="P19" s="4">
        <f>IFERROR(ROUND(
(INDEX(生データ表[],MATCH($C19,生データ表['#],0),MATCH(P$5,生データ表[#Headers],0))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47.3185251839</v>
      </c>
      <c r="Q19" s="4">
        <f>IFERROR(ROUND(
(INDEX(生データ表[],MATCH($C19,生データ表['#],0),MATCH(Q$5,生データ表[#Headers],0))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71.152175731599996</v>
      </c>
      <c r="R19" s="4">
        <f>IFERROR(ROUND(
(INDEX(生データ表[],MATCH($C19,生データ表['#],0),MATCH(R$5,生データ表[#Headers],0))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34.1852358278</v>
      </c>
      <c r="S19" s="4">
        <f>IFERROR(ROUND(
(INDEX(生データ表[],MATCH($C19,生データ表['#],0),MATCH(S$5,生データ表[#Headers],0))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55.384615384600004</v>
      </c>
      <c r="T19" s="4">
        <f>IFERROR(ROUND(
(INDEX(生データ表[],MATCH($C19,生データ表['#],0),MATCH(T$5,生データ表[#Headers],0))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91.888585301999996</v>
      </c>
      <c r="U19" s="4">
        <f>IFERROR(ROUND(
(INDEX(生データ表[],MATCH($C19,生データ表['#],0),MATCH(U$5,生データ表[#Headers],0))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9.8023368328</v>
      </c>
      <c r="V19" s="4">
        <f>IFERROR(ROUND(
(INDEX(生データ表[],MATCH($C19,生データ表['#],0),MATCH(V$5,生データ表[#Headers],0))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28.1210592686</v>
      </c>
      <c r="W19" s="4">
        <f>IFERROR(ROUND(
(INDEX(生データ表[],MATCH($C19,生データ表['#],0),MATCH(W$5,生データ表[#Headers],0))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5.6387252530999996</v>
      </c>
      <c r="X19" s="4">
        <f>IFERROR(ROUND(
(INDEX(生データ表[],MATCH($C19,生データ表['#],0),MATCH(X$5,生データ表[#Headers],0))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4.9064951102999999</v>
      </c>
      <c r="Y19" s="4">
        <f>IFERROR(ROUND(
(INDEX(生データ表[],MATCH($C19,生データ表['#],0),MATCH(Y$5,生データ表[#Headers],0))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68.251410811400007</v>
      </c>
      <c r="Z19" s="4">
        <f>IFERROR(ROUND(
(INDEX(生データ表[],MATCH($C19,生データ表['#],0),MATCH(Z$5,生データ表[#Headers],0))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0.39782423140000001</v>
      </c>
      <c r="AA19" s="4">
        <f>IFERROR(ROUND(
(INDEX(生データ表[],MATCH($C19,生データ表['#],0),MATCH(AA$5,生データ表[#Headers],0))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3.5830618893000001</v>
      </c>
      <c r="AB19" s="4">
        <f>IFERROR(ROUND(
(INDEX(生データ表[],MATCH($C19,生データ表['#],0),MATCH(AB$5,生データ表[#Headers],0))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8.8652482270000004</v>
      </c>
      <c r="AC19" s="4">
        <f>IFERROR(ROUND(
(INDEX(生データ表[],MATCH($C19,生データ表['#],0),MATCH(AC$5,生データ表[#Headers],0))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14.195583596200001</v>
      </c>
      <c r="AD19" s="4">
        <f>IFERROR(ROUND(
(INDEX(生データ表[],MATCH($C19,生データ表['#],0),MATCH(AD$5,生データ表[#Headers],0))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41.818181818200003</v>
      </c>
      <c r="AE19" s="4">
        <f>IFERROR(ROUND(
(INDEX(生データ表[],MATCH($C19,生データ表['#],0),MATCH(AE$5,生データ表[#Headers],0))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47.7466236952</v>
      </c>
      <c r="AF19" s="4">
        <f>IFERROR(ROUND(
(INDEX(生データ表[],MATCH($C19,生データ表['#],0),MATCH(AF$5,生データ表[#Headers],0))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3.5117480018</v>
      </c>
      <c r="AG19" s="4">
        <f>IFERROR(ROUND(
(INDEX(生データ表[],MATCH($C19,生データ表['#],0),MATCH(AG$5,生データ表[#Headers],0))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30.766234522400001</v>
      </c>
      <c r="AH19" s="4">
        <f>IFERROR(ROUND(
(INDEX(生データ表[],MATCH($C19,生データ表['#],0),MATCH(AH$5,生データ表[#Headers],0))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15</v>
      </c>
      <c r="AI19" s="4">
        <f>IFERROR(ROUND(
(INDEX(生データ表[],MATCH($C19,生データ表['#],0),MATCH(AI$5,生データ表[#Headers],0))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26.7317749075</v>
      </c>
      <c r="AJ19" s="4">
        <f>IFERROR(ROUND(
(INDEX(生データ表[],MATCH($C19,生データ表['#],0),MATCH(AJ$5,生データ表[#Headers],0))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13.4854771784</v>
      </c>
      <c r="AK19" s="4">
        <f>IFERROR(ROUND(
(INDEX(生データ表[],MATCH($C19,生データ表['#],0),MATCH(AK$5,生データ表[#Headers],0))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23.630136986299998</v>
      </c>
      <c r="AL19" s="4">
        <f>IFERROR(ROUND(
(INDEX(生データ表[],MATCH($C19,生データ表['#],0),MATCH(AL$5,生データ表[#Headers],0))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15.789473684200001</v>
      </c>
      <c r="AM19" s="4">
        <f>IFERROR(ROUND(
(INDEX(生データ表[],MATCH($C19,生データ表['#],0),MATCH(AM$5,生データ表[#Headers],0))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11.818181818199999</v>
      </c>
      <c r="AN19" s="4">
        <f>IFERROR(ROUND(
(INDEX(生データ表[],MATCH($C19,生データ表['#],0),MATCH(AN$5,生データ表[#Headers],0))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2.9449580603999999</v>
      </c>
      <c r="AO19" s="4">
        <f>IFERROR(ROUND(
(INDEX(生データ表[],MATCH($C19,生データ表['#],0),MATCH(AO$5,生データ表[#Headers],0))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17.1101911083</v>
      </c>
      <c r="AP19" s="4">
        <f>IFERROR(ROUND(
(INDEX(生データ表[],MATCH($C19,生データ表['#],0),MATCH(AP$5,生データ表[#Headers],0))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21.112618467600001</v>
      </c>
      <c r="AQ19" s="4">
        <f>IFERROR(ROUND(
(INDEX(生データ表[],MATCH($C19,生データ表['#],0),MATCH(AQ$5,生データ表[#Headers],0))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3.1089123012000002</v>
      </c>
      <c r="AR19" s="4">
        <f>IFERROR(ROUND(
(INDEX(生データ表[],MATCH($C19,生データ表['#],0),MATCH(AR$5,生データ表[#Headers],0))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28.5373486431</v>
      </c>
      <c r="AS19" s="4">
        <f>IFERROR(ROUND(
(INDEX(生データ表[],MATCH($C19,生データ表['#],0),MATCH(AS$5,生データ表[#Headers],0))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77.538496562299997</v>
      </c>
      <c r="AT19" s="4">
        <f>IFERROR(ROUND(
(INDEX(生データ表[],MATCH($C19,生データ表['#],0),MATCH(AT$5,生データ表[#Headers],0))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79.551191237099999</v>
      </c>
      <c r="AU19" s="4">
        <f>IFERROR(ROUND(
(INDEX(生データ表[],MATCH($C19,生データ表['#],0),MATCH(AU$5,生データ表[#Headers],0))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62.315270935999997</v>
      </c>
      <c r="AV19" s="4">
        <f>IFERROR(ROUND(
(INDEX(生データ表[],MATCH($C19,生データ表['#],0),MATCH(AV$5,生データ表[#Headers],0))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64.201131933300005</v>
      </c>
      <c r="AW19" s="4">
        <f>IFERROR(ROUND(
(INDEX(生データ表[],MATCH($C19,生データ表['#],0),MATCH(AW$5,生データ表[#Headers],0))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50.230091085300003</v>
      </c>
      <c r="AX19" s="4">
        <f>IFERROR(ROUND(
(INDEX(生データ表[],MATCH($C19,生データ表['#],0),MATCH(AX$5,生データ表[#Headers],0))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88.644273860699997</v>
      </c>
      <c r="AY19" s="4">
        <f>IFERROR(ROUND(
(INDEX(生データ表[],MATCH($C19,生データ表['#],0),MATCH(AY$5,生データ表[#Headers],0))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100</v>
      </c>
      <c r="AZ19" s="4">
        <f>IFERROR(ROUND(
(INDEX(生データ表[],MATCH($C19,生データ表['#],0),MATCH(AZ$5,生データ表[#Headers],0))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84.684140596700004</v>
      </c>
      <c r="BA19" s="4">
        <f>IFERROR(ROUND(
(INDEX(生データ表[],MATCH($C19,生データ表['#],0),MATCH(BA$5,生データ表[#Headers],0))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92.741055652100002</v>
      </c>
      <c r="BB19" s="4">
        <f>IFERROR(ROUND(
(INDEX(生データ表[],MATCH($C19,生データ表['#],0),MATCH(BB$5,生データ表[#Headers],0))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68.9014130634</v>
      </c>
      <c r="BC19" s="4">
        <f>IFERROR(ROUND(
(INDEX(生データ表[],MATCH($C19,生データ表['#],0),MATCH(BC$5,生データ表[#Headers],0))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94.040762089400005</v>
      </c>
      <c r="BD19" s="4">
        <f>IFERROR(ROUND(
(INDEX(生データ表[],MATCH($C19,生データ表['#],0),MATCH(BD$5,生データ表[#Headers],0))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73.665700080099995</v>
      </c>
      <c r="BE19" s="4">
        <f>IFERROR(ROUND(
(INDEX(生データ表[],MATCH($C19,生データ表['#],0),MATCH(BE$5,生データ表[#Headers],0))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13.6806588018</v>
      </c>
      <c r="BF19" s="4">
        <f>IFERROR(ROUND(
(INDEX(生データ表[],MATCH($C19,生データ表['#],0),MATCH(BF$5,生データ表[#Headers],0))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20.765919399400001</v>
      </c>
      <c r="BG19" s="4">
        <f>IFERROR(ROUND(
(INDEX(生データ表[],MATCH($C19,生データ表['#],0),MATCH(BG$5,生データ表[#Headers],0))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67.875051376900004</v>
      </c>
      <c r="BH19" s="4">
        <f>IFERROR(ROUND(
(INDEX(生データ表[],MATCH($C19,生データ表['#],0),MATCH(BH$5,生データ表[#Headers],0))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100</v>
      </c>
      <c r="BI19" s="4">
        <f>IFERROR(ROUND(
(INDEX(生データ表[],MATCH($C19,生データ表['#],0),MATCH(BI$5,生データ表[#Headers],0))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42.318624116400002</v>
      </c>
      <c r="BJ19" s="4">
        <f>IFERROR(ROUND(
(INDEX(生データ表[],MATCH($C19,生データ表['#],0),MATCH(BJ$5,生データ表[#Headers],0))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92.550210585000002</v>
      </c>
      <c r="BK19" s="4">
        <f>IFERROR(ROUND(
(INDEX(生データ表[],MATCH($C19,生データ表['#],0),MATCH(BK$5,生データ表[#Headers],0))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91.647855530499996</v>
      </c>
      <c r="BL19" s="4">
        <f>IFERROR(ROUND(
(INDEX(生データ表[],MATCH($C19,生データ表['#],0),MATCH(BL$5,生データ表[#Headers],0))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43.925242966299997</v>
      </c>
      <c r="BM19" s="4">
        <f>IFERROR(ROUND(
(INDEX(生データ表[],MATCH($C19,生データ表['#],0),MATCH(BM$5,生データ表[#Headers],0))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93.033381712600004</v>
      </c>
      <c r="BN19" s="4">
        <f>IFERROR(ROUND(
(INDEX(生データ表[],MATCH($C19,生データ表['#],0),MATCH(BN$5,生データ表[#Headers],0))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91.523201292500005</v>
      </c>
      <c r="BO19" s="4">
        <f>IFERROR(ROUND(
(INDEX(生データ表[],MATCH($C19,生データ表['#],0),MATCH(BO$5,生データ表[#Headers],0))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63.337710087399998</v>
      </c>
      <c r="BP19" s="4">
        <f>IFERROR(ROUND(
(INDEX(生データ表[],MATCH($C19,生データ表['#],0),MATCH(BP$5,生データ表[#Headers],0))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39.402173912999999</v>
      </c>
      <c r="BQ19" s="4">
        <f>IFERROR(ROUND(
(INDEX(生データ表[],MATCH($C19,生データ表['#],0),MATCH(BQ$5,生データ表[#Headers],0))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1.1829319965</v>
      </c>
      <c r="BR19" s="4">
        <f>IFERROR(ROUND(
(INDEX(生データ表[],MATCH($C19,生データ表['#],0),MATCH(BR$5,生データ表[#Headers],0))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10.4001424437</v>
      </c>
      <c r="BS19" s="4">
        <f>IFERROR(ROUND(
(INDEX(生データ表[],MATCH($C19,生データ表['#],0),MATCH(BS$5,生データ表[#Headers],0))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11.4550086509</v>
      </c>
      <c r="BT19" s="4">
        <f>IFERROR(ROUND(
(INDEX(生データ表[],MATCH($C19,生データ表['#],0),MATCH(BT$5,生データ表[#Headers],0))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20.579443550200001</v>
      </c>
      <c r="BU19" s="4">
        <f>IFERROR(ROUND(
(INDEX(生データ表[],MATCH($C19,生データ表['#],0),MATCH(BU$5,生データ表[#Headers],0))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86.133261009700007</v>
      </c>
      <c r="BV19" s="4">
        <f>IFERROR(ROUND(
(INDEX(生データ表[],MATCH($C19,生データ表['#],0),MATCH(BV$5,生データ表[#Headers],0))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61.011390978000001</v>
      </c>
      <c r="BW19" s="4">
        <f>IFERROR(ROUND(
(INDEX(生データ表[],MATCH($C19,生データ表['#],0),MATCH(BW$5,生データ表[#Headers],0))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70.218639576000001</v>
      </c>
      <c r="BX19" s="4">
        <f>IFERROR(ROUND(
(INDEX(生データ表[],MATCH($C19,生データ表['#],0),MATCH(BX$5,生データ表[#Headers],0))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68.950524737600006</v>
      </c>
      <c r="BY19" s="4">
        <f>IFERROR(ROUND(
(INDEX(生データ表[],MATCH($C19,生データ表['#],0),MATCH(BY$5,生データ表[#Headers],0))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13.221659557100001</v>
      </c>
      <c r="BZ19" s="4">
        <f t="shared" si="5"/>
        <v>21.694989038900001</v>
      </c>
      <c r="CA19" s="4">
        <f t="shared" si="5"/>
        <v>59.550451267200003</v>
      </c>
      <c r="CB19" s="4">
        <f t="shared" si="5"/>
        <v>1.1336657855000001</v>
      </c>
      <c r="CC19" s="4">
        <f t="shared" si="5"/>
        <v>39.714247959999994</v>
      </c>
      <c r="CD19" s="4">
        <f t="shared" si="5"/>
        <v>50.88531224776667</v>
      </c>
      <c r="CE19" s="4">
        <f t="shared" si="5"/>
        <v>73.636600343300003</v>
      </c>
      <c r="CF19" s="4">
        <f t="shared" si="5"/>
        <v>18.961698050700001</v>
      </c>
      <c r="CG19" s="4">
        <f t="shared" si="5"/>
        <v>26.265543724933337</v>
      </c>
      <c r="CH19" s="4">
        <f t="shared" si="5"/>
        <v>4.2820447825666674</v>
      </c>
      <c r="CI19" s="4">
        <f t="shared" si="5"/>
        <v>26.81803427785</v>
      </c>
      <c r="CJ19" s="4">
        <f t="shared" si="6"/>
        <v>24.166003143299999</v>
      </c>
      <c r="CK19" s="4">
        <f t="shared" si="6"/>
        <v>17.635029282966666</v>
      </c>
      <c r="CL19" s="4">
        <f t="shared" si="6"/>
        <v>13.246487363625</v>
      </c>
      <c r="CM19" s="4">
        <f t="shared" si="6"/>
        <v>15.82313047215</v>
      </c>
      <c r="CN19" s="4">
        <f t="shared" si="6"/>
        <v>73.134986245133334</v>
      </c>
      <c r="CO19" s="4">
        <f t="shared" si="6"/>
        <v>57.215611509300004</v>
      </c>
      <c r="CP19" s="4">
        <f t="shared" si="6"/>
        <v>94.322136930349998</v>
      </c>
      <c r="CQ19" s="4">
        <f t="shared" si="6"/>
        <v>82.108869770733335</v>
      </c>
      <c r="CR19" s="4">
        <f t="shared" si="6"/>
        <v>50.538260092675003</v>
      </c>
      <c r="CS19" s="4">
        <f t="shared" si="6"/>
        <v>70.064558497766669</v>
      </c>
      <c r="CT19" s="4">
        <f t="shared" si="7"/>
        <v>76.041103027266672</v>
      </c>
      <c r="CU19" s="4">
        <f t="shared" si="7"/>
        <v>82.631431030833326</v>
      </c>
      <c r="CV19" s="4">
        <f t="shared" si="7"/>
        <v>20.292552954750001</v>
      </c>
      <c r="CW19" s="4">
        <f t="shared" si="7"/>
        <v>10.9275755473</v>
      </c>
      <c r="CX19" s="4">
        <f t="shared" si="7"/>
        <v>55.908031845966669</v>
      </c>
      <c r="CY19" s="4">
        <f t="shared" si="7"/>
        <v>50.796941290233327</v>
      </c>
      <c r="CZ19" s="4">
        <f t="shared" si="8"/>
        <v>246.61526664266665</v>
      </c>
      <c r="DA19" s="4">
        <f t="shared" si="8"/>
        <v>49.509286558200003</v>
      </c>
      <c r="DB19" s="4">
        <f t="shared" si="8"/>
        <v>97.688684539891668</v>
      </c>
      <c r="DC19" s="4">
        <f t="shared" si="8"/>
        <v>357.31986454819167</v>
      </c>
      <c r="DD19" s="4">
        <f t="shared" si="8"/>
        <v>228.73709255586664</v>
      </c>
      <c r="DE19" s="4">
        <f t="shared" si="8"/>
        <v>137.92510163825</v>
      </c>
      <c r="DF19" s="76">
        <f t="shared" si="4"/>
        <v>1117.7952964830665</v>
      </c>
    </row>
    <row r="20" spans="1:110" hidden="1">
      <c r="A20" s="2">
        <v>15</v>
      </c>
      <c r="B20" s="58">
        <f>INDEX(順位表[Comprehensive],MATCH($C20,順位表['#],0))</f>
        <v>30</v>
      </c>
      <c r="C20" s="3">
        <v>15</v>
      </c>
      <c r="D20" s="1" t="str">
        <f>INDEX(都市マスタ[City Name],MATCH($C20,都市マスタ['#],0))</f>
        <v>Istanbul</v>
      </c>
      <c r="E20" s="4">
        <f>IFERROR(ROUND(
(INDEX(生データ表[],MATCH($C20,生データ表['#],0),MATCH(E$5,生データ表[#Headers],0))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63.602571228999999</v>
      </c>
      <c r="F20" s="4">
        <f>IFERROR(ROUND(
(INDEX(生データ表[],MATCH($C20,生データ表['#],0),MATCH(F$5,生データ表[#Headers],0))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31.604786317599999</v>
      </c>
      <c r="G20" s="4">
        <f>IFERROR(ROUND(
(INDEX(生データ表[],MATCH($C20,生データ表['#],0),MATCH(G$5,生データ表[#Headers],0))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0.10614890339999999</v>
      </c>
      <c r="H20" s="4">
        <f>IFERROR(ROUND(
(INDEX(生データ表[],MATCH($C20,生データ表['#],0),MATCH(H$5,生データ表[#Headers],0))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25.318983874299999</v>
      </c>
      <c r="I20" s="4">
        <f>IFERROR(ROUND(
(INDEX(生データ表[],MATCH($C20,生データ表['#],0),MATCH(I$5,生データ表[#Headers],0))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5.8645795742000004</v>
      </c>
      <c r="J20" s="4">
        <f>IFERROR(ROUND(
(INDEX(生データ表[],MATCH($C20,生データ表['#],0),MATCH(J$5,生データ表[#Headers],0))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91.938776154300001</v>
      </c>
      <c r="K20" s="4">
        <f>IFERROR(ROUND(
(INDEX(生データ表[],MATCH($C20,生データ表['#],0),MATCH(K$5,生データ表[#Headers],0))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24.245966799200001</v>
      </c>
      <c r="L20" s="4">
        <f>IFERROR(ROUND(
(INDEX(生データ表[],MATCH($C20,生データ表['#],0),MATCH(L$5,生データ表[#Headers],0))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0.81892694720000003</v>
      </c>
      <c r="M20" s="4">
        <f>IFERROR(ROUND(
(INDEX(生データ表[],MATCH($C20,生データ表['#],0),MATCH(M$5,生データ表[#Headers],0))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1.0358632172</v>
      </c>
      <c r="N20" s="4">
        <f>IFERROR(ROUND(
(INDEX(生データ表[],MATCH($C20,生データ表['#],0),MATCH(N$5,生データ表[#Headers],0))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44.9546385449</v>
      </c>
      <c r="O20" s="4">
        <f>IFERROR(ROUND(
(INDEX(生データ表[],MATCH($C20,生データ表['#],0),MATCH(O$5,生データ表[#Headers],0))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18.490791790300001</v>
      </c>
      <c r="P20" s="4">
        <f>IFERROR(ROUND(
(INDEX(生データ表[],MATCH($C20,生データ表['#],0),MATCH(P$5,生データ表[#Headers],0))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7.4932429417000002</v>
      </c>
      <c r="Q20" s="4">
        <f>IFERROR(ROUND(
(INDEX(生データ表[],MATCH($C20,生データ表['#],0),MATCH(Q$5,生データ表[#Headers],0))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8.9517350096000001</v>
      </c>
      <c r="R20" s="4">
        <f>IFERROR(ROUND(
(INDEX(生データ表[],MATCH($C20,生データ表['#],0),MATCH(R$5,生データ表[#Headers],0))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7.8923459751999996</v>
      </c>
      <c r="S20" s="4">
        <f>IFERROR(ROUND(
(INDEX(生データ表[],MATCH($C20,生データ表['#],0),MATCH(S$5,生データ表[#Headers],0))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57.692307692299998</v>
      </c>
      <c r="T20" s="4">
        <f>IFERROR(ROUND(
(INDEX(生データ表[],MATCH($C20,生データ表['#],0),MATCH(T$5,生データ表[#Headers],0))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42.293753411300003</v>
      </c>
      <c r="U20" s="4">
        <f>IFERROR(ROUND(
(INDEX(生データ表[],MATCH($C20,生データ表['#],0),MATCH(U$5,生データ表[#Headers],0))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28.0595039305</v>
      </c>
      <c r="V20" s="4">
        <f>IFERROR(ROUND(
(INDEX(生データ表[],MATCH($C20,生データ表['#],0),MATCH(V$5,生データ表[#Headers],0))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0.88272383350000005</v>
      </c>
      <c r="W20" s="4">
        <f>IFERROR(ROUND(
(INDEX(生データ表[],MATCH($C20,生データ表['#],0),MATCH(W$5,生データ表[#Headers],0))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3.2730867964999999</v>
      </c>
      <c r="X20" s="4">
        <f>IFERROR(ROUND(
(INDEX(生データ表[],MATCH($C20,生データ表['#],0),MATCH(X$5,生データ表[#Headers],0))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5.6100888590000002</v>
      </c>
      <c r="Y20" s="4">
        <f>IFERROR(ROUND(
(INDEX(生データ表[],MATCH($C20,生データ表['#],0),MATCH(Y$5,生データ表[#Headers],0))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51.753235643499998</v>
      </c>
      <c r="Z20" s="4">
        <f>IFERROR(ROUND(
(INDEX(生データ表[],MATCH($C20,生データ表['#],0),MATCH(Z$5,生データ表[#Headers],0))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1.299433506</v>
      </c>
      <c r="AA20" s="4">
        <f>IFERROR(ROUND(
(INDEX(生データ表[],MATCH($C20,生データ表['#],0),MATCH(AA$5,生データ表[#Headers],0))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20" s="4">
        <f>IFERROR(ROUND(
(INDEX(生データ表[],MATCH($C20,生データ表['#],0),MATCH(AB$5,生データ表[#Headers],0))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7.8191489362000004</v>
      </c>
      <c r="AC20" s="4">
        <f>IFERROR(ROUND(
(INDEX(生データ表[],MATCH($C20,生データ表['#],0),MATCH(AC$5,生データ表[#Headers],0))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3.7854889589999998</v>
      </c>
      <c r="AD20" s="4">
        <f>IFERROR(ROUND(
(INDEX(生データ表[],MATCH($C20,生データ表['#],0),MATCH(AD$5,生データ表[#Headers],0))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29.090909090899999</v>
      </c>
      <c r="AE20" s="4">
        <f>IFERROR(ROUND(
(INDEX(生データ表[],MATCH($C20,生データ表['#],0),MATCH(AE$5,生データ表[#Headers],0))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7.8324620818000001</v>
      </c>
      <c r="AF20" s="4">
        <f>IFERROR(ROUND(
(INDEX(生データ表[],MATCH($C20,生データ表['#],0),MATCH(AF$5,生データ表[#Headers],0))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2.8776271273999998</v>
      </c>
      <c r="AG20" s="4">
        <f>IFERROR(ROUND(
(INDEX(生データ表[],MATCH($C20,生データ表['#],0),MATCH(AG$5,生データ表[#Headers],0))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74.195705502999999</v>
      </c>
      <c r="AH20" s="4">
        <f>IFERROR(ROUND(
(INDEX(生データ表[],MATCH($C20,生データ表['#],0),MATCH(AH$5,生データ表[#Headers],0))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15</v>
      </c>
      <c r="AI20" s="4">
        <f>IFERROR(ROUND(
(INDEX(生データ表[],MATCH($C20,生データ表['#],0),MATCH(AI$5,生データ表[#Headers],0))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58.942160463299999</v>
      </c>
      <c r="AJ20" s="4">
        <f>IFERROR(ROUND(
(INDEX(生データ表[],MATCH($C20,生データ表['#],0),MATCH(AJ$5,生データ表[#Headers],0))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25.9336099585</v>
      </c>
      <c r="AK20" s="4">
        <f>IFERROR(ROUND(
(INDEX(生データ表[],MATCH($C20,生データ表['#],0),MATCH(AK$5,生データ表[#Headers],0))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16.095890410999999</v>
      </c>
      <c r="AL20" s="4">
        <f>IFERROR(ROUND(
(INDEX(生データ表[],MATCH($C20,生データ表['#],0),MATCH(AL$5,生データ表[#Headers],0))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47.368421052599999</v>
      </c>
      <c r="AM20" s="4">
        <f>IFERROR(ROUND(
(INDEX(生データ表[],MATCH($C20,生データ表['#],0),MATCH(AM$5,生データ表[#Headers],0))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50.394260911499998</v>
      </c>
      <c r="AN20" s="4">
        <f>IFERROR(ROUND(
(INDEX(生データ表[],MATCH($C20,生データ表['#],0),MATCH(AN$5,生データ表[#Headers],0))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54.4725402559</v>
      </c>
      <c r="AO20" s="4">
        <f>IFERROR(ROUND(
(INDEX(生データ表[],MATCH($C20,生データ表['#],0),MATCH(AO$5,生データ表[#Headers],0))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77.486739088099995</v>
      </c>
      <c r="AP20" s="4">
        <f>IFERROR(ROUND(
(INDEX(生データ表[],MATCH($C20,生データ表['#],0),MATCH(AP$5,生データ表[#Headers],0))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42.387184587299998</v>
      </c>
      <c r="AQ20" s="4">
        <f>IFERROR(ROUND(
(INDEX(生データ表[],MATCH($C20,生データ表['#],0),MATCH(AQ$5,生データ表[#Headers],0))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22.5182662333</v>
      </c>
      <c r="AR20" s="4">
        <f>IFERROR(ROUND(
(INDEX(生データ表[],MATCH($C20,生データ表['#],0),MATCH(AR$5,生データ表[#Headers],0))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99.381736419500001</v>
      </c>
      <c r="AS20" s="4">
        <f>IFERROR(ROUND(
(INDEX(生データ表[],MATCH($C20,生データ表['#],0),MATCH(AS$5,生データ表[#Headers],0))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71.7365015962</v>
      </c>
      <c r="AT20" s="4">
        <f>IFERROR(ROUND(
(INDEX(生データ表[],MATCH($C20,生データ表['#],0),MATCH(AT$5,生データ表[#Headers],0))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24.029423091000002</v>
      </c>
      <c r="AU20" s="4">
        <f>IFERROR(ROUND(
(INDEX(生データ表[],MATCH($C20,生データ表['#],0),MATCH(AU$5,生データ表[#Headers],0))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17.739463601499999</v>
      </c>
      <c r="AV20" s="4">
        <f>IFERROR(ROUND(
(INDEX(生データ表[],MATCH($C20,生データ表['#],0),MATCH(AV$5,生データ表[#Headers],0))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58.966908506300001</v>
      </c>
      <c r="AW20" s="4">
        <f>IFERROR(ROUND(
(INDEX(生データ表[],MATCH($C20,生データ表['#],0),MATCH(AW$5,生データ表[#Headers],0))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70.3563380577</v>
      </c>
      <c r="AX20" s="4">
        <f>IFERROR(ROUND(
(INDEX(生データ表[],MATCH($C20,生データ表['#],0),MATCH(AX$5,生データ表[#Headers],0))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93.784303444100004</v>
      </c>
      <c r="AY20" s="4">
        <f>IFERROR(ROUND(
(INDEX(生データ表[],MATCH($C20,生データ表['#],0),MATCH(AY$5,生データ表[#Headers],0))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85.834738617200003</v>
      </c>
      <c r="AZ20" s="4">
        <f>IFERROR(ROUND(
(INDEX(生データ表[],MATCH($C20,生データ表['#],0),MATCH(AZ$5,生データ表[#Headers],0))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65.8654426863</v>
      </c>
      <c r="BA20" s="4">
        <f>IFERROR(ROUND(
(INDEX(生データ表[],MATCH($C20,生データ表['#],0),MATCH(BA$5,生データ表[#Headers],0))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8.5326018105999992</v>
      </c>
      <c r="BB20" s="4">
        <f>IFERROR(ROUND(
(INDEX(生データ表[],MATCH($C20,生データ表['#],0),MATCH(BB$5,生データ表[#Headers],0))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100</v>
      </c>
      <c r="BC20" s="4">
        <f>IFERROR(ROUND(
(INDEX(生データ表[],MATCH($C20,生データ表['#],0),MATCH(BC$5,生データ表[#Headers],0))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20.200967723800002</v>
      </c>
      <c r="BD20" s="4">
        <f>IFERROR(ROUND(
(INDEX(生データ表[],MATCH($C20,生データ表['#],0),MATCH(BD$5,生データ表[#Headers],0))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21.695315040899999</v>
      </c>
      <c r="BE20" s="4">
        <f>IFERROR(ROUND(
(INDEX(生データ表[],MATCH($C20,生データ表['#],0),MATCH(BE$5,生データ表[#Headers],0))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89.982925347899993</v>
      </c>
      <c r="BF20" s="4">
        <f>IFERROR(ROUND(
(INDEX(生データ表[],MATCH($C20,生データ表['#],0),MATCH(BF$5,生データ表[#Headers],0))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44.777107951399998</v>
      </c>
      <c r="BG20" s="4">
        <f>IFERROR(ROUND(
(INDEX(生データ表[],MATCH($C20,生データ表['#],0),MATCH(BG$5,生データ表[#Headers],0))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67.094122482499998</v>
      </c>
      <c r="BH20" s="4">
        <f>IFERROR(ROUND(
(INDEX(生データ表[],MATCH($C20,生データ表['#],0),MATCH(BH$5,生データ表[#Headers],0))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32.198142414899998</v>
      </c>
      <c r="BI20" s="4">
        <f>IFERROR(ROUND(
(INDEX(生データ表[],MATCH($C20,生データ表['#],0),MATCH(BI$5,生データ表[#Headers],0))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17.362958083199999</v>
      </c>
      <c r="BJ20" s="4">
        <f>IFERROR(ROUND(
(INDEX(生データ表[],MATCH($C20,生データ表['#],0),MATCH(BJ$5,生データ表[#Headers],0))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86.206024138800004</v>
      </c>
      <c r="BK20" s="4">
        <f>IFERROR(ROUND(
(INDEX(生データ表[],MATCH($C20,生データ表['#],0),MATCH(BK$5,生データ表[#Headers],0))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66.591422121899996</v>
      </c>
      <c r="BL20" s="4">
        <f>IFERROR(ROUND(
(INDEX(生データ表[],MATCH($C20,生データ表['#],0),MATCH(BL$5,生データ表[#Headers],0))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70.530144578900007</v>
      </c>
      <c r="BM20" s="4">
        <f>IFERROR(ROUND(
(INDEX(生データ表[],MATCH($C20,生データ表['#],0),MATCH(BM$5,生データ表[#Headers],0))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31.349782293200001</v>
      </c>
      <c r="BN20" s="4">
        <f>IFERROR(ROUND(
(INDEX(生データ表[],MATCH($C20,生データ表['#],0),MATCH(BN$5,生データ表[#Headers],0))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51.322082761399997</v>
      </c>
      <c r="BO20" s="4">
        <f>IFERROR(ROUND(
(INDEX(生データ表[],MATCH($C20,生データ表['#],0),MATCH(BO$5,生データ表[#Headers],0))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18.1617152862</v>
      </c>
      <c r="BP20" s="4">
        <f>IFERROR(ROUND(
(INDEX(生データ表[],MATCH($C20,生データ表['#],0),MATCH(BP$5,生データ表[#Headers],0))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70.108695652199998</v>
      </c>
      <c r="BQ20" s="4">
        <f>IFERROR(ROUND(
(INDEX(生データ表[],MATCH($C20,生データ表['#],0),MATCH(BQ$5,生データ表[#Headers],0))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20.916320429100001</v>
      </c>
      <c r="BR20" s="4">
        <f>IFERROR(ROUND(
(INDEX(生データ表[],MATCH($C20,生データ表['#],0),MATCH(BR$5,生データ表[#Headers],0))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69.666000791399995</v>
      </c>
      <c r="BS20" s="4">
        <f>IFERROR(ROUND(
(INDEX(生データ表[],MATCH($C20,生データ表['#],0),MATCH(BS$5,生データ表[#Headers],0))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50.148120208000002</v>
      </c>
      <c r="BT20" s="4">
        <f>IFERROR(ROUND(
(INDEX(生データ表[],MATCH($C20,生データ表['#],0),MATCH(BT$5,生データ表[#Headers],0))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15.405840423100001</v>
      </c>
      <c r="BU20" s="4">
        <f>IFERROR(ROUND(
(INDEX(生データ表[],MATCH($C20,生データ表['#],0),MATCH(BU$5,生データ表[#Headers],0))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40.916543296999997</v>
      </c>
      <c r="BV20" s="4">
        <f>IFERROR(ROUND(
(INDEX(生データ表[],MATCH($C20,生データ表['#],0),MATCH(BV$5,生データ表[#Headers],0))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16.100785251200001</v>
      </c>
      <c r="BW20" s="4">
        <f>IFERROR(ROUND(
(INDEX(生データ表[],MATCH($C20,生データ表['#],0),MATCH(BW$5,生データ表[#Headers],0))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10.9209363958</v>
      </c>
      <c r="BX20" s="4">
        <f>IFERROR(ROUND(
(INDEX(生データ表[],MATCH($C20,生データ表['#],0),MATCH(BX$5,生データ表[#Headers],0))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38.164627363699999</v>
      </c>
      <c r="BY20" s="4">
        <f>IFERROR(ROUND(
(INDEX(生データ表[],MATCH($C20,生データ表['#],0),MATCH(BY$5,生データ表[#Headers],0))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60.984296558499999</v>
      </c>
      <c r="BZ20" s="4">
        <f t="shared" si="5"/>
        <v>15.59178172425</v>
      </c>
      <c r="CA20" s="4">
        <f t="shared" si="5"/>
        <v>58.092371476750003</v>
      </c>
      <c r="CB20" s="4">
        <f t="shared" si="5"/>
        <v>0.9273950822</v>
      </c>
      <c r="CC20" s="4">
        <f t="shared" si="5"/>
        <v>31.722715167600001</v>
      </c>
      <c r="CD20" s="4">
        <f t="shared" si="5"/>
        <v>8.1124413088333327</v>
      </c>
      <c r="CE20" s="4">
        <f t="shared" si="5"/>
        <v>49.993030551800004</v>
      </c>
      <c r="CF20" s="4">
        <f t="shared" si="5"/>
        <v>14.471113882000001</v>
      </c>
      <c r="CG20" s="4">
        <f t="shared" si="5"/>
        <v>20.212137099666666</v>
      </c>
      <c r="CH20" s="4">
        <f t="shared" si="5"/>
        <v>3.0395274807333337</v>
      </c>
      <c r="CI20" s="4">
        <f t="shared" si="5"/>
        <v>10.896621814774999</v>
      </c>
      <c r="CJ20" s="4">
        <f t="shared" si="6"/>
        <v>49.379288655433335</v>
      </c>
      <c r="CK20" s="4">
        <f t="shared" si="6"/>
        <v>29.799307140699998</v>
      </c>
      <c r="CL20" s="4">
        <f t="shared" si="6"/>
        <v>56.185181210699994</v>
      </c>
      <c r="CM20" s="4">
        <f t="shared" si="6"/>
        <v>60.950001326399999</v>
      </c>
      <c r="CN20" s="4">
        <f t="shared" si="6"/>
        <v>37.83512942956667</v>
      </c>
      <c r="CO20" s="4">
        <f t="shared" si="6"/>
        <v>64.661623281999994</v>
      </c>
      <c r="CP20" s="4">
        <f t="shared" si="6"/>
        <v>89.809521030650004</v>
      </c>
      <c r="CQ20" s="4">
        <f t="shared" si="6"/>
        <v>58.132681498966669</v>
      </c>
      <c r="CR20" s="4">
        <f t="shared" si="6"/>
        <v>44.164079016000002</v>
      </c>
      <c r="CS20" s="4">
        <f t="shared" si="6"/>
        <v>38.885074326866665</v>
      </c>
      <c r="CT20" s="4">
        <f t="shared" si="7"/>
        <v>74.442530279866659</v>
      </c>
      <c r="CU20" s="4">
        <f t="shared" si="7"/>
        <v>33.611193446933335</v>
      </c>
      <c r="CV20" s="4">
        <f t="shared" si="7"/>
        <v>45.512508040649998</v>
      </c>
      <c r="CW20" s="4">
        <f t="shared" si="7"/>
        <v>59.907060499699995</v>
      </c>
      <c r="CX20" s="4">
        <f t="shared" si="7"/>
        <v>24.141056323766666</v>
      </c>
      <c r="CY20" s="4">
        <f t="shared" si="7"/>
        <v>36.68995343933333</v>
      </c>
      <c r="CZ20" s="4">
        <f t="shared" si="8"/>
        <v>164.43973531143331</v>
      </c>
      <c r="DA20" s="4">
        <f t="shared" si="8"/>
        <v>37.722778462400001</v>
      </c>
      <c r="DB20" s="4">
        <f t="shared" si="8"/>
        <v>207.21040014800832</v>
      </c>
      <c r="DC20" s="4">
        <f t="shared" si="8"/>
        <v>294.60303425718331</v>
      </c>
      <c r="DD20" s="4">
        <f t="shared" si="8"/>
        <v>146.93879805366666</v>
      </c>
      <c r="DE20" s="4">
        <f t="shared" si="8"/>
        <v>166.25057830344997</v>
      </c>
      <c r="DF20" s="76">
        <f t="shared" si="4"/>
        <v>1017.1653245361416</v>
      </c>
    </row>
    <row r="21" spans="1:110" hidden="1">
      <c r="A21" s="2">
        <v>16</v>
      </c>
      <c r="B21" s="58">
        <f>INDEX(順位表[Comprehensive],MATCH($C21,順位表['#],0))</f>
        <v>47</v>
      </c>
      <c r="C21" s="3">
        <v>16</v>
      </c>
      <c r="D21" s="1" t="str">
        <f>INDEX(都市マスタ[City Name],MATCH($C21,都市マスタ['#],0))</f>
        <v>Cairo</v>
      </c>
      <c r="E21" s="4">
        <f>IFERROR(ROUND(
(INDEX(生データ表[],MATCH($C21,生データ表['#],0),MATCH(E$5,生データ表[#Headers],0))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40.079287094999998</v>
      </c>
      <c r="F21" s="4">
        <f>IFERROR(ROUND(
(INDEX(生データ表[],MATCH($C21,生データ表['#],0),MATCH(F$5,生データ表[#Headers],0))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18.7258043195</v>
      </c>
      <c r="G21" s="4">
        <f>IFERROR(ROUND(
(INDEX(生データ表[],MATCH($C21,生データ表['#],0),MATCH(G$5,生データ表[#Headers],0))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0.12390212389999999</v>
      </c>
      <c r="H21" s="4">
        <f>IFERROR(ROUND(
(INDEX(生データ表[],MATCH($C21,生データ表['#],0),MATCH(H$5,生データ表[#Headers],0))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1.5017996631999999</v>
      </c>
      <c r="I21" s="4">
        <f>IFERROR(ROUND(
(INDEX(生データ表[],MATCH($C21,生データ表['#],0),MATCH(I$5,生データ表[#Headers],0))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0.6376938741</v>
      </c>
      <c r="J21" s="4">
        <f>IFERROR(ROUND(
(INDEX(生データ表[],MATCH($C21,生データ表['#],0),MATCH(J$5,生データ表[#Headers],0))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57.639227811799998</v>
      </c>
      <c r="K21" s="4">
        <f>IFERROR(ROUND(
(INDEX(生データ表[],MATCH($C21,生データ表['#],0),MATCH(K$5,生データ表[#Headers],0))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3.5305120412000002</v>
      </c>
      <c r="L21" s="4">
        <f>IFERROR(ROUND(
(INDEX(生データ表[],MATCH($C21,生データ表['#],0),MATCH(L$5,生データ表[#Headers],0))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9.6414161900000003E-2</v>
      </c>
      <c r="M21" s="4">
        <f>IFERROR(ROUND(
(INDEX(生データ表[],MATCH($C21,生データ表['#],0),MATCH(M$5,生データ表[#Headers],0))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21" s="4">
        <f>IFERROR(ROUND(
(INDEX(生データ表[],MATCH($C21,生データ表['#],0),MATCH(N$5,生データ表[#Headers],0))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18.357349568099998</v>
      </c>
      <c r="O21" s="4">
        <f>IFERROR(ROUND(
(INDEX(生データ表[],MATCH($C21,生データ表['#],0),MATCH(O$5,生データ表[#Headers],0))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20.6750011777</v>
      </c>
      <c r="P21" s="4">
        <f>IFERROR(ROUND(
(INDEX(生データ表[],MATCH($C21,生データ表['#],0),MATCH(P$5,生データ表[#Headers],0))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0</v>
      </c>
      <c r="Q21" s="4">
        <f>IFERROR(ROUND(
(INDEX(生データ表[],MATCH($C21,生データ表['#],0),MATCH(Q$5,生データ表[#Headers],0))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0</v>
      </c>
      <c r="R21" s="4">
        <f>IFERROR(ROUND(
(INDEX(生データ表[],MATCH($C21,生データ表['#],0),MATCH(R$5,生データ表[#Headers],0))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0</v>
      </c>
      <c r="S21" s="4">
        <f>IFERROR(ROUND(
(INDEX(生データ表[],MATCH($C21,生データ表['#],0),MATCH(S$5,生データ表[#Headers],0))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48.076923076900002</v>
      </c>
      <c r="T21" s="4">
        <f>IFERROR(ROUND(
(INDEX(生データ表[],MATCH($C21,生データ表['#],0),MATCH(T$5,生データ表[#Headers],0))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12.657071976199999</v>
      </c>
      <c r="U21" s="4">
        <f>IFERROR(ROUND(
(INDEX(生データ表[],MATCH($C21,生データ表['#],0),MATCH(U$5,生データ表[#Headers],0))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7.0762517096000002</v>
      </c>
      <c r="V21" s="4">
        <f>IFERROR(ROUND(
(INDEX(生データ表[],MATCH($C21,生データ表['#],0),MATCH(V$5,生データ表[#Headers],0))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0.75662042880000002</v>
      </c>
      <c r="W21" s="4">
        <f>IFERROR(ROUND(
(INDEX(生データ表[],MATCH($C21,生データ表['#],0),MATCH(W$5,生データ表[#Headers],0))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0.60834039569999998</v>
      </c>
      <c r="X21" s="4">
        <f>IFERROR(ROUND(
(INDEX(生データ表[],MATCH($C21,生データ表['#],0),MATCH(X$5,生データ表[#Headers],0))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27.112591996500001</v>
      </c>
      <c r="Y21" s="4">
        <f>IFERROR(ROUND(
(INDEX(生データ表[],MATCH($C21,生データ表['#],0),MATCH(Y$5,生データ表[#Headers],0))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14.8472631696</v>
      </c>
      <c r="Z21" s="4">
        <f>IFERROR(ROUND(
(INDEX(生データ表[],MATCH($C21,生データ表['#],0),MATCH(Z$5,生データ表[#Headers],0))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0.13980168840000001</v>
      </c>
      <c r="AA21" s="4">
        <f>IFERROR(ROUND(
(INDEX(生データ表[],MATCH($C21,生データ表['#],0),MATCH(AA$5,生データ表[#Headers],0))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21" s="4">
        <f>IFERROR(ROUND(
(INDEX(生データ表[],MATCH($C21,生データ表['#],0),MATCH(AB$5,生データ表[#Headers],0))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4.3971631206000001</v>
      </c>
      <c r="AC21" s="4">
        <f>IFERROR(ROUND(
(INDEX(生データ表[],MATCH($C21,生データ表['#],0),MATCH(AC$5,生データ表[#Headers],0))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0.31545741319999998</v>
      </c>
      <c r="AD21" s="4">
        <f>IFERROR(ROUND(
(INDEX(生データ表[],MATCH($C21,生データ表['#],0),MATCH(AD$5,生データ表[#Headers],0))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20</v>
      </c>
      <c r="AE21" s="4">
        <f>IFERROR(ROUND(
(INDEX(生データ表[],MATCH($C21,生データ表['#],0),MATCH(AE$5,生データ表[#Headers],0))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0</v>
      </c>
      <c r="AF21" s="4">
        <f>IFERROR(ROUND(
(INDEX(生データ表[],MATCH($C21,生データ表['#],0),MATCH(AF$5,生データ表[#Headers],0))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v>
      </c>
      <c r="AG21" s="4">
        <f>IFERROR(ROUND(
(INDEX(生データ表[],MATCH($C21,生データ表['#],0),MATCH(AG$5,生データ表[#Headers],0))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61.8889652907</v>
      </c>
      <c r="AH21" s="4">
        <f>IFERROR(ROUND(
(INDEX(生データ表[],MATCH($C21,生データ表['#],0),MATCH(AH$5,生データ表[#Headers],0))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25</v>
      </c>
      <c r="AI21" s="4">
        <f>IFERROR(ROUND(
(INDEX(生データ表[],MATCH($C21,生データ表['#],0),MATCH(AI$5,生データ表[#Headers],0))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52.274949492700003</v>
      </c>
      <c r="AJ21" s="4">
        <f>IFERROR(ROUND(
(INDEX(生データ表[],MATCH($C21,生データ表['#],0),MATCH(AJ$5,生データ表[#Headers],0))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0</v>
      </c>
      <c r="AK21" s="4">
        <f>IFERROR(ROUND(
(INDEX(生データ表[],MATCH($C21,生データ表['#],0),MATCH(AK$5,生データ表[#Headers],0))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11.301369863</v>
      </c>
      <c r="AL21" s="4">
        <f>IFERROR(ROUND(
(INDEX(生データ表[],MATCH($C21,生データ表['#],0),MATCH(AL$5,生データ表[#Headers],0))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47.368421052599999</v>
      </c>
      <c r="AM21" s="4">
        <f>IFERROR(ROUND(
(INDEX(生データ表[],MATCH($C21,生データ表['#],0),MATCH(AM$5,生データ表[#Headers],0))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6.4438148058999998</v>
      </c>
      <c r="AN21" s="4">
        <f>IFERROR(ROUND(
(INDEX(生データ表[],MATCH($C21,生データ表['#],0),MATCH(AN$5,生データ表[#Headers],0))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28.500581644499999</v>
      </c>
      <c r="AO21" s="4">
        <f>IFERROR(ROUND(
(INDEX(生データ表[],MATCH($C21,生データ表['#],0),MATCH(AO$5,生データ表[#Headers],0))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35.534746296199998</v>
      </c>
      <c r="AP21" s="4">
        <f>IFERROR(ROUND(
(INDEX(生データ表[],MATCH($C21,生データ表['#],0),MATCH(AP$5,生データ表[#Headers],0))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24.737723089999999</v>
      </c>
      <c r="AQ21" s="4">
        <f>IFERROR(ROUND(
(INDEX(生データ表[],MATCH($C21,生データ表['#],0),MATCH(AQ$5,生データ表[#Headers],0))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1.3975708768999999</v>
      </c>
      <c r="AR21" s="4">
        <f>IFERROR(ROUND(
(INDEX(生データ表[],MATCH($C21,生データ表['#],0),MATCH(AR$5,生データ表[#Headers],0))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6.0177013518000004</v>
      </c>
      <c r="AS21" s="4">
        <f>IFERROR(ROUND(
(INDEX(生データ表[],MATCH($C21,生データ表['#],0),MATCH(AS$5,生データ表[#Headers],0))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61.583010405499998</v>
      </c>
      <c r="AT21" s="4">
        <f>IFERROR(ROUND(
(INDEX(生データ表[],MATCH($C21,生データ表['#],0),MATCH(AT$5,生データ表[#Headers],0))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61.212994157200001</v>
      </c>
      <c r="AU21" s="4">
        <f>IFERROR(ROUND(
(INDEX(生データ表[],MATCH($C21,生データ表['#],0),MATCH(AU$5,生データ表[#Headers],0))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0</v>
      </c>
      <c r="AV21" s="4">
        <f>IFERROR(ROUND(
(INDEX(生データ表[],MATCH($C21,生データ表['#],0),MATCH(AV$5,生データ表[#Headers],0))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100</v>
      </c>
      <c r="AW21" s="4">
        <f>IFERROR(ROUND(
(INDEX(生データ表[],MATCH($C21,生データ表['#],0),MATCH(AW$5,生データ表[#Headers],0))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66.384639920400005</v>
      </c>
      <c r="AX21" s="4">
        <f>IFERROR(ROUND(
(INDEX(生データ表[],MATCH($C21,生データ表['#],0),MATCH(AX$5,生データ表[#Headers],0))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97.658092435599997</v>
      </c>
      <c r="AY21" s="4">
        <f>IFERROR(ROUND(
(INDEX(生データ表[],MATCH($C21,生データ表['#],0),MATCH(AY$5,生データ表[#Headers],0))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96.121416526100006</v>
      </c>
      <c r="AZ21" s="4">
        <f>IFERROR(ROUND(
(INDEX(生データ表[],MATCH($C21,生データ表['#],0),MATCH(AZ$5,生データ表[#Headers],0))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32.189878004599997</v>
      </c>
      <c r="BA21" s="4">
        <f>IFERROR(ROUND(
(INDEX(生データ表[],MATCH($C21,生データ表['#],0),MATCH(BA$5,生データ表[#Headers],0))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0</v>
      </c>
      <c r="BB21" s="4">
        <f>IFERROR(ROUND(
(INDEX(生データ表[],MATCH($C21,生データ表['#],0),MATCH(BB$5,生データ表[#Headers],0))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95.957574790600006</v>
      </c>
      <c r="BC21" s="4">
        <f>IFERROR(ROUND(
(INDEX(生データ表[],MATCH($C21,生データ表['#],0),MATCH(BC$5,生データ表[#Headers],0))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1.6291735613</v>
      </c>
      <c r="BD21" s="4">
        <f>IFERROR(ROUND(
(INDEX(生データ表[],MATCH($C21,生データ表['#],0),MATCH(BD$5,生データ表[#Headers],0))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19.092736033600001</v>
      </c>
      <c r="BE21" s="4">
        <f>IFERROR(ROUND(
(INDEX(生データ表[],MATCH($C21,生データ表['#],0),MATCH(BE$5,生データ表[#Headers],0))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57.988638105600003</v>
      </c>
      <c r="BF21" s="4">
        <f>IFERROR(ROUND(
(INDEX(生データ表[],MATCH($C21,生データ表['#],0),MATCH(BF$5,生データ表[#Headers],0))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36.6611570679</v>
      </c>
      <c r="BG21" s="4">
        <f>IFERROR(ROUND(
(INDEX(生データ表[],MATCH($C21,生データ表['#],0),MATCH(BG$5,生データ表[#Headers],0))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0</v>
      </c>
      <c r="BH21" s="4">
        <f>IFERROR(ROUND(
(INDEX(生データ表[],MATCH($C21,生データ表['#],0),MATCH(BH$5,生データ表[#Headers],0))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12.229102167200001</v>
      </c>
      <c r="BI21" s="4">
        <f>IFERROR(ROUND(
(INDEX(生データ表[],MATCH($C21,生データ表['#],0),MATCH(BI$5,生データ表[#Headers],0))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0</v>
      </c>
      <c r="BJ21" s="4">
        <f>IFERROR(ROUND(
(INDEX(生データ表[],MATCH($C21,生データ表['#],0),MATCH(BJ$5,生データ表[#Headers],0))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99.452642237000006</v>
      </c>
      <c r="BK21" s="4">
        <f>IFERROR(ROUND(
(INDEX(生データ表[],MATCH($C21,生データ表['#],0),MATCH(BK$5,生データ表[#Headers],0))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0</v>
      </c>
      <c r="BL21" s="4">
        <f>IFERROR(ROUND(
(INDEX(生データ表[],MATCH($C21,生データ表['#],0),MATCH(BL$5,生データ表[#Headers],0))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75.506118629699998</v>
      </c>
      <c r="BM21" s="4">
        <f>IFERROR(ROUND(
(INDEX(生データ表[],MATCH($C21,生データ表['#],0),MATCH(BM$5,生データ表[#Headers],0))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5.2249637155000004</v>
      </c>
      <c r="BN21" s="4">
        <f>IFERROR(ROUND(
(INDEX(生データ表[],MATCH($C21,生データ表['#],0),MATCH(BN$5,生データ表[#Headers],0))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0</v>
      </c>
      <c r="BO21" s="4">
        <f>IFERROR(ROUND(
(INDEX(生データ表[],MATCH($C21,生データ表['#],0),MATCH(BO$5,生データ表[#Headers],0))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10.253548736500001</v>
      </c>
      <c r="BP21" s="4">
        <f>IFERROR(ROUND(
(INDEX(生データ表[],MATCH($C21,生データ表['#],0),MATCH(BP$5,生データ表[#Headers],0))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35.597826087000001</v>
      </c>
      <c r="BQ21" s="4">
        <f>IFERROR(ROUND(
(INDEX(生データ表[],MATCH($C21,生データ表['#],0),MATCH(BQ$5,生データ表[#Headers],0))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4.5438615204000001</v>
      </c>
      <c r="BR21" s="4">
        <f>IFERROR(ROUND(
(INDEX(生データ表[],MATCH($C21,生データ表['#],0),MATCH(BR$5,生データ表[#Headers],0))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11.1869461635</v>
      </c>
      <c r="BS21" s="4">
        <f>IFERROR(ROUND(
(INDEX(生データ表[],MATCH($C21,生データ表['#],0),MATCH(BS$5,生データ表[#Headers],0))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9.4225456021999996</v>
      </c>
      <c r="BT21" s="4">
        <f>IFERROR(ROUND(
(INDEX(生データ表[],MATCH($C21,生データ表['#],0),MATCH(BT$5,生データ表[#Headers],0))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5.2885720855000002</v>
      </c>
      <c r="BU21" s="4">
        <f>IFERROR(ROUND(
(INDEX(生データ表[],MATCH($C21,生データ表['#],0),MATCH(BU$5,生データ表[#Headers],0))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27.0818735336</v>
      </c>
      <c r="BV21" s="4">
        <f>IFERROR(ROUND(
(INDEX(生データ表[],MATCH($C21,生データ表['#],0),MATCH(BV$5,生データ表[#Headers],0))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61.904761904799997</v>
      </c>
      <c r="BW21" s="4">
        <f>IFERROR(ROUND(
(INDEX(生データ表[],MATCH($C21,生データ表['#],0),MATCH(BW$5,生データ表[#Headers],0))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18.75</v>
      </c>
      <c r="BX21" s="4">
        <f>IFERROR(ROUND(
(INDEX(生データ表[],MATCH($C21,生データ表['#],0),MATCH(BX$5,生データ表[#Headers],0))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35.398706896599997</v>
      </c>
      <c r="BY21" s="4">
        <f>IFERROR(ROUND(
(INDEX(生データ表[],MATCH($C21,生データ表['#],0),MATCH(BY$5,生データ表[#Headers],0))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64.676105305299998</v>
      </c>
      <c r="BZ21" s="4">
        <f t="shared" si="5"/>
        <v>1.06974676865</v>
      </c>
      <c r="CA21" s="4">
        <f t="shared" si="5"/>
        <v>30.584869926499998</v>
      </c>
      <c r="CB21" s="4">
        <f t="shared" si="5"/>
        <v>4.8207080950000002E-2</v>
      </c>
      <c r="CC21" s="4">
        <f t="shared" si="5"/>
        <v>19.516175372900001</v>
      </c>
      <c r="CD21" s="4">
        <f t="shared" si="5"/>
        <v>0</v>
      </c>
      <c r="CE21" s="4">
        <f t="shared" si="5"/>
        <v>30.366997526550001</v>
      </c>
      <c r="CF21" s="4">
        <f t="shared" si="5"/>
        <v>3.9164360692</v>
      </c>
      <c r="CG21" s="4">
        <f t="shared" si="5"/>
        <v>14.189398520600001</v>
      </c>
      <c r="CH21" s="4">
        <f t="shared" si="5"/>
        <v>1.5123216030000002</v>
      </c>
      <c r="CI21" s="4">
        <f t="shared" si="5"/>
        <v>5.0788643533000002</v>
      </c>
      <c r="CJ21" s="4">
        <f t="shared" si="6"/>
        <v>46.38797159446667</v>
      </c>
      <c r="CK21" s="4">
        <f t="shared" si="6"/>
        <v>19.556596971866664</v>
      </c>
      <c r="CL21" s="4">
        <f t="shared" si="6"/>
        <v>23.804216459149998</v>
      </c>
      <c r="CM21" s="4">
        <f t="shared" si="6"/>
        <v>3.7076361143500001</v>
      </c>
      <c r="CN21" s="4">
        <f t="shared" si="6"/>
        <v>40.932001520900002</v>
      </c>
      <c r="CO21" s="4">
        <f t="shared" si="6"/>
        <v>83.192319960199995</v>
      </c>
      <c r="CP21" s="4">
        <f t="shared" si="6"/>
        <v>96.889754480850002</v>
      </c>
      <c r="CQ21" s="4">
        <f t="shared" si="6"/>
        <v>42.715817598400001</v>
      </c>
      <c r="CR21" s="4">
        <f t="shared" si="6"/>
        <v>28.842926192100002</v>
      </c>
      <c r="CS21" s="4">
        <f t="shared" si="6"/>
        <v>4.0763673890666672</v>
      </c>
      <c r="CT21" s="4">
        <f t="shared" si="7"/>
        <v>58.31958695556667</v>
      </c>
      <c r="CU21" s="4">
        <f t="shared" si="7"/>
        <v>5.1595041506666668</v>
      </c>
      <c r="CV21" s="4">
        <f t="shared" si="7"/>
        <v>20.070843803700001</v>
      </c>
      <c r="CW21" s="4">
        <f t="shared" si="7"/>
        <v>10.30474588285</v>
      </c>
      <c r="CX21" s="4">
        <f t="shared" si="7"/>
        <v>31.425069174633332</v>
      </c>
      <c r="CY21" s="4">
        <f t="shared" si="7"/>
        <v>39.608270733966663</v>
      </c>
      <c r="CZ21" s="4">
        <f t="shared" si="8"/>
        <v>81.585996675550007</v>
      </c>
      <c r="DA21" s="4">
        <f t="shared" si="8"/>
        <v>19.618156192800001</v>
      </c>
      <c r="DB21" s="4">
        <f t="shared" si="8"/>
        <v>98.53528549313333</v>
      </c>
      <c r="DC21" s="4">
        <f t="shared" si="8"/>
        <v>292.57281975244996</v>
      </c>
      <c r="DD21" s="4">
        <f t="shared" si="8"/>
        <v>67.555458495300002</v>
      </c>
      <c r="DE21" s="4">
        <f t="shared" si="8"/>
        <v>101.40892959515</v>
      </c>
      <c r="DF21" s="76">
        <f t="shared" si="4"/>
        <v>661.27664620438327</v>
      </c>
    </row>
    <row r="22" spans="1:110" hidden="1">
      <c r="A22" s="2">
        <v>17</v>
      </c>
      <c r="B22" s="58">
        <f>INDEX(順位表[Comprehensive],MATCH($C22,順位表['#],0))</f>
        <v>34</v>
      </c>
      <c r="C22" s="3">
        <v>17</v>
      </c>
      <c r="D22" s="1" t="str">
        <f>INDEX(都市マスタ[City Name],MATCH($C22,都市マスタ['#],0))</f>
        <v>Moscow</v>
      </c>
      <c r="E22" s="4">
        <f>IFERROR(ROUND(
(INDEX(生データ表[],MATCH($C22,生データ表['#],0),MATCH(E$5,生データ表[#Headers],0))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51.885755881199998</v>
      </c>
      <c r="F22" s="4">
        <f>IFERROR(ROUND(
(INDEX(生データ表[],MATCH($C22,生データ表['#],0),MATCH(F$5,生データ表[#Headers],0))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15.2231165726</v>
      </c>
      <c r="G22" s="4">
        <f>IFERROR(ROUND(
(INDEX(生データ表[],MATCH($C22,生データ表['#],0),MATCH(G$5,生データ表[#Headers],0))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0.46528119979999999</v>
      </c>
      <c r="H22" s="4">
        <f>IFERROR(ROUND(
(INDEX(生データ表[],MATCH($C22,生データ表['#],0),MATCH(H$5,生データ表[#Headers],0))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33.515636045800001</v>
      </c>
      <c r="I22" s="4">
        <f>IFERROR(ROUND(
(INDEX(生データ表[],MATCH($C22,生データ表['#],0),MATCH(I$5,生データ表[#Headers],0))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10.108287753300001</v>
      </c>
      <c r="J22" s="4">
        <f>IFERROR(ROUND(
(INDEX(生データ表[],MATCH($C22,生データ表['#],0),MATCH(J$5,生データ表[#Headers],0))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40.753925833099998</v>
      </c>
      <c r="K22" s="4">
        <f>IFERROR(ROUND(
(INDEX(生データ表[],MATCH($C22,生データ表['#],0),MATCH(K$5,生データ表[#Headers],0))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15.571662380199999</v>
      </c>
      <c r="L22" s="4">
        <f>IFERROR(ROUND(
(INDEX(生データ表[],MATCH($C22,生データ表['#],0),MATCH(L$5,生データ表[#Headers],0))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1.3154612856000001</v>
      </c>
      <c r="M22" s="4">
        <f>IFERROR(ROUND(
(INDEX(生データ表[],MATCH($C22,生データ表['#],0),MATCH(M$5,生データ表[#Headers],0))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1.0626828025999999</v>
      </c>
      <c r="N22" s="4">
        <f>IFERROR(ROUND(
(INDEX(生データ表[],MATCH($C22,生データ表['#],0),MATCH(N$5,生データ表[#Headers],0))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51.320495199900002</v>
      </c>
      <c r="O22" s="4">
        <f>IFERROR(ROUND(
(INDEX(生データ表[],MATCH($C22,生データ表['#],0),MATCH(O$5,生データ表[#Headers],0))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22.407652579000001</v>
      </c>
      <c r="P22" s="4">
        <f>IFERROR(ROUND(
(INDEX(生データ表[],MATCH($C22,生データ表['#],0),MATCH(P$5,生データ表[#Headers],0))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16.613121448499999</v>
      </c>
      <c r="Q22" s="4">
        <f>IFERROR(ROUND(
(INDEX(生データ表[],MATCH($C22,生データ表['#],0),MATCH(Q$5,生データ表[#Headers],0))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25.891999244099999</v>
      </c>
      <c r="R22" s="4">
        <f>IFERROR(ROUND(
(INDEX(生データ表[],MATCH($C22,生データ表['#],0),MATCH(R$5,生データ表[#Headers],0))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18.100649359399998</v>
      </c>
      <c r="S22" s="4">
        <f>IFERROR(ROUND(
(INDEX(生データ表[],MATCH($C22,生データ表['#],0),MATCH(S$5,生データ表[#Headers],0))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57.692307692299998</v>
      </c>
      <c r="T22" s="4">
        <f>IFERROR(ROUND(
(INDEX(生データ表[],MATCH($C22,生データ表['#],0),MATCH(T$5,生データ表[#Headers],0))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31.948618563</v>
      </c>
      <c r="U22" s="4">
        <f>IFERROR(ROUND(
(INDEX(生データ表[],MATCH($C22,生データ表['#],0),MATCH(U$5,生データ表[#Headers],0))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38.2059594021</v>
      </c>
      <c r="V22" s="4">
        <f>IFERROR(ROUND(
(INDEX(生データ表[],MATCH($C22,生データ表['#],0),MATCH(V$5,生データ表[#Headers],0))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5.9268600251999999</v>
      </c>
      <c r="W22" s="4">
        <f>IFERROR(ROUND(
(INDEX(生データ表[],MATCH($C22,生データ表['#],0),MATCH(W$5,生データ表[#Headers],0))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3.4121757884999999</v>
      </c>
      <c r="X22" s="4">
        <f>IFERROR(ROUND(
(INDEX(生データ表[],MATCH($C22,生データ表['#],0),MATCH(X$5,生データ表[#Headers],0))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25.6317050215</v>
      </c>
      <c r="Y22" s="4">
        <f>IFERROR(ROUND(
(INDEX(生データ表[],MATCH($C22,生データ表['#],0),MATCH(Y$5,生データ表[#Headers],0))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59.655722908800001</v>
      </c>
      <c r="Z22" s="4">
        <f>IFERROR(ROUND(
(INDEX(生データ表[],MATCH($C22,生データ表['#],0),MATCH(Z$5,生データ表[#Headers],0))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11.369441202499999</v>
      </c>
      <c r="AA22" s="4">
        <f>IFERROR(ROUND(
(INDEX(生データ表[],MATCH($C22,生データ表['#],0),MATCH(AA$5,生データ表[#Headers],0))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2.2801302932</v>
      </c>
      <c r="AB22" s="4">
        <f>IFERROR(ROUND(
(INDEX(生データ表[],MATCH($C22,生データ表['#],0),MATCH(AB$5,生データ表[#Headers],0))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0.92198581560000004</v>
      </c>
      <c r="AC22" s="4">
        <f>IFERROR(ROUND(
(INDEX(生データ表[],MATCH($C22,生データ表['#],0),MATCH(AC$5,生データ表[#Headers],0))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3.7854889589999998</v>
      </c>
      <c r="AD22" s="4">
        <f>IFERROR(ROUND(
(INDEX(生データ表[],MATCH($C22,生データ表['#],0),MATCH(AD$5,生データ表[#Headers],0))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90.505050505100002</v>
      </c>
      <c r="AE22" s="4">
        <f>IFERROR(ROUND(
(INDEX(生データ表[],MATCH($C22,生データ表['#],0),MATCH(AE$5,生データ表[#Headers],0))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3.7113917475</v>
      </c>
      <c r="AF22" s="4">
        <f>IFERROR(ROUND(
(INDEX(生データ表[],MATCH($C22,生データ表['#],0),MATCH(AF$5,生データ表[#Headers],0))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2.2598870056</v>
      </c>
      <c r="AG22" s="4">
        <f>IFERROR(ROUND(
(INDEX(生データ表[],MATCH($C22,生データ表['#],0),MATCH(AG$5,生データ表[#Headers],0))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64.845491693400007</v>
      </c>
      <c r="AH22" s="4">
        <f>IFERROR(ROUND(
(INDEX(生データ表[],MATCH($C22,生データ表['#],0),MATCH(AH$5,生データ表[#Headers],0))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20</v>
      </c>
      <c r="AI22" s="4">
        <f>IFERROR(ROUND(
(INDEX(生データ表[],MATCH($C22,生データ表['#],0),MATCH(AI$5,生データ表[#Headers],0))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34.6945285161</v>
      </c>
      <c r="AJ22" s="4">
        <f>IFERROR(ROUND(
(INDEX(生データ表[],MATCH($C22,生データ表['#],0),MATCH(AJ$5,生データ表[#Headers],0))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91.286307053900003</v>
      </c>
      <c r="AK22" s="4">
        <f>IFERROR(ROUND(
(INDEX(生データ表[],MATCH($C22,生データ表['#],0),MATCH(AK$5,生データ表[#Headers],0))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100</v>
      </c>
      <c r="AL22" s="4">
        <f>IFERROR(ROUND(
(INDEX(生データ表[],MATCH($C22,生データ表['#],0),MATCH(AL$5,生データ表[#Headers],0))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57.894736842100002</v>
      </c>
      <c r="AM22" s="4">
        <f>IFERROR(ROUND(
(INDEX(生データ表[],MATCH($C22,生データ表['#],0),MATCH(AM$5,生データ表[#Headers],0))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26.193633952300001</v>
      </c>
      <c r="AN22" s="4">
        <f>IFERROR(ROUND(
(INDEX(生データ表[],MATCH($C22,生データ表['#],0),MATCH(AN$5,生データ表[#Headers],0))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20.825935223199998</v>
      </c>
      <c r="AO22" s="4">
        <f>IFERROR(ROUND(
(INDEX(生データ表[],MATCH($C22,生データ表['#],0),MATCH(AO$5,生データ表[#Headers],0))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29.302805516700001</v>
      </c>
      <c r="AP22" s="4">
        <f>IFERROR(ROUND(
(INDEX(生データ表[],MATCH($C22,生データ表['#],0),MATCH(AP$5,生データ表[#Headers],0))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25.423529714400001</v>
      </c>
      <c r="AQ22" s="4">
        <f>IFERROR(ROUND(
(INDEX(生データ表[],MATCH($C22,生データ表['#],0),MATCH(AQ$5,生データ表[#Headers],0))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1.4751725332000001</v>
      </c>
      <c r="AR22" s="4">
        <f>IFERROR(ROUND(
(INDEX(生データ表[],MATCH($C22,生データ表['#],0),MATCH(AR$5,生データ表[#Headers],0))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4.7258704195999997</v>
      </c>
      <c r="AS22" s="4">
        <f>IFERROR(ROUND(
(INDEX(生データ表[],MATCH($C22,生データ表['#],0),MATCH(AS$5,生データ表[#Headers],0))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93.784082467399998</v>
      </c>
      <c r="AT22" s="4">
        <f>IFERROR(ROUND(
(INDEX(生データ表[],MATCH($C22,生データ表['#],0),MATCH(AT$5,生データ表[#Headers],0))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100</v>
      </c>
      <c r="AU22" s="4">
        <f>IFERROR(ROUND(
(INDEX(生データ表[],MATCH($C22,生データ表['#],0),MATCH(AU$5,生データ表[#Headers],0))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93.001642036099994</v>
      </c>
      <c r="AV22" s="4">
        <f>IFERROR(ROUND(
(INDEX(生データ表[],MATCH($C22,生データ表['#],0),MATCH(AV$5,生データ表[#Headers],0))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84.097813538599993</v>
      </c>
      <c r="AW22" s="4">
        <f>IFERROR(ROUND(
(INDEX(生データ表[],MATCH($C22,生データ表['#],0),MATCH(AW$5,生データ表[#Headers],0))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66.262003485999998</v>
      </c>
      <c r="AX22" s="4">
        <f>IFERROR(ROUND(
(INDEX(生データ表[],MATCH($C22,生データ表['#],0),MATCH(AX$5,生データ表[#Headers],0))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86.954635192799998</v>
      </c>
      <c r="AY22" s="4">
        <f>IFERROR(ROUND(
(INDEX(生データ表[],MATCH($C22,生データ表['#],0),MATCH(AY$5,生データ表[#Headers],0))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99.494097807800003</v>
      </c>
      <c r="AZ22" s="4">
        <f>IFERROR(ROUND(
(INDEX(生データ表[],MATCH($C22,生データ表['#],0),MATCH(AZ$5,生データ表[#Headers],0))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39.1230824979</v>
      </c>
      <c r="BA22" s="4">
        <f>IFERROR(ROUND(
(INDEX(生データ表[],MATCH($C22,生データ表['#],0),MATCH(BA$5,生データ表[#Headers],0))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8.6000783035000001</v>
      </c>
      <c r="BB22" s="4">
        <f>IFERROR(ROUND(
(INDEX(生データ表[],MATCH($C22,生データ表['#],0),MATCH(BB$5,生データ表[#Headers],0))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26.9454191614</v>
      </c>
      <c r="BC22" s="4">
        <f>IFERROR(ROUND(
(INDEX(生データ表[],MATCH($C22,生データ表['#],0),MATCH(BC$5,生データ表[#Headers],0))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48.625150154400004</v>
      </c>
      <c r="BD22" s="4">
        <f>IFERROR(ROUND(
(INDEX(生データ表[],MATCH($C22,生データ表['#],0),MATCH(BD$5,生データ表[#Headers],0))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38.8345280801</v>
      </c>
      <c r="BE22" s="4">
        <f>IFERROR(ROUND(
(INDEX(生データ表[],MATCH($C22,生データ表['#],0),MATCH(BE$5,生データ表[#Headers],0))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73.431972248899996</v>
      </c>
      <c r="BF22" s="4">
        <f>IFERROR(ROUND(
(INDEX(生データ表[],MATCH($C22,生データ表['#],0),MATCH(BF$5,生データ表[#Headers],0))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12.3262673072</v>
      </c>
      <c r="BG22" s="4">
        <f>IFERROR(ROUND(
(INDEX(生データ表[],MATCH($C22,生データ表['#],0),MATCH(BG$5,生データ表[#Headers],0))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51.253596383100003</v>
      </c>
      <c r="BH22" s="4">
        <f>IFERROR(ROUND(
(INDEX(生データ表[],MATCH($C22,生データ表['#],0),MATCH(BH$5,生データ表[#Headers],0))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4.4449358691</v>
      </c>
      <c r="BI22" s="4">
        <f>IFERROR(ROUND(
(INDEX(生データ表[],MATCH($C22,生データ表['#],0),MATCH(BI$5,生データ表[#Headers],0))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15.808672577399999</v>
      </c>
      <c r="BJ22" s="4">
        <f>IFERROR(ROUND(
(INDEX(生データ表[],MATCH($C22,生データ表['#],0),MATCH(BJ$5,生データ表[#Headers],0))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47.368620382800003</v>
      </c>
      <c r="BK22" s="4">
        <f>IFERROR(ROUND(
(INDEX(生データ表[],MATCH($C22,生データ表['#],0),MATCH(BK$5,生データ表[#Headers],0))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82.618510158000007</v>
      </c>
      <c r="BL22" s="4">
        <f>IFERROR(ROUND(
(INDEX(生データ表[],MATCH($C22,生データ表['#],0),MATCH(BL$5,生データ表[#Headers],0))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34.683587090300001</v>
      </c>
      <c r="BM22" s="4">
        <f>IFERROR(ROUND(
(INDEX(生データ表[],MATCH($C22,生データ表['#],0),MATCH(BM$5,生データ表[#Headers],0))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42.235123367200003</v>
      </c>
      <c r="BN22" s="4">
        <f>IFERROR(ROUND(
(INDEX(生データ表[],MATCH($C22,生データ表['#],0),MATCH(BN$5,生データ表[#Headers],0))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93.165644830700003</v>
      </c>
      <c r="BO22" s="4">
        <f>IFERROR(ROUND(
(INDEX(生データ表[],MATCH($C22,生データ表['#],0),MATCH(BO$5,生データ表[#Headers],0))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56.9917343694</v>
      </c>
      <c r="BP22" s="4">
        <f>IFERROR(ROUND(
(INDEX(生データ表[],MATCH($C22,生データ表['#],0),MATCH(BP$5,生データ表[#Headers],0))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27.445652173900001</v>
      </c>
      <c r="BQ22" s="4">
        <f>IFERROR(ROUND(
(INDEX(生データ表[],MATCH($C22,生データ表['#],0),MATCH(BQ$5,生データ表[#Headers],0))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1.9208378186999999</v>
      </c>
      <c r="BR22" s="4">
        <f>IFERROR(ROUND(
(INDEX(生データ表[],MATCH($C22,生データ表['#],0),MATCH(BR$5,生データ表[#Headers],0))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47.0398620713</v>
      </c>
      <c r="BS22" s="4">
        <f>IFERROR(ROUND(
(INDEX(生データ表[],MATCH($C22,生データ表['#],0),MATCH(BS$5,生データ表[#Headers],0))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31.801343014899999</v>
      </c>
      <c r="BT22" s="4">
        <f>IFERROR(ROUND(
(INDEX(生データ表[],MATCH($C22,生データ表['#],0),MATCH(BT$5,生データ表[#Headers],0))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45.412738560599998</v>
      </c>
      <c r="BU22" s="4">
        <f>IFERROR(ROUND(
(INDEX(生データ表[],MATCH($C22,生データ表['#],0),MATCH(BU$5,生データ表[#Headers],0))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67.440959965600001</v>
      </c>
      <c r="BV22" s="4">
        <f>IFERROR(ROUND(
(INDEX(生データ表[],MATCH($C22,生データ表['#],0),MATCH(BV$5,生データ表[#Headers],0))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4.7700000000999996</v>
      </c>
      <c r="BW22" s="4">
        <f>IFERROR(ROUND(
(INDEX(生データ表[],MATCH($C22,生データ表['#],0),MATCH(BW$5,生データ表[#Headers],0))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12.7650176678</v>
      </c>
      <c r="BX22" s="4">
        <f>IFERROR(ROUND(
(INDEX(生データ表[],MATCH($C22,生データ表['#],0),MATCH(BX$5,生データ表[#Headers],0))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17.387062339300002</v>
      </c>
      <c r="BY22" s="4">
        <f>IFERROR(ROUND(
(INDEX(生データ表[],MATCH($C22,生データ表['#],0),MATCH(BY$5,生データ表[#Headers],0))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36.0800589109</v>
      </c>
      <c r="BZ22" s="4">
        <f t="shared" si="5"/>
        <v>21.811961899549999</v>
      </c>
      <c r="CA22" s="4">
        <f t="shared" si="5"/>
        <v>28.162794106649997</v>
      </c>
      <c r="CB22" s="4">
        <f t="shared" si="5"/>
        <v>1.1890720441</v>
      </c>
      <c r="CC22" s="4">
        <f t="shared" si="5"/>
        <v>36.864073889449998</v>
      </c>
      <c r="CD22" s="4">
        <f t="shared" si="5"/>
        <v>20.201923350666664</v>
      </c>
      <c r="CE22" s="4">
        <f t="shared" si="5"/>
        <v>44.820463127650001</v>
      </c>
      <c r="CF22" s="4">
        <f t="shared" si="5"/>
        <v>22.06640971365</v>
      </c>
      <c r="CG22" s="4">
        <f t="shared" si="5"/>
        <v>29.566534572933335</v>
      </c>
      <c r="CH22" s="4">
        <f t="shared" si="5"/>
        <v>4.8571857704333326</v>
      </c>
      <c r="CI22" s="4">
        <f t="shared" si="5"/>
        <v>25.065454554300004</v>
      </c>
      <c r="CJ22" s="4">
        <f t="shared" si="6"/>
        <v>39.846673403166669</v>
      </c>
      <c r="CK22" s="4">
        <f t="shared" si="6"/>
        <v>83.060347965333335</v>
      </c>
      <c r="CL22" s="4">
        <f t="shared" si="6"/>
        <v>25.436476101650001</v>
      </c>
      <c r="CM22" s="4">
        <f t="shared" si="6"/>
        <v>3.1005214764</v>
      </c>
      <c r="CN22" s="4">
        <f t="shared" si="6"/>
        <v>95.595241501166655</v>
      </c>
      <c r="CO22" s="4">
        <f t="shared" si="6"/>
        <v>75.179908512299988</v>
      </c>
      <c r="CP22" s="4">
        <f t="shared" si="6"/>
        <v>93.224366500299993</v>
      </c>
      <c r="CQ22" s="4">
        <f t="shared" si="6"/>
        <v>24.889526654266664</v>
      </c>
      <c r="CR22" s="4">
        <f t="shared" si="6"/>
        <v>43.304479447649996</v>
      </c>
      <c r="CS22" s="4">
        <f t="shared" si="6"/>
        <v>23.835734943199999</v>
      </c>
      <c r="CT22" s="4">
        <f t="shared" si="7"/>
        <v>54.890239210366673</v>
      </c>
      <c r="CU22" s="4">
        <f t="shared" si="7"/>
        <v>64.1308341891</v>
      </c>
      <c r="CV22" s="4">
        <f t="shared" si="7"/>
        <v>14.683244996300001</v>
      </c>
      <c r="CW22" s="4">
        <f t="shared" si="7"/>
        <v>39.420602543100003</v>
      </c>
      <c r="CX22" s="4">
        <f t="shared" si="7"/>
        <v>39.207899508766666</v>
      </c>
      <c r="CY22" s="4">
        <f t="shared" si="7"/>
        <v>22.077379639333333</v>
      </c>
      <c r="CZ22" s="4">
        <f t="shared" si="8"/>
        <v>153.05028841806666</v>
      </c>
      <c r="DA22" s="4">
        <f t="shared" si="8"/>
        <v>56.490130057016671</v>
      </c>
      <c r="DB22" s="4">
        <f t="shared" si="8"/>
        <v>176.50947350084999</v>
      </c>
      <c r="DC22" s="4">
        <f t="shared" si="8"/>
        <v>332.19352261568332</v>
      </c>
      <c r="DD22" s="4">
        <f t="shared" si="8"/>
        <v>142.85680834266668</v>
      </c>
      <c r="DE22" s="4">
        <f t="shared" si="8"/>
        <v>115.3891266875</v>
      </c>
      <c r="DF22" s="76">
        <f t="shared" si="4"/>
        <v>976.48934962178328</v>
      </c>
    </row>
    <row r="23" spans="1:110" hidden="1">
      <c r="A23" s="2">
        <v>18</v>
      </c>
      <c r="B23" s="58">
        <f>INDEX(順位表[Comprehensive],MATCH($C23,順位表['#],0))</f>
        <v>48</v>
      </c>
      <c r="C23" s="3">
        <v>18</v>
      </c>
      <c r="D23" s="1" t="str">
        <f>INDEX(都市マスタ[City Name],MATCH($C23,都市マスタ['#],0))</f>
        <v>Mumbai</v>
      </c>
      <c r="E23" s="4">
        <f>IFERROR(ROUND(
(INDEX(生データ表[],MATCH($C23,生データ表['#],0),MATCH(E$5,生データ表[#Headers],0))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56.293623424499998</v>
      </c>
      <c r="F23" s="4">
        <f>IFERROR(ROUND(
(INDEX(生データ表[],MATCH($C23,生データ表['#],0),MATCH(F$5,生データ表[#Headers],0))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3.5820641057999998</v>
      </c>
      <c r="G23" s="4">
        <f>IFERROR(ROUND(
(INDEX(生データ表[],MATCH($C23,生データ表['#],0),MATCH(G$5,生データ表[#Headers],0))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0.52388837929999998</v>
      </c>
      <c r="H23" s="4">
        <f>IFERROR(ROUND(
(INDEX(生データ表[],MATCH($C23,生データ表['#],0),MATCH(H$5,生データ表[#Headers],0))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0.86516464400000004</v>
      </c>
      <c r="I23" s="4">
        <f>IFERROR(ROUND(
(INDEX(生データ表[],MATCH($C23,生データ表['#],0),MATCH(I$5,生データ表[#Headers],0))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0</v>
      </c>
      <c r="J23" s="4">
        <f>IFERROR(ROUND(
(INDEX(生データ表[],MATCH($C23,生データ表['#],0),MATCH(J$5,生データ表[#Headers],0))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32.532353945099999</v>
      </c>
      <c r="K23" s="4">
        <f>IFERROR(ROUND(
(INDEX(生データ表[],MATCH($C23,生データ表['#],0),MATCH(K$5,生データ表[#Headers],0))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13.0231470657</v>
      </c>
      <c r="L23" s="4">
        <f>IFERROR(ROUND(
(INDEX(生データ表[],MATCH($C23,生データ表['#],0),MATCH(L$5,生データ表[#Headers],0))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8.4057976183999994</v>
      </c>
      <c r="M23" s="4">
        <f>IFERROR(ROUND(
(INDEX(生データ表[],MATCH($C23,生データ表['#],0),MATCH(M$5,生データ表[#Headers],0))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7.0326593589000002</v>
      </c>
      <c r="N23" s="4">
        <f>IFERROR(ROUND(
(INDEX(生データ表[],MATCH($C23,生データ表['#],0),MATCH(N$5,生データ表[#Headers],0))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40.497253320699997</v>
      </c>
      <c r="O23" s="4">
        <f>IFERROR(ROUND(
(INDEX(生データ表[],MATCH($C23,生データ表['#],0),MATCH(O$5,生データ表[#Headers],0))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0</v>
      </c>
      <c r="P23" s="4">
        <f>IFERROR(ROUND(
(INDEX(生データ表[],MATCH($C23,生データ表['#],0),MATCH(P$5,生データ表[#Headers],0))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8.1165525533</v>
      </c>
      <c r="Q23" s="4">
        <f>IFERROR(ROUND(
(INDEX(生データ表[],MATCH($C23,生データ表['#],0),MATCH(Q$5,生データ表[#Headers],0))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10.985178137</v>
      </c>
      <c r="R23" s="4">
        <f>IFERROR(ROUND(
(INDEX(生データ表[],MATCH($C23,生データ表['#],0),MATCH(R$5,生データ表[#Headers],0))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15.4428354401</v>
      </c>
      <c r="S23" s="4">
        <f>IFERROR(ROUND(
(INDEX(生データ表[],MATCH($C23,生データ表['#],0),MATCH(S$5,生データ表[#Headers],0))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1.5512820513000001</v>
      </c>
      <c r="T23" s="4">
        <f>IFERROR(ROUND(
(INDEX(生データ表[],MATCH($C23,生データ表['#],0),MATCH(T$5,生データ表[#Headers],0))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53.196569158800003</v>
      </c>
      <c r="U23" s="4">
        <f>IFERROR(ROUND(
(INDEX(生データ表[],MATCH($C23,生データ表['#],0),MATCH(U$5,生データ表[#Headers],0))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2.1220787575000002</v>
      </c>
      <c r="V23" s="4">
        <f>IFERROR(ROUND(
(INDEX(生データ表[],MATCH($C23,生データ表['#],0),MATCH(V$5,生データ表[#Headers],0))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0.12610340480000001</v>
      </c>
      <c r="W23" s="4">
        <f>IFERROR(ROUND(
(INDEX(生データ表[],MATCH($C23,生データ表['#],0),MATCH(W$5,生データ表[#Headers],0))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0.1719413041</v>
      </c>
      <c r="X23" s="4">
        <f>IFERROR(ROUND(
(INDEX(生データ表[],MATCH($C23,生データ表['#],0),MATCH(X$5,生データ表[#Headers],0))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0</v>
      </c>
      <c r="Y23" s="4">
        <f>IFERROR(ROUND(
(INDEX(生データ表[],MATCH($C23,生データ表['#],0),MATCH(Y$5,生データ表[#Headers],0))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3.9180557954999999</v>
      </c>
      <c r="Z23" s="4">
        <f>IFERROR(ROUND(
(INDEX(生データ表[],MATCH($C23,生データ表['#],0),MATCH(Z$5,生データ表[#Headers],0))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0.44339412750000001</v>
      </c>
      <c r="AA23" s="4">
        <f>IFERROR(ROUND(
(INDEX(生データ表[],MATCH($C23,生データ表['#],0),MATCH(AA$5,生データ表[#Headers],0))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23" s="4">
        <f>IFERROR(ROUND(
(INDEX(生データ表[],MATCH($C23,生データ表['#],0),MATCH(AB$5,生データ表[#Headers],0))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14.6453900709</v>
      </c>
      <c r="AC23" s="4">
        <f>IFERROR(ROUND(
(INDEX(生データ表[],MATCH($C23,生データ表['#],0),MATCH(AC$5,生データ表[#Headers],0))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1.8927444794999999</v>
      </c>
      <c r="AD23" s="4">
        <f>IFERROR(ROUND(
(INDEX(生データ表[],MATCH($C23,生データ表['#],0),MATCH(AD$5,生データ表[#Headers],0))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41.818181818200003</v>
      </c>
      <c r="AE23" s="4">
        <f>IFERROR(ROUND(
(INDEX(生データ表[],MATCH($C23,生データ表['#],0),MATCH(AE$5,生データ表[#Headers],0))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0.38279352449999998</v>
      </c>
      <c r="AF23" s="4">
        <f>IFERROR(ROUND(
(INDEX(生データ表[],MATCH($C23,生データ表['#],0),MATCH(AF$5,生データ表[#Headers],0))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0.173837462</v>
      </c>
      <c r="AG23" s="4">
        <f>IFERROR(ROUND(
(INDEX(生データ表[],MATCH($C23,生データ表['#],0),MATCH(AG$5,生データ表[#Headers],0))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40.748016545399999</v>
      </c>
      <c r="AH23" s="4">
        <f>IFERROR(ROUND(
(INDEX(生データ表[],MATCH($C23,生データ表['#],0),MATCH(AH$5,生データ表[#Headers],0))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15</v>
      </c>
      <c r="AI23" s="4">
        <f>IFERROR(ROUND(
(INDEX(生データ表[],MATCH($C23,生データ表['#],0),MATCH(AI$5,生データ表[#Headers],0))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47.0983506205</v>
      </c>
      <c r="AJ23" s="4">
        <f>IFERROR(ROUND(
(INDEX(生データ表[],MATCH($C23,生データ表['#],0),MATCH(AJ$5,生データ表[#Headers],0))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2.2821576763000002</v>
      </c>
      <c r="AK23" s="4">
        <f>IFERROR(ROUND(
(INDEX(生データ表[],MATCH($C23,生データ表['#],0),MATCH(AK$5,生データ表[#Headers],0))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3.0821917808000001</v>
      </c>
      <c r="AL23" s="4">
        <f>IFERROR(ROUND(
(INDEX(生データ表[],MATCH($C23,生データ表['#],0),MATCH(AL$5,生データ表[#Headers],0))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23" s="4">
        <f>IFERROR(ROUND(
(INDEX(生データ表[],MATCH($C23,生データ表['#],0),MATCH(AM$5,生データ表[#Headers],0))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2.0189293465000002</v>
      </c>
      <c r="AN23" s="4">
        <f>IFERROR(ROUND(
(INDEX(生データ表[],MATCH($C23,生データ表['#],0),MATCH(AN$5,生データ表[#Headers],0))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8.4767036061999992</v>
      </c>
      <c r="AO23" s="4">
        <f>IFERROR(ROUND(
(INDEX(生データ表[],MATCH($C23,生データ表['#],0),MATCH(AO$5,生データ表[#Headers],0))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41.847434413899997</v>
      </c>
      <c r="AP23" s="4">
        <f>IFERROR(ROUND(
(INDEX(生データ表[],MATCH($C23,生データ表['#],0),MATCH(AP$5,生データ表[#Headers],0))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33.5916534411</v>
      </c>
      <c r="AQ23" s="4">
        <f>IFERROR(ROUND(
(INDEX(生データ表[],MATCH($C23,生データ表['#],0),MATCH(AQ$5,生データ表[#Headers],0))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2.1303443543</v>
      </c>
      <c r="AR23" s="4">
        <f>IFERROR(ROUND(
(INDEX(生データ表[],MATCH($C23,生データ表['#],0),MATCH(AR$5,生データ表[#Headers],0))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0</v>
      </c>
      <c r="AS23" s="4">
        <f>IFERROR(ROUND(
(INDEX(生データ表[],MATCH($C23,生データ表['#],0),MATCH(AS$5,生データ表[#Headers],0))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80.439494045299995</v>
      </c>
      <c r="AT23" s="4">
        <f>IFERROR(ROUND(
(INDEX(生データ表[],MATCH($C23,生データ表['#],0),MATCH(AT$5,生データ表[#Headers],0))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12.4002977286</v>
      </c>
      <c r="AU23" s="4">
        <f>IFERROR(ROUND(
(INDEX(生データ表[],MATCH($C23,生データ表['#],0),MATCH(AU$5,生データ表[#Headers],0))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85.549092923399996</v>
      </c>
      <c r="AV23" s="4">
        <f>IFERROR(ROUND(
(INDEX(生データ表[],MATCH($C23,生データ表['#],0),MATCH(AV$5,生データ表[#Headers],0))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88.056270069700005</v>
      </c>
      <c r="AW23" s="4">
        <f>IFERROR(ROUND(
(INDEX(生データ表[],MATCH($C23,生データ表['#],0),MATCH(AW$5,生データ表[#Headers],0))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100</v>
      </c>
      <c r="AX23" s="4">
        <f>IFERROR(ROUND(
(INDEX(生データ表[],MATCH($C23,生データ表['#],0),MATCH(AX$5,生データ表[#Headers],0))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97.640228969199995</v>
      </c>
      <c r="AY23" s="4">
        <f>IFERROR(ROUND(
(INDEX(生データ表[],MATCH($C23,生データ表['#],0),MATCH(AY$5,生データ表[#Headers],0))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97.301854974700007</v>
      </c>
      <c r="AZ23" s="4">
        <f>IFERROR(ROUND(
(INDEX(生データ表[],MATCH($C23,生データ表['#],0),MATCH(AZ$5,生データ表[#Headers],0))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27.237589080799999</v>
      </c>
      <c r="BA23" s="4">
        <f>IFERROR(ROUND(
(INDEX(生データ表[],MATCH($C23,生データ表['#],0),MATCH(BA$5,生データ表[#Headers],0))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22.2530005564</v>
      </c>
      <c r="BB23" s="4">
        <f>IFERROR(ROUND(
(INDEX(生データ表[],MATCH($C23,生データ表['#],0),MATCH(BB$5,生データ表[#Headers],0))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0</v>
      </c>
      <c r="BC23" s="4">
        <f>IFERROR(ROUND(
(INDEX(生データ表[],MATCH($C23,生データ表['#],0),MATCH(BC$5,生データ表[#Headers],0))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2.3079906016999998</v>
      </c>
      <c r="BD23" s="4">
        <f>IFERROR(ROUND(
(INDEX(生データ表[],MATCH($C23,生データ表['#],0),MATCH(BD$5,生データ表[#Headers],0))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0</v>
      </c>
      <c r="BE23" s="4">
        <f>IFERROR(ROUND(
(INDEX(生データ表[],MATCH($C23,生データ表['#],0),MATCH(BE$5,生データ表[#Headers],0))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58.936047017500002</v>
      </c>
      <c r="BF23" s="4">
        <f>IFERROR(ROUND(
(INDEX(生データ表[],MATCH($C23,生データ表['#],0),MATCH(BF$5,生データ表[#Headers],0))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24.6002834648</v>
      </c>
      <c r="BG23" s="4">
        <f>IFERROR(ROUND(
(INDEX(生データ表[],MATCH($C23,生データ表['#],0),MATCH(BG$5,生データ表[#Headers],0))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42.383623032800003</v>
      </c>
      <c r="BH23" s="4">
        <f>IFERROR(ROUND(
(INDEX(生データ表[],MATCH($C23,生データ表['#],0),MATCH(BH$5,生データ表[#Headers],0))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54.666076957100003</v>
      </c>
      <c r="BI23" s="4">
        <f>IFERROR(ROUND(
(INDEX(生データ表[],MATCH($C23,生データ表['#],0),MATCH(BI$5,生データ表[#Headers],0))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25.5780909472</v>
      </c>
      <c r="BJ23" s="4">
        <f>IFERROR(ROUND(
(INDEX(生データ表[],MATCH($C23,生データ表['#],0),MATCH(BJ$5,生データ表[#Headers],0))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100</v>
      </c>
      <c r="BK23" s="4">
        <f>IFERROR(ROUND(
(INDEX(生データ表[],MATCH($C23,生データ表['#],0),MATCH(BK$5,生データ表[#Headers],0))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1.5801354402000001</v>
      </c>
      <c r="BL23" s="4">
        <f>IFERROR(ROUND(
(INDEX(生データ表[],MATCH($C23,生データ表['#],0),MATCH(BL$5,生データ表[#Headers],0))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22.825318697699998</v>
      </c>
      <c r="BM23" s="4">
        <f>IFERROR(ROUND(
(INDEX(生データ表[],MATCH($C23,生データ表['#],0),MATCH(BM$5,生データ表[#Headers],0))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2.9027576197</v>
      </c>
      <c r="BN23" s="4">
        <f>IFERROR(ROUND(
(INDEX(生データ表[],MATCH($C23,生データ表['#],0),MATCH(BN$5,生データ表[#Headers],0))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28.346189751099999</v>
      </c>
      <c r="BO23" s="4">
        <f>IFERROR(ROUND(
(INDEX(生データ表[],MATCH($C23,生データ表['#],0),MATCH(BO$5,生データ表[#Headers],0))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0</v>
      </c>
      <c r="BP23" s="4">
        <f>IFERROR(ROUND(
(INDEX(生データ表[],MATCH($C23,生データ表['#],0),MATCH(BP$5,生データ表[#Headers],0))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11.413043478300001</v>
      </c>
      <c r="BQ23" s="4">
        <f>IFERROR(ROUND(
(INDEX(生データ表[],MATCH($C23,生データ表['#],0),MATCH(BQ$5,生データ表[#Headers],0))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7.7583146489999999</v>
      </c>
      <c r="BR23" s="4">
        <f>IFERROR(ROUND(
(INDEX(生データ表[],MATCH($C23,生データ表['#],0),MATCH(BR$5,生データ表[#Headers],0))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25.462145211399999</v>
      </c>
      <c r="BS23" s="4">
        <f>IFERROR(ROUND(
(INDEX(生データ表[],MATCH($C23,生データ表['#],0),MATCH(BS$5,生データ表[#Headers],0))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21.1176971487</v>
      </c>
      <c r="BT23" s="4">
        <f>IFERROR(ROUND(
(INDEX(生データ表[],MATCH($C23,生データ表['#],0),MATCH(BT$5,生データ表[#Headers],0))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3.3340997931</v>
      </c>
      <c r="BU23" s="4">
        <f>IFERROR(ROUND(
(INDEX(生データ表[],MATCH($C23,生データ表['#],0),MATCH(BU$5,生データ表[#Headers],0))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43.8764654286</v>
      </c>
      <c r="BV23" s="4">
        <f>IFERROR(ROUND(
(INDEX(生データ表[],MATCH($C23,生データ表['#],0),MATCH(BV$5,生データ表[#Headers],0))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35.714285714299997</v>
      </c>
      <c r="BW23" s="4">
        <f>IFERROR(ROUND(
(INDEX(生データ表[],MATCH($C23,生データ表['#],0),MATCH(BW$5,生データ表[#Headers],0))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0</v>
      </c>
      <c r="BX23" s="4">
        <f>IFERROR(ROUND(
(INDEX(生データ表[],MATCH($C23,生データ表['#],0),MATCH(BX$5,生データ表[#Headers],0))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36.073852837399997</v>
      </c>
      <c r="BY23" s="4">
        <f>IFERROR(ROUND(
(INDEX(生データ表[],MATCH($C23,生データ表['#],0),MATCH(BY$5,生データ表[#Headers],0))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61.031237227799998</v>
      </c>
      <c r="BZ23" s="4">
        <f t="shared" si="5"/>
        <v>0.43258232200000002</v>
      </c>
      <c r="CA23" s="4">
        <f t="shared" si="5"/>
        <v>22.7777505054</v>
      </c>
      <c r="CB23" s="4">
        <f t="shared" si="5"/>
        <v>7.7192284886499998</v>
      </c>
      <c r="CC23" s="4">
        <f t="shared" si="5"/>
        <v>20.248626660349998</v>
      </c>
      <c r="CD23" s="4">
        <f t="shared" si="5"/>
        <v>11.5148553768</v>
      </c>
      <c r="CE23" s="4">
        <f t="shared" si="5"/>
        <v>27.373925605050001</v>
      </c>
      <c r="CF23" s="4">
        <f t="shared" si="5"/>
        <v>1.12409108115</v>
      </c>
      <c r="CG23" s="4">
        <f t="shared" si="5"/>
        <v>1.3633323665333332</v>
      </c>
      <c r="CH23" s="4">
        <f t="shared" si="5"/>
        <v>5.0295947327999997</v>
      </c>
      <c r="CI23" s="4">
        <f t="shared" si="5"/>
        <v>11.066889321050002</v>
      </c>
      <c r="CJ23" s="4">
        <f t="shared" si="6"/>
        <v>34.282122388633333</v>
      </c>
      <c r="CK23" s="4">
        <f t="shared" si="6"/>
        <v>5.296888415533334</v>
      </c>
      <c r="CL23" s="4">
        <f t="shared" si="6"/>
        <v>21.483680201924997</v>
      </c>
      <c r="CM23" s="4">
        <f t="shared" si="6"/>
        <v>1.06517217715</v>
      </c>
      <c r="CN23" s="4">
        <f t="shared" si="6"/>
        <v>59.462961565766669</v>
      </c>
      <c r="CO23" s="4">
        <f t="shared" si="6"/>
        <v>94.02813503485001</v>
      </c>
      <c r="CP23" s="4">
        <f t="shared" si="6"/>
        <v>97.471041971950001</v>
      </c>
      <c r="CQ23" s="4">
        <f t="shared" si="6"/>
        <v>16.496863212400001</v>
      </c>
      <c r="CR23" s="4">
        <f t="shared" si="6"/>
        <v>21.461080271</v>
      </c>
      <c r="CS23" s="4">
        <f t="shared" si="6"/>
        <v>40.87593031236667</v>
      </c>
      <c r="CT23" s="4">
        <f t="shared" si="7"/>
        <v>41.468484712633334</v>
      </c>
      <c r="CU23" s="4">
        <f t="shared" si="7"/>
        <v>10.416315790266667</v>
      </c>
      <c r="CV23" s="4">
        <f t="shared" si="7"/>
        <v>9.5856790636499998</v>
      </c>
      <c r="CW23" s="4">
        <f t="shared" si="7"/>
        <v>23.289921180050001</v>
      </c>
      <c r="CX23" s="4">
        <f t="shared" si="7"/>
        <v>27.641616978666665</v>
      </c>
      <c r="CY23" s="4">
        <f t="shared" si="7"/>
        <v>32.368363355066663</v>
      </c>
      <c r="CZ23" s="4">
        <f t="shared" si="8"/>
        <v>90.066968958250001</v>
      </c>
      <c r="DA23" s="4">
        <f t="shared" si="8"/>
        <v>7.5170181804833334</v>
      </c>
      <c r="DB23" s="4">
        <f t="shared" si="8"/>
        <v>73.194752504291671</v>
      </c>
      <c r="DC23" s="4">
        <f t="shared" si="8"/>
        <v>288.9200820559667</v>
      </c>
      <c r="DD23" s="4">
        <f t="shared" si="8"/>
        <v>92.760730815266669</v>
      </c>
      <c r="DE23" s="4">
        <f t="shared" si="8"/>
        <v>92.885580577433331</v>
      </c>
      <c r="DF23" s="76">
        <f t="shared" si="4"/>
        <v>645.34513309169165</v>
      </c>
    </row>
    <row r="24" spans="1:110" hidden="1">
      <c r="A24" s="2">
        <v>19</v>
      </c>
      <c r="B24" s="58">
        <f>INDEX(順位表[Comprehensive],MATCH($C24,順位表['#],0))</f>
        <v>38</v>
      </c>
      <c r="C24" s="3">
        <v>19</v>
      </c>
      <c r="D24" s="1" t="str">
        <f>INDEX(都市マスタ[City Name],MATCH($C24,都市マスタ['#],0))</f>
        <v>Bangkok</v>
      </c>
      <c r="E24" s="4">
        <f>IFERROR(ROUND(
(INDEX(生データ表[],MATCH($C24,生データ表['#],0),MATCH(E$5,生データ表[#Headers],0))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34.912887721200001</v>
      </c>
      <c r="F24" s="4">
        <f>IFERROR(ROUND(
(INDEX(生データ表[],MATCH($C24,生データ表['#],0),MATCH(F$5,生データ表[#Headers],0))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9.4741998950999999</v>
      </c>
      <c r="G24" s="4">
        <f>IFERROR(ROUND(
(INDEX(生データ表[],MATCH($C24,生データ表['#],0),MATCH(G$5,生データ表[#Headers],0))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0.2305561455</v>
      </c>
      <c r="H24" s="4">
        <f>IFERROR(ROUND(
(INDEX(生データ表[],MATCH($C24,生データ表['#],0),MATCH(H$5,生データ表[#Headers],0))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16.6142314746</v>
      </c>
      <c r="I24" s="4">
        <f>IFERROR(ROUND(
(INDEX(生データ表[],MATCH($C24,生データ表['#],0),MATCH(I$5,生データ表[#Headers],0))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7.5055054295000003</v>
      </c>
      <c r="J24" s="4">
        <f>IFERROR(ROUND(
(INDEX(生データ表[],MATCH($C24,生データ表['#],0),MATCH(J$5,生データ表[#Headers],0))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27.048936778800002</v>
      </c>
      <c r="K24" s="4">
        <f>IFERROR(ROUND(
(INDEX(生データ表[],MATCH($C24,生データ表['#],0),MATCH(K$5,生データ表[#Headers],0))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34.510170680400002</v>
      </c>
      <c r="L24" s="4">
        <f>IFERROR(ROUND(
(INDEX(生データ表[],MATCH($C24,生データ表['#],0),MATCH(L$5,生データ表[#Headers],0))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1.4997154329</v>
      </c>
      <c r="M24" s="4">
        <f>IFERROR(ROUND(
(INDEX(生データ表[],MATCH($C24,生データ表['#],0),MATCH(M$5,生データ表[#Headers],0))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1.8288439182</v>
      </c>
      <c r="N24" s="4">
        <f>IFERROR(ROUND(
(INDEX(生データ表[],MATCH($C24,生データ表['#],0),MATCH(N$5,生データ表[#Headers],0))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40.274396443800001</v>
      </c>
      <c r="O24" s="4">
        <f>IFERROR(ROUND(
(INDEX(生データ表[],MATCH($C24,生データ表['#],0),MATCH(O$5,生データ表[#Headers],0))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33.186492712700002</v>
      </c>
      <c r="P24" s="4">
        <f>IFERROR(ROUND(
(INDEX(生データ表[],MATCH($C24,生データ表['#],0),MATCH(P$5,生データ表[#Headers],0))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5.9853223917999996</v>
      </c>
      <c r="Q24" s="4">
        <f>IFERROR(ROUND(
(INDEX(生データ表[],MATCH($C24,生データ表['#],0),MATCH(Q$5,生データ表[#Headers],0))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17.548639313799999</v>
      </c>
      <c r="R24" s="4">
        <f>IFERROR(ROUND(
(INDEX(生データ表[],MATCH($C24,生データ表['#],0),MATCH(R$5,生データ表[#Headers],0))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74.913757375599999</v>
      </c>
      <c r="S24" s="4">
        <f>IFERROR(ROUND(
(INDEX(生データ表[],MATCH($C24,生データ表['#],0),MATCH(S$5,生データ表[#Headers],0))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57.692307692299998</v>
      </c>
      <c r="T24" s="4">
        <f>IFERROR(ROUND(
(INDEX(生データ表[],MATCH($C24,生データ表['#],0),MATCH(T$5,生データ表[#Headers],0))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77.675201218799998</v>
      </c>
      <c r="U24" s="4">
        <f>IFERROR(ROUND(
(INDEX(生データ表[],MATCH($C24,生データ表['#],0),MATCH(U$5,生データ表[#Headers],0))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17.740201423399999</v>
      </c>
      <c r="V24" s="4">
        <f>IFERROR(ROUND(
(INDEX(生データ表[],MATCH($C24,生データ表['#],0),MATCH(V$5,生データ表[#Headers],0))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0.37831021440000001</v>
      </c>
      <c r="W24" s="4">
        <f>IFERROR(ROUND(
(INDEX(生データ表[],MATCH($C24,生データ表['#],0),MATCH(W$5,生データ表[#Headers],0))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1.8481962924999999</v>
      </c>
      <c r="X24" s="4">
        <f>IFERROR(ROUND(
(INDEX(生データ表[],MATCH($C24,生データ表['#],0),MATCH(X$5,生データ表[#Headers],0))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1.9387687815000001</v>
      </c>
      <c r="Y24" s="4">
        <f>IFERROR(ROUND(
(INDEX(生データ表[],MATCH($C24,生データ表['#],0),MATCH(Y$5,生データ表[#Headers],0))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30.957216524300001</v>
      </c>
      <c r="Z24" s="4">
        <f>IFERROR(ROUND(
(INDEX(生データ表[],MATCH($C24,生データ表['#],0),MATCH(Z$5,生データ表[#Headers],0))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1.1018810587000001</v>
      </c>
      <c r="AA24" s="4">
        <f>IFERROR(ROUND(
(INDEX(生データ表[],MATCH($C24,生データ表['#],0),MATCH(AA$5,生データ表[#Headers],0))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24" s="4">
        <f>IFERROR(ROUND(
(INDEX(生データ表[],MATCH($C24,生データ表['#],0),MATCH(AB$5,生データ表[#Headers],0))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0.78014184399999997</v>
      </c>
      <c r="AC24" s="4">
        <f>IFERROR(ROUND(
(INDEX(生データ表[],MATCH($C24,生データ表['#],0),MATCH(AC$5,生データ表[#Headers],0))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14.195583596200001</v>
      </c>
      <c r="AD24" s="4">
        <f>IFERROR(ROUND(
(INDEX(生データ表[],MATCH($C24,生データ表['#],0),MATCH(AD$5,生データ表[#Headers],0))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20</v>
      </c>
      <c r="AE24" s="4">
        <f>IFERROR(ROUND(
(INDEX(生データ表[],MATCH($C24,生データ表['#],0),MATCH(AE$5,生データ表[#Headers],0))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2.1105708153</v>
      </c>
      <c r="AF24" s="4">
        <f>IFERROR(ROUND(
(INDEX(生データ表[],MATCH($C24,生データ表['#],0),MATCH(AF$5,生データ表[#Headers],0))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1.0157357658999999</v>
      </c>
      <c r="AG24" s="4">
        <f>IFERROR(ROUND(
(INDEX(生データ表[],MATCH($C24,生データ表['#],0),MATCH(AG$5,生データ表[#Headers],0))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41.391697048799998</v>
      </c>
      <c r="AH24" s="4">
        <f>IFERROR(ROUND(
(INDEX(生データ表[],MATCH($C24,生データ表['#],0),MATCH(AH$5,生データ表[#Headers],0))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5</v>
      </c>
      <c r="AI24" s="4">
        <f>IFERROR(ROUND(
(INDEX(生データ表[],MATCH($C24,生データ表['#],0),MATCH(AI$5,生データ表[#Headers],0))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58.577157129699998</v>
      </c>
      <c r="AJ24" s="4">
        <f>IFERROR(ROUND(
(INDEX(生データ表[],MATCH($C24,生データ表['#],0),MATCH(AJ$5,生データ表[#Headers],0))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3.112033195</v>
      </c>
      <c r="AK24" s="4">
        <f>IFERROR(ROUND(
(INDEX(生データ表[],MATCH($C24,生データ表['#],0),MATCH(AK$5,生データ表[#Headers],0))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11.643835616400001</v>
      </c>
      <c r="AL24" s="4">
        <f>IFERROR(ROUND(
(INDEX(生データ表[],MATCH($C24,生データ表['#],0),MATCH(AL$5,生データ表[#Headers],0))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21.052631578900002</v>
      </c>
      <c r="AM24" s="4">
        <f>IFERROR(ROUND(
(INDEX(生データ表[],MATCH($C24,生データ表['#],0),MATCH(AM$5,生データ表[#Headers],0))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83.362068965500001</v>
      </c>
      <c r="AN24" s="4">
        <f>IFERROR(ROUND(
(INDEX(生データ表[],MATCH($C24,生データ表['#],0),MATCH(AN$5,生データ表[#Headers],0))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100</v>
      </c>
      <c r="AO24" s="4">
        <f>IFERROR(ROUND(
(INDEX(生データ表[],MATCH($C24,生データ表['#],0),MATCH(AO$5,生データ表[#Headers],0))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77.337404107400005</v>
      </c>
      <c r="AP24" s="4">
        <f>IFERROR(ROUND(
(INDEX(生データ表[],MATCH($C24,生データ表['#],0),MATCH(AP$5,生データ表[#Headers],0))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51.250956315800003</v>
      </c>
      <c r="AQ24" s="4">
        <f>IFERROR(ROUND(
(INDEX(生データ表[],MATCH($C24,生データ表['#],0),MATCH(AQ$5,生データ表[#Headers],0))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1.2958251942000001</v>
      </c>
      <c r="AR24" s="4">
        <f>IFERROR(ROUND(
(INDEX(生データ表[],MATCH($C24,生データ表['#],0),MATCH(AR$5,生データ表[#Headers],0))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60.830747651300001</v>
      </c>
      <c r="AS24" s="4">
        <f>IFERROR(ROUND(
(INDEX(生データ表[],MATCH($C24,生データ表['#],0),MATCH(AS$5,生データ表[#Headers],0))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97.271348119699994</v>
      </c>
      <c r="AT24" s="4">
        <f>IFERROR(ROUND(
(INDEX(生データ表[],MATCH($C24,生データ表['#],0),MATCH(AT$5,生データ表[#Headers],0))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54.681010744600002</v>
      </c>
      <c r="AU24" s="4">
        <f>IFERROR(ROUND(
(INDEX(生データ表[],MATCH($C24,生データ表['#],0),MATCH(AU$5,生データ表[#Headers],0))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88.079347423100003</v>
      </c>
      <c r="AV24" s="4">
        <f>IFERROR(ROUND(
(INDEX(生データ表[],MATCH($C24,生データ表['#],0),MATCH(AV$5,生データ表[#Headers],0))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85.457664426600005</v>
      </c>
      <c r="AW24" s="4">
        <f>IFERROR(ROUND(
(INDEX(生データ表[],MATCH($C24,生データ表['#],0),MATCH(AW$5,生データ表[#Headers],0))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80.240969031600002</v>
      </c>
      <c r="AX24" s="4">
        <f>IFERROR(ROUND(
(INDEX(生データ表[],MATCH($C24,生データ表['#],0),MATCH(AX$5,生データ表[#Headers],0))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99.230085825499998</v>
      </c>
      <c r="AY24" s="4">
        <f>IFERROR(ROUND(
(INDEX(生データ表[],MATCH($C24,生データ表['#],0),MATCH(AY$5,生データ表[#Headers],0))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97.133220910600002</v>
      </c>
      <c r="AZ24" s="4">
        <f>IFERROR(ROUND(
(INDEX(生データ表[],MATCH($C24,生データ表['#],0),MATCH(AZ$5,生データ表[#Headers],0))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61.408382654900002</v>
      </c>
      <c r="BA24" s="4">
        <f>IFERROR(ROUND(
(INDEX(生データ表[],MATCH($C24,生データ表['#],0),MATCH(BA$5,生データ表[#Headers],0))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25.139926516599999</v>
      </c>
      <c r="BB24" s="4">
        <f>IFERROR(ROUND(
(INDEX(生データ表[],MATCH($C24,生データ表['#],0),MATCH(BB$5,生データ表[#Headers],0))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81.587498936299994</v>
      </c>
      <c r="BC24" s="4">
        <f>IFERROR(ROUND(
(INDEX(生データ表[],MATCH($C24,生データ表['#],0),MATCH(BC$5,生データ表[#Headers],0))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4.9579873744</v>
      </c>
      <c r="BD24" s="4">
        <f>IFERROR(ROUND(
(INDEX(生データ表[],MATCH($C24,生データ表['#],0),MATCH(BD$5,生データ表[#Headers],0))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26.967860785700001</v>
      </c>
      <c r="BE24" s="4">
        <f>IFERROR(ROUND(
(INDEX(生データ表[],MATCH($C24,生データ表['#],0),MATCH(BE$5,生データ表[#Headers],0))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39.160839370700003</v>
      </c>
      <c r="BF24" s="4">
        <f>IFERROR(ROUND(
(INDEX(生データ表[],MATCH($C24,生データ表['#],0),MATCH(BF$5,生データ表[#Headers],0))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26.711083073899999</v>
      </c>
      <c r="BG24" s="4">
        <f>IFERROR(ROUND(
(INDEX(生データ表[],MATCH($C24,生データ表['#],0),MATCH(BG$5,生データ表[#Headers],0))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25.108919029999999</v>
      </c>
      <c r="BH24" s="4">
        <f>IFERROR(ROUND(
(INDEX(生データ表[],MATCH($C24,生データ表['#],0),MATCH(BH$5,生データ表[#Headers],0))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38.567005749700002</v>
      </c>
      <c r="BI24" s="4">
        <f>IFERROR(ROUND(
(INDEX(生データ表[],MATCH($C24,生データ表['#],0),MATCH(BI$5,生データ表[#Headers],0))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62.210027933900001</v>
      </c>
      <c r="BJ24" s="4">
        <f>IFERROR(ROUND(
(INDEX(生データ表[],MATCH($C24,生データ表['#],0),MATCH(BJ$5,生データ表[#Headers],0))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81.708520984200007</v>
      </c>
      <c r="BK24" s="4">
        <f>IFERROR(ROUND(
(INDEX(生データ表[],MATCH($C24,生データ表['#],0),MATCH(BK$5,生データ表[#Headers],0))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66.365688487599996</v>
      </c>
      <c r="BL24" s="4">
        <f>IFERROR(ROUND(
(INDEX(生データ表[],MATCH($C24,生データ表['#],0),MATCH(BL$5,生データ表[#Headers],0))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0</v>
      </c>
      <c r="BM24" s="4">
        <f>IFERROR(ROUND(
(INDEX(生データ表[],MATCH($C24,生データ表['#],0),MATCH(BM$5,生データ表[#Headers],0))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11.611030479</v>
      </c>
      <c r="BN24" s="4">
        <f>IFERROR(ROUND(
(INDEX(生データ表[],MATCH($C24,生データ表['#],0),MATCH(BN$5,生データ表[#Headers],0))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57.174582546499998</v>
      </c>
      <c r="BO24" s="4">
        <f>IFERROR(ROUND(
(INDEX(生データ表[],MATCH($C24,生データ表['#],0),MATCH(BO$5,生データ表[#Headers],0))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24.146872964100002</v>
      </c>
      <c r="BP24" s="4">
        <f>IFERROR(ROUND(
(INDEX(生データ表[],MATCH($C24,生データ表['#],0),MATCH(BP$5,生データ表[#Headers],0))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32.336956521700003</v>
      </c>
      <c r="BQ24" s="4">
        <f>IFERROR(ROUND(
(INDEX(生データ表[],MATCH($C24,生データ表['#],0),MATCH(BQ$5,生データ表[#Headers],0))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19.114689041599998</v>
      </c>
      <c r="BR24" s="4">
        <f>IFERROR(ROUND(
(INDEX(生データ表[],MATCH($C24,生データ表['#],0),MATCH(BR$5,生データ表[#Headers],0))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30.567432767700002</v>
      </c>
      <c r="BS24" s="4">
        <f>IFERROR(ROUND(
(INDEX(生データ表[],MATCH($C24,生データ表['#],0),MATCH(BS$5,生データ表[#Headers],0))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27.4288869849</v>
      </c>
      <c r="BT24" s="4">
        <f>IFERROR(ROUND(
(INDEX(生データ表[],MATCH($C24,生データ表['#],0),MATCH(BT$5,生データ表[#Headers],0))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8.7376408370000007</v>
      </c>
      <c r="BU24" s="4">
        <f>IFERROR(ROUND(
(INDEX(生データ表[],MATCH($C24,生データ表['#],0),MATCH(BU$5,生データ表[#Headers],0))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22.510254226600001</v>
      </c>
      <c r="BV24" s="4">
        <f>IFERROR(ROUND(
(INDEX(生データ表[],MATCH($C24,生データ表['#],0),MATCH(BV$5,生データ表[#Headers],0))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35.788765250700003</v>
      </c>
      <c r="BW24" s="4">
        <f>IFERROR(ROUND(
(INDEX(生データ表[],MATCH($C24,生データ表['#],0),MATCH(BW$5,生データ表[#Headers],0))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26.2477915194</v>
      </c>
      <c r="BX24" s="4">
        <f>IFERROR(ROUND(
(INDEX(生データ表[],MATCH($C24,生データ表['#],0),MATCH(BX$5,生データ表[#Headers],0))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38.164627363699999</v>
      </c>
      <c r="BY24" s="4">
        <f>IFERROR(ROUND(
(INDEX(生データ表[],MATCH($C24,生データ表['#],0),MATCH(BY$5,生データ表[#Headers],0))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43.845795177200003</v>
      </c>
      <c r="BZ24" s="4">
        <f t="shared" si="5"/>
        <v>12.059868452050001</v>
      </c>
      <c r="CA24" s="4">
        <f t="shared" si="5"/>
        <v>30.779553729600003</v>
      </c>
      <c r="CB24" s="4">
        <f t="shared" si="5"/>
        <v>1.66427967555</v>
      </c>
      <c r="CC24" s="4">
        <f t="shared" si="5"/>
        <v>36.730444578250001</v>
      </c>
      <c r="CD24" s="4">
        <f t="shared" si="5"/>
        <v>32.8159063604</v>
      </c>
      <c r="CE24" s="4">
        <f t="shared" si="5"/>
        <v>67.683754455550002</v>
      </c>
      <c r="CF24" s="4">
        <f t="shared" si="5"/>
        <v>9.0592558188999988</v>
      </c>
      <c r="CG24" s="4">
        <f t="shared" si="5"/>
        <v>11.581393866100001</v>
      </c>
      <c r="CH24" s="4">
        <f t="shared" si="5"/>
        <v>0.62734096756666669</v>
      </c>
      <c r="CI24" s="4">
        <f t="shared" si="5"/>
        <v>9.3304725443500001</v>
      </c>
      <c r="CJ24" s="4">
        <f t="shared" si="6"/>
        <v>34.989618059499996</v>
      </c>
      <c r="CK24" s="4">
        <f t="shared" si="6"/>
        <v>11.936166796766669</v>
      </c>
      <c r="CL24" s="4">
        <f t="shared" si="6"/>
        <v>77.987607347175</v>
      </c>
      <c r="CM24" s="4">
        <f t="shared" si="6"/>
        <v>31.06328642275</v>
      </c>
      <c r="CN24" s="4">
        <f t="shared" si="6"/>
        <v>80.010568762466661</v>
      </c>
      <c r="CO24" s="4">
        <f t="shared" si="6"/>
        <v>82.849316729099996</v>
      </c>
      <c r="CP24" s="4">
        <f t="shared" si="6"/>
        <v>98.181653368050007</v>
      </c>
      <c r="CQ24" s="4">
        <f t="shared" si="6"/>
        <v>56.045269369266663</v>
      </c>
      <c r="CR24" s="4">
        <f t="shared" si="6"/>
        <v>24.449442651175001</v>
      </c>
      <c r="CS24" s="4">
        <f t="shared" si="6"/>
        <v>41.961984237866666</v>
      </c>
      <c r="CT24" s="4">
        <f t="shared" si="7"/>
        <v>49.358069823933334</v>
      </c>
      <c r="CU24" s="4">
        <f t="shared" si="7"/>
        <v>30.977495329866667</v>
      </c>
      <c r="CV24" s="4">
        <f t="shared" si="7"/>
        <v>25.725822781650002</v>
      </c>
      <c r="CW24" s="4">
        <f t="shared" si="7"/>
        <v>28.998159876300001</v>
      </c>
      <c r="CX24" s="4">
        <f t="shared" si="7"/>
        <v>22.345553438100001</v>
      </c>
      <c r="CY24" s="4">
        <f t="shared" si="7"/>
        <v>36.086071353433333</v>
      </c>
      <c r="CZ24" s="4">
        <f t="shared" si="8"/>
        <v>181.73380725140001</v>
      </c>
      <c r="DA24" s="4">
        <f t="shared" si="8"/>
        <v>21.267990652566667</v>
      </c>
      <c r="DB24" s="4">
        <f t="shared" si="8"/>
        <v>165.30715117054166</v>
      </c>
      <c r="DC24" s="4">
        <f t="shared" si="8"/>
        <v>341.53625088005833</v>
      </c>
      <c r="DD24" s="4">
        <f t="shared" si="8"/>
        <v>122.29754939166666</v>
      </c>
      <c r="DE24" s="4">
        <f t="shared" si="8"/>
        <v>113.15560744948334</v>
      </c>
      <c r="DF24" s="76">
        <f t="shared" si="4"/>
        <v>945.29835679571659</v>
      </c>
    </row>
    <row r="25" spans="1:110" hidden="1">
      <c r="A25" s="2">
        <v>20</v>
      </c>
      <c r="B25" s="58">
        <f>INDEX(順位表[Comprehensive],MATCH($C25,順位表['#],0))</f>
        <v>41</v>
      </c>
      <c r="C25" s="3">
        <v>20</v>
      </c>
      <c r="D25" s="1" t="str">
        <f>INDEX(都市マスタ[City Name],MATCH($C25,都市マスタ['#],0))</f>
        <v>Kuala Lumpur</v>
      </c>
      <c r="E25" s="4">
        <f>IFERROR(ROUND(
(INDEX(生データ表[],MATCH($C25,生データ表['#],0),MATCH(E$5,生データ表[#Headers],0))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7.0492106852000003</v>
      </c>
      <c r="F25" s="4">
        <f>IFERROR(ROUND(
(INDEX(生データ表[],MATCH($C25,生データ表['#],0),MATCH(F$5,生データ表[#Headers],0))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1.3838697697</v>
      </c>
      <c r="G25" s="4">
        <f>IFERROR(ROUND(
(INDEX(生データ表[],MATCH($C25,生データ表['#],0),MATCH(G$5,生データ表[#Headers],0))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2.4170242000000002E-2</v>
      </c>
      <c r="H25" s="4">
        <f>IFERROR(ROUND(
(INDEX(生データ表[],MATCH($C25,生データ表['#],0),MATCH(H$5,生データ表[#Headers],0))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3.5778110583</v>
      </c>
      <c r="I25" s="4">
        <f>IFERROR(ROUND(
(INDEX(生データ表[],MATCH($C25,生データ表['#],0),MATCH(I$5,生データ表[#Headers],0))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13.0682683736</v>
      </c>
      <c r="J25" s="4">
        <f>IFERROR(ROUND(
(INDEX(生データ表[],MATCH($C25,生データ表['#],0),MATCH(J$5,生データ表[#Headers],0))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37.731042330800001</v>
      </c>
      <c r="K25" s="4">
        <f>IFERROR(ROUND(
(INDEX(生データ表[],MATCH($C25,生データ表['#],0),MATCH(K$5,生データ表[#Headers],0))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53.3785363573</v>
      </c>
      <c r="L25" s="4">
        <f>IFERROR(ROUND(
(INDEX(生データ表[],MATCH($C25,生データ表['#],0),MATCH(L$5,生データ表[#Headers],0))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0.94597088230000004</v>
      </c>
      <c r="M25" s="4">
        <f>IFERROR(ROUND(
(INDEX(生データ表[],MATCH($C25,生データ表['#],0),MATCH(M$5,生データ表[#Headers],0))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1.6235034962999999</v>
      </c>
      <c r="N25" s="4">
        <f>IFERROR(ROUND(
(INDEX(生データ表[],MATCH($C25,生データ表['#],0),MATCH(N$5,生データ表[#Headers],0))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5.0598084879999998</v>
      </c>
      <c r="O25" s="4">
        <f>IFERROR(ROUND(
(INDEX(生データ表[],MATCH($C25,生データ表['#],0),MATCH(O$5,生データ表[#Headers],0))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61.865364199600002</v>
      </c>
      <c r="P25" s="4">
        <f>IFERROR(ROUND(
(INDEX(生データ表[],MATCH($C25,生データ表['#],0),MATCH(P$5,生データ表[#Headers],0))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14.3759591881</v>
      </c>
      <c r="Q25" s="4">
        <f>IFERROR(ROUND(
(INDEX(生データ表[],MATCH($C25,生データ表['#],0),MATCH(Q$5,生データ表[#Headers],0))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33.903211318799997</v>
      </c>
      <c r="R25" s="4">
        <f>IFERROR(ROUND(
(INDEX(生データ表[],MATCH($C25,生データ表['#],0),MATCH(R$5,生データ表[#Headers],0))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25.9743707238</v>
      </c>
      <c r="S25" s="4">
        <f>IFERROR(ROUND(
(INDEX(生データ表[],MATCH($C25,生データ表['#],0),MATCH(S$5,生データ表[#Headers],0))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42.307692307700002</v>
      </c>
      <c r="T25" s="4">
        <f>IFERROR(ROUND(
(INDEX(生データ表[],MATCH($C25,生データ表['#],0),MATCH(T$5,生データ表[#Headers],0))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85.613801190299995</v>
      </c>
      <c r="U25" s="4">
        <f>IFERROR(ROUND(
(INDEX(生データ表[],MATCH($C25,生データ表['#],0),MATCH(U$5,生データ表[#Headers],0))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0</v>
      </c>
      <c r="V25" s="4">
        <f>IFERROR(ROUND(
(INDEX(生データ表[],MATCH($C25,生データ表['#],0),MATCH(V$5,生データ表[#Headers],0))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0.63051702399999998</v>
      </c>
      <c r="W25" s="4">
        <f>IFERROR(ROUND(
(INDEX(生データ表[],MATCH($C25,生データ表['#],0),MATCH(W$5,生データ表[#Headers],0))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0.17871768709999999</v>
      </c>
      <c r="X25" s="4">
        <f>IFERROR(ROUND(
(INDEX(生データ表[],MATCH($C25,生データ表['#],0),MATCH(X$5,生データ表[#Headers],0))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8.2367029745</v>
      </c>
      <c r="Y25" s="4">
        <f>IFERROR(ROUND(
(INDEX(生データ表[],MATCH($C25,生データ表['#],0),MATCH(Y$5,生データ表[#Headers],0))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38.582423534699998</v>
      </c>
      <c r="Z25" s="4">
        <f>IFERROR(ROUND(
(INDEX(生データ表[],MATCH($C25,生データ表['#],0),MATCH(Z$5,生データ表[#Headers],0))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0.79826052950000004</v>
      </c>
      <c r="AA25" s="4">
        <f>IFERROR(ROUND(
(INDEX(生データ表[],MATCH($C25,生データ表['#],0),MATCH(AA$5,生データ表[#Headers],0))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25" s="4">
        <f>IFERROR(ROUND(
(INDEX(生データ表[],MATCH($C25,生データ表['#],0),MATCH(AB$5,生データ表[#Headers],0))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2.0921985815999999</v>
      </c>
      <c r="AC25" s="4">
        <f>IFERROR(ROUND(
(INDEX(生データ表[],MATCH($C25,生データ表['#],0),MATCH(AC$5,生データ表[#Headers],0))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7.8864353312000004</v>
      </c>
      <c r="AD25" s="4">
        <f>IFERROR(ROUND(
(INDEX(生データ表[],MATCH($C25,生データ表['#],0),MATCH(AD$5,生データ表[#Headers],0))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41.818181818200003</v>
      </c>
      <c r="AE25" s="4">
        <f>IFERROR(ROUND(
(INDEX(生データ表[],MATCH($C25,生データ表['#],0),MATCH(AE$5,生データ表[#Headers],0))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2.2237643235000002</v>
      </c>
      <c r="AF25" s="4">
        <f>IFERROR(ROUND(
(INDEX(生データ表[],MATCH($C25,生データ表['#],0),MATCH(AF$5,生データ表[#Headers],0))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0.26075619300000002</v>
      </c>
      <c r="AG25" s="4">
        <f>IFERROR(ROUND(
(INDEX(生データ表[],MATCH($C25,生データ表['#],0),MATCH(AG$5,生データ表[#Headers],0))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30.015272217300002</v>
      </c>
      <c r="AH25" s="4">
        <f>IFERROR(ROUND(
(INDEX(生データ表[],MATCH($C25,生データ表['#],0),MATCH(AH$5,生データ表[#Headers],0))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25" s="4">
        <f>IFERROR(ROUND(
(INDEX(生データ表[],MATCH($C25,生データ表['#],0),MATCH(AI$5,生データ表[#Headers],0))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29.4404095485</v>
      </c>
      <c r="AJ25" s="4">
        <f>IFERROR(ROUND(
(INDEX(生データ表[],MATCH($C25,生データ表['#],0),MATCH(AJ$5,生データ表[#Headers],0))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1.2448132780000001</v>
      </c>
      <c r="AK25" s="4">
        <f>IFERROR(ROUND(
(INDEX(生データ表[],MATCH($C25,生データ表['#],0),MATCH(AK$5,生データ表[#Headers],0))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5.1369863014000003</v>
      </c>
      <c r="AL25" s="4">
        <f>IFERROR(ROUND(
(INDEX(生データ表[],MATCH($C25,生データ表['#],0),MATCH(AL$5,生データ表[#Headers],0))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26.315789473700001</v>
      </c>
      <c r="AM25" s="4">
        <f>IFERROR(ROUND(
(INDEX(生データ表[],MATCH($C25,生データ表['#],0),MATCH(AM$5,生データ表[#Headers],0))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47.940680009600001</v>
      </c>
      <c r="AN25" s="4">
        <f>IFERROR(ROUND(
(INDEX(生データ表[],MATCH($C25,生データ表['#],0),MATCH(AN$5,生データ表[#Headers],0))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43.161084920100002</v>
      </c>
      <c r="AO25" s="4">
        <f>IFERROR(ROUND(
(INDEX(生データ表[],MATCH($C25,生データ表['#],0),MATCH(AO$5,生データ表[#Headers],0))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30.285707146</v>
      </c>
      <c r="AP25" s="4">
        <f>IFERROR(ROUND(
(INDEX(生データ表[],MATCH($C25,生データ表['#],0),MATCH(AP$5,生データ表[#Headers],0))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24.816415868299998</v>
      </c>
      <c r="AQ25" s="4">
        <f>IFERROR(ROUND(
(INDEX(生データ表[],MATCH($C25,生データ表['#],0),MATCH(AQ$5,生データ表[#Headers],0))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34.637824577899998</v>
      </c>
      <c r="AR25" s="4">
        <f>IFERROR(ROUND(
(INDEX(生データ表[],MATCH($C25,生データ表['#],0),MATCH(AR$5,生データ表[#Headers],0))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2.4730804373000002</v>
      </c>
      <c r="AS25" s="4">
        <f>IFERROR(ROUND(
(INDEX(生データ表[],MATCH($C25,生データ表['#],0),MATCH(AS$5,生データ表[#Headers],0))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89.142486494500005</v>
      </c>
      <c r="AT25" s="4">
        <f>IFERROR(ROUND(
(INDEX(生データ表[],MATCH($C25,生データ表['#],0),MATCH(AT$5,生データ表[#Headers],0))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48.143265947000003</v>
      </c>
      <c r="AU25" s="4">
        <f>IFERROR(ROUND(
(INDEX(生データ表[],MATCH($C25,生データ表['#],0),MATCH(AU$5,生データ表[#Headers],0))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55.960973001900001</v>
      </c>
      <c r="AV25" s="4">
        <f>IFERROR(ROUND(
(INDEX(生データ表[],MATCH($C25,生データ表['#],0),MATCH(AV$5,生データ表[#Headers],0))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95.226004862799996</v>
      </c>
      <c r="AW25" s="4">
        <f>IFERROR(ROUND(
(INDEX(生データ表[],MATCH($C25,生データ表['#],0),MATCH(AW$5,生データ表[#Headers],0))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88.071878564599999</v>
      </c>
      <c r="AX25" s="4">
        <f>IFERROR(ROUND(
(INDEX(生データ表[],MATCH($C25,生データ表['#],0),MATCH(AX$5,生データ表[#Headers],0))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98.383313117300006</v>
      </c>
      <c r="AY25" s="4">
        <f>IFERROR(ROUND(
(INDEX(生データ表[],MATCH($C25,生データ表['#],0),MATCH(AY$5,生データ表[#Headers],0))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98.8195615514</v>
      </c>
      <c r="AZ25" s="4">
        <f>IFERROR(ROUND(
(INDEX(生データ表[],MATCH($C25,生データ表['#],0),MATCH(AZ$5,生データ表[#Headers],0))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46.551515883599997</v>
      </c>
      <c r="BA25" s="4">
        <f>IFERROR(ROUND(
(INDEX(生データ表[],MATCH($C25,生データ表['#],0),MATCH(BA$5,生データ表[#Headers],0))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36.724857410600002</v>
      </c>
      <c r="BB25" s="4">
        <f>IFERROR(ROUND(
(INDEX(生データ表[],MATCH($C25,生データ表['#],0),MATCH(BB$5,生データ表[#Headers],0))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91.224581933600007</v>
      </c>
      <c r="BC25" s="4">
        <f>IFERROR(ROUND(
(INDEX(生データ表[],MATCH($C25,生データ表['#],0),MATCH(BC$5,生データ表[#Headers],0))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21.966349317399999</v>
      </c>
      <c r="BD25" s="4">
        <f>IFERROR(ROUND(
(INDEX(生データ表[],MATCH($C25,生データ表['#],0),MATCH(BD$5,生データ表[#Headers],0))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49.248626049199999</v>
      </c>
      <c r="BE25" s="4">
        <f>IFERROR(ROUND(
(INDEX(生データ表[],MATCH($C25,生データ表['#],0),MATCH(BE$5,生データ表[#Headers],0))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46.780018221200002</v>
      </c>
      <c r="BF25" s="4">
        <f>IFERROR(ROUND(
(INDEX(生データ表[],MATCH($C25,生データ表['#],0),MATCH(BF$5,生データ表[#Headers],0))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30.345807004099999</v>
      </c>
      <c r="BG25" s="4">
        <f>IFERROR(ROUND(
(INDEX(生データ表[],MATCH($C25,生データ表['#],0),MATCH(BG$5,生データ表[#Headers],0))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64.858199753400001</v>
      </c>
      <c r="BH25" s="4">
        <f>IFERROR(ROUND(
(INDEX(生データ表[],MATCH($C25,生データ表['#],0),MATCH(BH$5,生データ表[#Headers],0))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7.0986289252999999</v>
      </c>
      <c r="BI25" s="4">
        <f>IFERROR(ROUND(
(INDEX(生データ表[],MATCH($C25,生データ表['#],0),MATCH(BI$5,生データ表[#Headers],0))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51.653301128400003</v>
      </c>
      <c r="BJ25" s="4">
        <f>IFERROR(ROUND(
(INDEX(生データ表[],MATCH($C25,生データ表['#],0),MATCH(BJ$5,生データ表[#Headers],0))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55.2315565472</v>
      </c>
      <c r="BK25" s="4">
        <f>IFERROR(ROUND(
(INDEX(生データ表[],MATCH($C25,生データ表['#],0),MATCH(BK$5,生データ表[#Headers],0))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67.268623024799993</v>
      </c>
      <c r="BL25" s="4">
        <f>IFERROR(ROUND(
(INDEX(生データ表[],MATCH($C25,生データ表['#],0),MATCH(BL$5,生データ表[#Headers],0))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16.3062975938</v>
      </c>
      <c r="BM25" s="4">
        <f>IFERROR(ROUND(
(INDEX(生データ表[],MATCH($C25,生データ表['#],0),MATCH(BM$5,生データ表[#Headers],0))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18.867924528300001</v>
      </c>
      <c r="BN25" s="4">
        <f>IFERROR(ROUND(
(INDEX(生データ表[],MATCH($C25,生データ表['#],0),MATCH(BN$5,生データ表[#Headers],0))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53.256723210300002</v>
      </c>
      <c r="BO25" s="4">
        <f>IFERROR(ROUND(
(INDEX(生データ表[],MATCH($C25,生データ表['#],0),MATCH(BO$5,生データ表[#Headers],0))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43.092884832999999</v>
      </c>
      <c r="BP25" s="4">
        <f>IFERROR(ROUND(
(INDEX(生データ表[],MATCH($C25,生データ表['#],0),MATCH(BP$5,生データ表[#Headers],0))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22.288647343000001</v>
      </c>
      <c r="BQ25" s="4">
        <f>IFERROR(ROUND(
(INDEX(生データ表[],MATCH($C25,生データ表['#],0),MATCH(BQ$5,生データ表[#Headers],0))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25.7478564635</v>
      </c>
      <c r="BR25" s="4">
        <f>IFERROR(ROUND(
(INDEX(生データ表[],MATCH($C25,生データ表['#],0),MATCH(BR$5,生データ表[#Headers],0))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15.386243096199999</v>
      </c>
      <c r="BS25" s="4">
        <f>IFERROR(ROUND(
(INDEX(生データ表[],MATCH($C25,生データ表['#],0),MATCH(BS$5,生データ表[#Headers],0))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14.8959482888</v>
      </c>
      <c r="BT25" s="4">
        <f>IFERROR(ROUND(
(INDEX(生データ表[],MATCH($C25,生データ表['#],0),MATCH(BT$5,生データ表[#Headers],0))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11.726833754899999</v>
      </c>
      <c r="BU25" s="4">
        <f>IFERROR(ROUND(
(INDEX(生データ表[],MATCH($C25,生データ表['#],0),MATCH(BU$5,生データ表[#Headers],0))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13.6785507823</v>
      </c>
      <c r="BV25" s="4">
        <f>IFERROR(ROUND(
(INDEX(生データ表[],MATCH($C25,生データ表['#],0),MATCH(BV$5,生データ表[#Headers],0))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11.904761904800001</v>
      </c>
      <c r="BW25" s="4">
        <f>IFERROR(ROUND(
(INDEX(生データ表[],MATCH($C25,生データ表['#],0),MATCH(BW$5,生データ表[#Headers],0))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53.390017667800002</v>
      </c>
      <c r="BX25" s="4">
        <f>IFERROR(ROUND(
(INDEX(生データ表[],MATCH($C25,生データ表['#],0),MATCH(BX$5,生データ表[#Headers],0))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62.801279772500003</v>
      </c>
      <c r="BY25" s="4">
        <f>IFERROR(ROUND(
(INDEX(生データ表[],MATCH($C25,生データ表['#],0),MATCH(BY$5,生データ表[#Headers],0))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58.205372393399998</v>
      </c>
      <c r="BZ25" s="4">
        <f t="shared" si="5"/>
        <v>8.3230397159499994</v>
      </c>
      <c r="CA25" s="4">
        <f t="shared" si="5"/>
        <v>45.55478934405</v>
      </c>
      <c r="CB25" s="4">
        <f t="shared" si="5"/>
        <v>1.2847371892999999</v>
      </c>
      <c r="CC25" s="4">
        <f t="shared" si="5"/>
        <v>33.462586343799998</v>
      </c>
      <c r="CD25" s="4">
        <f t="shared" si="5"/>
        <v>24.751180410233331</v>
      </c>
      <c r="CE25" s="4">
        <f t="shared" si="5"/>
        <v>63.960746748999995</v>
      </c>
      <c r="CF25" s="4">
        <f t="shared" si="5"/>
        <v>0.31525851199999999</v>
      </c>
      <c r="CG25" s="4">
        <f t="shared" si="5"/>
        <v>15.665948065433334</v>
      </c>
      <c r="CH25" s="4">
        <f t="shared" si="5"/>
        <v>0.96348637036666673</v>
      </c>
      <c r="CI25" s="4">
        <f t="shared" si="5"/>
        <v>13.047284416475</v>
      </c>
      <c r="CJ25" s="4">
        <f t="shared" si="6"/>
        <v>19.8185605886</v>
      </c>
      <c r="CK25" s="4">
        <f t="shared" si="6"/>
        <v>10.899196351033334</v>
      </c>
      <c r="CL25" s="4">
        <f t="shared" si="6"/>
        <v>36.550971986</v>
      </c>
      <c r="CM25" s="4">
        <f t="shared" si="6"/>
        <v>18.555452507599998</v>
      </c>
      <c r="CN25" s="4">
        <f t="shared" si="6"/>
        <v>64.415575147799998</v>
      </c>
      <c r="CO25" s="4">
        <f t="shared" si="6"/>
        <v>91.648941713699998</v>
      </c>
      <c r="CP25" s="4">
        <f t="shared" si="6"/>
        <v>98.60143733435001</v>
      </c>
      <c r="CQ25" s="4">
        <f t="shared" si="6"/>
        <v>58.166985075933333</v>
      </c>
      <c r="CR25" s="4">
        <f t="shared" si="6"/>
        <v>37.085200147975002</v>
      </c>
      <c r="CS25" s="4">
        <f t="shared" si="6"/>
        <v>41.203376602366667</v>
      </c>
      <c r="CT25" s="4">
        <f t="shared" si="7"/>
        <v>46.268825721933332</v>
      </c>
      <c r="CU25" s="4">
        <f t="shared" si="7"/>
        <v>38.405844190533337</v>
      </c>
      <c r="CV25" s="4">
        <f t="shared" si="7"/>
        <v>24.01825190325</v>
      </c>
      <c r="CW25" s="4">
        <f t="shared" si="7"/>
        <v>15.141095692499999</v>
      </c>
      <c r="CX25" s="4">
        <f t="shared" si="7"/>
        <v>12.436715480666669</v>
      </c>
      <c r="CY25" s="4">
        <f t="shared" si="7"/>
        <v>58.132223277900003</v>
      </c>
      <c r="CZ25" s="4">
        <f t="shared" si="8"/>
        <v>177.33707975233332</v>
      </c>
      <c r="DA25" s="4">
        <f t="shared" si="8"/>
        <v>16.9446929478</v>
      </c>
      <c r="DB25" s="4">
        <f t="shared" si="8"/>
        <v>98.871465849708329</v>
      </c>
      <c r="DC25" s="4">
        <f t="shared" si="8"/>
        <v>349.91813941975835</v>
      </c>
      <c r="DD25" s="4">
        <f t="shared" si="8"/>
        <v>125.87804651483333</v>
      </c>
      <c r="DE25" s="4">
        <f t="shared" si="8"/>
        <v>109.72828635431668</v>
      </c>
      <c r="DF25" s="76">
        <f t="shared" si="4"/>
        <v>878.67771083875004</v>
      </c>
    </row>
    <row r="26" spans="1:110">
      <c r="A26" s="2">
        <v>21</v>
      </c>
      <c r="B26" s="58">
        <f>INDEX(順位表[Comprehensive],MATCH($C26,順位表['#],0))</f>
        <v>5</v>
      </c>
      <c r="C26" s="3">
        <v>21</v>
      </c>
      <c r="D26" s="1" t="str">
        <f>INDEX(都市マスタ[City Name],MATCH($C26,都市マスタ['#],0))</f>
        <v>Singapore</v>
      </c>
      <c r="E26" s="4">
        <f>IFERROR(ROUND(
(INDEX(生データ表[],MATCH($C26,生データ表['#],0),MATCH(E$5,生データ表[#Headers],0))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22.002116201900002</v>
      </c>
      <c r="F26" s="4">
        <f>IFERROR(ROUND(
(INDEX(生データ表[],MATCH($C26,生データ表['#],0),MATCH(F$5,生データ表[#Headers],0))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4.3831491103999998</v>
      </c>
      <c r="G26" s="4">
        <f>IFERROR(ROUND(
(INDEX(生データ表[],MATCH($C26,生データ表['#],0),MATCH(G$5,生データ表[#Headers],0))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3.8254284000000002E-3</v>
      </c>
      <c r="H26" s="4">
        <f>IFERROR(ROUND(
(INDEX(生データ表[],MATCH($C26,生データ表['#],0),MATCH(H$5,生データ表[#Headers],0))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45.337307582500003</v>
      </c>
      <c r="I26" s="4">
        <f>IFERROR(ROUND(
(INDEX(生データ表[],MATCH($C26,生データ表['#],0),MATCH(I$5,生データ表[#Headers],0))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31.037475884199999</v>
      </c>
      <c r="J26" s="4">
        <f>IFERROR(ROUND(
(INDEX(生データ表[],MATCH($C26,生データ表['#],0),MATCH(J$5,生データ表[#Headers],0))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38.9072823367</v>
      </c>
      <c r="K26" s="4">
        <f>IFERROR(ROUND(
(INDEX(生データ表[],MATCH($C26,生データ表['#],0),MATCH(K$5,生データ表[#Headers],0))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100</v>
      </c>
      <c r="L26" s="4">
        <f>IFERROR(ROUND(
(INDEX(生データ表[],MATCH($C26,生データ表['#],0),MATCH(L$5,生データ表[#Headers],0))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1.5369546440999999</v>
      </c>
      <c r="M26" s="4">
        <f>IFERROR(ROUND(
(INDEX(生データ表[],MATCH($C26,生データ表['#],0),MATCH(M$5,生データ表[#Headers],0))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8.2104008832000002</v>
      </c>
      <c r="N26" s="4">
        <f>IFERROR(ROUND(
(INDEX(生データ表[],MATCH($C26,生データ表['#],0),MATCH(N$5,生データ表[#Headers],0))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25.661176828399999</v>
      </c>
      <c r="O26" s="4">
        <f>IFERROR(ROUND(
(INDEX(生データ表[],MATCH($C26,生データ表['#],0),MATCH(O$5,生データ表[#Headers],0))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42.147309837599998</v>
      </c>
      <c r="P26" s="4">
        <f>IFERROR(ROUND(
(INDEX(生データ表[],MATCH($C26,生データ表['#],0),MATCH(P$5,生データ表[#Headers],0))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74.0823648617</v>
      </c>
      <c r="Q26" s="4">
        <f>IFERROR(ROUND(
(INDEX(生データ表[],MATCH($C26,生データ表['#],0),MATCH(Q$5,生データ表[#Headers],0))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73.082817887700003</v>
      </c>
      <c r="R26" s="4">
        <f>IFERROR(ROUND(
(INDEX(生データ表[],MATCH($C26,生データ表['#],0),MATCH(R$5,生データ表[#Headers],0))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84.7709512582</v>
      </c>
      <c r="S26" s="4">
        <f>IFERROR(ROUND(
(INDEX(生データ表[],MATCH($C26,生データ表['#],0),MATCH(S$5,生データ表[#Headers],0))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69.230769230800007</v>
      </c>
      <c r="T26" s="4">
        <f>IFERROR(ROUND(
(INDEX(生データ表[],MATCH($C26,生データ表['#],0),MATCH(T$5,生データ表[#Headers],0))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100</v>
      </c>
      <c r="U26" s="4">
        <f>IFERROR(ROUND(
(INDEX(生データ表[],MATCH($C26,生データ表['#],0),MATCH(U$5,生データ表[#Headers],0))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40.503042116800003</v>
      </c>
      <c r="V26" s="4">
        <f>IFERROR(ROUND(
(INDEX(生データ表[],MATCH($C26,生データ表['#],0),MATCH(V$5,生データ表[#Headers],0))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43.7578814628</v>
      </c>
      <c r="W26" s="4">
        <f>IFERROR(ROUND(
(INDEX(生データ表[],MATCH($C26,生データ表['#],0),MATCH(W$5,生データ表[#Headers],0))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15.619965944600001</v>
      </c>
      <c r="X26" s="4">
        <f>IFERROR(ROUND(
(INDEX(生データ表[],MATCH($C26,生データ表['#],0),MATCH(X$5,生データ表[#Headers],0))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10.0478129768</v>
      </c>
      <c r="Y26" s="4">
        <f>IFERROR(ROUND(
(INDEX(生データ表[],MATCH($C26,生データ表['#],0),MATCH(Y$5,生データ表[#Headers],0))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90.7111114601</v>
      </c>
      <c r="Z26" s="4">
        <f>IFERROR(ROUND(
(INDEX(生データ表[],MATCH($C26,生データ表['#],0),MATCH(Z$5,生データ表[#Headers],0))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20.526315272200002</v>
      </c>
      <c r="AA26" s="4">
        <f>IFERROR(ROUND(
(INDEX(生データ表[],MATCH($C26,生データ表['#],0),MATCH(AA$5,生データ表[#Headers],0))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26" s="4">
        <f>IFERROR(ROUND(
(INDEX(生データ表[],MATCH($C26,生データ表['#],0),MATCH(AB$5,生データ表[#Headers],0))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29.698581560299999</v>
      </c>
      <c r="AC26" s="4">
        <f>IFERROR(ROUND(
(INDEX(生データ表[],MATCH($C26,生データ表['#],0),MATCH(AC$5,生データ表[#Headers],0))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43.533123028399999</v>
      </c>
      <c r="AD26" s="4">
        <f>IFERROR(ROUND(
(INDEX(生データ表[],MATCH($C26,生データ表['#],0),MATCH(AD$5,生データ表[#Headers],0))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40</v>
      </c>
      <c r="AE26" s="4">
        <f>IFERROR(ROUND(
(INDEX(生データ表[],MATCH($C26,生データ表['#],0),MATCH(AE$5,生データ表[#Headers],0))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63.945717055899998</v>
      </c>
      <c r="AF26" s="4">
        <f>IFERROR(ROUND(
(INDEX(生データ表[],MATCH($C26,生データ表['#],0),MATCH(AF$5,生データ表[#Headers],0))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2.6071535000999999</v>
      </c>
      <c r="AG26" s="4">
        <f>IFERROR(ROUND(
(INDEX(生データ表[],MATCH($C26,生データ表['#],0),MATCH(AG$5,生データ表[#Headers],0))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50.783740927499998</v>
      </c>
      <c r="AH26" s="4">
        <f>IFERROR(ROUND(
(INDEX(生データ表[],MATCH($C26,生データ表['#],0),MATCH(AH$5,生データ表[#Headers],0))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5</v>
      </c>
      <c r="AI26" s="4">
        <f>IFERROR(ROUND(
(INDEX(生データ表[],MATCH($C26,生データ表['#],0),MATCH(AI$5,生データ表[#Headers],0))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28.9712495172</v>
      </c>
      <c r="AJ26" s="4">
        <f>IFERROR(ROUND(
(INDEX(生データ表[],MATCH($C26,生データ表['#],0),MATCH(AJ$5,生データ表[#Headers],0))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10.165975103699999</v>
      </c>
      <c r="AK26" s="4">
        <f>IFERROR(ROUND(
(INDEX(生データ表[],MATCH($C26,生データ表['#],0),MATCH(AK$5,生データ表[#Headers],0))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3.4246575342000001</v>
      </c>
      <c r="AL26" s="4">
        <f>IFERROR(ROUND(
(INDEX(生データ表[],MATCH($C26,生データ表['#],0),MATCH(AL$5,生データ表[#Headers],0))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26" s="4">
        <f>IFERROR(ROUND(
(INDEX(生データ表[],MATCH($C26,生データ表['#],0),MATCH(AM$5,生データ表[#Headers],0))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38.343983602599998</v>
      </c>
      <c r="AN26" s="4">
        <f>IFERROR(ROUND(
(INDEX(生データ表[],MATCH($C26,生データ表['#],0),MATCH(AN$5,生データ表[#Headers],0))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56.5542153922</v>
      </c>
      <c r="AO26" s="4">
        <f>IFERROR(ROUND(
(INDEX(生データ表[],MATCH($C26,生データ表['#],0),MATCH(AO$5,生データ表[#Headers],0))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56.6545366609</v>
      </c>
      <c r="AP26" s="4">
        <f>IFERROR(ROUND(
(INDEX(生データ表[],MATCH($C26,生データ表['#],0),MATCH(AP$5,生データ表[#Headers],0))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47.6711704461</v>
      </c>
      <c r="AQ26" s="4">
        <f>IFERROR(ROUND(
(INDEX(生データ表[],MATCH($C26,生データ表['#],0),MATCH(AQ$5,生データ表[#Headers],0))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63.720762055800002</v>
      </c>
      <c r="AR26" s="4">
        <f>IFERROR(ROUND(
(INDEX(生データ表[],MATCH($C26,生データ表['#],0),MATCH(AR$5,生データ表[#Headers],0))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38.853320990500002</v>
      </c>
      <c r="AS26" s="4">
        <f>IFERROR(ROUND(
(INDEX(生データ表[],MATCH($C26,生データ表['#],0),MATCH(AS$5,生データ表[#Headers],0))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95.234581208899996</v>
      </c>
      <c r="AT26" s="4">
        <f>IFERROR(ROUND(
(INDEX(生データ表[],MATCH($C26,生データ表['#],0),MATCH(AT$5,生データ表[#Headers],0))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45.719229829600003</v>
      </c>
      <c r="AU26" s="4">
        <f>IFERROR(ROUND(
(INDEX(生データ表[],MATCH($C26,生データ表['#],0),MATCH(AU$5,生データ表[#Headers],0))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83.333333333300004</v>
      </c>
      <c r="AV26" s="4">
        <f>IFERROR(ROUND(
(INDEX(生データ表[],MATCH($C26,生データ表['#],0),MATCH(AV$5,生データ表[#Headers],0))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11.332512168499999</v>
      </c>
      <c r="AW26" s="4">
        <f>IFERROR(ROUND(
(INDEX(生データ表[],MATCH($C26,生データ表['#],0),MATCH(AW$5,生データ表[#Headers],0))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25.030718565800001</v>
      </c>
      <c r="AX26" s="4">
        <f>IFERROR(ROUND(
(INDEX(生データ表[],MATCH($C26,生データ表['#],0),MATCH(AX$5,生データ表[#Headers],0))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100</v>
      </c>
      <c r="AY26" s="4">
        <f>IFERROR(ROUND(
(INDEX(生データ表[],MATCH($C26,生データ表['#],0),MATCH(AY$5,生データ表[#Headers],0))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96.964586846499998</v>
      </c>
      <c r="AZ26" s="4">
        <f>IFERROR(ROUND(
(INDEX(生データ表[],MATCH($C26,生データ表['#],0),MATCH(AZ$5,生データ表[#Headers],0))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88.645971735700002</v>
      </c>
      <c r="BA26" s="4">
        <f>IFERROR(ROUND(
(INDEX(生データ表[],MATCH($C26,生データ表['#],0),MATCH(BA$5,生データ表[#Headers],0))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51.3544677728</v>
      </c>
      <c r="BB26" s="4">
        <f>IFERROR(ROUND(
(INDEX(生データ表[],MATCH($C26,生データ表['#],0),MATCH(BB$5,生データ表[#Headers],0))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79.036057263999993</v>
      </c>
      <c r="BC26" s="4">
        <f>IFERROR(ROUND(
(INDEX(生データ表[],MATCH($C26,生データ表['#],0),MATCH(BC$5,生データ表[#Headers],0))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22.7618302361</v>
      </c>
      <c r="BD26" s="4">
        <f>IFERROR(ROUND(
(INDEX(生データ表[],MATCH($C26,生データ表['#],0),MATCH(BD$5,生データ表[#Headers],0))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79.797676994699998</v>
      </c>
      <c r="BE26" s="4">
        <f>IFERROR(ROUND(
(INDEX(生データ表[],MATCH($C26,生データ表['#],0),MATCH(BE$5,生データ表[#Headers],0))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65.733369684099998</v>
      </c>
      <c r="BF26" s="4">
        <f>IFERROR(ROUND(
(INDEX(生データ表[],MATCH($C26,生データ表['#],0),MATCH(BF$5,生データ表[#Headers],0))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50.277960615300003</v>
      </c>
      <c r="BG26" s="4">
        <f>IFERROR(ROUND(
(INDEX(生データ表[],MATCH($C26,生データ表['#],0),MATCH(BG$5,生データ表[#Headers],0))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10.5288943691</v>
      </c>
      <c r="BH26" s="4">
        <f>IFERROR(ROUND(
(INDEX(生データ表[],MATCH($C26,生データ表['#],0),MATCH(BH$5,生データ表[#Headers],0))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1.1941618753000001</v>
      </c>
      <c r="BI26" s="4">
        <f>IFERROR(ROUND(
(INDEX(生データ表[],MATCH($C26,生データ表['#],0),MATCH(BI$5,生データ表[#Headers],0))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99.461732941899996</v>
      </c>
      <c r="BJ26" s="4">
        <f>IFERROR(ROUND(
(INDEX(生データ表[],MATCH($C26,生データ表['#],0),MATCH(BJ$5,生データ表[#Headers],0))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86.013493646200004</v>
      </c>
      <c r="BK26" s="4">
        <f>IFERROR(ROUND(
(INDEX(生データ表[],MATCH($C26,生データ表['#],0),MATCH(BK$5,生データ表[#Headers],0))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76.975169300199994</v>
      </c>
      <c r="BL26" s="4">
        <f>IFERROR(ROUND(
(INDEX(生データ表[],MATCH($C26,生データ表['#],0),MATCH(BL$5,生データ表[#Headers],0))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21.249150791000002</v>
      </c>
      <c r="BM26" s="4">
        <f>IFERROR(ROUND(
(INDEX(生データ表[],MATCH($C26,生データ表['#],0),MATCH(BM$5,生データ表[#Headers],0))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77.648766327999994</v>
      </c>
      <c r="BN26" s="4">
        <f>IFERROR(ROUND(
(INDEX(生データ表[],MATCH($C26,生データ表['#],0),MATCH(BN$5,生データ表[#Headers],0))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78.464176616200007</v>
      </c>
      <c r="BO26" s="4">
        <f>IFERROR(ROUND(
(INDEX(生データ表[],MATCH($C26,生データ表['#],0),MATCH(BO$5,生データ表[#Headers],0))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91.125372918400004</v>
      </c>
      <c r="BP26" s="4">
        <f>IFERROR(ROUND(
(INDEX(生データ表[],MATCH($C26,生データ表['#],0),MATCH(BP$5,生データ表[#Headers],0))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33.423913043500001</v>
      </c>
      <c r="BQ26" s="4">
        <f>IFERROR(ROUND(
(INDEX(生データ表[],MATCH($C26,生データ表['#],0),MATCH(BQ$5,生データ表[#Headers],0))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76.2147197484</v>
      </c>
      <c r="BR26" s="4">
        <f>IFERROR(ROUND(
(INDEX(生データ表[],MATCH($C26,生データ表['#],0),MATCH(BR$5,生データ表[#Headers],0))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20.686203400499998</v>
      </c>
      <c r="BS26" s="4">
        <f>IFERROR(ROUND(
(INDEX(生データ表[],MATCH($C26,生データ表['#],0),MATCH(BS$5,生データ表[#Headers],0))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15.1932388923</v>
      </c>
      <c r="BT26" s="4">
        <f>IFERROR(ROUND(
(INDEX(生データ表[],MATCH($C26,生データ表['#],0),MATCH(BT$5,生データ表[#Headers],0))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10.9220510462</v>
      </c>
      <c r="BU26" s="4">
        <f>IFERROR(ROUND(
(INDEX(生データ表[],MATCH($C26,生データ表['#],0),MATCH(BU$5,生データ表[#Headers],0))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82.514298210800007</v>
      </c>
      <c r="BV26" s="4">
        <f>IFERROR(ROUND(
(INDEX(生データ表[],MATCH($C26,生データ表['#],0),MATCH(BV$5,生データ表[#Headers],0))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76.190476190499993</v>
      </c>
      <c r="BW26" s="4">
        <f>IFERROR(ROUND(
(INDEX(生データ表[],MATCH($C26,生データ表['#],0),MATCH(BW$5,生データ表[#Headers],0))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35.556537102500002</v>
      </c>
      <c r="BX26" s="4">
        <f>IFERROR(ROUND(
(INDEX(生データ表[],MATCH($C26,生データ表['#],0),MATCH(BX$5,生データ表[#Headers],0))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60.515499825799999</v>
      </c>
      <c r="BY26" s="4">
        <f>IFERROR(ROUND(
(INDEX(生データ表[],MATCH($C26,生データ表['#],0),MATCH(BY$5,生データ表[#Headers],0))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67.479200046700001</v>
      </c>
      <c r="BZ26" s="4">
        <f t="shared" ref="BZ26:CI35" si="9">IFERROR(AVERAGEIF($63:$63,BZ$5,26:26),"-")</f>
        <v>38.187391733349997</v>
      </c>
      <c r="CA26" s="4">
        <f t="shared" si="9"/>
        <v>69.453641168350003</v>
      </c>
      <c r="CB26" s="4">
        <f t="shared" si="9"/>
        <v>4.8736777636499999</v>
      </c>
      <c r="CC26" s="4">
        <f t="shared" si="9"/>
        <v>33.904243332999997</v>
      </c>
      <c r="CD26" s="4">
        <f t="shared" si="9"/>
        <v>77.312044669200006</v>
      </c>
      <c r="CE26" s="4">
        <f t="shared" si="9"/>
        <v>84.615384615400004</v>
      </c>
      <c r="CF26" s="4">
        <f t="shared" si="9"/>
        <v>42.130461789800002</v>
      </c>
      <c r="CG26" s="4">
        <f t="shared" si="9"/>
        <v>38.792963460499998</v>
      </c>
      <c r="CH26" s="4">
        <f t="shared" si="9"/>
        <v>16.741632277499999</v>
      </c>
      <c r="CI26" s="4">
        <f t="shared" si="9"/>
        <v>37.5214983961</v>
      </c>
      <c r="CJ26" s="4">
        <f t="shared" ref="CJ26:CS35" si="10">IFERROR(AVERAGEIF($63:$63,CJ$5,26:26),"-")</f>
        <v>28.251663481566666</v>
      </c>
      <c r="CK26" s="4">
        <f t="shared" si="10"/>
        <v>8.0389828091333317</v>
      </c>
      <c r="CL26" s="4">
        <f t="shared" si="10"/>
        <v>49.805976525449999</v>
      </c>
      <c r="CM26" s="4">
        <f t="shared" si="10"/>
        <v>51.287041523150002</v>
      </c>
      <c r="CN26" s="4">
        <f t="shared" si="10"/>
        <v>74.76238145726667</v>
      </c>
      <c r="CO26" s="4">
        <f t="shared" si="10"/>
        <v>18.181615367150002</v>
      </c>
      <c r="CP26" s="4">
        <f t="shared" si="10"/>
        <v>98.482293423249999</v>
      </c>
      <c r="CQ26" s="4">
        <f t="shared" si="10"/>
        <v>73.012165590833334</v>
      </c>
      <c r="CR26" s="4">
        <f t="shared" si="10"/>
        <v>54.642709382549995</v>
      </c>
      <c r="CS26" s="4">
        <f t="shared" si="10"/>
        <v>37.061596395433334</v>
      </c>
      <c r="CT26" s="4">
        <f t="shared" ref="CT26:CY35" si="11">IFERROR(AVERAGEIF($63:$63,CT$5,26:26),"-")</f>
        <v>61.41260457913333</v>
      </c>
      <c r="CU26" s="4">
        <f t="shared" si="11"/>
        <v>82.412771954200011</v>
      </c>
      <c r="CV26" s="4">
        <f t="shared" si="11"/>
        <v>54.819316395949997</v>
      </c>
      <c r="CW26" s="4">
        <f t="shared" si="11"/>
        <v>17.9397211464</v>
      </c>
      <c r="CX26" s="4">
        <f t="shared" si="11"/>
        <v>56.542275149166663</v>
      </c>
      <c r="CY26" s="4">
        <f t="shared" si="11"/>
        <v>54.517078991666665</v>
      </c>
      <c r="CZ26" s="4">
        <f t="shared" ref="CZ26:DE35" si="12">SUMIF($64:$64,CZ$5,26:26)</f>
        <v>308.34638328295</v>
      </c>
      <c r="DA26" s="4">
        <f t="shared" si="12"/>
        <v>97.665057527800002</v>
      </c>
      <c r="DB26" s="4">
        <f t="shared" si="12"/>
        <v>174.90516273540001</v>
      </c>
      <c r="DC26" s="4">
        <f t="shared" si="12"/>
        <v>319.08116522104996</v>
      </c>
      <c r="DD26" s="4">
        <f t="shared" si="12"/>
        <v>180.88697292876668</v>
      </c>
      <c r="DE26" s="4">
        <f t="shared" si="12"/>
        <v>183.81839168318334</v>
      </c>
      <c r="DF26" s="76">
        <f t="shared" si="4"/>
        <v>1264.7031333791499</v>
      </c>
    </row>
    <row r="27" spans="1:110" hidden="1">
      <c r="A27" s="2">
        <v>22</v>
      </c>
      <c r="B27" s="58">
        <f>INDEX(順位表[Comprehensive],MATCH($C27,順位表['#],0))</f>
        <v>18</v>
      </c>
      <c r="C27" s="3">
        <v>22</v>
      </c>
      <c r="D27" s="1" t="str">
        <f>INDEX(都市マスタ[City Name],MATCH($C27,都市マスタ['#],0))</f>
        <v>Hong Kong</v>
      </c>
      <c r="E27" s="4">
        <f>IFERROR(ROUND(
(INDEX(生データ表[],MATCH($C27,生データ表['#],0),MATCH(E$5,生データ表[#Headers],0))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28.924487624600001</v>
      </c>
      <c r="F27" s="4">
        <f>IFERROR(ROUND(
(INDEX(生データ表[],MATCH($C27,生データ表['#],0),MATCH(F$5,生データ表[#Headers],0))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6.7022078330000001</v>
      </c>
      <c r="G27" s="4">
        <f>IFERROR(ROUND(
(INDEX(生データ表[],MATCH($C27,生データ表['#],0),MATCH(G$5,生データ表[#Headers],0))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4.7279062300000001E-2</v>
      </c>
      <c r="H27" s="4">
        <f>IFERROR(ROUND(
(INDEX(生データ表[],MATCH($C27,生データ表['#],0),MATCH(H$5,生データ表[#Headers],0))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39.126937807700003</v>
      </c>
      <c r="I27" s="4">
        <f>IFERROR(ROUND(
(INDEX(生データ表[],MATCH($C27,生データ表['#],0),MATCH(I$5,生データ表[#Headers],0))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20.907130972699999</v>
      </c>
      <c r="J27" s="4">
        <f>IFERROR(ROUND(
(INDEX(生データ表[],MATCH($C27,生データ表['#],0),MATCH(J$5,生データ表[#Headers],0))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25.5811181282</v>
      </c>
      <c r="K27" s="4">
        <f>IFERROR(ROUND(
(INDEX(生データ表[],MATCH($C27,生データ表['#],0),MATCH(K$5,生データ表[#Headers],0))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0</v>
      </c>
      <c r="L27" s="4">
        <f>IFERROR(ROUND(
(INDEX(生データ表[],MATCH($C27,生データ表['#],0),MATCH(L$5,生データ表[#Headers],0))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11.332600353</v>
      </c>
      <c r="M27" s="4">
        <f>IFERROR(ROUND(
(INDEX(生データ表[],MATCH($C27,生データ表['#],0),MATCH(M$5,生データ表[#Headers],0))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6.9763861558000002</v>
      </c>
      <c r="N27" s="4">
        <f>IFERROR(ROUND(
(INDEX(生データ表[],MATCH($C27,生データ表['#],0),MATCH(N$5,生データ表[#Headers],0))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25.6457291123</v>
      </c>
      <c r="O27" s="4">
        <f>IFERROR(ROUND(
(INDEX(生データ表[],MATCH($C27,生データ表['#],0),MATCH(O$5,生データ表[#Headers],0))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59.275167335699997</v>
      </c>
      <c r="P27" s="4">
        <f>IFERROR(ROUND(
(INDEX(生データ表[],MATCH($C27,生データ表['#],0),MATCH(P$5,生データ表[#Headers],0))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41.995066685200001</v>
      </c>
      <c r="Q27" s="4">
        <f>IFERROR(ROUND(
(INDEX(生データ表[],MATCH($C27,生データ表['#],0),MATCH(Q$5,生データ表[#Headers],0))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37.8719348682</v>
      </c>
      <c r="R27" s="4">
        <f>IFERROR(ROUND(
(INDEX(生データ表[],MATCH($C27,生データ表['#],0),MATCH(R$5,生データ表[#Headers],0))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81.686359289799995</v>
      </c>
      <c r="S27" s="4">
        <f>IFERROR(ROUND(
(INDEX(生データ表[],MATCH($C27,生データ表['#],0),MATCH(S$5,生データ表[#Headers],0))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71.153846153800004</v>
      </c>
      <c r="T27" s="4">
        <f>IFERROR(ROUND(
(INDEX(生データ表[],MATCH($C27,生データ表['#],0),MATCH(T$5,生データ表[#Headers],0))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98.297896136299997</v>
      </c>
      <c r="U27" s="4">
        <f>IFERROR(ROUND(
(INDEX(生データ表[],MATCH($C27,生データ表['#],0),MATCH(U$5,生データ表[#Headers],0))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32.4343041447</v>
      </c>
      <c r="V27" s="4">
        <f>IFERROR(ROUND(
(INDEX(生データ表[],MATCH($C27,生データ表['#],0),MATCH(V$5,生データ表[#Headers],0))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87.515762925600001</v>
      </c>
      <c r="W27" s="4">
        <f>IFERROR(ROUND(
(INDEX(生データ表[],MATCH($C27,生データ表['#],0),MATCH(W$5,生データ表[#Headers],0))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7.7804225798999997</v>
      </c>
      <c r="X27" s="4">
        <f>IFERROR(ROUND(
(INDEX(生データ表[],MATCH($C27,生データ表['#],0),MATCH(X$5,生データ表[#Headers],0))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22.109356624699998</v>
      </c>
      <c r="Y27" s="4">
        <f>IFERROR(ROUND(
(INDEX(生データ表[],MATCH($C27,生データ表['#],0),MATCH(Y$5,生データ表[#Headers],0))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80.035821645599995</v>
      </c>
      <c r="Z27" s="4">
        <f>IFERROR(ROUND(
(INDEX(生データ表[],MATCH($C27,生データ表['#],0),MATCH(Z$5,生データ表[#Headers],0))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26.153119491000002</v>
      </c>
      <c r="AA27" s="4">
        <f>IFERROR(ROUND(
(INDEX(生データ表[],MATCH($C27,生データ表['#],0),MATCH(AA$5,生データ表[#Headers],0))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27" s="4">
        <f>IFERROR(ROUND(
(INDEX(生データ表[],MATCH($C27,生データ表['#],0),MATCH(AB$5,生データ表[#Headers],0))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6.2234042553000002</v>
      </c>
      <c r="AC27" s="4">
        <f>IFERROR(ROUND(
(INDEX(生データ表[],MATCH($C27,生データ表['#],0),MATCH(AC$5,生データ表[#Headers],0))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4.4164037855</v>
      </c>
      <c r="AD27" s="4">
        <f>IFERROR(ROUND(
(INDEX(生データ表[],MATCH($C27,生データ表['#],0),MATCH(AD$5,生データ表[#Headers],0))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25.4545454545</v>
      </c>
      <c r="AE27" s="4">
        <f>IFERROR(ROUND(
(INDEX(生データ表[],MATCH($C27,生データ表['#],0),MATCH(AE$5,生データ表[#Headers],0))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42.991759726200002</v>
      </c>
      <c r="AF27" s="4">
        <f>IFERROR(ROUND(
(INDEX(生データ表[],MATCH($C27,生データ表['#],0),MATCH(AF$5,生データ表[#Headers],0))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5.1303445051000001</v>
      </c>
      <c r="AG27" s="4">
        <f>IFERROR(ROUND(
(INDEX(生データ表[],MATCH($C27,生データ表['#],0),MATCH(AG$5,生データ表[#Headers],0))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37.049887785599999</v>
      </c>
      <c r="AH27" s="4">
        <f>IFERROR(ROUND(
(INDEX(生データ表[],MATCH($C27,生データ表['#],0),MATCH(AH$5,生データ表[#Headers],0))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5</v>
      </c>
      <c r="AI27" s="4">
        <f>IFERROR(ROUND(
(INDEX(生データ表[],MATCH($C27,生データ表['#],0),MATCH(AI$5,生データ表[#Headers],0))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30.1521555918</v>
      </c>
      <c r="AJ27" s="4">
        <f>IFERROR(ROUND(
(INDEX(生データ表[],MATCH($C27,生データ表['#],0),MATCH(AJ$5,生データ表[#Headers],0))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3.9419087137000002</v>
      </c>
      <c r="AK27" s="4">
        <f>IFERROR(ROUND(
(INDEX(生データ表[],MATCH($C27,生データ表['#],0),MATCH(AK$5,生データ表[#Headers],0))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8.2191780821999991</v>
      </c>
      <c r="AL27" s="4">
        <f>IFERROR(ROUND(
(INDEX(生データ表[],MATCH($C27,生データ表['#],0),MATCH(AL$5,生データ表[#Headers],0))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26.315789473700001</v>
      </c>
      <c r="AM27" s="4">
        <f>IFERROR(ROUND(
(INDEX(生データ表[],MATCH($C27,生データ表['#],0),MATCH(AM$5,生データ表[#Headers],0))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35.3816011575</v>
      </c>
      <c r="AN27" s="4">
        <f>IFERROR(ROUND(
(INDEX(生データ表[],MATCH($C27,生データ表['#],0),MATCH(AN$5,生データ表[#Headers],0))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45.282556786900003</v>
      </c>
      <c r="AO27" s="4">
        <f>IFERROR(ROUND(
(INDEX(生データ表[],MATCH($C27,生データ表['#],0),MATCH(AO$5,生データ表[#Headers],0))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45.768084678900003</v>
      </c>
      <c r="AP27" s="4">
        <f>IFERROR(ROUND(
(INDEX(生データ表[],MATCH($C27,生データ表['#],0),MATCH(AP$5,生データ表[#Headers],0))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41.795190605800002</v>
      </c>
      <c r="AQ27" s="4">
        <f>IFERROR(ROUND(
(INDEX(生データ表[],MATCH($C27,生データ表['#],0),MATCH(AQ$5,生データ表[#Headers],0))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20.5312340005</v>
      </c>
      <c r="AR27" s="4">
        <f>IFERROR(ROUND(
(INDEX(生データ表[],MATCH($C27,生データ表['#],0),MATCH(AR$5,生データ表[#Headers],0))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0.77921326570000005</v>
      </c>
      <c r="AS27" s="4">
        <f>IFERROR(ROUND(
(INDEX(生データ表[],MATCH($C27,生データ表['#],0),MATCH(AS$5,生データ表[#Headers],0))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88.852386746199997</v>
      </c>
      <c r="AT27" s="4">
        <f>IFERROR(ROUND(
(INDEX(生データ表[],MATCH($C27,生データ表['#],0),MATCH(AT$5,生データ表[#Headers],0))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66.929361239299993</v>
      </c>
      <c r="AU27" s="4">
        <f>IFERROR(ROUND(
(INDEX(生データ表[],MATCH($C27,生データ表['#],0),MATCH(AU$5,生データ表[#Headers],0))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54.488808227500002</v>
      </c>
      <c r="AV27" s="4">
        <f>IFERROR(ROUND(
(INDEX(生データ表[],MATCH($C27,生データ表['#],0),MATCH(AV$5,生データ表[#Headers],0))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43.872250203100002</v>
      </c>
      <c r="AW27" s="4">
        <f>IFERROR(ROUND(
(INDEX(生データ表[],MATCH($C27,生データ表['#],0),MATCH(AW$5,生データ表[#Headers],0))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49.967782157000002</v>
      </c>
      <c r="AX27" s="4">
        <f>IFERROR(ROUND(
(INDEX(生データ表[],MATCH($C27,生データ表['#],0),MATCH(AX$5,生データ表[#Headers],0))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99.236558705600004</v>
      </c>
      <c r="AY27" s="4">
        <f>IFERROR(ROUND(
(INDEX(生データ表[],MATCH($C27,生データ表['#],0),MATCH(AY$5,生データ表[#Headers],0))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96.290050590199996</v>
      </c>
      <c r="AZ27" s="4">
        <f>IFERROR(ROUND(
(INDEX(生データ表[],MATCH($C27,生データ表['#],0),MATCH(AZ$5,生データ表[#Headers],0))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100</v>
      </c>
      <c r="BA27" s="4">
        <f>IFERROR(ROUND(
(INDEX(生データ表[],MATCH($C27,生データ表['#],0),MATCH(BA$5,生データ表[#Headers],0))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38.417419320699999</v>
      </c>
      <c r="BB27" s="4">
        <f>IFERROR(ROUND(
(INDEX(生データ表[],MATCH($C27,生データ表['#],0),MATCH(BB$5,生データ表[#Headers],0))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70.572134539800004</v>
      </c>
      <c r="BC27" s="4">
        <f>IFERROR(ROUND(
(INDEX(生データ表[],MATCH($C27,生データ表['#],0),MATCH(BC$5,生データ表[#Headers],0))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30.7988730577</v>
      </c>
      <c r="BD27" s="4">
        <f>IFERROR(ROUND(
(INDEX(生データ表[],MATCH($C27,生データ表['#],0),MATCH(BD$5,生データ表[#Headers],0))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51.132466100899997</v>
      </c>
      <c r="BE27" s="4">
        <f>IFERROR(ROUND(
(INDEX(生データ表[],MATCH($C27,生データ表['#],0),MATCH(BE$5,生データ表[#Headers],0))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47.146880971400002</v>
      </c>
      <c r="BF27" s="4">
        <f>IFERROR(ROUND(
(INDEX(生データ表[],MATCH($C27,生データ表['#],0),MATCH(BF$5,生データ表[#Headers],0))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61.005349200700003</v>
      </c>
      <c r="BG27" s="4">
        <f>IFERROR(ROUND(
(INDEX(生データ表[],MATCH($C27,生データ表['#],0),MATCH(BG$5,生データ表[#Headers],0))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34.4841759145</v>
      </c>
      <c r="BH27" s="4">
        <f>IFERROR(ROUND(
(INDEX(生データ表[],MATCH($C27,生データ表['#],0),MATCH(BH$5,生データ表[#Headers],0))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0.17691287040000001</v>
      </c>
      <c r="BI27" s="4">
        <f>IFERROR(ROUND(
(INDEX(生データ表[],MATCH($C27,生データ表['#],0),MATCH(BI$5,生データ表[#Headers],0))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58.526946410500003</v>
      </c>
      <c r="BJ27" s="4">
        <f>IFERROR(ROUND(
(INDEX(生データ表[],MATCH($C27,生データ表['#],0),MATCH(BJ$5,生データ表[#Headers],0))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92.872765023499994</v>
      </c>
      <c r="BK27" s="4">
        <f>IFERROR(ROUND(
(INDEX(生データ表[],MATCH($C27,生データ表['#],0),MATCH(BK$5,生データ表[#Headers],0))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74.492099322800001</v>
      </c>
      <c r="BL27" s="4">
        <f>IFERROR(ROUND(
(INDEX(生データ表[],MATCH($C27,生データ表['#],0),MATCH(BL$5,生データ表[#Headers],0))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60.200958886800002</v>
      </c>
      <c r="BM27" s="4">
        <f>IFERROR(ROUND(
(INDEX(生データ表[],MATCH($C27,生データ表['#],0),MATCH(BM$5,生データ表[#Headers],0))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36.284470246700003</v>
      </c>
      <c r="BN27" s="4">
        <f>IFERROR(ROUND(
(INDEX(生データ表[],MATCH($C27,生データ表['#],0),MATCH(BN$5,生データ表[#Headers],0))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75.9073746503</v>
      </c>
      <c r="BO27" s="4">
        <f>IFERROR(ROUND(
(INDEX(生データ表[],MATCH($C27,生データ表['#],0),MATCH(BO$5,生データ表[#Headers],0))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40.160039337699999</v>
      </c>
      <c r="BP27" s="4">
        <f>IFERROR(ROUND(
(INDEX(生データ表[],MATCH($C27,生データ表['#],0),MATCH(BP$5,生データ表[#Headers],0))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23.913043478300001</v>
      </c>
      <c r="BQ27" s="4">
        <f>IFERROR(ROUND(
(INDEX(生データ表[],MATCH($C27,生データ表['#],0),MATCH(BQ$5,生データ表[#Headers],0))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83.661374593800005</v>
      </c>
      <c r="BR27" s="4">
        <f>IFERROR(ROUND(
(INDEX(生データ表[],MATCH($C27,生データ表['#],0),MATCH(BR$5,生データ表[#Headers],0))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0</v>
      </c>
      <c r="BS27" s="4">
        <f>IFERROR(ROUND(
(INDEX(生データ表[],MATCH($C27,生データ表['#],0),MATCH(BS$5,生データ表[#Headers],0))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2.8765513239999998</v>
      </c>
      <c r="BT27" s="4">
        <f>IFERROR(ROUND(
(INDEX(生データ表[],MATCH($C27,生データ表['#],0),MATCH(BT$5,生データ表[#Headers],0))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17.4752816739</v>
      </c>
      <c r="BU27" s="4">
        <f>IFERROR(ROUND(
(INDEX(生データ表[],MATCH($C27,生データ表['#],0),MATCH(BU$5,生データ表[#Headers],0))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94.561050639100003</v>
      </c>
      <c r="BV27" s="4">
        <f>IFERROR(ROUND(
(INDEX(生データ表[],MATCH($C27,生データ表['#],0),MATCH(BV$5,生データ表[#Headers],0))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57.142857142899999</v>
      </c>
      <c r="BW27" s="4">
        <f>IFERROR(ROUND(
(INDEX(生データ表[],MATCH($C27,生データ表['#],0),MATCH(BW$5,生データ表[#Headers],0))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24.227031802100001</v>
      </c>
      <c r="BX27" s="4">
        <f>IFERROR(ROUND(
(INDEX(生データ表[],MATCH($C27,生データ表['#],0),MATCH(BX$5,生データ表[#Headers],0))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60.515499825799999</v>
      </c>
      <c r="BY27" s="4">
        <f>IFERROR(ROUND(
(INDEX(生データ表[],MATCH($C27,生データ表['#],0),MATCH(BY$5,生データ表[#Headers],0))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38.267385253299999</v>
      </c>
      <c r="BZ27" s="4">
        <f t="shared" si="9"/>
        <v>30.017034390200003</v>
      </c>
      <c r="CA27" s="4">
        <f t="shared" si="9"/>
        <v>12.7905590641</v>
      </c>
      <c r="CB27" s="4">
        <f t="shared" si="9"/>
        <v>9.1544932544000002</v>
      </c>
      <c r="CC27" s="4">
        <f t="shared" si="9"/>
        <v>42.460448223999997</v>
      </c>
      <c r="CD27" s="4">
        <f t="shared" si="9"/>
        <v>53.851120281066663</v>
      </c>
      <c r="CE27" s="4">
        <f t="shared" si="9"/>
        <v>84.725871145050007</v>
      </c>
      <c r="CF27" s="4">
        <f t="shared" si="9"/>
        <v>59.975033535150004</v>
      </c>
      <c r="CG27" s="4">
        <f t="shared" si="9"/>
        <v>36.641866950066664</v>
      </c>
      <c r="CH27" s="4">
        <f t="shared" si="9"/>
        <v>10.792174582100001</v>
      </c>
      <c r="CI27" s="4">
        <f t="shared" si="9"/>
        <v>19.498263367825</v>
      </c>
      <c r="CJ27" s="4">
        <f t="shared" si="10"/>
        <v>24.067347792466666</v>
      </c>
      <c r="CK27" s="4">
        <f t="shared" si="10"/>
        <v>12.8256254232</v>
      </c>
      <c r="CL27" s="4">
        <f t="shared" si="10"/>
        <v>42.056858307275</v>
      </c>
      <c r="CM27" s="4">
        <f t="shared" si="10"/>
        <v>10.6552236331</v>
      </c>
      <c r="CN27" s="4">
        <f t="shared" si="10"/>
        <v>70.090185404333326</v>
      </c>
      <c r="CO27" s="4">
        <f t="shared" si="10"/>
        <v>46.920016180049998</v>
      </c>
      <c r="CP27" s="4">
        <f t="shared" si="10"/>
        <v>97.7633046479</v>
      </c>
      <c r="CQ27" s="4">
        <f t="shared" si="10"/>
        <v>69.66318462016666</v>
      </c>
      <c r="CR27" s="4">
        <f t="shared" si="10"/>
        <v>47.520892332675004</v>
      </c>
      <c r="CS27" s="4">
        <f t="shared" si="10"/>
        <v>31.062678398466669</v>
      </c>
      <c r="CT27" s="4">
        <f t="shared" si="11"/>
        <v>75.855274411033335</v>
      </c>
      <c r="CU27" s="4">
        <f t="shared" si="11"/>
        <v>50.783961411566672</v>
      </c>
      <c r="CV27" s="4">
        <f t="shared" si="11"/>
        <v>53.787209036050001</v>
      </c>
      <c r="CW27" s="4">
        <f t="shared" si="11"/>
        <v>1.4382756619999999</v>
      </c>
      <c r="CX27" s="4">
        <f t="shared" si="11"/>
        <v>56.393063151966665</v>
      </c>
      <c r="CY27" s="4">
        <f t="shared" si="11"/>
        <v>41.003305627066673</v>
      </c>
      <c r="CZ27" s="4">
        <f t="shared" si="12"/>
        <v>232.99952635881667</v>
      </c>
      <c r="DA27" s="4">
        <f t="shared" si="12"/>
        <v>107.40907506731666</v>
      </c>
      <c r="DB27" s="4">
        <f t="shared" si="12"/>
        <v>109.10331852386668</v>
      </c>
      <c r="DC27" s="4">
        <f t="shared" si="12"/>
        <v>331.95758318512503</v>
      </c>
      <c r="DD27" s="4">
        <f t="shared" si="12"/>
        <v>157.70191422106669</v>
      </c>
      <c r="DE27" s="4">
        <f t="shared" si="12"/>
        <v>152.62185347708333</v>
      </c>
      <c r="DF27" s="76">
        <f t="shared" si="4"/>
        <v>1091.7932708332751</v>
      </c>
    </row>
    <row r="28" spans="1:110" hidden="1">
      <c r="A28" s="2">
        <v>23</v>
      </c>
      <c r="B28" s="58">
        <f>INDEX(順位表[Comprehensive],MATCH($C28,順位表['#],0))</f>
        <v>17</v>
      </c>
      <c r="C28" s="3">
        <v>23</v>
      </c>
      <c r="D28" s="1" t="str">
        <f>INDEX(都市マスタ[City Name],MATCH($C28,都市マスタ['#],0))</f>
        <v>Beijing</v>
      </c>
      <c r="E28" s="4">
        <f>IFERROR(ROUND(
(INDEX(生データ表[],MATCH($C28,生データ表['#],0),MATCH(E$5,生データ表[#Headers],0))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87.815476010099999</v>
      </c>
      <c r="F28" s="4">
        <f>IFERROR(ROUND(
(INDEX(生データ表[],MATCH($C28,生データ表['#],0),MATCH(F$5,生データ表[#Headers],0))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100</v>
      </c>
      <c r="G28" s="4">
        <f>IFERROR(ROUND(
(INDEX(生データ表[],MATCH($C28,生データ表['#],0),MATCH(G$5,生データ表[#Headers],0))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3.9863927399999999E-2</v>
      </c>
      <c r="H28" s="4">
        <f>IFERROR(ROUND(
(INDEX(生データ表[],MATCH($C28,生データ表['#],0),MATCH(H$5,生データ表[#Headers],0))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68.102745728299993</v>
      </c>
      <c r="I28" s="4">
        <f>IFERROR(ROUND(
(INDEX(生データ表[],MATCH($C28,生データ表['#],0),MATCH(I$5,生データ表[#Headers],0))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11.548476081700001</v>
      </c>
      <c r="J28" s="4">
        <f>IFERROR(ROUND(
(INDEX(生データ表[],MATCH($C28,生データ表['#],0),MATCH(J$5,生データ表[#Headers],0))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60.0269325071</v>
      </c>
      <c r="K28" s="4">
        <f>IFERROR(ROUND(
(INDEX(生データ表[],MATCH($C28,生データ表['#],0),MATCH(K$5,生データ表[#Headers],0))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0</v>
      </c>
      <c r="L28" s="4">
        <f>IFERROR(ROUND(
(INDEX(生データ表[],MATCH($C28,生データ表['#],0),MATCH(L$5,生データ表[#Headers],0))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0.10919433100000001</v>
      </c>
      <c r="M28" s="4">
        <f>IFERROR(ROUND(
(INDEX(生データ表[],MATCH($C28,生データ表['#],0),MATCH(M$5,生データ表[#Headers],0))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100</v>
      </c>
      <c r="N28" s="4">
        <f>IFERROR(ROUND(
(INDEX(生データ表[],MATCH($C28,生データ表['#],0),MATCH(N$5,生データ表[#Headers],0))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83.949087438800007</v>
      </c>
      <c r="O28" s="4">
        <f>IFERROR(ROUND(
(INDEX(生データ表[],MATCH($C28,生データ表['#],0),MATCH(O$5,生データ表[#Headers],0))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84.902478839799997</v>
      </c>
      <c r="P28" s="4">
        <f>IFERROR(ROUND(
(INDEX(生データ表[],MATCH($C28,生データ表['#],0),MATCH(P$5,生データ表[#Headers],0))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23.7623006874</v>
      </c>
      <c r="Q28" s="4">
        <f>IFERROR(ROUND(
(INDEX(生データ表[],MATCH($C28,生データ表['#],0),MATCH(Q$5,生データ表[#Headers],0))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28.662983075900001</v>
      </c>
      <c r="R28" s="4">
        <f>IFERROR(ROUND(
(INDEX(生データ表[],MATCH($C28,生データ表['#],0),MATCH(R$5,生データ表[#Headers],0))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84.138582633699997</v>
      </c>
      <c r="S28" s="4">
        <f>IFERROR(ROUND(
(INDEX(生データ表[],MATCH($C28,生データ表['#],0),MATCH(S$5,生データ表[#Headers],0))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38.461538461499998</v>
      </c>
      <c r="T28" s="4">
        <f>IFERROR(ROUND(
(INDEX(生データ表[],MATCH($C28,生データ表['#],0),MATCH(T$5,生データ表[#Headers],0))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80.753162602399996</v>
      </c>
      <c r="U28" s="4">
        <f>IFERROR(ROUND(
(INDEX(生データ表[],MATCH($C28,生データ表['#],0),MATCH(U$5,生データ表[#Headers],0))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35.5452808975</v>
      </c>
      <c r="V28" s="4">
        <f>IFERROR(ROUND(
(INDEX(生データ表[],MATCH($C28,生データ表['#],0),MATCH(V$5,生データ表[#Headers],0))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47.414880201800003</v>
      </c>
      <c r="W28" s="4">
        <f>IFERROR(ROUND(
(INDEX(生データ表[],MATCH($C28,生データ表['#],0),MATCH(W$5,生データ表[#Headers],0))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13.0481516409</v>
      </c>
      <c r="X28" s="4">
        <f>IFERROR(ROUND(
(INDEX(生データ表[],MATCH($C28,生データ表['#],0),MATCH(X$5,生データ表[#Headers],0))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14.6393750566</v>
      </c>
      <c r="Y28" s="4">
        <f>IFERROR(ROUND(
(INDEX(生データ表[],MATCH($C28,生データ表['#],0),MATCH(Y$5,生データ表[#Headers],0))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100</v>
      </c>
      <c r="Z28" s="4">
        <f>IFERROR(ROUND(
(INDEX(生データ表[],MATCH($C28,生データ表['#],0),MATCH(Z$5,生データ表[#Headers],0))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21.4823969939</v>
      </c>
      <c r="AA28" s="4">
        <f>IFERROR(ROUND(
(INDEX(生データ表[],MATCH($C28,生データ表['#],0),MATCH(AA$5,生データ表[#Headers],0))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4.2345276873</v>
      </c>
      <c r="AB28" s="4">
        <f>IFERROR(ROUND(
(INDEX(生データ表[],MATCH($C28,生データ表['#],0),MATCH(AB$5,生データ表[#Headers],0))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1.7375886524999999</v>
      </c>
      <c r="AC28" s="4">
        <f>IFERROR(ROUND(
(INDEX(生データ表[],MATCH($C28,生データ表['#],0),MATCH(AC$5,生データ表[#Headers],0))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5.3627760251999996</v>
      </c>
      <c r="AD28" s="4">
        <f>IFERROR(ROUND(
(INDEX(生データ表[],MATCH($C28,生データ表['#],0),MATCH(AD$5,生データ表[#Headers],0))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77.777777777799997</v>
      </c>
      <c r="AE28" s="4">
        <f>IFERROR(ROUND(
(INDEX(生データ表[],MATCH($C28,生データ表['#],0),MATCH(AE$5,生データ表[#Headers],0))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6.7405691865000001</v>
      </c>
      <c r="AF28" s="4">
        <f>IFERROR(ROUND(
(INDEX(生データ表[],MATCH($C28,生データ表['#],0),MATCH(AF$5,生データ表[#Headers],0))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13.4024186929</v>
      </c>
      <c r="AG28" s="4">
        <f>IFERROR(ROUND(
(INDEX(生データ表[],MATCH($C28,生データ表['#],0),MATCH(AG$5,生データ表[#Headers],0))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55.8107139691</v>
      </c>
      <c r="AH28" s="4">
        <f>IFERROR(ROUND(
(INDEX(生データ表[],MATCH($C28,生データ表['#],0),MATCH(AH$5,生データ表[#Headers],0))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35</v>
      </c>
      <c r="AI28" s="4">
        <f>IFERROR(ROUND(
(INDEX(生データ表[],MATCH($C28,生データ表['#],0),MATCH(AI$5,生データ表[#Headers],0))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36.9549202659</v>
      </c>
      <c r="AJ28" s="4">
        <f>IFERROR(ROUND(
(INDEX(生データ表[],MATCH($C28,生データ表['#],0),MATCH(AJ$5,生データ表[#Headers],0))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10.5809128631</v>
      </c>
      <c r="AK28" s="4">
        <f>IFERROR(ROUND(
(INDEX(生データ表[],MATCH($C28,生データ表['#],0),MATCH(AK$5,生データ表[#Headers],0))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25.342465753399999</v>
      </c>
      <c r="AL28" s="4">
        <f>IFERROR(ROUND(
(INDEX(生データ表[],MATCH($C28,生データ表['#],0),MATCH(AL$5,生データ表[#Headers],0))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63.157894736800003</v>
      </c>
      <c r="AM28" s="4">
        <f>IFERROR(ROUND(
(INDEX(生データ表[],MATCH($C28,生データ表['#],0),MATCH(AM$5,生データ表[#Headers],0))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37.076802507799997</v>
      </c>
      <c r="AN28" s="4">
        <f>IFERROR(ROUND(
(INDEX(生データ表[],MATCH($C28,生データ表['#],0),MATCH(AN$5,生データ表[#Headers],0))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52.8959774689</v>
      </c>
      <c r="AO28" s="4">
        <f>IFERROR(ROUND(
(INDEX(生データ表[],MATCH($C28,生データ表['#],0),MATCH(AO$5,生データ表[#Headers],0))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35.211873508799997</v>
      </c>
      <c r="AP28" s="4">
        <f>IFERROR(ROUND(
(INDEX(生データ表[],MATCH($C28,生データ表['#],0),MATCH(AP$5,生データ表[#Headers],0))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37.455520900800003</v>
      </c>
      <c r="AQ28" s="4">
        <f>IFERROR(ROUND(
(INDEX(生データ表[],MATCH($C28,生データ表['#],0),MATCH(AQ$5,生データ表[#Headers],0))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1.7031090965</v>
      </c>
      <c r="AR28" s="4">
        <f>IFERROR(ROUND(
(INDEX(生データ表[],MATCH($C28,生データ表['#],0),MATCH(AR$5,生データ表[#Headers],0))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0.73834575989999995</v>
      </c>
      <c r="AS28" s="4">
        <f>IFERROR(ROUND(
(INDEX(生データ表[],MATCH($C28,生データ表['#],0),MATCH(AS$5,生データ表[#Headers],0))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91.956454053100003</v>
      </c>
      <c r="AT28" s="4">
        <f>IFERROR(ROUND(
(INDEX(生データ表[],MATCH($C28,生データ表['#],0),MATCH(AT$5,生データ表[#Headers],0))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62.639399455700001</v>
      </c>
      <c r="AU28" s="4">
        <f>IFERROR(ROUND(
(INDEX(生データ表[],MATCH($C28,生データ表['#],0),MATCH(AU$5,生データ表[#Headers],0))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77.203065134100001</v>
      </c>
      <c r="AV28" s="4">
        <f>IFERROR(ROUND(
(INDEX(生データ表[],MATCH($C28,生データ表['#],0),MATCH(AV$5,生データ表[#Headers],0))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74.740397698099997</v>
      </c>
      <c r="AW28" s="4">
        <f>IFERROR(ROUND(
(INDEX(生データ表[],MATCH($C28,生データ表['#],0),MATCH(AW$5,生データ表[#Headers],0))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80.915472874200006</v>
      </c>
      <c r="AX28" s="4">
        <f>IFERROR(ROUND(
(INDEX(生データ表[],MATCH($C28,生データ表['#],0),MATCH(AX$5,生データ表[#Headers],0))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99.0931137659</v>
      </c>
      <c r="AY28" s="4">
        <f>IFERROR(ROUND(
(INDEX(生データ表[],MATCH($C28,生データ表['#],0),MATCH(AY$5,生データ表[#Headers],0))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95.615514333899995</v>
      </c>
      <c r="AZ28" s="4">
        <f>IFERROR(ROUND(
(INDEX(生データ表[],MATCH($C28,生データ表['#],0),MATCH(AZ$5,生データ表[#Headers],0))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59.922695977799997</v>
      </c>
      <c r="BA28" s="4">
        <f>IFERROR(ROUND(
(INDEX(生データ表[],MATCH($C28,生データ表['#],0),MATCH(BA$5,生データ表[#Headers],0))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6.1600426777999999</v>
      </c>
      <c r="BB28" s="4">
        <f>IFERROR(ROUND(
(INDEX(生データ表[],MATCH($C28,生データ表['#],0),MATCH(BB$5,生データ表[#Headers],0))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14.896784291399999</v>
      </c>
      <c r="BC28" s="4">
        <f>IFERROR(ROUND(
(INDEX(生データ表[],MATCH($C28,生データ表['#],0),MATCH(BC$5,生データ表[#Headers],0))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24.92639896</v>
      </c>
      <c r="BD28" s="4">
        <f>IFERROR(ROUND(
(INDEX(生データ表[],MATCH($C28,生データ表['#],0),MATCH(BD$5,生データ表[#Headers],0))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74.495834218200002</v>
      </c>
      <c r="BE28" s="4">
        <f>IFERROR(ROUND(
(INDEX(生データ表[],MATCH($C28,生データ表['#],0),MATCH(BE$5,生データ表[#Headers],0))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39.650008841400002</v>
      </c>
      <c r="BF28" s="4">
        <f>IFERROR(ROUND(
(INDEX(生データ表[],MATCH($C28,生データ表['#],0),MATCH(BF$5,生データ表[#Headers],0))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56.769455460300001</v>
      </c>
      <c r="BG28" s="4">
        <f>IFERROR(ROUND(
(INDEX(生データ表[],MATCH($C28,生データ表['#],0),MATCH(BG$5,生データ表[#Headers],0))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32.170982326299999</v>
      </c>
      <c r="BH28" s="4">
        <f>IFERROR(ROUND(
(INDEX(生データ表[],MATCH($C28,生データ表['#],0),MATCH(BH$5,生データ表[#Headers],0))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20.632463511699999</v>
      </c>
      <c r="BI28" s="4">
        <f>IFERROR(ROUND(
(INDEX(生データ表[],MATCH($C28,生データ表['#],0),MATCH(BI$5,生データ表[#Headers],0))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63.952928572399998</v>
      </c>
      <c r="BJ28" s="4">
        <f>IFERROR(ROUND(
(INDEX(生データ表[],MATCH($C28,生データ表['#],0),MATCH(BJ$5,生データ表[#Headers],0))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65.266111595799998</v>
      </c>
      <c r="BK28" s="4">
        <f>IFERROR(ROUND(
(INDEX(生データ表[],MATCH($C28,生データ表['#],0),MATCH(BK$5,生データ表[#Headers],0))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39.7291196388</v>
      </c>
      <c r="BL28" s="4">
        <f>IFERROR(ROUND(
(INDEX(生データ表[],MATCH($C28,生データ表['#],0),MATCH(BL$5,生データ表[#Headers],0))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47.567185531900002</v>
      </c>
      <c r="BM28" s="4">
        <f>IFERROR(ROUND(
(INDEX(生データ表[],MATCH($C28,生データ表['#],0),MATCH(BM$5,生データ表[#Headers],0))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13.9332365747</v>
      </c>
      <c r="BN28" s="4">
        <f>IFERROR(ROUND(
(INDEX(生データ表[],MATCH($C28,生データ表['#],0),MATCH(BN$5,生データ表[#Headers],0))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61.968703926400003</v>
      </c>
      <c r="BO28" s="4">
        <f>IFERROR(ROUND(
(INDEX(生データ表[],MATCH($C28,生データ表['#],0),MATCH(BO$5,生データ表[#Headers],0))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66.7385761659</v>
      </c>
      <c r="BP28" s="4">
        <f>IFERROR(ROUND(
(INDEX(生データ表[],MATCH($C28,生データ表['#],0),MATCH(BP$5,生データ表[#Headers],0))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12.7717391304</v>
      </c>
      <c r="BQ28" s="4">
        <f>IFERROR(ROUND(
(INDEX(生データ表[],MATCH($C28,生データ表['#],0),MATCH(BQ$5,生データ表[#Headers],0))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7.8229847412</v>
      </c>
      <c r="BR28" s="4">
        <f>IFERROR(ROUND(
(INDEX(生データ表[],MATCH($C28,生データ表['#],0),MATCH(BR$5,生データ表[#Headers],0))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5.4948745719999996</v>
      </c>
      <c r="BS28" s="4">
        <f>IFERROR(ROUND(
(INDEX(生データ表[],MATCH($C28,生データ表['#],0),MATCH(BS$5,生データ表[#Headers],0))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17.374828578799999</v>
      </c>
      <c r="BT28" s="4">
        <f>IFERROR(ROUND(
(INDEX(生データ表[],MATCH($C28,生データ表['#],0),MATCH(BT$5,生データ表[#Headers],0))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19.659691883200001</v>
      </c>
      <c r="BU28" s="4">
        <f>IFERROR(ROUND(
(INDEX(生データ表[],MATCH($C28,生データ表['#],0),MATCH(BU$5,生データ表[#Headers],0))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50.677124675599998</v>
      </c>
      <c r="BV28" s="4">
        <f>IFERROR(ROUND(
(INDEX(生データ表[],MATCH($C28,生データ表['#],0),MATCH(BV$5,生データ表[#Headers],0))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23.8095238095</v>
      </c>
      <c r="BW28" s="4">
        <f>IFERROR(ROUND(
(INDEX(生データ表[],MATCH($C28,生データ表['#],0),MATCH(BW$5,生データ表[#Headers],0))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40.934187279200003</v>
      </c>
      <c r="BX28" s="4">
        <f>IFERROR(ROUND(
(INDEX(生データ表[],MATCH($C28,生データ表['#],0),MATCH(BX$5,生データ表[#Headers],0))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23.7860507806</v>
      </c>
      <c r="BY28" s="4">
        <f>IFERROR(ROUND(
(INDEX(生データ表[],MATCH($C28,生データ表['#],0),MATCH(BY$5,生データ表[#Headers],0))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86.900286577900005</v>
      </c>
      <c r="BZ28" s="4">
        <f t="shared" si="9"/>
        <v>39.825610904999998</v>
      </c>
      <c r="CA28" s="4">
        <f t="shared" si="9"/>
        <v>30.01346625355</v>
      </c>
      <c r="CB28" s="4">
        <f t="shared" si="9"/>
        <v>50.054597165499999</v>
      </c>
      <c r="CC28" s="4">
        <f t="shared" si="9"/>
        <v>84.425783139299995</v>
      </c>
      <c r="CD28" s="4">
        <f t="shared" si="9"/>
        <v>45.521288798999997</v>
      </c>
      <c r="CE28" s="4">
        <f t="shared" si="9"/>
        <v>59.607350531949997</v>
      </c>
      <c r="CF28" s="4">
        <f t="shared" si="9"/>
        <v>41.480080549649998</v>
      </c>
      <c r="CG28" s="4">
        <f t="shared" si="9"/>
        <v>42.562508899166666</v>
      </c>
      <c r="CH28" s="4">
        <f t="shared" si="9"/>
        <v>9.1515044445666671</v>
      </c>
      <c r="CI28" s="4">
        <f t="shared" si="9"/>
        <v>25.8208854206</v>
      </c>
      <c r="CJ28" s="4">
        <f t="shared" si="10"/>
        <v>42.588544745</v>
      </c>
      <c r="CK28" s="4">
        <f t="shared" si="10"/>
        <v>33.027091117766666</v>
      </c>
      <c r="CL28" s="4">
        <f t="shared" si="10"/>
        <v>40.660043596575001</v>
      </c>
      <c r="CM28" s="4">
        <f t="shared" si="10"/>
        <v>1.2207274282</v>
      </c>
      <c r="CN28" s="4">
        <f t="shared" si="10"/>
        <v>77.266306214300002</v>
      </c>
      <c r="CO28" s="4">
        <f t="shared" si="10"/>
        <v>77.827935286149994</v>
      </c>
      <c r="CP28" s="4">
        <f t="shared" si="10"/>
        <v>97.354314049899997</v>
      </c>
      <c r="CQ28" s="4">
        <f t="shared" si="10"/>
        <v>26.993174315666664</v>
      </c>
      <c r="CR28" s="4">
        <f t="shared" si="10"/>
        <v>48.960424369975001</v>
      </c>
      <c r="CS28" s="4">
        <f t="shared" si="10"/>
        <v>38.918791470133336</v>
      </c>
      <c r="CT28" s="4">
        <f t="shared" si="11"/>
        <v>50.854138922166669</v>
      </c>
      <c r="CU28" s="4">
        <f t="shared" si="11"/>
        <v>47.546838888999993</v>
      </c>
      <c r="CV28" s="4">
        <f t="shared" si="11"/>
        <v>10.2973619358</v>
      </c>
      <c r="CW28" s="4">
        <f t="shared" si="11"/>
        <v>11.4348515754</v>
      </c>
      <c r="CX28" s="4">
        <f t="shared" si="11"/>
        <v>31.382113456100001</v>
      </c>
      <c r="CY28" s="4">
        <f t="shared" si="11"/>
        <v>50.540174879233341</v>
      </c>
      <c r="CZ28" s="4">
        <f t="shared" si="12"/>
        <v>309.44809679429994</v>
      </c>
      <c r="DA28" s="4">
        <f t="shared" si="12"/>
        <v>93.194093893383339</v>
      </c>
      <c r="DB28" s="4">
        <f t="shared" si="12"/>
        <v>143.31729230814167</v>
      </c>
      <c r="DC28" s="4">
        <f t="shared" si="12"/>
        <v>328.40215423599165</v>
      </c>
      <c r="DD28" s="4">
        <f t="shared" si="12"/>
        <v>137.31976928129998</v>
      </c>
      <c r="DE28" s="4">
        <f t="shared" si="12"/>
        <v>103.65450184653335</v>
      </c>
      <c r="DF28" s="76">
        <f t="shared" si="4"/>
        <v>1115.3359083596499</v>
      </c>
    </row>
    <row r="29" spans="1:110" hidden="1">
      <c r="A29" s="2">
        <v>24</v>
      </c>
      <c r="B29" s="58">
        <f>INDEX(順位表[Comprehensive],MATCH($C29,順位表['#],0))</f>
        <v>15</v>
      </c>
      <c r="C29" s="3">
        <v>24</v>
      </c>
      <c r="D29" s="1" t="str">
        <f>INDEX(都市マスタ[City Name],MATCH($C29,都市マスタ['#],0))</f>
        <v>Shanghai</v>
      </c>
      <c r="E29" s="4">
        <f>IFERROR(ROUND(
(INDEX(生データ表[],MATCH($C29,生データ表['#],0),MATCH(E$5,生データ表[#Headers],0))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100</v>
      </c>
      <c r="F29" s="4">
        <f>IFERROR(ROUND(
(INDEX(生データ表[],MATCH($C29,生データ表['#],0),MATCH(F$5,生データ表[#Headers],0))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38.587587443499999</v>
      </c>
      <c r="G29" s="4">
        <f>IFERROR(ROUND(
(INDEX(生データ表[],MATCH($C29,生データ表['#],0),MATCH(G$5,生データ表[#Headers],0))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3.9863927399999999E-2</v>
      </c>
      <c r="H29" s="4">
        <f>IFERROR(ROUND(
(INDEX(生データ表[],MATCH($C29,生データ表['#],0),MATCH(H$5,生データ表[#Headers],0))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73.285655952499994</v>
      </c>
      <c r="I29" s="4">
        <f>IFERROR(ROUND(
(INDEX(生データ表[],MATCH($C29,生データ表['#],0),MATCH(I$5,生データ表[#Headers],0))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10.8382704345</v>
      </c>
      <c r="J29" s="4">
        <f>IFERROR(ROUND(
(INDEX(生データ表[],MATCH($C29,生データ表['#],0),MATCH(J$5,生データ表[#Headers],0))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60.613996819800001</v>
      </c>
      <c r="K29" s="4">
        <f>IFERROR(ROUND(
(INDEX(生データ表[],MATCH($C29,生データ表['#],0),MATCH(K$5,生データ表[#Headers],0))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0</v>
      </c>
      <c r="L29" s="4">
        <f>IFERROR(ROUND(
(INDEX(生データ表[],MATCH($C29,生データ表['#],0),MATCH(L$5,生データ表[#Headers],0))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16.686868266400001</v>
      </c>
      <c r="M29" s="4">
        <f>IFERROR(ROUND(
(INDEX(生データ表[],MATCH($C29,生データ表['#],0),MATCH(M$5,生データ表[#Headers],0))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9.1646756583000002</v>
      </c>
      <c r="N29" s="4">
        <f>IFERROR(ROUND(
(INDEX(生データ表[],MATCH($C29,生データ表['#],0),MATCH(N$5,生データ表[#Headers],0))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100</v>
      </c>
      <c r="O29" s="4">
        <f>IFERROR(ROUND(
(INDEX(生データ表[],MATCH($C29,生データ表['#],0),MATCH(O$5,生データ表[#Headers],0))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60.488919161399998</v>
      </c>
      <c r="P29" s="4">
        <f>IFERROR(ROUND(
(INDEX(生データ表[],MATCH($C29,生データ表['#],0),MATCH(P$5,生データ表[#Headers],0))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18.841736017100001</v>
      </c>
      <c r="Q29" s="4">
        <f>IFERROR(ROUND(
(INDEX(生データ表[],MATCH($C29,生データ表['#],0),MATCH(Q$5,生データ表[#Headers],0))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34.725213077799999</v>
      </c>
      <c r="R29" s="4">
        <f>IFERROR(ROUND(
(INDEX(生データ表[],MATCH($C29,生データ表['#],0),MATCH(R$5,生データ表[#Headers],0))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78.781041332499996</v>
      </c>
      <c r="S29" s="4">
        <f>IFERROR(ROUND(
(INDEX(生データ表[],MATCH($C29,生データ表['#],0),MATCH(S$5,生データ表[#Headers],0))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38.461538461499998</v>
      </c>
      <c r="T29" s="4">
        <f>IFERROR(ROUND(
(INDEX(生データ表[],MATCH($C29,生データ表['#],0),MATCH(T$5,生データ表[#Headers],0))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79.699717998099999</v>
      </c>
      <c r="U29" s="4">
        <f>IFERROR(ROUND(
(INDEX(生データ表[],MATCH($C29,生データ表['#],0),MATCH(U$5,生データ表[#Headers],0))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38.767358602000002</v>
      </c>
      <c r="V29" s="4">
        <f>IFERROR(ROUND(
(INDEX(生データ表[],MATCH($C29,生データ表['#],0),MATCH(V$5,生データ表[#Headers],0))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38.209331652000003</v>
      </c>
      <c r="W29" s="4">
        <f>IFERROR(ROUND(
(INDEX(生データ表[],MATCH($C29,生データ表['#],0),MATCH(W$5,生データ表[#Headers],0))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14.206956739200001</v>
      </c>
      <c r="X29" s="4">
        <f>IFERROR(ROUND(
(INDEX(生データ表[],MATCH($C29,生データ表['#],0),MATCH(X$5,生データ表[#Headers],0))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11.9486529745</v>
      </c>
      <c r="Y29" s="4">
        <f>IFERROR(ROUND(
(INDEX(生データ表[],MATCH($C29,生データ表['#],0),MATCH(Y$5,生データ表[#Headers],0))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100</v>
      </c>
      <c r="Z29" s="4">
        <f>IFERROR(ROUND(
(INDEX(生データ表[],MATCH($C29,生データ表['#],0),MATCH(Z$5,生データ表[#Headers],0))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25.270198265200001</v>
      </c>
      <c r="AA29" s="4">
        <f>IFERROR(ROUND(
(INDEX(生データ表[],MATCH($C29,生データ表['#],0),MATCH(AA$5,生データ表[#Headers],0))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29" s="4">
        <f>IFERROR(ROUND(
(INDEX(生データ表[],MATCH($C29,生データ表['#],0),MATCH(AB$5,生データ表[#Headers],0))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3.0851063829999998</v>
      </c>
      <c r="AC29" s="4">
        <f>IFERROR(ROUND(
(INDEX(生データ表[],MATCH($C29,生データ表['#],0),MATCH(AC$5,生データ表[#Headers],0))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4.7318611986999999</v>
      </c>
      <c r="AD29" s="4">
        <f>IFERROR(ROUND(
(INDEX(生データ表[],MATCH($C29,生データ表['#],0),MATCH(AD$5,生データ表[#Headers],0))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29.360269360299998</v>
      </c>
      <c r="AE29" s="4">
        <f>IFERROR(ROUND(
(INDEX(生データ表[],MATCH($C29,生データ表['#],0),MATCH(AE$5,生データ表[#Headers],0))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7.2589156805000004</v>
      </c>
      <c r="AF29" s="4">
        <f>IFERROR(ROUND(
(INDEX(生データ表[],MATCH($C29,生データ表['#],0),MATCH(AF$5,生データ表[#Headers],0))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2.8674898695</v>
      </c>
      <c r="AG29" s="4">
        <f>IFERROR(ROUND(
(INDEX(生データ表[],MATCH($C29,生データ表['#],0),MATCH(AG$5,生データ表[#Headers],0))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43.811121267899999</v>
      </c>
      <c r="AH29" s="4">
        <f>IFERROR(ROUND(
(INDEX(生データ表[],MATCH($C29,生データ表['#],0),MATCH(AH$5,生データ表[#Headers],0))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5</v>
      </c>
      <c r="AI29" s="4">
        <f>IFERROR(ROUND(
(INDEX(生データ表[],MATCH($C29,生データ表['#],0),MATCH(AI$5,生データ表[#Headers],0))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54.714939657999999</v>
      </c>
      <c r="AJ29" s="4">
        <f>IFERROR(ROUND(
(INDEX(生データ表[],MATCH($C29,生データ表['#],0),MATCH(AJ$5,生データ表[#Headers],0))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5.6016597509999997</v>
      </c>
      <c r="AK29" s="4">
        <f>IFERROR(ROUND(
(INDEX(生データ表[],MATCH($C29,生データ表['#],0),MATCH(AK$5,生データ表[#Headers],0))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13.356164383599999</v>
      </c>
      <c r="AL29" s="4">
        <f>IFERROR(ROUND(
(INDEX(生データ表[],MATCH($C29,生データ表['#],0),MATCH(AL$5,生データ表[#Headers],0))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52.631578947400001</v>
      </c>
      <c r="AM29" s="4">
        <f>IFERROR(ROUND(
(INDEX(生データ表[],MATCH($C29,生データ表['#],0),MATCH(AM$5,生データ表[#Headers],0))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47.454786592700003</v>
      </c>
      <c r="AN29" s="4">
        <f>IFERROR(ROUND(
(INDEX(生データ表[],MATCH($C29,生データ表['#],0),MATCH(AN$5,生データ表[#Headers],0))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65.086022163699994</v>
      </c>
      <c r="AO29" s="4">
        <f>IFERROR(ROUND(
(INDEX(生データ表[],MATCH($C29,生データ表['#],0),MATCH(AO$5,生データ表[#Headers],0))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49.855890447699998</v>
      </c>
      <c r="AP29" s="4">
        <f>IFERROR(ROUND(
(INDEX(生データ表[],MATCH($C29,生データ表['#],0),MATCH(AP$5,生データ表[#Headers],0))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42.729015861699999</v>
      </c>
      <c r="AQ29" s="4">
        <f>IFERROR(ROUND(
(INDEX(生データ表[],MATCH($C29,生データ表['#],0),MATCH(AQ$5,生データ表[#Headers],0))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4.8076014050999998</v>
      </c>
      <c r="AR29" s="4">
        <f>IFERROR(ROUND(
(INDEX(生データ表[],MATCH($C29,生データ表['#],0),MATCH(AR$5,生データ表[#Headers],0))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5.3488880245999999</v>
      </c>
      <c r="AS29" s="4">
        <f>IFERROR(ROUND(
(INDEX(生データ表[],MATCH($C29,生データ表['#],0),MATCH(AS$5,生データ表[#Headers],0))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93.493982719100003</v>
      </c>
      <c r="AT29" s="4">
        <f>IFERROR(ROUND(
(INDEX(生データ表[],MATCH($C29,生データ表['#],0),MATCH(AT$5,生データ表[#Headers],0))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72.278151780200005</v>
      </c>
      <c r="AU29" s="4">
        <f>IFERROR(ROUND(
(INDEX(生データ表[],MATCH($C29,生データ表['#],0),MATCH(AU$5,生データ表[#Headers],0))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95.088280601999998</v>
      </c>
      <c r="AV29" s="4">
        <f>IFERROR(ROUND(
(INDEX(生データ表[],MATCH($C29,生データ表['#],0),MATCH(AV$5,生データ表[#Headers],0))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71.054115563300002</v>
      </c>
      <c r="AW29" s="4">
        <f>IFERROR(ROUND(
(INDEX(生データ表[],MATCH($C29,生データ表['#],0),MATCH(AW$5,生データ表[#Headers],0))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69.457990331700003</v>
      </c>
      <c r="AX29" s="4">
        <f>IFERROR(ROUND(
(INDEX(生データ表[],MATCH($C29,生データ表['#],0),MATCH(AX$5,生データ表[#Headers],0))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98.939460097999998</v>
      </c>
      <c r="AY29" s="4">
        <f>IFERROR(ROUND(
(INDEX(生データ表[],MATCH($C29,生データ表['#],0),MATCH(AY$5,生データ表[#Headers],0))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89.713322091099997</v>
      </c>
      <c r="AZ29" s="4">
        <f>IFERROR(ROUND(
(INDEX(生データ表[],MATCH($C29,生データ表['#],0),MATCH(AZ$5,生データ表[#Headers],0))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59.922695977799997</v>
      </c>
      <c r="BA29" s="4">
        <f>IFERROR(ROUND(
(INDEX(生データ表[],MATCH($C29,生データ表['#],0),MATCH(BA$5,生データ表[#Headers],0))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6.1600426777999999</v>
      </c>
      <c r="BB29" s="4">
        <f>IFERROR(ROUND(
(INDEX(生データ表[],MATCH($C29,生データ表['#],0),MATCH(BB$5,生データ表[#Headers],0))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14.896784291399999</v>
      </c>
      <c r="BC29" s="4">
        <f>IFERROR(ROUND(
(INDEX(生データ表[],MATCH($C29,生データ表['#],0),MATCH(BC$5,生データ表[#Headers],0))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23.491273391</v>
      </c>
      <c r="BD29" s="4">
        <f>IFERROR(ROUND(
(INDEX(生データ表[],MATCH($C29,生データ表['#],0),MATCH(BD$5,生データ表[#Headers],0))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74.495834218200002</v>
      </c>
      <c r="BE29" s="4">
        <f>IFERROR(ROUND(
(INDEX(生データ表[],MATCH($C29,生データ表['#],0),MATCH(BE$5,生データ表[#Headers],0))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42.435868188199997</v>
      </c>
      <c r="BF29" s="4">
        <f>IFERROR(ROUND(
(INDEX(生データ表[],MATCH($C29,生データ表['#],0),MATCH(BF$5,生データ表[#Headers],0))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61.193941503700003</v>
      </c>
      <c r="BG29" s="4">
        <f>IFERROR(ROUND(
(INDEX(生データ表[],MATCH($C29,生データ表['#],0),MATCH(BG$5,生データ表[#Headers],0))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26.827784628</v>
      </c>
      <c r="BH29" s="4">
        <f>IFERROR(ROUND(
(INDEX(生データ表[],MATCH($C29,生データ表['#],0),MATCH(BH$5,生データ表[#Headers],0))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20.632463511699999</v>
      </c>
      <c r="BI29" s="4">
        <f>IFERROR(ROUND(
(INDEX(生データ表[],MATCH($C29,生データ表['#],0),MATCH(BI$5,生データ表[#Headers],0))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66.588563024699994</v>
      </c>
      <c r="BJ29" s="4">
        <f>IFERROR(ROUND(
(INDEX(生データ表[],MATCH($C29,生データ表['#],0),MATCH(BJ$5,生データ表[#Headers],0))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67.452982783099998</v>
      </c>
      <c r="BK29" s="4">
        <f>IFERROR(ROUND(
(INDEX(生データ表[],MATCH($C29,生データ表['#],0),MATCH(BK$5,生データ表[#Headers],0))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49.6613995485</v>
      </c>
      <c r="BL29" s="4">
        <f>IFERROR(ROUND(
(INDEX(生データ表[],MATCH($C29,生データ表['#],0),MATCH(BL$5,生データ表[#Headers],0))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58.4433399678</v>
      </c>
      <c r="BM29" s="4">
        <f>IFERROR(ROUND(
(INDEX(生データ表[],MATCH($C29,生データ表['#],0),MATCH(BM$5,生データ表[#Headers],0))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20.464441219200001</v>
      </c>
      <c r="BN29" s="4">
        <f>IFERROR(ROUND(
(INDEX(生データ表[],MATCH($C29,生データ表['#],0),MATCH(BN$5,生データ表[#Headers],0))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48.053005839599997</v>
      </c>
      <c r="BO29" s="4">
        <f>IFERROR(ROUND(
(INDEX(生データ表[],MATCH($C29,生データ表['#],0),MATCH(BO$5,生データ表[#Headers],0))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69.522596700999998</v>
      </c>
      <c r="BP29" s="4">
        <f>IFERROR(ROUND(
(INDEX(生データ表[],MATCH($C29,生データ表['#],0),MATCH(BP$5,生データ表[#Headers],0))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11.413043478300001</v>
      </c>
      <c r="BQ29" s="4">
        <f>IFERROR(ROUND(
(INDEX(生データ表[],MATCH($C29,生データ表['#],0),MATCH(BQ$5,生データ表[#Headers],0))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100</v>
      </c>
      <c r="BR29" s="4">
        <f>IFERROR(ROUND(
(INDEX(生データ表[],MATCH($C29,生データ表['#],0),MATCH(BR$5,生データ表[#Headers],0))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18.1058167885</v>
      </c>
      <c r="BS29" s="4">
        <f>IFERROR(ROUND(
(INDEX(生データ表[],MATCH($C29,生データ表['#],0),MATCH(BS$5,生データ表[#Headers],0))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37.648174905200001</v>
      </c>
      <c r="BT29" s="4">
        <f>IFERROR(ROUND(
(INDEX(生データ表[],MATCH($C29,生データ表['#],0),MATCH(BT$5,生データ表[#Headers],0))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27.132674177999998</v>
      </c>
      <c r="BU29" s="4">
        <f>IFERROR(ROUND(
(INDEX(生データ表[],MATCH($C29,生データ表['#],0),MATCH(BU$5,生データ表[#Headers],0))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71.917519767499996</v>
      </c>
      <c r="BV29" s="4">
        <f>IFERROR(ROUND(
(INDEX(生データ表[],MATCH($C29,生データ表['#],0),MATCH(BV$5,生データ表[#Headers],0))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18.1867196261</v>
      </c>
      <c r="BW29" s="4">
        <f>IFERROR(ROUND(
(INDEX(生データ表[],MATCH($C29,生データ表['#],0),MATCH(BW$5,生データ表[#Headers],0))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32.663427561799999</v>
      </c>
      <c r="BX29" s="4">
        <f>IFERROR(ROUND(
(INDEX(生データ表[],MATCH($C29,生データ表['#],0),MATCH(BX$5,生データ表[#Headers],0))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48.706317255599998</v>
      </c>
      <c r="BY29" s="4">
        <f>IFERROR(ROUND(
(INDEX(生データ表[],MATCH($C29,生データ表['#],0),MATCH(BY$5,生データ表[#Headers],0))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77.166877106100003</v>
      </c>
      <c r="BZ29" s="4">
        <f t="shared" si="9"/>
        <v>42.061963193499999</v>
      </c>
      <c r="CA29" s="4">
        <f t="shared" si="9"/>
        <v>30.3069984099</v>
      </c>
      <c r="CB29" s="4">
        <f t="shared" si="9"/>
        <v>12.925771962350002</v>
      </c>
      <c r="CC29" s="4">
        <f t="shared" si="9"/>
        <v>80.244459580699996</v>
      </c>
      <c r="CD29" s="4">
        <f t="shared" si="9"/>
        <v>44.115996809133328</v>
      </c>
      <c r="CE29" s="4">
        <f t="shared" si="9"/>
        <v>59.080628229799999</v>
      </c>
      <c r="CF29" s="4">
        <f t="shared" si="9"/>
        <v>38.488345127000002</v>
      </c>
      <c r="CG29" s="4">
        <f t="shared" si="9"/>
        <v>42.051869904566665</v>
      </c>
      <c r="CH29" s="4">
        <f t="shared" si="9"/>
        <v>9.4517682160666663</v>
      </c>
      <c r="CI29" s="4">
        <f t="shared" si="9"/>
        <v>11.05463402725</v>
      </c>
      <c r="CJ29" s="4">
        <f t="shared" si="10"/>
        <v>34.508686975300002</v>
      </c>
      <c r="CK29" s="4">
        <f t="shared" si="10"/>
        <v>23.863134360666667</v>
      </c>
      <c r="CL29" s="4">
        <f t="shared" si="10"/>
        <v>51.281428766449999</v>
      </c>
      <c r="CM29" s="4">
        <f t="shared" si="10"/>
        <v>5.0782447148499994</v>
      </c>
      <c r="CN29" s="4">
        <f t="shared" si="10"/>
        <v>86.95347170043334</v>
      </c>
      <c r="CO29" s="4">
        <f t="shared" si="10"/>
        <v>70.256052947499995</v>
      </c>
      <c r="CP29" s="4">
        <f t="shared" si="10"/>
        <v>94.32639109454999</v>
      </c>
      <c r="CQ29" s="4">
        <f t="shared" si="10"/>
        <v>26.993174315666664</v>
      </c>
      <c r="CR29" s="4">
        <f t="shared" si="10"/>
        <v>50.404229325274997</v>
      </c>
      <c r="CS29" s="4">
        <f t="shared" si="10"/>
        <v>38.016270388133329</v>
      </c>
      <c r="CT29" s="4">
        <f t="shared" si="11"/>
        <v>58.519240766466659</v>
      </c>
      <c r="CU29" s="4">
        <f t="shared" si="11"/>
        <v>46.013347919933331</v>
      </c>
      <c r="CV29" s="4">
        <f t="shared" si="11"/>
        <v>55.706521739149998</v>
      </c>
      <c r="CW29" s="4">
        <f t="shared" si="11"/>
        <v>27.876995846850001</v>
      </c>
      <c r="CX29" s="4">
        <f t="shared" si="11"/>
        <v>39.078971190533331</v>
      </c>
      <c r="CY29" s="4">
        <f t="shared" si="11"/>
        <v>52.845540641166671</v>
      </c>
      <c r="CZ29" s="4">
        <f t="shared" si="12"/>
        <v>268.73581818538332</v>
      </c>
      <c r="DA29" s="4">
        <f t="shared" si="12"/>
        <v>89.991983247633343</v>
      </c>
      <c r="DB29" s="4">
        <f t="shared" si="12"/>
        <v>125.78612884451667</v>
      </c>
      <c r="DC29" s="4">
        <f t="shared" si="12"/>
        <v>328.93331938342499</v>
      </c>
      <c r="DD29" s="4">
        <f t="shared" si="12"/>
        <v>142.54885907453331</v>
      </c>
      <c r="DE29" s="4">
        <f t="shared" si="12"/>
        <v>175.50802941770002</v>
      </c>
      <c r="DF29" s="76">
        <f t="shared" si="4"/>
        <v>1131.5041381531917</v>
      </c>
    </row>
    <row r="30" spans="1:110" hidden="1">
      <c r="A30" s="2">
        <v>25</v>
      </c>
      <c r="B30" s="58">
        <f>INDEX(順位表[Comprehensive],MATCH($C30,順位表['#],0))</f>
        <v>35</v>
      </c>
      <c r="C30" s="3">
        <v>25</v>
      </c>
      <c r="D30" s="1" t="str">
        <f>INDEX(都市マスタ[City Name],MATCH($C30,都市マスタ['#],0))</f>
        <v>Taipei</v>
      </c>
      <c r="E30" s="4">
        <f>IFERROR(ROUND(
(INDEX(生データ表[],MATCH($C30,生データ表['#],0),MATCH(E$5,生データ表[#Headers],0))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9.2180705365000009</v>
      </c>
      <c r="F30" s="4">
        <f>IFERROR(ROUND(
(INDEX(生データ表[],MATCH($C30,生データ表['#],0),MATCH(F$5,生データ表[#Headers],0))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1.5613512812000001</v>
      </c>
      <c r="G30" s="4">
        <f>IFERROR(ROUND(
(INDEX(生データ表[],MATCH($C30,生データ表['#],0),MATCH(G$5,生データ表[#Headers],0))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0.1953258356</v>
      </c>
      <c r="H30" s="4">
        <f>IFERROR(ROUND(
(INDEX(生データ表[],MATCH($C30,生データ表['#],0),MATCH(H$5,生データ表[#Headers],0))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6.7007308038</v>
      </c>
      <c r="I30" s="4">
        <f>IFERROR(ROUND(
(INDEX(生データ表[],MATCH($C30,生データ表['#],0),MATCH(I$5,生データ表[#Headers],0))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13.512155737700001</v>
      </c>
      <c r="J30" s="4">
        <f>IFERROR(ROUND(
(INDEX(生データ表[],MATCH($C30,生データ表['#],0),MATCH(J$5,生データ表[#Headers],0))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45.958823537199997</v>
      </c>
      <c r="K30" s="4">
        <f>IFERROR(ROUND(
(INDEX(生データ表[],MATCH($C30,生データ表['#],0),MATCH(K$5,生データ表[#Headers],0))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90.974982464299998</v>
      </c>
      <c r="L30" s="4">
        <f>IFERROR(ROUND(
(INDEX(生データ表[],MATCH($C30,生データ表['#],0),MATCH(L$5,生データ表[#Headers],0))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3.9515049819999999</v>
      </c>
      <c r="M30" s="4">
        <f>IFERROR(ROUND(
(INDEX(生データ表[],MATCH($C30,生データ表['#],0),MATCH(M$5,生データ表[#Headers],0))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6.3884529950999998</v>
      </c>
      <c r="N30" s="4">
        <f>IFERROR(ROUND(
(INDEX(生データ表[],MATCH($C30,生データ表['#],0),MATCH(N$5,生データ表[#Headers],0))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7.3578401489000003</v>
      </c>
      <c r="O30" s="4">
        <f>IFERROR(ROUND(
(INDEX(生データ表[],MATCH($C30,生データ表['#],0),MATCH(O$5,生データ表[#Headers],0))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52.735577114800002</v>
      </c>
      <c r="P30" s="4">
        <f>IFERROR(ROUND(
(INDEX(生データ表[],MATCH($C30,生データ表['#],0),MATCH(P$5,生データ表[#Headers],0))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25.533413099000001</v>
      </c>
      <c r="Q30" s="4">
        <f>IFERROR(ROUND(
(INDEX(生データ表[],MATCH($C30,生データ表['#],0),MATCH(Q$5,生データ表[#Headers],0))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47.852126475299997</v>
      </c>
      <c r="R30" s="4">
        <f>IFERROR(ROUND(
(INDEX(生データ表[],MATCH($C30,生データ表['#],0),MATCH(R$5,生データ表[#Headers],0))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44.523685015700003</v>
      </c>
      <c r="S30" s="4">
        <f>IFERROR(ROUND(
(INDEX(生データ表[],MATCH($C30,生データ表['#],0),MATCH(S$5,生データ表[#Headers],0))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57.692307692299998</v>
      </c>
      <c r="T30" s="4">
        <f>IFERROR(ROUND(
(INDEX(生データ表[],MATCH($C30,生データ表['#],0),MATCH(T$5,生データ表[#Headers],0))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89.822776252500006</v>
      </c>
      <c r="U30" s="4">
        <f>IFERROR(ROUND(
(INDEX(生データ表[],MATCH($C30,生データ表['#],0),MATCH(U$5,生データ表[#Headers],0))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16.543575533799999</v>
      </c>
      <c r="V30" s="4">
        <f>IFERROR(ROUND(
(INDEX(生データ表[],MATCH($C30,生データ表['#],0),MATCH(V$5,生データ表[#Headers],0))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2.1437578815</v>
      </c>
      <c r="W30" s="4">
        <f>IFERROR(ROUND(
(INDEX(生データ表[],MATCH($C30,生データ表['#],0),MATCH(W$5,生データ表[#Headers],0))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6.8670971931000002</v>
      </c>
      <c r="X30" s="4">
        <f>IFERROR(ROUND(
(INDEX(生データ表[],MATCH($C30,生データ表['#],0),MATCH(X$5,生データ表[#Headers],0))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4.7133601637</v>
      </c>
      <c r="Y30" s="4">
        <f>IFERROR(ROUND(
(INDEX(生データ表[],MATCH($C30,生データ表['#],0),MATCH(Y$5,生データ表[#Headers],0))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74.212936292199998</v>
      </c>
      <c r="Z30" s="4">
        <f>IFERROR(ROUND(
(INDEX(生データ表[],MATCH($C30,生データ表['#],0),MATCH(Z$5,生データ表[#Headers],0))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25.3418280454</v>
      </c>
      <c r="AA30" s="4">
        <f>IFERROR(ROUND(
(INDEX(生データ表[],MATCH($C30,生データ表['#],0),MATCH(AA$5,生データ表[#Headers],0))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30" s="4">
        <f>IFERROR(ROUND(
(INDEX(生データ表[],MATCH($C30,生データ表['#],0),MATCH(AB$5,生データ表[#Headers],0))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1.3652482269999999</v>
      </c>
      <c r="AC30" s="4">
        <f>IFERROR(ROUND(
(INDEX(生データ表[],MATCH($C30,生データ表['#],0),MATCH(AC$5,生データ表[#Headers],0))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7.8864353312000004</v>
      </c>
      <c r="AD30" s="4">
        <f>IFERROR(ROUND(
(INDEX(生データ表[],MATCH($C30,生データ表['#],0),MATCH(AD$5,生データ表[#Headers],0))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0</v>
      </c>
      <c r="AE30" s="4">
        <f>IFERROR(ROUND(
(INDEX(生データ表[],MATCH($C30,生データ表['#],0),MATCH(AE$5,生データ表[#Headers],0))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0.67288503330000005</v>
      </c>
      <c r="AF30" s="4">
        <f>IFERROR(ROUND(
(INDEX(生データ表[],MATCH($C30,生データ表['#],0),MATCH(AF$5,生データ表[#Headers],0))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1.8750833728</v>
      </c>
      <c r="AG30" s="4">
        <f>IFERROR(ROUND(
(INDEX(生データ表[],MATCH($C30,生データ表['#],0),MATCH(AG$5,生データ表[#Headers],0))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24.430496190500001</v>
      </c>
      <c r="AH30" s="4">
        <f>IFERROR(ROUND(
(INDEX(生データ表[],MATCH($C30,生データ表['#],0),MATCH(AH$5,生データ表[#Headers],0))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30" s="4">
        <f>IFERROR(ROUND(
(INDEX(生データ表[],MATCH($C30,生データ表['#],0),MATCH(AI$5,生データ表[#Headers],0))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29.8549998923</v>
      </c>
      <c r="AJ30" s="4">
        <f>IFERROR(ROUND(
(INDEX(生データ表[],MATCH($C30,生データ表['#],0),MATCH(AJ$5,生データ表[#Headers],0))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8.7136929461000001</v>
      </c>
      <c r="AK30" s="4">
        <f>IFERROR(ROUND(
(INDEX(生データ表[],MATCH($C30,生データ表['#],0),MATCH(AK$5,生データ表[#Headers],0))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23.630136986299998</v>
      </c>
      <c r="AL30" s="4">
        <f>IFERROR(ROUND(
(INDEX(生データ表[],MATCH($C30,生データ表['#],0),MATCH(AL$5,生データ表[#Headers],0))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30" s="4">
        <f>IFERROR(ROUND(
(INDEX(生データ表[],MATCH($C30,生データ表['#],0),MATCH(AM$5,生データ表[#Headers],0))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25.688449481599999</v>
      </c>
      <c r="AN30" s="4">
        <f>IFERROR(ROUND(
(INDEX(生データ表[],MATCH($C30,生データ表['#],0),MATCH(AN$5,生データ表[#Headers],0))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7.6348496908000003</v>
      </c>
      <c r="AO30" s="4">
        <f>IFERROR(ROUND(
(INDEX(生データ表[],MATCH($C30,生データ表['#],0),MATCH(AO$5,生データ表[#Headers],0))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34.663020242899997</v>
      </c>
      <c r="AP30" s="4">
        <f>IFERROR(ROUND(
(INDEX(生データ表[],MATCH($C30,生データ表['#],0),MATCH(AP$5,生データ表[#Headers],0))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24.783499404899999</v>
      </c>
      <c r="AQ30" s="4">
        <f>IFERROR(ROUND(
(INDEX(生データ表[],MATCH($C30,生データ表['#],0),MATCH(AQ$5,生データ表[#Headers],0))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1.8637021613</v>
      </c>
      <c r="AR30" s="4">
        <f>IFERROR(ROUND(
(INDEX(生データ表[],MATCH($C30,生データ表['#],0),MATCH(AR$5,生データ表[#Headers],0))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8.7474372999999994E-2</v>
      </c>
      <c r="AS30" s="4">
        <f>IFERROR(ROUND(
(INDEX(生データ表[],MATCH($C30,生データ表['#],0),MATCH(AS$5,生データ表[#Headers],0))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90.592985236000004</v>
      </c>
      <c r="AT30" s="4">
        <f>IFERROR(ROUND(
(INDEX(生データ表[],MATCH($C30,生データ表['#],0),MATCH(AT$5,生データ表[#Headers],0))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54.430324541300003</v>
      </c>
      <c r="AU30" s="4">
        <f>IFERROR(ROUND(
(INDEX(生データ表[],MATCH($C30,生データ表['#],0),MATCH(AU$5,生データ表[#Headers],0))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70.932676518899996</v>
      </c>
      <c r="AV30" s="4">
        <f>IFERROR(ROUND(
(INDEX(生データ表[],MATCH($C30,生データ表['#],0),MATCH(AV$5,生データ表[#Headers],0))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85.2168578637</v>
      </c>
      <c r="AW30" s="4">
        <f>IFERROR(ROUND(
(INDEX(生データ表[],MATCH($C30,生データ表['#],0),MATCH(AW$5,生データ表[#Headers],0))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62.520794507600002</v>
      </c>
      <c r="AX30" s="4">
        <f>IFERROR(ROUND(
(INDEX(生データ表[],MATCH($C30,生データ表['#],0),MATCH(AX$5,生データ表[#Headers],0))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98.217021398300005</v>
      </c>
      <c r="AY30" s="4">
        <f>IFERROR(ROUND(
(INDEX(生データ表[],MATCH($C30,生データ表['#],0),MATCH(AY$5,生データ表[#Headers],0))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0</v>
      </c>
      <c r="AZ30" s="4">
        <f>IFERROR(ROUND(
(INDEX(生データ表[],MATCH($C30,生データ表['#],0),MATCH(AZ$5,生データ表[#Headers],0))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93.449691991799995</v>
      </c>
      <c r="BA30" s="4">
        <f>IFERROR(ROUND(
(INDEX(生データ表[],MATCH($C30,生データ表['#],0),MATCH(BA$5,生データ表[#Headers],0))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63.191926666199997</v>
      </c>
      <c r="BB30" s="4">
        <f>IFERROR(ROUND(
(INDEX(生データ表[],MATCH($C30,生データ表['#],0),MATCH(BB$5,生データ表[#Headers],0))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57.3428260811</v>
      </c>
      <c r="BC30" s="4">
        <f>IFERROR(ROUND(
(INDEX(生データ表[],MATCH($C30,生データ表['#],0),MATCH(BC$5,生データ表[#Headers],0))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55.238115706199999</v>
      </c>
      <c r="BD30" s="4">
        <f>IFERROR(ROUND(
(INDEX(生データ表[],MATCH($C30,生データ表['#],0),MATCH(BD$5,生データ表[#Headers],0))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55.5195700075</v>
      </c>
      <c r="BE30" s="4">
        <f>IFERROR(ROUND(
(INDEX(生データ表[],MATCH($C30,生データ表['#],0),MATCH(BE$5,生データ表[#Headers],0))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73.052915216299994</v>
      </c>
      <c r="BF30" s="4">
        <f>IFERROR(ROUND(
(INDEX(生データ表[],MATCH($C30,生データ表['#],0),MATCH(BF$5,生データ表[#Headers],0))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100</v>
      </c>
      <c r="BG30" s="4">
        <f>IFERROR(ROUND(
(INDEX(生データ表[],MATCH($C30,生データ表['#],0),MATCH(BG$5,生データ表[#Headers],0))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10.0912453761</v>
      </c>
      <c r="BH30" s="4">
        <f>IFERROR(ROUND(
(INDEX(生データ表[],MATCH($C30,生データ表['#],0),MATCH(BH$5,生データ表[#Headers],0))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2.4546660770000002</v>
      </c>
      <c r="BI30" s="4">
        <f>IFERROR(ROUND(
(INDEX(生データ表[],MATCH($C30,生データ表['#],0),MATCH(BI$5,生データ表[#Headers],0))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96.976967844000001</v>
      </c>
      <c r="BJ30" s="4">
        <f>IFERROR(ROUND(
(INDEX(生データ表[],MATCH($C30,生データ表['#],0),MATCH(BJ$5,生データ表[#Headers],0))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78.600368168399996</v>
      </c>
      <c r="BK30" s="4">
        <f>IFERROR(ROUND(
(INDEX(生データ表[],MATCH($C30,生データ表['#],0),MATCH(BK$5,生データ表[#Headers],0))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84.650112866800001</v>
      </c>
      <c r="BL30" s="4">
        <f>IFERROR(ROUND(
(INDEX(生データ表[],MATCH($C30,生データ表['#],0),MATCH(BL$5,生データ表[#Headers],0))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56.680513865000002</v>
      </c>
      <c r="BM30" s="4">
        <f>IFERROR(ROUND(
(INDEX(生データ表[],MATCH($C30,生データ表['#],0),MATCH(BM$5,生データ表[#Headers],0))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48.911465892599999</v>
      </c>
      <c r="BN30" s="4">
        <f>IFERROR(ROUND(
(INDEX(生データ表[],MATCH($C30,生データ表['#],0),MATCH(BN$5,生データ表[#Headers],0))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73.521934293499996</v>
      </c>
      <c r="BO30" s="4">
        <f>IFERROR(ROUND(
(INDEX(生データ表[],MATCH($C30,生データ表['#],0),MATCH(BO$5,生データ表[#Headers],0))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53.837061271499998</v>
      </c>
      <c r="BP30" s="4">
        <f>IFERROR(ROUND(
(INDEX(生データ表[],MATCH($C30,生データ表['#],0),MATCH(BP$5,生データ表[#Headers],0))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16.576086956499999</v>
      </c>
      <c r="BQ30" s="4">
        <f>IFERROR(ROUND(
(INDEX(生データ表[],MATCH($C30,生データ表['#],0),MATCH(BQ$5,生データ表[#Headers],0))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39.452486751599999</v>
      </c>
      <c r="BR30" s="4">
        <f>IFERROR(ROUND(
(INDEX(生データ表[],MATCH($C30,生データ表['#],0),MATCH(BR$5,生データ表[#Headers],0))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1.9213476442999999</v>
      </c>
      <c r="BS30" s="4">
        <f>IFERROR(ROUND(
(INDEX(生データ表[],MATCH($C30,生データ表['#],0),MATCH(BS$5,生データ表[#Headers],0))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6.2820471306999996</v>
      </c>
      <c r="BT30" s="4">
        <f>IFERROR(ROUND(
(INDEX(生データ表[],MATCH($C30,生データ表['#],0),MATCH(BT$5,生データ表[#Headers],0))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12.991492297100001</v>
      </c>
      <c r="BU30" s="4">
        <f>IFERROR(ROUND(
(INDEX(生データ表[],MATCH($C30,生データ表['#],0),MATCH(BU$5,生データ表[#Headers],0))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51.5240894481</v>
      </c>
      <c r="BV30" s="4">
        <f>IFERROR(ROUND(
(INDEX(生データ表[],MATCH($C30,生データ表['#],0),MATCH(BV$5,生データ表[#Headers],0))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54.431137451200001</v>
      </c>
      <c r="BW30" s="4">
        <f>IFERROR(ROUND(
(INDEX(生データ表[],MATCH($C30,生データ表['#],0),MATCH(BW$5,生データ表[#Headers],0))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66.342756183700004</v>
      </c>
      <c r="BX30" s="4">
        <f>IFERROR(ROUND(
(INDEX(生データ表[],MATCH($C30,生データ表['#],0),MATCH(BX$5,生データ表[#Headers],0))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36.073852837399997</v>
      </c>
      <c r="BY30" s="4">
        <f>IFERROR(ROUND(
(INDEX(生データ表[],MATCH($C30,生データ表['#],0),MATCH(BY$5,生データ表[#Headers],0))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41.739653616799998</v>
      </c>
      <c r="BZ30" s="4">
        <f t="shared" si="9"/>
        <v>10.106443270750001</v>
      </c>
      <c r="CA30" s="4">
        <f t="shared" si="9"/>
        <v>68.466903000749994</v>
      </c>
      <c r="CB30" s="4">
        <f t="shared" si="9"/>
        <v>5.1699789885499996</v>
      </c>
      <c r="CC30" s="4">
        <f t="shared" si="9"/>
        <v>30.046708631850002</v>
      </c>
      <c r="CD30" s="4">
        <f t="shared" si="9"/>
        <v>39.303074863333336</v>
      </c>
      <c r="CE30" s="4">
        <f t="shared" si="9"/>
        <v>73.757541972400006</v>
      </c>
      <c r="CF30" s="4">
        <f t="shared" si="9"/>
        <v>9.3436667076499997</v>
      </c>
      <c r="CG30" s="4">
        <f t="shared" si="9"/>
        <v>28.597797882999998</v>
      </c>
      <c r="CH30" s="4">
        <f t="shared" si="9"/>
        <v>8.9023587574666667</v>
      </c>
      <c r="CI30" s="4">
        <f t="shared" si="9"/>
        <v>2.6086009343250001</v>
      </c>
      <c r="CJ30" s="4">
        <f t="shared" si="10"/>
        <v>18.095165360933333</v>
      </c>
      <c r="CK30" s="4">
        <f t="shared" si="10"/>
        <v>14.290048573966667</v>
      </c>
      <c r="CL30" s="4">
        <f t="shared" si="10"/>
        <v>23.192454705049997</v>
      </c>
      <c r="CM30" s="4">
        <f t="shared" si="10"/>
        <v>0.97558826715000002</v>
      </c>
      <c r="CN30" s="4">
        <f t="shared" si="10"/>
        <v>71.985328765399998</v>
      </c>
      <c r="CO30" s="4">
        <f t="shared" si="10"/>
        <v>73.868826185649993</v>
      </c>
      <c r="CP30" s="4">
        <f t="shared" si="10"/>
        <v>49.108510699150003</v>
      </c>
      <c r="CQ30" s="4">
        <f t="shared" si="10"/>
        <v>71.328148246366666</v>
      </c>
      <c r="CR30" s="4">
        <f t="shared" si="10"/>
        <v>70.952650232499991</v>
      </c>
      <c r="CS30" s="4">
        <f t="shared" si="10"/>
        <v>36.507626432366671</v>
      </c>
      <c r="CT30" s="4">
        <f t="shared" si="11"/>
        <v>73.310331633399997</v>
      </c>
      <c r="CU30" s="4">
        <f t="shared" si="11"/>
        <v>58.756820485866662</v>
      </c>
      <c r="CV30" s="4">
        <f t="shared" si="11"/>
        <v>28.014286854049999</v>
      </c>
      <c r="CW30" s="4">
        <f t="shared" si="11"/>
        <v>4.1016973874999998</v>
      </c>
      <c r="CX30" s="4">
        <f t="shared" si="11"/>
        <v>39.648906398800001</v>
      </c>
      <c r="CY30" s="4">
        <f t="shared" si="11"/>
        <v>48.052087545966664</v>
      </c>
      <c r="CZ30" s="4">
        <f t="shared" si="12"/>
        <v>226.85065072763337</v>
      </c>
      <c r="DA30" s="4">
        <f t="shared" si="12"/>
        <v>46.843823348116665</v>
      </c>
      <c r="DB30" s="4">
        <f t="shared" si="12"/>
        <v>59.161857841424997</v>
      </c>
      <c r="DC30" s="4">
        <f t="shared" si="12"/>
        <v>337.24346412906664</v>
      </c>
      <c r="DD30" s="4">
        <f t="shared" si="12"/>
        <v>168.57477855163333</v>
      </c>
      <c r="DE30" s="4">
        <f t="shared" si="12"/>
        <v>119.81697818631665</v>
      </c>
      <c r="DF30" s="76">
        <f t="shared" si="4"/>
        <v>958.49155278419164</v>
      </c>
    </row>
    <row r="31" spans="1:110" hidden="1">
      <c r="A31" s="2">
        <v>26</v>
      </c>
      <c r="B31" s="58">
        <f>INDEX(順位表[Comprehensive],MATCH($C31,順位表['#],0))</f>
        <v>7</v>
      </c>
      <c r="C31" s="3">
        <v>26</v>
      </c>
      <c r="D31" s="1" t="str">
        <f>INDEX(都市マスタ[City Name],MATCH($C31,都市マスタ['#],0))</f>
        <v>Seoul</v>
      </c>
      <c r="E31" s="4">
        <f>IFERROR(ROUND(
(INDEX(生データ表[],MATCH($C31,生データ表['#],0),MATCH(E$5,生データ表[#Headers],0))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38.327543561399999</v>
      </c>
      <c r="F31" s="4">
        <f>IFERROR(ROUND(
(INDEX(生データ表[],MATCH($C31,生データ表['#],0),MATCH(F$5,生データ表[#Headers],0))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3.5957307502</v>
      </c>
      <c r="G31" s="4">
        <f>IFERROR(ROUND(
(INDEX(生データ表[],MATCH($C31,生データ表['#],0),MATCH(G$5,生データ表[#Headers],0))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8.6942154713999997</v>
      </c>
      <c r="H31" s="4">
        <f>IFERROR(ROUND(
(INDEX(生データ表[],MATCH($C31,生データ表['#],0),MATCH(H$5,生データ表[#Headers],0))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44.020250466699999</v>
      </c>
      <c r="I31" s="4">
        <f>IFERROR(ROUND(
(INDEX(生データ表[],MATCH($C31,生データ表['#],0),MATCH(I$5,生データ表[#Headers],0))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17.6277865934</v>
      </c>
      <c r="J31" s="4">
        <f>IFERROR(ROUND(
(INDEX(生データ表[],MATCH($C31,生データ表['#],0),MATCH(J$5,生データ表[#Headers],0))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44.010067042099998</v>
      </c>
      <c r="K31" s="4">
        <f>IFERROR(ROUND(
(INDEX(生データ表[],MATCH($C31,生データ表['#],0),MATCH(K$5,生データ表[#Headers],0))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71.381809679699998</v>
      </c>
      <c r="L31" s="4">
        <f>IFERROR(ROUND(
(INDEX(生データ表[],MATCH($C31,生データ表['#],0),MATCH(L$5,生データ表[#Headers],0))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4.0808684876000001</v>
      </c>
      <c r="M31" s="4">
        <f>IFERROR(ROUND(
(INDEX(生データ表[],MATCH($C31,生データ表['#],0),MATCH(M$5,生データ表[#Headers],0))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13.850472957199999</v>
      </c>
      <c r="N31" s="4">
        <f>IFERROR(ROUND(
(INDEX(生データ表[],MATCH($C31,生データ表['#],0),MATCH(N$5,生データ表[#Headers],0))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36.6275839989</v>
      </c>
      <c r="O31" s="4">
        <f>IFERROR(ROUND(
(INDEX(生データ表[],MATCH($C31,生データ表['#],0),MATCH(O$5,生データ表[#Headers],0))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56.458415490299998</v>
      </c>
      <c r="P31" s="4">
        <f>IFERROR(ROUND(
(INDEX(生データ表[],MATCH($C31,生データ表['#],0),MATCH(P$5,生データ表[#Headers],0))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42.177120890399998</v>
      </c>
      <c r="Q31" s="4">
        <f>IFERROR(ROUND(
(INDEX(生データ表[],MATCH($C31,生データ表['#],0),MATCH(Q$5,生データ表[#Headers],0))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44.869760045299998</v>
      </c>
      <c r="R31" s="4">
        <f>IFERROR(ROUND(
(INDEX(生データ表[],MATCH($C31,生データ表['#],0),MATCH(R$5,生データ表[#Headers],0))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38.122801538300003</v>
      </c>
      <c r="S31" s="4">
        <f>IFERROR(ROUND(
(INDEX(生データ表[],MATCH($C31,生データ表['#],0),MATCH(S$5,生データ表[#Headers],0))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42.307692307700002</v>
      </c>
      <c r="T31" s="4">
        <f>IFERROR(ROUND(
(INDEX(生データ表[],MATCH($C31,生データ表['#],0),MATCH(T$5,生データ表[#Headers],0))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95.763045539199993</v>
      </c>
      <c r="U31" s="4">
        <f>IFERROR(ROUND(
(INDEX(生データ表[],MATCH($C31,生データ表['#],0),MATCH(U$5,生データ表[#Headers],0))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82.894201390199996</v>
      </c>
      <c r="V31" s="4">
        <f>IFERROR(ROUND(
(INDEX(生データ表[],MATCH($C31,生データ表['#],0),MATCH(V$5,生データ表[#Headers],0))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38.713745271100002</v>
      </c>
      <c r="W31" s="4">
        <f>IFERROR(ROUND(
(INDEX(生データ表[],MATCH($C31,生データ表['#],0),MATCH(W$5,生データ表[#Headers],0))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33.075723356300003</v>
      </c>
      <c r="X31" s="4">
        <f>IFERROR(ROUND(
(INDEX(生データ表[],MATCH($C31,生データ表['#],0),MATCH(X$5,生データ表[#Headers],0))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25.6987750724</v>
      </c>
      <c r="Y31" s="4">
        <f>IFERROR(ROUND(
(INDEX(生データ表[],MATCH($C31,生データ表['#],0),MATCH(Y$5,生データ表[#Headers],0))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75.460697439399993</v>
      </c>
      <c r="Z31" s="4">
        <f>IFERROR(ROUND(
(INDEX(生データ表[],MATCH($C31,生データ表['#],0),MATCH(Z$5,生データ表[#Headers],0))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80.043501579500003</v>
      </c>
      <c r="AA31" s="4">
        <f>IFERROR(ROUND(
(INDEX(生データ表[],MATCH($C31,生データ表['#],0),MATCH(AA$5,生データ表[#Headers],0))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31" s="4">
        <f>IFERROR(ROUND(
(INDEX(生データ表[],MATCH($C31,生データ表['#],0),MATCH(AB$5,生データ表[#Headers],0))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12.464539007100001</v>
      </c>
      <c r="AC31" s="4">
        <f>IFERROR(ROUND(
(INDEX(生データ表[],MATCH($C31,生データ表['#],0),MATCH(AC$5,生データ表[#Headers],0))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82.965299684499996</v>
      </c>
      <c r="AD31" s="4">
        <f>IFERROR(ROUND(
(INDEX(生データ表[],MATCH($C31,生データ表['#],0),MATCH(AD$5,生データ表[#Headers],0))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20</v>
      </c>
      <c r="AE31" s="4">
        <f>IFERROR(ROUND(
(INDEX(生データ表[],MATCH($C31,生データ表['#],0),MATCH(AE$5,生データ表[#Headers],0))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21.472879773500001</v>
      </c>
      <c r="AF31" s="4">
        <f>IFERROR(ROUND(
(INDEX(生データ表[],MATCH($C31,生データ表['#],0),MATCH(AF$5,生データ表[#Headers],0))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9.2697022471999997</v>
      </c>
      <c r="AG31" s="4">
        <f>IFERROR(ROUND(
(INDEX(生データ表[],MATCH($C31,生データ表['#],0),MATCH(AG$5,生データ表[#Headers],0))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35.552160946599997</v>
      </c>
      <c r="AH31" s="4">
        <f>IFERROR(ROUND(
(INDEX(生データ表[],MATCH($C31,生データ表['#],0),MATCH(AH$5,生データ表[#Headers],0))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35</v>
      </c>
      <c r="AI31" s="4">
        <f>IFERROR(ROUND(
(INDEX(生データ表[],MATCH($C31,生データ表['#],0),MATCH(AI$5,生データ表[#Headers],0))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56.3234903066</v>
      </c>
      <c r="AJ31" s="4">
        <f>IFERROR(ROUND(
(INDEX(生データ表[],MATCH($C31,生データ表['#],0),MATCH(AJ$5,生データ表[#Headers],0))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19.502074688800001</v>
      </c>
      <c r="AK31" s="4">
        <f>IFERROR(ROUND(
(INDEX(生データ表[],MATCH($C31,生データ表['#],0),MATCH(AK$5,生データ表[#Headers],0))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24.657534246600001</v>
      </c>
      <c r="AL31" s="4">
        <f>IFERROR(ROUND(
(INDEX(生データ表[],MATCH($C31,生データ表['#],0),MATCH(AL$5,生データ表[#Headers],0))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47.368421052599999</v>
      </c>
      <c r="AM31" s="4">
        <f>IFERROR(ROUND(
(INDEX(生データ表[],MATCH($C31,生データ表['#],0),MATCH(AM$5,生データ表[#Headers],0))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41.971304557499998</v>
      </c>
      <c r="AN31" s="4">
        <f>IFERROR(ROUND(
(INDEX(生データ表[],MATCH($C31,生データ表['#],0),MATCH(AN$5,生データ表[#Headers],0))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28.837323210699999</v>
      </c>
      <c r="AO31" s="4">
        <f>IFERROR(ROUND(
(INDEX(生データ表[],MATCH($C31,生データ表['#],0),MATCH(AO$5,生データ表[#Headers],0))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58.7134222583</v>
      </c>
      <c r="AP31" s="4">
        <f>IFERROR(ROUND(
(INDEX(生データ表[],MATCH($C31,生データ表['#],0),MATCH(AP$5,生データ表[#Headers],0))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71.293055021599997</v>
      </c>
      <c r="AQ31" s="4">
        <f>IFERROR(ROUND(
(INDEX(生データ表[],MATCH($C31,生データ表['#],0),MATCH(AQ$5,生データ表[#Headers],0))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6.7295308300999999</v>
      </c>
      <c r="AR31" s="4">
        <f>IFERROR(ROUND(
(INDEX(生データ表[],MATCH($C31,生データ表['#],0),MATCH(AR$5,生データ表[#Headers],0))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15.9793704813</v>
      </c>
      <c r="AS31" s="4">
        <f>IFERROR(ROUND(
(INDEX(生データ表[],MATCH($C31,生データ表['#],0),MATCH(AS$5,生データ表[#Headers],0))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91.463284481000002</v>
      </c>
      <c r="AT31" s="4">
        <f>IFERROR(ROUND(
(INDEX(生データ表[],MATCH($C31,生データ表['#],0),MATCH(AT$5,生データ表[#Headers],0))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43.715086986999999</v>
      </c>
      <c r="AU31" s="4">
        <f>IFERROR(ROUND(
(INDEX(生データ表[],MATCH($C31,生データ表['#],0),MATCH(AU$5,生データ表[#Headers],0))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14.367816092</v>
      </c>
      <c r="AV31" s="4">
        <f>IFERROR(ROUND(
(INDEX(生データ表[],MATCH($C31,生データ表['#],0),MATCH(AV$5,生データ表[#Headers],0))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70.915748918899993</v>
      </c>
      <c r="AW31" s="4">
        <f>IFERROR(ROUND(
(INDEX(生データ表[],MATCH($C31,生データ表['#],0),MATCH(AW$5,生データ表[#Headers],0))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60.788631723400002</v>
      </c>
      <c r="AX31" s="4">
        <f>IFERROR(ROUND(
(INDEX(生データ表[],MATCH($C31,生データ表['#],0),MATCH(AX$5,生データ表[#Headers],0))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99.013717015099999</v>
      </c>
      <c r="AY31" s="4">
        <f>IFERROR(ROUND(
(INDEX(生データ表[],MATCH($C31,生データ表['#],0),MATCH(AY$5,生データ表[#Headers],0))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82.967959527800005</v>
      </c>
      <c r="AZ31" s="4">
        <f>IFERROR(ROUND(
(INDEX(生データ表[],MATCH($C31,生データ表['#],0),MATCH(AZ$5,生データ表[#Headers],0))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89.141200628099995</v>
      </c>
      <c r="BA31" s="4">
        <f>IFERROR(ROUND(
(INDEX(生データ表[],MATCH($C31,生データ表['#],0),MATCH(BA$5,生データ表[#Headers],0))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55.945735306899998</v>
      </c>
      <c r="BB31" s="4">
        <f>IFERROR(ROUND(
(INDEX(生データ表[],MATCH($C31,生データ表['#],0),MATCH(BB$5,生データ表[#Headers],0))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35.575804338600001</v>
      </c>
      <c r="BC31" s="4">
        <f>IFERROR(ROUND(
(INDEX(生データ表[],MATCH($C31,生データ表['#],0),MATCH(BC$5,生データ表[#Headers],0))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22.679321671499999</v>
      </c>
      <c r="BD31" s="4">
        <f>IFERROR(ROUND(
(INDEX(生データ表[],MATCH($C31,生データ表['#],0),MATCH(BD$5,生データ表[#Headers],0))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74.064203766000006</v>
      </c>
      <c r="BE31" s="4">
        <f>IFERROR(ROUND(
(INDEX(生データ表[],MATCH($C31,生データ表['#],0),MATCH(BE$5,生データ表[#Headers],0))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53.314794376499997</v>
      </c>
      <c r="BF31" s="4">
        <f>IFERROR(ROUND(
(INDEX(生データ表[],MATCH($C31,生データ表['#],0),MATCH(BF$5,生データ表[#Headers],0))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56.953654157400003</v>
      </c>
      <c r="BG31" s="4">
        <f>IFERROR(ROUND(
(INDEX(生データ表[],MATCH($C31,生データ表['#],0),MATCH(BG$5,生データ表[#Headers],0))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46.671598849200002</v>
      </c>
      <c r="BH31" s="4">
        <f>IFERROR(ROUND(
(INDEX(生データ表[],MATCH($C31,生データ表['#],0),MATCH(BH$5,生データ表[#Headers],0))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3.2065457762</v>
      </c>
      <c r="BI31" s="4">
        <f>IFERROR(ROUND(
(INDEX(生データ表[],MATCH($C31,生データ表['#],0),MATCH(BI$5,生データ表[#Headers],0))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100</v>
      </c>
      <c r="BJ31" s="4">
        <f>IFERROR(ROUND(
(INDEX(生データ表[],MATCH($C31,生データ表['#],0),MATCH(BJ$5,生データ表[#Headers],0))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93.0112571624</v>
      </c>
      <c r="BK31" s="4">
        <f>IFERROR(ROUND(
(INDEX(生データ表[],MATCH($C31,生データ表['#],0),MATCH(BK$5,生データ表[#Headers],0))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65.688487584699999</v>
      </c>
      <c r="BL31" s="4">
        <f>IFERROR(ROUND(
(INDEX(生データ表[],MATCH($C31,生データ表['#],0),MATCH(BL$5,生データ表[#Headers],0))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53.319421726599998</v>
      </c>
      <c r="BM31" s="4">
        <f>IFERROR(ROUND(
(INDEX(生データ表[],MATCH($C31,生データ表['#],0),MATCH(BM$5,生データ表[#Headers],0))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60.377358490600002</v>
      </c>
      <c r="BN31" s="4">
        <f>IFERROR(ROUND(
(INDEX(生データ表[],MATCH($C31,生データ表['#],0),MATCH(BN$5,生データ表[#Headers],0))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52.076133439199999</v>
      </c>
      <c r="BO31" s="4">
        <f>IFERROR(ROUND(
(INDEX(生データ表[],MATCH($C31,生データ表['#],0),MATCH(BO$5,生データ表[#Headers],0))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60.070552004100001</v>
      </c>
      <c r="BP31" s="4">
        <f>IFERROR(ROUND(
(INDEX(生データ表[],MATCH($C31,生データ表['#],0),MATCH(BP$5,生データ表[#Headers],0))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33.423913043500001</v>
      </c>
      <c r="BQ31" s="4">
        <f>IFERROR(ROUND(
(INDEX(生データ表[],MATCH($C31,生データ表['#],0),MATCH(BQ$5,生データ表[#Headers],0))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47.307718220799998</v>
      </c>
      <c r="BR31" s="4">
        <f>IFERROR(ROUND(
(INDEX(生データ表[],MATCH($C31,生データ表['#],0),MATCH(BR$5,生データ表[#Headers],0))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28.668792659000001</v>
      </c>
      <c r="BS31" s="4">
        <f>IFERROR(ROUND(
(INDEX(生データ表[],MATCH($C31,生データ表['#],0),MATCH(BS$5,生データ表[#Headers],0))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19.040076033599998</v>
      </c>
      <c r="BT31" s="4">
        <f>IFERROR(ROUND(
(INDEX(生データ表[],MATCH($C31,生データ表['#],0),MATCH(BT$5,生データ表[#Headers],0))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24.028512301700001</v>
      </c>
      <c r="BU31" s="4">
        <f>IFERROR(ROUND(
(INDEX(生データ表[],MATCH($C31,生データ表['#],0),MATCH(BU$5,生データ表[#Headers],0))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80.682289348799998</v>
      </c>
      <c r="BV31" s="4">
        <f>IFERROR(ROUND(
(INDEX(生データ表[],MATCH($C31,生データ表['#],0),MATCH(BV$5,生データ表[#Headers],0))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47.669880728700001</v>
      </c>
      <c r="BW31" s="4">
        <f>IFERROR(ROUND(
(INDEX(生データ表[],MATCH($C31,生データ表['#],0),MATCH(BW$5,生データ表[#Headers],0))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26.402385159000001</v>
      </c>
      <c r="BX31" s="4">
        <f>IFERROR(ROUND(
(INDEX(生データ表[],MATCH($C31,生データ表['#],0),MATCH(BX$5,生データ表[#Headers],0))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15.280651626599999</v>
      </c>
      <c r="BY31" s="4">
        <f>IFERROR(ROUND(
(INDEX(生データ表[],MATCH($C31,生データ表['#],0),MATCH(BY$5,生データ表[#Headers],0))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52.187802623000003</v>
      </c>
      <c r="BZ31" s="4">
        <f t="shared" si="9"/>
        <v>30.824018530049997</v>
      </c>
      <c r="CA31" s="4">
        <f t="shared" si="9"/>
        <v>57.695938360900001</v>
      </c>
      <c r="CB31" s="4">
        <f t="shared" si="9"/>
        <v>8.9656707223999987</v>
      </c>
      <c r="CC31" s="4">
        <f t="shared" si="9"/>
        <v>46.542999744599996</v>
      </c>
      <c r="CD31" s="4">
        <f t="shared" si="9"/>
        <v>41.723227491333326</v>
      </c>
      <c r="CE31" s="4">
        <f t="shared" si="9"/>
        <v>69.035368923449994</v>
      </c>
      <c r="CF31" s="4">
        <f t="shared" si="9"/>
        <v>60.803973330649995</v>
      </c>
      <c r="CG31" s="4">
        <f t="shared" si="9"/>
        <v>44.745065289366664</v>
      </c>
      <c r="CH31" s="4">
        <f t="shared" si="9"/>
        <v>30.836013528866669</v>
      </c>
      <c r="CI31" s="4">
        <f t="shared" si="9"/>
        <v>33.426970426299995</v>
      </c>
      <c r="CJ31" s="4">
        <f t="shared" si="10"/>
        <v>42.291883751066671</v>
      </c>
      <c r="CK31" s="4">
        <f t="shared" si="10"/>
        <v>30.509343329333333</v>
      </c>
      <c r="CL31" s="4">
        <f t="shared" si="10"/>
        <v>50.203776262024995</v>
      </c>
      <c r="CM31" s="4">
        <f t="shared" si="10"/>
        <v>11.354450655699999</v>
      </c>
      <c r="CN31" s="4">
        <f t="shared" si="10"/>
        <v>49.848729186666667</v>
      </c>
      <c r="CO31" s="4">
        <f t="shared" si="10"/>
        <v>65.852190321150005</v>
      </c>
      <c r="CP31" s="4">
        <f t="shared" si="10"/>
        <v>90.990838271450002</v>
      </c>
      <c r="CQ31" s="4">
        <f t="shared" si="10"/>
        <v>60.220913424533329</v>
      </c>
      <c r="CR31" s="4">
        <f t="shared" si="10"/>
        <v>51.752993492850003</v>
      </c>
      <c r="CS31" s="4">
        <f t="shared" si="10"/>
        <v>49.959381541800006</v>
      </c>
      <c r="CT31" s="4">
        <f t="shared" si="11"/>
        <v>70.673055491233342</v>
      </c>
      <c r="CU31" s="4">
        <f t="shared" si="11"/>
        <v>57.508014644633334</v>
      </c>
      <c r="CV31" s="4">
        <f t="shared" si="11"/>
        <v>40.365815632150003</v>
      </c>
      <c r="CW31" s="4">
        <f t="shared" si="11"/>
        <v>23.8544343463</v>
      </c>
      <c r="CX31" s="4">
        <f t="shared" si="11"/>
        <v>50.793560793066668</v>
      </c>
      <c r="CY31" s="4">
        <f t="shared" si="11"/>
        <v>31.290279802866667</v>
      </c>
      <c r="CZ31" s="4">
        <f t="shared" si="12"/>
        <v>254.78722377273331</v>
      </c>
      <c r="DA31" s="4">
        <f t="shared" si="12"/>
        <v>136.38505214888332</v>
      </c>
      <c r="DB31" s="4">
        <f t="shared" si="12"/>
        <v>167.78642442442498</v>
      </c>
      <c r="DC31" s="4">
        <f t="shared" si="12"/>
        <v>318.66566469665003</v>
      </c>
      <c r="DD31" s="4">
        <f t="shared" si="12"/>
        <v>178.14045167766668</v>
      </c>
      <c r="DE31" s="4">
        <f t="shared" si="12"/>
        <v>146.30409057438334</v>
      </c>
      <c r="DF31" s="76">
        <f t="shared" si="4"/>
        <v>1202.0689072947416</v>
      </c>
    </row>
    <row r="32" spans="1:110" hidden="1">
      <c r="A32" s="2">
        <v>27</v>
      </c>
      <c r="B32" s="58">
        <f>INDEX(順位表[Comprehensive],MATCH($C32,順位表['#],0))</f>
        <v>42</v>
      </c>
      <c r="C32" s="3">
        <v>27</v>
      </c>
      <c r="D32" s="1" t="str">
        <f>INDEX(都市マスタ[City Name],MATCH($C32,都市マスタ['#],0))</f>
        <v>Fukuoka</v>
      </c>
      <c r="E32" s="4">
        <f>IFERROR(ROUND(
(INDEX(生データ表[],MATCH($C32,生データ表['#],0),MATCH(E$5,生データ表[#Headers],0))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5.7867396023</v>
      </c>
      <c r="F32" s="4">
        <f>IFERROR(ROUND(
(INDEX(生データ表[],MATCH($C32,生データ表['#],0),MATCH(F$5,生データ表[#Headers],0))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1.9986247207000001</v>
      </c>
      <c r="G32" s="4">
        <f>IFERROR(ROUND(
(INDEX(生データ表[],MATCH($C32,生データ表['#],0),MATCH(G$5,生データ表[#Headers],0))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0.8798687382</v>
      </c>
      <c r="H32" s="4">
        <f>IFERROR(ROUND(
(INDEX(生データ表[],MATCH($C32,生データ表['#],0),MATCH(H$5,生データ表[#Headers],0))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5.0642068305999999</v>
      </c>
      <c r="I32" s="4">
        <f>IFERROR(ROUND(
(INDEX(生データ表[],MATCH($C32,生データ表['#],0),MATCH(I$5,生データ表[#Headers],0))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17.7291425618</v>
      </c>
      <c r="J32" s="4">
        <f>IFERROR(ROUND(
(INDEX(生データ表[],MATCH($C32,生データ表['#],0),MATCH(J$5,生データ表[#Headers],0))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0</v>
      </c>
      <c r="K32" s="4">
        <f>IFERROR(ROUND(
(INDEX(生データ表[],MATCH($C32,生データ表['#],0),MATCH(K$5,生データ表[#Headers],0))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58.9198036007</v>
      </c>
      <c r="L32" s="4">
        <f>IFERROR(ROUND(
(INDEX(生データ表[],MATCH($C32,生データ表['#],0),MATCH(L$5,生データ表[#Headers],0))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32" s="4">
        <f>IFERROR(ROUND(
(INDEX(生データ表[],MATCH($C32,生データ表['#],0),MATCH(M$5,生データ表[#Headers],0))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32" s="4">
        <f>IFERROR(ROUND(
(INDEX(生データ表[],MATCH($C32,生データ表['#],0),MATCH(N$5,生データ表[#Headers],0))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5.7695574790000004</v>
      </c>
      <c r="O32" s="4">
        <f>IFERROR(ROUND(
(INDEX(生データ表[],MATCH($C32,生データ表['#],0),MATCH(O$5,生データ表[#Headers],0))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64.873159847300002</v>
      </c>
      <c r="P32" s="4">
        <f>IFERROR(ROUND(
(INDEX(生データ表[],MATCH($C32,生データ表['#],0),MATCH(P$5,生データ表[#Headers],0))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23.246759251</v>
      </c>
      <c r="Q32" s="4">
        <f>IFERROR(ROUND(
(INDEX(生データ表[],MATCH($C32,生データ表['#],0),MATCH(Q$5,生データ表[#Headers],0))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4.7799108244999999</v>
      </c>
      <c r="R32" s="4">
        <f>IFERROR(ROUND(
(INDEX(生データ表[],MATCH($C32,生データ表['#],0),MATCH(R$5,生データ表[#Headers],0))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19.562549196999999</v>
      </c>
      <c r="S32" s="4">
        <f>IFERROR(ROUND(
(INDEX(生データ表[],MATCH($C32,生データ表['#],0),MATCH(S$5,生データ表[#Headers],0))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16.999718339099999</v>
      </c>
      <c r="T32" s="4">
        <f>IFERROR(ROUND(
(INDEX(生データ表[],MATCH($C32,生データ表['#],0),MATCH(T$5,生データ表[#Headers],0))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84.191404539800004</v>
      </c>
      <c r="U32" s="4">
        <f>IFERROR(ROUND(
(INDEX(生データ表[],MATCH($C32,生データ表['#],0),MATCH(U$5,生データ表[#Headers],0))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9.0596138022999995</v>
      </c>
      <c r="V32" s="4">
        <f>IFERROR(ROUND(
(INDEX(生データ表[],MATCH($C32,生データ表['#],0),MATCH(V$5,生データ表[#Headers],0))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0.37831021440000001</v>
      </c>
      <c r="W32" s="4">
        <f>IFERROR(ROUND(
(INDEX(生データ表[],MATCH($C32,生データ表['#],0),MATCH(W$5,生データ表[#Headers],0))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5.4436379779999999</v>
      </c>
      <c r="X32" s="4">
        <f>IFERROR(ROUND(
(INDEX(生データ表[],MATCH($C32,生データ表['#],0),MATCH(X$5,生データ表[#Headers],0))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1.9210526965000001</v>
      </c>
      <c r="Y32" s="4">
        <f>IFERROR(ROUND(
(INDEX(生データ表[],MATCH($C32,生データ表['#],0),MATCH(Y$5,生データ表[#Headers],0))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75.599337566800003</v>
      </c>
      <c r="Z32" s="4">
        <f>IFERROR(ROUND(
(INDEX(生データ表[],MATCH($C32,生データ表['#],0),MATCH(Z$5,生データ表[#Headers],0))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11.336044250900001</v>
      </c>
      <c r="AA32" s="4">
        <f>IFERROR(ROUND(
(INDEX(生データ表[],MATCH($C32,生データ表['#],0),MATCH(AA$5,生データ表[#Headers],0))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32" s="4">
        <f>IFERROR(ROUND(
(INDEX(生データ表[],MATCH($C32,生データ表['#],0),MATCH(AB$5,生データ表[#Headers],0))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0</v>
      </c>
      <c r="AC32" s="4">
        <f>IFERROR(ROUND(
(INDEX(生データ表[],MATCH($C32,生データ表['#],0),MATCH(AC$5,生データ表[#Headers],0))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0</v>
      </c>
      <c r="AD32" s="4">
        <f>IFERROR(ROUND(
(INDEX(生データ表[],MATCH($C32,生データ表['#],0),MATCH(AD$5,生データ表[#Headers],0))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3.6363636364</v>
      </c>
      <c r="AE32" s="4">
        <f>IFERROR(ROUND(
(INDEX(生データ表[],MATCH($C32,生データ表['#],0),MATCH(AE$5,生データ表[#Headers],0))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1.0281917586</v>
      </c>
      <c r="AF32" s="4">
        <f>IFERROR(ROUND(
(INDEX(生データ表[],MATCH($C32,生データ表['#],0),MATCH(AF$5,生データ表[#Headers],0))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v>
      </c>
      <c r="AG32" s="4">
        <f>IFERROR(ROUND(
(INDEX(生データ表[],MATCH($C32,生データ表['#],0),MATCH(AG$5,生データ表[#Headers],0))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0</v>
      </c>
      <c r="AH32" s="4">
        <f>IFERROR(ROUND(
(INDEX(生データ表[],MATCH($C32,生データ表['#],0),MATCH(AH$5,生データ表[#Headers],0))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30</v>
      </c>
      <c r="AI32" s="4">
        <f>IFERROR(ROUND(
(INDEX(生データ表[],MATCH($C32,生データ表['#],0),MATCH(AI$5,生データ表[#Headers],0))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31.394348212299999</v>
      </c>
      <c r="AJ32" s="4">
        <f>IFERROR(ROUND(
(INDEX(生データ表[],MATCH($C32,生データ表['#],0),MATCH(AJ$5,生データ表[#Headers],0))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1.6597510373</v>
      </c>
      <c r="AK32" s="4">
        <f>IFERROR(ROUND(
(INDEX(生データ表[],MATCH($C32,生データ表['#],0),MATCH(AK$5,生データ表[#Headers],0))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1.3698630137000001</v>
      </c>
      <c r="AL32" s="4">
        <f>IFERROR(ROUND(
(INDEX(生データ表[],MATCH($C32,生データ表['#],0),MATCH(AL$5,生データ表[#Headers],0))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5.2631578947</v>
      </c>
      <c r="AM32" s="4">
        <f>IFERROR(ROUND(
(INDEX(生データ表[],MATCH($C32,生データ表['#],0),MATCH(AM$5,生データ表[#Headers],0))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17.407764649099999</v>
      </c>
      <c r="AN32" s="4">
        <f>IFERROR(ROUND(
(INDEX(生データ表[],MATCH($C32,生データ表['#],0),MATCH(AN$5,生データ表[#Headers],0))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0</v>
      </c>
      <c r="AO32" s="4">
        <f>IFERROR(ROUND(
(INDEX(生データ表[],MATCH($C32,生データ表['#],0),MATCH(AO$5,生データ表[#Headers],0))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30.4198876086</v>
      </c>
      <c r="AP32" s="4">
        <f>IFERROR(ROUND(
(INDEX(生データ表[],MATCH($C32,生データ表['#],0),MATCH(AP$5,生データ表[#Headers],0))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44.405939993799997</v>
      </c>
      <c r="AQ32" s="4">
        <f>IFERROR(ROUND(
(INDEX(生データ表[],MATCH($C32,生データ表['#],0),MATCH(AQ$5,生データ表[#Headers],0))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1.0099069222999999</v>
      </c>
      <c r="AR32" s="4">
        <f>IFERROR(ROUND(
(INDEX(生データ表[],MATCH($C32,生データ表['#],0),MATCH(AR$5,生データ表[#Headers],0))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2.0629440065</v>
      </c>
      <c r="AS32" s="4">
        <f>IFERROR(ROUND(
(INDEX(生データ表[],MATCH($C32,生データ表['#],0),MATCH(AS$5,生データ表[#Headers],0))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92.913783222500001</v>
      </c>
      <c r="AT32" s="4">
        <f>IFERROR(ROUND(
(INDEX(生データ表[],MATCH($C32,生データ表['#],0),MATCH(AT$5,生データ表[#Headers],0))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66.924319758400003</v>
      </c>
      <c r="AU32" s="4">
        <f>IFERROR(ROUND(
(INDEX(生データ表[],MATCH($C32,生データ表['#],0),MATCH(AU$5,生データ表[#Headers],0))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40.4990542703</v>
      </c>
      <c r="AV32" s="4">
        <f>IFERROR(ROUND(
(INDEX(生データ表[],MATCH($C32,生データ表['#],0),MATCH(AV$5,生データ表[#Headers],0))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92.7748354111</v>
      </c>
      <c r="AW32" s="4">
        <f>IFERROR(ROUND(
(INDEX(生データ表[],MATCH($C32,生データ表['#],0),MATCH(AW$5,生データ表[#Headers],0))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62.388596372999999</v>
      </c>
      <c r="AX32" s="4">
        <f>IFERROR(ROUND(
(INDEX(生データ表[],MATCH($C32,生データ表['#],0),MATCH(AX$5,生データ表[#Headers],0))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98.9379900064</v>
      </c>
      <c r="AY32" s="4">
        <f>IFERROR(ROUND(
(INDEX(生データ表[],MATCH($C32,生データ表['#],0),MATCH(AY$5,生データ表[#Headers],0))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90.219224283299994</v>
      </c>
      <c r="AZ32" s="4">
        <f>IFERROR(ROUND(
(INDEX(生データ表[],MATCH($C32,生データ表['#],0),MATCH(AZ$5,生データ表[#Headers],0))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94.093489551900007</v>
      </c>
      <c r="BA32" s="4">
        <f>IFERROR(ROUND(
(INDEX(生データ表[],MATCH($C32,生データ表['#],0),MATCH(BA$5,生データ表[#Headers],0))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57.654594982299997</v>
      </c>
      <c r="BB32" s="4">
        <f>IFERROR(ROUND(
(INDEX(生データ表[],MATCH($C32,生データ表['#],0),MATCH(BB$5,生データ表[#Headers],0))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64.521600139300006</v>
      </c>
      <c r="BC32" s="4">
        <f>IFERROR(ROUND(
(INDEX(生データ表[],MATCH($C32,生データ表['#],0),MATCH(BC$5,生データ表[#Headers],0))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30.575072239400001</v>
      </c>
      <c r="BD32" s="4">
        <f>IFERROR(ROUND(
(INDEX(生データ表[],MATCH($C32,生データ表['#],0),MATCH(BD$5,生データ表[#Headers],0))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55.661418079000001</v>
      </c>
      <c r="BE32" s="4">
        <f>IFERROR(ROUND(
(INDEX(生データ表[],MATCH($C32,生データ表['#],0),MATCH(BE$5,生データ表[#Headers],0))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16.150049031199998</v>
      </c>
      <c r="BF32" s="4">
        <f>IFERROR(ROUND(
(INDEX(生データ表[],MATCH($C32,生データ表['#],0),MATCH(BF$5,生データ表[#Headers],0))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0</v>
      </c>
      <c r="BG32" s="4">
        <f>IFERROR(ROUND(
(INDEX(生データ表[],MATCH($C32,生データ表['#],0),MATCH(BG$5,生データ表[#Headers],0))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33.797538744199997</v>
      </c>
      <c r="BH32" s="4">
        <f>IFERROR(ROUND(
(INDEX(生データ表[],MATCH($C32,生データ表['#],0),MATCH(BH$5,生データ表[#Headers],0))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14.130915524100001</v>
      </c>
      <c r="BI32" s="4">
        <f>IFERROR(ROUND(
(INDEX(生データ表[],MATCH($C32,生データ表['#],0),MATCH(BI$5,生データ表[#Headers],0))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30.560384174700001</v>
      </c>
      <c r="BJ32" s="4">
        <f>IFERROR(ROUND(
(INDEX(生データ表[],MATCH($C32,生データ表['#],0),MATCH(BJ$5,生データ表[#Headers],0))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83.175320404199994</v>
      </c>
      <c r="BK32" s="4">
        <f>IFERROR(ROUND(
(INDEX(生データ表[],MATCH($C32,生データ表['#],0),MATCH(BK$5,生データ表[#Headers],0))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83.747178329600004</v>
      </c>
      <c r="BL32" s="4">
        <f>IFERROR(ROUND(
(INDEX(生データ表[],MATCH($C32,生データ表['#],0),MATCH(BL$5,生データ表[#Headers],0))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64.115327478699996</v>
      </c>
      <c r="BM32" s="4">
        <f>IFERROR(ROUND(
(INDEX(生データ表[],MATCH($C32,生データ表['#],0),MATCH(BM$5,生データ表[#Headers],0))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54.136429608100002</v>
      </c>
      <c r="BN32" s="4">
        <f>IFERROR(ROUND(
(INDEX(生データ表[],MATCH($C32,生データ表['#],0),MATCH(BN$5,生データ表[#Headers],0))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64.186098971099995</v>
      </c>
      <c r="BO32" s="4">
        <f>IFERROR(ROUND(
(INDEX(生データ表[],MATCH($C32,生データ表['#],0),MATCH(BO$5,生データ表[#Headers],0))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61.807989998399997</v>
      </c>
      <c r="BP32" s="4">
        <f>IFERROR(ROUND(
(INDEX(生データ表[],MATCH($C32,生データ表['#],0),MATCH(BP$5,生データ表[#Headers],0))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0</v>
      </c>
      <c r="BQ32" s="4">
        <f>IFERROR(ROUND(
(INDEX(生データ表[],MATCH($C32,生データ表['#],0),MATCH(BQ$5,生データ表[#Headers],0))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1.313696129</v>
      </c>
      <c r="BR32" s="4">
        <f>IFERROR(ROUND(
(INDEX(生データ表[],MATCH($C32,生データ表['#],0),MATCH(BR$5,生データ表[#Headers],0))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6.0886245056000003</v>
      </c>
      <c r="BS32" s="4">
        <f>IFERROR(ROUND(
(INDEX(生データ表[],MATCH($C32,生データ表['#],0),MATCH(BS$5,生データ表[#Headers],0))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9.4090681947999997</v>
      </c>
      <c r="BT32" s="4">
        <f>IFERROR(ROUND(
(INDEX(生データ表[],MATCH($C32,生データ表['#],0),MATCH(BT$5,生データ表[#Headers],0))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7.4729822948000004</v>
      </c>
      <c r="BU32" s="4">
        <f>IFERROR(ROUND(
(INDEX(生データ表[],MATCH($C32,生データ表['#],0),MATCH(BU$5,生データ表[#Headers],0))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47.799866274599999</v>
      </c>
      <c r="BV32" s="4">
        <f>IFERROR(ROUND(
(INDEX(生データ表[],MATCH($C32,生データ表['#],0),MATCH(BV$5,生データ表[#Headers],0))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100</v>
      </c>
      <c r="BW32" s="4">
        <f>IFERROR(ROUND(
(INDEX(生データ表[],MATCH($C32,生データ表['#],0),MATCH(BW$5,生データ表[#Headers],0))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88.515901060100006</v>
      </c>
      <c r="BX32" s="4">
        <f>IFERROR(ROUND(
(INDEX(生データ表[],MATCH($C32,生データ表['#],0),MATCH(BX$5,生データ表[#Headers],0))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29.225172413799999</v>
      </c>
      <c r="BY32" s="4">
        <f>IFERROR(ROUND(
(INDEX(生データ表[],MATCH($C32,生データ表['#],0),MATCH(BY$5,生データ表[#Headers],0))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53.272514072</v>
      </c>
      <c r="BZ32" s="4">
        <f t="shared" si="9"/>
        <v>11.3966746962</v>
      </c>
      <c r="CA32" s="4">
        <f t="shared" si="9"/>
        <v>29.45990180035</v>
      </c>
      <c r="CB32" s="4">
        <f t="shared" si="9"/>
        <v>0</v>
      </c>
      <c r="CC32" s="4">
        <f t="shared" si="9"/>
        <v>35.321358663150001</v>
      </c>
      <c r="CD32" s="4">
        <f t="shared" si="9"/>
        <v>15.863073090833334</v>
      </c>
      <c r="CE32" s="4">
        <f t="shared" si="9"/>
        <v>50.595561439450002</v>
      </c>
      <c r="CF32" s="4">
        <f t="shared" si="9"/>
        <v>4.7189620083500001</v>
      </c>
      <c r="CG32" s="4">
        <f t="shared" si="9"/>
        <v>27.654676080433333</v>
      </c>
      <c r="CH32" s="4">
        <f t="shared" si="9"/>
        <v>3.7786814169666667</v>
      </c>
      <c r="CI32" s="4">
        <f t="shared" si="9"/>
        <v>1.16613884875</v>
      </c>
      <c r="CJ32" s="4">
        <f t="shared" si="10"/>
        <v>20.464782737433335</v>
      </c>
      <c r="CK32" s="4">
        <f t="shared" si="10"/>
        <v>2.7642573152333334</v>
      </c>
      <c r="CL32" s="4">
        <f t="shared" si="10"/>
        <v>23.058398062875</v>
      </c>
      <c r="CM32" s="4">
        <f t="shared" si="10"/>
        <v>1.5364254643999999</v>
      </c>
      <c r="CN32" s="4">
        <f t="shared" si="10"/>
        <v>66.779052417066666</v>
      </c>
      <c r="CO32" s="4">
        <f t="shared" si="10"/>
        <v>77.581715892049999</v>
      </c>
      <c r="CP32" s="4">
        <f t="shared" si="10"/>
        <v>94.578607144849997</v>
      </c>
      <c r="CQ32" s="4">
        <f t="shared" si="10"/>
        <v>72.089894891166679</v>
      </c>
      <c r="CR32" s="4">
        <f t="shared" si="10"/>
        <v>25.5966348374</v>
      </c>
      <c r="CS32" s="4">
        <f t="shared" si="10"/>
        <v>26.16294614766667</v>
      </c>
      <c r="CT32" s="4">
        <f t="shared" si="11"/>
        <v>77.012608737500003</v>
      </c>
      <c r="CU32" s="4">
        <f t="shared" si="11"/>
        <v>60.043506192533329</v>
      </c>
      <c r="CV32" s="4">
        <f t="shared" si="11"/>
        <v>0.6568480645</v>
      </c>
      <c r="CW32" s="4">
        <f t="shared" si="11"/>
        <v>7.7488463502</v>
      </c>
      <c r="CX32" s="4">
        <f t="shared" si="11"/>
        <v>51.757616189799997</v>
      </c>
      <c r="CY32" s="4">
        <f t="shared" si="11"/>
        <v>57.004529181966667</v>
      </c>
      <c r="CZ32" s="4">
        <f t="shared" si="12"/>
        <v>142.63656968998333</v>
      </c>
      <c r="DA32" s="4">
        <f t="shared" si="12"/>
        <v>36.15231950575</v>
      </c>
      <c r="DB32" s="4">
        <f t="shared" si="12"/>
        <v>48.990002428691668</v>
      </c>
      <c r="DC32" s="4">
        <f t="shared" si="12"/>
        <v>336.62590518253336</v>
      </c>
      <c r="DD32" s="4">
        <f t="shared" si="12"/>
        <v>163.21906107770002</v>
      </c>
      <c r="DE32" s="4">
        <f t="shared" si="12"/>
        <v>117.16783978646666</v>
      </c>
      <c r="DF32" s="76">
        <f t="shared" si="4"/>
        <v>844.79169767112489</v>
      </c>
    </row>
    <row r="33" spans="1:110" hidden="1">
      <c r="A33" s="2">
        <v>28</v>
      </c>
      <c r="B33" s="58">
        <f>INDEX(順位表[Comprehensive],MATCH($C33,順位表['#],0))</f>
        <v>37</v>
      </c>
      <c r="C33" s="3">
        <v>28</v>
      </c>
      <c r="D33" s="1" t="str">
        <f>INDEX(都市マスタ[City Name],MATCH($C33,都市マスタ['#],0))</f>
        <v>Osaka</v>
      </c>
      <c r="E33" s="4">
        <f>IFERROR(ROUND(
(INDEX(生データ表[],MATCH($C33,生データ表['#],0),MATCH(E$5,生データ表[#Headers],0))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10.349765463200001</v>
      </c>
      <c r="F33" s="4">
        <f>IFERROR(ROUND(
(INDEX(生データ表[],MATCH($C33,生データ表['#],0),MATCH(F$5,生データ表[#Headers],0))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1.2778312518999999</v>
      </c>
      <c r="G33" s="4">
        <f>IFERROR(ROUND(
(INDEX(生データ表[],MATCH($C33,生データ表['#],0),MATCH(G$5,生データ表[#Headers],0))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0.8798687382</v>
      </c>
      <c r="H33" s="4">
        <f>IFERROR(ROUND(
(INDEX(生データ表[],MATCH($C33,生データ表['#],0),MATCH(H$5,生データ表[#Headers],0))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18.498621783099999</v>
      </c>
      <c r="I33" s="4">
        <f>IFERROR(ROUND(
(INDEX(生データ表[],MATCH($C33,生データ表['#],0),MATCH(I$5,生データ表[#Headers],0))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28.936816679300001</v>
      </c>
      <c r="J33" s="4">
        <f>IFERROR(ROUND(
(INDEX(生データ表[],MATCH($C33,生データ表['#],0),MATCH(J$5,生データ表[#Headers],0))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0.66450667320000001</v>
      </c>
      <c r="K33" s="4">
        <f>IFERROR(ROUND(
(INDEX(生データ表[],MATCH($C33,生データ表['#],0),MATCH(K$5,生データ表[#Headers],0))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58.9198036007</v>
      </c>
      <c r="L33" s="4">
        <f>IFERROR(ROUND(
(INDEX(生データ表[],MATCH($C33,生データ表['#],0),MATCH(L$5,生データ表[#Headers],0))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33" s="4">
        <f>IFERROR(ROUND(
(INDEX(生データ表[],MATCH($C33,生データ表['#],0),MATCH(M$5,生データ表[#Headers],0))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5.7743811035999997</v>
      </c>
      <c r="N33" s="4">
        <f>IFERROR(ROUND(
(INDEX(生データ表[],MATCH($C33,生データ表['#],0),MATCH(N$5,生データ表[#Headers],0))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16.285913833199999</v>
      </c>
      <c r="O33" s="4">
        <f>IFERROR(ROUND(
(INDEX(生データ表[],MATCH($C33,生データ表['#],0),MATCH(O$5,生データ表[#Headers],0))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69.169977507799999</v>
      </c>
      <c r="P33" s="4">
        <f>IFERROR(ROUND(
(INDEX(生データ表[],MATCH($C33,生データ表['#],0),MATCH(P$5,生データ表[#Headers],0))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32.675319294200001</v>
      </c>
      <c r="Q33" s="4">
        <f>IFERROR(ROUND(
(INDEX(生データ表[],MATCH($C33,生データ表['#],0),MATCH(Q$5,生データ表[#Headers],0))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10.7027792171</v>
      </c>
      <c r="R33" s="4">
        <f>IFERROR(ROUND(
(INDEX(生データ表[],MATCH($C33,生データ表['#],0),MATCH(R$5,生データ表[#Headers],0))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29.3331526592</v>
      </c>
      <c r="S33" s="4">
        <f>IFERROR(ROUND(
(INDEX(生データ表[],MATCH($C33,生データ表['#],0),MATCH(S$5,生データ表[#Headers],0))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16.999718339099999</v>
      </c>
      <c r="T33" s="4">
        <f>IFERROR(ROUND(
(INDEX(生データ表[],MATCH($C33,生データ表['#],0),MATCH(T$5,生データ表[#Headers],0))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85.046490441399996</v>
      </c>
      <c r="U33" s="4">
        <f>IFERROR(ROUND(
(INDEX(生データ表[],MATCH($C33,生データ表['#],0),MATCH(U$5,生データ表[#Headers],0))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24.7761046826</v>
      </c>
      <c r="V33" s="4">
        <f>IFERROR(ROUND(
(INDEX(生データ表[],MATCH($C33,生データ表['#],0),MATCH(V$5,生データ表[#Headers],0))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17.2761664565</v>
      </c>
      <c r="W33" s="4">
        <f>IFERROR(ROUND(
(INDEX(生データ表[],MATCH($C33,生データ表['#],0),MATCH(W$5,生データ表[#Headers],0))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13.980407276499999</v>
      </c>
      <c r="X33" s="4">
        <f>IFERROR(ROUND(
(INDEX(生データ表[],MATCH($C33,生データ表['#],0),MATCH(X$5,生データ表[#Headers],0))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4.8277318791999999</v>
      </c>
      <c r="Y33" s="4">
        <f>IFERROR(ROUND(
(INDEX(生データ表[],MATCH($C33,生データ表['#],0),MATCH(Y$5,生データ表[#Headers],0))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75.599337566800003</v>
      </c>
      <c r="Z33" s="4">
        <f>IFERROR(ROUND(
(INDEX(生データ表[],MATCH($C33,生データ表['#],0),MATCH(Z$5,生データ表[#Headers],0))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28.434071213999999</v>
      </c>
      <c r="AA33" s="4">
        <f>IFERROR(ROUND(
(INDEX(生データ表[],MATCH($C33,生データ表['#],0),MATCH(AA$5,生データ表[#Headers],0))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22.4755700326</v>
      </c>
      <c r="AB33" s="4">
        <f>IFERROR(ROUND(
(INDEX(生データ表[],MATCH($C33,生データ表['#],0),MATCH(AB$5,生データ表[#Headers],0))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0.69148936169999997</v>
      </c>
      <c r="AC33" s="4">
        <f>IFERROR(ROUND(
(INDEX(生データ表[],MATCH($C33,生データ表['#],0),MATCH(AC$5,生データ表[#Headers],0))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0.94637223969999995</v>
      </c>
      <c r="AD33" s="4">
        <f>IFERROR(ROUND(
(INDEX(生データ表[],MATCH($C33,生データ表['#],0),MATCH(AD$5,生データ表[#Headers],0))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30.909090909100001</v>
      </c>
      <c r="AE33" s="4">
        <f>IFERROR(ROUND(
(INDEX(生データ表[],MATCH($C33,生データ表['#],0),MATCH(AE$5,生データ表[#Headers],0))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3.1584036064999998</v>
      </c>
      <c r="AF33" s="4">
        <f>IFERROR(ROUND(
(INDEX(生データ表[],MATCH($C33,生データ表['#],0),MATCH(AF$5,生データ表[#Headers],0))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0.69534984789999998</v>
      </c>
      <c r="AG33" s="4">
        <f>IFERROR(ROUND(
(INDEX(生データ表[],MATCH($C33,生データ表['#],0),MATCH(AG$5,生データ表[#Headers],0))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14.0975945066</v>
      </c>
      <c r="AH33" s="4">
        <f>IFERROR(ROUND(
(INDEX(生データ表[],MATCH($C33,生データ表['#],0),MATCH(AH$5,生データ表[#Headers],0))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55</v>
      </c>
      <c r="AI33" s="4">
        <f>IFERROR(ROUND(
(INDEX(生データ表[],MATCH($C33,生データ表['#],0),MATCH(AI$5,生データ表[#Headers],0))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24.798649689400001</v>
      </c>
      <c r="AJ33" s="4">
        <f>IFERROR(ROUND(
(INDEX(生データ表[],MATCH($C33,生データ表['#],0),MATCH(AJ$5,生データ表[#Headers],0))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29.6680497925</v>
      </c>
      <c r="AK33" s="4">
        <f>IFERROR(ROUND(
(INDEX(生データ表[],MATCH($C33,生データ表['#],0),MATCH(AK$5,生データ表[#Headers],0))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11.301369863</v>
      </c>
      <c r="AL33" s="4">
        <f>IFERROR(ROUND(
(INDEX(生データ表[],MATCH($C33,生データ表['#],0),MATCH(AL$5,生データ表[#Headers],0))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26.315789473700001</v>
      </c>
      <c r="AM33" s="4">
        <f>IFERROR(ROUND(
(INDEX(生データ表[],MATCH($C33,生データ表['#],0),MATCH(AM$5,生データ表[#Headers],0))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59.645526886900001</v>
      </c>
      <c r="AN33" s="4">
        <f>IFERROR(ROUND(
(INDEX(生データ表[],MATCH($C33,生データ表['#],0),MATCH(AN$5,生データ表[#Headers],0))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4.2796791771000002</v>
      </c>
      <c r="AO33" s="4">
        <f>IFERROR(ROUND(
(INDEX(生データ表[],MATCH($C33,生データ表['#],0),MATCH(AO$5,生データ表[#Headers],0))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44.760371870999997</v>
      </c>
      <c r="AP33" s="4">
        <f>IFERROR(ROUND(
(INDEX(生データ表[],MATCH($C33,生データ表['#],0),MATCH(AP$5,生データ表[#Headers],0))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49.016854712899999</v>
      </c>
      <c r="AQ33" s="4">
        <f>IFERROR(ROUND(
(INDEX(生データ表[],MATCH($C33,生データ表['#],0),MATCH(AQ$5,生データ表[#Headers],0))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4.5242307677999998</v>
      </c>
      <c r="AR33" s="4">
        <f>IFERROR(ROUND(
(INDEX(生データ表[],MATCH($C33,生データ表['#],0),MATCH(AR$5,生データ表[#Headers],0))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11.2635730362</v>
      </c>
      <c r="AS33" s="4">
        <f>IFERROR(ROUND(
(INDEX(生データ表[],MATCH($C33,生データ表['#],0),MATCH(AS$5,生データ表[#Headers],0))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92.333583725899999</v>
      </c>
      <c r="AT33" s="4">
        <f>IFERROR(ROUND(
(INDEX(生データ表[],MATCH($C33,生データ表['#],0),MATCH(AT$5,生データ表[#Headers],0))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71.009452626599995</v>
      </c>
      <c r="AU33" s="4">
        <f>IFERROR(ROUND(
(INDEX(生データ表[],MATCH($C33,生データ表['#],0),MATCH(AU$5,生データ表[#Headers],0))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31.702006139800002</v>
      </c>
      <c r="AV33" s="4">
        <f>IFERROR(ROUND(
(INDEX(生データ表[],MATCH($C33,生データ表['#],0),MATCH(AV$5,生データ表[#Headers],0))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86.916056406199999</v>
      </c>
      <c r="AW33" s="4">
        <f>IFERROR(ROUND(
(INDEX(生データ表[],MATCH($C33,生データ表['#],0),MATCH(AW$5,生データ表[#Headers],0))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57.955264167899998</v>
      </c>
      <c r="AX33" s="4">
        <f>IFERROR(ROUND(
(INDEX(生データ表[],MATCH($C33,生データ表['#],0),MATCH(AX$5,生データ表[#Headers],0))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95.541672813999995</v>
      </c>
      <c r="AY33" s="4">
        <f>IFERROR(ROUND(
(INDEX(生データ表[],MATCH($C33,生データ表['#],0),MATCH(AY$5,生データ表[#Headers],0))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86.003372681299993</v>
      </c>
      <c r="AZ33" s="4">
        <f>IFERROR(ROUND(
(INDEX(生データ表[],MATCH($C33,生データ表['#],0),MATCH(AZ$5,生データ表[#Headers],0))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94.093489551900007</v>
      </c>
      <c r="BA33" s="4">
        <f>IFERROR(ROUND(
(INDEX(生データ表[],MATCH($C33,生データ表['#],0),MATCH(BA$5,生データ表[#Headers],0))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57.654594982299997</v>
      </c>
      <c r="BB33" s="4">
        <f>IFERROR(ROUND(
(INDEX(生データ表[],MATCH($C33,生データ表['#],0),MATCH(BB$5,生データ表[#Headers],0))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64.521600139300006</v>
      </c>
      <c r="BC33" s="4">
        <f>IFERROR(ROUND(
(INDEX(生データ表[],MATCH($C33,生データ表['#],0),MATCH(BC$5,生データ表[#Headers],0))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48.361865184700001</v>
      </c>
      <c r="BD33" s="4">
        <f>IFERROR(ROUND(
(INDEX(生データ表[],MATCH($C33,生データ表['#],0),MATCH(BD$5,生データ表[#Headers],0))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55.661418079000001</v>
      </c>
      <c r="BE33" s="4">
        <f>IFERROR(ROUND(
(INDEX(生データ表[],MATCH($C33,生データ表['#],0),MATCH(BE$5,生データ表[#Headers],0))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58.201011685300003</v>
      </c>
      <c r="BF33" s="4">
        <f>IFERROR(ROUND(
(INDEX(生データ表[],MATCH($C33,生データ表['#],0),MATCH(BF$5,生データ表[#Headers],0))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55.618584138899998</v>
      </c>
      <c r="BG33" s="4">
        <f>IFERROR(ROUND(
(INDEX(生データ表[],MATCH($C33,生データ表['#],0),MATCH(BG$5,生データ表[#Headers],0))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25.371726989199999</v>
      </c>
      <c r="BH33" s="4">
        <f>IFERROR(ROUND(
(INDEX(生データ表[],MATCH($C33,生データ表['#],0),MATCH(BH$5,生データ表[#Headers],0))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14.130915524100001</v>
      </c>
      <c r="BI33" s="4">
        <f>IFERROR(ROUND(
(INDEX(生データ表[],MATCH($C33,生データ表['#],0),MATCH(BI$5,生データ表[#Headers],0))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30.560384174700001</v>
      </c>
      <c r="BJ33" s="4">
        <f>IFERROR(ROUND(
(INDEX(生データ表[],MATCH($C33,生データ表['#],0),MATCH(BJ$5,生データ表[#Headers],0))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71.281724405600002</v>
      </c>
      <c r="BK33" s="4">
        <f>IFERROR(ROUND(
(INDEX(生データ表[],MATCH($C33,生データ表['#],0),MATCH(BK$5,生データ表[#Headers],0))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83.972911963900003</v>
      </c>
      <c r="BL33" s="4">
        <f>IFERROR(ROUND(
(INDEX(生データ表[],MATCH($C33,生データ表['#],0),MATCH(BL$5,生データ表[#Headers],0))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58.1914187004</v>
      </c>
      <c r="BM33" s="4">
        <f>IFERROR(ROUND(
(INDEX(生データ表[],MATCH($C33,生データ表['#],0),MATCH(BM$5,生データ表[#Headers],0))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38.316400580600003</v>
      </c>
      <c r="BN33" s="4">
        <f>IFERROR(ROUND(
(INDEX(生データ表[],MATCH($C33,生データ表['#],0),MATCH(BN$5,生データ表[#Headers],0))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21.652094680099999</v>
      </c>
      <c r="BO33" s="4">
        <f>IFERROR(ROUND(
(INDEX(生データ表[],MATCH($C33,生データ表['#],0),MATCH(BO$5,生データ表[#Headers],0))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45.329874975700001</v>
      </c>
      <c r="BP33" s="4">
        <f>IFERROR(ROUND(
(INDEX(生データ表[],MATCH($C33,生データ表['#],0),MATCH(BP$5,生データ表[#Headers],0))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6.5217391304000003</v>
      </c>
      <c r="BQ33" s="4">
        <f>IFERROR(ROUND(
(INDEX(生データ表[],MATCH($C33,生データ表['#],0),MATCH(BQ$5,生データ表[#Headers],0))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14.5645752193</v>
      </c>
      <c r="BR33" s="4">
        <f>IFERROR(ROUND(
(INDEX(生データ表[],MATCH($C33,生データ表['#],0),MATCH(BR$5,生データ表[#Headers],0))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1.7837335590000001</v>
      </c>
      <c r="BS33" s="4">
        <f>IFERROR(ROUND(
(INDEX(生データ表[],MATCH($C33,生データ表['#],0),MATCH(BS$5,生データ表[#Headers],0))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2.9266977814000001</v>
      </c>
      <c r="BT33" s="4">
        <f>IFERROR(ROUND(
(INDEX(生データ表[],MATCH($C33,生データ表['#],0),MATCH(BT$5,生データ表[#Headers],0))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31.961370429999999</v>
      </c>
      <c r="BU33" s="4">
        <f>IFERROR(ROUND(
(INDEX(生データ表[],MATCH($C33,生データ表['#],0),MATCH(BU$5,生データ表[#Headers],0))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91.5306391883</v>
      </c>
      <c r="BV33" s="4">
        <f>IFERROR(ROUND(
(INDEX(生データ表[],MATCH($C33,生データ表['#],0),MATCH(BV$5,生データ表[#Headers],0))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11.904761904800001</v>
      </c>
      <c r="BW33" s="4">
        <f>IFERROR(ROUND(
(INDEX(生データ表[],MATCH($C33,生データ表['#],0),MATCH(BW$5,生データ表[#Headers],0))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70.549911660800007</v>
      </c>
      <c r="BX33" s="4">
        <f>IFERROR(ROUND(
(INDEX(生データ表[],MATCH($C33,生データ表['#],0),MATCH(BX$5,生データ表[#Headers],0))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36.073852837399997</v>
      </c>
      <c r="BY33" s="4">
        <f>IFERROR(ROUND(
(INDEX(生データ表[],MATCH($C33,生データ表['#],0),MATCH(BY$5,生データ表[#Headers],0))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47.262451365799997</v>
      </c>
      <c r="BZ33" s="4">
        <f t="shared" si="9"/>
        <v>23.7177192312</v>
      </c>
      <c r="CA33" s="4">
        <f t="shared" si="9"/>
        <v>29.792155136950001</v>
      </c>
      <c r="CB33" s="4">
        <f t="shared" si="9"/>
        <v>2.8871905517999998</v>
      </c>
      <c r="CC33" s="4">
        <f t="shared" si="9"/>
        <v>42.727945670499999</v>
      </c>
      <c r="CD33" s="4">
        <f t="shared" si="9"/>
        <v>24.237083723500003</v>
      </c>
      <c r="CE33" s="4">
        <f t="shared" si="9"/>
        <v>51.023104390249998</v>
      </c>
      <c r="CF33" s="4">
        <f t="shared" si="9"/>
        <v>21.02613556955</v>
      </c>
      <c r="CG33" s="4">
        <f t="shared" si="9"/>
        <v>31.469158907500002</v>
      </c>
      <c r="CH33" s="4">
        <f t="shared" si="9"/>
        <v>17.200376869433335</v>
      </c>
      <c r="CI33" s="4">
        <f t="shared" si="9"/>
        <v>8.9273041507999995</v>
      </c>
      <c r="CJ33" s="4">
        <f t="shared" si="10"/>
        <v>31.298748065333331</v>
      </c>
      <c r="CK33" s="4">
        <f t="shared" si="10"/>
        <v>22.428403043066666</v>
      </c>
      <c r="CL33" s="4">
        <f t="shared" si="10"/>
        <v>39.425608161974999</v>
      </c>
      <c r="CM33" s="4">
        <f t="shared" si="10"/>
        <v>7.8939019019999996</v>
      </c>
      <c r="CN33" s="4">
        <f t="shared" si="10"/>
        <v>65.015014164100009</v>
      </c>
      <c r="CO33" s="4">
        <f t="shared" si="10"/>
        <v>72.435660287049998</v>
      </c>
      <c r="CP33" s="4">
        <f t="shared" si="10"/>
        <v>90.772522747649987</v>
      </c>
      <c r="CQ33" s="4">
        <f t="shared" si="10"/>
        <v>72.089894891166679</v>
      </c>
      <c r="CR33" s="4">
        <f t="shared" si="10"/>
        <v>54.460719771975</v>
      </c>
      <c r="CS33" s="4">
        <f t="shared" si="10"/>
        <v>23.354342229333337</v>
      </c>
      <c r="CT33" s="4">
        <f t="shared" si="11"/>
        <v>71.148685023300004</v>
      </c>
      <c r="CU33" s="4">
        <f t="shared" si="11"/>
        <v>35.099456745466668</v>
      </c>
      <c r="CV33" s="4">
        <f t="shared" si="11"/>
        <v>10.54315717485</v>
      </c>
      <c r="CW33" s="4">
        <f t="shared" si="11"/>
        <v>2.3552156702000002</v>
      </c>
      <c r="CX33" s="4">
        <f t="shared" si="11"/>
        <v>45.132257174366664</v>
      </c>
      <c r="CY33" s="4">
        <f t="shared" si="11"/>
        <v>51.295405288000005</v>
      </c>
      <c r="CZ33" s="4">
        <f t="shared" si="12"/>
        <v>174.38519870419998</v>
      </c>
      <c r="DA33" s="4">
        <f t="shared" si="12"/>
        <v>69.695671346483337</v>
      </c>
      <c r="DB33" s="4">
        <f t="shared" si="12"/>
        <v>109.97396532317499</v>
      </c>
      <c r="DC33" s="4">
        <f t="shared" si="12"/>
        <v>354.77381186194168</v>
      </c>
      <c r="DD33" s="4">
        <f t="shared" si="12"/>
        <v>129.60248399810001</v>
      </c>
      <c r="DE33" s="4">
        <f t="shared" si="12"/>
        <v>109.32603530741667</v>
      </c>
      <c r="DF33" s="76">
        <f t="shared" si="4"/>
        <v>947.75716654131668</v>
      </c>
    </row>
    <row r="34" spans="1:110">
      <c r="A34" s="2">
        <v>29</v>
      </c>
      <c r="B34" s="58">
        <f>INDEX(順位表[Comprehensive],MATCH($C34,順位表['#],0))</f>
        <v>3</v>
      </c>
      <c r="C34" s="3">
        <v>29</v>
      </c>
      <c r="D34" s="1" t="str">
        <f>INDEX(都市マスタ[City Name],MATCH($C34,都市マスタ['#],0))</f>
        <v>Tokyo</v>
      </c>
      <c r="E34" s="4">
        <f>IFERROR(ROUND(
(INDEX(生データ表[],MATCH($C34,生データ表['#],0),MATCH(E$5,生データ表[#Headers],0))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38.654901132900001</v>
      </c>
      <c r="F34" s="4">
        <f>IFERROR(ROUND(
(INDEX(生データ表[],MATCH($C34,生データ表['#],0),MATCH(F$5,生データ表[#Headers],0))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3.7317260644000001</v>
      </c>
      <c r="G34" s="4">
        <f>IFERROR(ROUND(
(INDEX(生データ表[],MATCH($C34,生データ表['#],0),MATCH(G$5,生データ表[#Headers],0))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0.8798687382</v>
      </c>
      <c r="H34" s="4">
        <f>IFERROR(ROUND(
(INDEX(生データ表[],MATCH($C34,生データ表['#],0),MATCH(H$5,生データ表[#Headers],0))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90.616068059300005</v>
      </c>
      <c r="I34" s="4">
        <f>IFERROR(ROUND(
(INDEX(生データ表[],MATCH($C34,生データ表['#],0),MATCH(I$5,生データ表[#Headers],0))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36.517606439200001</v>
      </c>
      <c r="J34" s="4">
        <f>IFERROR(ROUND(
(INDEX(生データ表[],MATCH($C34,生データ表['#],0),MATCH(J$5,生データ表[#Headers],0))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0.34973572330000002</v>
      </c>
      <c r="K34" s="4">
        <f>IFERROR(ROUND(
(INDEX(生データ表[],MATCH($C34,生データ表['#],0),MATCH(K$5,生データ表[#Headers],0))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58.9198036007</v>
      </c>
      <c r="L34" s="4">
        <f>IFERROR(ROUND(
(INDEX(生データ表[],MATCH($C34,生データ表['#],0),MATCH(L$5,生データ表[#Headers],0))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13.3517248688</v>
      </c>
      <c r="M34" s="4">
        <f>IFERROR(ROUND(
(INDEX(生データ表[],MATCH($C34,生データ表['#],0),MATCH(M$5,生データ表[#Headers],0))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35.4227537461</v>
      </c>
      <c r="N34" s="4">
        <f>IFERROR(ROUND(
(INDEX(生データ表[],MATCH($C34,生データ表['#],0),MATCH(N$5,生データ表[#Headers],0))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60.303437700300002</v>
      </c>
      <c r="O34" s="4">
        <f>IFERROR(ROUND(
(INDEX(生データ表[],MATCH($C34,生データ表['#],0),MATCH(O$5,生データ表[#Headers],0))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73.613861308200001</v>
      </c>
      <c r="P34" s="4">
        <f>IFERROR(ROUND(
(INDEX(生データ表[],MATCH($C34,生データ表['#],0),MATCH(P$5,生データ表[#Headers],0))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38.991109100700001</v>
      </c>
      <c r="Q34" s="4">
        <f>IFERROR(ROUND(
(INDEX(生データ表[],MATCH($C34,生データ表['#],0),MATCH(Q$5,生データ表[#Headers],0))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20.497683230100002</v>
      </c>
      <c r="R34" s="4">
        <f>IFERROR(ROUND(
(INDEX(生データ表[],MATCH($C34,生データ表['#],0),MATCH(R$5,生データ表[#Headers],0))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46.278555804299998</v>
      </c>
      <c r="S34" s="4">
        <f>IFERROR(ROUND(
(INDEX(生データ表[],MATCH($C34,生データ表['#],0),MATCH(S$5,生データ表[#Headers],0))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16.827756941499999</v>
      </c>
      <c r="T34" s="4">
        <f>IFERROR(ROUND(
(INDEX(生データ表[],MATCH($C34,生データ表['#],0),MATCH(T$5,生データ表[#Headers],0))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83.730974708000005</v>
      </c>
      <c r="U34" s="4">
        <f>IFERROR(ROUND(
(INDEX(生データ表[],MATCH($C34,生データ表['#],0),MATCH(U$5,生データ表[#Headers],0))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90.559441527700002</v>
      </c>
      <c r="V34" s="4">
        <f>IFERROR(ROUND(
(INDEX(生データ表[],MATCH($C34,生データ表['#],0),MATCH(V$5,生データ表[#Headers],0))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21.059268600300001</v>
      </c>
      <c r="W34" s="4">
        <f>IFERROR(ROUND(
(INDEX(生データ表[],MATCH($C34,生データ表['#],0),MATCH(W$5,生データ表[#Headers],0))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49.712122111399999</v>
      </c>
      <c r="X34" s="4">
        <f>IFERROR(ROUND(
(INDEX(生データ表[],MATCH($C34,生データ表['#],0),MATCH(X$5,生データ表[#Headers],0))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6.2044663293999998</v>
      </c>
      <c r="Y34" s="4">
        <f>IFERROR(ROUND(
(INDEX(生データ表[],MATCH($C34,生データ表['#],0),MATCH(Y$5,生データ表[#Headers],0))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75.599337566800003</v>
      </c>
      <c r="Z34" s="4">
        <f>IFERROR(ROUND(
(INDEX(生データ表[],MATCH($C34,生データ表['#],0),MATCH(Z$5,生データ表[#Headers],0))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100</v>
      </c>
      <c r="AA34" s="4">
        <f>IFERROR(ROUND(
(INDEX(生データ表[],MATCH($C34,生データ表['#],0),MATCH(AA$5,生データ表[#Headers],0))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13.0293159609</v>
      </c>
      <c r="AB34" s="4">
        <f>IFERROR(ROUND(
(INDEX(生データ表[],MATCH($C34,生データ表['#],0),MATCH(AB$5,生データ表[#Headers],0))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18.3687943262</v>
      </c>
      <c r="AC34" s="4">
        <f>IFERROR(ROUND(
(INDEX(生データ表[],MATCH($C34,生データ表['#],0),MATCH(AC$5,生データ表[#Headers],0))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80.757097791800007</v>
      </c>
      <c r="AD34" s="4">
        <f>IFERROR(ROUND(
(INDEX(生データ表[],MATCH($C34,生データ表['#],0),MATCH(AD$5,生データ表[#Headers],0))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100</v>
      </c>
      <c r="AE34" s="4">
        <f>IFERROR(ROUND(
(INDEX(生データ表[],MATCH($C34,生データ表['#],0),MATCH(AE$5,生データ表[#Headers],0))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12.6957798593</v>
      </c>
      <c r="AF34" s="4">
        <f>IFERROR(ROUND(
(INDEX(生データ表[],MATCH($C34,生データ表['#],0),MATCH(AF$5,生データ表[#Headers],0))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10.519673043899999</v>
      </c>
      <c r="AG34" s="4">
        <f>IFERROR(ROUND(
(INDEX(生データ表[],MATCH($C34,生データ表['#],0),MATCH(AG$5,生データ表[#Headers],0))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50.310425508199998</v>
      </c>
      <c r="AH34" s="4">
        <f>IFERROR(ROUND(
(INDEX(生データ表[],MATCH($C34,生データ表['#],0),MATCH(AH$5,生データ表[#Headers],0))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20.625</v>
      </c>
      <c r="AI34" s="4">
        <f>IFERROR(ROUND(
(INDEX(生データ表[],MATCH($C34,生データ表['#],0),MATCH(AI$5,生データ表[#Headers],0))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35.178043820299997</v>
      </c>
      <c r="AJ34" s="4">
        <f>IFERROR(ROUND(
(INDEX(生データ表[],MATCH($C34,生データ表['#],0),MATCH(AJ$5,生データ表[#Headers],0))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62.863070539399999</v>
      </c>
      <c r="AK34" s="4">
        <f>IFERROR(ROUND(
(INDEX(生データ表[],MATCH($C34,生データ表['#],0),MATCH(AK$5,生データ表[#Headers],0))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48.287671232900003</v>
      </c>
      <c r="AL34" s="4">
        <f>IFERROR(ROUND(
(INDEX(生データ表[],MATCH($C34,生データ表['#],0),MATCH(AL$5,生データ表[#Headers],0))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52.631578947400001</v>
      </c>
      <c r="AM34" s="4">
        <f>IFERROR(ROUND(
(INDEX(生データ表[],MATCH($C34,生データ表['#],0),MATCH(AM$5,生データ表[#Headers],0))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100</v>
      </c>
      <c r="AN34" s="4">
        <f>IFERROR(ROUND(
(INDEX(生データ表[],MATCH($C34,生データ表['#],0),MATCH(AN$5,生データ表[#Headers],0))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17.3177003612</v>
      </c>
      <c r="AO34" s="4">
        <f>IFERROR(ROUND(
(INDEX(生データ表[],MATCH($C34,生データ表['#],0),MATCH(AO$5,生データ表[#Headers],0))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100</v>
      </c>
      <c r="AP34" s="4">
        <f>IFERROR(ROUND(
(INDEX(生データ表[],MATCH($C34,生データ表['#],0),MATCH(AP$5,生データ表[#Headers],0))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100</v>
      </c>
      <c r="AQ34" s="4">
        <f>IFERROR(ROUND(
(INDEX(生データ表[],MATCH($C34,生データ表['#],0),MATCH(AQ$5,生データ表[#Headers],0))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14.6755418481</v>
      </c>
      <c r="AR34" s="4">
        <f>IFERROR(ROUND(
(INDEX(生データ表[],MATCH($C34,生データ表['#],0),MATCH(AR$5,生データ表[#Headers],0))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19.773730658200002</v>
      </c>
      <c r="AS34" s="4">
        <f>IFERROR(ROUND(
(INDEX(生データ表[],MATCH($C34,生データ表['#],0),MATCH(AS$5,生データ表[#Headers],0))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93.784082467399998</v>
      </c>
      <c r="AT34" s="4">
        <f>IFERROR(ROUND(
(INDEX(生データ表[],MATCH($C34,生データ表['#],0),MATCH(AT$5,生データ表[#Headers],0))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70.132237769499994</v>
      </c>
      <c r="AU34" s="4">
        <f>IFERROR(ROUND(
(INDEX(生データ表[],MATCH($C34,生データ表['#],0),MATCH(AU$5,生データ表[#Headers],0))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54.822145140400004</v>
      </c>
      <c r="AV34" s="4">
        <f>IFERROR(ROUND(
(INDEX(生データ表[],MATCH($C34,生データ表['#],0),MATCH(AV$5,生データ表[#Headers],0))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71.5381956903</v>
      </c>
      <c r="AW34" s="4">
        <f>IFERROR(ROUND(
(INDEX(生データ表[],MATCH($C34,生データ表['#],0),MATCH(AW$5,生データ表[#Headers],0))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55.961967842100002</v>
      </c>
      <c r="AX34" s="4">
        <f>IFERROR(ROUND(
(INDEX(生データ表[],MATCH($C34,生データ表['#],0),MATCH(AX$5,生データ表[#Headers],0))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98.686549430300005</v>
      </c>
      <c r="AY34" s="4">
        <f>IFERROR(ROUND(
(INDEX(生データ表[],MATCH($C34,生データ表['#],0),MATCH(AY$5,生データ表[#Headers],0))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90.893760539599995</v>
      </c>
      <c r="AZ34" s="4">
        <f>IFERROR(ROUND(
(INDEX(生データ表[],MATCH($C34,生データ表['#],0),MATCH(AZ$5,生データ表[#Headers],0))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94.093489551900007</v>
      </c>
      <c r="BA34" s="4">
        <f>IFERROR(ROUND(
(INDEX(生データ表[],MATCH($C34,生データ表['#],0),MATCH(BA$5,生データ表[#Headers],0))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57.654594982299997</v>
      </c>
      <c r="BB34" s="4">
        <f>IFERROR(ROUND(
(INDEX(生データ表[],MATCH($C34,生データ表['#],0),MATCH(BB$5,生データ表[#Headers],0))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64.521600139300006</v>
      </c>
      <c r="BC34" s="4">
        <f>IFERROR(ROUND(
(INDEX(生データ表[],MATCH($C34,生データ表['#],0),MATCH(BC$5,生データ表[#Headers],0))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48.2633930378</v>
      </c>
      <c r="BD34" s="4">
        <f>IFERROR(ROUND(
(INDEX(生データ表[],MATCH($C34,生データ表['#],0),MATCH(BD$5,生データ表[#Headers],0))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55.661418079000001</v>
      </c>
      <c r="BE34" s="4">
        <f>IFERROR(ROUND(
(INDEX(生データ表[],MATCH($C34,生データ表['#],0),MATCH(BE$5,生データ表[#Headers],0))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79.708341734000001</v>
      </c>
      <c r="BF34" s="4">
        <f>IFERROR(ROUND(
(INDEX(生データ表[],MATCH($C34,生データ表['#],0),MATCH(BF$5,生データ表[#Headers],0))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72.956684773399999</v>
      </c>
      <c r="BG34" s="4">
        <f>IFERROR(ROUND(
(INDEX(生データ表[],MATCH($C34,生データ表['#],0),MATCH(BG$5,生データ表[#Headers],0))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59.556103575800002</v>
      </c>
      <c r="BH34" s="4">
        <f>IFERROR(ROUND(
(INDEX(生データ表[],MATCH($C34,生データ表['#],0),MATCH(BH$5,生データ表[#Headers],0))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14.130915524100001</v>
      </c>
      <c r="BI34" s="4">
        <f>IFERROR(ROUND(
(INDEX(生データ表[],MATCH($C34,生データ表['#],0),MATCH(BI$5,生データ表[#Headers],0))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40.583636428799998</v>
      </c>
      <c r="BJ34" s="4">
        <f>IFERROR(ROUND(
(INDEX(生データ表[],MATCH($C34,生データ表['#],0),MATCH(BJ$5,生データ表[#Headers],0))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93.501116978100001</v>
      </c>
      <c r="BK34" s="4">
        <f>IFERROR(ROUND(
(INDEX(生データ表[],MATCH($C34,生データ表['#],0),MATCH(BK$5,生データ表[#Headers],0))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86.230248306999997</v>
      </c>
      <c r="BL34" s="4">
        <f>IFERROR(ROUND(
(INDEX(生データ表[],MATCH($C34,生データ表['#],0),MATCH(BL$5,生データ表[#Headers],0))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66.2719765473</v>
      </c>
      <c r="BM34" s="4">
        <f>IFERROR(ROUND(
(INDEX(生データ表[],MATCH($C34,生データ表['#],0),MATCH(BM$5,生データ表[#Headers],0))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58.925979680700003</v>
      </c>
      <c r="BN34" s="4">
        <f>IFERROR(ROUND(
(INDEX(生データ表[],MATCH($C34,生データ表['#],0),MATCH(BN$5,生データ表[#Headers],0))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36.417483336099998</v>
      </c>
      <c r="BO34" s="4">
        <f>IFERROR(ROUND(
(INDEX(生データ表[],MATCH($C34,生データ表['#],0),MATCH(BO$5,生データ表[#Headers],0))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65.8031200848</v>
      </c>
      <c r="BP34" s="4">
        <f>IFERROR(ROUND(
(INDEX(生データ表[],MATCH($C34,生データ表['#],0),MATCH(BP$5,生データ表[#Headers],0))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25</v>
      </c>
      <c r="BQ34" s="4">
        <f>IFERROR(ROUND(
(INDEX(生データ表[],MATCH($C34,生データ表['#],0),MATCH(BQ$5,生データ表[#Headers],0))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46.435533276100003</v>
      </c>
      <c r="BR34" s="4">
        <f>IFERROR(ROUND(
(INDEX(生データ表[],MATCH($C34,生データ表['#],0),MATCH(BR$5,生データ表[#Headers],0))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46.829149292399997</v>
      </c>
      <c r="BS34" s="4">
        <f>IFERROR(ROUND(
(INDEX(生データ表[],MATCH($C34,生データ表['#],0),MATCH(BS$5,生データ表[#Headers],0))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42.6801487416</v>
      </c>
      <c r="BT34" s="4">
        <f>IFERROR(ROUND(
(INDEX(生データ表[],MATCH($C34,生データ表['#],0),MATCH(BT$5,生データ表[#Headers],0))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49.321683145599998</v>
      </c>
      <c r="BU34" s="4">
        <f>IFERROR(ROUND(
(INDEX(生データ表[],MATCH($C34,生データ表['#],0),MATCH(BU$5,生データ表[#Headers],0))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100</v>
      </c>
      <c r="BV34" s="4">
        <f>IFERROR(ROUND(
(INDEX(生データ表[],MATCH($C34,生データ表['#],0),MATCH(BV$5,生データ表[#Headers],0))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49.090895339699998</v>
      </c>
      <c r="BW34" s="4">
        <f>IFERROR(ROUND(
(INDEX(生データ表[],MATCH($C34,生データ表['#],0),MATCH(BW$5,生データ表[#Headers],0))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32.310070671399998</v>
      </c>
      <c r="BX34" s="4">
        <f>IFERROR(ROUND(
(INDEX(生データ表[],MATCH($C34,生データ表['#],0),MATCH(BX$5,生データ表[#Headers],0))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26.404629852900001</v>
      </c>
      <c r="BY34" s="4">
        <f>IFERROR(ROUND(
(INDEX(生データ表[],MATCH($C34,生データ表['#],0),MATCH(BY$5,生データ表[#Headers],0))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51.245086435200001</v>
      </c>
      <c r="BZ34" s="4">
        <f t="shared" si="9"/>
        <v>63.56683724925</v>
      </c>
      <c r="CA34" s="4">
        <f t="shared" si="9"/>
        <v>29.634769662</v>
      </c>
      <c r="CB34" s="4">
        <f t="shared" si="9"/>
        <v>24.387239307449999</v>
      </c>
      <c r="CC34" s="4">
        <f t="shared" si="9"/>
        <v>66.958649504250005</v>
      </c>
      <c r="CD34" s="4">
        <f t="shared" si="9"/>
        <v>35.2557827117</v>
      </c>
      <c r="CE34" s="4">
        <f t="shared" si="9"/>
        <v>50.279365824750002</v>
      </c>
      <c r="CF34" s="4">
        <f t="shared" si="9"/>
        <v>55.809355064000002</v>
      </c>
      <c r="CG34" s="4">
        <f t="shared" si="9"/>
        <v>43.838642002533334</v>
      </c>
      <c r="CH34" s="4">
        <f t="shared" si="9"/>
        <v>43.799370095699999</v>
      </c>
      <c r="CI34" s="4">
        <f t="shared" si="9"/>
        <v>50.993137673749999</v>
      </c>
      <c r="CJ34" s="4">
        <f t="shared" si="10"/>
        <v>35.371156442833332</v>
      </c>
      <c r="CK34" s="4">
        <f t="shared" si="10"/>
        <v>54.594106906566672</v>
      </c>
      <c r="CL34" s="4">
        <f t="shared" si="10"/>
        <v>79.329425090299992</v>
      </c>
      <c r="CM34" s="4">
        <f t="shared" si="10"/>
        <v>17.224636253150003</v>
      </c>
      <c r="CN34" s="4">
        <f t="shared" si="10"/>
        <v>72.912821792433334</v>
      </c>
      <c r="CO34" s="4">
        <f t="shared" si="10"/>
        <v>63.750081766199997</v>
      </c>
      <c r="CP34" s="4">
        <f t="shared" si="10"/>
        <v>94.790154984949993</v>
      </c>
      <c r="CQ34" s="4">
        <f t="shared" si="10"/>
        <v>72.089894891166679</v>
      </c>
      <c r="CR34" s="4">
        <f t="shared" si="10"/>
        <v>64.147459406050004</v>
      </c>
      <c r="CS34" s="4">
        <f t="shared" si="10"/>
        <v>38.090218509566661</v>
      </c>
      <c r="CT34" s="4">
        <f t="shared" si="11"/>
        <v>82.001113944133337</v>
      </c>
      <c r="CU34" s="4">
        <f t="shared" si="11"/>
        <v>53.715527700533336</v>
      </c>
      <c r="CV34" s="4">
        <f t="shared" si="11"/>
        <v>35.717766638050001</v>
      </c>
      <c r="CW34" s="4">
        <f t="shared" si="11"/>
        <v>44.754649016999998</v>
      </c>
      <c r="CX34" s="4">
        <f t="shared" si="11"/>
        <v>66.137526161766672</v>
      </c>
      <c r="CY34" s="4">
        <f t="shared" si="11"/>
        <v>36.653262319833338</v>
      </c>
      <c r="CZ34" s="4">
        <f t="shared" si="12"/>
        <v>270.08264425940001</v>
      </c>
      <c r="DA34" s="4">
        <f t="shared" si="12"/>
        <v>143.44736716223332</v>
      </c>
      <c r="DB34" s="4">
        <f t="shared" si="12"/>
        <v>237.5124623666</v>
      </c>
      <c r="DC34" s="4">
        <f t="shared" si="12"/>
        <v>367.69041284080004</v>
      </c>
      <c r="DD34" s="4">
        <f t="shared" si="12"/>
        <v>173.80686015423333</v>
      </c>
      <c r="DE34" s="4">
        <f t="shared" si="12"/>
        <v>183.26320413665002</v>
      </c>
      <c r="DF34" s="76">
        <f t="shared" si="4"/>
        <v>1375.8029509199168</v>
      </c>
    </row>
    <row r="35" spans="1:110" hidden="1">
      <c r="A35" s="2">
        <v>30</v>
      </c>
      <c r="B35" s="58">
        <f>INDEX(順位表[Comprehensive],MATCH($C35,順位表['#],0))</f>
        <v>12</v>
      </c>
      <c r="C35" s="3">
        <v>30</v>
      </c>
      <c r="D35" s="1" t="str">
        <f>INDEX(都市マスタ[City Name],MATCH($C35,都市マスタ['#],0))</f>
        <v>Sydney</v>
      </c>
      <c r="E35" s="4">
        <f>IFERROR(ROUND(
(INDEX(生データ表[],MATCH($C35,生データ表['#],0),MATCH(E$5,生データ表[#Headers],0))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20.625373944100001</v>
      </c>
      <c r="F35" s="4">
        <f>IFERROR(ROUND(
(INDEX(生データ表[],MATCH($C35,生データ表['#],0),MATCH(F$5,生データ表[#Headers],0))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75.367944199799993</v>
      </c>
      <c r="G35" s="4">
        <f>IFERROR(ROUND(
(INDEX(生データ表[],MATCH($C35,生データ表['#],0),MATCH(G$5,生データ表[#Headers],0))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4.2497276999999998E-3</v>
      </c>
      <c r="H35" s="4">
        <f>IFERROR(ROUND(
(INDEX(生データ表[],MATCH($C35,生データ表['#],0),MATCH(H$5,生データ表[#Headers],0))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40.271399876399997</v>
      </c>
      <c r="I35" s="4">
        <f>IFERROR(ROUND(
(INDEX(生データ表[],MATCH($C35,生データ表['#],0),MATCH(I$5,生データ表[#Headers],0))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30.124052948399999</v>
      </c>
      <c r="J35" s="4">
        <f>IFERROR(ROUND(
(INDEX(生データ表[],MATCH($C35,生データ表['#],0),MATCH(J$5,生データ表[#Headers],0))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52.4628829392</v>
      </c>
      <c r="K35" s="4">
        <f>IFERROR(ROUND(
(INDEX(生データ表[],MATCH($C35,生データ表['#],0),MATCH(K$5,生データ表[#Headers],0))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74.234276361900001</v>
      </c>
      <c r="L35" s="4">
        <f>IFERROR(ROUND(
(INDEX(生データ表[],MATCH($C35,生データ表['#],0),MATCH(L$5,生データ表[#Headers],0))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4.1668885553999999</v>
      </c>
      <c r="M35" s="4">
        <f>IFERROR(ROUND(
(INDEX(生データ表[],MATCH($C35,生データ表['#],0),MATCH(M$5,生データ表[#Headers],0))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35" s="4">
        <f>IFERROR(ROUND(
(INDEX(生データ表[],MATCH($C35,生データ表['#],0),MATCH(N$5,生データ表[#Headers],0))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16.646353184500001</v>
      </c>
      <c r="O35" s="4">
        <f>IFERROR(ROUND(
(INDEX(生データ表[],MATCH($C35,生データ表['#],0),MATCH(O$5,生データ表[#Headers],0))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78.7028727772</v>
      </c>
      <c r="P35" s="4">
        <f>IFERROR(ROUND(
(INDEX(生データ表[],MATCH($C35,生データ表['#],0),MATCH(P$5,生データ表[#Headers],0))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63.087911456699999</v>
      </c>
      <c r="Q35" s="4">
        <f>IFERROR(ROUND(
(INDEX(生データ表[],MATCH($C35,生データ表['#],0),MATCH(Q$5,生データ表[#Headers],0))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86.817072853400006</v>
      </c>
      <c r="R35" s="4">
        <f>IFERROR(ROUND(
(INDEX(生データ表[],MATCH($C35,生データ表['#],0),MATCH(R$5,生データ表[#Headers],0))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14.722919282099999</v>
      </c>
      <c r="S35" s="4">
        <f>IFERROR(ROUND(
(INDEX(生データ表[],MATCH($C35,生データ表['#],0),MATCH(S$5,生データ表[#Headers],0))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19.2307692308</v>
      </c>
      <c r="T35" s="4">
        <f>IFERROR(ROUND(
(INDEX(生データ表[],MATCH($C35,生データ表['#],0),MATCH(T$5,生データ表[#Headers],0))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90.391276752400003</v>
      </c>
      <c r="U35" s="4">
        <f>IFERROR(ROUND(
(INDEX(生データ表[],MATCH($C35,生データ表['#],0),MATCH(U$5,生データ表[#Headers],0))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23.194285156100001</v>
      </c>
      <c r="V35" s="4">
        <f>IFERROR(ROUND(
(INDEX(生データ表[],MATCH($C35,生データ表['#],0),MATCH(V$5,生データ表[#Headers],0))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46.910466582600002</v>
      </c>
      <c r="W35" s="4">
        <f>IFERROR(ROUND(
(INDEX(生データ表[],MATCH($C35,生データ表['#],0),MATCH(W$5,生データ表[#Headers],0))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11.268741454000001</v>
      </c>
      <c r="X35" s="4">
        <f>IFERROR(ROUND(
(INDEX(生データ表[],MATCH($C35,生データ表['#],0),MATCH(X$5,生データ表[#Headers],0))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41.622100815899998</v>
      </c>
      <c r="Y35" s="4">
        <f>IFERROR(ROUND(
(INDEX(生データ表[],MATCH($C35,生データ表['#],0),MATCH(Y$5,生データ表[#Headers],0))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66.865009536800002</v>
      </c>
      <c r="Z35" s="4">
        <f>IFERROR(ROUND(
(INDEX(生データ表[],MATCH($C35,生データ表['#],0),MATCH(Z$5,生データ表[#Headers],0))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13.6034115691</v>
      </c>
      <c r="AA35" s="4">
        <f>IFERROR(ROUND(
(INDEX(生データ表[],MATCH($C35,生データ表['#],0),MATCH(AA$5,生データ表[#Headers],0))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35" s="4">
        <f>IFERROR(ROUND(
(INDEX(生データ表[],MATCH($C35,生データ表['#],0),MATCH(AB$5,生データ表[#Headers],0))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13.634751773</v>
      </c>
      <c r="AC35" s="4">
        <f>IFERROR(ROUND(
(INDEX(生データ表[],MATCH($C35,生データ表['#],0),MATCH(AC$5,生データ表[#Headers],0))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7.8864353312000004</v>
      </c>
      <c r="AD35" s="4">
        <f>IFERROR(ROUND(
(INDEX(生データ表[],MATCH($C35,生データ表['#],0),MATCH(AD$5,生データ表[#Headers],0))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30.909090909100001</v>
      </c>
      <c r="AE35" s="4">
        <f>IFERROR(ROUND(
(INDEX(生データ表[],MATCH($C35,生データ表['#],0),MATCH(AE$5,生データ表[#Headers],0))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7.2169429971000003</v>
      </c>
      <c r="AF35" s="4">
        <f>IFERROR(ROUND(
(INDEX(生データ表[],MATCH($C35,生データ表['#],0),MATCH(AF$5,生データ表[#Headers],0))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1.3468881574</v>
      </c>
      <c r="AG35" s="4">
        <f>IFERROR(ROUND(
(INDEX(生データ表[],MATCH($C35,生データ表['#],0),MATCH(AG$5,生データ表[#Headers],0))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55.035535844899997</v>
      </c>
      <c r="AH35" s="4">
        <f>IFERROR(ROUND(
(INDEX(生データ表[],MATCH($C35,生データ表['#],0),MATCH(AH$5,生データ表[#Headers],0))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20</v>
      </c>
      <c r="AI35" s="4">
        <f>IFERROR(ROUND(
(INDEX(生データ表[],MATCH($C35,生データ表['#],0),MATCH(AI$5,生データ表[#Headers],0))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43.252749172000001</v>
      </c>
      <c r="AJ35" s="4">
        <f>IFERROR(ROUND(
(INDEX(生データ表[],MATCH($C35,生データ表['#],0),MATCH(AJ$5,生データ表[#Headers],0))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12.033195020699999</v>
      </c>
      <c r="AK35" s="4">
        <f>IFERROR(ROUND(
(INDEX(生データ表[],MATCH($C35,生データ表['#],0),MATCH(AK$5,生データ表[#Headers],0))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8.2191780821999991</v>
      </c>
      <c r="AL35" s="4">
        <f>IFERROR(ROUND(
(INDEX(生データ表[],MATCH($C35,生データ表['#],0),MATCH(AL$5,生データ表[#Headers],0))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63.157894736800003</v>
      </c>
      <c r="AM35" s="4">
        <f>IFERROR(ROUND(
(INDEX(生データ表[],MATCH($C35,生データ表['#],0),MATCH(AM$5,生データ表[#Headers],0))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19.109597299299999</v>
      </c>
      <c r="AN35" s="4">
        <f>IFERROR(ROUND(
(INDEX(生データ表[],MATCH($C35,生データ表['#],0),MATCH(AN$5,生データ表[#Headers],0))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39.328353639900001</v>
      </c>
      <c r="AO35" s="4">
        <f>IFERROR(ROUND(
(INDEX(生データ表[],MATCH($C35,生データ表['#],0),MATCH(AO$5,生データ表[#Headers],0))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30.732151760200001</v>
      </c>
      <c r="AP35" s="4">
        <f>IFERROR(ROUND(
(INDEX(生データ表[],MATCH($C35,生データ表['#],0),MATCH(AP$5,生データ表[#Headers],0))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35.508487925899999</v>
      </c>
      <c r="AQ35" s="4">
        <f>IFERROR(ROUND(
(INDEX(生データ表[],MATCH($C35,生データ表['#],0),MATCH(AQ$5,生データ表[#Headers],0))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38.275207577000003</v>
      </c>
      <c r="AR35" s="4">
        <f>IFERROR(ROUND(
(INDEX(生データ表[],MATCH($C35,生データ表['#],0),MATCH(AR$5,生データ表[#Headers],0))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8.5563781420999998</v>
      </c>
      <c r="AS35" s="4">
        <f>IFERROR(ROUND(
(INDEX(生データ表[],MATCH($C35,生データ表['#],0),MATCH(AS$5,生データ表[#Headers],0))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83.722017158400007</v>
      </c>
      <c r="AT35" s="4">
        <f>IFERROR(ROUND(
(INDEX(生データ表[],MATCH($C35,生データ表['#],0),MATCH(AT$5,生データ表[#Headers],0))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63.225939612399998</v>
      </c>
      <c r="AU35" s="4">
        <f>IFERROR(ROUND(
(INDEX(生データ表[],MATCH($C35,生データ表['#],0),MATCH(AU$5,生データ表[#Headers],0))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70.827586206899994</v>
      </c>
      <c r="AV35" s="4">
        <f>IFERROR(ROUND(
(INDEX(生データ表[],MATCH($C35,生データ表['#],0),MATCH(AV$5,生データ表[#Headers],0))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37.730811509699997</v>
      </c>
      <c r="AW35" s="4">
        <f>IFERROR(ROUND(
(INDEX(生データ表[],MATCH($C35,生データ表['#],0),MATCH(AW$5,生データ表[#Headers],0))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47.551515693799999</v>
      </c>
      <c r="AX35" s="4">
        <f>IFERROR(ROUND(
(INDEX(生データ表[],MATCH($C35,生データ表['#],0),MATCH(AX$5,生データ表[#Headers],0))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98.827183368700005</v>
      </c>
      <c r="AY35" s="4">
        <f>IFERROR(ROUND(
(INDEX(生データ表[],MATCH($C35,生データ表['#],0),MATCH(AY$5,生データ表[#Headers],0))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98.8195615514</v>
      </c>
      <c r="AZ35" s="4">
        <f>IFERROR(ROUND(
(INDEX(生データ表[],MATCH($C35,生データ表['#],0),MATCH(AZ$5,生データ表[#Headers],0))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87.655513951000003</v>
      </c>
      <c r="BA35" s="4">
        <f>IFERROR(ROUND(
(INDEX(生データ表[],MATCH($C35,生データ表['#],0),MATCH(BA$5,生データ表[#Headers],0))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79.314654567999995</v>
      </c>
      <c r="BB35" s="4">
        <f>IFERROR(ROUND(
(INDEX(生データ表[],MATCH($C35,生データ表['#],0),MATCH(BB$5,生データ表[#Headers],0))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71.222627734900001</v>
      </c>
      <c r="BC35" s="4">
        <f>IFERROR(ROUND(
(INDEX(生データ表[],MATCH($C35,生データ表['#],0),MATCH(BC$5,生データ表[#Headers],0))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40.137647359100001</v>
      </c>
      <c r="BD35" s="4">
        <f>IFERROR(ROUND(
(INDEX(生データ表[],MATCH($C35,生データ表['#],0),MATCH(BD$5,生データ表[#Headers],0))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75.342033458200007</v>
      </c>
      <c r="BE35" s="4">
        <f>IFERROR(ROUND(
(INDEX(生データ表[],MATCH($C35,生データ表['#],0),MATCH(BE$5,生データ表[#Headers],0))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28.136637497300001</v>
      </c>
      <c r="BF35" s="4">
        <f>IFERROR(ROUND(
(INDEX(生データ表[],MATCH($C35,生データ表['#],0),MATCH(BF$5,生データ表[#Headers],0))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22.574442393399998</v>
      </c>
      <c r="BG35" s="4">
        <f>IFERROR(ROUND(
(INDEX(生データ表[],MATCH($C35,生データ表['#],0),MATCH(BG$5,生データ表[#Headers],0))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79.963008631299999</v>
      </c>
      <c r="BH35" s="4">
        <f>IFERROR(ROUND(
(INDEX(生データ表[],MATCH($C35,生データ表['#],0),MATCH(BH$5,生データ表[#Headers],0))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16.961521450700001</v>
      </c>
      <c r="BI35" s="4">
        <f>IFERROR(ROUND(
(INDEX(生データ表[],MATCH($C35,生データ表['#],0),MATCH(BI$5,生データ表[#Headers],0))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40.639909489300003</v>
      </c>
      <c r="BJ35" s="4">
        <f>IFERROR(ROUND(
(INDEX(生データ表[],MATCH($C35,生データ表['#],0),MATCH(BJ$5,生データ表[#Headers],0))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63.325489807799997</v>
      </c>
      <c r="BK35" s="4">
        <f>IFERROR(ROUND(
(INDEX(生データ表[],MATCH($C35,生データ表['#],0),MATCH(BK$5,生データ表[#Headers],0))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100</v>
      </c>
      <c r="BL35" s="4">
        <f>IFERROR(ROUND(
(INDEX(生データ表[],MATCH($C35,生データ表['#],0),MATCH(BL$5,生データ表[#Headers],0))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87.887785026000003</v>
      </c>
      <c r="BM35" s="4">
        <f>IFERROR(ROUND(
(INDEX(生データ表[],MATCH($C35,生データ表['#],0),MATCH(BM$5,生データ表[#Headers],0))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67.053701016000005</v>
      </c>
      <c r="BN35" s="4">
        <f>IFERROR(ROUND(
(INDEX(生データ表[],MATCH($C35,生データ表['#],0),MATCH(BN$5,生データ表[#Headers],0))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83.468831828999996</v>
      </c>
      <c r="BO35" s="4">
        <f>IFERROR(ROUND(
(INDEX(生データ表[],MATCH($C35,生データ表['#],0),MATCH(BO$5,生データ表[#Headers],0))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67.139965477399997</v>
      </c>
      <c r="BP35" s="4">
        <f>IFERROR(ROUND(
(INDEX(生データ表[],MATCH($C35,生データ表['#],0),MATCH(BP$5,生データ表[#Headers],0))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10.054347826100001</v>
      </c>
      <c r="BQ35" s="4">
        <f>IFERROR(ROUND(
(INDEX(生データ表[],MATCH($C35,生データ表['#],0),MATCH(BQ$5,生データ表[#Headers],0))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10.387170553800001</v>
      </c>
      <c r="BR35" s="4">
        <f>IFERROR(ROUND(
(INDEX(生データ表[],MATCH($C35,生データ表['#],0),MATCH(BR$5,生データ表[#Headers],0))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18.247625527299999</v>
      </c>
      <c r="BS35" s="4">
        <f>IFERROR(ROUND(
(INDEX(生データ表[],MATCH($C35,生データ表['#],0),MATCH(BS$5,生データ表[#Headers],0))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19.704232168499999</v>
      </c>
      <c r="BT35" s="4">
        <f>IFERROR(ROUND(
(INDEX(生データ表[],MATCH($C35,生データ表['#],0),MATCH(BT$5,生データ表[#Headers],0))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8.2777650034000008</v>
      </c>
      <c r="BU35" s="4">
        <f>IFERROR(ROUND(
(INDEX(生データ表[],MATCH($C35,生データ表['#],0),MATCH(BU$5,生データ表[#Headers],0))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40.098785506500001</v>
      </c>
      <c r="BV35" s="4">
        <f>IFERROR(ROUND(
(INDEX(生データ表[],MATCH($C35,生データ表['#],0),MATCH(BV$5,生データ表[#Headers],0))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83.333333333300004</v>
      </c>
      <c r="BW35" s="4">
        <f>IFERROR(ROUND(
(INDEX(生データ表[],MATCH($C35,生データ表['#],0),MATCH(BW$5,生データ表[#Headers],0))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53.036660777400002</v>
      </c>
      <c r="BX35" s="4">
        <f>IFERROR(ROUND(
(INDEX(生データ表[],MATCH($C35,生データ表['#],0),MATCH(BX$5,生データ表[#Headers],0))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34.7340283347</v>
      </c>
      <c r="BY35" s="4">
        <f>IFERROR(ROUND(
(INDEX(生データ表[],MATCH($C35,生データ表['#],0),MATCH(BY$5,生データ表[#Headers],0))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54.685174759200002</v>
      </c>
      <c r="BZ35" s="4">
        <f t="shared" si="9"/>
        <v>35.197726412400002</v>
      </c>
      <c r="CA35" s="4">
        <f t="shared" si="9"/>
        <v>63.348579650550001</v>
      </c>
      <c r="CB35" s="4">
        <f t="shared" si="9"/>
        <v>2.0834442777</v>
      </c>
      <c r="CC35" s="4">
        <f t="shared" si="9"/>
        <v>47.67461298085</v>
      </c>
      <c r="CD35" s="4">
        <f t="shared" si="9"/>
        <v>54.875967864066673</v>
      </c>
      <c r="CE35" s="4">
        <f t="shared" si="9"/>
        <v>54.811022991599998</v>
      </c>
      <c r="CF35" s="4">
        <f t="shared" si="9"/>
        <v>35.052375869350001</v>
      </c>
      <c r="CG35" s="4">
        <f t="shared" si="9"/>
        <v>39.9186172689</v>
      </c>
      <c r="CH35" s="4">
        <f t="shared" si="9"/>
        <v>9.0793877807000012</v>
      </c>
      <c r="CI35" s="4">
        <f t="shared" si="9"/>
        <v>11.8398393487</v>
      </c>
      <c r="CJ35" s="4">
        <f t="shared" si="10"/>
        <v>39.429428338966666</v>
      </c>
      <c r="CK35" s="4">
        <f t="shared" si="10"/>
        <v>27.803422613233334</v>
      </c>
      <c r="CL35" s="4">
        <f t="shared" si="10"/>
        <v>31.169647656325001</v>
      </c>
      <c r="CM35" s="4">
        <f t="shared" si="10"/>
        <v>23.415792859550002</v>
      </c>
      <c r="CN35" s="4">
        <f t="shared" si="10"/>
        <v>72.591847659233338</v>
      </c>
      <c r="CO35" s="4">
        <f t="shared" si="10"/>
        <v>42.641163601749994</v>
      </c>
      <c r="CP35" s="4">
        <f t="shared" si="10"/>
        <v>98.823372460049995</v>
      </c>
      <c r="CQ35" s="4">
        <f t="shared" si="10"/>
        <v>79.397598751299995</v>
      </c>
      <c r="CR35" s="4">
        <f t="shared" si="10"/>
        <v>41.547690177</v>
      </c>
      <c r="CS35" s="4">
        <f t="shared" si="10"/>
        <v>45.854813190433333</v>
      </c>
      <c r="CT35" s="4">
        <f t="shared" si="11"/>
        <v>83.737758277933338</v>
      </c>
      <c r="CU35" s="4">
        <f t="shared" si="11"/>
        <v>72.554166107466656</v>
      </c>
      <c r="CV35" s="4">
        <f t="shared" si="11"/>
        <v>10.220759189950002</v>
      </c>
      <c r="CW35" s="4">
        <f t="shared" si="11"/>
        <v>18.975928847900001</v>
      </c>
      <c r="CX35" s="4">
        <f t="shared" si="11"/>
        <v>43.903294614400004</v>
      </c>
      <c r="CY35" s="4">
        <f t="shared" si="11"/>
        <v>47.485287957100006</v>
      </c>
      <c r="CZ35" s="4">
        <f t="shared" si="12"/>
        <v>257.99135417716667</v>
      </c>
      <c r="DA35" s="4">
        <f t="shared" si="12"/>
        <v>84.050380918950012</v>
      </c>
      <c r="DB35" s="4">
        <f t="shared" si="12"/>
        <v>133.65813081677501</v>
      </c>
      <c r="DC35" s="4">
        <f t="shared" si="12"/>
        <v>335.00167264933333</v>
      </c>
      <c r="DD35" s="4">
        <f t="shared" si="12"/>
        <v>202.1467375758333</v>
      </c>
      <c r="DE35" s="4">
        <f t="shared" si="12"/>
        <v>120.58527060935</v>
      </c>
      <c r="DF35" s="76">
        <f t="shared" si="4"/>
        <v>1133.4335467474084</v>
      </c>
    </row>
    <row r="36" spans="1:110" hidden="1">
      <c r="A36" s="2">
        <v>31</v>
      </c>
      <c r="B36" s="58">
        <f>INDEX(順位表[Comprehensive],MATCH($C36,順位表['#],0))</f>
        <v>32</v>
      </c>
      <c r="C36" s="3">
        <v>31</v>
      </c>
      <c r="D36" s="1" t="str">
        <f>INDEX(都市マスタ[City Name],MATCH($C36,都市マスタ['#],0))</f>
        <v>Vancouver</v>
      </c>
      <c r="E36" s="4">
        <f>IFERROR(ROUND(
(INDEX(生データ表[],MATCH($C36,生データ表['#],0),MATCH(E$5,生データ表[#Headers],0))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2.0301248514000001</v>
      </c>
      <c r="F36" s="4">
        <f>IFERROR(ROUND(
(INDEX(生データ表[],MATCH($C36,生データ表['#],0),MATCH(F$5,生データ表[#Headers],0))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0.60578621560000001</v>
      </c>
      <c r="G36" s="4">
        <f>IFERROR(ROUND(
(INDEX(生データ表[],MATCH($C36,生データ表['#],0),MATCH(G$5,生データ表[#Headers],0))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3.3001055E-3</v>
      </c>
      <c r="H36" s="4">
        <f>IFERROR(ROUND(
(INDEX(生データ表[],MATCH($C36,生データ表['#],0),MATCH(H$5,生データ表[#Headers],0))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1.4856004411999999</v>
      </c>
      <c r="I36" s="4">
        <f>IFERROR(ROUND(
(INDEX(生データ表[],MATCH($C36,生データ表['#],0),MATCH(I$5,生データ表[#Headers],0))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22.755506523899999</v>
      </c>
      <c r="J36" s="4">
        <f>IFERROR(ROUND(
(INDEX(生データ表[],MATCH($C36,生データ表['#],0),MATCH(J$5,生データ表[#Headers],0))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58.504706348600003</v>
      </c>
      <c r="K36" s="4">
        <f>IFERROR(ROUND(
(INDEX(生データ表[],MATCH($C36,生データ表['#],0),MATCH(K$5,生データ表[#Headers],0))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71.194762684099999</v>
      </c>
      <c r="L36" s="4">
        <f>IFERROR(ROUND(
(INDEX(生データ表[],MATCH($C36,生データ表['#],0),MATCH(L$5,生データ表[#Headers],0))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36" s="4">
        <f>IFERROR(ROUND(
(INDEX(生データ表[],MATCH($C36,生データ表['#],0),MATCH(M$5,生データ表[#Headers],0))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36" s="4">
        <f>IFERROR(ROUND(
(INDEX(生データ表[],MATCH($C36,生データ表['#],0),MATCH(N$5,生データ表[#Headers],0))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1.4088511450000001</v>
      </c>
      <c r="O36" s="4">
        <f>IFERROR(ROUND(
(INDEX(生データ表[],MATCH($C36,生データ表['#],0),MATCH(O$5,生データ表[#Headers],0))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77.366447544500005</v>
      </c>
      <c r="P36" s="4">
        <f>IFERROR(ROUND(
(INDEX(生データ表[],MATCH($C36,生データ表['#],0),MATCH(P$5,生データ表[#Headers],0))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53.024812675600003</v>
      </c>
      <c r="Q36" s="4">
        <f>IFERROR(ROUND(
(INDEX(生データ表[],MATCH($C36,生データ表['#],0),MATCH(Q$5,生データ表[#Headers],0))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91.9399183588</v>
      </c>
      <c r="R36" s="4">
        <f>IFERROR(ROUND(
(INDEX(生データ表[],MATCH($C36,生データ表['#],0),MATCH(R$5,生データ表[#Headers],0))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46.7124892844</v>
      </c>
      <c r="S36" s="4">
        <f>IFERROR(ROUND(
(INDEX(生データ表[],MATCH($C36,生データ表['#],0),MATCH(S$5,生データ表[#Headers],0))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30.7692307692</v>
      </c>
      <c r="T36" s="4">
        <f>IFERROR(ROUND(
(INDEX(生データ表[],MATCH($C36,生データ表['#],0),MATCH(T$5,生データ表[#Headers],0))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87.354958586699993</v>
      </c>
      <c r="U36" s="4">
        <f>IFERROR(ROUND(
(INDEX(生データ表[],MATCH($C36,生データ表['#],0),MATCH(U$5,生データ表[#Headers],0))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2.0328660891000001</v>
      </c>
      <c r="V36" s="4">
        <f>IFERROR(ROUND(
(INDEX(生データ表[],MATCH($C36,生データ表['#],0),MATCH(V$5,生データ表[#Headers],0))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20.428751576300002</v>
      </c>
      <c r="W36" s="4">
        <f>IFERROR(ROUND(
(INDEX(生データ表[],MATCH($C36,生データ表['#],0),MATCH(W$5,生データ表[#Headers],0))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1.0557566117999999</v>
      </c>
      <c r="X36" s="4">
        <f>IFERROR(ROUND(
(INDEX(生データ表[],MATCH($C36,生データ表['#],0),MATCH(X$5,生データ表[#Headers],0))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19.435356213599999</v>
      </c>
      <c r="Y36" s="4">
        <f>IFERROR(ROUND(
(INDEX(生データ表[],MATCH($C36,生データ表['#],0),MATCH(Y$5,生データ表[#Headers],0))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74.212936292199998</v>
      </c>
      <c r="Z36" s="4">
        <f>IFERROR(ROUND(
(INDEX(生データ表[],MATCH($C36,生データ表['#],0),MATCH(Z$5,生データ表[#Headers],0))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1.6363243453</v>
      </c>
      <c r="AA36" s="4">
        <f>IFERROR(ROUND(
(INDEX(生データ表[],MATCH($C36,生データ表['#],0),MATCH(AA$5,生データ表[#Headers],0))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36" s="4">
        <f>IFERROR(ROUND(
(INDEX(生データ表[],MATCH($C36,生データ表['#],0),MATCH(AB$5,生データ表[#Headers],0))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8.7943262411000003</v>
      </c>
      <c r="AC36" s="4">
        <f>IFERROR(ROUND(
(INDEX(生データ表[],MATCH($C36,生データ表['#],0),MATCH(AC$5,生データ表[#Headers],0))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5.0473186119999998</v>
      </c>
      <c r="AD36" s="4">
        <f>IFERROR(ROUND(
(INDEX(生データ表[],MATCH($C36,生データ表['#],0),MATCH(AD$5,生データ表[#Headers],0))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62.222222222200003</v>
      </c>
      <c r="AE36" s="4">
        <f>IFERROR(ROUND(
(INDEX(生データ表[],MATCH($C36,生データ表['#],0),MATCH(AE$5,生データ表[#Headers],0))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4.6926821055000003</v>
      </c>
      <c r="AF36" s="4">
        <f>IFERROR(ROUND(
(INDEX(生データ表[],MATCH($C36,生データ表['#],0),MATCH(AF$5,生データ表[#Headers],0))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1.4776184268000001</v>
      </c>
      <c r="AG36" s="4">
        <f>IFERROR(ROUND(
(INDEX(生データ表[],MATCH($C36,生データ表['#],0),MATCH(AG$5,生データ表[#Headers],0))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43.523923258400004</v>
      </c>
      <c r="AH36" s="4">
        <f>IFERROR(ROUND(
(INDEX(生データ表[],MATCH($C36,生データ表['#],0),MATCH(AH$5,生データ表[#Headers],0))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36" s="4">
        <f>IFERROR(ROUND(
(INDEX(生データ表[],MATCH($C36,生データ表['#],0),MATCH(AI$5,生データ表[#Headers],0))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19.404803057100001</v>
      </c>
      <c r="AJ36" s="4">
        <f>IFERROR(ROUND(
(INDEX(生データ表[],MATCH($C36,生データ表['#],0),MATCH(AJ$5,生データ表[#Headers],0))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10.995850622400001</v>
      </c>
      <c r="AK36" s="4">
        <f>IFERROR(ROUND(
(INDEX(生データ表[],MATCH($C36,生データ表['#],0),MATCH(AK$5,生データ表[#Headers],0))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10.958904109600001</v>
      </c>
      <c r="AL36" s="4">
        <f>IFERROR(ROUND(
(INDEX(生データ表[],MATCH($C36,生データ表['#],0),MATCH(AL$5,生データ表[#Headers],0))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36" s="4">
        <f>IFERROR(ROUND(
(INDEX(生データ表[],MATCH($C36,生データ表['#],0),MATCH(AM$5,生データ表[#Headers],0))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6.2400530504000002</v>
      </c>
      <c r="AN36" s="4">
        <f>IFERROR(ROUND(
(INDEX(生データ表[],MATCH($C36,生データ表['#],0),MATCH(AN$5,生データ表[#Headers],0))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2.9694483561</v>
      </c>
      <c r="AO36" s="4">
        <f>IFERROR(ROUND(
(INDEX(生データ表[],MATCH($C36,生データ表['#],0),MATCH(AO$5,生データ表[#Headers],0))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24.724129179999998</v>
      </c>
      <c r="AP36" s="4">
        <f>IFERROR(ROUND(
(INDEX(生データ表[],MATCH($C36,生データ表['#],0),MATCH(AP$5,生データ表[#Headers],0))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33.547669351300001</v>
      </c>
      <c r="AQ36" s="4">
        <f>IFERROR(ROUND(
(INDEX(生データ表[],MATCH($C36,生データ表['#],0),MATCH(AQ$5,生データ表[#Headers],0))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3.2304007092</v>
      </c>
      <c r="AR36" s="4">
        <f>IFERROR(ROUND(
(INDEX(生データ表[],MATCH($C36,生データ表['#],0),MATCH(AR$5,生データ表[#Headers],0))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16.244055768799999</v>
      </c>
      <c r="AS36" s="4">
        <f>IFERROR(ROUND(
(INDEX(生データ表[],MATCH($C36,生データ表['#],0),MATCH(AS$5,生データ表[#Headers],0))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86.537167601099995</v>
      </c>
      <c r="AT36" s="4">
        <f>IFERROR(ROUND(
(INDEX(生データ表[],MATCH($C36,生データ表['#],0),MATCH(AT$5,生データ表[#Headers],0))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31.851504588600001</v>
      </c>
      <c r="AU36" s="4">
        <f>IFERROR(ROUND(
(INDEX(生データ表[],MATCH($C36,生データ表['#],0),MATCH(AU$5,生データ表[#Headers],0))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78.652037617600001</v>
      </c>
      <c r="AV36" s="4">
        <f>IFERROR(ROUND(
(INDEX(生データ表[],MATCH($C36,生データ表['#],0),MATCH(AV$5,生データ表[#Headers],0))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47.8231214065</v>
      </c>
      <c r="AW36" s="4">
        <f>IFERROR(ROUND(
(INDEX(生データ表[],MATCH($C36,生データ表['#],0),MATCH(AW$5,生データ表[#Headers],0))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47.888757487200003</v>
      </c>
      <c r="AX36" s="4">
        <f>IFERROR(ROUND(
(INDEX(生データ表[],MATCH($C36,生データ表['#],0),MATCH(AX$5,生データ表[#Headers],0))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95.584147301499996</v>
      </c>
      <c r="AY36" s="4">
        <f>IFERROR(ROUND(
(INDEX(生データ表[],MATCH($C36,生データ表['#],0),MATCH(AY$5,生データ表[#Headers],0))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98.313659359200003</v>
      </c>
      <c r="AZ36" s="4">
        <f>IFERROR(ROUND(
(INDEX(生データ表[],MATCH($C36,生データ表['#],0),MATCH(AZ$5,生データ表[#Headers],0))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83.693682811900004</v>
      </c>
      <c r="BA36" s="4">
        <f>IFERROR(ROUND(
(INDEX(生データ表[],MATCH($C36,生データ表['#],0),MATCH(BA$5,生データ表[#Headers],0))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81.022974272100001</v>
      </c>
      <c r="BB36" s="4">
        <f>IFERROR(ROUND(
(INDEX(生データ表[],MATCH($C36,生データ表['#],0),MATCH(BB$5,生データ表[#Headers],0))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73.9903983321</v>
      </c>
      <c r="BC36" s="4">
        <f>IFERROR(ROUND(
(INDEX(生データ表[],MATCH($C36,生データ表['#],0),MATCH(BC$5,生データ表[#Headers],0))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28.954377621399999</v>
      </c>
      <c r="BD36" s="4">
        <f>IFERROR(ROUND(
(INDEX(生データ表[],MATCH($C36,生データ表['#],0),MATCH(BD$5,生データ表[#Headers],0))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77.327954430000005</v>
      </c>
      <c r="BE36" s="4">
        <f>IFERROR(ROUND(
(INDEX(生データ表[],MATCH($C36,生データ表['#],0),MATCH(BE$5,生データ表[#Headers],0))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29.537030210400001</v>
      </c>
      <c r="BF36" s="4">
        <f>IFERROR(ROUND(
(INDEX(生データ表[],MATCH($C36,生データ表['#],0),MATCH(BF$5,生データ表[#Headers],0))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31.270791304900001</v>
      </c>
      <c r="BG36" s="4">
        <f>IFERROR(ROUND(
(INDEX(生データ表[],MATCH($C36,生データ表['#],0),MATCH(BG$5,生データ表[#Headers],0))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81.364927893599997</v>
      </c>
      <c r="BH36" s="4">
        <f>IFERROR(ROUND(
(INDEX(生データ表[],MATCH($C36,生データ表['#],0),MATCH(BH$5,生データ表[#Headers],0))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34.122069880600002</v>
      </c>
      <c r="BI36" s="4">
        <f>IFERROR(ROUND(
(INDEX(生データ表[],MATCH($C36,生データ表['#],0),MATCH(BI$5,生データ表[#Headers],0))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30.789618804100002</v>
      </c>
      <c r="BJ36" s="4">
        <f>IFERROR(ROUND(
(INDEX(生データ表[],MATCH($C36,生データ表['#],0),MATCH(BJ$5,生データ表[#Headers],0))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69.967987321099997</v>
      </c>
      <c r="BK36" s="4">
        <f>IFERROR(ROUND(
(INDEX(生データ表[],MATCH($C36,生データ表['#],0),MATCH(BK$5,生データ表[#Headers],0))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89.841986456000001</v>
      </c>
      <c r="BL36" s="4">
        <f>IFERROR(ROUND(
(INDEX(生データ表[],MATCH($C36,生データ表['#],0),MATCH(BL$5,生データ表[#Headers],0))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58.3259304957</v>
      </c>
      <c r="BM36" s="4">
        <f>IFERROR(ROUND(
(INDEX(生データ表[],MATCH($C36,生データ表['#],0),MATCH(BM$5,生データ表[#Headers],0))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65.312046444100005</v>
      </c>
      <c r="BN36" s="4">
        <f>IFERROR(ROUND(
(INDEX(生データ表[],MATCH($C36,生データ表['#],0),MATCH(BN$5,生データ表[#Headers],0))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82.973535643700004</v>
      </c>
      <c r="BO36" s="4">
        <f>IFERROR(ROUND(
(INDEX(生データ表[],MATCH($C36,生データ表['#],0),MATCH(BO$5,生データ表[#Headers],0))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56.6024853662</v>
      </c>
      <c r="BP36" s="4">
        <f>IFERROR(ROUND(
(INDEX(生データ表[],MATCH($C36,生データ表['#],0),MATCH(BP$5,生データ表[#Headers],0))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14.945652173899999</v>
      </c>
      <c r="BQ36" s="4">
        <f>IFERROR(ROUND(
(INDEX(生データ表[],MATCH($C36,生データ表['#],0),MATCH(BQ$5,生データ表[#Headers],0))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6.4487664356999996</v>
      </c>
      <c r="BR36" s="4">
        <f>IFERROR(ROUND(
(INDEX(生データ表[],MATCH($C36,生データ表['#],0),MATCH(BR$5,生データ表[#Headers],0))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10.4110287538</v>
      </c>
      <c r="BS36" s="4">
        <f>IFERROR(ROUND(
(INDEX(生データ表[],MATCH($C36,生データ表['#],0),MATCH(BS$5,生データ表[#Headers],0))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13.9232120337</v>
      </c>
      <c r="BT36" s="4">
        <f>IFERROR(ROUND(
(INDEX(生データ表[],MATCH($C36,生データ表['#],0),MATCH(BT$5,生データ表[#Headers],0))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2.4143481260000001</v>
      </c>
      <c r="BU36" s="4">
        <f>IFERROR(ROUND(
(INDEX(生データ表[],MATCH($C36,生データ表['#],0),MATCH(BU$5,生データ表[#Headers],0))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32.698724623899999</v>
      </c>
      <c r="BV36" s="4">
        <f>IFERROR(ROUND(
(INDEX(生データ表[],MATCH($C36,生データ表['#],0),MATCH(BV$5,生データ表[#Headers],0))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66.666666666699996</v>
      </c>
      <c r="BW36" s="4">
        <f>IFERROR(ROUND(
(INDEX(生データ表[],MATCH($C36,生データ表['#],0),MATCH(BW$5,生データ表[#Headers],0))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73.939929328600002</v>
      </c>
      <c r="BX36" s="4">
        <f>IFERROR(ROUND(
(INDEX(生データ表[],MATCH($C36,生データ表['#],0),MATCH(BX$5,生データ表[#Headers],0))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30.952745849300001</v>
      </c>
      <c r="BY36" s="4">
        <f>IFERROR(ROUND(
(INDEX(生データ表[],MATCH($C36,生データ表['#],0),MATCH(BY$5,生データ表[#Headers],0))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50.756621328199998</v>
      </c>
      <c r="BZ36" s="4">
        <f t="shared" ref="BZ36:CI45" si="13">IFERROR(AVERAGEIF($63:$63,BZ$5,36:36),"-")</f>
        <v>12.120553482549999</v>
      </c>
      <c r="CA36" s="4">
        <f t="shared" si="13"/>
        <v>64.849734516349997</v>
      </c>
      <c r="CB36" s="4">
        <f t="shared" si="13"/>
        <v>0</v>
      </c>
      <c r="CC36" s="4">
        <f t="shared" si="13"/>
        <v>39.387649344750002</v>
      </c>
      <c r="CD36" s="4">
        <f t="shared" si="13"/>
        <v>63.892406772933334</v>
      </c>
      <c r="CE36" s="4">
        <f t="shared" si="13"/>
        <v>59.06209467795</v>
      </c>
      <c r="CF36" s="4">
        <f t="shared" si="13"/>
        <v>11.230808832700001</v>
      </c>
      <c r="CG36" s="4">
        <f t="shared" si="13"/>
        <v>31.568016372533332</v>
      </c>
      <c r="CH36" s="4">
        <f t="shared" si="13"/>
        <v>3.4768835288000002</v>
      </c>
      <c r="CI36" s="4">
        <f t="shared" si="13"/>
        <v>18.359960341625001</v>
      </c>
      <c r="CJ36" s="4">
        <f t="shared" ref="CJ36:CS45" si="14">IFERROR(AVERAGEIF($63:$63,CJ$5,36:36),"-")</f>
        <v>20.976242105166666</v>
      </c>
      <c r="CK36" s="4">
        <f t="shared" si="14"/>
        <v>10.827023507166667</v>
      </c>
      <c r="CL36" s="4">
        <f t="shared" si="14"/>
        <v>16.870324984450001</v>
      </c>
      <c r="CM36" s="4">
        <f t="shared" si="14"/>
        <v>9.7372282390000002</v>
      </c>
      <c r="CN36" s="4">
        <f t="shared" si="14"/>
        <v>65.680236602433339</v>
      </c>
      <c r="CO36" s="4">
        <f t="shared" si="14"/>
        <v>47.855939446850002</v>
      </c>
      <c r="CP36" s="4">
        <f t="shared" si="14"/>
        <v>96.948903330349992</v>
      </c>
      <c r="CQ36" s="4">
        <f t="shared" si="14"/>
        <v>79.569018472033335</v>
      </c>
      <c r="CR36" s="4">
        <f t="shared" si="14"/>
        <v>41.772538391674999</v>
      </c>
      <c r="CS36" s="4">
        <f t="shared" si="14"/>
        <v>48.758872192766667</v>
      </c>
      <c r="CT36" s="4">
        <f t="shared" ref="CT36:CY45" si="15">IFERROR(AVERAGEIF($63:$63,CT$5,36:36),"-")</f>
        <v>72.711968090933325</v>
      </c>
      <c r="CU36" s="4">
        <f t="shared" si="15"/>
        <v>68.296022484666665</v>
      </c>
      <c r="CV36" s="4">
        <f t="shared" si="15"/>
        <v>10.697209304799999</v>
      </c>
      <c r="CW36" s="4">
        <f t="shared" si="15"/>
        <v>12.16712039375</v>
      </c>
      <c r="CX36" s="4">
        <f t="shared" si="15"/>
        <v>33.926579805533329</v>
      </c>
      <c r="CY36" s="4">
        <f t="shared" si="15"/>
        <v>51.883098835366667</v>
      </c>
      <c r="CZ36" s="4">
        <f t="shared" ref="CZ36:DE45" si="16">SUMIF($64:$64,CZ$5,36:36)</f>
        <v>239.31243879453334</v>
      </c>
      <c r="DA36" s="4">
        <f t="shared" si="16"/>
        <v>46.275708734033337</v>
      </c>
      <c r="DB36" s="4">
        <f t="shared" si="16"/>
        <v>76.770779177408329</v>
      </c>
      <c r="DC36" s="4">
        <f t="shared" si="16"/>
        <v>331.82663624334168</v>
      </c>
      <c r="DD36" s="4">
        <f t="shared" si="16"/>
        <v>189.76686276836665</v>
      </c>
      <c r="DE36" s="4">
        <f t="shared" si="16"/>
        <v>108.67400833945</v>
      </c>
      <c r="DF36" s="76">
        <f t="shared" si="4"/>
        <v>992.62643405713322</v>
      </c>
    </row>
    <row r="37" spans="1:110" hidden="1">
      <c r="A37" s="2">
        <v>32</v>
      </c>
      <c r="B37" s="58">
        <f>INDEX(順位表[Comprehensive],MATCH($C37,順位表['#],0))</f>
        <v>27</v>
      </c>
      <c r="C37" s="3">
        <v>32</v>
      </c>
      <c r="D37" s="1" t="str">
        <f>INDEX(都市マスタ[City Name],MATCH($C37,都市マスタ['#],0))</f>
        <v>San Francisco</v>
      </c>
      <c r="E37" s="4">
        <f>IFERROR(ROUND(
(INDEX(生データ表[],MATCH($C37,生データ表['#],0),MATCH(E$5,生データ表[#Headers],0))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2.4723732940000001</v>
      </c>
      <c r="F37" s="4">
        <f>IFERROR(ROUND(
(INDEX(生データ表[],MATCH($C37,生データ表['#],0),MATCH(F$5,生データ表[#Headers],0))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0.64432390090000002</v>
      </c>
      <c r="G37" s="4">
        <f>IFERROR(ROUND(
(INDEX(生データ表[],MATCH($C37,生データ表['#],0),MATCH(G$5,生データ表[#Headers],0))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1.2728978000000001E-3</v>
      </c>
      <c r="H37" s="4">
        <f>IFERROR(ROUND(
(INDEX(生データ表[],MATCH($C37,生データ表['#],0),MATCH(H$5,生データ表[#Headers],0))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18.338783560100001</v>
      </c>
      <c r="I37" s="4">
        <f>IFERROR(ROUND(
(INDEX(生データ表[],MATCH($C37,生データ表['#],0),MATCH(I$5,生データ表[#Headers],0))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99.397080075299996</v>
      </c>
      <c r="J37" s="4">
        <f>IFERROR(ROUND(
(INDEX(生データ表[],MATCH($C37,生データ表['#],0),MATCH(J$5,生データ表[#Headers],0))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56.068045552999997</v>
      </c>
      <c r="K37" s="4">
        <f>IFERROR(ROUND(
(INDEX(生データ表[],MATCH($C37,生データ表['#],0),MATCH(K$5,生データ表[#Headers],0))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62.637362637400003</v>
      </c>
      <c r="L37" s="4">
        <f>IFERROR(ROUND(
(INDEX(生データ表[],MATCH($C37,生データ表['#],0),MATCH(L$5,生データ表[#Headers],0))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37" s="4">
        <f>IFERROR(ROUND(
(INDEX(生データ表[],MATCH($C37,生データ表['#],0),MATCH(M$5,生データ表[#Headers],0))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2.7783432019999998</v>
      </c>
      <c r="N37" s="4">
        <f>IFERROR(ROUND(
(INDEX(生データ表[],MATCH($C37,生データ表['#],0),MATCH(N$5,生データ表[#Headers],0))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5.4667160402999997</v>
      </c>
      <c r="O37" s="4">
        <f>IFERROR(ROUND(
(INDEX(生データ表[],MATCH($C37,生データ表['#],0),MATCH(O$5,生データ表[#Headers],0))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50.050374411</v>
      </c>
      <c r="P37" s="4">
        <f>IFERROR(ROUND(
(INDEX(生データ表[],MATCH($C37,生データ表['#],0),MATCH(P$5,生データ表[#Headers],0))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96.765431972200005</v>
      </c>
      <c r="Q37" s="4">
        <f>IFERROR(ROUND(
(INDEX(生データ表[],MATCH($C37,生データ表['#],0),MATCH(Q$5,生データ表[#Headers],0))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89.942209315100001</v>
      </c>
      <c r="R37" s="4">
        <f>IFERROR(ROUND(
(INDEX(生データ表[],MATCH($C37,生データ表['#],0),MATCH(R$5,生データ表[#Headers],0))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61.288398700800002</v>
      </c>
      <c r="S37" s="4">
        <f>IFERROR(ROUND(
(INDEX(生データ表[],MATCH($C37,生データ表['#],0),MATCH(S$5,生データ表[#Headers],0))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26.986153846200001</v>
      </c>
      <c r="T37" s="4">
        <f>IFERROR(ROUND(
(INDEX(生データ表[],MATCH($C37,生データ表['#],0),MATCH(T$5,生データ表[#Headers],0))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95.755043161299994</v>
      </c>
      <c r="U37" s="4">
        <f>IFERROR(ROUND(
(INDEX(生データ表[],MATCH($C37,生データ表['#],0),MATCH(U$5,生データ表[#Headers],0))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25.447101261299998</v>
      </c>
      <c r="V37" s="4">
        <f>IFERROR(ROUND(
(INDEX(生データ表[],MATCH($C37,生データ表['#],0),MATCH(V$5,生データ表[#Headers],0))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49.306431273599998</v>
      </c>
      <c r="W37" s="4">
        <f>IFERROR(ROUND(
(INDEX(生データ表[],MATCH($C37,生データ表['#],0),MATCH(W$5,生データ表[#Headers],0))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26.593966839</v>
      </c>
      <c r="X37" s="4">
        <f>IFERROR(ROUND(
(INDEX(生データ表[],MATCH($C37,生データ表['#],0),MATCH(X$5,生データ表[#Headers],0))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9.6623188676999998</v>
      </c>
      <c r="Y37" s="4">
        <f>IFERROR(ROUND(
(INDEX(生データ表[],MATCH($C37,生データ表['#],0),MATCH(Y$5,生データ表[#Headers],0))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65.201328007200004</v>
      </c>
      <c r="Z37" s="4">
        <f>IFERROR(ROUND(
(INDEX(生データ表[],MATCH($C37,生データ表['#],0),MATCH(Z$5,生データ表[#Headers],0))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17.651566839299999</v>
      </c>
      <c r="AA37" s="4">
        <f>IFERROR(ROUND(
(INDEX(生データ表[],MATCH($C37,生データ表['#],0),MATCH(AA$5,生データ表[#Headers],0))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65.146579804599995</v>
      </c>
      <c r="AB37" s="4">
        <f>IFERROR(ROUND(
(INDEX(生データ表[],MATCH($C37,生データ表['#],0),MATCH(AB$5,生データ表[#Headers],0))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56.719858156000001</v>
      </c>
      <c r="AC37" s="4">
        <f>IFERROR(ROUND(
(INDEX(生データ表[],MATCH($C37,生データ表['#],0),MATCH(AC$5,生データ表[#Headers],0))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2.5236593059999999</v>
      </c>
      <c r="AD37" s="4">
        <f>IFERROR(ROUND(
(INDEX(生データ表[],MATCH($C37,生データ表['#],0),MATCH(AD$5,生データ表[#Headers],0))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30.909090909100001</v>
      </c>
      <c r="AE37" s="4">
        <f>IFERROR(ROUND(
(INDEX(生データ表[],MATCH($C37,生データ表['#],0),MATCH(AE$5,生データ表[#Headers],0))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16.713211353799998</v>
      </c>
      <c r="AF37" s="4">
        <f>IFERROR(ROUND(
(INDEX(生データ表[],MATCH($C37,生データ表['#],0),MATCH(AF$5,生データ表[#Headers],0))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9.6007310840999995</v>
      </c>
      <c r="AG37" s="4">
        <f>IFERROR(ROUND(
(INDEX(生データ表[],MATCH($C37,生データ表['#],0),MATCH(AG$5,生データ表[#Headers],0))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34.057076832600004</v>
      </c>
      <c r="AH37" s="4">
        <f>IFERROR(ROUND(
(INDEX(生データ表[],MATCH($C37,生データ表['#],0),MATCH(AH$5,生データ表[#Headers],0))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37" s="4">
        <f>IFERROR(ROUND(
(INDEX(生データ表[],MATCH($C37,生データ表['#],0),MATCH(AI$5,生データ表[#Headers],0))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29.0716037509</v>
      </c>
      <c r="AJ37" s="4">
        <f>IFERROR(ROUND(
(INDEX(生データ表[],MATCH($C37,生データ表['#],0),MATCH(AJ$5,生データ表[#Headers],0))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22.614107883799999</v>
      </c>
      <c r="AK37" s="4">
        <f>IFERROR(ROUND(
(INDEX(生データ表[],MATCH($C37,生データ表['#],0),MATCH(AK$5,生データ表[#Headers],0))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11.9863013699</v>
      </c>
      <c r="AL37" s="4">
        <f>IFERROR(ROUND(
(INDEX(生データ表[],MATCH($C37,生データ表['#],0),MATCH(AL$5,生データ表[#Headers],0))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37" s="4">
        <f>IFERROR(ROUND(
(INDEX(生データ表[],MATCH($C37,生データ表['#],0),MATCH(AM$5,生データ表[#Headers],0))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16.908608632699998</v>
      </c>
      <c r="AN37" s="4">
        <f>IFERROR(ROUND(
(INDEX(生データ表[],MATCH($C37,生データ表['#],0),MATCH(AN$5,生データ表[#Headers],0))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6.7134023142999997</v>
      </c>
      <c r="AO37" s="4">
        <f>IFERROR(ROUND(
(INDEX(生データ表[],MATCH($C37,生データ表['#],0),MATCH(AO$5,生データ表[#Headers],0))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26.5848097352</v>
      </c>
      <c r="AP37" s="4">
        <f>IFERROR(ROUND(
(INDEX(生データ表[],MATCH($C37,生データ表['#],0),MATCH(AP$5,生データ表[#Headers],0))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47.912734500900001</v>
      </c>
      <c r="AQ37" s="4">
        <f>IFERROR(ROUND(
(INDEX(生データ表[],MATCH($C37,生データ表['#],0),MATCH(AQ$5,生データ表[#Headers],0))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3.1343886474999998</v>
      </c>
      <c r="AR37" s="4">
        <f>IFERROR(ROUND(
(INDEX(生データ表[],MATCH($C37,生データ表['#],0),MATCH(AR$5,生データ表[#Headers],0))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5.5195613995999997</v>
      </c>
      <c r="AS37" s="4">
        <f>IFERROR(ROUND(
(INDEX(生データ表[],MATCH($C37,生データ表['#],0),MATCH(AS$5,生データ表[#Headers],0))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94.074182215700006</v>
      </c>
      <c r="AT37" s="4">
        <f>IFERROR(ROUND(
(INDEX(生データ表[],MATCH($C37,生データ表['#],0),MATCH(AT$5,生データ表[#Headers],0))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68.123841043900001</v>
      </c>
      <c r="AU37" s="4">
        <f>IFERROR(ROUND(
(INDEX(生データ表[],MATCH($C37,生データ表['#],0),MATCH(AU$5,生データ表[#Headers],0))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87.529892771700005</v>
      </c>
      <c r="AV37" s="4">
        <f>IFERROR(ROUND(
(INDEX(生データ表[],MATCH($C37,生データ表['#],0),MATCH(AV$5,生データ表[#Headers],0))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9.6076480003999993</v>
      </c>
      <c r="AW37" s="4">
        <f>IFERROR(ROUND(
(INDEX(生データ表[],MATCH($C37,生データ表['#],0),MATCH(AW$5,生データ表[#Headers],0))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34.839533795599998</v>
      </c>
      <c r="AX37" s="4">
        <f>IFERROR(ROUND(
(INDEX(生データ表[],MATCH($C37,生データ表['#],0),MATCH(AX$5,生データ表[#Headers],0))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86.417403817899995</v>
      </c>
      <c r="AY37" s="4">
        <f>IFERROR(ROUND(
(INDEX(生データ表[],MATCH($C37,生データ表['#],0),MATCH(AY$5,生データ表[#Headers],0))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95.446880269800005</v>
      </c>
      <c r="AZ37" s="4">
        <f>IFERROR(ROUND(
(INDEX(生データ表[],MATCH($C37,生データ表['#],0),MATCH(AZ$5,生データ表[#Headers],0))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65.370213793900007</v>
      </c>
      <c r="BA37" s="4">
        <f>IFERROR(ROUND(
(INDEX(生データ表[],MATCH($C37,生データ表['#],0),MATCH(BA$5,生データ表[#Headers],0))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66.659608137500001</v>
      </c>
      <c r="BB37" s="4">
        <f>IFERROR(ROUND(
(INDEX(生データ表[],MATCH($C37,生データ表['#],0),MATCH(BB$5,生データ表[#Headers],0))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26.423458706000002</v>
      </c>
      <c r="BC37" s="4">
        <f>IFERROR(ROUND(
(INDEX(生データ表[],MATCH($C37,生データ表['#],0),MATCH(BC$5,生データ表[#Headers],0))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60.478974182400002</v>
      </c>
      <c r="BD37" s="4">
        <f>IFERROR(ROUND(
(INDEX(生データ表[],MATCH($C37,生データ表['#],0),MATCH(BD$5,生データ表[#Headers],0))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100</v>
      </c>
      <c r="BE37" s="4">
        <f>IFERROR(ROUND(
(INDEX(生データ表[],MATCH($C37,生データ表['#],0),MATCH(BE$5,生データ表[#Headers],0))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17.358684626100001</v>
      </c>
      <c r="BF37" s="4">
        <f>IFERROR(ROUND(
(INDEX(生データ表[],MATCH($C37,生データ表['#],0),MATCH(BF$5,生データ表[#Headers],0))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28.610683222799999</v>
      </c>
      <c r="BG37" s="4">
        <f>IFERROR(ROUND(
(INDEX(生データ表[],MATCH($C37,生データ表['#],0),MATCH(BG$5,生データ表[#Headers],0))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66.367858610799999</v>
      </c>
      <c r="BH37" s="4">
        <f>IFERROR(ROUND(
(INDEX(生データ表[],MATCH($C37,生データ表['#],0),MATCH(BH$5,生データ表[#Headers],0))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16.187527642599999</v>
      </c>
      <c r="BI37" s="4">
        <f>IFERROR(ROUND(
(INDEX(生データ表[],MATCH($C37,生データ表['#],0),MATCH(BI$5,生データ表[#Headers],0))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37.807407670099998</v>
      </c>
      <c r="BJ37" s="4">
        <f>IFERROR(ROUND(
(INDEX(生データ表[],MATCH($C37,生データ表['#],0),MATCH(BJ$5,生データ表[#Headers],0))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0.61855847230000005</v>
      </c>
      <c r="BK37" s="4">
        <f>IFERROR(ROUND(
(INDEX(生データ表[],MATCH($C37,生データ表['#],0),MATCH(BK$5,生データ表[#Headers],0))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88.713318284400003</v>
      </c>
      <c r="BL37" s="4">
        <f>IFERROR(ROUND(
(INDEX(生データ表[],MATCH($C37,生データ表['#],0),MATCH(BL$5,生データ表[#Headers],0))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69.712350905099996</v>
      </c>
      <c r="BM37" s="4">
        <f>IFERROR(ROUND(
(INDEX(生データ表[],MATCH($C37,生データ表['#],0),MATCH(BM$5,生データ表[#Headers],0))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48.0406386067</v>
      </c>
      <c r="BN37" s="4">
        <f>IFERROR(ROUND(
(INDEX(生データ表[],MATCH($C37,生データ表['#],0),MATCH(BN$5,生データ表[#Headers],0))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45.479317941799998</v>
      </c>
      <c r="BO37" s="4">
        <f>IFERROR(ROUND(
(INDEX(生データ表[],MATCH($C37,生データ表['#],0),MATCH(BO$5,生データ表[#Headers],0))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1.985144099</v>
      </c>
      <c r="BP37" s="4">
        <f>IFERROR(ROUND(
(INDEX(生データ表[],MATCH($C37,生データ表['#],0),MATCH(BP$5,生データ表[#Headers],0))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10.597826087</v>
      </c>
      <c r="BQ37" s="4">
        <f>IFERROR(ROUND(
(INDEX(生データ表[],MATCH($C37,生データ表['#],0),MATCH(BQ$5,生データ表[#Headers],0))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3.9630837021</v>
      </c>
      <c r="BR37" s="4">
        <f>IFERROR(ROUND(
(INDEX(生データ表[],MATCH($C37,生データ表['#],0),MATCH(BR$5,生データ表[#Headers],0))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28.539212612899998</v>
      </c>
      <c r="BS37" s="4">
        <f>IFERROR(ROUND(
(INDEX(生データ表[],MATCH($C37,生データ表['#],0),MATCH(BS$5,生データ表[#Headers],0))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24.3467614403</v>
      </c>
      <c r="BT37" s="4">
        <f>IFERROR(ROUND(
(INDEX(生データ表[],MATCH($C37,生データ表['#],0),MATCH(BT$5,生データ表[#Headers],0))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26.787767302799999</v>
      </c>
      <c r="BU37" s="4">
        <f>IFERROR(ROUND(
(INDEX(生データ表[],MATCH($C37,生データ表['#],0),MATCH(BU$5,生データ表[#Headers],0))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28.692352667000002</v>
      </c>
      <c r="BV37" s="4">
        <f>IFERROR(ROUND(
(INDEX(生データ表[],MATCH($C37,生データ表['#],0),MATCH(BV$5,生データ表[#Headers],0))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80.952380952400006</v>
      </c>
      <c r="BW37" s="4">
        <f>IFERROR(ROUND(
(INDEX(生データ表[],MATCH($C37,生データ表['#],0),MATCH(BW$5,生データ表[#Headers],0))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53.058745582999997</v>
      </c>
      <c r="BX37" s="4">
        <f>IFERROR(ROUND(
(INDEX(生データ表[],MATCH($C37,生データ表['#],0),MATCH(BX$5,生データ表[#Headers],0))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38.884216428400002</v>
      </c>
      <c r="BY37" s="4">
        <f>IFERROR(ROUND(
(INDEX(生データ表[],MATCH($C37,生データ表['#],0),MATCH(BY$5,生データ表[#Headers],0))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31.341755940399999</v>
      </c>
      <c r="BZ37" s="4">
        <f t="shared" si="13"/>
        <v>58.867931817699997</v>
      </c>
      <c r="CA37" s="4">
        <f t="shared" si="13"/>
        <v>59.352704095199996</v>
      </c>
      <c r="CB37" s="4">
        <f t="shared" si="13"/>
        <v>1.3891716009999999</v>
      </c>
      <c r="CC37" s="4">
        <f t="shared" si="13"/>
        <v>27.75854522565</v>
      </c>
      <c r="CD37" s="4">
        <f t="shared" si="13"/>
        <v>82.665346662700003</v>
      </c>
      <c r="CE37" s="4">
        <f t="shared" si="13"/>
        <v>61.370598503749996</v>
      </c>
      <c r="CF37" s="4">
        <f t="shared" si="13"/>
        <v>37.376766267449995</v>
      </c>
      <c r="CG37" s="4">
        <f t="shared" si="13"/>
        <v>33.819204571299998</v>
      </c>
      <c r="CH37" s="4">
        <f t="shared" si="13"/>
        <v>46.506001599966659</v>
      </c>
      <c r="CI37" s="4">
        <f t="shared" si="13"/>
        <v>14.936673163249999</v>
      </c>
      <c r="CJ37" s="4">
        <f t="shared" si="14"/>
        <v>21.042893527833332</v>
      </c>
      <c r="CK37" s="4">
        <f t="shared" si="14"/>
        <v>15.042241681066665</v>
      </c>
      <c r="CL37" s="4">
        <f t="shared" si="14"/>
        <v>24.529888795775001</v>
      </c>
      <c r="CM37" s="4">
        <f t="shared" si="14"/>
        <v>4.3269750235500002</v>
      </c>
      <c r="CN37" s="4">
        <f t="shared" si="14"/>
        <v>83.242638677100004</v>
      </c>
      <c r="CO37" s="4">
        <f t="shared" si="14"/>
        <v>22.223590897999998</v>
      </c>
      <c r="CP37" s="4">
        <f t="shared" si="14"/>
        <v>90.932142043850007</v>
      </c>
      <c r="CQ37" s="4">
        <f t="shared" si="14"/>
        <v>52.817760212466673</v>
      </c>
      <c r="CR37" s="4">
        <f t="shared" si="14"/>
        <v>51.612085507825</v>
      </c>
      <c r="CS37" s="4">
        <f t="shared" si="14"/>
        <v>40.120931307833331</v>
      </c>
      <c r="CT37" s="4">
        <f t="shared" si="15"/>
        <v>53.014742553933331</v>
      </c>
      <c r="CU37" s="4">
        <f t="shared" si="15"/>
        <v>31.835033549166667</v>
      </c>
      <c r="CV37" s="4">
        <f t="shared" si="15"/>
        <v>7.2804548945500001</v>
      </c>
      <c r="CW37" s="4">
        <f t="shared" si="15"/>
        <v>26.442987026600001</v>
      </c>
      <c r="CX37" s="4">
        <f t="shared" si="15"/>
        <v>45.4775003074</v>
      </c>
      <c r="CY37" s="4">
        <f t="shared" si="15"/>
        <v>41.09490598393333</v>
      </c>
      <c r="CZ37" s="4">
        <f t="shared" si="16"/>
        <v>291.40429790600001</v>
      </c>
      <c r="DA37" s="4">
        <f t="shared" si="16"/>
        <v>117.70197243871664</v>
      </c>
      <c r="DB37" s="4">
        <f t="shared" si="16"/>
        <v>79.878672191475005</v>
      </c>
      <c r="DC37" s="4">
        <f t="shared" si="16"/>
        <v>300.82821733924169</v>
      </c>
      <c r="DD37" s="4">
        <f t="shared" si="16"/>
        <v>124.97070741093333</v>
      </c>
      <c r="DE37" s="4">
        <f t="shared" si="16"/>
        <v>120.29584821248332</v>
      </c>
      <c r="DF37" s="76">
        <f t="shared" si="4"/>
        <v>1035.07971549885</v>
      </c>
    </row>
    <row r="38" spans="1:110" hidden="1">
      <c r="A38" s="2">
        <v>33</v>
      </c>
      <c r="B38" s="58">
        <f>INDEX(順位表[Comprehensive],MATCH($C38,順位表['#],0))</f>
        <v>21</v>
      </c>
      <c r="C38" s="3">
        <v>33</v>
      </c>
      <c r="D38" s="1" t="str">
        <f>INDEX(都市マスタ[City Name],MATCH($C38,都市マスタ['#],0))</f>
        <v>Los Angeles</v>
      </c>
      <c r="E38" s="4">
        <f>IFERROR(ROUND(
(INDEX(生データ表[],MATCH($C38,生データ表['#],0),MATCH(E$5,生データ表[#Headers],0))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14.7613788784</v>
      </c>
      <c r="F38" s="4">
        <f>IFERROR(ROUND(
(INDEX(生データ表[],MATCH($C38,生データ表['#],0),MATCH(F$5,生データ表[#Headers],0))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7.3219316165999997</v>
      </c>
      <c r="G38" s="4">
        <f>IFERROR(ROUND(
(INDEX(生データ表[],MATCH($C38,生データ表['#],0),MATCH(G$5,生データ表[#Headers],0))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1.2728978000000001E-3</v>
      </c>
      <c r="H38" s="4">
        <f>IFERROR(ROUND(
(INDEX(生データ表[],MATCH($C38,生データ表['#],0),MATCH(H$5,生データ表[#Headers],0))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34.2239411129</v>
      </c>
      <c r="I38" s="4">
        <f>IFERROR(ROUND(
(INDEX(生データ表[],MATCH($C38,生データ表['#],0),MATCH(I$5,生データ表[#Headers],0))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36.261170986099998</v>
      </c>
      <c r="J38" s="4">
        <f>IFERROR(ROUND(
(INDEX(生データ表[],MATCH($C38,生データ表['#],0),MATCH(J$5,生データ表[#Headers],0))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34.8636064373</v>
      </c>
      <c r="K38" s="4">
        <f>IFERROR(ROUND(
(INDEX(生データ表[],MATCH($C38,生データ表['#],0),MATCH(K$5,生データ表[#Headers],0))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62.637362637400003</v>
      </c>
      <c r="L38" s="4">
        <f>IFERROR(ROUND(
(INDEX(生データ表[],MATCH($C38,生データ表['#],0),MATCH(L$5,生データ表[#Headers],0))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38" s="4">
        <f>IFERROR(ROUND(
(INDEX(生データ表[],MATCH($C38,生データ表['#],0),MATCH(M$5,生データ表[#Headers],0))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1.5732305621</v>
      </c>
      <c r="N38" s="4">
        <f>IFERROR(ROUND(
(INDEX(生データ表[],MATCH($C38,生データ表['#],0),MATCH(N$5,生データ表[#Headers],0))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17.262249400000002</v>
      </c>
      <c r="O38" s="4">
        <f>IFERROR(ROUND(
(INDEX(生データ表[],MATCH($C38,生データ表['#],0),MATCH(O$5,生データ表[#Headers],0))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40.9531252636</v>
      </c>
      <c r="P38" s="4">
        <f>IFERROR(ROUND(
(INDEX(生データ表[],MATCH($C38,生データ表['#],0),MATCH(P$5,生データ表[#Headers],0))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87.039279069499997</v>
      </c>
      <c r="Q38" s="4">
        <f>IFERROR(ROUND(
(INDEX(生データ表[],MATCH($C38,生データ表['#],0),MATCH(Q$5,生データ表[#Headers],0))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85.418499806100002</v>
      </c>
      <c r="R38" s="4">
        <f>IFERROR(ROUND(
(INDEX(生データ表[],MATCH($C38,生データ表['#],0),MATCH(R$5,生データ表[#Headers],0))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64.855788139699996</v>
      </c>
      <c r="S38" s="4">
        <f>IFERROR(ROUND(
(INDEX(生データ表[],MATCH($C38,生データ表['#],0),MATCH(S$5,生データ表[#Headers],0))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26.986153846200001</v>
      </c>
      <c r="T38" s="4">
        <f>IFERROR(ROUND(
(INDEX(生データ表[],MATCH($C38,生データ表['#],0),MATCH(T$5,生データ表[#Headers],0))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92.245275391199996</v>
      </c>
      <c r="U38" s="4">
        <f>IFERROR(ROUND(
(INDEX(生データ表[],MATCH($C38,生データ表['#],0),MATCH(U$5,生データ表[#Headers],0))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68.248367047399995</v>
      </c>
      <c r="V38" s="4">
        <f>IFERROR(ROUND(
(INDEX(生データ表[],MATCH($C38,生データ表['#],0),MATCH(V$5,生データ表[#Headers],0))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64.564943253500005</v>
      </c>
      <c r="W38" s="4">
        <f>IFERROR(ROUND(
(INDEX(生データ表[],MATCH($C38,生データ表['#],0),MATCH(W$5,生データ表[#Headers],0))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69.474487329400006</v>
      </c>
      <c r="X38" s="4">
        <f>IFERROR(ROUND(
(INDEX(生データ表[],MATCH($C38,生データ表['#],0),MATCH(X$5,生データ表[#Headers],0))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12.142683599</v>
      </c>
      <c r="Y38" s="4">
        <f>IFERROR(ROUND(
(INDEX(生データ表[],MATCH($C38,生データ表['#],0),MATCH(Y$5,生データ表[#Headers],0))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65.201328007200004</v>
      </c>
      <c r="Z38" s="4">
        <f>IFERROR(ROUND(
(INDEX(生データ表[],MATCH($C38,生データ表['#],0),MATCH(Z$5,生データ表[#Headers],0))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46.837521515900001</v>
      </c>
      <c r="AA38" s="4">
        <f>IFERROR(ROUND(
(INDEX(生データ表[],MATCH($C38,生データ表['#],0),MATCH(AA$5,生データ表[#Headers],0))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39.739413680799998</v>
      </c>
      <c r="AB38" s="4">
        <f>IFERROR(ROUND(
(INDEX(生データ表[],MATCH($C38,生データ表['#],0),MATCH(AB$5,生データ表[#Headers],0))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32.127659574500001</v>
      </c>
      <c r="AC38" s="4">
        <f>IFERROR(ROUND(
(INDEX(生データ表[],MATCH($C38,生データ表['#],0),MATCH(AC$5,生データ表[#Headers],0))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0.63091482649999997</v>
      </c>
      <c r="AD38" s="4">
        <f>IFERROR(ROUND(
(INDEX(生データ表[],MATCH($C38,生データ表['#],0),MATCH(AD$5,生データ表[#Headers],0))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29.090909090899999</v>
      </c>
      <c r="AE38" s="4">
        <f>IFERROR(ROUND(
(INDEX(生データ表[],MATCH($C38,生データ表['#],0),MATCH(AE$5,生データ表[#Headers],0))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40.172621718199998</v>
      </c>
      <c r="AF38" s="4">
        <f>IFERROR(ROUND(
(INDEX(生データ表[],MATCH($C38,生データ表['#],0),MATCH(AF$5,生データ表[#Headers],0))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24.087092230500001</v>
      </c>
      <c r="AG38" s="4">
        <f>IFERROR(ROUND(
(INDEX(生データ表[],MATCH($C38,生データ表['#],0),MATCH(AG$5,生データ表[#Headers],0))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48.751578956000003</v>
      </c>
      <c r="AH38" s="4">
        <f>IFERROR(ROUND(
(INDEX(生データ表[],MATCH($C38,生データ表['#],0),MATCH(AH$5,生データ表[#Headers],0))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1.25</v>
      </c>
      <c r="AI38" s="4">
        <f>IFERROR(ROUND(
(INDEX(生データ表[],MATCH($C38,生データ表['#],0),MATCH(AI$5,生データ表[#Headers],0))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39.632607914499999</v>
      </c>
      <c r="AJ38" s="4">
        <f>IFERROR(ROUND(
(INDEX(生データ表[],MATCH($C38,生データ表['#],0),MATCH(AJ$5,生データ表[#Headers],0))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26.7634854772</v>
      </c>
      <c r="AK38" s="4">
        <f>IFERROR(ROUND(
(INDEX(生データ表[],MATCH($C38,生データ表['#],0),MATCH(AK$5,生データ表[#Headers],0))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20.5479452055</v>
      </c>
      <c r="AL38" s="4">
        <f>IFERROR(ROUND(
(INDEX(生データ表[],MATCH($C38,生データ表['#],0),MATCH(AL$5,生データ表[#Headers],0))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15.789473684200001</v>
      </c>
      <c r="AM38" s="4">
        <f>IFERROR(ROUND(
(INDEX(生データ表[],MATCH($C38,生データ表['#],0),MATCH(AM$5,生データ表[#Headers],0))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6.9682903304000003</v>
      </c>
      <c r="AN38" s="4">
        <f>IFERROR(ROUND(
(INDEX(生データ表[],MATCH($C38,生データ表['#],0),MATCH(AN$5,生データ表[#Headers],0))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0.17143206999999999</v>
      </c>
      <c r="AO38" s="4">
        <f>IFERROR(ROUND(
(INDEX(生データ表[],MATCH($C38,生データ表['#],0),MATCH(AO$5,生データ表[#Headers],0))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37.033811912399997</v>
      </c>
      <c r="AP38" s="4">
        <f>IFERROR(ROUND(
(INDEX(生データ表[],MATCH($C38,生データ表['#],0),MATCH(AP$5,生データ表[#Headers],0))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33.932254554799997</v>
      </c>
      <c r="AQ38" s="4">
        <f>IFERROR(ROUND(
(INDEX(生データ表[],MATCH($C38,生データ表['#],0),MATCH(AQ$5,生データ表[#Headers],0))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20.619418992</v>
      </c>
      <c r="AR38" s="4">
        <f>IFERROR(ROUND(
(INDEX(生データ表[],MATCH($C38,生データ表['#],0),MATCH(AR$5,生データ表[#Headers],0))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7.6887672646</v>
      </c>
      <c r="AS38" s="4">
        <f>IFERROR(ROUND(
(INDEX(生データ表[],MATCH($C38,生データ表['#],0),MATCH(AS$5,生データ表[#Headers],0))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86.821688508099996</v>
      </c>
      <c r="AT38" s="4">
        <f>IFERROR(ROUND(
(INDEX(生データ表[],MATCH($C38,生データ表['#],0),MATCH(AT$5,生データ表[#Headers],0))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65.742611320199998</v>
      </c>
      <c r="AU38" s="4">
        <f>IFERROR(ROUND(
(INDEX(生データ表[],MATCH($C38,生データ表['#],0),MATCH(AU$5,生データ表[#Headers],0))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57.260293903700003</v>
      </c>
      <c r="AV38" s="4">
        <f>IFERROR(ROUND(
(INDEX(生データ表[],MATCH($C38,生データ表['#],0),MATCH(AV$5,生データ表[#Headers],0))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31.724532255500002</v>
      </c>
      <c r="AW38" s="4">
        <f>IFERROR(ROUND(
(INDEX(生データ表[],MATCH($C38,生データ表['#],0),MATCH(AW$5,生データ表[#Headers],0))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37.495643506699999</v>
      </c>
      <c r="AX38" s="4">
        <f>IFERROR(ROUND(
(INDEX(生データ表[],MATCH($C38,生データ表['#],0),MATCH(AX$5,生データ表[#Headers],0))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77.950947563599996</v>
      </c>
      <c r="AY38" s="4">
        <f>IFERROR(ROUND(
(INDEX(生データ表[],MATCH($C38,生データ表['#],0),MATCH(AY$5,生データ表[#Headers],0))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92.074198988199996</v>
      </c>
      <c r="AZ38" s="4">
        <f>IFERROR(ROUND(
(INDEX(生データ表[],MATCH($C38,生データ表['#],0),MATCH(AZ$5,生データ表[#Headers],0))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65.370213793900007</v>
      </c>
      <c r="BA38" s="4">
        <f>IFERROR(ROUND(
(INDEX(生データ表[],MATCH($C38,生データ表['#],0),MATCH(BA$5,生データ表[#Headers],0))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66.659608137500001</v>
      </c>
      <c r="BB38" s="4">
        <f>IFERROR(ROUND(
(INDEX(生データ表[],MATCH($C38,生データ表['#],0),MATCH(BB$5,生データ表[#Headers],0))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26.423458706000002</v>
      </c>
      <c r="BC38" s="4">
        <f>IFERROR(ROUND(
(INDEX(生データ表[],MATCH($C38,生データ表['#],0),MATCH(BC$5,生データ表[#Headers],0))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31.939541503200001</v>
      </c>
      <c r="BD38" s="4">
        <f>IFERROR(ROUND(
(INDEX(生データ表[],MATCH($C38,生データ表['#],0),MATCH(BD$5,生データ表[#Headers],0))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100</v>
      </c>
      <c r="BE38" s="4">
        <f>IFERROR(ROUND(
(INDEX(生データ表[],MATCH($C38,生データ表['#],0),MATCH(BE$5,生データ表[#Headers],0))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26.965907681099999</v>
      </c>
      <c r="BF38" s="4">
        <f>IFERROR(ROUND(
(INDEX(生データ表[],MATCH($C38,生データ表['#],0),MATCH(BF$5,生データ表[#Headers],0))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35.358227787200001</v>
      </c>
      <c r="BG38" s="4">
        <f>IFERROR(ROUND(
(INDEX(生データ表[],MATCH($C38,生データ表['#],0),MATCH(BG$5,生データ表[#Headers],0))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61.824907521599997</v>
      </c>
      <c r="BH38" s="4">
        <f>IFERROR(ROUND(
(INDEX(生データ表[],MATCH($C38,生データ表['#],0),MATCH(BH$5,生データ表[#Headers],0))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16.187527642599999</v>
      </c>
      <c r="BI38" s="4">
        <f>IFERROR(ROUND(
(INDEX(生データ表[],MATCH($C38,生データ表['#],0),MATCH(BI$5,生データ表[#Headers],0))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37.807407670099998</v>
      </c>
      <c r="BJ38" s="4">
        <f>IFERROR(ROUND(
(INDEX(生データ表[],MATCH($C38,生データ表['#],0),MATCH(BJ$5,生データ表[#Headers],0))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65.392087883200006</v>
      </c>
      <c r="BK38" s="4">
        <f>IFERROR(ROUND(
(INDEX(生データ表[],MATCH($C38,生データ表['#],0),MATCH(BK$5,生データ表[#Headers],0))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83.295711060900004</v>
      </c>
      <c r="BL38" s="4">
        <f>IFERROR(ROUND(
(INDEX(生データ表[],MATCH($C38,生データ表['#],0),MATCH(BL$5,生データ表[#Headers],0))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91.100578388599999</v>
      </c>
      <c r="BM38" s="4">
        <f>IFERROR(ROUND(
(INDEX(生データ表[],MATCH($C38,生データ表['#],0),MATCH(BM$5,生データ表[#Headers],0))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24.818577648800002</v>
      </c>
      <c r="BN38" s="4">
        <f>IFERROR(ROUND(
(INDEX(生データ表[],MATCH($C38,生データ表['#],0),MATCH(BN$5,生データ表[#Headers],0))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31.108230410299999</v>
      </c>
      <c r="BO38" s="4">
        <f>IFERROR(ROUND(
(INDEX(生データ表[],MATCH($C38,生データ表['#],0),MATCH(BO$5,生データ表[#Headers],0))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8.5057633543000009</v>
      </c>
      <c r="BP38" s="4">
        <f>IFERROR(ROUND(
(INDEX(生データ表[],MATCH($C38,生データ表['#],0),MATCH(BP$5,生データ表[#Headers],0))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16.847826087000001</v>
      </c>
      <c r="BQ38" s="4">
        <f>IFERROR(ROUND(
(INDEX(生データ表[],MATCH($C38,生データ表['#],0),MATCH(BQ$5,生データ表[#Headers],0))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36.314257504899999</v>
      </c>
      <c r="BR38" s="4">
        <f>IFERROR(ROUND(
(INDEX(生データ表[],MATCH($C38,生データ表['#],0),MATCH(BR$5,生データ表[#Headers],0))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46.959114991100002</v>
      </c>
      <c r="BS38" s="4">
        <f>IFERROR(ROUND(
(INDEX(生データ表[],MATCH($C38,生データ表['#],0),MATCH(BS$5,生データ表[#Headers],0))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38.308042774100002</v>
      </c>
      <c r="BT38" s="4">
        <f>IFERROR(ROUND(
(INDEX(生データ表[],MATCH($C38,生データ表['#],0),MATCH(BT$5,生データ表[#Headers],0))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3.5640377098</v>
      </c>
      <c r="BU38" s="4">
        <f>IFERROR(ROUND(
(INDEX(生データ表[],MATCH($C38,生データ表['#],0),MATCH(BU$5,生データ表[#Headers],0))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2.6049308091999999</v>
      </c>
      <c r="BV38" s="4">
        <f>IFERROR(ROUND(
(INDEX(生データ表[],MATCH($C38,生データ表['#],0),MATCH(BV$5,生データ表[#Headers],0))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35.714285714299997</v>
      </c>
      <c r="BW38" s="4">
        <f>IFERROR(ROUND(
(INDEX(生データ表[],MATCH($C38,生データ表['#],0),MATCH(BW$5,生データ表[#Headers],0))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21.2676678445</v>
      </c>
      <c r="BX38" s="4">
        <f>IFERROR(ROUND(
(INDEX(生データ表[],MATCH($C38,生データ表['#],0),MATCH(BX$5,生データ表[#Headers],0))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75.806579468899997</v>
      </c>
      <c r="BY38" s="4">
        <f>IFERROR(ROUND(
(INDEX(生データ表[],MATCH($C38,生データ表['#],0),MATCH(BY$5,生データ表[#Headers],0))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28.770744022500001</v>
      </c>
      <c r="BZ38" s="4">
        <f t="shared" si="13"/>
        <v>35.242556049499996</v>
      </c>
      <c r="CA38" s="4">
        <f t="shared" si="13"/>
        <v>48.750484537350005</v>
      </c>
      <c r="CB38" s="4">
        <f t="shared" si="13"/>
        <v>0.78661528105</v>
      </c>
      <c r="CC38" s="4">
        <f t="shared" si="13"/>
        <v>29.107687331800001</v>
      </c>
      <c r="CD38" s="4">
        <f t="shared" si="13"/>
        <v>79.104522338433341</v>
      </c>
      <c r="CE38" s="4">
        <f t="shared" si="13"/>
        <v>59.615714618699997</v>
      </c>
      <c r="CF38" s="4">
        <f t="shared" si="13"/>
        <v>66.406655150450007</v>
      </c>
      <c r="CG38" s="4">
        <f t="shared" si="13"/>
        <v>48.939499645200009</v>
      </c>
      <c r="CH38" s="4">
        <f t="shared" si="13"/>
        <v>39.568198257066662</v>
      </c>
      <c r="CI38" s="4">
        <f t="shared" si="13"/>
        <v>23.495384466525</v>
      </c>
      <c r="CJ38" s="4">
        <f t="shared" si="14"/>
        <v>29.878062290166667</v>
      </c>
      <c r="CK38" s="4">
        <f t="shared" si="14"/>
        <v>21.033634788966665</v>
      </c>
      <c r="CL38" s="4">
        <f t="shared" si="14"/>
        <v>19.526447216899999</v>
      </c>
      <c r="CM38" s="4">
        <f t="shared" si="14"/>
        <v>14.1540931283</v>
      </c>
      <c r="CN38" s="4">
        <f t="shared" si="14"/>
        <v>69.941531243999989</v>
      </c>
      <c r="CO38" s="4">
        <f t="shared" si="14"/>
        <v>34.6100878811</v>
      </c>
      <c r="CP38" s="4">
        <f t="shared" si="14"/>
        <v>85.012573275899996</v>
      </c>
      <c r="CQ38" s="4">
        <f t="shared" si="14"/>
        <v>52.817760212466673</v>
      </c>
      <c r="CR38" s="4">
        <f t="shared" si="14"/>
        <v>48.565919242874998</v>
      </c>
      <c r="CS38" s="4">
        <f t="shared" si="14"/>
        <v>38.606614278100004</v>
      </c>
      <c r="CT38" s="4">
        <f t="shared" si="15"/>
        <v>79.929459110899998</v>
      </c>
      <c r="CU38" s="4">
        <f t="shared" si="15"/>
        <v>21.477523804466667</v>
      </c>
      <c r="CV38" s="4">
        <f t="shared" si="15"/>
        <v>26.58104179595</v>
      </c>
      <c r="CW38" s="4">
        <f t="shared" si="15"/>
        <v>42.633578882600005</v>
      </c>
      <c r="CX38" s="4">
        <f t="shared" si="15"/>
        <v>13.961084744433331</v>
      </c>
      <c r="CY38" s="4">
        <f t="shared" si="15"/>
        <v>41.948330445299995</v>
      </c>
      <c r="CZ38" s="4">
        <f t="shared" si="16"/>
        <v>252.60758015683336</v>
      </c>
      <c r="DA38" s="4">
        <f t="shared" si="16"/>
        <v>154.91435305271668</v>
      </c>
      <c r="DB38" s="4">
        <f t="shared" si="16"/>
        <v>108.08762189085833</v>
      </c>
      <c r="DC38" s="4">
        <f t="shared" si="16"/>
        <v>290.94787185634164</v>
      </c>
      <c r="DD38" s="4">
        <f t="shared" si="16"/>
        <v>140.01359719346667</v>
      </c>
      <c r="DE38" s="4">
        <f t="shared" si="16"/>
        <v>125.12403586828333</v>
      </c>
      <c r="DF38" s="76">
        <f t="shared" si="4"/>
        <v>1071.6950600185</v>
      </c>
    </row>
    <row r="39" spans="1:110" hidden="1">
      <c r="A39" s="2">
        <v>34</v>
      </c>
      <c r="B39" s="58">
        <f>INDEX(順位表[Comprehensive],MATCH($C39,順位表['#],0))</f>
        <v>43</v>
      </c>
      <c r="C39" s="3">
        <v>34</v>
      </c>
      <c r="D39" s="1" t="str">
        <f>INDEX(都市マスタ[City Name],MATCH($C39,都市マスタ['#],0))</f>
        <v>Mexico City</v>
      </c>
      <c r="E39" s="4">
        <f>IFERROR(ROUND(
(INDEX(生データ表[],MATCH($C39,生データ表['#],0),MATCH(E$5,生データ表[#Headers],0))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36.882780529199998</v>
      </c>
      <c r="F39" s="4">
        <f>IFERROR(ROUND(
(INDEX(生データ表[],MATCH($C39,生データ表['#],0),MATCH(F$5,生データ表[#Headers],0))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9.0200463194000005</v>
      </c>
      <c r="G39" s="4">
        <f>IFERROR(ROUND(
(INDEX(生データ表[],MATCH($C39,生データ表['#],0),MATCH(G$5,生データ表[#Headers],0))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0.129977012</v>
      </c>
      <c r="H39" s="4">
        <f>IFERROR(ROUND(
(INDEX(生データ表[],MATCH($C39,生データ表['#],0),MATCH(H$5,生データ表[#Headers],0))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17.958328125200001</v>
      </c>
      <c r="I39" s="4">
        <f>IFERROR(ROUND(
(INDEX(生データ表[],MATCH($C39,生データ表['#],0),MATCH(I$5,生データ表[#Headers],0))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7.6698206010999996</v>
      </c>
      <c r="J39" s="4">
        <f>IFERROR(ROUND(
(INDEX(生データ表[],MATCH($C39,生データ表['#],0),MATCH(J$5,生データ表[#Headers],0))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33.264802693999997</v>
      </c>
      <c r="K39" s="4">
        <f>IFERROR(ROUND(
(INDEX(生データ表[],MATCH($C39,生データ表['#],0),MATCH(K$5,生データ表[#Headers],0))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41.805003507099997</v>
      </c>
      <c r="L39" s="4">
        <f>IFERROR(ROUND(
(INDEX(生データ表[],MATCH($C39,生データ表['#],0),MATCH(L$5,生データ表[#Headers],0))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1.1275265568999999</v>
      </c>
      <c r="M39" s="4">
        <f>IFERROR(ROUND(
(INDEX(生データ表[],MATCH($C39,生データ表['#],0),MATCH(M$5,生データ表[#Headers],0))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0.81254290880000002</v>
      </c>
      <c r="N39" s="4">
        <f>IFERROR(ROUND(
(INDEX(生データ表[],MATCH($C39,生データ表['#],0),MATCH(N$5,生データ表[#Headers],0))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31.0275515441</v>
      </c>
      <c r="O39" s="4">
        <f>IFERROR(ROUND(
(INDEX(生データ表[],MATCH($C39,生データ表['#],0),MATCH(O$5,生データ表[#Headers],0))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15.5922993961</v>
      </c>
      <c r="P39" s="4">
        <f>IFERROR(ROUND(
(INDEX(生データ表[],MATCH($C39,生データ表['#],0),MATCH(P$5,生データ表[#Headers],0))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6.3799618289</v>
      </c>
      <c r="Q39" s="4">
        <f>IFERROR(ROUND(
(INDEX(生データ表[],MATCH($C39,生データ表['#],0),MATCH(Q$5,生データ表[#Headers],0))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13.90129958</v>
      </c>
      <c r="R39" s="4">
        <f>IFERROR(ROUND(
(INDEX(生データ表[],MATCH($C39,生データ表['#],0),MATCH(R$5,生データ表[#Headers],0))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26.142116241099998</v>
      </c>
      <c r="S39" s="4">
        <f>IFERROR(ROUND(
(INDEX(生データ表[],MATCH($C39,生データ表['#],0),MATCH(S$5,生データ表[#Headers],0))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19.2307692308</v>
      </c>
      <c r="T39" s="4">
        <f>IFERROR(ROUND(
(INDEX(生データ表[],MATCH($C39,生データ表['#],0),MATCH(T$5,生データ表[#Headers],0))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61.4352158815</v>
      </c>
      <c r="U39" s="4">
        <f>IFERROR(ROUND(
(INDEX(生データ表[],MATCH($C39,生データ表['#],0),MATCH(U$5,生データ表[#Headers],0))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2.0850947578999999</v>
      </c>
      <c r="V39" s="4">
        <f>IFERROR(ROUND(
(INDEX(生データ表[],MATCH($C39,生データ表['#],0),MATCH(V$5,生データ表[#Headers],0))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v>
      </c>
      <c r="W39" s="4">
        <f>IFERROR(ROUND(
(INDEX(生データ表[],MATCH($C39,生データ表['#],0),MATCH(W$5,生データ表[#Headers],0))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0.33109128920000003</v>
      </c>
      <c r="X39" s="4">
        <f>IFERROR(ROUND(
(INDEX(生データ表[],MATCH($C39,生データ表['#],0),MATCH(X$5,生データ表[#Headers],0))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0</v>
      </c>
      <c r="Y39" s="4">
        <f>IFERROR(ROUND(
(INDEX(生データ表[],MATCH($C39,生データ表['#],0),MATCH(Y$5,生データ表[#Headers],0))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32.343617798899999</v>
      </c>
      <c r="Z39" s="4">
        <f>IFERROR(ROUND(
(INDEX(生データ表[],MATCH($C39,生データ表['#],0),MATCH(Z$5,生データ表[#Headers],0))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2.2245761852000001</v>
      </c>
      <c r="AA39" s="4">
        <f>IFERROR(ROUND(
(INDEX(生データ表[],MATCH($C39,生データ表['#],0),MATCH(AA$5,生データ表[#Headers],0))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39" s="4">
        <f>IFERROR(ROUND(
(INDEX(生データ表[],MATCH($C39,生データ表['#],0),MATCH(AB$5,生データ表[#Headers],0))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3.9361702128</v>
      </c>
      <c r="AC39" s="4">
        <f>IFERROR(ROUND(
(INDEX(生データ表[],MATCH($C39,生データ表['#],0),MATCH(AC$5,生データ表[#Headers],0))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2.8391167192000002</v>
      </c>
      <c r="AD39" s="4">
        <f>IFERROR(ROUND(
(INDEX(生データ表[],MATCH($C39,生データ表['#],0),MATCH(AD$5,生データ表[#Headers],0))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9.0909090909000003</v>
      </c>
      <c r="AE39" s="4">
        <f>IFERROR(ROUND(
(INDEX(生データ表[],MATCH($C39,生データ表['#],0),MATCH(AE$5,生データ表[#Headers],0))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3.0457672821999999</v>
      </c>
      <c r="AF39" s="4">
        <f>IFERROR(ROUND(
(INDEX(生データ表[],MATCH($C39,生データ表['#],0),MATCH(AF$5,生データ表[#Headers],0))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6.6200327376999999</v>
      </c>
      <c r="AG39" s="4">
        <f>IFERROR(ROUND(
(INDEX(生データ表[],MATCH($C39,生データ表['#],0),MATCH(AG$5,生データ表[#Headers],0))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64.877883199600006</v>
      </c>
      <c r="AH39" s="4">
        <f>IFERROR(ROUND(
(INDEX(生データ表[],MATCH($C39,生データ表['#],0),MATCH(AH$5,生データ表[#Headers],0))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65</v>
      </c>
      <c r="AI39" s="4">
        <f>IFERROR(ROUND(
(INDEX(生データ表[],MATCH($C39,生データ表['#],0),MATCH(AI$5,生データ表[#Headers],0))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61.608109196000001</v>
      </c>
      <c r="AJ39" s="4">
        <f>IFERROR(ROUND(
(INDEX(生データ表[],MATCH($C39,生データ表['#],0),MATCH(AJ$5,生データ表[#Headers],0))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22.821576763500001</v>
      </c>
      <c r="AK39" s="4">
        <f>IFERROR(ROUND(
(INDEX(生データ表[],MATCH($C39,生データ表['#],0),MATCH(AK$5,生データ表[#Headers],0))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42.123287671200004</v>
      </c>
      <c r="AL39" s="4">
        <f>IFERROR(ROUND(
(INDEX(生データ表[],MATCH($C39,生データ表['#],0),MATCH(AL$5,生データ表[#Headers],0))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47.368421052599999</v>
      </c>
      <c r="AM39" s="4">
        <f>IFERROR(ROUND(
(INDEX(生データ表[],MATCH($C39,生データ表['#],0),MATCH(AM$5,生データ表[#Headers],0))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17.397516276800001</v>
      </c>
      <c r="AN39" s="4">
        <f>IFERROR(ROUND(
(INDEX(生データ表[],MATCH($C39,生データ表['#],0),MATCH(AN$5,生データ表[#Headers],0))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5.5837874241999996</v>
      </c>
      <c r="AO39" s="4">
        <f>IFERROR(ROUND(
(INDEX(生データ表[],MATCH($C39,生データ表['#],0),MATCH(AO$5,生データ表[#Headers],0))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60.0257686558</v>
      </c>
      <c r="AP39" s="4">
        <f>IFERROR(ROUND(
(INDEX(生データ表[],MATCH($C39,生データ表['#],0),MATCH(AP$5,生データ表[#Headers],0))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69.845468436700003</v>
      </c>
      <c r="AQ39" s="4">
        <f>IFERROR(ROUND(
(INDEX(生データ表[],MATCH($C39,生データ表['#],0),MATCH(AQ$5,生データ表[#Headers],0))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2.9866565334000001</v>
      </c>
      <c r="AR39" s="4">
        <f>IFERROR(ROUND(
(INDEX(生データ表[],MATCH($C39,生データ表['#],0),MATCH(AR$5,生データ表[#Headers],0))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19.561583673499999</v>
      </c>
      <c r="AS39" s="4">
        <f>IFERROR(ROUND(
(INDEX(生データ表[],MATCH($C39,生データ表['#],0),MATCH(AS$5,生データ表[#Headers],0))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86.086195776300002</v>
      </c>
      <c r="AT39" s="4">
        <f>IFERROR(ROUND(
(INDEX(生データ表[],MATCH($C39,生データ表['#],0),MATCH(AT$5,生データ表[#Headers],0))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0</v>
      </c>
      <c r="AU39" s="4">
        <f>IFERROR(ROUND(
(INDEX(生データ表[],MATCH($C39,生データ表['#],0),MATCH(AU$5,生データ表[#Headers],0))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68.464172169199998</v>
      </c>
      <c r="AV39" s="4">
        <f>IFERROR(ROUND(
(INDEX(生データ表[],MATCH($C39,生データ表['#],0),MATCH(AV$5,生データ表[#Headers],0))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88.994735571999996</v>
      </c>
      <c r="AW39" s="4">
        <f>IFERROR(ROUND(
(INDEX(生データ表[],MATCH($C39,生データ表['#],0),MATCH(AW$5,生データ表[#Headers],0))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83.925897517999999</v>
      </c>
      <c r="AX39" s="4">
        <f>IFERROR(ROUND(
(INDEX(生データ表[],MATCH($C39,生データ表['#],0),MATCH(AX$5,生データ表[#Headers],0))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62.323411613099999</v>
      </c>
      <c r="AY39" s="4">
        <f>IFERROR(ROUND(
(INDEX(生データ表[],MATCH($C39,生データ表['#],0),MATCH(AY$5,生データ表[#Headers],0))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82.630691399699998</v>
      </c>
      <c r="AZ39" s="4">
        <f>IFERROR(ROUND(
(INDEX(生データ表[],MATCH($C39,生データ表['#],0),MATCH(AZ$5,生データ表[#Headers],0))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52.9894914845</v>
      </c>
      <c r="BA39" s="4">
        <f>IFERROR(ROUND(
(INDEX(生データ表[],MATCH($C39,生データ表['#],0),MATCH(BA$5,生データ表[#Headers],0))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35.273376724099997</v>
      </c>
      <c r="BB39" s="4">
        <f>IFERROR(ROUND(
(INDEX(生データ表[],MATCH($C39,生データ表['#],0),MATCH(BB$5,生データ表[#Headers],0))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87.109050013399994</v>
      </c>
      <c r="BC39" s="4">
        <f>IFERROR(ROUND(
(INDEX(生データ表[],MATCH($C39,生データ表['#],0),MATCH(BC$5,生データ表[#Headers],0))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27.082170500499998</v>
      </c>
      <c r="BD39" s="4">
        <f>IFERROR(ROUND(
(INDEX(生データ表[],MATCH($C39,生データ表['#],0),MATCH(BD$5,生データ表[#Headers],0))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6.0226837166999996</v>
      </c>
      <c r="BE39" s="4">
        <f>IFERROR(ROUND(
(INDEX(生データ表[],MATCH($C39,生データ表['#],0),MATCH(BE$5,生データ表[#Headers],0))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53.720497838900002</v>
      </c>
      <c r="BF39" s="4">
        <f>IFERROR(ROUND(
(INDEX(生データ表[],MATCH($C39,生データ表['#],0),MATCH(BF$5,生データ表[#Headers],0))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23.311414840600001</v>
      </c>
      <c r="BG39" s="4">
        <f>IFERROR(ROUND(
(INDEX(生データ表[],MATCH($C39,生データ表['#],0),MATCH(BG$5,生データ表[#Headers],0))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59.535552815499997</v>
      </c>
      <c r="BH39" s="4">
        <f>IFERROR(ROUND(
(INDEX(生データ表[],MATCH($C39,生データ表['#],0),MATCH(BH$5,生データ表[#Headers],0))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18.885448916400001</v>
      </c>
      <c r="BI39" s="4">
        <f>IFERROR(ROUND(
(INDEX(生データ表[],MATCH($C39,生データ表['#],0),MATCH(BI$5,生データ表[#Headers],0))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13.875873979</v>
      </c>
      <c r="BJ39" s="4">
        <f>IFERROR(ROUND(
(INDEX(生データ表[],MATCH($C39,生データ表['#],0),MATCH(BJ$5,生データ表[#Headers],0))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89.135296263699999</v>
      </c>
      <c r="BK39" s="4">
        <f>IFERROR(ROUND(
(INDEX(生データ表[],MATCH($C39,生データ表['#],0),MATCH(BK$5,生データ表[#Headers],0))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57.110609480800001</v>
      </c>
      <c r="BL39" s="4">
        <f>IFERROR(ROUND(
(INDEX(生データ表[],MATCH($C39,生データ表['#],0),MATCH(BL$5,生データ表[#Headers],0))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90.522986411000005</v>
      </c>
      <c r="BM39" s="4">
        <f>IFERROR(ROUND(
(INDEX(生データ表[],MATCH($C39,生データ表['#],0),MATCH(BM$5,生データ表[#Headers],0))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15.0943396226</v>
      </c>
      <c r="BN39" s="4">
        <f>IFERROR(ROUND(
(INDEX(生データ表[],MATCH($C39,生データ表['#],0),MATCH(BN$5,生データ表[#Headers],0))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57.377837368900003</v>
      </c>
      <c r="BO39" s="4">
        <f>IFERROR(ROUND(
(INDEX(生データ表[],MATCH($C39,生データ表['#],0),MATCH(BO$5,生データ表[#Headers],0))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13.310779907600001</v>
      </c>
      <c r="BP39" s="4">
        <f>IFERROR(ROUND(
(INDEX(生データ表[],MATCH($C39,生データ表['#],0),MATCH(BP$5,生データ表[#Headers],0))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12.5</v>
      </c>
      <c r="BQ39" s="4">
        <f>IFERROR(ROUND(
(INDEX(生データ表[],MATCH($C39,生データ表['#],0),MATCH(BQ$5,生データ表[#Headers],0))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6.9009138694000001</v>
      </c>
      <c r="BR39" s="4">
        <f>IFERROR(ROUND(
(INDEX(生データ表[],MATCH($C39,生データ表['#],0),MATCH(BR$5,生データ表[#Headers],0))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31.637584397800001</v>
      </c>
      <c r="BS39" s="4">
        <f>IFERROR(ROUND(
(INDEX(生データ表[],MATCH($C39,生データ表['#],0),MATCH(BS$5,生データ表[#Headers],0))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27.192419745999999</v>
      </c>
      <c r="BT39" s="4">
        <f>IFERROR(ROUND(
(INDEX(生データ表[],MATCH($C39,生データ表['#],0),MATCH(BT$5,生データ表[#Headers],0))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15.405840423100001</v>
      </c>
      <c r="BU39" s="4">
        <f>IFERROR(ROUND(
(INDEX(生データ表[],MATCH($C39,生データ表['#],0),MATCH(BU$5,生データ表[#Headers],0))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22.2356552904</v>
      </c>
      <c r="BV39" s="4">
        <f>IFERROR(ROUND(
(INDEX(生データ表[],MATCH($C39,生データ表['#],0),MATCH(BV$5,生データ表[#Headers],0))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71.428571428599994</v>
      </c>
      <c r="BW39" s="4">
        <f>IFERROR(ROUND(
(INDEX(生データ表[],MATCH($C39,生データ表['#],0),MATCH(BW$5,生データ表[#Headers],0))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2.4734982332</v>
      </c>
      <c r="BX39" s="4">
        <f>IFERROR(ROUND(
(INDEX(生データ表[],MATCH($C39,生データ表['#],0),MATCH(BX$5,生データ表[#Headers],0))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20.9225257501</v>
      </c>
      <c r="BY39" s="4">
        <f>IFERROR(ROUND(
(INDEX(生データ表[],MATCH($C39,生データ表['#],0),MATCH(BY$5,生データ表[#Headers],0))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58.098900837499997</v>
      </c>
      <c r="BZ39" s="4">
        <f t="shared" si="13"/>
        <v>12.81407436315</v>
      </c>
      <c r="CA39" s="4">
        <f t="shared" si="13"/>
        <v>37.534903100549997</v>
      </c>
      <c r="CB39" s="4">
        <f t="shared" si="13"/>
        <v>0.97003473284999997</v>
      </c>
      <c r="CC39" s="4">
        <f t="shared" si="13"/>
        <v>23.309925470099998</v>
      </c>
      <c r="CD39" s="4">
        <f t="shared" si="13"/>
        <v>15.474459216666666</v>
      </c>
      <c r="CE39" s="4">
        <f t="shared" si="13"/>
        <v>40.332992556150003</v>
      </c>
      <c r="CF39" s="4">
        <f t="shared" si="13"/>
        <v>1.0425473789499999</v>
      </c>
      <c r="CG39" s="4">
        <f t="shared" si="13"/>
        <v>10.891569696033335</v>
      </c>
      <c r="CH39" s="4">
        <f t="shared" si="13"/>
        <v>2.053582132666667</v>
      </c>
      <c r="CI39" s="4">
        <f t="shared" si="13"/>
        <v>5.3989564574999998</v>
      </c>
      <c r="CJ39" s="4">
        <f t="shared" si="14"/>
        <v>63.828664131866674</v>
      </c>
      <c r="CK39" s="4">
        <f t="shared" si="14"/>
        <v>37.437761829100005</v>
      </c>
      <c r="CL39" s="4">
        <f t="shared" si="14"/>
        <v>38.213135198374999</v>
      </c>
      <c r="CM39" s="4">
        <f t="shared" si="14"/>
        <v>11.27412010345</v>
      </c>
      <c r="CN39" s="4">
        <f t="shared" si="14"/>
        <v>51.516789315166669</v>
      </c>
      <c r="CO39" s="4">
        <f t="shared" si="14"/>
        <v>86.460316544999998</v>
      </c>
      <c r="CP39" s="4">
        <f t="shared" si="14"/>
        <v>72.477051506400002</v>
      </c>
      <c r="CQ39" s="4">
        <f t="shared" si="14"/>
        <v>58.457306073999995</v>
      </c>
      <c r="CR39" s="4">
        <f t="shared" si="14"/>
        <v>27.534191724175002</v>
      </c>
      <c r="CS39" s="4">
        <f t="shared" si="14"/>
        <v>30.765625236966667</v>
      </c>
      <c r="CT39" s="4">
        <f t="shared" si="15"/>
        <v>78.922964051833333</v>
      </c>
      <c r="CU39" s="4">
        <f t="shared" si="15"/>
        <v>28.594318966366671</v>
      </c>
      <c r="CV39" s="4">
        <f t="shared" si="15"/>
        <v>9.7004569347</v>
      </c>
      <c r="CW39" s="4">
        <f t="shared" si="15"/>
        <v>29.415002071899998</v>
      </c>
      <c r="CX39" s="4">
        <f t="shared" si="15"/>
        <v>36.356689047366665</v>
      </c>
      <c r="CY39" s="4">
        <f t="shared" si="15"/>
        <v>27.164974940266664</v>
      </c>
      <c r="CZ39" s="4">
        <f t="shared" si="16"/>
        <v>130.43638943946667</v>
      </c>
      <c r="DA39" s="4">
        <f t="shared" si="16"/>
        <v>13.987699207650001</v>
      </c>
      <c r="DB39" s="4">
        <f t="shared" si="16"/>
        <v>156.15263772029169</v>
      </c>
      <c r="DC39" s="4">
        <f t="shared" si="16"/>
        <v>296.44565516474165</v>
      </c>
      <c r="DD39" s="4">
        <f t="shared" si="16"/>
        <v>138.28290825516666</v>
      </c>
      <c r="DE39" s="4">
        <f t="shared" si="16"/>
        <v>102.63712299423332</v>
      </c>
      <c r="DF39" s="76">
        <f t="shared" si="4"/>
        <v>837.94241278155005</v>
      </c>
    </row>
    <row r="40" spans="1:110" hidden="1">
      <c r="A40" s="2">
        <v>35</v>
      </c>
      <c r="B40" s="58">
        <f>INDEX(順位表[Comprehensive],MATCH($C40,順位表['#],0))</f>
        <v>25</v>
      </c>
      <c r="C40" s="3">
        <v>35</v>
      </c>
      <c r="D40" s="1" t="str">
        <f>INDEX(都市マスタ[City Name],MATCH($C40,都市マスタ['#],0))</f>
        <v>Chicago</v>
      </c>
      <c r="E40" s="4">
        <f>IFERROR(ROUND(
(INDEX(生データ表[],MATCH($C40,生データ表['#],0),MATCH(E$5,生データ表[#Headers],0))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10.0924254651</v>
      </c>
      <c r="F40" s="4">
        <f>IFERROR(ROUND(
(INDEX(生データ表[],MATCH($C40,生データ表['#],0),MATCH(F$5,生データ表[#Headers],0))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3.5016409229000001</v>
      </c>
      <c r="G40" s="4">
        <f>IFERROR(ROUND(
(INDEX(生データ表[],MATCH($C40,生データ表['#],0),MATCH(G$5,生データ表[#Headers],0))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1.2728978000000001E-3</v>
      </c>
      <c r="H40" s="4">
        <f>IFERROR(ROUND(
(INDEX(生データ表[],MATCH($C40,生データ表['#],0),MATCH(H$5,生データ表[#Headers],0))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23.1203243677</v>
      </c>
      <c r="I40" s="4">
        <f>IFERROR(ROUND(
(INDEX(生データ表[],MATCH($C40,生データ表['#],0),MATCH(I$5,生データ表[#Headers],0))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36.221506179499997</v>
      </c>
      <c r="J40" s="4">
        <f>IFERROR(ROUND(
(INDEX(生データ表[],MATCH($C40,生データ表['#],0),MATCH(J$5,生データ表[#Headers],0))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26.092812843299999</v>
      </c>
      <c r="K40" s="4">
        <f>IFERROR(ROUND(
(INDEX(生データ表[],MATCH($C40,生データ表['#],0),MATCH(K$5,生データ表[#Headers],0))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62.637362637400003</v>
      </c>
      <c r="L40" s="4">
        <f>IFERROR(ROUND(
(INDEX(生データ表[],MATCH($C40,生データ表['#],0),MATCH(L$5,生データ表[#Headers],0))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40" s="4">
        <f>IFERROR(ROUND(
(INDEX(生データ表[],MATCH($C40,生データ表['#],0),MATCH(M$5,生データ表[#Headers],0))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3.3853878371000001</v>
      </c>
      <c r="N40" s="4">
        <f>IFERROR(ROUND(
(INDEX(生データ表[],MATCH($C40,生データ表['#],0),MATCH(N$5,生データ表[#Headers],0))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11.926592208400001</v>
      </c>
      <c r="O40" s="4">
        <f>IFERROR(ROUND(
(INDEX(生データ表[],MATCH($C40,生データ表['#],0),MATCH(O$5,生データ表[#Headers],0))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51.804014140500001</v>
      </c>
      <c r="P40" s="4">
        <f>IFERROR(ROUND(
(INDEX(生データ表[],MATCH($C40,生データ表['#],0),MATCH(P$5,生データ表[#Headers],0))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92.0326071243</v>
      </c>
      <c r="Q40" s="4">
        <f>IFERROR(ROUND(
(INDEX(生データ表[],MATCH($C40,生データ表['#],0),MATCH(Q$5,生データ表[#Headers],0))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85.441462798499998</v>
      </c>
      <c r="R40" s="4">
        <f>IFERROR(ROUND(
(INDEX(生データ表[],MATCH($C40,生データ表['#],0),MATCH(R$5,生データ表[#Headers],0))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36.479360275399998</v>
      </c>
      <c r="S40" s="4">
        <f>IFERROR(ROUND(
(INDEX(生データ表[],MATCH($C40,生データ表['#],0),MATCH(S$5,生データ表[#Headers],0))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24.9807692308</v>
      </c>
      <c r="T40" s="4">
        <f>IFERROR(ROUND(
(INDEX(生データ表[],MATCH($C40,生データ表['#],0),MATCH(T$5,生データ表[#Headers],0))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95.755043161299994</v>
      </c>
      <c r="U40" s="4">
        <f>IFERROR(ROUND(
(INDEX(生データ表[],MATCH($C40,生データ表['#],0),MATCH(U$5,生データ表[#Headers],0))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46.556982769699999</v>
      </c>
      <c r="V40" s="4">
        <f>IFERROR(ROUND(
(INDEX(生データ表[],MATCH($C40,生データ表['#],0),MATCH(V$5,生データ表[#Headers],0))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46.153846153800004</v>
      </c>
      <c r="W40" s="4">
        <f>IFERROR(ROUND(
(INDEX(生データ表[],MATCH($C40,生データ表['#],0),MATCH(W$5,生データ表[#Headers],0))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48.464921535999999</v>
      </c>
      <c r="X40" s="4">
        <f>IFERROR(ROUND(
(INDEX(生データ表[],MATCH($C40,生データ表['#],0),MATCH(X$5,生データ表[#Headers],0))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12.3209658087</v>
      </c>
      <c r="Y40" s="4">
        <f>IFERROR(ROUND(
(INDEX(生データ表[],MATCH($C40,生データ表['#],0),MATCH(Y$5,生データ表[#Headers],0))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65.201328007200004</v>
      </c>
      <c r="Z40" s="4">
        <f>IFERROR(ROUND(
(INDEX(生データ表[],MATCH($C40,生データ表['#],0),MATCH(Z$5,生データ表[#Headers],0))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32.359749846699998</v>
      </c>
      <c r="AA40" s="4">
        <f>IFERROR(ROUND(
(INDEX(生データ表[],MATCH($C40,生データ表['#],0),MATCH(AA$5,生データ表[#Headers],0))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27.361563517899999</v>
      </c>
      <c r="AB40" s="4">
        <f>IFERROR(ROUND(
(INDEX(生データ表[],MATCH($C40,生データ表['#],0),MATCH(AB$5,生データ表[#Headers],0))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14.343971631200001</v>
      </c>
      <c r="AC40" s="4">
        <f>IFERROR(ROUND(
(INDEX(生データ表[],MATCH($C40,生データ表['#],0),MATCH(AC$5,生データ表[#Headers],0))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7.2555205046999998</v>
      </c>
      <c r="AD40" s="4">
        <f>IFERROR(ROUND(
(INDEX(生データ表[],MATCH($C40,生データ表['#],0),MATCH(AD$5,生データ表[#Headers],0))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18.181818181800001</v>
      </c>
      <c r="AE40" s="4">
        <f>IFERROR(ROUND(
(INDEX(生データ表[],MATCH($C40,生データ表['#],0),MATCH(AE$5,生データ表[#Headers],0))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22.3289648734</v>
      </c>
      <c r="AF40" s="4">
        <f>IFERROR(ROUND(
(INDEX(生データ表[],MATCH($C40,生データ表['#],0),MATCH(AF$5,生データ表[#Headers],0))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7.6892672219999998</v>
      </c>
      <c r="AG40" s="4">
        <f>IFERROR(ROUND(
(INDEX(生データ表[],MATCH($C40,生データ表['#],0),MATCH(AG$5,生データ表[#Headers],0))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42.199089587700001</v>
      </c>
      <c r="AH40" s="4">
        <f>IFERROR(ROUND(
(INDEX(生データ表[],MATCH($C40,生データ表['#],0),MATCH(AH$5,生データ表[#Headers],0))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2.5</v>
      </c>
      <c r="AI40" s="4">
        <f>IFERROR(ROUND(
(INDEX(生データ表[],MATCH($C40,生データ表['#],0),MATCH(AI$5,生データ表[#Headers],0))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53.375339436799997</v>
      </c>
      <c r="AJ40" s="4">
        <f>IFERROR(ROUND(
(INDEX(生データ表[],MATCH($C40,生データ表['#],0),MATCH(AJ$5,生データ表[#Headers],0))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30.912863070499998</v>
      </c>
      <c r="AK40" s="4">
        <f>IFERROR(ROUND(
(INDEX(生データ表[],MATCH($C40,生データ表['#],0),MATCH(AK$5,生データ表[#Headers],0))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24.657534246600001</v>
      </c>
      <c r="AL40" s="4">
        <f>IFERROR(ROUND(
(INDEX(生データ表[],MATCH($C40,生データ表['#],0),MATCH(AL$5,生データ表[#Headers],0))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15.789473684200001</v>
      </c>
      <c r="AM40" s="4">
        <f>IFERROR(ROUND(
(INDEX(生データ表[],MATCH($C40,生データ表['#],0),MATCH(AM$5,生データ表[#Headers],0))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23.992042440300001</v>
      </c>
      <c r="AN40" s="4">
        <f>IFERROR(ROUND(
(INDEX(生データ表[],MATCH($C40,生データ表['#],0),MATCH(AN$5,生データ表[#Headers],0))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5.8623645380999996</v>
      </c>
      <c r="AO40" s="4">
        <f>IFERROR(ROUND(
(INDEX(生データ表[],MATCH($C40,生データ表['#],0),MATCH(AO$5,生データ表[#Headers],0))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45.977655024500002</v>
      </c>
      <c r="AP40" s="4">
        <f>IFERROR(ROUND(
(INDEX(生データ表[],MATCH($C40,生データ表['#],0),MATCH(AP$5,生データ表[#Headers],0))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46.412728560799998</v>
      </c>
      <c r="AQ40" s="4">
        <f>IFERROR(ROUND(
(INDEX(生データ表[],MATCH($C40,生データ表['#],0),MATCH(AQ$5,生データ表[#Headers],0))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8.3188251168999994</v>
      </c>
      <c r="AR40" s="4">
        <f>IFERROR(ROUND(
(INDEX(生データ表[],MATCH($C40,生データ表['#],0),MATCH(AR$5,生データ表[#Headers],0))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3.9539156556999999</v>
      </c>
      <c r="AS40" s="4">
        <f>IFERROR(ROUND(
(INDEX(生データ表[],MATCH($C40,生データ表['#],0),MATCH(AS$5,生データ表[#Headers],0))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85.951389263199999</v>
      </c>
      <c r="AT40" s="4">
        <f>IFERROR(ROUND(
(INDEX(生データ表[],MATCH($C40,生データ表['#],0),MATCH(AT$5,生データ表[#Headers],0))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54.4297030408</v>
      </c>
      <c r="AU40" s="4">
        <f>IFERROR(ROUND(
(INDEX(生データ表[],MATCH($C40,生データ表['#],0),MATCH(AU$5,生データ表[#Headers],0))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83.333333333300004</v>
      </c>
      <c r="AV40" s="4">
        <f>IFERROR(ROUND(
(INDEX(生データ表[],MATCH($C40,生データ表['#],0),MATCH(AV$5,生データ表[#Headers],0))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46.905106042</v>
      </c>
      <c r="AW40" s="4">
        <f>IFERROR(ROUND(
(INDEX(生データ表[],MATCH($C40,生データ表['#],0),MATCH(AW$5,生データ表[#Headers],0))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47.193962370500003</v>
      </c>
      <c r="AX40" s="4">
        <f>IFERROR(ROUND(
(INDEX(生データ表[],MATCH($C40,生データ表['#],0),MATCH(AX$5,生データ表[#Headers],0))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27.461253867700002</v>
      </c>
      <c r="AY40" s="4">
        <f>IFERROR(ROUND(
(INDEX(生データ表[],MATCH($C40,生データ表['#],0),MATCH(AY$5,生データ表[#Headers],0))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97.639123102900001</v>
      </c>
      <c r="AZ40" s="4">
        <f>IFERROR(ROUND(
(INDEX(生データ表[],MATCH($C40,生データ表['#],0),MATCH(AZ$5,生データ表[#Headers],0))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65.370213793900007</v>
      </c>
      <c r="BA40" s="4">
        <f>IFERROR(ROUND(
(INDEX(生データ表[],MATCH($C40,生データ表['#],0),MATCH(BA$5,生データ表[#Headers],0))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66.659608137500001</v>
      </c>
      <c r="BB40" s="4">
        <f>IFERROR(ROUND(
(INDEX(生データ表[],MATCH($C40,生データ表['#],0),MATCH(BB$5,生データ表[#Headers],0))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26.423458706000002</v>
      </c>
      <c r="BC40" s="4">
        <f>IFERROR(ROUND(
(INDEX(生データ表[],MATCH($C40,生データ表['#],0),MATCH(BC$5,生データ表[#Headers],0))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34.828282743899997</v>
      </c>
      <c r="BD40" s="4">
        <f>IFERROR(ROUND(
(INDEX(生データ表[],MATCH($C40,生データ表['#],0),MATCH(BD$5,生データ表[#Headers],0))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100</v>
      </c>
      <c r="BE40" s="4">
        <f>IFERROR(ROUND(
(INDEX(生データ表[],MATCH($C40,生データ表['#],0),MATCH(BE$5,生データ表[#Headers],0))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27.4301675265</v>
      </c>
      <c r="BF40" s="4">
        <f>IFERROR(ROUND(
(INDEX(生データ表[],MATCH($C40,生データ表['#],0),MATCH(BF$5,生データ表[#Headers],0))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34.8445136546</v>
      </c>
      <c r="BG40" s="4">
        <f>IFERROR(ROUND(
(INDEX(生データ表[],MATCH($C40,生データ表['#],0),MATCH(BG$5,生データ表[#Headers],0))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48.468342893900001</v>
      </c>
      <c r="BH40" s="4">
        <f>IFERROR(ROUND(
(INDEX(生データ表[],MATCH($C40,生データ表['#],0),MATCH(BH$5,生データ表[#Headers],0))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16.187527642599999</v>
      </c>
      <c r="BI40" s="4">
        <f>IFERROR(ROUND(
(INDEX(生データ表[],MATCH($C40,生データ表['#],0),MATCH(BI$5,生データ表[#Headers],0))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37.807407670099998</v>
      </c>
      <c r="BJ40" s="4">
        <f>IFERROR(ROUND(
(INDEX(生データ表[],MATCH($C40,生データ表['#],0),MATCH(BJ$5,生データ表[#Headers],0))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65.432781516299997</v>
      </c>
      <c r="BK40" s="4">
        <f>IFERROR(ROUND(
(INDEX(生データ表[],MATCH($C40,生データ表['#],0),MATCH(BK$5,生データ表[#Headers],0))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80.361173814899999</v>
      </c>
      <c r="BL40" s="4">
        <f>IFERROR(ROUND(
(INDEX(生データ表[],MATCH($C40,生データ表['#],0),MATCH(BL$5,生データ表[#Headers],0))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48.270961602699998</v>
      </c>
      <c r="BM40" s="4">
        <f>IFERROR(ROUND(
(INDEX(生データ表[],MATCH($C40,生データ表['#],0),MATCH(BM$5,生データ表[#Headers],0))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35.123367198799997</v>
      </c>
      <c r="BN40" s="4">
        <f>IFERROR(ROUND(
(INDEX(生データ表[],MATCH($C40,生データ表['#],0),MATCH(BN$5,生データ表[#Headers],0))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56.666839241799998</v>
      </c>
      <c r="BO40" s="4">
        <f>IFERROR(ROUND(
(INDEX(生データ表[],MATCH($C40,生データ表['#],0),MATCH(BO$5,生データ表[#Headers],0))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38.636740737899999</v>
      </c>
      <c r="BP40" s="4">
        <f>IFERROR(ROUND(
(INDEX(生データ表[],MATCH($C40,生データ表['#],0),MATCH(BP$5,生データ表[#Headers],0))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16.576086956499999</v>
      </c>
      <c r="BQ40" s="4">
        <f>IFERROR(ROUND(
(INDEX(生データ表[],MATCH($C40,生データ表['#],0),MATCH(BQ$5,生データ表[#Headers],0))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23.8727514411</v>
      </c>
      <c r="BR40" s="4">
        <f>IFERROR(ROUND(
(INDEX(生データ表[],MATCH($C40,生データ表['#],0),MATCH(BR$5,生データ表[#Headers],0))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48.841661311199999</v>
      </c>
      <c r="BS40" s="4">
        <f>IFERROR(ROUND(
(INDEX(生データ表[],MATCH($C40,生データ表['#],0),MATCH(BS$5,生データ表[#Headers],0))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55.099404631200002</v>
      </c>
      <c r="BT40" s="4">
        <f>IFERROR(ROUND(
(INDEX(生データ表[],MATCH($C40,生データ表['#],0),MATCH(BT$5,生データ表[#Headers],0))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10.3472062543</v>
      </c>
      <c r="BU40" s="4">
        <f>IFERROR(ROUND(
(INDEX(生データ表[],MATCH($C40,生データ表['#],0),MATCH(BU$5,生データ表[#Headers],0))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30.101549418000001</v>
      </c>
      <c r="BV40" s="4">
        <f>IFERROR(ROUND(
(INDEX(生データ表[],MATCH($C40,生データ表['#],0),MATCH(BV$5,生データ表[#Headers],0))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76.190476190499993</v>
      </c>
      <c r="BW40" s="4">
        <f>IFERROR(ROUND(
(INDEX(生データ表[],MATCH($C40,生データ表['#],0),MATCH(BW$5,生データ表[#Headers],0))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48.995141342799997</v>
      </c>
      <c r="BX40" s="4">
        <f>IFERROR(ROUND(
(INDEX(生データ表[],MATCH($C40,生データ表['#],0),MATCH(BX$5,生データ表[#Headers],0))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51.277139208199998</v>
      </c>
      <c r="BY40" s="4">
        <f>IFERROR(ROUND(
(INDEX(生データ表[],MATCH($C40,生データ表['#],0),MATCH(BY$5,生データ表[#Headers],0))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35.243768470299997</v>
      </c>
      <c r="BZ40" s="4">
        <f t="shared" si="13"/>
        <v>29.670915273599999</v>
      </c>
      <c r="CA40" s="4">
        <f t="shared" si="13"/>
        <v>44.365087740349999</v>
      </c>
      <c r="CB40" s="4">
        <f t="shared" si="13"/>
        <v>1.6926939185500001</v>
      </c>
      <c r="CC40" s="4">
        <f t="shared" si="13"/>
        <v>31.865303174450002</v>
      </c>
      <c r="CD40" s="4">
        <f t="shared" si="13"/>
        <v>71.31781006606667</v>
      </c>
      <c r="CE40" s="4">
        <f t="shared" si="13"/>
        <v>60.367906196050001</v>
      </c>
      <c r="CF40" s="4">
        <f t="shared" si="13"/>
        <v>46.355414461750001</v>
      </c>
      <c r="CG40" s="4">
        <f t="shared" si="13"/>
        <v>41.995738450633333</v>
      </c>
      <c r="CH40" s="4">
        <f t="shared" si="13"/>
        <v>24.688428331933334</v>
      </c>
      <c r="CI40" s="4">
        <f t="shared" si="13"/>
        <v>13.863892695474998</v>
      </c>
      <c r="CJ40" s="4">
        <f t="shared" si="14"/>
        <v>32.6914763415</v>
      </c>
      <c r="CK40" s="4">
        <f t="shared" si="14"/>
        <v>23.786623667100002</v>
      </c>
      <c r="CL40" s="4">
        <f t="shared" si="14"/>
        <v>30.561197640925002</v>
      </c>
      <c r="CM40" s="4">
        <f t="shared" si="14"/>
        <v>6.1363703862999994</v>
      </c>
      <c r="CN40" s="4">
        <f t="shared" si="14"/>
        <v>74.571475212433327</v>
      </c>
      <c r="CO40" s="4">
        <f t="shared" si="14"/>
        <v>47.049534206250001</v>
      </c>
      <c r="CP40" s="4">
        <f t="shared" si="14"/>
        <v>62.550188485299998</v>
      </c>
      <c r="CQ40" s="4">
        <f t="shared" si="14"/>
        <v>52.817760212466673</v>
      </c>
      <c r="CR40" s="4">
        <f t="shared" si="14"/>
        <v>49.275740981249996</v>
      </c>
      <c r="CS40" s="4">
        <f t="shared" si="14"/>
        <v>34.154426068866663</v>
      </c>
      <c r="CT40" s="4">
        <f t="shared" si="15"/>
        <v>64.688305644633331</v>
      </c>
      <c r="CU40" s="4">
        <f t="shared" si="15"/>
        <v>43.4756490595</v>
      </c>
      <c r="CV40" s="4">
        <f t="shared" si="15"/>
        <v>20.2244191988</v>
      </c>
      <c r="CW40" s="4">
        <f t="shared" si="15"/>
        <v>51.970532971200001</v>
      </c>
      <c r="CX40" s="4">
        <f t="shared" si="15"/>
        <v>38.879743954266665</v>
      </c>
      <c r="CY40" s="4">
        <f t="shared" si="15"/>
        <v>45.172016340433323</v>
      </c>
      <c r="CZ40" s="4">
        <f t="shared" si="16"/>
        <v>239.27971636906668</v>
      </c>
      <c r="DA40" s="4">
        <f t="shared" si="16"/>
        <v>113.03958124431666</v>
      </c>
      <c r="DB40" s="4">
        <f t="shared" si="16"/>
        <v>107.0395607313</v>
      </c>
      <c r="DC40" s="4">
        <f t="shared" si="16"/>
        <v>286.26469909770003</v>
      </c>
      <c r="DD40" s="4">
        <f t="shared" si="16"/>
        <v>142.318380773</v>
      </c>
      <c r="DE40" s="4">
        <f t="shared" si="16"/>
        <v>156.24671246469998</v>
      </c>
      <c r="DF40" s="76">
        <f t="shared" si="4"/>
        <v>1044.1886506800834</v>
      </c>
    </row>
    <row r="41" spans="1:110" hidden="1">
      <c r="A41" s="2">
        <v>36</v>
      </c>
      <c r="B41" s="58">
        <f>INDEX(順位表[Comprehensive],MATCH($C41,順位表['#],0))</f>
        <v>23</v>
      </c>
      <c r="C41" s="3">
        <v>36</v>
      </c>
      <c r="D41" s="1" t="str">
        <f>INDEX(都市マスタ[City Name],MATCH($C41,都市マスタ['#],0))</f>
        <v>Toronto</v>
      </c>
      <c r="E41" s="4">
        <f>IFERROR(ROUND(
(INDEX(生データ表[],MATCH($C41,生データ表['#],0),MATCH(E$5,生データ表[#Headers],0))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11.425347503799999</v>
      </c>
      <c r="F41" s="4">
        <f>IFERROR(ROUND(
(INDEX(生データ表[],MATCH($C41,生データ表['#],0),MATCH(F$5,生データ表[#Headers],0))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3.7467959802999999</v>
      </c>
      <c r="G41" s="4">
        <f>IFERROR(ROUND(
(INDEX(生データ表[],MATCH($C41,生データ表['#],0),MATCH(G$5,生データ表[#Headers],0))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3.3001055E-3</v>
      </c>
      <c r="H41" s="4">
        <f>IFERROR(ROUND(
(INDEX(生データ表[],MATCH($C41,生データ表['#],0),MATCH(H$5,生データ表[#Headers],0))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14.0702306627</v>
      </c>
      <c r="I41" s="4">
        <f>IFERROR(ROUND(
(INDEX(生データ表[],MATCH($C41,生データ表['#],0),MATCH(I$5,生データ表[#Headers],0))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22.3547221683</v>
      </c>
      <c r="J41" s="4">
        <f>IFERROR(ROUND(
(INDEX(生データ表[],MATCH($C41,生データ表['#],0),MATCH(J$5,生データ表[#Headers],0))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48.071772986699997</v>
      </c>
      <c r="K41" s="4">
        <f>IFERROR(ROUND(
(INDEX(生データ表[],MATCH($C41,生データ表['#],0),MATCH(K$5,生データ表[#Headers],0))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71.194762684099999</v>
      </c>
      <c r="L41" s="4">
        <f>IFERROR(ROUND(
(INDEX(生データ表[],MATCH($C41,生データ表['#],0),MATCH(L$5,生データ表[#Headers],0))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6.8110602025000002</v>
      </c>
      <c r="M41" s="4">
        <f>IFERROR(ROUND(
(INDEX(生データ表[],MATCH($C41,生データ表['#],0),MATCH(M$5,生データ表[#Headers],0))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5.8669278814999997</v>
      </c>
      <c r="N41" s="4">
        <f>IFERROR(ROUND(
(INDEX(生データ表[],MATCH($C41,生データ表['#],0),MATCH(N$5,生データ表[#Headers],0))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10.6052795229</v>
      </c>
      <c r="O41" s="4">
        <f>IFERROR(ROUND(
(INDEX(生データ表[],MATCH($C41,生データ表['#],0),MATCH(O$5,生データ表[#Headers],0))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74.2193608101</v>
      </c>
      <c r="P41" s="4">
        <f>IFERROR(ROUND(
(INDEX(生データ表[],MATCH($C41,生データ表['#],0),MATCH(P$5,生データ表[#Headers],0))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50.009523803500002</v>
      </c>
      <c r="Q41" s="4">
        <f>IFERROR(ROUND(
(INDEX(生データ表[],MATCH($C41,生データ表['#],0),MATCH(Q$5,生データ表[#Headers],0))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89.574730138299998</v>
      </c>
      <c r="R41" s="4">
        <f>IFERROR(ROUND(
(INDEX(生データ表[],MATCH($C41,生データ表['#],0),MATCH(R$5,生データ表[#Headers],0))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48.256708930999999</v>
      </c>
      <c r="S41" s="4">
        <f>IFERROR(ROUND(
(INDEX(生データ表[],MATCH($C41,生データ表['#],0),MATCH(S$5,生データ表[#Headers],0))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32.692307692299998</v>
      </c>
      <c r="T41" s="4">
        <f>IFERROR(ROUND(
(INDEX(生データ表[],MATCH($C41,生データ表['#],0),MATCH(T$5,生データ表[#Headers],0))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87.354958586699993</v>
      </c>
      <c r="U41" s="4">
        <f>IFERROR(ROUND(
(INDEX(生データ表[],MATCH($C41,生データ表['#],0),MATCH(U$5,生データ表[#Headers],0))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11.9733253321</v>
      </c>
      <c r="V41" s="4">
        <f>IFERROR(ROUND(
(INDEX(生データ表[],MATCH($C41,生データ表['#],0),MATCH(V$5,生データ表[#Headers],0))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23.329129886499999</v>
      </c>
      <c r="W41" s="4">
        <f>IFERROR(ROUND(
(INDEX(生データ表[],MATCH($C41,生データ表['#],0),MATCH(W$5,生データ表[#Headers],0))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4.8840752317999998</v>
      </c>
      <c r="X41" s="4">
        <f>IFERROR(ROUND(
(INDEX(生データ表[],MATCH($C41,生データ表['#],0),MATCH(X$5,生データ表[#Headers],0))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24.944416841399999</v>
      </c>
      <c r="Y41" s="4">
        <f>IFERROR(ROUND(
(INDEX(生データ表[],MATCH($C41,生データ表['#],0),MATCH(Y$5,生データ表[#Headers],0))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74.212936292199998</v>
      </c>
      <c r="Z41" s="4">
        <f>IFERROR(ROUND(
(INDEX(生データ表[],MATCH($C41,生データ表['#],0),MATCH(Z$5,生データ表[#Headers],0))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6.6146252571000002</v>
      </c>
      <c r="AA41" s="4">
        <f>IFERROR(ROUND(
(INDEX(生データ表[],MATCH($C41,生データ表['#],0),MATCH(AA$5,生データ表[#Headers],0))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41" s="4">
        <f>IFERROR(ROUND(
(INDEX(生データ表[],MATCH($C41,生データ表['#],0),MATCH(AB$5,生データ表[#Headers],0))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21.117021276599999</v>
      </c>
      <c r="AC41" s="4">
        <f>IFERROR(ROUND(
(INDEX(生データ表[],MATCH($C41,生データ表['#],0),MATCH(AC$5,生データ表[#Headers],0))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5.3627760251999996</v>
      </c>
      <c r="AD41" s="4">
        <f>IFERROR(ROUND(
(INDEX(生データ表[],MATCH($C41,生データ表['#],0),MATCH(AD$5,生データ表[#Headers],0))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45.4545454545</v>
      </c>
      <c r="AE41" s="4">
        <f>IFERROR(ROUND(
(INDEX(生データ表[],MATCH($C41,生データ表['#],0),MATCH(AE$5,生データ表[#Headers],0))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19.623799114899999</v>
      </c>
      <c r="AF41" s="4">
        <f>IFERROR(ROUND(
(INDEX(生データ表[],MATCH($C41,生データ表['#],0),MATCH(AF$5,生データ表[#Headers],0))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5.749891667</v>
      </c>
      <c r="AG41" s="4">
        <f>IFERROR(ROUND(
(INDEX(生データ表[],MATCH($C41,生データ表['#],0),MATCH(AG$5,生データ表[#Headers],0))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43.711247941700002</v>
      </c>
      <c r="AH41" s="4">
        <f>IFERROR(ROUND(
(INDEX(生データ表[],MATCH($C41,生データ表['#],0),MATCH(AH$5,生データ表[#Headers],0))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41" s="4">
        <f>IFERROR(ROUND(
(INDEX(生データ表[],MATCH($C41,生データ表['#],0),MATCH(AI$5,生データ表[#Headers],0))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40.778426660500003</v>
      </c>
      <c r="AJ41" s="4">
        <f>IFERROR(ROUND(
(INDEX(生データ表[],MATCH($C41,生データ表['#],0),MATCH(AJ$5,生データ表[#Headers],0))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21.784232365099999</v>
      </c>
      <c r="AK41" s="4">
        <f>IFERROR(ROUND(
(INDEX(生データ表[],MATCH($C41,生データ表['#],0),MATCH(AK$5,生データ表[#Headers],0))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23.972602739700001</v>
      </c>
      <c r="AL41" s="4">
        <f>IFERROR(ROUND(
(INDEX(生データ表[],MATCH($C41,生データ表['#],0),MATCH(AL$5,生データ表[#Headers],0))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15.789473684200001</v>
      </c>
      <c r="AM41" s="4">
        <f>IFERROR(ROUND(
(INDEX(生データ表[],MATCH($C41,生データ表['#],0),MATCH(AM$5,生データ表[#Headers],0))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7.4348926935000001</v>
      </c>
      <c r="AN41" s="4">
        <f>IFERROR(ROUND(
(INDEX(生データ表[],MATCH($C41,生データ表['#],0),MATCH(AN$5,生データ表[#Headers],0))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3.7715055408999998</v>
      </c>
      <c r="AO41" s="4">
        <f>IFERROR(ROUND(
(INDEX(生データ表[],MATCH($C41,生データ表['#],0),MATCH(AO$5,生データ表[#Headers],0))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35.138374020400001</v>
      </c>
      <c r="AP41" s="4">
        <f>IFERROR(ROUND(
(INDEX(生データ表[],MATCH($C41,生データ表['#],0),MATCH(AP$5,生データ表[#Headers],0))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40.960092973899997</v>
      </c>
      <c r="AQ41" s="4">
        <f>IFERROR(ROUND(
(INDEX(生データ表[],MATCH($C41,生データ表['#],0),MATCH(AQ$5,生データ表[#Headers],0))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14.423418103099999</v>
      </c>
      <c r="AR41" s="4">
        <f>IFERROR(ROUND(
(INDEX(生データ表[],MATCH($C41,生データ表['#],0),MATCH(AR$5,生データ表[#Headers],0))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10.3386450929</v>
      </c>
      <c r="AS41" s="4">
        <f>IFERROR(ROUND(
(INDEX(生データ表[],MATCH($C41,生データ表['#],0),MATCH(AS$5,生データ表[#Headers],0))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82.760292031800006</v>
      </c>
      <c r="AT41" s="4">
        <f>IFERROR(ROUND(
(INDEX(生データ表[],MATCH($C41,生データ表['#],0),MATCH(AT$5,生データ表[#Headers],0))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67.421678371799999</v>
      </c>
      <c r="AU41" s="4">
        <f>IFERROR(ROUND(
(INDEX(生データ表[],MATCH($C41,生データ表['#],0),MATCH(AU$5,生データ表[#Headers],0))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72.923443938399998</v>
      </c>
      <c r="AV41" s="4">
        <f>IFERROR(ROUND(
(INDEX(生データ表[],MATCH($C41,生データ表['#],0),MATCH(AV$5,生データ表[#Headers],0))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53.298905497600003</v>
      </c>
      <c r="AW41" s="4">
        <f>IFERROR(ROUND(
(INDEX(生データ表[],MATCH($C41,生データ表['#],0),MATCH(AW$5,生データ表[#Headers],0))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42.083356952800003</v>
      </c>
      <c r="AX41" s="4">
        <f>IFERROR(ROUND(
(INDEX(生データ表[],MATCH($C41,生データ表['#],0),MATCH(AX$5,生データ表[#Headers],0))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94.298925457999999</v>
      </c>
      <c r="AY41" s="4">
        <f>IFERROR(ROUND(
(INDEX(生データ表[],MATCH($C41,生データ表['#],0),MATCH(AY$5,生データ表[#Headers],0))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99.662731871800005</v>
      </c>
      <c r="AZ41" s="4">
        <f>IFERROR(ROUND(
(INDEX(生データ表[],MATCH($C41,生データ表['#],0),MATCH(AZ$5,生データ表[#Headers],0))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83.693682811900004</v>
      </c>
      <c r="BA41" s="4">
        <f>IFERROR(ROUND(
(INDEX(生データ表[],MATCH($C41,生データ表['#],0),MATCH(BA$5,生データ表[#Headers],0))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81.022974272100001</v>
      </c>
      <c r="BB41" s="4">
        <f>IFERROR(ROUND(
(INDEX(生データ表[],MATCH($C41,生データ表['#],0),MATCH(BB$5,生データ表[#Headers],0))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73.9903983321</v>
      </c>
      <c r="BC41" s="4">
        <f>IFERROR(ROUND(
(INDEX(生データ表[],MATCH($C41,生データ表['#],0),MATCH(BC$5,生データ表[#Headers],0))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28.2207685375</v>
      </c>
      <c r="BD41" s="4">
        <f>IFERROR(ROUND(
(INDEX(生データ表[],MATCH($C41,生データ表['#],0),MATCH(BD$5,生データ表[#Headers],0))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77.327954430000005</v>
      </c>
      <c r="BE41" s="4">
        <f>IFERROR(ROUND(
(INDEX(生データ表[],MATCH($C41,生データ表['#],0),MATCH(BE$5,生データ表[#Headers],0))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45.342190996100001</v>
      </c>
      <c r="BF41" s="4">
        <f>IFERROR(ROUND(
(INDEX(生データ表[],MATCH($C41,生データ表['#],0),MATCH(BF$5,生データ表[#Headers],0))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39.924163441600001</v>
      </c>
      <c r="BG41" s="4">
        <f>IFERROR(ROUND(
(INDEX(生データ表[],MATCH($C41,生データ表['#],0),MATCH(BG$5,生データ表[#Headers],0))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53.738183312799997</v>
      </c>
      <c r="BH41" s="4">
        <f>IFERROR(ROUND(
(INDEX(生データ表[],MATCH($C41,生データ表['#],0),MATCH(BH$5,生データ表[#Headers],0))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34.122069880600002</v>
      </c>
      <c r="BI41" s="4">
        <f>IFERROR(ROUND(
(INDEX(生データ表[],MATCH($C41,生データ表['#],0),MATCH(BI$5,生データ表[#Headers],0))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30.789618804100002</v>
      </c>
      <c r="BJ41" s="4">
        <f>IFERROR(ROUND(
(INDEX(生データ表[],MATCH($C41,生データ表['#],0),MATCH(BJ$5,生データ表[#Headers],0))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70.535654331200007</v>
      </c>
      <c r="BK41" s="4">
        <f>IFERROR(ROUND(
(INDEX(生データ表[],MATCH($C41,生データ表['#],0),MATCH(BK$5,生データ表[#Headers],0))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87.810383747200007</v>
      </c>
      <c r="BL41" s="4">
        <f>IFERROR(ROUND(
(INDEX(生データ表[],MATCH($C41,生データ表['#],0),MATCH(BL$5,生データ表[#Headers],0))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46.256767686000003</v>
      </c>
      <c r="BM41" s="4">
        <f>IFERROR(ROUND(
(INDEX(生データ表[],MATCH($C41,生データ表['#],0),MATCH(BM$5,生データ表[#Headers],0))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58.345428156700002</v>
      </c>
      <c r="BN41" s="4">
        <f>IFERROR(ROUND(
(INDEX(生データ表[],MATCH($C41,生データ表['#],0),MATCH(BN$5,生データ表[#Headers],0))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69.079210978000006</v>
      </c>
      <c r="BO41" s="4">
        <f>IFERROR(ROUND(
(INDEX(生データ表[],MATCH($C41,生データ表['#],0),MATCH(BO$5,生データ表[#Headers],0))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56.210690715600002</v>
      </c>
      <c r="BP41" s="4">
        <f>IFERROR(ROUND(
(INDEX(生データ表[],MATCH($C41,生データ表['#],0),MATCH(BP$5,生データ表[#Headers],0))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38.315217391300003</v>
      </c>
      <c r="BQ41" s="4">
        <f>IFERROR(ROUND(
(INDEX(生データ表[],MATCH($C41,生データ表['#],0),MATCH(BQ$5,生データ表[#Headers],0))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4.8166300514999998</v>
      </c>
      <c r="BR41" s="4">
        <f>IFERROR(ROUND(
(INDEX(生データ表[],MATCH($C41,生データ表['#],0),MATCH(BR$5,生データ表[#Headers],0))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23.354941849900001</v>
      </c>
      <c r="BS41" s="4">
        <f>IFERROR(ROUND(
(INDEX(生データ表[],MATCH($C41,生データ表['#],0),MATCH(BS$5,生データ表[#Headers],0))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24.7177402063</v>
      </c>
      <c r="BT41" s="4">
        <f>IFERROR(ROUND(
(INDEX(生データ表[],MATCH($C41,生データ表['#],0),MATCH(BT$5,生データ表[#Headers],0))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31.8464014716</v>
      </c>
      <c r="BU41" s="4">
        <f>IFERROR(ROUND(
(INDEX(生データ表[],MATCH($C41,生データ表['#],0),MATCH(BU$5,生データ表[#Headers],0))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36.9442317755</v>
      </c>
      <c r="BV41" s="4">
        <f>IFERROR(ROUND(
(INDEX(生データ表[],MATCH($C41,生データ表['#],0),MATCH(BV$5,生データ表[#Headers],0))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61.904761904799997</v>
      </c>
      <c r="BW41" s="4">
        <f>IFERROR(ROUND(
(INDEX(生データ表[],MATCH($C41,生データ表['#],0),MATCH(BW$5,生データ表[#Headers],0))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50.496908127200001</v>
      </c>
      <c r="BX41" s="4">
        <f>IFERROR(ROUND(
(INDEX(生データ表[],MATCH($C41,生データ表['#],0),MATCH(BX$5,生データ表[#Headers],0))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30.952745849300001</v>
      </c>
      <c r="BY41" s="4">
        <f>IFERROR(ROUND(
(INDEX(生データ表[],MATCH($C41,生データ表['#],0),MATCH(BY$5,生データ表[#Headers],0))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62.707913102100001</v>
      </c>
      <c r="BZ41" s="4">
        <f t="shared" si="13"/>
        <v>18.212476415499999</v>
      </c>
      <c r="CA41" s="4">
        <f t="shared" si="13"/>
        <v>59.633267835399998</v>
      </c>
      <c r="CB41" s="4">
        <f t="shared" si="13"/>
        <v>6.3389940419999995</v>
      </c>
      <c r="CC41" s="4">
        <f t="shared" si="13"/>
        <v>42.412320166500002</v>
      </c>
      <c r="CD41" s="4">
        <f t="shared" si="13"/>
        <v>62.613654290933333</v>
      </c>
      <c r="CE41" s="4">
        <f t="shared" si="13"/>
        <v>60.023633139499992</v>
      </c>
      <c r="CF41" s="4">
        <f t="shared" si="13"/>
        <v>17.651227609300001</v>
      </c>
      <c r="CG41" s="4">
        <f t="shared" si="13"/>
        <v>34.680476121799998</v>
      </c>
      <c r="CH41" s="4">
        <f t="shared" si="13"/>
        <v>9.2438821778999998</v>
      </c>
      <c r="CI41" s="4">
        <f t="shared" si="13"/>
        <v>19.047753065399998</v>
      </c>
      <c r="CJ41" s="4">
        <f t="shared" si="14"/>
        <v>28.163224867400004</v>
      </c>
      <c r="CK41" s="4">
        <f t="shared" si="14"/>
        <v>20.515436263000002</v>
      </c>
      <c r="CL41" s="4">
        <f t="shared" si="14"/>
        <v>21.826216307174999</v>
      </c>
      <c r="CM41" s="4">
        <f t="shared" si="14"/>
        <v>12.381031598</v>
      </c>
      <c r="CN41" s="4">
        <f t="shared" si="14"/>
        <v>74.368471447333334</v>
      </c>
      <c r="CO41" s="4">
        <f t="shared" si="14"/>
        <v>47.691131225200003</v>
      </c>
      <c r="CP41" s="4">
        <f t="shared" si="14"/>
        <v>96.980828664900002</v>
      </c>
      <c r="CQ41" s="4">
        <f t="shared" si="14"/>
        <v>79.569018472033335</v>
      </c>
      <c r="CR41" s="4">
        <f t="shared" si="14"/>
        <v>47.703769351299997</v>
      </c>
      <c r="CS41" s="4">
        <f t="shared" si="14"/>
        <v>39.5499573325</v>
      </c>
      <c r="CT41" s="4">
        <f t="shared" si="15"/>
        <v>68.200935254800001</v>
      </c>
      <c r="CU41" s="4">
        <f t="shared" si="15"/>
        <v>61.211776616766677</v>
      </c>
      <c r="CV41" s="4">
        <f t="shared" si="15"/>
        <v>21.565923721400001</v>
      </c>
      <c r="CW41" s="4">
        <f t="shared" si="15"/>
        <v>24.036341028100001</v>
      </c>
      <c r="CX41" s="4">
        <f t="shared" si="15"/>
        <v>43.565131717300005</v>
      </c>
      <c r="CY41" s="4">
        <f t="shared" si="15"/>
        <v>48.052522359533334</v>
      </c>
      <c r="CZ41" s="4">
        <f t="shared" si="16"/>
        <v>249.23434588983332</v>
      </c>
      <c r="DA41" s="4">
        <f t="shared" si="16"/>
        <v>61.575585908999997</v>
      </c>
      <c r="DB41" s="4">
        <f t="shared" si="16"/>
        <v>101.933662100975</v>
      </c>
      <c r="DC41" s="4">
        <f t="shared" si="16"/>
        <v>346.31321916076672</v>
      </c>
      <c r="DD41" s="4">
        <f t="shared" si="16"/>
        <v>168.96266920406669</v>
      </c>
      <c r="DE41" s="4">
        <f t="shared" si="16"/>
        <v>137.21991882633333</v>
      </c>
      <c r="DF41" s="76">
        <f t="shared" si="4"/>
        <v>1065.239401090975</v>
      </c>
    </row>
    <row r="42" spans="1:110" hidden="1">
      <c r="A42" s="2">
        <v>37</v>
      </c>
      <c r="B42" s="58">
        <f>INDEX(順位表[Comprehensive],MATCH($C42,順位表['#],0))</f>
        <v>36</v>
      </c>
      <c r="C42" s="3">
        <v>37</v>
      </c>
      <c r="D42" s="1" t="str">
        <f>INDEX(都市マスタ[City Name],MATCH($C42,都市マスタ['#],0))</f>
        <v>Washington, DC</v>
      </c>
      <c r="E42" s="4">
        <f>IFERROR(ROUND(
(INDEX(生データ表[],MATCH($C42,生データ表['#],0),MATCH(E$5,生データ表[#Headers],0))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1.8844678851000001</v>
      </c>
      <c r="F42" s="4">
        <f>IFERROR(ROUND(
(INDEX(生データ表[],MATCH($C42,生データ表['#],0),MATCH(F$5,生データ表[#Headers],0))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0.8690282923</v>
      </c>
      <c r="G42" s="4">
        <f>IFERROR(ROUND(
(INDEX(生データ表[],MATCH($C42,生データ表['#],0),MATCH(G$5,生データ表[#Headers],0))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1.2728978000000001E-3</v>
      </c>
      <c r="H42" s="4">
        <f>IFERROR(ROUND(
(INDEX(生データ表[],MATCH($C42,生データ表['#],0),MATCH(H$5,生データ表[#Headers],0))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14.685855414900001</v>
      </c>
      <c r="I42" s="4">
        <f>IFERROR(ROUND(
(INDEX(生データ表[],MATCH($C42,生データ表['#],0),MATCH(I$5,生データ表[#Headers],0))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100</v>
      </c>
      <c r="J42" s="4">
        <f>IFERROR(ROUND(
(INDEX(生データ表[],MATCH($C42,生データ表['#],0),MATCH(J$5,生データ表[#Headers],0))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30.102860869699999</v>
      </c>
      <c r="K42" s="4">
        <f>IFERROR(ROUND(
(INDEX(生データ表[],MATCH($C42,生データ表['#],0),MATCH(K$5,生データ表[#Headers],0))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62.637362637400003</v>
      </c>
      <c r="L42" s="4">
        <f>IFERROR(ROUND(
(INDEX(生データ表[],MATCH($C42,生データ表['#],0),MATCH(L$5,生データ表[#Headers],0))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42" s="4">
        <f>IFERROR(ROUND(
(INDEX(生データ表[],MATCH($C42,生データ表['#],0),MATCH(M$5,生データ表[#Headers],0))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11.278698758299999</v>
      </c>
      <c r="N42" s="4">
        <f>IFERROR(ROUND(
(INDEX(生データ表[],MATCH($C42,生データ表['#],0),MATCH(N$5,生データ表[#Headers],0))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5.1619252470000001</v>
      </c>
      <c r="O42" s="4">
        <f>IFERROR(ROUND(
(INDEX(生データ表[],MATCH($C42,生データ表['#],0),MATCH(O$5,生データ表[#Headers],0))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32.614917698600003</v>
      </c>
      <c r="P42" s="4">
        <f>IFERROR(ROUND(
(INDEX(生データ表[],MATCH($C42,生データ表['#],0),MATCH(P$5,生データ表[#Headers],0))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92.504678341900004</v>
      </c>
      <c r="Q42" s="4">
        <f>IFERROR(ROUND(
(INDEX(生データ表[],MATCH($C42,生データ表['#],0),MATCH(Q$5,生データ表[#Headers],0))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92.7666573841</v>
      </c>
      <c r="R42" s="4">
        <f>IFERROR(ROUND(
(INDEX(生データ表[],MATCH($C42,生データ表['#],0),MATCH(R$5,生データ表[#Headers],0))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57.254703792699999</v>
      </c>
      <c r="S42" s="4">
        <f>IFERROR(ROUND(
(INDEX(生データ表[],MATCH($C42,生データ表['#],0),MATCH(S$5,生データ表[#Headers],0))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28.7788461538</v>
      </c>
      <c r="T42" s="4">
        <f>IFERROR(ROUND(
(INDEX(生データ表[],MATCH($C42,生データ表['#],0),MATCH(T$5,生データ表[#Headers],0))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95.755043161299994</v>
      </c>
      <c r="U42" s="4">
        <f>IFERROR(ROUND(
(INDEX(生データ表[],MATCH($C42,生データ表['#],0),MATCH(U$5,生データ表[#Headers],0))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33.454278273</v>
      </c>
      <c r="V42" s="4">
        <f>IFERROR(ROUND(
(INDEX(生データ表[],MATCH($C42,生データ表['#],0),MATCH(V$5,生データ表[#Headers],0))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21.059268600300001</v>
      </c>
      <c r="W42" s="4">
        <f>IFERROR(ROUND(
(INDEX(生データ表[],MATCH($C42,生データ表['#],0),MATCH(W$5,生データ表[#Headers],0))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35.577288667399998</v>
      </c>
      <c r="X42" s="4">
        <f>IFERROR(ROUND(
(INDEX(生データ表[],MATCH($C42,生データ表['#],0),MATCH(X$5,生データ表[#Headers],0))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11.8417781533</v>
      </c>
      <c r="Y42" s="4">
        <f>IFERROR(ROUND(
(INDEX(生データ表[],MATCH($C42,生データ表['#],0),MATCH(Y$5,生データ表[#Headers],0))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65.201328007200004</v>
      </c>
      <c r="Z42" s="4">
        <f>IFERROR(ROUND(
(INDEX(生データ表[],MATCH($C42,生データ表['#],0),MATCH(Z$5,生データ表[#Headers],0))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23.837581960800001</v>
      </c>
      <c r="AA42" s="4">
        <f>IFERROR(ROUND(
(INDEX(生データ表[],MATCH($C42,生データ表['#],0),MATCH(AA$5,生データ表[#Headers],0))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36.482084690599997</v>
      </c>
      <c r="AB42" s="4">
        <f>IFERROR(ROUND(
(INDEX(生データ表[],MATCH($C42,生データ表['#],0),MATCH(AB$5,生データ表[#Headers],0))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7.5177304964999996</v>
      </c>
      <c r="AC42" s="4">
        <f>IFERROR(ROUND(
(INDEX(生データ表[],MATCH($C42,生データ表['#],0),MATCH(AC$5,生データ表[#Headers],0))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13.564668769700001</v>
      </c>
      <c r="AD42" s="4">
        <f>IFERROR(ROUND(
(INDEX(生データ表[],MATCH($C42,生データ表['#],0),MATCH(AD$5,生データ表[#Headers],0))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14.5454545455</v>
      </c>
      <c r="AE42" s="4">
        <f>IFERROR(ROUND(
(INDEX(生データ表[],MATCH($C42,生データ表['#],0),MATCH(AE$5,生データ表[#Headers],0))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10.9432701034</v>
      </c>
      <c r="AF42" s="4">
        <f>IFERROR(ROUND(
(INDEX(生データ表[],MATCH($C42,生データ表['#],0),MATCH(AF$5,生データ表[#Headers],0))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4.1818600445999996</v>
      </c>
      <c r="AG42" s="4">
        <f>IFERROR(ROUND(
(INDEX(生データ表[],MATCH($C42,生データ表['#],0),MATCH(AG$5,生データ表[#Headers],0))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38.406570800300003</v>
      </c>
      <c r="AH42" s="4">
        <f>IFERROR(ROUND(
(INDEX(生データ表[],MATCH($C42,生データ表['#],0),MATCH(AH$5,生データ表[#Headers],0))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42" s="4">
        <f>IFERROR(ROUND(
(INDEX(生データ表[],MATCH($C42,生データ表['#],0),MATCH(AI$5,生データ表[#Headers],0))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21.981079216099999</v>
      </c>
      <c r="AJ42" s="4">
        <f>IFERROR(ROUND(
(INDEX(生データ表[],MATCH($C42,生データ表['#],0),MATCH(AJ$5,生データ表[#Headers],0))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13.2780082988</v>
      </c>
      <c r="AK42" s="4">
        <f>IFERROR(ROUND(
(INDEX(生データ表[],MATCH($C42,生データ表['#],0),MATCH(AK$5,生データ表[#Headers],0))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39.726027397300001</v>
      </c>
      <c r="AL42" s="4">
        <f>IFERROR(ROUND(
(INDEX(生データ表[],MATCH($C42,生データ表['#],0),MATCH(AL$5,生データ表[#Headers],0))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21.052631578900002</v>
      </c>
      <c r="AM42" s="4">
        <f>IFERROR(ROUND(
(INDEX(生データ表[],MATCH($C42,生データ表['#],0),MATCH(AM$5,生データ表[#Headers],0))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23.4693754521</v>
      </c>
      <c r="AN42" s="4">
        <f>IFERROR(ROUND(
(INDEX(生データ表[],MATCH($C42,生データ表['#],0),MATCH(AN$5,生データ表[#Headers],0))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10.019592236599999</v>
      </c>
      <c r="AO42" s="4">
        <f>IFERROR(ROUND(
(INDEX(生データ表[],MATCH($C42,生データ表['#],0),MATCH(AO$5,生データ表[#Headers],0))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0</v>
      </c>
      <c r="AP42" s="4">
        <f>IFERROR(ROUND(
(INDEX(生データ表[],MATCH($C42,生データ表['#],0),MATCH(AP$5,生データ表[#Headers],0))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20.684650212499999</v>
      </c>
      <c r="AQ42" s="4">
        <f>IFERROR(ROUND(
(INDEX(生データ表[],MATCH($C42,生データ表['#],0),MATCH(AQ$5,生データ表[#Headers],0))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1.1356925453</v>
      </c>
      <c r="AR42" s="4">
        <f>IFERROR(ROUND(
(INDEX(生データ表[],MATCH($C42,生データ表['#],0),MATCH(AR$5,生データ表[#Headers],0))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3.4054180292999998</v>
      </c>
      <c r="AS42" s="4">
        <f>IFERROR(ROUND(
(INDEX(生データ表[],MATCH($C42,生データ表['#],0),MATCH(AS$5,生データ表[#Headers],0))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87.691987753000006</v>
      </c>
      <c r="AT42" s="4">
        <f>IFERROR(ROUND(
(INDEX(生データ表[],MATCH($C42,生データ表['#],0),MATCH(AT$5,生データ表[#Headers],0))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51.245851512199998</v>
      </c>
      <c r="AU42" s="4">
        <f>IFERROR(ROUND(
(INDEX(生データ表[],MATCH($C42,生データ表['#],0),MATCH(AU$5,生データ表[#Headers],0))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87.616123445100001</v>
      </c>
      <c r="AV42" s="4">
        <f>IFERROR(ROUND(
(INDEX(生データ表[],MATCH($C42,生データ表['#],0),MATCH(AV$5,生データ表[#Headers],0))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28.358151059200001</v>
      </c>
      <c r="AW42" s="4">
        <f>IFERROR(ROUND(
(INDEX(生データ表[],MATCH($C42,生データ表['#],0),MATCH(AW$5,生データ表[#Headers],0))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42.754329038599998</v>
      </c>
      <c r="AX42" s="4">
        <f>IFERROR(ROUND(
(INDEX(生データ表[],MATCH($C42,生データ表['#],0),MATCH(AX$5,生データ表[#Headers],0))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29.613826291100001</v>
      </c>
      <c r="AY42" s="4">
        <f>IFERROR(ROUND(
(INDEX(生データ表[],MATCH($C42,生データ表['#],0),MATCH(AY$5,生データ表[#Headers],0))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98.988195615500004</v>
      </c>
      <c r="AZ42" s="4">
        <f>IFERROR(ROUND(
(INDEX(生データ表[],MATCH($C42,生データ表['#],0),MATCH(AZ$5,生データ表[#Headers],0))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65.370213793900007</v>
      </c>
      <c r="BA42" s="4">
        <f>IFERROR(ROUND(
(INDEX(生データ表[],MATCH($C42,生データ表['#],0),MATCH(BA$5,生データ表[#Headers],0))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66.659608137500001</v>
      </c>
      <c r="BB42" s="4">
        <f>IFERROR(ROUND(
(INDEX(生データ表[],MATCH($C42,生データ表['#],0),MATCH(BB$5,生データ表[#Headers],0))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26.423458706000002</v>
      </c>
      <c r="BC42" s="4">
        <f>IFERROR(ROUND(
(INDEX(生データ表[],MATCH($C42,生データ表['#],0),MATCH(BC$5,生データ表[#Headers],0))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73.687534904900005</v>
      </c>
      <c r="BD42" s="4">
        <f>IFERROR(ROUND(
(INDEX(生データ表[],MATCH($C42,生データ表['#],0),MATCH(BD$5,生データ表[#Headers],0))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100</v>
      </c>
      <c r="BE42" s="4">
        <f>IFERROR(ROUND(
(INDEX(生データ表[],MATCH($C42,生データ表['#],0),MATCH(BE$5,生データ表[#Headers],0))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23.755969111300001</v>
      </c>
      <c r="BF42" s="4">
        <f>IFERROR(ROUND(
(INDEX(生データ表[],MATCH($C42,生データ表['#],0),MATCH(BF$5,生データ表[#Headers],0))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26.991543720399999</v>
      </c>
      <c r="BG42" s="4">
        <f>IFERROR(ROUND(
(INDEX(生データ表[],MATCH($C42,生データ表['#],0),MATCH(BG$5,生データ表[#Headers],0))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55.695722280200002</v>
      </c>
      <c r="BH42" s="4">
        <f>IFERROR(ROUND(
(INDEX(生データ表[],MATCH($C42,生データ表['#],0),MATCH(BH$5,生データ表[#Headers],0))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16.187527642599999</v>
      </c>
      <c r="BI42" s="4">
        <f>IFERROR(ROUND(
(INDEX(生データ表[],MATCH($C42,生データ表['#],0),MATCH(BI$5,生データ表[#Headers],0))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37.807407670099998</v>
      </c>
      <c r="BJ42" s="4">
        <f>IFERROR(ROUND(
(INDEX(生データ表[],MATCH($C42,生データ表['#],0),MATCH(BJ$5,生データ表[#Headers],0))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0</v>
      </c>
      <c r="BK42" s="4">
        <f>IFERROR(ROUND(
(INDEX(生データ表[],MATCH($C42,生データ表['#],0),MATCH(BK$5,生データ表[#Headers],0))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84.8758465011</v>
      </c>
      <c r="BL42" s="4">
        <f>IFERROR(ROUND(
(INDEX(生データ表[],MATCH($C42,生データ表['#],0),MATCH(BL$5,生データ表[#Headers],0))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58.217536166199999</v>
      </c>
      <c r="BM42" s="4">
        <f>IFERROR(ROUND(
(INDEX(生データ表[],MATCH($C42,生データ表['#],0),MATCH(BM$5,生データ表[#Headers],0))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42.960812772099999</v>
      </c>
      <c r="BN42" s="4">
        <f>IFERROR(ROUND(
(INDEX(生データ表[],MATCH($C42,生データ表['#],0),MATCH(BN$5,生データ表[#Headers],0))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76.806457209100003</v>
      </c>
      <c r="BO42" s="4">
        <f>IFERROR(ROUND(
(INDEX(生データ表[],MATCH($C42,生データ表['#],0),MATCH(BO$5,生データ表[#Headers],0))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47.266077224599996</v>
      </c>
      <c r="BP42" s="4">
        <f>IFERROR(ROUND(
(INDEX(生データ表[],MATCH($C42,生データ表['#],0),MATCH(BP$5,生データ表[#Headers],0))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14.673913043500001</v>
      </c>
      <c r="BQ42" s="4">
        <f>IFERROR(ROUND(
(INDEX(生データ表[],MATCH($C42,生データ表['#],0),MATCH(BQ$5,生データ表[#Headers],0))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2.4037994644</v>
      </c>
      <c r="BR42" s="4">
        <f>IFERROR(ROUND(
(INDEX(生データ表[],MATCH($C42,生データ表['#],0),MATCH(BR$5,生データ表[#Headers],0))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29.901796414100001</v>
      </c>
      <c r="BS42" s="4">
        <f>IFERROR(ROUND(
(INDEX(生データ表[],MATCH($C42,生データ表['#],0),MATCH(BS$5,生データ表[#Headers],0))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16.019649009799998</v>
      </c>
      <c r="BT42" s="4">
        <f>IFERROR(ROUND(
(INDEX(生データ表[],MATCH($C42,生データ表['#],0),MATCH(BT$5,生データ表[#Headers],0))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7.8178891698999999</v>
      </c>
      <c r="BU42" s="4">
        <f>IFERROR(ROUND(
(INDEX(生データ表[],MATCH($C42,生データ表['#],0),MATCH(BU$5,生データ表[#Headers],0))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21.408371186499998</v>
      </c>
      <c r="BV42" s="4">
        <f>IFERROR(ROUND(
(INDEX(生データ表[],MATCH($C42,生データ表['#],0),MATCH(BV$5,生データ表[#Headers],0))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29.548454846799999</v>
      </c>
      <c r="BW42" s="4">
        <f>IFERROR(ROUND(
(INDEX(生データ表[],MATCH($C42,生データ表['#],0),MATCH(BW$5,生データ表[#Headers],0))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69.931537102500002</v>
      </c>
      <c r="BX42" s="4">
        <f>IFERROR(ROUND(
(INDEX(生データ表[],MATCH($C42,生データ表['#],0),MATCH(BX$5,生データ表[#Headers],0))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38.164627363699999</v>
      </c>
      <c r="BY42" s="4">
        <f>IFERROR(ROUND(
(INDEX(生データ表[],MATCH($C42,生データ表['#],0),MATCH(BY$5,生データ表[#Headers],0))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41.822683982299999</v>
      </c>
      <c r="BZ42" s="4">
        <f t="shared" si="13"/>
        <v>57.342927707450002</v>
      </c>
      <c r="CA42" s="4">
        <f t="shared" si="13"/>
        <v>46.370111753549999</v>
      </c>
      <c r="CB42" s="4">
        <f t="shared" si="13"/>
        <v>5.6393493791499996</v>
      </c>
      <c r="CC42" s="4">
        <f t="shared" si="13"/>
        <v>18.888421472800001</v>
      </c>
      <c r="CD42" s="4">
        <f t="shared" si="13"/>
        <v>80.84201317290001</v>
      </c>
      <c r="CE42" s="4">
        <f t="shared" si="13"/>
        <v>62.266944657549999</v>
      </c>
      <c r="CF42" s="4">
        <f t="shared" si="13"/>
        <v>27.256773436650001</v>
      </c>
      <c r="CG42" s="4">
        <f t="shared" si="13"/>
        <v>37.540131609299998</v>
      </c>
      <c r="CH42" s="4">
        <f t="shared" si="13"/>
        <v>22.612465715966664</v>
      </c>
      <c r="CI42" s="4">
        <f t="shared" si="13"/>
        <v>10.808813365799999</v>
      </c>
      <c r="CJ42" s="4">
        <f t="shared" si="14"/>
        <v>20.129216672133335</v>
      </c>
      <c r="CK42" s="4">
        <f t="shared" si="14"/>
        <v>24.685555758333336</v>
      </c>
      <c r="CL42" s="4">
        <f t="shared" si="14"/>
        <v>13.543404475300001</v>
      </c>
      <c r="CM42" s="4">
        <f t="shared" si="14"/>
        <v>2.2705552872999997</v>
      </c>
      <c r="CN42" s="4">
        <f t="shared" si="14"/>
        <v>75.517987570100004</v>
      </c>
      <c r="CO42" s="4">
        <f t="shared" si="14"/>
        <v>35.556240048900001</v>
      </c>
      <c r="CP42" s="4">
        <f t="shared" si="14"/>
        <v>64.301010953300008</v>
      </c>
      <c r="CQ42" s="4">
        <f t="shared" si="14"/>
        <v>52.817760212466673</v>
      </c>
      <c r="CR42" s="4">
        <f t="shared" si="14"/>
        <v>56.108761934150003</v>
      </c>
      <c r="CS42" s="4">
        <f t="shared" si="14"/>
        <v>36.563552530966668</v>
      </c>
      <c r="CT42" s="4">
        <f t="shared" si="15"/>
        <v>47.697794222433338</v>
      </c>
      <c r="CU42" s="4">
        <f t="shared" si="15"/>
        <v>55.677782401933335</v>
      </c>
      <c r="CV42" s="4">
        <f t="shared" si="15"/>
        <v>8.5388562539499997</v>
      </c>
      <c r="CW42" s="4">
        <f t="shared" si="15"/>
        <v>22.960722711949998</v>
      </c>
      <c r="CX42" s="4">
        <f t="shared" si="15"/>
        <v>19.591571734399999</v>
      </c>
      <c r="CY42" s="4">
        <f t="shared" si="15"/>
        <v>49.972949482833336</v>
      </c>
      <c r="CZ42" s="4">
        <f t="shared" si="16"/>
        <v>271.34976814340001</v>
      </c>
      <c r="DA42" s="4">
        <f t="shared" si="16"/>
        <v>87.409370761916662</v>
      </c>
      <c r="DB42" s="4">
        <f t="shared" si="16"/>
        <v>71.437545558866674</v>
      </c>
      <c r="DC42" s="4">
        <f t="shared" si="16"/>
        <v>284.30176071891668</v>
      </c>
      <c r="DD42" s="4">
        <f t="shared" si="16"/>
        <v>139.93912915533335</v>
      </c>
      <c r="DE42" s="4">
        <f t="shared" si="16"/>
        <v>101.06410018313333</v>
      </c>
      <c r="DF42" s="76">
        <f t="shared" si="4"/>
        <v>955.50167452156677</v>
      </c>
    </row>
    <row r="43" spans="1:110">
      <c r="A43" s="2">
        <v>38</v>
      </c>
      <c r="B43" s="58">
        <f>INDEX(順位表[Comprehensive],MATCH($C43,順位表['#],0))</f>
        <v>2</v>
      </c>
      <c r="C43" s="3">
        <v>38</v>
      </c>
      <c r="D43" s="1" t="str">
        <f>INDEX(都市マスタ[City Name],MATCH($C43,都市マスタ['#],0))</f>
        <v>New York</v>
      </c>
      <c r="E43" s="4">
        <f>IFERROR(ROUND(
(INDEX(生データ表[],MATCH($C43,生データ表['#],0),MATCH(E$5,生データ表[#Headers],0))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33.466549121500002</v>
      </c>
      <c r="F43" s="4">
        <f>IFERROR(ROUND(
(INDEX(生データ表[],MATCH($C43,生データ表['#],0),MATCH(F$5,生データ表[#Headers],0))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4.6507621143</v>
      </c>
      <c r="G43" s="4">
        <f>IFERROR(ROUND(
(INDEX(生データ表[],MATCH($C43,生データ表['#],0),MATCH(G$5,生データ表[#Headers],0))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1.2728978000000001E-3</v>
      </c>
      <c r="H43" s="4">
        <f>IFERROR(ROUND(
(INDEX(生データ表[],MATCH($C43,生データ表['#],0),MATCH(H$5,生データ表[#Headers],0))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100</v>
      </c>
      <c r="I43" s="4">
        <f>IFERROR(ROUND(
(INDEX(生データ表[],MATCH($C43,生データ表['#],0),MATCH(I$5,生データ表[#Headers],0))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46.066160791900003</v>
      </c>
      <c r="J43" s="4">
        <f>IFERROR(ROUND(
(INDEX(生データ表[],MATCH($C43,生データ表['#],0),MATCH(J$5,生データ表[#Headers],0))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40.5176864345</v>
      </c>
      <c r="K43" s="4">
        <f>IFERROR(ROUND(
(INDEX(生データ表[],MATCH($C43,生データ表['#],0),MATCH(K$5,生データ表[#Headers],0))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62.637362637400003</v>
      </c>
      <c r="L43" s="4">
        <f>IFERROR(ROUND(
(INDEX(生データ表[],MATCH($C43,生データ表['#],0),MATCH(L$5,生データ表[#Headers],0))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100</v>
      </c>
      <c r="M43" s="4">
        <f>IFERROR(ROUND(
(INDEX(生データ表[],MATCH($C43,生データ表['#],0),MATCH(M$5,生データ表[#Headers],0))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22.503857240999999</v>
      </c>
      <c r="N43" s="4">
        <f>IFERROR(ROUND(
(INDEX(生データ表[],MATCH($C43,生データ表['#],0),MATCH(N$5,生データ表[#Headers],0))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41.072715779100001</v>
      </c>
      <c r="O43" s="4">
        <f>IFERROR(ROUND(
(INDEX(生データ表[],MATCH($C43,生データ表['#],0),MATCH(O$5,生データ表[#Headers],0))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43.237304028399997</v>
      </c>
      <c r="P43" s="4">
        <f>IFERROR(ROUND(
(INDEX(生データ表[],MATCH($C43,生データ表['#],0),MATCH(P$5,生データ表[#Headers],0))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100</v>
      </c>
      <c r="Q43" s="4">
        <f>IFERROR(ROUND(
(INDEX(生データ表[],MATCH($C43,生データ表['#],0),MATCH(Q$5,生データ表[#Headers],0))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86.314056510900002</v>
      </c>
      <c r="R43" s="4">
        <f>IFERROR(ROUND(
(INDEX(生データ表[],MATCH($C43,生データ表['#],0),MATCH(R$5,生データ表[#Headers],0))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90.450290137400003</v>
      </c>
      <c r="S43" s="4">
        <f>IFERROR(ROUND(
(INDEX(生データ表[],MATCH($C43,生データ表['#],0),MATCH(S$5,生データ表[#Headers],0))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3.5530067308</v>
      </c>
      <c r="T43" s="4">
        <f>IFERROR(ROUND(
(INDEX(生データ表[],MATCH($C43,生データ表['#],0),MATCH(T$5,生データ表[#Headers],0))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98.0948902696</v>
      </c>
      <c r="U43" s="4">
        <f>IFERROR(ROUND(
(INDEX(生データ表[],MATCH($C43,生データ表['#],0),MATCH(U$5,生データ表[#Headers],0))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100</v>
      </c>
      <c r="V43" s="4">
        <f>IFERROR(ROUND(
(INDEX(生データ表[],MATCH($C43,生データ表['#],0),MATCH(V$5,生データ表[#Headers],0))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46.784363177800003</v>
      </c>
      <c r="W43" s="4">
        <f>IFERROR(ROUND(
(INDEX(生データ表[],MATCH($C43,生データ表['#],0),MATCH(W$5,生データ表[#Headers],0))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100</v>
      </c>
      <c r="X43" s="4">
        <f>IFERROR(ROUND(
(INDEX(生データ表[],MATCH($C43,生データ表['#],0),MATCH(X$5,生データ表[#Headers],0))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27.813590395199999</v>
      </c>
      <c r="Y43" s="4">
        <f>IFERROR(ROUND(
(INDEX(生データ表[],MATCH($C43,生データ表['#],0),MATCH(Y$5,生データ表[#Headers],0))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65.201328007200004</v>
      </c>
      <c r="Z43" s="4">
        <f>IFERROR(ROUND(
(INDEX(生データ表[],MATCH($C43,生データ表['#],0),MATCH(Z$5,生データ表[#Headers],0))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67.755651961799998</v>
      </c>
      <c r="AA43" s="4">
        <f>IFERROR(ROUND(
(INDEX(生データ表[],MATCH($C43,生データ表['#],0),MATCH(AA$5,生データ表[#Headers],0))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62.540716612399997</v>
      </c>
      <c r="AB43" s="4">
        <f>IFERROR(ROUND(
(INDEX(生データ表[],MATCH($C43,生データ表['#],0),MATCH(AB$5,生データ表[#Headers],0))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75.886524822699997</v>
      </c>
      <c r="AC43" s="4">
        <f>IFERROR(ROUND(
(INDEX(生データ表[],MATCH($C43,生データ表['#],0),MATCH(AC$5,生データ表[#Headers],0))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11.6719242902</v>
      </c>
      <c r="AD43" s="4">
        <f>IFERROR(ROUND(
(INDEX(生データ表[],MATCH($C43,生データ表['#],0),MATCH(AD$5,生データ表[#Headers],0))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36.363636363600001</v>
      </c>
      <c r="AE43" s="4">
        <f>IFERROR(ROUND(
(INDEX(生データ表[],MATCH($C43,生データ表['#],0),MATCH(AE$5,生データ表[#Headers],0))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90.724935490600004</v>
      </c>
      <c r="AF43" s="4">
        <f>IFERROR(ROUND(
(INDEX(生データ表[],MATCH($C43,生データ表['#],0),MATCH(AF$5,生データ表[#Headers],0))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100</v>
      </c>
      <c r="AG43" s="4">
        <f>IFERROR(ROUND(
(INDEX(生データ表[],MATCH($C43,生データ表['#],0),MATCH(AG$5,生データ表[#Headers],0))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80.721982748299993</v>
      </c>
      <c r="AH43" s="4">
        <f>IFERROR(ROUND(
(INDEX(生データ表[],MATCH($C43,生データ表['#],0),MATCH(AH$5,生データ表[#Headers],0))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6.25</v>
      </c>
      <c r="AI43" s="4">
        <f>IFERROR(ROUND(
(INDEX(生データ表[],MATCH($C43,生データ表['#],0),MATCH(AI$5,生データ表[#Headers],0))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76.292597223900003</v>
      </c>
      <c r="AJ43" s="4">
        <f>IFERROR(ROUND(
(INDEX(生データ表[],MATCH($C43,生データ表['#],0),MATCH(AJ$5,生データ表[#Headers],0))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78.838174273899995</v>
      </c>
      <c r="AK43" s="4">
        <f>IFERROR(ROUND(
(INDEX(生データ表[],MATCH($C43,生データ表['#],0),MATCH(AK$5,生データ表[#Headers],0))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56.164383561599998</v>
      </c>
      <c r="AL43" s="4">
        <f>IFERROR(ROUND(
(INDEX(生データ表[],MATCH($C43,生データ表['#],0),MATCH(AL$5,生データ表[#Headers],0))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26.315789473700001</v>
      </c>
      <c r="AM43" s="4">
        <f>IFERROR(ROUND(
(INDEX(生データ表[],MATCH($C43,生データ表['#],0),MATCH(AM$5,生データ表[#Headers],0))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72.606100795800003</v>
      </c>
      <c r="AN43" s="4">
        <f>IFERROR(ROUND(
(INDEX(生データ表[],MATCH($C43,生データ表['#],0),MATCH(AN$5,生データ表[#Headers],0))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36.955856242000003</v>
      </c>
      <c r="AO43" s="4">
        <f>IFERROR(ROUND(
(INDEX(生データ表[],MATCH($C43,生データ表['#],0),MATCH(AO$5,生データ表[#Headers],0))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75.817190731899998</v>
      </c>
      <c r="AP43" s="4">
        <f>IFERROR(ROUND(
(INDEX(生データ表[],MATCH($C43,生データ表['#],0),MATCH(AP$5,生データ表[#Headers],0))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67.273268176800002</v>
      </c>
      <c r="AQ43" s="4">
        <f>IFERROR(ROUND(
(INDEX(生データ表[],MATCH($C43,生データ表['#],0),MATCH(AQ$5,生データ表[#Headers],0))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38.379992903500003</v>
      </c>
      <c r="AR43" s="4">
        <f>IFERROR(ROUND(
(INDEX(生データ表[],MATCH($C43,生データ表['#],0),MATCH(AR$5,生データ表[#Headers],0))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18.344922106599999</v>
      </c>
      <c r="AS43" s="4">
        <f>IFERROR(ROUND(
(INDEX(生データ表[],MATCH($C43,生データ表['#],0),MATCH(AS$5,生データ表[#Headers],0))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84.790990269900007</v>
      </c>
      <c r="AT43" s="4">
        <f>IFERROR(ROUND(
(INDEX(生データ表[],MATCH($C43,生データ表['#],0),MATCH(AT$5,生データ表[#Headers],0))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61.4850761179</v>
      </c>
      <c r="AU43" s="4">
        <f>IFERROR(ROUND(
(INDEX(生データ表[],MATCH($C43,生データ表['#],0),MATCH(AU$5,生データ表[#Headers],0))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96.622172784599996</v>
      </c>
      <c r="AV43" s="4">
        <f>IFERROR(ROUND(
(INDEX(生データ表[],MATCH($C43,生データ表['#],0),MATCH(AV$5,生データ表[#Headers],0))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0</v>
      </c>
      <c r="AW43" s="4">
        <f>IFERROR(ROUND(
(INDEX(生データ表[],MATCH($C43,生データ表['#],0),MATCH(AW$5,生データ表[#Headers],0))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24.363889685</v>
      </c>
      <c r="AX43" s="4">
        <f>IFERROR(ROUND(
(INDEX(生データ表[],MATCH($C43,生データ表['#],0),MATCH(AX$5,生データ表[#Headers],0))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85.926181984699994</v>
      </c>
      <c r="AY43" s="4">
        <f>IFERROR(ROUND(
(INDEX(生データ表[],MATCH($C43,生データ表['#],0),MATCH(AY$5,生データ表[#Headers],0))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97.470489038799997</v>
      </c>
      <c r="AZ43" s="4">
        <f>IFERROR(ROUND(
(INDEX(生データ表[],MATCH($C43,生データ表['#],0),MATCH(AZ$5,生データ表[#Headers],0))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65.370213793900007</v>
      </c>
      <c r="BA43" s="4">
        <f>IFERROR(ROUND(
(INDEX(生データ表[],MATCH($C43,生データ表['#],0),MATCH(BA$5,生データ表[#Headers],0))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66.659608137500001</v>
      </c>
      <c r="BB43" s="4">
        <f>IFERROR(ROUND(
(INDEX(生データ表[],MATCH($C43,生データ表['#],0),MATCH(BB$5,生データ表[#Headers],0))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26.423458706000002</v>
      </c>
      <c r="BC43" s="4">
        <f>IFERROR(ROUND(
(INDEX(生データ表[],MATCH($C43,生データ表['#],0),MATCH(BC$5,生データ表[#Headers],0))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36.258090682999999</v>
      </c>
      <c r="BD43" s="4">
        <f>IFERROR(ROUND(
(INDEX(生データ表[],MATCH($C43,生データ表['#],0),MATCH(BD$5,生データ表[#Headers],0))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100</v>
      </c>
      <c r="BE43" s="4">
        <f>IFERROR(ROUND(
(INDEX(生データ表[],MATCH($C43,生データ表['#],0),MATCH(BE$5,生データ表[#Headers],0))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61.143767423699998</v>
      </c>
      <c r="BF43" s="4">
        <f>IFERROR(ROUND(
(INDEX(生データ表[],MATCH($C43,生データ表['#],0),MATCH(BF$5,生データ表[#Headers],0))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62.087673152199997</v>
      </c>
      <c r="BG43" s="4">
        <f>IFERROR(ROUND(
(INDEX(生データ表[],MATCH($C43,生データ表['#],0),MATCH(BG$5,生データ表[#Headers],0))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64.961775585699996</v>
      </c>
      <c r="BH43" s="4">
        <f>IFERROR(ROUND(
(INDEX(生データ表[],MATCH($C43,生データ表['#],0),MATCH(BH$5,生データ表[#Headers],0))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16.187527642599999</v>
      </c>
      <c r="BI43" s="4">
        <f>IFERROR(ROUND(
(INDEX(生データ表[],MATCH($C43,生データ表['#],0),MATCH(BI$5,生データ表[#Headers],0))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37.807407670099998</v>
      </c>
      <c r="BJ43" s="4">
        <f>IFERROR(ROUND(
(INDEX(生データ表[],MATCH($C43,生データ表['#],0),MATCH(BJ$5,生データ表[#Headers],0))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89.181174058099998</v>
      </c>
      <c r="BK43" s="4">
        <f>IFERROR(ROUND(
(INDEX(生データ表[],MATCH($C43,生データ表['#],0),MATCH(BK$5,生データ表[#Headers],0))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84.650112866800001</v>
      </c>
      <c r="BL43" s="4">
        <f>IFERROR(ROUND(
(INDEX(生データ表[],MATCH($C43,生データ表['#],0),MATCH(BL$5,生データ表[#Headers],0))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56.563403910200002</v>
      </c>
      <c r="BM43" s="4">
        <f>IFERROR(ROUND(
(INDEX(生データ表[],MATCH($C43,生データ表['#],0),MATCH(BM$5,生データ表[#Headers],0))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40.928882438300001</v>
      </c>
      <c r="BN43" s="4">
        <f>IFERROR(ROUND(
(INDEX(生データ表[],MATCH($C43,生データ表['#],0),MATCH(BN$5,生データ表[#Headers],0))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52.311071464599998</v>
      </c>
      <c r="BO43" s="4">
        <f>IFERROR(ROUND(
(INDEX(生データ表[],MATCH($C43,生データ表['#],0),MATCH(BO$5,生データ表[#Headers],0))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9.7027079522000008</v>
      </c>
      <c r="BP43" s="4">
        <f>IFERROR(ROUND(
(INDEX(生データ表[],MATCH($C43,生データ表['#],0),MATCH(BP$5,生データ表[#Headers],0))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34.782608695699999</v>
      </c>
      <c r="BQ43" s="4">
        <f>IFERROR(ROUND(
(INDEX(生データ表[],MATCH($C43,生データ表['#],0),MATCH(BQ$5,生データ表[#Headers],0))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30.0226761234</v>
      </c>
      <c r="BR43" s="4">
        <f>IFERROR(ROUND(
(INDEX(生データ表[],MATCH($C43,生データ表['#],0),MATCH(BR$5,生データ表[#Headers],0))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95.205623216600003</v>
      </c>
      <c r="BS43" s="4">
        <f>IFERROR(ROUND(
(INDEX(生データ表[],MATCH($C43,生データ表['#],0),MATCH(BS$5,生データ表[#Headers],0))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100</v>
      </c>
      <c r="BT43" s="4">
        <f>IFERROR(ROUND(
(INDEX(生データ表[],MATCH($C43,生データ表['#],0),MATCH(BT$5,生データ表[#Headers],0))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33.570935847299999</v>
      </c>
      <c r="BU43" s="4">
        <f>IFERROR(ROUND(
(INDEX(生データ表[],MATCH($C43,生データ表['#],0),MATCH(BU$5,生データ表[#Headers],0))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77.2390649779</v>
      </c>
      <c r="BV43" s="4">
        <f>IFERROR(ROUND(
(INDEX(生データ表[],MATCH($C43,生データ表['#],0),MATCH(BV$5,生データ表[#Headers],0))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44.894629427200002</v>
      </c>
      <c r="BW43" s="4">
        <f>IFERROR(ROUND(
(INDEX(生データ表[],MATCH($C43,生データ表['#],0),MATCH(BW$5,生データ表[#Headers],0))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54.946996466400002</v>
      </c>
      <c r="BX43" s="4">
        <f>IFERROR(ROUND(
(INDEX(生データ表[],MATCH($C43,生データ表['#],0),MATCH(BX$5,生データ表[#Headers],0))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24.316209242300001</v>
      </c>
      <c r="BY43" s="4">
        <f>IFERROR(ROUND(
(INDEX(生データ表[],MATCH($C43,生データ表['#],0),MATCH(BY$5,生データ表[#Headers],0))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23.318191956</v>
      </c>
      <c r="BZ43" s="4">
        <f t="shared" si="13"/>
        <v>73.033080395950009</v>
      </c>
      <c r="CA43" s="4">
        <f t="shared" si="13"/>
        <v>51.577524535950005</v>
      </c>
      <c r="CB43" s="4">
        <f t="shared" si="13"/>
        <v>61.251928620499996</v>
      </c>
      <c r="CC43" s="4">
        <f t="shared" si="13"/>
        <v>42.155009903749999</v>
      </c>
      <c r="CD43" s="4">
        <f t="shared" si="13"/>
        <v>92.254782216100011</v>
      </c>
      <c r="CE43" s="4">
        <f t="shared" si="13"/>
        <v>50.823948500200004</v>
      </c>
      <c r="CF43" s="4">
        <f t="shared" si="13"/>
        <v>73.392181588900002</v>
      </c>
      <c r="CG43" s="4">
        <f t="shared" si="13"/>
        <v>64.338306134133333</v>
      </c>
      <c r="CH43" s="4">
        <f t="shared" si="13"/>
        <v>68.727631132300004</v>
      </c>
      <c r="CI43" s="4">
        <f t="shared" si="13"/>
        <v>59.690124036100002</v>
      </c>
      <c r="CJ43" s="4">
        <f t="shared" si="14"/>
        <v>54.421526657400001</v>
      </c>
      <c r="CK43" s="4">
        <f t="shared" si="14"/>
        <v>53.7727824364</v>
      </c>
      <c r="CL43" s="4">
        <f t="shared" si="14"/>
        <v>63.163103986625003</v>
      </c>
      <c r="CM43" s="4">
        <f t="shared" si="14"/>
        <v>28.362457505050003</v>
      </c>
      <c r="CN43" s="4">
        <f t="shared" si="14"/>
        <v>80.966079724133337</v>
      </c>
      <c r="CO43" s="4">
        <f t="shared" si="14"/>
        <v>12.1819448425</v>
      </c>
      <c r="CP43" s="4">
        <f t="shared" si="14"/>
        <v>91.698335511750003</v>
      </c>
      <c r="CQ43" s="4">
        <f t="shared" si="14"/>
        <v>52.817760212466673</v>
      </c>
      <c r="CR43" s="4">
        <f t="shared" si="14"/>
        <v>64.872382814725</v>
      </c>
      <c r="CS43" s="4">
        <f t="shared" si="14"/>
        <v>39.65223696613333</v>
      </c>
      <c r="CT43" s="4">
        <f t="shared" si="15"/>
        <v>76.79823027836666</v>
      </c>
      <c r="CU43" s="4">
        <f t="shared" si="15"/>
        <v>34.314220618366669</v>
      </c>
      <c r="CV43" s="4">
        <f t="shared" si="15"/>
        <v>32.402642409549998</v>
      </c>
      <c r="CW43" s="4">
        <f t="shared" si="15"/>
        <v>97.602811608300001</v>
      </c>
      <c r="CX43" s="4">
        <f t="shared" si="15"/>
        <v>51.901543417466677</v>
      </c>
      <c r="CY43" s="4">
        <f t="shared" si="15"/>
        <v>34.193799221566671</v>
      </c>
      <c r="CZ43" s="4">
        <f t="shared" si="16"/>
        <v>371.09627417245002</v>
      </c>
      <c r="DA43" s="4">
        <f t="shared" si="16"/>
        <v>206.45811885533334</v>
      </c>
      <c r="DB43" s="4">
        <f t="shared" si="16"/>
        <v>259.40999462157504</v>
      </c>
      <c r="DC43" s="4">
        <f t="shared" si="16"/>
        <v>302.53650310557498</v>
      </c>
      <c r="DD43" s="4">
        <f t="shared" si="16"/>
        <v>150.76468786286665</v>
      </c>
      <c r="DE43" s="4">
        <f t="shared" si="16"/>
        <v>216.10079665688338</v>
      </c>
      <c r="DF43" s="76">
        <f t="shared" si="4"/>
        <v>1506.3663752746834</v>
      </c>
    </row>
    <row r="44" spans="1:110" hidden="1">
      <c r="A44" s="2">
        <v>39</v>
      </c>
      <c r="B44" s="58">
        <f>INDEX(順位表[Comprehensive],MATCH($C44,順位表['#],0))</f>
        <v>29</v>
      </c>
      <c r="C44" s="3">
        <v>39</v>
      </c>
      <c r="D44" s="1" t="str">
        <f>INDEX(都市マスタ[City Name],MATCH($C44,都市マスタ['#],0))</f>
        <v>Boston</v>
      </c>
      <c r="E44" s="4">
        <f>IFERROR(ROUND(
(INDEX(生データ表[],MATCH($C44,生データ表['#],0),MATCH(E$5,生データ表[#Headers],0))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1.8226035699000001</v>
      </c>
      <c r="F44" s="4">
        <f>IFERROR(ROUND(
(INDEX(生データ表[],MATCH($C44,生データ表['#],0),MATCH(F$5,生データ表[#Headers],0))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0.666920756</v>
      </c>
      <c r="G44" s="4">
        <f>IFERROR(ROUND(
(INDEX(生データ表[],MATCH($C44,生データ表['#],0),MATCH(G$5,生データ表[#Headers],0))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1.2728978000000001E-3</v>
      </c>
      <c r="H44" s="4">
        <f>IFERROR(ROUND(
(INDEX(生データ表[],MATCH($C44,生データ表['#],0),MATCH(H$5,生データ表[#Headers],0))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9.4263414150999996</v>
      </c>
      <c r="I44" s="4">
        <f>IFERROR(ROUND(
(INDEX(生データ表[],MATCH($C44,生データ表['#],0),MATCH(I$5,生データ表[#Headers],0))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71.196368447200001</v>
      </c>
      <c r="J44" s="4">
        <f>IFERROR(ROUND(
(INDEX(生データ表[],MATCH($C44,生データ表['#],0),MATCH(J$5,生データ表[#Headers],0))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38.961476465600001</v>
      </c>
      <c r="K44" s="4">
        <f>IFERROR(ROUND(
(INDEX(生データ表[],MATCH($C44,生データ表['#],0),MATCH(K$5,生データ表[#Headers],0))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62.637362637400003</v>
      </c>
      <c r="L44" s="4">
        <f>IFERROR(ROUND(
(INDEX(生データ表[],MATCH($C44,生データ表['#],0),MATCH(L$5,生データ表[#Headers],0))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44" s="4">
        <f>IFERROR(ROUND(
(INDEX(生データ表[],MATCH($C44,生データ表['#],0),MATCH(M$5,生データ表[#Headers],0))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3.2602285043000001</v>
      </c>
      <c r="N44" s="4">
        <f>IFERROR(ROUND(
(INDEX(生データ表[],MATCH($C44,生データ表['#],0),MATCH(N$5,生データ表[#Headers],0))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4.1309127590000001</v>
      </c>
      <c r="O44" s="4">
        <f>IFERROR(ROUND(
(INDEX(生データ表[],MATCH($C44,生データ表['#],0),MATCH(O$5,生データ表[#Headers],0))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34.867034995300003</v>
      </c>
      <c r="P44" s="4">
        <f>IFERROR(ROUND(
(INDEX(生データ表[],MATCH($C44,生データ表['#],0),MATCH(P$5,生データ表[#Headers],0))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88.608112393900001</v>
      </c>
      <c r="Q44" s="4">
        <f>IFERROR(ROUND(
(INDEX(生データ表[],MATCH($C44,生データ表['#],0),MATCH(Q$5,生データ表[#Headers],0))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100</v>
      </c>
      <c r="R44" s="4">
        <f>IFERROR(ROUND(
(INDEX(生データ表[],MATCH($C44,生データ表['#],0),MATCH(R$5,生データ表[#Headers],0))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63.696241657100003</v>
      </c>
      <c r="S44" s="4">
        <f>IFERROR(ROUND(
(INDEX(生データ表[],MATCH($C44,生データ表['#],0),MATCH(S$5,生データ表[#Headers],0))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29.538461538499998</v>
      </c>
      <c r="T44" s="4">
        <f>IFERROR(ROUND(
(INDEX(生データ表[],MATCH($C44,生データ表['#],0),MATCH(T$5,生データ表[#Headers],0))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95.755043161299994</v>
      </c>
      <c r="U44" s="4">
        <f>IFERROR(ROUND(
(INDEX(生データ表[],MATCH($C44,生データ表['#],0),MATCH(U$5,生データ表[#Headers],0))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27.4746412764</v>
      </c>
      <c r="V44" s="4">
        <f>IFERROR(ROUND(
(INDEX(生データ表[],MATCH($C44,生データ表['#],0),MATCH(V$5,生データ表[#Headers],0))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78.184110970999996</v>
      </c>
      <c r="W44" s="4">
        <f>IFERROR(ROUND(
(INDEX(生データ表[],MATCH($C44,生データ表['#],0),MATCH(W$5,生データ表[#Headers],0))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28.8825619148</v>
      </c>
      <c r="X44" s="4">
        <f>IFERROR(ROUND(
(INDEX(生データ表[],MATCH($C44,生データ表['#],0),MATCH(X$5,生データ表[#Headers],0))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27.548307539100001</v>
      </c>
      <c r="Y44" s="4">
        <f>IFERROR(ROUND(
(INDEX(生データ表[],MATCH($C44,生データ表['#],0),MATCH(Y$5,生データ表[#Headers],0))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65.201328007200004</v>
      </c>
      <c r="Z44" s="4">
        <f>IFERROR(ROUND(
(INDEX(生データ表[],MATCH($C44,生データ表['#],0),MATCH(Z$5,生データ表[#Headers],0))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19.459210220999999</v>
      </c>
      <c r="AA44" s="4">
        <f>IFERROR(ROUND(
(INDEX(生データ表[],MATCH($C44,生データ表['#],0),MATCH(AA$5,生データ表[#Headers],0))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100</v>
      </c>
      <c r="AB44" s="4">
        <f>IFERROR(ROUND(
(INDEX(生データ表[],MATCH($C44,生データ表['#],0),MATCH(AB$5,生データ表[#Headers],0))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13.421985815599999</v>
      </c>
      <c r="AC44" s="4">
        <f>IFERROR(ROUND(
(INDEX(生データ表[],MATCH($C44,生データ表['#],0),MATCH(AC$5,生データ表[#Headers],0))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4.1009463722000001</v>
      </c>
      <c r="AD44" s="4">
        <f>IFERROR(ROUND(
(INDEX(生データ表[],MATCH($C44,生データ表['#],0),MATCH(AD$5,生データ表[#Headers],0))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23.636363636399999</v>
      </c>
      <c r="AE44" s="4">
        <f>IFERROR(ROUND(
(INDEX(生データ表[],MATCH($C44,生データ表['#],0),MATCH(AE$5,生データ表[#Headers],0))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7.8418495693999999</v>
      </c>
      <c r="AF44" s="4">
        <f>IFERROR(ROUND(
(INDEX(生データ表[],MATCH($C44,生データ表['#],0),MATCH(AF$5,生データ表[#Headers],0))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6.2420390806999997</v>
      </c>
      <c r="AG44" s="4">
        <f>IFERROR(ROUND(
(INDEX(生データ表[],MATCH($C44,生データ表['#],0),MATCH(AG$5,生データ表[#Headers],0))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36.926066180600003</v>
      </c>
      <c r="AH44" s="4">
        <f>IFERROR(ROUND(
(INDEX(生データ表[],MATCH($C44,生データ表['#],0),MATCH(AH$5,生データ表[#Headers],0))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44" s="4">
        <f>IFERROR(ROUND(
(INDEX(生データ表[],MATCH($C44,生データ表['#],0),MATCH(AI$5,生データ表[#Headers],0))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21.770811826300001</v>
      </c>
      <c r="AJ44" s="4">
        <f>IFERROR(ROUND(
(INDEX(生データ表[],MATCH($C44,生データ表['#],0),MATCH(AJ$5,生データ表[#Headers],0))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17.012448132799999</v>
      </c>
      <c r="AK44" s="4">
        <f>IFERROR(ROUND(
(INDEX(生データ表[],MATCH($C44,生データ表['#],0),MATCH(AK$5,生データ表[#Headers],0))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13.0136986301</v>
      </c>
      <c r="AL44" s="4">
        <f>IFERROR(ROUND(
(INDEX(生データ表[],MATCH($C44,生データ表['#],0),MATCH(AL$5,生データ表[#Headers],0))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5.2631578947</v>
      </c>
      <c r="AM44" s="4">
        <f>IFERROR(ROUND(
(INDEX(生データ表[],MATCH($C44,生データ表['#],0),MATCH(AM$5,生データ表[#Headers],0))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16.840487099099999</v>
      </c>
      <c r="AN44" s="4">
        <f>IFERROR(ROUND(
(INDEX(生データ表[],MATCH($C44,生データ表['#],0),MATCH(AN$5,生データ表[#Headers],0))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8.3971101450999992</v>
      </c>
      <c r="AO44" s="4">
        <f>IFERROR(ROUND(
(INDEX(生データ表[],MATCH($C44,生データ表['#],0),MATCH(AO$5,生データ表[#Headers],0))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12.7224592279</v>
      </c>
      <c r="AP44" s="4">
        <f>IFERROR(ROUND(
(INDEX(生データ表[],MATCH($C44,生データ表['#],0),MATCH(AP$5,生データ表[#Headers],0))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34.084277909999997</v>
      </c>
      <c r="AQ44" s="4">
        <f>IFERROR(ROUND(
(INDEX(生データ表[],MATCH($C44,生データ表['#],0),MATCH(AQ$5,生データ表[#Headers],0))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2.3948686340999998</v>
      </c>
      <c r="AR44" s="4">
        <f>IFERROR(ROUND(
(INDEX(生データ表[],MATCH($C44,生データ表['#],0),MATCH(AR$5,生データ表[#Headers],0))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2.3551569087000002</v>
      </c>
      <c r="AS44" s="4">
        <f>IFERROR(ROUND(
(INDEX(生データ表[],MATCH($C44,生データ表['#],0),MATCH(AS$5,生データ表[#Headers],0))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90.8830849844</v>
      </c>
      <c r="AT44" s="4">
        <f>IFERROR(ROUND(
(INDEX(生データ表[],MATCH($C44,生データ表['#],0),MATCH(AT$5,生データ表[#Headers],0))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60.630634921599999</v>
      </c>
      <c r="AU44" s="4">
        <f>IFERROR(ROUND(
(INDEX(生データ表[],MATCH($C44,生データ表['#],0),MATCH(AU$5,生データ表[#Headers],0))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72.641005078899994</v>
      </c>
      <c r="AV44" s="4">
        <f>IFERROR(ROUND(
(INDEX(生データ表[],MATCH($C44,生データ表['#],0),MATCH(AV$5,生データ表[#Headers],0))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29.137713368499998</v>
      </c>
      <c r="AW44" s="4">
        <f>IFERROR(ROUND(
(INDEX(生データ表[],MATCH($C44,生データ表['#],0),MATCH(AW$5,生データ表[#Headers],0))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30.5207148828</v>
      </c>
      <c r="AX44" s="4">
        <f>IFERROR(ROUND(
(INDEX(生データ表[],MATCH($C44,生データ表['#],0),MATCH(AX$5,生データ表[#Headers],0))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79.111310599800007</v>
      </c>
      <c r="AY44" s="4">
        <f>IFERROR(ROUND(
(INDEX(生データ表[],MATCH($C44,生データ表['#],0),MATCH(AY$5,生データ表[#Headers],0))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99.156829679599994</v>
      </c>
      <c r="AZ44" s="4">
        <f>IFERROR(ROUND(
(INDEX(生データ表[],MATCH($C44,生データ表['#],0),MATCH(AZ$5,生データ表[#Headers],0))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65.370213793900007</v>
      </c>
      <c r="BA44" s="4">
        <f>IFERROR(ROUND(
(INDEX(生データ表[],MATCH($C44,生データ表['#],0),MATCH(BA$5,生データ表[#Headers],0))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66.659608137500001</v>
      </c>
      <c r="BB44" s="4">
        <f>IFERROR(ROUND(
(INDEX(生データ表[],MATCH($C44,生データ表['#],0),MATCH(BB$5,生データ表[#Headers],0))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26.423458706000002</v>
      </c>
      <c r="BC44" s="4">
        <f>IFERROR(ROUND(
(INDEX(生データ表[],MATCH($C44,生データ表['#],0),MATCH(BC$5,生データ表[#Headers],0))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59.430641661199999</v>
      </c>
      <c r="BD44" s="4">
        <f>IFERROR(ROUND(
(INDEX(生データ表[],MATCH($C44,生データ表['#],0),MATCH(BD$5,生データ表[#Headers],0))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100</v>
      </c>
      <c r="BE44" s="4">
        <f>IFERROR(ROUND(
(INDEX(生データ表[],MATCH($C44,生データ表['#],0),MATCH(BE$5,生データ表[#Headers],0))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22.3186167629</v>
      </c>
      <c r="BF44" s="4">
        <f>IFERROR(ROUND(
(INDEX(生データ表[],MATCH($C44,生データ表['#],0),MATCH(BF$5,生データ表[#Headers],0))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32.492433257800002</v>
      </c>
      <c r="BG44" s="4">
        <f>IFERROR(ROUND(
(INDEX(生データ表[],MATCH($C44,生データ表['#],0),MATCH(BG$5,生データ表[#Headers],0))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45.063707357200002</v>
      </c>
      <c r="BH44" s="4">
        <f>IFERROR(ROUND(
(INDEX(生データ表[],MATCH($C44,生データ表['#],0),MATCH(BH$5,生データ表[#Headers],0))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16.187527642599999</v>
      </c>
      <c r="BI44" s="4">
        <f>IFERROR(ROUND(
(INDEX(生データ表[],MATCH($C44,生データ表['#],0),MATCH(BI$5,生データ表[#Headers],0))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37.807407670099998</v>
      </c>
      <c r="BJ44" s="4">
        <f>IFERROR(ROUND(
(INDEX(生データ表[],MATCH($C44,生データ表['#],0),MATCH(BJ$5,生データ表[#Headers],0))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29.550740655199998</v>
      </c>
      <c r="BK44" s="4">
        <f>IFERROR(ROUND(
(INDEX(生データ表[],MATCH($C44,生データ表['#],0),MATCH(BK$5,生データ表[#Headers],0))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91.196388261899997</v>
      </c>
      <c r="BL44" s="4">
        <f>IFERROR(ROUND(
(INDEX(生データ表[],MATCH($C44,生データ表['#],0),MATCH(BL$5,生データ表[#Headers],0))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53.809667920099997</v>
      </c>
      <c r="BM44" s="4">
        <f>IFERROR(ROUND(
(INDEX(生データ表[],MATCH($C44,生データ表['#],0),MATCH(BM$5,生データ表[#Headers],0))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58.055152394799997</v>
      </c>
      <c r="BN44" s="4">
        <f>IFERROR(ROUND(
(INDEX(生データ表[],MATCH($C44,生データ表['#],0),MATCH(BN$5,生データ表[#Headers],0))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74.412070920399998</v>
      </c>
      <c r="BO44" s="4">
        <f>IFERROR(ROUND(
(INDEX(生データ表[],MATCH($C44,生データ表['#],0),MATCH(BO$5,生データ表[#Headers],0))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51.438463969799997</v>
      </c>
      <c r="BP44" s="4">
        <f>IFERROR(ROUND(
(INDEX(生データ表[],MATCH($C44,生データ表['#],0),MATCH(BP$5,生データ表[#Headers],0))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10.597826087</v>
      </c>
      <c r="BQ44" s="4">
        <f>IFERROR(ROUND(
(INDEX(生データ表[],MATCH($C44,生データ表['#],0),MATCH(BQ$5,生データ表[#Headers],0))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1.555213575</v>
      </c>
      <c r="BR44" s="4">
        <f>IFERROR(ROUND(
(INDEX(生データ表[],MATCH($C44,生データ表['#],0),MATCH(BR$5,生データ表[#Headers],0))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23.7328377493</v>
      </c>
      <c r="BS44" s="4">
        <f>IFERROR(ROUND(
(INDEX(生データ表[],MATCH($C44,生データ表['#],0),MATCH(BS$5,生データ表[#Headers],0))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27.308728021499999</v>
      </c>
      <c r="BT44" s="4">
        <f>IFERROR(ROUND(
(INDEX(生データ表[],MATCH($C44,生データ表['#],0),MATCH(BT$5,生データ表[#Headers],0))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9.4274545872999997</v>
      </c>
      <c r="BU44" s="4">
        <f>IFERROR(ROUND(
(INDEX(生データ表[],MATCH($C44,生データ表['#],0),MATCH(BU$5,生データ表[#Headers],0))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23.805538696999999</v>
      </c>
      <c r="BV44" s="4">
        <f>IFERROR(ROUND(
(INDEX(生データ表[],MATCH($C44,生データ表['#],0),MATCH(BV$5,生データ表[#Headers],0))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97.619047619</v>
      </c>
      <c r="BW44" s="4">
        <f>IFERROR(ROUND(
(INDEX(生データ表[],MATCH($C44,生データ表['#],0),MATCH(BW$5,生データ表[#Headers],0))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54.858657243800003</v>
      </c>
      <c r="BX44" s="4">
        <f>IFERROR(ROUND(
(INDEX(生データ表[],MATCH($C44,生データ表['#],0),MATCH(BX$5,生データ表[#Headers],0))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47.647783251200003</v>
      </c>
      <c r="BY44" s="4">
        <f>IFERROR(ROUND(
(INDEX(生データ表[],MATCH($C44,生データ表['#],0),MATCH(BY$5,生データ表[#Headers],0))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16.6730708529</v>
      </c>
      <c r="BZ44" s="4">
        <f t="shared" si="13"/>
        <v>40.311354931149999</v>
      </c>
      <c r="CA44" s="4">
        <f t="shared" si="13"/>
        <v>50.799419551500002</v>
      </c>
      <c r="CB44" s="4">
        <f t="shared" si="13"/>
        <v>1.6301142521500001</v>
      </c>
      <c r="CC44" s="4">
        <f t="shared" si="13"/>
        <v>19.49897387715</v>
      </c>
      <c r="CD44" s="4">
        <f t="shared" si="13"/>
        <v>84.101451350333335</v>
      </c>
      <c r="CE44" s="4">
        <f t="shared" si="13"/>
        <v>62.646752349899998</v>
      </c>
      <c r="CF44" s="4">
        <f t="shared" si="13"/>
        <v>52.829376123700001</v>
      </c>
      <c r="CG44" s="4">
        <f t="shared" si="13"/>
        <v>40.544065820366669</v>
      </c>
      <c r="CH44" s="4">
        <f t="shared" si="13"/>
        <v>44.293732012200003</v>
      </c>
      <c r="CI44" s="4">
        <f t="shared" si="13"/>
        <v>10.455299664675</v>
      </c>
      <c r="CJ44" s="4">
        <f t="shared" si="14"/>
        <v>19.565626002300004</v>
      </c>
      <c r="CK44" s="4">
        <f t="shared" si="14"/>
        <v>11.763101552533334</v>
      </c>
      <c r="CL44" s="4">
        <f t="shared" si="14"/>
        <v>18.011083595524997</v>
      </c>
      <c r="CM44" s="4">
        <f t="shared" si="14"/>
        <v>2.3750127713999998</v>
      </c>
      <c r="CN44" s="4">
        <f t="shared" si="14"/>
        <v>74.718241661633328</v>
      </c>
      <c r="CO44" s="4">
        <f t="shared" si="14"/>
        <v>29.829214125649997</v>
      </c>
      <c r="CP44" s="4">
        <f t="shared" si="14"/>
        <v>89.1340701397</v>
      </c>
      <c r="CQ44" s="4">
        <f t="shared" si="14"/>
        <v>52.817760212466673</v>
      </c>
      <c r="CR44" s="4">
        <f t="shared" si="14"/>
        <v>53.560422920475006</v>
      </c>
      <c r="CS44" s="4">
        <f t="shared" si="14"/>
        <v>33.019547556633334</v>
      </c>
      <c r="CT44" s="4">
        <f t="shared" si="15"/>
        <v>58.185598945733339</v>
      </c>
      <c r="CU44" s="4">
        <f t="shared" si="15"/>
        <v>61.301895761666664</v>
      </c>
      <c r="CV44" s="4">
        <f t="shared" si="15"/>
        <v>6.0765198309999997</v>
      </c>
      <c r="CW44" s="4">
        <f t="shared" si="15"/>
        <v>25.520782885399999</v>
      </c>
      <c r="CX44" s="4">
        <f t="shared" si="15"/>
        <v>43.617346967766672</v>
      </c>
      <c r="CY44" s="4">
        <f t="shared" si="15"/>
        <v>39.726503782633337</v>
      </c>
      <c r="CZ44" s="4">
        <f t="shared" si="16"/>
        <v>258.98806631218332</v>
      </c>
      <c r="DA44" s="4">
        <f t="shared" si="16"/>
        <v>137.66717395626668</v>
      </c>
      <c r="DB44" s="4">
        <f t="shared" si="16"/>
        <v>62.170123586433341</v>
      </c>
      <c r="DC44" s="4">
        <f t="shared" si="16"/>
        <v>300.05970905992501</v>
      </c>
      <c r="DD44" s="4">
        <f t="shared" si="16"/>
        <v>152.50704226403334</v>
      </c>
      <c r="DE44" s="4">
        <f t="shared" si="16"/>
        <v>114.94115346680002</v>
      </c>
      <c r="DF44" s="76">
        <f t="shared" si="4"/>
        <v>1026.3332686456417</v>
      </c>
    </row>
    <row r="45" spans="1:110" hidden="1">
      <c r="A45" s="2">
        <v>40</v>
      </c>
      <c r="B45" s="58">
        <f>INDEX(順位表[Comprehensive],MATCH($C45,順位表['#],0))</f>
        <v>39</v>
      </c>
      <c r="C45" s="3">
        <v>40</v>
      </c>
      <c r="D45" s="1" t="str">
        <f>INDEX(都市マスタ[City Name],MATCH($C45,都市マスタ['#],0))</f>
        <v>Sao Paulo</v>
      </c>
      <c r="E45" s="4">
        <f>IFERROR(ROUND(
(INDEX(生データ表[],MATCH($C45,生データ表['#],0),MATCH(E$5,生データ表[#Headers],0))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49.3796152181</v>
      </c>
      <c r="F45" s="4">
        <f>IFERROR(ROUND(
(INDEX(生データ表[],MATCH($C45,生データ表['#],0),MATCH(F$5,生データ表[#Headers],0))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9.1841802782999995</v>
      </c>
      <c r="G45" s="4">
        <f>IFERROR(ROUND(
(INDEX(生データ表[],MATCH($C45,生データ表['#],0),MATCH(G$5,生データ表[#Headers],0))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2.93237945E-2</v>
      </c>
      <c r="H45" s="4">
        <f>IFERROR(ROUND(
(INDEX(生データ表[],MATCH($C45,生データ表['#],0),MATCH(H$5,生データ表[#Headers],0))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15.5702728246</v>
      </c>
      <c r="I45" s="4">
        <f>IFERROR(ROUND(
(INDEX(生データ表[],MATCH($C45,生データ表['#],0),MATCH(I$5,生データ表[#Headers],0))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4.7246689182999999</v>
      </c>
      <c r="J45" s="4">
        <f>IFERROR(ROUND(
(INDEX(生データ表[],MATCH($C45,生データ表['#],0),MATCH(J$5,生データ表[#Headers],0))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23.9869453646</v>
      </c>
      <c r="K45" s="4">
        <f>IFERROR(ROUND(
(INDEX(生データ表[],MATCH($C45,生データ表['#],0),MATCH(K$5,生データ表[#Headers],0))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14.6130465279</v>
      </c>
      <c r="L45" s="4">
        <f>IFERROR(ROUND(
(INDEX(生データ表[],MATCH($C45,生データ表['#],0),MATCH(L$5,生データ表[#Headers],0))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1.9713590946999999</v>
      </c>
      <c r="M45" s="4">
        <f>IFERROR(ROUND(
(INDEX(生データ表[],MATCH($C45,生データ表['#],0),MATCH(M$5,生データ表[#Headers],0))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4.4848653154999996</v>
      </c>
      <c r="N45" s="4">
        <f>IFERROR(ROUND(
(INDEX(生データ表[],MATCH($C45,生データ表['#],0),MATCH(N$5,生データ表[#Headers],0))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42.124468264199997</v>
      </c>
      <c r="O45" s="4">
        <f>IFERROR(ROUND(
(INDEX(生データ表[],MATCH($C45,生データ表['#],0),MATCH(O$5,生データ表[#Headers],0))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80.892903089399994</v>
      </c>
      <c r="P45" s="4">
        <f>IFERROR(ROUND(
(INDEX(生データ表[],MATCH($C45,生データ表['#],0),MATCH(P$5,生データ表[#Headers],0))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2.8874708350999998</v>
      </c>
      <c r="Q45" s="4">
        <f>IFERROR(ROUND(
(INDEX(生データ表[],MATCH($C45,生データ表['#],0),MATCH(Q$5,生データ表[#Headers],0))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21.497825283499999</v>
      </c>
      <c r="R45" s="4">
        <f>IFERROR(ROUND(
(INDEX(生データ表[],MATCH($C45,生データ表['#],0),MATCH(R$5,生データ表[#Headers],0))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46.554932302700003</v>
      </c>
      <c r="S45" s="4">
        <f>IFERROR(ROUND(
(INDEX(生データ表[],MATCH($C45,生データ表['#],0),MATCH(S$5,生データ表[#Headers],0))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3.8461538462</v>
      </c>
      <c r="T45" s="4">
        <f>IFERROR(ROUND(
(INDEX(生データ表[],MATCH($C45,生データ表['#],0),MATCH(T$5,生データ表[#Headers],0))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26.142039123499998</v>
      </c>
      <c r="U45" s="4">
        <f>IFERROR(ROUND(
(INDEX(生データ表[],MATCH($C45,生データ表['#],0),MATCH(U$5,生データ表[#Headers],0))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17.692674519000001</v>
      </c>
      <c r="V45" s="4">
        <f>IFERROR(ROUND(
(INDEX(生データ表[],MATCH($C45,生データ表['#],0),MATCH(V$5,生データ表[#Headers],0))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0.25220680960000003</v>
      </c>
      <c r="W45" s="4">
        <f>IFERROR(ROUND(
(INDEX(生データ表[],MATCH($C45,生データ表['#],0),MATCH(W$5,生データ表[#Headers],0))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2.2044267469999999</v>
      </c>
      <c r="X45" s="4">
        <f>IFERROR(ROUND(
(INDEX(生データ表[],MATCH($C45,生データ表['#],0),MATCH(X$5,生データ表[#Headers],0))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2.4466604438999999</v>
      </c>
      <c r="Y45" s="4">
        <f>IFERROR(ROUND(
(INDEX(生データ表[],MATCH($C45,生データ表['#],0),MATCH(Y$5,生データ表[#Headers],0))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25.8275318082</v>
      </c>
      <c r="Z45" s="4">
        <f>IFERROR(ROUND(
(INDEX(生データ表[],MATCH($C45,生データ表['#],0),MATCH(Z$5,生データ表[#Headers],0))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2.0262967836999999</v>
      </c>
      <c r="AA45" s="4">
        <f>IFERROR(ROUND(
(INDEX(生データ表[],MATCH($C45,生データ表['#],0),MATCH(AA$5,生データ表[#Headers],0))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45" s="4">
        <f>IFERROR(ROUND(
(INDEX(生データ表[],MATCH($C45,生データ表['#],0),MATCH(AB$5,生データ表[#Headers],0))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10.2659574468</v>
      </c>
      <c r="AC45" s="4">
        <f>IFERROR(ROUND(
(INDEX(生データ表[],MATCH($C45,生データ表['#],0),MATCH(AC$5,生データ表[#Headers],0))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2.5236593059999999</v>
      </c>
      <c r="AD45" s="4">
        <f>IFERROR(ROUND(
(INDEX(生データ表[],MATCH($C45,生データ表['#],0),MATCH(AD$5,生データ表[#Headers],0))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52.794612794599999</v>
      </c>
      <c r="AE45" s="4">
        <f>IFERROR(ROUND(
(INDEX(生データ表[],MATCH($C45,生データ表['#],0),MATCH(AE$5,生データ表[#Headers],0))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1.8952475139</v>
      </c>
      <c r="AF45" s="4">
        <f>IFERROR(ROUND(
(INDEX(生データ表[],MATCH($C45,生データ表['#],0),MATCH(AF$5,生データ表[#Headers],0))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3.2819290394</v>
      </c>
      <c r="AG45" s="4">
        <f>IFERROR(ROUND(
(INDEX(生データ表[],MATCH($C45,生データ表['#],0),MATCH(AG$5,生データ表[#Headers],0))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63.723312139400001</v>
      </c>
      <c r="AH45" s="4">
        <f>IFERROR(ROUND(
(INDEX(生データ表[],MATCH($C45,生データ表['#],0),MATCH(AH$5,生データ表[#Headers],0))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45" s="4">
        <f>IFERROR(ROUND(
(INDEX(生データ表[],MATCH($C45,生データ表['#],0),MATCH(AI$5,生データ表[#Headers],0))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81.761117599000002</v>
      </c>
      <c r="AJ45" s="4">
        <f>IFERROR(ROUND(
(INDEX(生データ表[],MATCH($C45,生データ表['#],0),MATCH(AJ$5,生データ表[#Headers],0))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47.3029045643</v>
      </c>
      <c r="AK45" s="4">
        <f>IFERROR(ROUND(
(INDEX(生データ表[],MATCH($C45,生データ表['#],0),MATCH(AK$5,生データ表[#Headers],0))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21.917808219200001</v>
      </c>
      <c r="AL45" s="4">
        <f>IFERROR(ROUND(
(INDEX(生データ表[],MATCH($C45,生データ表['#],0),MATCH(AL$5,生データ表[#Headers],0))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47.368421052599999</v>
      </c>
      <c r="AM45" s="4">
        <f>IFERROR(ROUND(
(INDEX(生データ表[],MATCH($C45,生データ表['#],0),MATCH(AM$5,生データ表[#Headers],0))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18.120327947900002</v>
      </c>
      <c r="AN45" s="4">
        <f>IFERROR(ROUND(
(INDEX(生データ表[],MATCH($C45,生データ表['#],0),MATCH(AN$5,生データ表[#Headers],0))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3.8755892976999999</v>
      </c>
      <c r="AO45" s="4">
        <f>IFERROR(ROUND(
(INDEX(生データ表[],MATCH($C45,生データ表['#],0),MATCH(AO$5,生データ表[#Headers],0))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67.353574183099994</v>
      </c>
      <c r="AP45" s="4">
        <f>IFERROR(ROUND(
(INDEX(生データ表[],MATCH($C45,生データ表['#],0),MATCH(AP$5,生データ表[#Headers],0))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61.204664426699999</v>
      </c>
      <c r="AQ45" s="4">
        <f>IFERROR(ROUND(
(INDEX(生データ表[],MATCH($C45,生データ表['#],0),MATCH(AQ$5,生データ表[#Headers],0))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16.023915843299999</v>
      </c>
      <c r="AR45" s="4">
        <f>IFERROR(ROUND(
(INDEX(生データ表[],MATCH($C45,生データ表['#],0),MATCH(AR$5,生データ表[#Headers],0))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7.2644577020999996</v>
      </c>
      <c r="AS45" s="4">
        <f>IFERROR(ROUND(
(INDEX(生データ表[],MATCH($C45,生データ表['#],0),MATCH(AS$5,生データ表[#Headers],0))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55.549799741299999</v>
      </c>
      <c r="AT45" s="4">
        <f>IFERROR(ROUND(
(INDEX(生データ表[],MATCH($C45,生データ表['#],0),MATCH(AT$5,生データ表[#Headers],0))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59.389278416499998</v>
      </c>
      <c r="AU45" s="4">
        <f>IFERROR(ROUND(
(INDEX(生データ表[],MATCH($C45,生データ表['#],0),MATCH(AU$5,生データ表[#Headers],0))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95.995854531800006</v>
      </c>
      <c r="AV45" s="4">
        <f>IFERROR(ROUND(
(INDEX(生データ表[],MATCH($C45,生データ表['#],0),MATCH(AV$5,生データ表[#Headers],0))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94.112726644999995</v>
      </c>
      <c r="AW45" s="4">
        <f>IFERROR(ROUND(
(INDEX(生データ表[],MATCH($C45,生データ表['#],0),MATCH(AW$5,生データ表[#Headers],0))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80.997068049000006</v>
      </c>
      <c r="AX45" s="4">
        <f>IFERROR(ROUND(
(INDEX(生データ表[],MATCH($C45,生データ表['#],0),MATCH(AX$5,生データ表[#Headers],0))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88.777167376400001</v>
      </c>
      <c r="AY45" s="4">
        <f>IFERROR(ROUND(
(INDEX(生データ表[],MATCH($C45,生データ表['#],0),MATCH(AY$5,生データ表[#Headers],0))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97.470489038799997</v>
      </c>
      <c r="AZ45" s="4">
        <f>IFERROR(ROUND(
(INDEX(生データ表[],MATCH($C45,生データ表['#],0),MATCH(AZ$5,生データ表[#Headers],0))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52.4942625921</v>
      </c>
      <c r="BA45" s="4">
        <f>IFERROR(ROUND(
(INDEX(生データ表[],MATCH($C45,生データ表['#],0),MATCH(BA$5,生データ表[#Headers],0))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41.872166311299999</v>
      </c>
      <c r="BB45" s="4">
        <f>IFERROR(ROUND(
(INDEX(生データ表[],MATCH($C45,生データ表['#],0),MATCH(BB$5,生データ表[#Headers],0))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71.5838084847</v>
      </c>
      <c r="BC45" s="4">
        <f>IFERROR(ROUND(
(INDEX(生データ表[],MATCH($C45,生データ表['#],0),MATCH(BC$5,生データ表[#Headers],0))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21.970237516000001</v>
      </c>
      <c r="BD45" s="4">
        <f>IFERROR(ROUND(
(INDEX(生データ表[],MATCH($C45,生データ表['#],0),MATCH(BD$5,生データ表[#Headers],0))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13.170570901</v>
      </c>
      <c r="BE45" s="4">
        <f>IFERROR(ROUND(
(INDEX(生データ表[],MATCH($C45,生データ表['#],0),MATCH(BE$5,生データ表[#Headers],0))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55.455865654599997</v>
      </c>
      <c r="BF45" s="4">
        <f>IFERROR(ROUND(
(INDEX(生データ表[],MATCH($C45,生データ表['#],0),MATCH(BF$5,生データ表[#Headers],0))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39.1261152708</v>
      </c>
      <c r="BG45" s="4">
        <f>IFERROR(ROUND(
(INDEX(生データ表[],MATCH($C45,生データ表['#],0),MATCH(BG$5,生データ表[#Headers],0))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55.840526099500003</v>
      </c>
      <c r="BH45" s="4">
        <f>IFERROR(ROUND(
(INDEX(生データ表[],MATCH($C45,生データ表['#],0),MATCH(BH$5,生データ表[#Headers],0))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96.174259177400003</v>
      </c>
      <c r="BI45" s="4">
        <f>IFERROR(ROUND(
(INDEX(生データ表[],MATCH($C45,生データ表['#],0),MATCH(BI$5,生データ表[#Headers],0))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1.5912677362000001</v>
      </c>
      <c r="BJ45" s="4">
        <f>IFERROR(ROUND(
(INDEX(生データ表[],MATCH($C45,生データ表['#],0),MATCH(BJ$5,生データ表[#Headers],0))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95.080189772300002</v>
      </c>
      <c r="BK45" s="4">
        <f>IFERROR(ROUND(
(INDEX(生データ表[],MATCH($C45,生データ表['#],0),MATCH(BK$5,生データ表[#Headers],0))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76.523702031599996</v>
      </c>
      <c r="BL45" s="4">
        <f>IFERROR(ROUND(
(INDEX(生データ表[],MATCH($C45,生データ表['#],0),MATCH(BL$5,生データ表[#Headers],0))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100</v>
      </c>
      <c r="BM45" s="4">
        <f>IFERROR(ROUND(
(INDEX(生データ表[],MATCH($C45,生データ表['#],0),MATCH(BM$5,生データ表[#Headers],0))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6.8214804064000001</v>
      </c>
      <c r="BN45" s="4">
        <f>IFERROR(ROUND(
(INDEX(生データ表[],MATCH($C45,生データ表['#],0),MATCH(BN$5,生データ表[#Headers],0))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47.725746929300001</v>
      </c>
      <c r="BO45" s="4">
        <f>IFERROR(ROUND(
(INDEX(生データ表[],MATCH($C45,生データ表['#],0),MATCH(BO$5,生データ表[#Headers],0))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5.0927524548000003</v>
      </c>
      <c r="BP45" s="4">
        <f>IFERROR(ROUND(
(INDEX(生データ表[],MATCH($C45,生データ表['#],0),MATCH(BP$5,生データ表[#Headers],0))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10.054347826100001</v>
      </c>
      <c r="BQ45" s="4">
        <f>IFERROR(ROUND(
(INDEX(生データ表[],MATCH($C45,生データ表['#],0),MATCH(BQ$5,生データ表[#Headers],0))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10.601631851800001</v>
      </c>
      <c r="BR45" s="4">
        <f>IFERROR(ROUND(
(INDEX(生データ表[],MATCH($C45,生データ表['#],0),MATCH(BR$5,生データ表[#Headers],0))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22.462011214699999</v>
      </c>
      <c r="BS45" s="4">
        <f>IFERROR(ROUND(
(INDEX(生データ表[],MATCH($C45,生データ表['#],0),MATCH(BS$5,生データ表[#Headers],0))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15.735573266799999</v>
      </c>
      <c r="BT45" s="4">
        <f>IFERROR(ROUND(
(INDEX(生データ表[],MATCH($C45,生データ表['#],0),MATCH(BT$5,生データ表[#Headers],0))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7.4729822948000004</v>
      </c>
      <c r="BU45" s="4">
        <f>IFERROR(ROUND(
(INDEX(生データ表[],MATCH($C45,生データ表['#],0),MATCH(BU$5,生データ表[#Headers],0))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40.326280112200003</v>
      </c>
      <c r="BV45" s="4">
        <f>IFERROR(ROUND(
(INDEX(生データ表[],MATCH($C45,生データ表['#],0),MATCH(BV$5,生データ表[#Headers],0))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52.380952381</v>
      </c>
      <c r="BW45" s="4">
        <f>IFERROR(ROUND(
(INDEX(生データ表[],MATCH($C45,生データ表['#],0),MATCH(BW$5,生データ表[#Headers],0))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3.8979681979</v>
      </c>
      <c r="BX45" s="4">
        <f>IFERROR(ROUND(
(INDEX(生データ表[],MATCH($C45,生データ表['#],0),MATCH(BX$5,生データ表[#Headers],0))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32.175265750599998</v>
      </c>
      <c r="BY45" s="4">
        <f>IFERROR(ROUND(
(INDEX(生データ表[],MATCH($C45,生データ表['#],0),MATCH(BY$5,生データ表[#Headers],0))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46.010060084599999</v>
      </c>
      <c r="BZ45" s="4">
        <f t="shared" si="13"/>
        <v>10.14747087145</v>
      </c>
      <c r="CA45" s="4">
        <f t="shared" si="13"/>
        <v>19.29999594625</v>
      </c>
      <c r="CB45" s="4">
        <f t="shared" si="13"/>
        <v>3.2281122050999995</v>
      </c>
      <c r="CC45" s="4">
        <f t="shared" si="13"/>
        <v>61.508685676799999</v>
      </c>
      <c r="CD45" s="4">
        <f t="shared" si="13"/>
        <v>23.646742807100001</v>
      </c>
      <c r="CE45" s="4">
        <f t="shared" si="13"/>
        <v>14.994096484849999</v>
      </c>
      <c r="CF45" s="4">
        <f t="shared" si="13"/>
        <v>8.9724406643000005</v>
      </c>
      <c r="CG45" s="4">
        <f t="shared" si="13"/>
        <v>10.159539666366667</v>
      </c>
      <c r="CH45" s="4">
        <f t="shared" si="13"/>
        <v>4.0974180768333328</v>
      </c>
      <c r="CI45" s="4">
        <f t="shared" si="13"/>
        <v>15.123862163475</v>
      </c>
      <c r="CJ45" s="4">
        <f t="shared" si="14"/>
        <v>48.494809912800001</v>
      </c>
      <c r="CK45" s="4">
        <f t="shared" si="14"/>
        <v>38.863044612033335</v>
      </c>
      <c r="CL45" s="4">
        <f t="shared" si="14"/>
        <v>37.638538963849996</v>
      </c>
      <c r="CM45" s="4">
        <f t="shared" si="14"/>
        <v>11.644186772699999</v>
      </c>
      <c r="CN45" s="4">
        <f t="shared" si="14"/>
        <v>70.311644229866673</v>
      </c>
      <c r="CO45" s="4">
        <f t="shared" si="14"/>
        <v>87.554897347000008</v>
      </c>
      <c r="CP45" s="4">
        <f t="shared" si="14"/>
        <v>93.123828207599999</v>
      </c>
      <c r="CQ45" s="4">
        <f t="shared" si="14"/>
        <v>55.316745796033331</v>
      </c>
      <c r="CR45" s="4">
        <f t="shared" si="14"/>
        <v>32.430697335600001</v>
      </c>
      <c r="CS45" s="4">
        <f t="shared" si="14"/>
        <v>51.202017671033332</v>
      </c>
      <c r="CT45" s="4">
        <f t="shared" si="15"/>
        <v>90.534630601300009</v>
      </c>
      <c r="CU45" s="4">
        <f t="shared" si="15"/>
        <v>19.879993263500001</v>
      </c>
      <c r="CV45" s="4">
        <f t="shared" si="15"/>
        <v>10.32798983895</v>
      </c>
      <c r="CW45" s="4">
        <f t="shared" si="15"/>
        <v>19.098792240750001</v>
      </c>
      <c r="CX45" s="4">
        <f t="shared" si="15"/>
        <v>33.393404929333336</v>
      </c>
      <c r="CY45" s="4">
        <f t="shared" si="15"/>
        <v>27.361098011033334</v>
      </c>
      <c r="CZ45" s="4">
        <f t="shared" si="16"/>
        <v>132.82510399154998</v>
      </c>
      <c r="DA45" s="4">
        <f t="shared" si="16"/>
        <v>23.2293984075</v>
      </c>
      <c r="DB45" s="4">
        <f t="shared" si="16"/>
        <v>151.76444242485834</v>
      </c>
      <c r="DC45" s="4">
        <f t="shared" si="16"/>
        <v>338.73781291609998</v>
      </c>
      <c r="DD45" s="4">
        <f t="shared" si="16"/>
        <v>161.61664153583337</v>
      </c>
      <c r="DE45" s="4">
        <f t="shared" si="16"/>
        <v>90.181285020066667</v>
      </c>
      <c r="DF45" s="76">
        <f t="shared" si="4"/>
        <v>898.35468429590821</v>
      </c>
    </row>
    <row r="46" spans="1:110" hidden="1">
      <c r="A46" s="2">
        <v>41</v>
      </c>
      <c r="B46" s="58">
        <f>INDEX(順位表[Comprehensive],MATCH($C46,順位表['#],0))</f>
        <v>46</v>
      </c>
      <c r="C46" s="3">
        <v>41</v>
      </c>
      <c r="D46" s="1" t="str">
        <f>INDEX(都市マスタ[City Name],MATCH($C46,都市マスタ['#],0))</f>
        <v>Johannesburg</v>
      </c>
      <c r="E46" s="4">
        <f>IFERROR(ROUND(
(INDEX(生データ表[],MATCH($C46,生データ表['#],0),MATCH(E$5,生データ表[#Headers],0))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19.216913770200001</v>
      </c>
      <c r="F46" s="4">
        <f>IFERROR(ROUND(
(INDEX(生データ表[],MATCH($C46,生データ表['#],0),MATCH(F$5,生データ表[#Headers],0))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9.9272918655000009</v>
      </c>
      <c r="G46" s="4">
        <f>IFERROR(ROUND(
(INDEX(生データ表[],MATCH($C46,生データ表['#],0),MATCH(G$5,生データ表[#Headers],0))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0.1048355961</v>
      </c>
      <c r="H46" s="4">
        <f>IFERROR(ROUND(
(INDEX(生データ表[],MATCH($C46,生データ表['#],0),MATCH(H$5,生データ表[#Headers],0))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2.7240416782999999</v>
      </c>
      <c r="I46" s="4">
        <f>IFERROR(ROUND(
(INDEX(生データ表[],MATCH($C46,生データ表['#],0),MATCH(I$5,生データ表[#Headers],0))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3.3105379959999999</v>
      </c>
      <c r="J46" s="4">
        <f>IFERROR(ROUND(
(INDEX(生データ表[],MATCH($C46,生データ表['#],0),MATCH(J$5,生データ表[#Headers],0))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20.967944834899999</v>
      </c>
      <c r="K46" s="4">
        <f>IFERROR(ROUND(
(INDEX(生データ表[],MATCH($C46,生データ表['#],0),MATCH(K$5,生データ表[#Headers],0))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20.902501753599999</v>
      </c>
      <c r="L46" s="4">
        <f>IFERROR(ROUND(
(INDEX(生データ表[],MATCH($C46,生データ表['#],0),MATCH(L$5,生データ表[#Headers],0))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2.9077093212</v>
      </c>
      <c r="M46" s="4">
        <f>IFERROR(ROUND(
(INDEX(生データ表[],MATCH($C46,生データ表['#],0),MATCH(M$5,生データ表[#Headers],0))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46" s="4">
        <f>IFERROR(ROUND(
(INDEX(生データ表[],MATCH($C46,生データ表['#],0),MATCH(N$5,生データ表[#Headers],0))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12.4629424942</v>
      </c>
      <c r="O46" s="4">
        <f>IFERROR(ROUND(
(INDEX(生データ表[],MATCH($C46,生データ表['#],0),MATCH(O$5,生データ表[#Headers],0))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62.805945176000002</v>
      </c>
      <c r="P46" s="4">
        <f>IFERROR(ROUND(
(INDEX(生データ表[],MATCH($C46,生データ表['#],0),MATCH(P$5,生データ表[#Headers],0))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22.099134218300001</v>
      </c>
      <c r="Q46" s="4">
        <f>IFERROR(ROUND(
(INDEX(生データ表[],MATCH($C46,生データ表['#],0),MATCH(Q$5,生データ表[#Headers],0))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22.906439338799998</v>
      </c>
      <c r="R46" s="4">
        <f>IFERROR(ROUND(
(INDEX(生データ表[],MATCH($C46,生データ表['#],0),MATCH(R$5,生データ表[#Headers],0))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9.6399022633999998</v>
      </c>
      <c r="S46" s="4">
        <f>IFERROR(ROUND(
(INDEX(生データ表[],MATCH($C46,生データ表['#],0),MATCH(S$5,生データ表[#Headers],0))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30.7692307692</v>
      </c>
      <c r="T46" s="4">
        <f>IFERROR(ROUND(
(INDEX(生データ表[],MATCH($C46,生データ表['#],0),MATCH(T$5,生データ表[#Headers],0))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41.914907340699997</v>
      </c>
      <c r="U46" s="4">
        <f>IFERROR(ROUND(
(INDEX(生データ表[],MATCH($C46,生データ表['#],0),MATCH(U$5,生データ表[#Headers],0))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1.9249247326000001</v>
      </c>
      <c r="V46" s="4">
        <f>IFERROR(ROUND(
(INDEX(生データ表[],MATCH($C46,生データ表['#],0),MATCH(V$5,生データ表[#Headers],0))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0.25220680960000003</v>
      </c>
      <c r="W46" s="4">
        <f>IFERROR(ROUND(
(INDEX(生データ表[],MATCH($C46,生データ表['#],0),MATCH(W$5,生データ表[#Headers],0))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0.3919314747</v>
      </c>
      <c r="X46" s="4">
        <f>IFERROR(ROUND(
(INDEX(生データ表[],MATCH($C46,生データ表['#],0),MATCH(X$5,生データ表[#Headers],0))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4.4121091415000002</v>
      </c>
      <c r="Y46" s="4">
        <f>IFERROR(ROUND(
(INDEX(生データ表[],MATCH($C46,生データ表['#],0),MATCH(Y$5,生データ表[#Headers],0))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0</v>
      </c>
      <c r="Z46" s="4">
        <f>IFERROR(ROUND(
(INDEX(生データ表[],MATCH($C46,生データ表['#],0),MATCH(Z$5,生データ表[#Headers],0))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2.0077132869000001</v>
      </c>
      <c r="AA46" s="4">
        <f>IFERROR(ROUND(
(INDEX(生データ表[],MATCH($C46,生データ表['#],0),MATCH(AA$5,生データ表[#Headers],0))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46" s="4">
        <f>IFERROR(ROUND(
(INDEX(生データ表[],MATCH($C46,生データ表['#],0),MATCH(AB$5,生データ表[#Headers],0))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1.2411347518</v>
      </c>
      <c r="AC46" s="4">
        <f>IFERROR(ROUND(
(INDEX(生データ表[],MATCH($C46,生データ表['#],0),MATCH(AC$5,生データ表[#Headers],0))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1.2618296529999999</v>
      </c>
      <c r="AD46" s="4">
        <f>IFERROR(ROUND(
(INDEX(生データ表[],MATCH($C46,生データ表['#],0),MATCH(AD$5,生データ表[#Headers],0))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29.6296296296</v>
      </c>
      <c r="AE46" s="4">
        <f>IFERROR(ROUND(
(INDEX(生データ表[],MATCH($C46,生データ表['#],0),MATCH(AE$5,生データ表[#Headers],0))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2.0881164933999998</v>
      </c>
      <c r="AF46" s="4">
        <f>IFERROR(ROUND(
(INDEX(生データ表[],MATCH($C46,生データ表['#],0),MATCH(AF$5,生データ表[#Headers],0))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2.0091906553999999</v>
      </c>
      <c r="AG46" s="4">
        <f>IFERROR(ROUND(
(INDEX(生データ表[],MATCH($C46,生データ表['#],0),MATCH(AG$5,生データ表[#Headers],0))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42.493490366899998</v>
      </c>
      <c r="AH46" s="4">
        <f>IFERROR(ROUND(
(INDEX(生データ表[],MATCH($C46,生データ表['#],0),MATCH(AH$5,生データ表[#Headers],0))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46" s="4">
        <f>IFERROR(ROUND(
(INDEX(生データ表[],MATCH($C46,生データ表['#],0),MATCH(AI$5,生データ表[#Headers],0))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46.2873923645</v>
      </c>
      <c r="AJ46" s="4">
        <f>IFERROR(ROUND(
(INDEX(生データ表[],MATCH($C46,生データ表['#],0),MATCH(AJ$5,生データ表[#Headers],0))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1.4522821577</v>
      </c>
      <c r="AK46" s="4">
        <f>IFERROR(ROUND(
(INDEX(生データ表[],MATCH($C46,生データ表['#],0),MATCH(AK$5,生データ表[#Headers],0))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6.5068493151000002</v>
      </c>
      <c r="AL46" s="4">
        <f>IFERROR(ROUND(
(INDEX(生データ表[],MATCH($C46,生データ表['#],0),MATCH(AL$5,生データ表[#Headers],0))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52.631578947400001</v>
      </c>
      <c r="AM46" s="4">
        <f>IFERROR(ROUND(
(INDEX(生データ表[],MATCH($C46,生データ表['#],0),MATCH(AM$5,生データ表[#Headers],0))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0</v>
      </c>
      <c r="AN46" s="4">
        <f>IFERROR(ROUND(
(INDEX(生データ表[],MATCH($C46,生データ表['#],0),MATCH(AN$5,生データ表[#Headers],0))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1.5214596216</v>
      </c>
      <c r="AO46" s="4">
        <f>IFERROR(ROUND(
(INDEX(生データ表[],MATCH($C46,生データ表['#],0),MATCH(AO$5,生データ表[#Headers],0))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27.563224717600001</v>
      </c>
      <c r="AP46" s="4">
        <f>IFERROR(ROUND(
(INDEX(生データ表[],MATCH($C46,生データ表['#],0),MATCH(AP$5,生データ表[#Headers],0))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38.3651650479</v>
      </c>
      <c r="AQ46" s="4">
        <f>IFERROR(ROUND(
(INDEX(生データ表[],MATCH($C46,生データ表['#],0),MATCH(AQ$5,生データ表[#Headers],0))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16.3794732474</v>
      </c>
      <c r="AR46" s="4">
        <f>IFERROR(ROUND(
(INDEX(生データ表[],MATCH($C46,生データ表['#],0),MATCH(AR$5,生データ表[#Headers],0))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5.4027774159000002</v>
      </c>
      <c r="AS46" s="4">
        <f>IFERROR(ROUND(
(INDEX(生データ表[],MATCH($C46,生データ表['#],0),MATCH(AS$5,生データ表[#Headers],0))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0</v>
      </c>
      <c r="AT46" s="4">
        <f>IFERROR(ROUND(
(INDEX(生データ表[],MATCH($C46,生データ表['#],0),MATCH(AT$5,生データ表[#Headers],0))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58.004535609400001</v>
      </c>
      <c r="AU46" s="4">
        <f>IFERROR(ROUND(
(INDEX(生データ表[],MATCH($C46,生データ表['#],0),MATCH(AU$5,生データ表[#Headers],0))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93.115676204500005</v>
      </c>
      <c r="AV46" s="4">
        <f>IFERROR(ROUND(
(INDEX(生データ表[],MATCH($C46,生データ表['#],0),MATCH(AV$5,生データ表[#Headers],0))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93.7752489123</v>
      </c>
      <c r="AW46" s="4">
        <f>IFERROR(ROUND(
(INDEX(生データ表[],MATCH($C46,生データ表['#],0),MATCH(AW$5,生データ表[#Headers],0))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82.746976836200005</v>
      </c>
      <c r="AX46" s="4">
        <f>IFERROR(ROUND(
(INDEX(生データ表[],MATCH($C46,生データ表['#],0),MATCH(AX$5,生データ表[#Headers],0))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0</v>
      </c>
      <c r="AY46" s="4">
        <f>IFERROR(ROUND(
(INDEX(生データ表[],MATCH($C46,生データ表['#],0),MATCH(AY$5,生データ表[#Headers],0))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99.662731871800005</v>
      </c>
      <c r="AZ46" s="4">
        <f>IFERROR(ROUND(
(INDEX(生データ表[],MATCH($C46,生データ表['#],0),MATCH(AZ$5,生データ表[#Headers],0))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0</v>
      </c>
      <c r="BA46" s="4">
        <f>IFERROR(ROUND(
(INDEX(生データ表[],MATCH($C46,生データ表['#],0),MATCH(BA$5,生データ表[#Headers],0))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61.4746935585</v>
      </c>
      <c r="BB46" s="4">
        <f>IFERROR(ROUND(
(INDEX(生データ表[],MATCH($C46,生データ表['#],0),MATCH(BB$5,生データ表[#Headers],0))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26.493141764899999</v>
      </c>
      <c r="BC46" s="4">
        <f>IFERROR(ROUND(
(INDEX(生データ表[],MATCH($C46,生データ表['#],0),MATCH(BC$5,生データ表[#Headers],0))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5.7620931891999998</v>
      </c>
      <c r="BD46" s="4">
        <f>IFERROR(ROUND(
(INDEX(生データ表[],MATCH($C46,生データ表['#],0),MATCH(BD$5,生データ表[#Headers],0))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4.6860896100999998</v>
      </c>
      <c r="BE46" s="4">
        <f>IFERROR(ROUND(
(INDEX(生データ表[],MATCH($C46,生データ表['#],0),MATCH(BE$5,生データ表[#Headers],0))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34.791692872600002</v>
      </c>
      <c r="BF46" s="4">
        <f>IFERROR(ROUND(
(INDEX(生データ表[],MATCH($C46,生データ表['#],0),MATCH(BF$5,生データ表[#Headers],0))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10.292163604700001</v>
      </c>
      <c r="BG46" s="4">
        <f>IFERROR(ROUND(
(INDEX(生データ表[],MATCH($C46,生データ表['#],0),MATCH(BG$5,生データ表[#Headers],0))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38.923140156199999</v>
      </c>
      <c r="BH46" s="4">
        <f>IFERROR(ROUND(
(INDEX(生データ表[],MATCH($C46,生データ表['#],0),MATCH(BH$5,生データ表[#Headers],0))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12.229102167200001</v>
      </c>
      <c r="BI46" s="4">
        <f>IFERROR(ROUND(
(INDEX(生データ表[],MATCH($C46,生データ表['#],0),MATCH(BI$5,生データ表[#Headers],0))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56.924570033000002</v>
      </c>
      <c r="BJ46" s="4">
        <f>IFERROR(ROUND(
(INDEX(生データ表[],MATCH($C46,生データ表['#],0),MATCH(BJ$5,生データ表[#Headers],0))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84.8123567385</v>
      </c>
      <c r="BK46" s="4">
        <f>IFERROR(ROUND(
(INDEX(生データ表[],MATCH($C46,生データ表['#],0),MATCH(BK$5,生データ表[#Headers],0))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58.013544018099999</v>
      </c>
      <c r="BL46" s="4">
        <f>IFERROR(ROUND(
(INDEX(生データ表[],MATCH($C46,生データ表['#],0),MATCH(BL$5,生データ表[#Headers],0))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82.469968054299997</v>
      </c>
      <c r="BM46" s="4">
        <f>IFERROR(ROUND(
(INDEX(生データ表[],MATCH($C46,生データ表['#],0),MATCH(BM$5,生データ表[#Headers],0))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30.043541364300001</v>
      </c>
      <c r="BN46" s="4">
        <f>IFERROR(ROUND(
(INDEX(生データ表[],MATCH($C46,生データ表['#],0),MATCH(BN$5,生データ表[#Headers],0))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35.752626388800003</v>
      </c>
      <c r="BO46" s="4">
        <f>IFERROR(ROUND(
(INDEX(生データ表[],MATCH($C46,生データ表['#],0),MATCH(BO$5,生データ表[#Headers],0))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1.0878075897999999</v>
      </c>
      <c r="BP46" s="4">
        <f>IFERROR(ROUND(
(INDEX(生データ表[],MATCH($C46,生データ表['#],0),MATCH(BP$5,生データ表[#Headers],0))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13.8586956522</v>
      </c>
      <c r="BQ46" s="4">
        <f>IFERROR(ROUND(
(INDEX(生データ表[],MATCH($C46,生データ表['#],0),MATCH(BQ$5,生データ表[#Headers],0))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4.1527324508000003</v>
      </c>
      <c r="BR46" s="4">
        <f>IFERROR(ROUND(
(INDEX(生データ表[],MATCH($C46,生データ表['#],0),MATCH(BR$5,生データ表[#Headers],0))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7.1204087680999999</v>
      </c>
      <c r="BS46" s="4">
        <f>IFERROR(ROUND(
(INDEX(生データ表[],MATCH($C46,生データ表['#],0),MATCH(BS$5,生データ表[#Headers],0))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10.0134511527</v>
      </c>
      <c r="BT46" s="4">
        <f>IFERROR(ROUND(
(INDEX(生データ表[],MATCH($C46,生データ表['#],0),MATCH(BT$5,生データ表[#Headers],0))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2.0694412509000002</v>
      </c>
      <c r="BU46" s="4">
        <f>IFERROR(ROUND(
(INDEX(生データ表[],MATCH($C46,生データ表['#],0),MATCH(BU$5,生データ表[#Headers],0))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0</v>
      </c>
      <c r="BV46" s="4">
        <f>IFERROR(ROUND(
(INDEX(生データ表[],MATCH($C46,生データ表['#],0),MATCH(BV$5,生データ表[#Headers],0))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61.904761904799997</v>
      </c>
      <c r="BW46" s="4">
        <f>IFERROR(ROUND(
(INDEX(生データ表[],MATCH($C46,生データ表['#],0),MATCH(BW$5,生データ表[#Headers],0))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39.443462897499998</v>
      </c>
      <c r="BX46" s="4">
        <f>IFERROR(ROUND(
(INDEX(生データ表[],MATCH($C46,生データ表['#],0),MATCH(BX$5,生データ表[#Headers],0))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83.498738435700005</v>
      </c>
      <c r="BY46" s="4">
        <f>IFERROR(ROUND(
(INDEX(生データ表[],MATCH($C46,生データ表['#],0),MATCH(BY$5,生データ表[#Headers],0))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34.113054849999997</v>
      </c>
      <c r="BZ46" s="4">
        <f t="shared" ref="BZ46:CI53" si="17">IFERROR(AVERAGEIF($63:$63,BZ$5,46:46),"-")</f>
        <v>3.0172898371499999</v>
      </c>
      <c r="CA46" s="4">
        <f t="shared" si="17"/>
        <v>20.935223294250001</v>
      </c>
      <c r="CB46" s="4">
        <f t="shared" si="17"/>
        <v>1.4538546606</v>
      </c>
      <c r="CC46" s="4">
        <f t="shared" si="17"/>
        <v>37.634443835100001</v>
      </c>
      <c r="CD46" s="4">
        <f t="shared" si="17"/>
        <v>18.215158606833331</v>
      </c>
      <c r="CE46" s="4">
        <f t="shared" si="17"/>
        <v>36.342069054950002</v>
      </c>
      <c r="CF46" s="4">
        <f t="shared" si="17"/>
        <v>1.0885657711000001</v>
      </c>
      <c r="CG46" s="4">
        <f t="shared" si="17"/>
        <v>1.6013468720666666</v>
      </c>
      <c r="CH46" s="4">
        <f t="shared" si="17"/>
        <v>1.0829493462333335</v>
      </c>
      <c r="CI46" s="4">
        <f t="shared" si="17"/>
        <v>8.7471916078499987</v>
      </c>
      <c r="CJ46" s="4">
        <f t="shared" ref="CJ46:CS53" si="18">IFERROR(AVERAGEIF($63:$63,CJ$5,46:46),"-")</f>
        <v>29.593627577133333</v>
      </c>
      <c r="CK46" s="4">
        <f t="shared" si="18"/>
        <v>20.196903473400003</v>
      </c>
      <c r="CL46" s="4">
        <f t="shared" si="18"/>
        <v>16.862462346775001</v>
      </c>
      <c r="CM46" s="4">
        <f t="shared" si="18"/>
        <v>10.891125331650001</v>
      </c>
      <c r="CN46" s="4">
        <f t="shared" si="18"/>
        <v>50.373403937966664</v>
      </c>
      <c r="CO46" s="4">
        <f t="shared" si="18"/>
        <v>88.261112874250003</v>
      </c>
      <c r="CP46" s="4">
        <f t="shared" si="18"/>
        <v>49.831365935900003</v>
      </c>
      <c r="CQ46" s="4">
        <f t="shared" si="18"/>
        <v>29.322611774466665</v>
      </c>
      <c r="CR46" s="4">
        <f t="shared" si="18"/>
        <v>13.883009819150001</v>
      </c>
      <c r="CS46" s="4">
        <f t="shared" si="18"/>
        <v>36.025604118800004</v>
      </c>
      <c r="CT46" s="4">
        <f t="shared" ref="CT46:CY53" si="19">IFERROR(AVERAGEIF($63:$63,CT$5,46:46),"-")</f>
        <v>75.098622936966663</v>
      </c>
      <c r="CU46" s="4">
        <f t="shared" si="19"/>
        <v>22.294658447633335</v>
      </c>
      <c r="CV46" s="4">
        <f t="shared" si="19"/>
        <v>9.0057140515</v>
      </c>
      <c r="CW46" s="4">
        <f t="shared" si="19"/>
        <v>8.5669299603999995</v>
      </c>
      <c r="CX46" s="4">
        <f t="shared" si="19"/>
        <v>21.324734385233331</v>
      </c>
      <c r="CY46" s="4">
        <f t="shared" si="19"/>
        <v>52.351752061066669</v>
      </c>
      <c r="CZ46" s="4">
        <f t="shared" ref="CZ46:DE53" si="20">SUMIF($64:$64,CZ$5,46:46)</f>
        <v>117.59803928888333</v>
      </c>
      <c r="DA46" s="4">
        <f t="shared" si="20"/>
        <v>3.7728619893999999</v>
      </c>
      <c r="DB46" s="4">
        <f t="shared" si="20"/>
        <v>86.291310336808337</v>
      </c>
      <c r="DC46" s="4">
        <f t="shared" si="20"/>
        <v>231.67150434173334</v>
      </c>
      <c r="DD46" s="4">
        <f t="shared" si="20"/>
        <v>133.41888550339999</v>
      </c>
      <c r="DE46" s="4">
        <f t="shared" si="20"/>
        <v>91.2491304582</v>
      </c>
      <c r="DF46" s="76">
        <f t="shared" si="4"/>
        <v>664.00173191842509</v>
      </c>
    </row>
    <row r="47" spans="1:110" hidden="1">
      <c r="A47" s="2">
        <v>42</v>
      </c>
      <c r="B47" s="58">
        <f>INDEX(順位表[Comprehensive],MATCH($C47,順位表['#],0))</f>
        <v>45</v>
      </c>
      <c r="C47" s="3">
        <v>42</v>
      </c>
      <c r="D47" s="1" t="str">
        <f>INDEX(都市マスタ[City Name],MATCH($C47,都市マスタ['#],0))</f>
        <v>Jakarta</v>
      </c>
      <c r="E47" s="4">
        <f>IFERROR(ROUND(
(INDEX(生データ表[],MATCH($C47,生データ表['#],0),MATCH(E$5,生データ表[#Headers],0))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42.7041421144</v>
      </c>
      <c r="F47" s="4">
        <f>IFERROR(ROUND(
(INDEX(生データ表[],MATCH($C47,生データ表['#],0),MATCH(F$5,生データ表[#Headers],0))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3.9373358485000001</v>
      </c>
      <c r="G47" s="4">
        <f>IFERROR(ROUND(
(INDEX(生データ表[],MATCH($C47,生データ表['#],0),MATCH(G$5,生データ表[#Headers],0))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100</v>
      </c>
      <c r="H47" s="4">
        <f>IFERROR(ROUND(
(INDEX(生データ表[],MATCH($C47,生データ表['#],0),MATCH(H$5,生データ表[#Headers],0))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20.350031606400002</v>
      </c>
      <c r="I47" s="4">
        <f>IFERROR(ROUND(
(INDEX(生データ表[],MATCH($C47,生データ表['#],0),MATCH(I$5,生データ表[#Headers],0))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7.4442125822999996</v>
      </c>
      <c r="J47" s="4">
        <f>IFERROR(ROUND(
(INDEX(生データ表[],MATCH($C47,生データ表['#],0),MATCH(J$5,生データ表[#Headers],0))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45.964182746200002</v>
      </c>
      <c r="K47" s="4">
        <f>IFERROR(ROUND(
(INDEX(生データ表[],MATCH($C47,生データ表['#],0),MATCH(K$5,生データ表[#Headers],0))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42.599953238300003</v>
      </c>
      <c r="L47" s="4">
        <f>IFERROR(ROUND(
(INDEX(生データ表[],MATCH($C47,生データ表['#],0),MATCH(L$5,生データ表[#Headers],0))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1.5144391483999999</v>
      </c>
      <c r="M47" s="4">
        <f>IFERROR(ROUND(
(INDEX(生データ表[],MATCH($C47,生データ表['#],0),MATCH(M$5,生データ表[#Headers],0))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1.6144298725999999</v>
      </c>
      <c r="N47" s="4">
        <f>IFERROR(ROUND(
(INDEX(生データ表[],MATCH($C47,生データ表['#],0),MATCH(N$5,生データ表[#Headers],0))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34.627487287900003</v>
      </c>
      <c r="O47" s="4">
        <f>IFERROR(ROUND(
(INDEX(生データ表[],MATCH($C47,生データ表['#],0),MATCH(O$5,生データ表[#Headers],0))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40.155705510200001</v>
      </c>
      <c r="P47" s="4">
        <f>IFERROR(ROUND(
(INDEX(生データ表[],MATCH($C47,生データ表['#],0),MATCH(P$5,生データ表[#Headers],0))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2.8739324346999999</v>
      </c>
      <c r="Q47" s="4">
        <f>IFERROR(ROUND(
(INDEX(生データ表[],MATCH($C47,生データ表['#],0),MATCH(Q$5,生データ表[#Headers],0))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11.5349059697</v>
      </c>
      <c r="R47" s="4">
        <f>IFERROR(ROUND(
(INDEX(生データ表[],MATCH($C47,生データ表['#],0),MATCH(R$5,生データ表[#Headers],0))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11.3235341854</v>
      </c>
      <c r="S47" s="4">
        <f>IFERROR(ROUND(
(INDEX(生データ表[],MATCH($C47,生データ表['#],0),MATCH(S$5,生データ表[#Headers],0))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50</v>
      </c>
      <c r="T47" s="4">
        <f>IFERROR(ROUND(
(INDEX(生データ表[],MATCH($C47,生データ表['#],0),MATCH(T$5,生データ表[#Headers],0))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52.573467373500002</v>
      </c>
      <c r="U47" s="4">
        <f>IFERROR(ROUND(
(INDEX(生データ表[],MATCH($C47,生データ表['#],0),MATCH(U$5,生データ表[#Headers],0))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2.4574433080999998</v>
      </c>
      <c r="V47" s="4">
        <f>IFERROR(ROUND(
(INDEX(生データ表[],MATCH($C47,生データ表['#],0),MATCH(V$5,生データ表[#Headers],0))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v>
      </c>
      <c r="W47" s="4">
        <f>IFERROR(ROUND(
(INDEX(生データ表[],MATCH($C47,生データ表['#],0),MATCH(W$5,生データ表[#Headers],0))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0</v>
      </c>
      <c r="X47" s="4">
        <f>IFERROR(ROUND(
(INDEX(生データ表[],MATCH($C47,生データ表['#],0),MATCH(X$5,生データ表[#Headers],0))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0</v>
      </c>
      <c r="Y47" s="4">
        <f>IFERROR(ROUND(
(INDEX(生データ表[],MATCH($C47,生データ表['#],0),MATCH(Y$5,生データ表[#Headers],0))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18.202324797900001</v>
      </c>
      <c r="Z47" s="4">
        <f>IFERROR(ROUND(
(INDEX(生データ表[],MATCH($C47,生データ表['#],0),MATCH(Z$5,生データ表[#Headers],0))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0.52481214239999996</v>
      </c>
      <c r="AA47" s="4">
        <f>IFERROR(ROUND(
(INDEX(生データ表[],MATCH($C47,生データ表['#],0),MATCH(AA$5,生データ表[#Headers],0))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47" s="4">
        <f>IFERROR(ROUND(
(INDEX(生データ表[],MATCH($C47,生データ表['#],0),MATCH(AB$5,生データ表[#Headers],0))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5.8156028369000001</v>
      </c>
      <c r="AC47" s="4">
        <f>IFERROR(ROUND(
(INDEX(生データ表[],MATCH($C47,生データ表['#],0),MATCH(AC$5,生データ表[#Headers],0))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2.5236593059999999</v>
      </c>
      <c r="AD47" s="4">
        <f>IFERROR(ROUND(
(INDEX(生データ表[],MATCH($C47,生データ表['#],0),MATCH(AD$5,生データ表[#Headers],0))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36.363636363600001</v>
      </c>
      <c r="AE47" s="4">
        <f>IFERROR(ROUND(
(INDEX(生データ表[],MATCH($C47,生データ表['#],0),MATCH(AE$5,生データ表[#Headers],0))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0.60562227660000001</v>
      </c>
      <c r="AF47" s="4">
        <f>IFERROR(ROUND(
(INDEX(生データ表[],MATCH($C47,生データ表['#],0),MATCH(AF$5,生データ表[#Headers],0))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0.70864949460000004</v>
      </c>
      <c r="AG47" s="4">
        <f>IFERROR(ROUND(
(INDEX(生データ表[],MATCH($C47,生データ表['#],0),MATCH(AG$5,生データ表[#Headers],0))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19.776395707900001</v>
      </c>
      <c r="AH47" s="4">
        <f>IFERROR(ROUND(
(INDEX(生データ表[],MATCH($C47,生データ表['#],0),MATCH(AH$5,生データ表[#Headers],0))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47" s="4">
        <f>IFERROR(ROUND(
(INDEX(生データ表[],MATCH($C47,生データ表['#],0),MATCH(AI$5,生データ表[#Headers],0))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38.624531203899998</v>
      </c>
      <c r="AJ47" s="4">
        <f>IFERROR(ROUND(
(INDEX(生データ表[],MATCH($C47,生データ表['#],0),MATCH(AJ$5,生データ表[#Headers],0))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0</v>
      </c>
      <c r="AK47" s="4">
        <f>IFERROR(ROUND(
(INDEX(生データ表[],MATCH($C47,生データ表['#],0),MATCH(AK$5,生データ表[#Headers],0))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10.273972602700001</v>
      </c>
      <c r="AL47" s="4">
        <f>IFERROR(ROUND(
(INDEX(生データ表[],MATCH($C47,生データ表['#],0),MATCH(AL$5,生データ表[#Headers],0))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47" s="4">
        <f>IFERROR(ROUND(
(INDEX(生データ表[],MATCH($C47,生データ表['#],0),MATCH(AM$5,生データ表[#Headers],0))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42.614540631799997</v>
      </c>
      <c r="AN47" s="4">
        <f>IFERROR(ROUND(
(INDEX(生データ表[],MATCH($C47,生データ表['#],0),MATCH(AN$5,生データ表[#Headers],0))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24.1321251454</v>
      </c>
      <c r="AO47" s="4">
        <f>IFERROR(ROUND(
(INDEX(生データ表[],MATCH($C47,生データ表['#],0),MATCH(AO$5,生データ表[#Headers],0))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37.128530727300003</v>
      </c>
      <c r="AP47" s="4">
        <f>IFERROR(ROUND(
(INDEX(生データ表[],MATCH($C47,生データ表['#],0),MATCH(AP$5,生データ表[#Headers],0))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35.112530212800003</v>
      </c>
      <c r="AQ47" s="4">
        <f>IFERROR(ROUND(
(INDEX(生データ表[],MATCH($C47,生データ表['#],0),MATCH(AQ$5,生データ表[#Headers],0))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0</v>
      </c>
      <c r="AR47" s="4">
        <f>IFERROR(ROUND(
(INDEX(生データ表[],MATCH($C47,生データ表['#],0),MATCH(AR$5,生データ表[#Headers],0))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5.3855756757000002</v>
      </c>
      <c r="AS47" s="4">
        <f>IFERROR(ROUND(
(INDEX(生データ表[],MATCH($C47,生データ表['#],0),MATCH(AS$5,生データ表[#Headers],0))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80.497513995000006</v>
      </c>
      <c r="AT47" s="4">
        <f>IFERROR(ROUND(
(INDEX(生データ表[],MATCH($C47,生データ表['#],0),MATCH(AT$5,生データ表[#Headers],0))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34.077297711200004</v>
      </c>
      <c r="AU47" s="4">
        <f>IFERROR(ROUND(
(INDEX(生データ表[],MATCH($C47,生データ表['#],0),MATCH(AU$5,生データ表[#Headers],0))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96.794643915199998</v>
      </c>
      <c r="AV47" s="4">
        <f>IFERROR(ROUND(
(INDEX(生データ表[],MATCH($C47,生データ表['#],0),MATCH(AV$5,生データ表[#Headers],0))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92.199807813000007</v>
      </c>
      <c r="AW47" s="4">
        <f>IFERROR(ROUND(
(INDEX(生データ表[],MATCH($C47,生データ表['#],0),MATCH(AW$5,生データ表[#Headers],0))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92.61562859</v>
      </c>
      <c r="AX47" s="4">
        <f>IFERROR(ROUND(
(INDEX(生データ表[],MATCH($C47,生データ表['#],0),MATCH(AX$5,生データ表[#Headers],0))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99.740312274000004</v>
      </c>
      <c r="AY47" s="4">
        <f>IFERROR(ROUND(
(INDEX(生データ表[],MATCH($C47,生データ表['#],0),MATCH(AY$5,生データ表[#Headers],0))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91.568296795999998</v>
      </c>
      <c r="AZ47" s="4">
        <f>IFERROR(ROUND(
(INDEX(生データ表[],MATCH($C47,生データ表['#],0),MATCH(AZ$5,生データ表[#Headers],0))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29.713733542699998</v>
      </c>
      <c r="BA47" s="4">
        <f>IFERROR(ROUND(
(INDEX(生データ表[],MATCH($C47,生データ表['#],0),MATCH(BA$5,生データ表[#Headers],0))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30.922577946299999</v>
      </c>
      <c r="BB47" s="4">
        <f>IFERROR(ROUND(
(INDEX(生データ表[],MATCH($C47,生データ表['#],0),MATCH(BB$5,生データ表[#Headers],0))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93.633669567599995</v>
      </c>
      <c r="BC47" s="4">
        <f>IFERROR(ROUND(
(INDEX(生データ表[],MATCH($C47,生データ表['#],0),MATCH(BC$5,生データ表[#Headers],0))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0</v>
      </c>
      <c r="BD47" s="4">
        <f>IFERROR(ROUND(
(INDEX(生データ表[],MATCH($C47,生データ表['#],0),MATCH(BD$5,生データ表[#Headers],0))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19.974128348699999</v>
      </c>
      <c r="BE47" s="4">
        <f>IFERROR(ROUND(
(INDEX(生データ表[],MATCH($C47,生データ表['#],0),MATCH(BE$5,生データ表[#Headers],0))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51.575689953000001</v>
      </c>
      <c r="BF47" s="4">
        <f>IFERROR(ROUND(
(INDEX(生データ表[],MATCH($C47,生データ表['#],0),MATCH(BF$5,生データ表[#Headers],0))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21.107055448400001</v>
      </c>
      <c r="BG47" s="4">
        <f>IFERROR(ROUND(
(INDEX(生データ表[],MATCH($C47,生データ表['#],0),MATCH(BG$5,生データ表[#Headers],0))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28.064118372399999</v>
      </c>
      <c r="BH47" s="4">
        <f>IFERROR(ROUND(
(INDEX(生データ表[],MATCH($C47,生データ表['#],0),MATCH(BH$5,生データ表[#Headers],0))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57.651481645300002</v>
      </c>
      <c r="BI47" s="4">
        <f>IFERROR(ROUND(
(INDEX(生データ表[],MATCH($C47,生データ表['#],0),MATCH(BI$5,生データ表[#Headers],0))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9.4831498919000001</v>
      </c>
      <c r="BJ47" s="4">
        <f>IFERROR(ROUND(
(INDEX(生データ表[],MATCH($C47,生データ表['#],0),MATCH(BJ$5,生データ表[#Headers],0))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82.151241480400003</v>
      </c>
      <c r="BK47" s="4">
        <f>IFERROR(ROUND(
(INDEX(生データ表[],MATCH($C47,生データ表['#],0),MATCH(BK$5,生データ表[#Headers],0))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25.282167042899999</v>
      </c>
      <c r="BL47" s="4">
        <f>IFERROR(ROUND(
(INDEX(生データ表[],MATCH($C47,生データ表['#],0),MATCH(BL$5,生データ表[#Headers],0))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30.1041982321</v>
      </c>
      <c r="BM47" s="4">
        <f>IFERROR(ROUND(
(INDEX(生データ表[],MATCH($C47,生データ表['#],0),MATCH(BM$5,生データ表[#Headers],0))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0</v>
      </c>
      <c r="BN47" s="4">
        <f>IFERROR(ROUND(
(INDEX(生データ表[],MATCH($C47,生データ表['#],0),MATCH(BN$5,生データ表[#Headers],0))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17.889286853400002</v>
      </c>
      <c r="BO47" s="4">
        <f>IFERROR(ROUND(
(INDEX(生データ表[],MATCH($C47,生データ表['#],0),MATCH(BO$5,生データ表[#Headers],0))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23.527761865999999</v>
      </c>
      <c r="BP47" s="4">
        <f>IFERROR(ROUND(
(INDEX(生データ表[],MATCH($C47,生データ表['#],0),MATCH(BP$5,生データ表[#Headers],0))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8.9673913042999995</v>
      </c>
      <c r="BQ47" s="4">
        <f>IFERROR(ROUND(
(INDEX(生データ表[],MATCH($C47,生データ表['#],0),MATCH(BQ$5,生データ表[#Headers],0))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13.2110782717</v>
      </c>
      <c r="BR47" s="4">
        <f>IFERROR(ROUND(
(INDEX(生データ表[],MATCH($C47,生データ表['#],0),MATCH(BR$5,生データ表[#Headers],0))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26.452643612199999</v>
      </c>
      <c r="BS47" s="4">
        <f>IFERROR(ROUND(
(INDEX(生データ表[],MATCH($C47,生データ表['#],0),MATCH(BS$5,生データ表[#Headers],0))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28.415625741100001</v>
      </c>
      <c r="BT47" s="4">
        <f>IFERROR(ROUND(
(INDEX(生データ表[],MATCH($C47,生データ表['#],0),MATCH(BT$5,生データ表[#Headers],0))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6.3232927109999997</v>
      </c>
      <c r="BU47" s="4">
        <f>IFERROR(ROUND(
(INDEX(生データ表[],MATCH($C47,生データ表['#],0),MATCH(BU$5,生データ表[#Headers],0))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23.5825331958</v>
      </c>
      <c r="BV47" s="4">
        <f>IFERROR(ROUND(
(INDEX(生データ表[],MATCH($C47,生データ表['#],0),MATCH(BV$5,生データ表[#Headers],0))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0</v>
      </c>
      <c r="BW47" s="4">
        <f>IFERROR(ROUND(
(INDEX(生データ表[],MATCH($C47,生データ表['#],0),MATCH(BW$5,生データ表[#Headers],0))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0.32022968200000002</v>
      </c>
      <c r="BX47" s="4">
        <f>IFERROR(ROUND(
(INDEX(生データ表[],MATCH($C47,生データ表['#],0),MATCH(BX$5,生データ表[#Headers],0))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30.354969573999998</v>
      </c>
      <c r="BY47" s="4">
        <f>IFERROR(ROUND(
(INDEX(生データ表[],MATCH($C47,生データ表['#],0),MATCH(BY$5,生データ表[#Headers],0))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54.6782342634</v>
      </c>
      <c r="BZ47" s="4">
        <f t="shared" si="17"/>
        <v>13.897122094350001</v>
      </c>
      <c r="CA47" s="4">
        <f t="shared" si="17"/>
        <v>44.282067992250006</v>
      </c>
      <c r="CB47" s="4">
        <f t="shared" si="17"/>
        <v>1.5644345104999999</v>
      </c>
      <c r="CC47" s="4">
        <f t="shared" si="17"/>
        <v>37.391596399050002</v>
      </c>
      <c r="CD47" s="4">
        <f t="shared" si="17"/>
        <v>8.5774575299333335</v>
      </c>
      <c r="CE47" s="4">
        <f t="shared" si="17"/>
        <v>51.286733686749997</v>
      </c>
      <c r="CF47" s="4">
        <f t="shared" si="17"/>
        <v>1.2287216540499999</v>
      </c>
      <c r="CG47" s="4">
        <f t="shared" si="17"/>
        <v>6.0674415993000004</v>
      </c>
      <c r="CH47" s="4">
        <f t="shared" si="17"/>
        <v>2.1134716597666667</v>
      </c>
      <c r="CI47" s="4">
        <f t="shared" si="17"/>
        <v>10.050391860200001</v>
      </c>
      <c r="CJ47" s="4">
        <f t="shared" si="18"/>
        <v>19.466975637266668</v>
      </c>
      <c r="CK47" s="4">
        <f t="shared" si="18"/>
        <v>6.9334294640666672</v>
      </c>
      <c r="CL47" s="4">
        <f t="shared" si="18"/>
        <v>34.746931679325002</v>
      </c>
      <c r="CM47" s="4">
        <f t="shared" si="18"/>
        <v>2.6927878378500001</v>
      </c>
      <c r="CN47" s="4">
        <f t="shared" si="18"/>
        <v>70.456485207133326</v>
      </c>
      <c r="CO47" s="4">
        <f t="shared" si="18"/>
        <v>92.407718201500003</v>
      </c>
      <c r="CP47" s="4">
        <f t="shared" si="18"/>
        <v>95.654304534999994</v>
      </c>
      <c r="CQ47" s="4">
        <f t="shared" si="18"/>
        <v>51.423327018866665</v>
      </c>
      <c r="CR47" s="4">
        <f t="shared" si="18"/>
        <v>23.164218437525001</v>
      </c>
      <c r="CS47" s="4">
        <f t="shared" si="18"/>
        <v>31.732916636533332</v>
      </c>
      <c r="CT47" s="4">
        <f t="shared" si="19"/>
        <v>45.845868918466664</v>
      </c>
      <c r="CU47" s="4">
        <f t="shared" si="19"/>
        <v>13.805682906466666</v>
      </c>
      <c r="CV47" s="4">
        <f t="shared" si="19"/>
        <v>11.089234787999999</v>
      </c>
      <c r="CW47" s="4">
        <f t="shared" si="19"/>
        <v>27.43413467665</v>
      </c>
      <c r="CX47" s="4">
        <f t="shared" si="19"/>
        <v>9.9686086356000008</v>
      </c>
      <c r="CY47" s="4">
        <f t="shared" si="19"/>
        <v>28.451144506466665</v>
      </c>
      <c r="CZ47" s="4">
        <f t="shared" si="20"/>
        <v>156.99941221283336</v>
      </c>
      <c r="DA47" s="4">
        <f t="shared" si="20"/>
        <v>9.4096349131166672</v>
      </c>
      <c r="DB47" s="4">
        <f t="shared" si="20"/>
        <v>73.890516478708349</v>
      </c>
      <c r="DC47" s="4">
        <f t="shared" si="20"/>
        <v>333.10605340002496</v>
      </c>
      <c r="DD47" s="4">
        <f t="shared" si="20"/>
        <v>91.384468461466668</v>
      </c>
      <c r="DE47" s="4">
        <f t="shared" si="20"/>
        <v>76.94312260671667</v>
      </c>
      <c r="DF47" s="76">
        <f t="shared" si="4"/>
        <v>741.73320807286666</v>
      </c>
    </row>
    <row r="48" spans="1:110" hidden="1">
      <c r="A48" s="2">
        <v>43</v>
      </c>
      <c r="B48" s="58">
        <f>INDEX(順位表[Comprehensive],MATCH($C48,順位表['#],0))</f>
        <v>44</v>
      </c>
      <c r="C48" s="3">
        <v>43</v>
      </c>
      <c r="D48" s="1" t="str">
        <f>INDEX(都市マスタ[City Name],MATCH($C48,都市マスタ['#],0))</f>
        <v>Buenos Aires</v>
      </c>
      <c r="E48" s="4">
        <f>IFERROR(ROUND(
(INDEX(生データ表[],MATCH($C48,生データ表['#],0),MATCH(E$5,生データ表[#Headers],0))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11.640779025400001</v>
      </c>
      <c r="F48" s="4">
        <f>IFERROR(ROUND(
(INDEX(生データ表[],MATCH($C48,生データ表['#],0),MATCH(F$5,生データ表[#Headers],0))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1.1478150946000001</v>
      </c>
      <c r="G48" s="4">
        <f>IFERROR(ROUND(
(INDEX(生データ表[],MATCH($C48,生データ表['#],0),MATCH(G$5,生データ表[#Headers],0))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0.87541022840000005</v>
      </c>
      <c r="H48" s="4">
        <f>IFERROR(ROUND(
(INDEX(生データ表[],MATCH($C48,生データ表['#],0),MATCH(H$5,生データ表[#Headers],0))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6.5326370331000003</v>
      </c>
      <c r="I48" s="4">
        <f>IFERROR(ROUND(
(INDEX(生データ表[],MATCH($C48,生データ表['#],0),MATCH(I$5,生データ表[#Headers],0))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10.698592897999999</v>
      </c>
      <c r="J48" s="4">
        <f>IFERROR(ROUND(
(INDEX(生データ表[],MATCH($C48,生データ表['#],0),MATCH(J$5,生データ表[#Headers],0))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16.992844719600001</v>
      </c>
      <c r="K48" s="4">
        <f>IFERROR(ROUND(
(INDEX(生データ表[],MATCH($C48,生データ表['#],0),MATCH(K$5,生データ表[#Headers],0))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7.5754033201000004</v>
      </c>
      <c r="L48" s="4">
        <f>IFERROR(ROUND(
(INDEX(生データ表[],MATCH($C48,生データ表['#],0),MATCH(L$5,生データ表[#Headers],0))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0.13139077830000001</v>
      </c>
      <c r="M48" s="4">
        <f>IFERROR(ROUND(
(INDEX(生データ表[],MATCH($C48,生データ表['#],0),MATCH(M$5,生データ表[#Headers],0))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48" s="4">
        <f>IFERROR(ROUND(
(INDEX(生データ表[],MATCH($C48,生データ表['#],0),MATCH(N$5,生データ表[#Headers],0))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10.565621321</v>
      </c>
      <c r="O48" s="4">
        <f>IFERROR(ROUND(
(INDEX(生データ表[],MATCH($C48,生データ表['#],0),MATCH(O$5,生データ表[#Headers],0))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85.6865247721</v>
      </c>
      <c r="P48" s="4">
        <f>IFERROR(ROUND(
(INDEX(生データ表[],MATCH($C48,生データ表['#],0),MATCH(P$5,生データ表[#Headers],0))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1.8477857979000001</v>
      </c>
      <c r="Q48" s="4">
        <f>IFERROR(ROUND(
(INDEX(生データ表[],MATCH($C48,生データ表['#],0),MATCH(Q$5,生データ表[#Headers],0))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52.101577835999997</v>
      </c>
      <c r="R48" s="4">
        <f>IFERROR(ROUND(
(INDEX(生データ表[],MATCH($C48,生データ表['#],0),MATCH(R$5,生データ表[#Headers],0))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27.474970281000001</v>
      </c>
      <c r="S48" s="4">
        <f>IFERROR(ROUND(
(INDEX(生データ表[],MATCH($C48,生データ表['#],0),MATCH(S$5,生データ表[#Headers],0))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0</v>
      </c>
      <c r="T48" s="4">
        <f>IFERROR(ROUND(
(INDEX(生データ表[],MATCH($C48,生データ表['#],0),MATCH(T$5,生データ表[#Headers],0))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0</v>
      </c>
      <c r="U48" s="4">
        <f>IFERROR(ROUND(
(INDEX(生データ表[],MATCH($C48,生データ表['#],0),MATCH(U$5,生データ表[#Headers],0))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3.4906488050000002</v>
      </c>
      <c r="V48" s="4">
        <f>IFERROR(ROUND(
(INDEX(生データ表[],MATCH($C48,生データ表['#],0),MATCH(V$5,生データ表[#Headers],0))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v>
      </c>
      <c r="W48" s="4">
        <f>IFERROR(ROUND(
(INDEX(生データ表[],MATCH($C48,生データ表['#],0),MATCH(W$5,生データ表[#Headers],0))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0.15797890110000001</v>
      </c>
      <c r="X48" s="4">
        <f>IFERROR(ROUND(
(INDEX(生データ表[],MATCH($C48,生データ表['#],0),MATCH(X$5,生データ表[#Headers],0))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0</v>
      </c>
      <c r="Y48" s="4">
        <f>IFERROR(ROUND(
(INDEX(生データ表[],MATCH($C48,生データ表['#],0),MATCH(Y$5,生データ表[#Headers],0))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23.609289768899998</v>
      </c>
      <c r="Z48" s="4">
        <f>IFERROR(ROUND(
(INDEX(生データ表[],MATCH($C48,生データ表['#],0),MATCH(Z$5,生データ表[#Headers],0))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0.46988067839999997</v>
      </c>
      <c r="AA48" s="4">
        <f>IFERROR(ROUND(
(INDEX(生データ表[],MATCH($C48,生データ表['#],0),MATCH(AA$5,生データ表[#Headers],0))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48" s="4">
        <f>IFERROR(ROUND(
(INDEX(生データ表[],MATCH($C48,生データ表['#],0),MATCH(AB$5,生データ表[#Headers],0))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1.6666666667000001</v>
      </c>
      <c r="AC48" s="4">
        <f>IFERROR(ROUND(
(INDEX(生データ表[],MATCH($C48,生データ表['#],0),MATCH(AC$5,生データ表[#Headers],0))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4.1009463722000001</v>
      </c>
      <c r="AD48" s="4">
        <f>IFERROR(ROUND(
(INDEX(生データ表[],MATCH($C48,生データ表['#],0),MATCH(AD$5,生データ表[#Headers],0))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34.5454545455</v>
      </c>
      <c r="AE48" s="4">
        <f>IFERROR(ROUND(
(INDEX(生データ表[],MATCH($C48,生データ表['#],0),MATCH(AE$5,生データ表[#Headers],0))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2.3779685305</v>
      </c>
      <c r="AF48" s="4">
        <f>IFERROR(ROUND(
(INDEX(生データ表[],MATCH($C48,生データ表['#],0),MATCH(AF$5,生データ表[#Headers],0))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2.8717926995999998</v>
      </c>
      <c r="AG48" s="4">
        <f>IFERROR(ROUND(
(INDEX(生データ表[],MATCH($C48,生データ表['#],0),MATCH(AG$5,生データ表[#Headers],0))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72.687395920499995</v>
      </c>
      <c r="AH48" s="4">
        <f>IFERROR(ROUND(
(INDEX(生データ表[],MATCH($C48,生データ表['#],0),MATCH(AH$5,生データ表[#Headers],0))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5.625</v>
      </c>
      <c r="AI48" s="4">
        <f>IFERROR(ROUND(
(INDEX(生データ表[],MATCH($C48,生データ表['#],0),MATCH(AI$5,生データ表[#Headers],0))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70.977721593699997</v>
      </c>
      <c r="AJ48" s="4">
        <f>IFERROR(ROUND(
(INDEX(生データ表[],MATCH($C48,生データ表['#],0),MATCH(AJ$5,生データ表[#Headers],0))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33.817427385899997</v>
      </c>
      <c r="AK48" s="4">
        <f>IFERROR(ROUND(
(INDEX(生データ表[],MATCH($C48,生データ表['#],0),MATCH(AK$5,生データ表[#Headers],0))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46.232876712299998</v>
      </c>
      <c r="AL48" s="4">
        <f>IFERROR(ROUND(
(INDEX(生データ表[],MATCH($C48,生データ表['#],0),MATCH(AL$5,生データ表[#Headers],0))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100</v>
      </c>
      <c r="AM48" s="4">
        <f>IFERROR(ROUND(
(INDEX(生データ表[],MATCH($C48,生データ表['#],0),MATCH(AM$5,生データ表[#Headers],0))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12.1196045334</v>
      </c>
      <c r="AN48" s="4">
        <f>IFERROR(ROUND(
(INDEX(生データ表[],MATCH($C48,生データ表['#],0),MATCH(AN$5,生データ表[#Headers],0))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4.2796791771000002</v>
      </c>
      <c r="AO48" s="4">
        <f>IFERROR(ROUND(
(INDEX(生データ表[],MATCH($C48,生データ表['#],0),MATCH(AO$5,生データ表[#Headers],0))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67.740521268899997</v>
      </c>
      <c r="AP48" s="4">
        <f>IFERROR(ROUND(
(INDEX(生データ表[],MATCH($C48,生データ表['#],0),MATCH(AP$5,生データ表[#Headers],0))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59.3289211791</v>
      </c>
      <c r="AQ48" s="4">
        <f>IFERROR(ROUND(
(INDEX(生データ表[],MATCH($C48,生データ表['#],0),MATCH(AQ$5,生データ表[#Headers],0))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11.4935768913</v>
      </c>
      <c r="AR48" s="4">
        <f>IFERROR(ROUND(
(INDEX(生データ表[],MATCH($C48,生データ表['#],0),MATCH(AR$5,生データ表[#Headers],0))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6.74034456E-2</v>
      </c>
      <c r="AS48" s="4">
        <f>IFERROR(ROUND(
(INDEX(生データ表[],MATCH($C48,生データ表['#],0),MATCH(AS$5,生データ表[#Headers],0))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74.162212368300004</v>
      </c>
      <c r="AT48" s="4">
        <f>IFERROR(ROUND(
(INDEX(生データ表[],MATCH($C48,生データ表['#],0),MATCH(AT$5,生データ表[#Headers],0))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77.930197176700005</v>
      </c>
      <c r="AU48" s="4">
        <f>IFERROR(ROUND(
(INDEX(生データ表[],MATCH($C48,生データ表['#],0),MATCH(AU$5,生データ表[#Headers],0))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49.470899470900001</v>
      </c>
      <c r="AV48" s="4">
        <f>IFERROR(ROUND(
(INDEX(生データ表[],MATCH($C48,生データ表['#],0),MATCH(AV$5,生データ表[#Headers],0))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98.855999016699997</v>
      </c>
      <c r="AW48" s="4">
        <f>IFERROR(ROUND(
(INDEX(生データ表[],MATCH($C48,生データ表['#],0),MATCH(AW$5,生データ表[#Headers],0))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8.6364839274000005</v>
      </c>
      <c r="AX48" s="4">
        <f>IFERROR(ROUND(
(INDEX(生データ表[],MATCH($C48,生データ表['#],0),MATCH(AX$5,生データ表[#Headers],0))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88.395461223400005</v>
      </c>
      <c r="AY48" s="4">
        <f>IFERROR(ROUND(
(INDEX(生データ表[],MATCH($C48,生データ表['#],0),MATCH(AY$5,生データ表[#Headers],0))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98.145025295099998</v>
      </c>
      <c r="AZ48" s="4">
        <f>IFERROR(ROUND(
(INDEX(生データ表[],MATCH($C48,生データ表['#],0),MATCH(AZ$5,生データ表[#Headers],0))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55.960864838699997</v>
      </c>
      <c r="BA48" s="4">
        <f>IFERROR(ROUND(
(INDEX(生データ表[],MATCH($C48,生データ表['#],0),MATCH(BA$5,生データ表[#Headers],0))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56.0155662612</v>
      </c>
      <c r="BB48" s="4">
        <f>IFERROR(ROUND(
(INDEX(生データ表[],MATCH($C48,生データ表['#],0),MATCH(BB$5,生データ表[#Headers],0))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81.780637799499999</v>
      </c>
      <c r="BC48" s="4">
        <f>IFERROR(ROUND(
(INDEX(生データ表[],MATCH($C48,生データ表['#],0),MATCH(BC$5,生データ表[#Headers],0))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53.704043835100002</v>
      </c>
      <c r="BD48" s="4">
        <f>IFERROR(ROUND(
(INDEX(生データ表[],MATCH($C48,生データ表['#],0),MATCH(BD$5,生データ表[#Headers],0))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6.6057367031999998</v>
      </c>
      <c r="BE48" s="4">
        <f>IFERROR(ROUND(
(INDEX(生データ表[],MATCH($C48,生データ表['#],0),MATCH(BE$5,生データ表[#Headers],0))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78.794453363499997</v>
      </c>
      <c r="BF48" s="4">
        <f>IFERROR(ROUND(
(INDEX(生データ表[],MATCH($C48,生データ表['#],0),MATCH(BF$5,生データ表[#Headers],0))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37.734013388000001</v>
      </c>
      <c r="BG48" s="4">
        <f>IFERROR(ROUND(
(INDEX(生データ表[],MATCH($C48,生データ表['#],0),MATCH(BG$5,生データ表[#Headers],0))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61.841019317700002</v>
      </c>
      <c r="BH48" s="4">
        <f>IFERROR(ROUND(
(INDEX(生データ表[],MATCH($C48,生データ表['#],0),MATCH(BH$5,生データ表[#Headers],0))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16.408668730700001</v>
      </c>
      <c r="BI48" s="4">
        <f>IFERROR(ROUND(
(INDEX(生データ表[],MATCH($C48,生データ表['#],0),MATCH(BI$5,生データ表[#Headers],0))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6.2502956550000004</v>
      </c>
      <c r="BJ48" s="4">
        <f>IFERROR(ROUND(
(INDEX(生データ表[],MATCH($C48,生データ表['#],0),MATCH(BJ$5,生データ表[#Headers],0))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82.457417474500005</v>
      </c>
      <c r="BK48" s="4">
        <f>IFERROR(ROUND(
(INDEX(生データ表[],MATCH($C48,生データ表['#],0),MATCH(BK$5,生データ表[#Headers],0))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74.9435665914</v>
      </c>
      <c r="BL48" s="4">
        <f>IFERROR(ROUND(
(INDEX(生データ表[],MATCH($C48,生データ表['#],0),MATCH(BL$5,生データ表[#Headers],0))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84.3426725379</v>
      </c>
      <c r="BM48" s="4">
        <f>IFERROR(ROUND(
(INDEX(生データ表[],MATCH($C48,生データ表['#],0),MATCH(BM$5,生データ表[#Headers],0))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34.687953555900002</v>
      </c>
      <c r="BN48" s="4">
        <f>IFERROR(ROUND(
(INDEX(生データ表[],MATCH($C48,生データ表['#],0),MATCH(BN$5,生データ表[#Headers],0))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43.959728767900003</v>
      </c>
      <c r="BO48" s="4">
        <f>IFERROR(ROUND(
(INDEX(生データ表[],MATCH($C48,生データ表['#],0),MATCH(BO$5,生データ表[#Headers],0))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27.173160446499999</v>
      </c>
      <c r="BP48" s="4">
        <f>IFERROR(ROUND(
(INDEX(生データ表[],MATCH($C48,生データ表['#],0),MATCH(BP$5,生データ表[#Headers],0))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7.6086956521999998</v>
      </c>
      <c r="BQ48" s="4">
        <f>IFERROR(ROUND(
(INDEX(生データ表[],MATCH($C48,生データ表['#],0),MATCH(BQ$5,生データ表[#Headers],0))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3.9565092356</v>
      </c>
      <c r="BR48" s="4">
        <f>IFERROR(ROUND(
(INDEX(生データ表[],MATCH($C48,生データ表['#],0),MATCH(BR$5,生データ表[#Headers],0))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1.4514007591</v>
      </c>
      <c r="BS48" s="4">
        <f>IFERROR(ROUND(
(INDEX(生データ表[],MATCH($C48,生データ表['#],0),MATCH(BS$5,生データ表[#Headers],0))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0</v>
      </c>
      <c r="BT48" s="4">
        <f>IFERROR(ROUND(
(INDEX(生データ表[],MATCH($C48,生データ表['#],0),MATCH(BT$5,生データ表[#Headers],0))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11.611864796500001</v>
      </c>
      <c r="BU48" s="4">
        <f>IFERROR(ROUND(
(INDEX(生データ表[],MATCH($C48,生データ表['#],0),MATCH(BU$5,生データ表[#Headers],0))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74.415528325099999</v>
      </c>
      <c r="BV48" s="4">
        <f>IFERROR(ROUND(
(INDEX(生データ表[],MATCH($C48,生データ表['#],0),MATCH(BV$5,生データ表[#Headers],0))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23.8095238095</v>
      </c>
      <c r="BW48" s="4">
        <f>IFERROR(ROUND(
(INDEX(生データ表[],MATCH($C48,生データ表['#],0),MATCH(BW$5,生データ表[#Headers],0))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22.382950529999999</v>
      </c>
      <c r="BX48" s="4">
        <f>IFERROR(ROUND(
(INDEX(生データ表[],MATCH($C48,生データ表['#],0),MATCH(BX$5,生データ表[#Headers],0))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23.811742777300001</v>
      </c>
      <c r="BY48" s="4">
        <f>IFERROR(ROUND(
(INDEX(生データ表[],MATCH($C48,生データ表['#],0),MATCH(BY$5,生データ表[#Headers],0))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54.810593589200003</v>
      </c>
      <c r="BZ48" s="4">
        <f t="shared" si="17"/>
        <v>8.6156149655499998</v>
      </c>
      <c r="CA48" s="4">
        <f t="shared" si="17"/>
        <v>12.284124019850001</v>
      </c>
      <c r="CB48" s="4">
        <f t="shared" si="17"/>
        <v>6.5695389150000005E-2</v>
      </c>
      <c r="CC48" s="4">
        <f t="shared" si="17"/>
        <v>48.126073046549998</v>
      </c>
      <c r="CD48" s="4">
        <f t="shared" si="17"/>
        <v>27.141444638300001</v>
      </c>
      <c r="CE48" s="4">
        <f t="shared" si="17"/>
        <v>0</v>
      </c>
      <c r="CF48" s="4">
        <f t="shared" si="17"/>
        <v>1.7453244025000001</v>
      </c>
      <c r="CG48" s="4">
        <f t="shared" si="17"/>
        <v>7.92242289</v>
      </c>
      <c r="CH48" s="4">
        <f t="shared" si="17"/>
        <v>0.71218244836666666</v>
      </c>
      <c r="CI48" s="4">
        <f t="shared" si="17"/>
        <v>10.97404053695</v>
      </c>
      <c r="CJ48" s="4">
        <f t="shared" si="18"/>
        <v>49.763372504733333</v>
      </c>
      <c r="CK48" s="4">
        <f t="shared" si="18"/>
        <v>60.016768032733331</v>
      </c>
      <c r="CL48" s="4">
        <f t="shared" si="18"/>
        <v>35.867181539625001</v>
      </c>
      <c r="CM48" s="4">
        <f t="shared" si="18"/>
        <v>5.7804901684500001</v>
      </c>
      <c r="CN48" s="4">
        <f t="shared" si="18"/>
        <v>67.187769671966677</v>
      </c>
      <c r="CO48" s="4">
        <f t="shared" si="18"/>
        <v>53.746241472050002</v>
      </c>
      <c r="CP48" s="4">
        <f t="shared" si="18"/>
        <v>93.270243259250009</v>
      </c>
      <c r="CQ48" s="4">
        <f t="shared" si="18"/>
        <v>64.585689633133327</v>
      </c>
      <c r="CR48" s="4">
        <f t="shared" si="18"/>
        <v>44.209561822449999</v>
      </c>
      <c r="CS48" s="4">
        <f t="shared" si="18"/>
        <v>28.16666123446667</v>
      </c>
      <c r="CT48" s="4">
        <f t="shared" si="19"/>
        <v>80.58121886793333</v>
      </c>
      <c r="CU48" s="4">
        <f t="shared" si="19"/>
        <v>35.27361425676667</v>
      </c>
      <c r="CV48" s="4">
        <f t="shared" si="19"/>
        <v>5.7826024439000001</v>
      </c>
      <c r="CW48" s="4">
        <f t="shared" si="19"/>
        <v>0.72570037955</v>
      </c>
      <c r="CX48" s="4">
        <f t="shared" si="19"/>
        <v>36.612305643700005</v>
      </c>
      <c r="CY48" s="4">
        <f t="shared" si="19"/>
        <v>33.668428965499999</v>
      </c>
      <c r="CZ48" s="4">
        <f t="shared" si="20"/>
        <v>96.232952059400006</v>
      </c>
      <c r="DA48" s="4">
        <f t="shared" si="20"/>
        <v>10.379929740866666</v>
      </c>
      <c r="DB48" s="4">
        <f t="shared" si="20"/>
        <v>162.40185278249166</v>
      </c>
      <c r="DC48" s="4">
        <f t="shared" si="20"/>
        <v>322.99950585885</v>
      </c>
      <c r="DD48" s="4">
        <f t="shared" si="20"/>
        <v>144.02149435916667</v>
      </c>
      <c r="DE48" s="4">
        <f t="shared" si="20"/>
        <v>76.789037432650005</v>
      </c>
      <c r="DF48" s="76">
        <f t="shared" si="4"/>
        <v>812.82477223342505</v>
      </c>
    </row>
    <row r="49" spans="1:110" hidden="1">
      <c r="A49" s="2">
        <v>44</v>
      </c>
      <c r="B49" s="58">
        <f>INDEX(順位表[Comprehensive],MATCH($C49,順位表['#],0))</f>
        <v>8</v>
      </c>
      <c r="C49" s="3">
        <v>44</v>
      </c>
      <c r="D49" s="1" t="str">
        <f>INDEX(都市マスタ[City Name],MATCH($C49,都市マスタ['#],0))</f>
        <v>Dubai</v>
      </c>
      <c r="E49" s="4">
        <f>IFERROR(ROUND(
(INDEX(生データ表[],MATCH($C49,生データ表['#],0),MATCH(E$5,生データ表[#Headers],0))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13.2587289277</v>
      </c>
      <c r="F49" s="4">
        <f>IFERROR(ROUND(
(INDEX(生データ表[],MATCH($C49,生データ表['#],0),MATCH(F$5,生データ表[#Headers],0))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28.935519832099999</v>
      </c>
      <c r="G49" s="4">
        <f>IFERROR(ROUND(
(INDEX(生データ表[],MATCH($C49,生データ表['#],0),MATCH(G$5,生データ表[#Headers],0))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1.927531E-2</v>
      </c>
      <c r="H49" s="4">
        <f>IFERROR(ROUND(
(INDEX(生データ表[],MATCH($C49,生データ表['#],0),MATCH(H$5,生データ表[#Headers],0))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11.2762484019</v>
      </c>
      <c r="I49" s="4">
        <f>IFERROR(ROUND(
(INDEX(生データ表[],MATCH($C49,生データ表['#],0),MATCH(I$5,生データ表[#Headers],0))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14.644061901000001</v>
      </c>
      <c r="J49" s="4">
        <f>IFERROR(ROUND(
(INDEX(生データ表[],MATCH($C49,生データ表['#],0),MATCH(J$5,生データ表[#Headers],0))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20.4352067168</v>
      </c>
      <c r="K49" s="4">
        <f>IFERROR(ROUND(
(INDEX(生データ表[],MATCH($C49,生データ表['#],0),MATCH(K$5,生データ表[#Headers],0))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63.362169745099997</v>
      </c>
      <c r="L49" s="4">
        <f>IFERROR(ROUND(
(INDEX(生データ表[],MATCH($C49,生データ表['#],0),MATCH(L$5,生データ表[#Headers],0))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0.39396438420000002</v>
      </c>
      <c r="M49" s="4">
        <f>IFERROR(ROUND(
(INDEX(生データ表[],MATCH($C49,生データ表['#],0),MATCH(M$5,生データ表[#Headers],0))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49" s="4">
        <f>IFERROR(ROUND(
(INDEX(生データ表[],MATCH($C49,生データ表['#],0),MATCH(N$5,生データ表[#Headers],0))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16.112819963900002</v>
      </c>
      <c r="O49" s="4">
        <f>IFERROR(ROUND(
(INDEX(生データ表[],MATCH($C49,生データ表['#],0),MATCH(O$5,生データ表[#Headers],0))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51.039232393299997</v>
      </c>
      <c r="P49" s="4">
        <f>IFERROR(ROUND(
(INDEX(生データ表[],MATCH($C49,生データ表['#],0),MATCH(P$5,生データ表[#Headers],0))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66.184250527399996</v>
      </c>
      <c r="Q49" s="4">
        <f>IFERROR(ROUND(
(INDEX(生データ表[],MATCH($C49,生データ表['#],0),MATCH(Q$5,生データ表[#Headers],0))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34.104585967699997</v>
      </c>
      <c r="R49" s="4">
        <f>IFERROR(ROUND(
(INDEX(生データ表[],MATCH($C49,生データ表['#],0),MATCH(R$5,生データ表[#Headers],0))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61.829375163199998</v>
      </c>
      <c r="S49" s="4">
        <f>IFERROR(ROUND(
(INDEX(生データ表[],MATCH($C49,生データ表['#],0),MATCH(S$5,生データ表[#Headers],0))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100</v>
      </c>
      <c r="T49" s="4">
        <f>IFERROR(ROUND(
(INDEX(生データ表[],MATCH($C49,生データ表['#],0),MATCH(T$5,生データ表[#Headers],0))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89.499538031399993</v>
      </c>
      <c r="U49" s="4">
        <f>IFERROR(ROUND(
(INDEX(生データ表[],MATCH($C49,生データ表['#],0),MATCH(U$5,生データ表[#Headers],0))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7.5990987124</v>
      </c>
      <c r="V49" s="4">
        <f>IFERROR(ROUND(
(INDEX(生データ表[],MATCH($C49,生データ表['#],0),MATCH(V$5,生データ表[#Headers],0))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0.37831021440000001</v>
      </c>
      <c r="W49" s="4">
        <f>IFERROR(ROUND(
(INDEX(生データ表[],MATCH($C49,生データ表['#],0),MATCH(W$5,生データ表[#Headers],0))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4.9401140875999996</v>
      </c>
      <c r="X49" s="4">
        <f>IFERROR(ROUND(
(INDEX(生データ表[],MATCH($C49,生データ表['#],0),MATCH(X$5,生データ表[#Headers],0))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7.5326437553999996</v>
      </c>
      <c r="Y49" s="4">
        <f>IFERROR(ROUND(
(INDEX(生データ表[],MATCH($C49,生データ表['#],0),MATCH(Y$5,生データ表[#Headers],0))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39.691544554399997</v>
      </c>
      <c r="Z49" s="4">
        <f>IFERROR(ROUND(
(INDEX(生データ表[],MATCH($C49,生データ表['#],0),MATCH(Z$5,生データ表[#Headers],0))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0.45845443689999998</v>
      </c>
      <c r="AA49" s="4">
        <f>IFERROR(ROUND(
(INDEX(生データ表[],MATCH($C49,生データ表['#],0),MATCH(AA$5,生データ表[#Headers],0))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49" s="4">
        <f>IFERROR(ROUND(
(INDEX(生データ表[],MATCH($C49,生データ表['#],0),MATCH(AB$5,生データ表[#Headers],0))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17.375886524799999</v>
      </c>
      <c r="AC49" s="4">
        <f>IFERROR(ROUND(
(INDEX(生データ表[],MATCH($C49,生データ表['#],0),MATCH(AC$5,生データ表[#Headers],0))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22.397476340699999</v>
      </c>
      <c r="AD49" s="4">
        <f>IFERROR(ROUND(
(INDEX(生データ表[],MATCH($C49,生データ表['#],0),MATCH(AD$5,生データ表[#Headers],0))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61.212121212100001</v>
      </c>
      <c r="AE49" s="4">
        <f>IFERROR(ROUND(
(INDEX(生データ表[],MATCH($C49,生データ表['#],0),MATCH(AE$5,生データ表[#Headers],0))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8.1991869711999996</v>
      </c>
      <c r="AF49" s="4">
        <f>IFERROR(ROUND(
(INDEX(生データ表[],MATCH($C49,生データ表['#],0),MATCH(AF$5,生データ表[#Headers],0))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1.4630593475</v>
      </c>
      <c r="AG49" s="4">
        <f>IFERROR(ROUND(
(INDEX(生データ表[],MATCH($C49,生データ表['#],0),MATCH(AG$5,生データ表[#Headers],0))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73.859598507399994</v>
      </c>
      <c r="AH49" s="4">
        <f>IFERROR(ROUND(
(INDEX(生データ表[],MATCH($C49,生データ表['#],0),MATCH(AH$5,生データ表[#Headers],0))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0</v>
      </c>
      <c r="AI49" s="4">
        <f>IFERROR(ROUND(
(INDEX(生データ表[],MATCH($C49,生データ表['#],0),MATCH(AI$5,生データ表[#Headers],0))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64.499899670600001</v>
      </c>
      <c r="AJ49" s="4">
        <f>IFERROR(ROUND(
(INDEX(生データ表[],MATCH($C49,生データ表['#],0),MATCH(AJ$5,生データ表[#Headers],0))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0.82987551869999998</v>
      </c>
      <c r="AK49" s="4">
        <f>IFERROR(ROUND(
(INDEX(生データ表[],MATCH($C49,生データ表['#],0),MATCH(AK$5,生データ表[#Headers],0))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0</v>
      </c>
      <c r="AL49" s="4">
        <f>IFERROR(ROUND(
(INDEX(生データ表[],MATCH($C49,生データ表['#],0),MATCH(AL$5,生データ表[#Headers],0))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36.842105263199997</v>
      </c>
      <c r="AM49" s="4">
        <f>IFERROR(ROUND(
(INDEX(生データ表[],MATCH($C49,生データ表['#],0),MATCH(AM$5,生データ表[#Headers],0))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47.882204002899996</v>
      </c>
      <c r="AN49" s="4">
        <f>IFERROR(ROUND(
(INDEX(生データ表[],MATCH($C49,生データ表['#],0),MATCH(AN$5,生データ表[#Headers],0))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85.510928794500003</v>
      </c>
      <c r="AO49" s="4">
        <f>IFERROR(ROUND(
(INDEX(生データ表[],MATCH($C49,生データ表['#],0),MATCH(AO$5,生データ表[#Headers],0))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64.692134582700007</v>
      </c>
      <c r="AP49" s="4">
        <f>IFERROR(ROUND(
(INDEX(生データ表[],MATCH($C49,生データ表['#],0),MATCH(AP$5,生データ表[#Headers],0))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46.0369912532</v>
      </c>
      <c r="AQ49" s="4">
        <f>IFERROR(ROUND(
(INDEX(生データ表[],MATCH($C49,生データ表['#],0),MATCH(AQ$5,生データ表[#Headers],0))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100</v>
      </c>
      <c r="AR49" s="4">
        <f>IFERROR(ROUND(
(INDEX(生データ表[],MATCH($C49,生データ表['#],0),MATCH(AR$5,生データ表[#Headers],0))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89.045049250600002</v>
      </c>
      <c r="AS49" s="4">
        <f>IFERROR(ROUND(
(INDEX(生データ表[],MATCH($C49,生データ表['#],0),MATCH(AS$5,生データ表[#Headers],0))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100</v>
      </c>
      <c r="AT49" s="4">
        <f>IFERROR(ROUND(
(INDEX(生データ表[],MATCH($C49,生データ表['#],0),MATCH(AT$5,生データ表[#Headers],0))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37.725651896999999</v>
      </c>
      <c r="AU49" s="4">
        <f>IFERROR(ROUND(
(INDEX(生データ表[],MATCH($C49,生データ表['#],0),MATCH(AU$5,生データ表[#Headers],0))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100</v>
      </c>
      <c r="AV49" s="4">
        <f>IFERROR(ROUND(
(INDEX(生データ表[],MATCH($C49,生データ表['#],0),MATCH(AV$5,生データ表[#Headers],0))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55.360352729600002</v>
      </c>
      <c r="AW49" s="4">
        <f>IFERROR(ROUND(
(INDEX(生データ表[],MATCH($C49,生データ表['#],0),MATCH(AW$5,生データ表[#Headers],0))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63.386159571100002</v>
      </c>
      <c r="AX49" s="4">
        <f>IFERROR(ROUND(
(INDEX(生データ表[],MATCH($C49,生データ表['#],0),MATCH(AX$5,生データ表[#Headers],0))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99.125723481400001</v>
      </c>
      <c r="AY49" s="4">
        <f>IFERROR(ROUND(
(INDEX(生データ表[],MATCH($C49,生データ表['#],0),MATCH(AY$5,生データ表[#Headers],0))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92.411467116400004</v>
      </c>
      <c r="AZ49" s="4">
        <f>IFERROR(ROUND(
(INDEX(生データ表[],MATCH($C49,生データ表['#],0),MATCH(AZ$5,生データ表[#Headers],0))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53.4847203769</v>
      </c>
      <c r="BA49" s="4">
        <f>IFERROR(ROUND(
(INDEX(生データ表[],MATCH($C49,生データ表['#],0),MATCH(BA$5,生データ表[#Headers],0))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30.348100654900001</v>
      </c>
      <c r="BB49" s="4">
        <f>IFERROR(ROUND(
(INDEX(生データ表[],MATCH($C49,生データ表['#],0),MATCH(BB$5,生データ表[#Headers],0))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94.199919579899998</v>
      </c>
      <c r="BC49" s="4">
        <f>IFERROR(ROUND(
(INDEX(生データ表[],MATCH($C49,生データ表['#],0),MATCH(BC$5,生データ表[#Headers],0))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27.884353544100001</v>
      </c>
      <c r="BD49" s="4">
        <f>IFERROR(ROUND(
(INDEX(生データ表[],MATCH($C49,生データ表['#],0),MATCH(BD$5,生データ表[#Headers],0))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58.4222608794</v>
      </c>
      <c r="BE49" s="4">
        <f>IFERROR(ROUND(
(INDEX(生データ表[],MATCH($C49,生データ表['#],0),MATCH(BE$5,生データ表[#Headers],0))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54.486265783299999</v>
      </c>
      <c r="BF49" s="4">
        <f>IFERROR(ROUND(
(INDEX(生データ表[],MATCH($C49,生データ表['#],0),MATCH(BF$5,生データ表[#Headers],0))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60.270625412999998</v>
      </c>
      <c r="BG49" s="4">
        <f>IFERROR(ROUND(
(INDEX(生データ表[],MATCH($C49,生データ表['#],0),MATCH(BG$5,生データ表[#Headers],0))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51.582408549100002</v>
      </c>
      <c r="BH49" s="4">
        <f>IFERROR(ROUND(
(INDEX(生データ表[],MATCH($C49,生データ表['#],0),MATCH(BH$5,生データ表[#Headers],0))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0</v>
      </c>
      <c r="BI49" s="4">
        <f>IFERROR(ROUND(
(INDEX(生データ表[],MATCH($C49,生データ表['#],0),MATCH(BI$5,生データ表[#Headers],0))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32.577711660600002</v>
      </c>
      <c r="BJ49" s="4">
        <f>IFERROR(ROUND(
(INDEX(生データ表[],MATCH($C49,生データ表['#],0),MATCH(BJ$5,生データ表[#Headers],0))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66.879174225499995</v>
      </c>
      <c r="BK49" s="4">
        <f>IFERROR(ROUND(
(INDEX(生データ表[],MATCH($C49,生データ表['#],0),MATCH(BK$5,生データ表[#Headers],0))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8.3521444695000007</v>
      </c>
      <c r="BL49" s="4">
        <f>IFERROR(ROUND(
(INDEX(生データ表[],MATCH($C49,生データ表['#],0),MATCH(BL$5,生データ表[#Headers],0))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25.812259102399999</v>
      </c>
      <c r="BM49" s="4">
        <f>IFERROR(ROUND(
(INDEX(生データ表[],MATCH($C49,生データ表['#],0),MATCH(BM$5,生データ表[#Headers],0))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57.039187227900001</v>
      </c>
      <c r="BN49" s="4">
        <f>IFERROR(ROUND(
(INDEX(生データ表[],MATCH($C49,生データ表['#],0),MATCH(BN$5,生データ表[#Headers],0))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29.378807612100001</v>
      </c>
      <c r="BO49" s="4">
        <f>IFERROR(ROUND(
(INDEX(生データ表[],MATCH($C49,生データ表['#],0),MATCH(BO$5,生データ表[#Headers],0))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100</v>
      </c>
      <c r="BP49" s="4">
        <f>IFERROR(ROUND(
(INDEX(生データ表[],MATCH($C49,生データ表['#],0),MATCH(BP$5,生データ表[#Headers],0))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72.010869565199997</v>
      </c>
      <c r="BQ49" s="4">
        <f>IFERROR(ROUND(
(INDEX(生データ表[],MATCH($C49,生データ表['#],0),MATCH(BQ$5,生データ表[#Headers],0))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50.814630730099999</v>
      </c>
      <c r="BR49" s="4">
        <f>IFERROR(ROUND(
(INDEX(生データ表[],MATCH($C49,生データ表['#],0),MATCH(BR$5,生データ表[#Headers],0))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47.785018428800001</v>
      </c>
      <c r="BS49" s="4">
        <f>IFERROR(ROUND(
(INDEX(生データ表[],MATCH($C49,生データ表['#],0),MATCH(BS$5,生データ表[#Headers],0))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27.149099507900001</v>
      </c>
      <c r="BT49" s="4">
        <f>IFERROR(ROUND(
(INDEX(生データ表[],MATCH($C49,生データ表['#],0),MATCH(BT$5,生データ表[#Headers],0))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1.8395033341</v>
      </c>
      <c r="BU49" s="4">
        <f>IFERROR(ROUND(
(INDEX(生データ表[],MATCH($C49,生データ表['#],0),MATCH(BU$5,生データ表[#Headers],0))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11.8338491044</v>
      </c>
      <c r="BV49" s="4">
        <f>IFERROR(ROUND(
(INDEX(生データ表[],MATCH($C49,生データ表['#],0),MATCH(BV$5,生データ表[#Headers],0))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80.497351465899996</v>
      </c>
      <c r="BW49" s="4">
        <f>IFERROR(ROUND(
(INDEX(生データ表[],MATCH($C49,生データ表['#],0),MATCH(BW$5,生データ表[#Headers],0))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52.992491166100002</v>
      </c>
      <c r="BX49" s="4">
        <f>IFERROR(ROUND(
(INDEX(生データ表[],MATCH($C49,生データ表['#],0),MATCH(BX$5,生データ表[#Headers],0))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100</v>
      </c>
      <c r="BY49" s="4">
        <f>IFERROR(ROUND(
(INDEX(生データ表[],MATCH($C49,生データ表['#],0),MATCH(BY$5,生データ表[#Headers],0))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33.717640372300004</v>
      </c>
      <c r="BZ49" s="4">
        <f t="shared" si="17"/>
        <v>12.96015515145</v>
      </c>
      <c r="CA49" s="4">
        <f t="shared" si="17"/>
        <v>41.89868823095</v>
      </c>
      <c r="CB49" s="4">
        <f t="shared" si="17"/>
        <v>0.19698219210000001</v>
      </c>
      <c r="CC49" s="4">
        <f t="shared" si="17"/>
        <v>33.576026178600003</v>
      </c>
      <c r="CD49" s="4">
        <f t="shared" si="17"/>
        <v>54.03940388609999</v>
      </c>
      <c r="CE49" s="4">
        <f t="shared" si="17"/>
        <v>94.749769015699997</v>
      </c>
      <c r="CF49" s="4">
        <f t="shared" si="17"/>
        <v>3.9887044634</v>
      </c>
      <c r="CG49" s="4">
        <f t="shared" si="17"/>
        <v>17.38810079913333</v>
      </c>
      <c r="CH49" s="4">
        <f t="shared" si="17"/>
        <v>5.9447803205666654</v>
      </c>
      <c r="CI49" s="4">
        <f t="shared" si="17"/>
        <v>23.317960967875003</v>
      </c>
      <c r="CJ49" s="4">
        <f t="shared" si="18"/>
        <v>46.119832725999999</v>
      </c>
      <c r="CK49" s="4">
        <f t="shared" si="18"/>
        <v>12.557326927299998</v>
      </c>
      <c r="CL49" s="4">
        <f t="shared" si="18"/>
        <v>61.030564658324998</v>
      </c>
      <c r="CM49" s="4">
        <f t="shared" si="18"/>
        <v>94.522524625300008</v>
      </c>
      <c r="CN49" s="4">
        <f t="shared" si="18"/>
        <v>79.241883965666673</v>
      </c>
      <c r="CO49" s="4">
        <f t="shared" si="18"/>
        <v>59.373256150350002</v>
      </c>
      <c r="CP49" s="4">
        <f t="shared" si="18"/>
        <v>95.76859529890001</v>
      </c>
      <c r="CQ49" s="4">
        <f t="shared" si="18"/>
        <v>59.344246870566657</v>
      </c>
      <c r="CR49" s="4">
        <f t="shared" si="18"/>
        <v>50.265876404950006</v>
      </c>
      <c r="CS49" s="4">
        <f t="shared" si="18"/>
        <v>28.053373403233337</v>
      </c>
      <c r="CT49" s="4">
        <f t="shared" si="19"/>
        <v>33.681192599133333</v>
      </c>
      <c r="CU49" s="4">
        <f t="shared" si="19"/>
        <v>62.139331613333333</v>
      </c>
      <c r="CV49" s="4">
        <f t="shared" si="19"/>
        <v>61.412750147650002</v>
      </c>
      <c r="CW49" s="4">
        <f t="shared" si="19"/>
        <v>37.467058968350003</v>
      </c>
      <c r="CX49" s="4">
        <f t="shared" si="19"/>
        <v>31.390234634799999</v>
      </c>
      <c r="CY49" s="4">
        <f t="shared" si="19"/>
        <v>62.236710512799995</v>
      </c>
      <c r="CZ49" s="4">
        <f t="shared" si="20"/>
        <v>237.42102465489998</v>
      </c>
      <c r="DA49" s="4">
        <f t="shared" si="20"/>
        <v>27.321585583099996</v>
      </c>
      <c r="DB49" s="4">
        <f t="shared" si="20"/>
        <v>237.54820990479999</v>
      </c>
      <c r="DC49" s="4">
        <f t="shared" si="20"/>
        <v>343.99385869043334</v>
      </c>
      <c r="DD49" s="4">
        <f t="shared" si="20"/>
        <v>123.8738976157</v>
      </c>
      <c r="DE49" s="4">
        <f t="shared" si="20"/>
        <v>192.50675426359999</v>
      </c>
      <c r="DF49" s="76">
        <f t="shared" si="4"/>
        <v>1162.6653307125334</v>
      </c>
    </row>
    <row r="50" spans="1:110" hidden="1">
      <c r="A50" s="2">
        <v>45</v>
      </c>
      <c r="B50" s="58">
        <f>INDEX(順位表[Comprehensive],MATCH($C50,順位表['#],0))</f>
        <v>28</v>
      </c>
      <c r="C50" s="3">
        <v>45</v>
      </c>
      <c r="D50" s="1" t="str">
        <f>INDEX(都市マスタ[City Name],MATCH($C50,都市マスタ['#],0))</f>
        <v>Dublin</v>
      </c>
      <c r="E50" s="4">
        <f>IFERROR(ROUND(
(INDEX(生データ表[],MATCH($C50,生データ表['#],0),MATCH(E$5,生データ表[#Headers],0))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1.5712296669000001</v>
      </c>
      <c r="F50" s="4">
        <f>IFERROR(ROUND(
(INDEX(生データ表[],MATCH($C50,生データ表['#],0),MATCH(F$5,生データ表[#Headers],0))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0.61085019549999997</v>
      </c>
      <c r="G50" s="4">
        <f>IFERROR(ROUND(
(INDEX(生データ表[],MATCH($C50,生データ表['#],0),MATCH(G$5,生データ表[#Headers],0))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50" s="4">
        <f>IFERROR(ROUND(
(INDEX(生データ表[],MATCH($C50,生データ表['#],0),MATCH(H$5,生データ表[#Headers],0))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6.5844559368000004</v>
      </c>
      <c r="I50" s="4">
        <f>IFERROR(ROUND(
(INDEX(生データ表[],MATCH($C50,生データ表['#],0),MATCH(I$5,生データ表[#Headers],0))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64.366524276099994</v>
      </c>
      <c r="J50" s="4">
        <f>IFERROR(ROUND(
(INDEX(生データ表[],MATCH($C50,生データ表['#],0),MATCH(J$5,生データ表[#Headers],0))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100</v>
      </c>
      <c r="K50" s="4">
        <f>IFERROR(ROUND(
(INDEX(生データ表[],MATCH($C50,生データ表['#],0),MATCH(K$5,生データ表[#Headers],0))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94.528875379900001</v>
      </c>
      <c r="L50" s="4">
        <f>IFERROR(ROUND(
(INDEX(生データ表[],MATCH($C50,生データ表['#],0),MATCH(L$5,生データ表[#Headers],0))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0.32553140870000002</v>
      </c>
      <c r="M50" s="4">
        <f>IFERROR(ROUND(
(INDEX(生データ表[],MATCH($C50,生データ表['#],0),MATCH(M$5,生データ表[#Headers],0))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2.4086334492999999</v>
      </c>
      <c r="N50" s="4">
        <f>IFERROR(ROUND(
(INDEX(生データ表[],MATCH($C50,生データ表['#],0),MATCH(N$5,生データ表[#Headers],0))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1.0875770207</v>
      </c>
      <c r="O50" s="4">
        <f>IFERROR(ROUND(
(INDEX(生データ表[],MATCH($C50,生データ表['#],0),MATCH(O$5,生データ表[#Headers],0))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55.4970552423</v>
      </c>
      <c r="P50" s="4">
        <f>IFERROR(ROUND(
(INDEX(生データ表[],MATCH($C50,生データ表['#],0),MATCH(P$5,生データ表[#Headers],0))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44.838588452800003</v>
      </c>
      <c r="Q50" s="4">
        <f>IFERROR(ROUND(
(INDEX(生データ表[],MATCH($C50,生データ表['#],0),MATCH(Q$5,生データ表[#Headers],0))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77.607652444799996</v>
      </c>
      <c r="R50" s="4">
        <f>IFERROR(ROUND(
(INDEX(生データ表[],MATCH($C50,生データ表['#],0),MATCH(R$5,生データ表[#Headers],0))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25.694667246600002</v>
      </c>
      <c r="S50" s="4">
        <f>IFERROR(ROUND(
(INDEX(生データ表[],MATCH($C50,生データ表['#],0),MATCH(S$5,生データ表[#Headers],0))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86.538461538500002</v>
      </c>
      <c r="T50" s="4">
        <f>IFERROR(ROUND(
(INDEX(生データ表[],MATCH($C50,生データ表['#],0),MATCH(T$5,生データ表[#Headers],0))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87.230987290000002</v>
      </c>
      <c r="U50" s="4">
        <f>IFERROR(ROUND(
(INDEX(生データ表[],MATCH($C50,生データ表['#],0),MATCH(U$5,生データ表[#Headers],0))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1.4913827059</v>
      </c>
      <c r="V50" s="4">
        <f>IFERROR(ROUND(
(INDEX(生データ表[],MATCH($C50,生データ表['#],0),MATCH(V$5,生データ表[#Headers],0))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5.5485498108</v>
      </c>
      <c r="W50" s="4">
        <f>IFERROR(ROUND(
(INDEX(生データ表[],MATCH($C50,生データ表['#],0),MATCH(W$5,生データ表[#Headers],0))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1.2001570216999999</v>
      </c>
      <c r="X50" s="4">
        <f>IFERROR(ROUND(
(INDEX(生データ表[],MATCH($C50,生データ表['#],0),MATCH(X$5,生データ表[#Headers],0))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12.7655605515</v>
      </c>
      <c r="Y50" s="4">
        <f>IFERROR(ROUND(
(INDEX(生データ表[],MATCH($C50,生データ表['#],0),MATCH(Y$5,生データ表[#Headers],0))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69.221891703599994</v>
      </c>
      <c r="Z50" s="4">
        <f>IFERROR(ROUND(
(INDEX(生データ表[],MATCH($C50,生データ表['#],0),MATCH(Z$5,生データ表[#Headers],0))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v>
      </c>
      <c r="AA50" s="4">
        <f>IFERROR(ROUND(
(INDEX(生データ表[],MATCH($C50,生データ表['#],0),MATCH(AA$5,生データ表[#Headers],0))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50" s="4">
        <f>IFERROR(ROUND(
(INDEX(生データ表[],MATCH($C50,生データ表['#],0),MATCH(AB$5,生データ表[#Headers],0))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4.3794326240999997</v>
      </c>
      <c r="AC50" s="4">
        <f>IFERROR(ROUND(
(INDEX(生データ表[],MATCH($C50,生データ表['#],0),MATCH(AC$5,生データ表[#Headers],0))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5.9936908517000003</v>
      </c>
      <c r="AD50" s="4">
        <f>IFERROR(ROUND(
(INDEX(生データ表[],MATCH($C50,生データ表['#],0),MATCH(AD$5,生データ表[#Headers],0))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36.363636363600001</v>
      </c>
      <c r="AE50" s="4">
        <f>IFERROR(ROUND(
(INDEX(生データ表[],MATCH($C50,生データ表['#],0),MATCH(AE$5,生データ表[#Headers],0))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5.8542938488000003</v>
      </c>
      <c r="AF50" s="4">
        <f>IFERROR(ROUND(
(INDEX(生データ表[],MATCH($C50,生データ表['#],0),MATCH(AF$5,生データ表[#Headers],0))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0.78226857890000001</v>
      </c>
      <c r="AG50" s="4">
        <f>IFERROR(ROUND(
(INDEX(生データ表[],MATCH($C50,生データ表['#],0),MATCH(AG$5,生データ表[#Headers],0))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41.294187897900002</v>
      </c>
      <c r="AH50" s="4">
        <f>IFERROR(ROUND(
(INDEX(生データ表[],MATCH($C50,生データ表['#],0),MATCH(AH$5,生データ表[#Headers],0))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10</v>
      </c>
      <c r="AI50" s="4">
        <f>IFERROR(ROUND(
(INDEX(生データ表[],MATCH($C50,生データ表['#],0),MATCH(AI$5,生データ表[#Headers],0))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54.070544167800001</v>
      </c>
      <c r="AJ50" s="4">
        <f>IFERROR(ROUND(
(INDEX(生データ表[],MATCH($C50,生データ表['#],0),MATCH(AJ$5,生データ表[#Headers],0))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8.9211618257000005</v>
      </c>
      <c r="AK50" s="4">
        <f>IFERROR(ROUND(
(INDEX(生データ表[],MATCH($C50,生データ表['#],0),MATCH(AK$5,生データ表[#Headers],0))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26.369863013700002</v>
      </c>
      <c r="AL50" s="4">
        <f>IFERROR(ROUND(
(INDEX(生データ表[],MATCH($C50,生データ表['#],0),MATCH(AL$5,生データ表[#Headers],0))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21.052631578900002</v>
      </c>
      <c r="AM50" s="4">
        <f>IFERROR(ROUND(
(INDEX(生データ表[],MATCH($C50,生データ表['#],0),MATCH(AM$5,生データ表[#Headers],0))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12.8369905956</v>
      </c>
      <c r="AN50" s="4">
        <f>IFERROR(ROUND(
(INDEX(生データ表[],MATCH($C50,生データ表['#],0),MATCH(AN$5,生データ表[#Headers],0))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4.2337598727000003</v>
      </c>
      <c r="AO50" s="4">
        <f>IFERROR(ROUND(
(INDEX(生データ表[],MATCH($C50,生データ表['#],0),MATCH(AO$5,生データ表[#Headers],0))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11.930488173200001</v>
      </c>
      <c r="AP50" s="4">
        <f>IFERROR(ROUND(
(INDEX(生データ表[],MATCH($C50,生データ表['#],0),MATCH(AP$5,生データ表[#Headers],0))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23.507608672500002</v>
      </c>
      <c r="AQ50" s="4">
        <f>IFERROR(ROUND(
(INDEX(生データ表[],MATCH($C50,生データ表['#],0),MATCH(AQ$5,生データ表[#Headers],0))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2.5952109380000001</v>
      </c>
      <c r="AR50" s="4">
        <f>IFERROR(ROUND(
(INDEX(生データ表[],MATCH($C50,生データ表['#],0),MATCH(AR$5,生データ表[#Headers],0))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6.9824151771</v>
      </c>
      <c r="AS50" s="4">
        <f>IFERROR(ROUND(
(INDEX(生データ表[],MATCH($C50,生データ表['#],0),MATCH(AS$5,生データ表[#Headers],0))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86.758105001600001</v>
      </c>
      <c r="AT50" s="4">
        <f>IFERROR(ROUND(
(INDEX(生データ表[],MATCH($C50,生データ表['#],0),MATCH(AT$5,生データ表[#Headers],0))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64.6333044597</v>
      </c>
      <c r="AU50" s="4">
        <f>IFERROR(ROUND(
(INDEX(生データ表[],MATCH($C50,生データ表['#],0),MATCH(AU$5,生データ表[#Headers],0))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44.171737660600002</v>
      </c>
      <c r="AV50" s="4">
        <f>IFERROR(ROUND(
(INDEX(生データ表[],MATCH($C50,生データ表['#],0),MATCH(AV$5,生データ表[#Headers],0))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40.624279150900001</v>
      </c>
      <c r="AW50" s="4">
        <f>IFERROR(ROUND(
(INDEX(生データ表[],MATCH($C50,生データ表['#],0),MATCH(AW$5,生データ表[#Headers],0))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47.8312625059</v>
      </c>
      <c r="AX50" s="4">
        <f>IFERROR(ROUND(
(INDEX(生データ表[],MATCH($C50,生データ表['#],0),MATCH(AX$5,生データ表[#Headers],0))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96.876282855499994</v>
      </c>
      <c r="AY50" s="4">
        <f>IFERROR(ROUND(
(INDEX(生データ表[],MATCH($C50,生データ表['#],0),MATCH(AY$5,生データ表[#Headers],0))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99.831365935899996</v>
      </c>
      <c r="AZ50" s="4">
        <f>IFERROR(ROUND(
(INDEX(生データ表[],MATCH($C50,生データ表['#],0),MATCH(AZ$5,生データ表[#Headers],0))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81.712767242400005</v>
      </c>
      <c r="BA50" s="4">
        <f>IFERROR(ROUND(
(INDEX(生データ表[],MATCH($C50,生データ表['#],0),MATCH(BA$5,生データ表[#Headers],0))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87.574534622499996</v>
      </c>
      <c r="BB50" s="4">
        <f>IFERROR(ROUND(
(INDEX(生データ表[],MATCH($C50,生データ表['#],0),MATCH(BB$5,生データ表[#Headers],0))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81.535215791100001</v>
      </c>
      <c r="BC50" s="4">
        <f>IFERROR(ROUND(
(INDEX(生データ表[],MATCH($C50,生データ表['#],0),MATCH(BC$5,生データ表[#Headers],0))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43.471725414700003</v>
      </c>
      <c r="BD50" s="4">
        <f>IFERROR(ROUND(
(INDEX(生データ表[],MATCH($C50,生データ表['#],0),MATCH(BD$5,生データ表[#Headers],0))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55.440240021599998</v>
      </c>
      <c r="BE50" s="4">
        <f>IFERROR(ROUND(
(INDEX(生データ表[],MATCH($C50,生データ表['#],0),MATCH(BE$5,生データ表[#Headers],0))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32.1590406786</v>
      </c>
      <c r="BF50" s="4">
        <f>IFERROR(ROUND(
(INDEX(生データ表[],MATCH($C50,生データ表['#],0),MATCH(BF$5,生データ表[#Headers],0))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26.096612437899999</v>
      </c>
      <c r="BG50" s="4">
        <f>IFERROR(ROUND(
(INDEX(生データ表[],MATCH($C50,生データ表['#],0),MATCH(BG$5,生データ表[#Headers],0))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16.193999177999999</v>
      </c>
      <c r="BH50" s="4">
        <f>IFERROR(ROUND(
(INDEX(生データ表[],MATCH($C50,生データ表['#],0),MATCH(BH$5,生データ表[#Headers],0))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23.927465723099999</v>
      </c>
      <c r="BI50" s="4">
        <f>IFERROR(ROUND(
(INDEX(生データ表[],MATCH($C50,生データ表['#],0),MATCH(BI$5,生データ表[#Headers],0))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47.012810894899999</v>
      </c>
      <c r="BJ50" s="4">
        <f>IFERROR(ROUND(
(INDEX(生データ表[],MATCH($C50,生データ表['#],0),MATCH(BJ$5,生データ表[#Headers],0))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81.726216792100004</v>
      </c>
      <c r="BK50" s="4">
        <f>IFERROR(ROUND(
(INDEX(生データ表[],MATCH($C50,生データ表['#],0),MATCH(BK$5,生データ表[#Headers],0))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90.970654627499997</v>
      </c>
      <c r="BL50" s="4">
        <f>IFERROR(ROUND(
(INDEX(生データ表[],MATCH($C50,生データ表['#],0),MATCH(BL$5,生データ表[#Headers],0))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51.056814451000001</v>
      </c>
      <c r="BM50" s="4">
        <f>IFERROR(ROUND(
(INDEX(生データ表[],MATCH($C50,生データ表['#],0),MATCH(BM$5,生データ表[#Headers],0))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55.152394774999998</v>
      </c>
      <c r="BN50" s="4">
        <f>IFERROR(ROUND(
(INDEX(生データ表[],MATCH($C50,生データ表['#],0),MATCH(BN$5,生データ表[#Headers],0))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71.644308061700002</v>
      </c>
      <c r="BO50" s="4">
        <f>IFERROR(ROUND(
(INDEX(生データ表[],MATCH($C50,生データ表['#],0),MATCH(BO$5,生データ表[#Headers],0))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43.743980432199997</v>
      </c>
      <c r="BP50" s="4">
        <f>IFERROR(ROUND(
(INDEX(生データ表[],MATCH($C50,生データ表['#],0),MATCH(BP$5,生データ表[#Headers],0))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48.369565217400002</v>
      </c>
      <c r="BQ50" s="4">
        <f>IFERROR(ROUND(
(INDEX(生データ表[],MATCH($C50,生データ表['#],0),MATCH(BQ$5,生データ表[#Headers],0))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2.7724918680999999</v>
      </c>
      <c r="BR50" s="4">
        <f>IFERROR(ROUND(
(INDEX(生データ表[],MATCH($C50,生データ表['#],0),MATCH(BR$5,生データ表[#Headers],0))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17.478607013800001</v>
      </c>
      <c r="BS50" s="4">
        <f>IFERROR(ROUND(
(INDEX(生データ表[],MATCH($C50,生データ表['#],0),MATCH(BS$5,生データ表[#Headers],0))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14.2788755641</v>
      </c>
      <c r="BT50" s="4">
        <f>IFERROR(ROUND(
(INDEX(生データ表[],MATCH($C50,生データ表['#],0),MATCH(BT$5,生データ表[#Headers],0))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8.1627960451000003</v>
      </c>
      <c r="BU50" s="4">
        <f>IFERROR(ROUND(
(INDEX(生データ表[],MATCH($C50,生データ表['#],0),MATCH(BU$5,生データ表[#Headers],0))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54.746211300200002</v>
      </c>
      <c r="BV50" s="4">
        <f>IFERROR(ROUND(
(INDEX(生データ表[],MATCH($C50,生データ表['#],0),MATCH(BV$5,生データ表[#Headers],0))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85.714285714300004</v>
      </c>
      <c r="BW50" s="4">
        <f>IFERROR(ROUND(
(INDEX(生データ表[],MATCH($C50,生データ表['#],0),MATCH(BW$5,生データ表[#Headers],0))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56.117491166100002</v>
      </c>
      <c r="BX50" s="4">
        <f>IFERROR(ROUND(
(INDEX(生データ表[],MATCH($C50,生データ表['#],0),MATCH(BX$5,生データ表[#Headers],0))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13.8374672313</v>
      </c>
      <c r="BY50" s="4">
        <f>IFERROR(ROUND(
(INDEX(生データ表[],MATCH($C50,生データ表['#],0),MATCH(BY$5,生データ表[#Headers],0))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32.005462139599999</v>
      </c>
      <c r="BZ50" s="4">
        <f t="shared" si="17"/>
        <v>35.475490106449996</v>
      </c>
      <c r="CA50" s="4">
        <f t="shared" si="17"/>
        <v>97.26443768995</v>
      </c>
      <c r="CB50" s="4">
        <f t="shared" si="17"/>
        <v>1.3670824289999999</v>
      </c>
      <c r="CC50" s="4">
        <f t="shared" si="17"/>
        <v>28.292316131500002</v>
      </c>
      <c r="CD50" s="4">
        <f t="shared" si="17"/>
        <v>49.38030271473334</v>
      </c>
      <c r="CE50" s="4">
        <f t="shared" si="17"/>
        <v>86.884724414250002</v>
      </c>
      <c r="CF50" s="4">
        <f t="shared" si="17"/>
        <v>3.5199662583500002</v>
      </c>
      <c r="CG50" s="4">
        <f t="shared" si="17"/>
        <v>27.729203092266662</v>
      </c>
      <c r="CH50" s="4">
        <f t="shared" si="17"/>
        <v>1.4598108746999998</v>
      </c>
      <c r="CI50" s="4">
        <f t="shared" si="17"/>
        <v>12.248472410750001</v>
      </c>
      <c r="CJ50" s="4">
        <f t="shared" si="18"/>
        <v>35.121577355233335</v>
      </c>
      <c r="CK50" s="4">
        <f t="shared" si="18"/>
        <v>18.7812188061</v>
      </c>
      <c r="CL50" s="4">
        <f t="shared" si="18"/>
        <v>13.1272118285</v>
      </c>
      <c r="CM50" s="4">
        <f t="shared" si="18"/>
        <v>4.7888130575499996</v>
      </c>
      <c r="CN50" s="4">
        <f t="shared" si="18"/>
        <v>65.187715707300001</v>
      </c>
      <c r="CO50" s="4">
        <f t="shared" si="18"/>
        <v>44.227770828399997</v>
      </c>
      <c r="CP50" s="4">
        <f t="shared" si="18"/>
        <v>98.353824395700002</v>
      </c>
      <c r="CQ50" s="4">
        <f t="shared" si="18"/>
        <v>83.607505885333339</v>
      </c>
      <c r="CR50" s="4">
        <f t="shared" si="18"/>
        <v>39.291904638200002</v>
      </c>
      <c r="CS50" s="4">
        <f t="shared" si="18"/>
        <v>29.044758598666665</v>
      </c>
      <c r="CT50" s="4">
        <f t="shared" si="19"/>
        <v>74.584561956866665</v>
      </c>
      <c r="CU50" s="4">
        <f t="shared" si="19"/>
        <v>56.84689442296667</v>
      </c>
      <c r="CV50" s="4">
        <f t="shared" si="19"/>
        <v>25.57102854275</v>
      </c>
      <c r="CW50" s="4">
        <f t="shared" si="19"/>
        <v>15.87874128895</v>
      </c>
      <c r="CX50" s="4">
        <f t="shared" si="19"/>
        <v>49.541097686533334</v>
      </c>
      <c r="CY50" s="4">
        <f t="shared" si="19"/>
        <v>33.986806845666671</v>
      </c>
      <c r="CZ50" s="4">
        <f t="shared" si="20"/>
        <v>298.66435348588334</v>
      </c>
      <c r="DA50" s="4">
        <f t="shared" si="20"/>
        <v>32.708980225316658</v>
      </c>
      <c r="DB50" s="4">
        <f t="shared" si="20"/>
        <v>84.067293458133335</v>
      </c>
      <c r="DC50" s="4">
        <f t="shared" si="20"/>
        <v>330.66872145493335</v>
      </c>
      <c r="DD50" s="4">
        <f t="shared" si="20"/>
        <v>160.4762149785</v>
      </c>
      <c r="DE50" s="4">
        <f t="shared" si="20"/>
        <v>124.97767436390001</v>
      </c>
      <c r="DF50" s="76">
        <f t="shared" si="4"/>
        <v>1031.5632379666667</v>
      </c>
    </row>
    <row r="51" spans="1:110" hidden="1">
      <c r="A51" s="2">
        <v>46</v>
      </c>
      <c r="B51" s="58">
        <f>INDEX(順位表[Comprehensive],MATCH($C51,順位表['#],0))</f>
        <v>31</v>
      </c>
      <c r="C51" s="3">
        <v>46</v>
      </c>
      <c r="D51" s="1" t="str">
        <f>INDEX(都市マスタ[City Name],MATCH($C51,都市マスタ['#],0))</f>
        <v>Helsinki</v>
      </c>
      <c r="E51" s="4">
        <f>IFERROR(ROUND(
(INDEX(生データ表[],MATCH($C51,生データ表['#],0),MATCH(E$5,生データ表[#Headers],0))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1.8375127321</v>
      </c>
      <c r="F51" s="4">
        <f>IFERROR(ROUND(
(INDEX(生データ表[],MATCH($C51,生データ表['#],0),MATCH(F$5,生データ表[#Headers],0))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1.2087048763999999</v>
      </c>
      <c r="G51" s="4">
        <f>IFERROR(ROUND(
(INDEX(生データ表[],MATCH($C51,生データ表['#],0),MATCH(G$5,生データ表[#Headers],0))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9.4288729999999999E-4</v>
      </c>
      <c r="H51" s="4">
        <f>IFERROR(ROUND(
(INDEX(生データ表[],MATCH($C51,生データ表['#],0),MATCH(H$5,生データ表[#Headers],0))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2.3699899989</v>
      </c>
      <c r="I51" s="4">
        <f>IFERROR(ROUND(
(INDEX(生データ表[],MATCH($C51,生データ表['#],0),MATCH(I$5,生データ表[#Headers],0))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29.221112435399998</v>
      </c>
      <c r="J51" s="4">
        <f>IFERROR(ROUND(
(INDEX(生データ表[],MATCH($C51,生データ表['#],0),MATCH(J$5,生データ表[#Headers],0))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33.435702918899999</v>
      </c>
      <c r="K51" s="4">
        <f>IFERROR(ROUND(
(INDEX(生データ表[],MATCH($C51,生データ表['#],0),MATCH(K$5,生データ表[#Headers],0))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80.687397708700004</v>
      </c>
      <c r="L51" s="4">
        <f>IFERROR(ROUND(
(INDEX(生データ表[],MATCH($C51,生データ表['#],0),MATCH(L$5,生データ表[#Headers],0))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0.73570900179999998</v>
      </c>
      <c r="M51" s="4">
        <f>IFERROR(ROUND(
(INDEX(生データ表[],MATCH($C51,生データ表['#],0),MATCH(M$5,生データ表[#Headers],0))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51" s="4">
        <f>IFERROR(ROUND(
(INDEX(生データ表[],MATCH($C51,生データ表['#],0),MATCH(N$5,生データ表[#Headers],0))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1.2883589599</v>
      </c>
      <c r="O51" s="4">
        <f>IFERROR(ROUND(
(INDEX(生データ表[],MATCH($C51,生データ表['#],0),MATCH(O$5,生データ表[#Headers],0))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81.216503963799994</v>
      </c>
      <c r="P51" s="4">
        <f>IFERROR(ROUND(
(INDEX(生データ表[],MATCH($C51,生データ表['#],0),MATCH(P$5,生データ表[#Headers],0))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47.977269288499997</v>
      </c>
      <c r="Q51" s="4">
        <f>IFERROR(ROUND(
(INDEX(生データ表[],MATCH($C51,生データ表['#],0),MATCH(Q$5,生データ表[#Headers],0))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72.063482055799994</v>
      </c>
      <c r="R51" s="4">
        <f>IFERROR(ROUND(
(INDEX(生データ表[],MATCH($C51,生データ表['#],0),MATCH(R$5,生データ表[#Headers],0))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18.2366052436</v>
      </c>
      <c r="S51" s="4">
        <f>IFERROR(ROUND(
(INDEX(生データ表[],MATCH($C51,生データ表['#],0),MATCH(S$5,生データ表[#Headers],0))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57.692307692299998</v>
      </c>
      <c r="T51" s="4">
        <f>IFERROR(ROUND(
(INDEX(生データ表[],MATCH($C51,生データ表['#],0),MATCH(T$5,生データ表[#Headers],0))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88.392195965300004</v>
      </c>
      <c r="U51" s="4">
        <f>IFERROR(ROUND(
(INDEX(生データ表[],MATCH($C51,生データ表['#],0),MATCH(U$5,生データ表[#Headers],0))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4.0511531353999999</v>
      </c>
      <c r="V51" s="4">
        <f>IFERROR(ROUND(
(INDEX(生データ表[],MATCH($C51,生データ表['#],0),MATCH(V$5,生データ表[#Headers],0))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11.601513240899999</v>
      </c>
      <c r="W51" s="4">
        <f>IFERROR(ROUND(
(INDEX(生データ表[],MATCH($C51,生データ表['#],0),MATCH(W$5,生データ表[#Headers],0))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2.1067763006</v>
      </c>
      <c r="X51" s="4">
        <f>IFERROR(ROUND(
(INDEX(生データ表[],MATCH($C51,生データ表['#],0),MATCH(X$5,生データ表[#Headers],0))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2.7838020538000001</v>
      </c>
      <c r="Y51" s="4">
        <f>IFERROR(ROUND(
(INDEX(生データ表[],MATCH($C51,生データ表['#],0),MATCH(Y$5,生データ表[#Headers],0))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74.074296164800003</v>
      </c>
      <c r="Z51" s="4">
        <f>IFERROR(ROUND(
(INDEX(生データ表[],MATCH($C51,生データ表['#],0),MATCH(Z$5,生データ表[#Headers],0))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0.27777040269999997</v>
      </c>
      <c r="AA51" s="4">
        <f>IFERROR(ROUND(
(INDEX(生データ表[],MATCH($C51,生データ表['#],0),MATCH(AA$5,生データ表[#Headers],0))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2.9315960911999999</v>
      </c>
      <c r="AB51" s="4">
        <f>IFERROR(ROUND(
(INDEX(生データ表[],MATCH($C51,生データ表['#],0),MATCH(AB$5,生データ表[#Headers],0))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3.0141843972000002</v>
      </c>
      <c r="AC51" s="4">
        <f>IFERROR(ROUND(
(INDEX(生データ表[],MATCH($C51,生データ表['#],0),MATCH(AC$5,生データ表[#Headers],0))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17.0347003155</v>
      </c>
      <c r="AD51" s="4">
        <f>IFERROR(ROUND(
(INDEX(生データ表[],MATCH($C51,生データ表['#],0),MATCH(AD$5,生データ表[#Headers],0))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36.363636363600001</v>
      </c>
      <c r="AE51" s="4">
        <f>IFERROR(ROUND(
(INDEX(生データ表[],MATCH($C51,生データ表['#],0),MATCH(AE$5,生データ表[#Headers],0))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0.31887753410000003</v>
      </c>
      <c r="AF51" s="4">
        <f>IFERROR(ROUND(
(INDEX(生データ表[],MATCH($C51,生データ表['#],0),MATCH(AF$5,生データ表[#Headers],0))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0.78226857890000001</v>
      </c>
      <c r="AG51" s="4">
        <f>IFERROR(ROUND(
(INDEX(生データ表[],MATCH($C51,生データ表['#],0),MATCH(AG$5,生データ表[#Headers],0))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12.4322097286</v>
      </c>
      <c r="AH51" s="4">
        <f>IFERROR(ROUND(
(INDEX(生データ表[],MATCH($C51,生データ表['#],0),MATCH(AH$5,生データ表[#Headers],0))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15</v>
      </c>
      <c r="AI51" s="4">
        <f>IFERROR(ROUND(
(INDEX(生データ表[],MATCH($C51,生データ表['#],0),MATCH(AI$5,生データ表[#Headers],0))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0</v>
      </c>
      <c r="AJ51" s="4">
        <f>IFERROR(ROUND(
(INDEX(生データ表[],MATCH($C51,生データ表['#],0),MATCH(AJ$5,生データ表[#Headers],0))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10.5809128631</v>
      </c>
      <c r="AK51" s="4">
        <f>IFERROR(ROUND(
(INDEX(生データ表[],MATCH($C51,生データ表['#],0),MATCH(AK$5,生データ表[#Headers],0))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23.630136986299998</v>
      </c>
      <c r="AL51" s="4">
        <f>IFERROR(ROUND(
(INDEX(生データ表[],MATCH($C51,生データ表['#],0),MATCH(AL$5,生データ表[#Headers],0))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10.5263157895</v>
      </c>
      <c r="AM51" s="4">
        <f>IFERROR(ROUND(
(INDEX(生データ表[],MATCH($C51,生データ表['#],0),MATCH(AM$5,生データ表[#Headers],0))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4.8113093803</v>
      </c>
      <c r="AN51" s="4">
        <f>IFERROR(ROUND(
(INDEX(生データ表[],MATCH($C51,生データ表['#],0),MATCH(AN$5,生データ表[#Headers],0))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0.29694483560000001</v>
      </c>
      <c r="AO51" s="4">
        <f>IFERROR(ROUND(
(INDEX(生データ表[],MATCH($C51,生データ表['#],0),MATCH(AO$5,生データ表[#Headers],0))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5.1536808563000003</v>
      </c>
      <c r="AP51" s="4">
        <f>IFERROR(ROUND(
(INDEX(生データ表[],MATCH($C51,生データ表['#],0),MATCH(AP$5,生データ表[#Headers],0))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0</v>
      </c>
      <c r="AQ51" s="4">
        <f>IFERROR(ROUND(
(INDEX(生データ表[],MATCH($C51,生データ表['#],0),MATCH(AQ$5,生データ表[#Headers],0))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1.8633645229</v>
      </c>
      <c r="AR51" s="4">
        <f>IFERROR(ROUND(
(INDEX(生データ表[],MATCH($C51,生データ表['#],0),MATCH(AR$5,生データ表[#Headers],0))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4.3207833431999996</v>
      </c>
      <c r="AS51" s="4">
        <f>IFERROR(ROUND(
(INDEX(生データ表[],MATCH($C51,生データ表['#],0),MATCH(AS$5,生データ表[#Headers],0))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60.335581487699997</v>
      </c>
      <c r="AT51" s="4">
        <f>IFERROR(ROUND(
(INDEX(生データ表[],MATCH($C51,生データ表['#],0),MATCH(AT$5,生データ表[#Headers],0))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88.893412722899996</v>
      </c>
      <c r="AU51" s="4">
        <f>IFERROR(ROUND(
(INDEX(生データ表[],MATCH($C51,生データ表['#],0),MATCH(AU$5,生データ表[#Headers],0))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85.034216995500003</v>
      </c>
      <c r="AV51" s="4">
        <f>IFERROR(ROUND(
(INDEX(生データ表[],MATCH($C51,生データ表['#],0),MATCH(AV$5,生データ表[#Headers],0))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76.124170018699999</v>
      </c>
      <c r="AW51" s="4">
        <f>IFERROR(ROUND(
(INDEX(生データ表[],MATCH($C51,生データ表['#],0),MATCH(AW$5,生データ表[#Headers],0))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53.765987670900003</v>
      </c>
      <c r="AX51" s="4">
        <f>IFERROR(ROUND(
(INDEX(生データ表[],MATCH($C51,生データ表['#],0),MATCH(AX$5,生データ表[#Headers],0))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97.177372873899998</v>
      </c>
      <c r="AY51" s="4">
        <f>IFERROR(ROUND(
(INDEX(生データ表[],MATCH($C51,生データ表['#],0),MATCH(AY$5,生データ表[#Headers],0))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98.482293423300007</v>
      </c>
      <c r="AZ51" s="4">
        <f>IFERROR(ROUND(
(INDEX(生データ表[],MATCH($C51,生データ表['#],0),MATCH(AZ$5,生データ表[#Headers],0))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80.722309457700007</v>
      </c>
      <c r="BA51" s="4">
        <f>IFERROR(ROUND(
(INDEX(生データ表[],MATCH($C51,生データ表['#],0),MATCH(BA$5,生データ表[#Headers],0))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100</v>
      </c>
      <c r="BB51" s="4">
        <f>IFERROR(ROUND(
(INDEX(生データ表[],MATCH($C51,生データ表['#],0),MATCH(BB$5,生データ表[#Headers],0))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65.520356015900006</v>
      </c>
      <c r="BC51" s="4">
        <f>IFERROR(ROUND(
(INDEX(生データ表[],MATCH($C51,生データ表['#],0),MATCH(BC$5,生データ表[#Headers],0))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46.312770063999999</v>
      </c>
      <c r="BD51" s="4">
        <f>IFERROR(ROUND(
(INDEX(生データ表[],MATCH($C51,生データ表['#],0),MATCH(BD$5,生データ表[#Headers],0))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68.716381528499994</v>
      </c>
      <c r="BE51" s="4">
        <f>IFERROR(ROUND(
(INDEX(生データ表[],MATCH($C51,生データ表['#],0),MATCH(BE$5,生データ表[#Headers],0))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0</v>
      </c>
      <c r="BF51" s="4">
        <f>IFERROR(ROUND(
(INDEX(生データ表[],MATCH($C51,生データ表['#],0),MATCH(BF$5,生データ表[#Headers],0))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1.9371770022999999</v>
      </c>
      <c r="BG51" s="4">
        <f>IFERROR(ROUND(
(INDEX(生データ表[],MATCH($C51,生データ表['#],0),MATCH(BG$5,生データ表[#Headers],0))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45.885737772299997</v>
      </c>
      <c r="BH51" s="4">
        <f>IFERROR(ROUND(
(INDEX(生データ表[],MATCH($C51,生データ表['#],0),MATCH(BH$5,生データ表[#Headers],0))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84.387439186199998</v>
      </c>
      <c r="BI51" s="4">
        <f>IFERROR(ROUND(
(INDEX(生データ表[],MATCH($C51,生データ表['#],0),MATCH(BI$5,生データ表[#Headers],0))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43.6926059571</v>
      </c>
      <c r="BJ51" s="4">
        <f>IFERROR(ROUND(
(INDEX(生データ表[],MATCH($C51,生データ表['#],0),MATCH(BJ$5,生データ表[#Headers],0))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83.527587220000001</v>
      </c>
      <c r="BK51" s="4">
        <f>IFERROR(ROUND(
(INDEX(生データ表[],MATCH($C51,生データ表['#],0),MATCH(BK$5,生データ表[#Headers],0))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94.582392776500001</v>
      </c>
      <c r="BL51" s="4">
        <f>IFERROR(ROUND(
(INDEX(生データ表[],MATCH($C51,生データ表['#],0),MATCH(BL$5,生データ表[#Headers],0))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33.888917681800002</v>
      </c>
      <c r="BM51" s="4">
        <f>IFERROR(ROUND(
(INDEX(生データ表[],MATCH($C51,生データ表['#],0),MATCH(BM$5,生データ表[#Headers],0))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93.323657474599997</v>
      </c>
      <c r="BN51" s="4">
        <f>IFERROR(ROUND(
(INDEX(生データ表[],MATCH($C51,生データ表['#],0),MATCH(BN$5,生データ表[#Headers],0))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93.493932268999998</v>
      </c>
      <c r="BO51" s="4">
        <f>IFERROR(ROUND(
(INDEX(生データ表[],MATCH($C51,生データ表['#],0),MATCH(BO$5,生データ表[#Headers],0))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59.257351491999998</v>
      </c>
      <c r="BP51" s="4">
        <f>IFERROR(ROUND(
(INDEX(生データ表[],MATCH($C51,生データ表['#],0),MATCH(BP$5,生データ表[#Headers],0))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29.891304347799998</v>
      </c>
      <c r="BQ51" s="4">
        <f>IFERROR(ROUND(
(INDEX(生データ表[],MATCH($C51,生データ表['#],0),MATCH(BQ$5,生データ表[#Headers],0))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2.8154447934000002</v>
      </c>
      <c r="BR51" s="4">
        <f>IFERROR(ROUND(
(INDEX(生データ表[],MATCH($C51,生データ表['#],0),MATCH(BR$5,生データ表[#Headers],0))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5.6286625163000004</v>
      </c>
      <c r="BS51" s="4">
        <f>IFERROR(ROUND(
(INDEX(生データ表[],MATCH($C51,生データ表['#],0),MATCH(BS$5,生データ表[#Headers],0))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7.098743013</v>
      </c>
      <c r="BT51" s="4">
        <f>IFERROR(ROUND(
(INDEX(生データ表[],MATCH($C51,生データ表['#],0),MATCH(BT$5,生データ表[#Headers],0))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20.234536675099999</v>
      </c>
      <c r="BU51" s="4">
        <f>IFERROR(ROUND(
(INDEX(生データ表[],MATCH($C51,生データ表['#],0),MATCH(BU$5,生データ表[#Headers],0))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75.399805010700007</v>
      </c>
      <c r="BV51" s="4">
        <f>IFERROR(ROUND(
(INDEX(生データ表[],MATCH($C51,生データ表['#],0),MATCH(BV$5,生データ表[#Headers],0))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66.666666666699996</v>
      </c>
      <c r="BW51" s="4">
        <f>IFERROR(ROUND(
(INDEX(生データ表[],MATCH($C51,生データ表['#],0),MATCH(BW$5,生データ表[#Headers],0))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97.802561837499994</v>
      </c>
      <c r="BX51" s="4">
        <f>IFERROR(ROUND(
(INDEX(生データ表[],MATCH($C51,生データ表['#],0),MATCH(BX$5,生データ表[#Headers],0))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40.359076659999999</v>
      </c>
      <c r="BY51" s="4">
        <f>IFERROR(ROUND(
(INDEX(生データ表[],MATCH($C51,生データ表['#],0),MATCH(BY$5,生データ表[#Headers],0))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27.0614690614</v>
      </c>
      <c r="BZ51" s="4">
        <f t="shared" si="17"/>
        <v>15.795551217149999</v>
      </c>
      <c r="CA51" s="4">
        <f t="shared" si="17"/>
        <v>57.061550313799998</v>
      </c>
      <c r="CB51" s="4">
        <f t="shared" si="17"/>
        <v>0.36785450089999999</v>
      </c>
      <c r="CC51" s="4">
        <f t="shared" si="17"/>
        <v>41.252431461849994</v>
      </c>
      <c r="CD51" s="4">
        <f t="shared" si="17"/>
        <v>46.092452195966665</v>
      </c>
      <c r="CE51" s="4">
        <f t="shared" si="17"/>
        <v>73.042251828800005</v>
      </c>
      <c r="CF51" s="4">
        <f t="shared" si="17"/>
        <v>7.8263331881499996</v>
      </c>
      <c r="CG51" s="4">
        <f t="shared" si="17"/>
        <v>26.321624839733335</v>
      </c>
      <c r="CH51" s="4">
        <f t="shared" si="17"/>
        <v>2.0745169637000003</v>
      </c>
      <c r="CI51" s="4">
        <f t="shared" si="17"/>
        <v>13.624870698024999</v>
      </c>
      <c r="CJ51" s="4">
        <f t="shared" si="18"/>
        <v>9.144069909533334</v>
      </c>
      <c r="CK51" s="4">
        <f t="shared" si="18"/>
        <v>14.912455212966668</v>
      </c>
      <c r="CL51" s="4">
        <f t="shared" si="18"/>
        <v>2.56548376805</v>
      </c>
      <c r="CM51" s="4">
        <f t="shared" si="18"/>
        <v>3.09207393305</v>
      </c>
      <c r="CN51" s="4">
        <f t="shared" si="18"/>
        <v>78.087737068699994</v>
      </c>
      <c r="CO51" s="4">
        <f t="shared" si="18"/>
        <v>64.945078844800008</v>
      </c>
      <c r="CP51" s="4">
        <f t="shared" si="18"/>
        <v>97.829833148600002</v>
      </c>
      <c r="CQ51" s="4">
        <f t="shared" si="18"/>
        <v>82.080888491200014</v>
      </c>
      <c r="CR51" s="4">
        <f t="shared" si="18"/>
        <v>29.241582148700001</v>
      </c>
      <c r="CS51" s="4">
        <f t="shared" si="18"/>
        <v>57.988594305199996</v>
      </c>
      <c r="CT51" s="4">
        <f t="shared" si="19"/>
        <v>70.666299226099994</v>
      </c>
      <c r="CU51" s="4">
        <f t="shared" si="19"/>
        <v>82.024980411866665</v>
      </c>
      <c r="CV51" s="4">
        <f t="shared" si="19"/>
        <v>16.3533745706</v>
      </c>
      <c r="CW51" s="4">
        <f t="shared" si="19"/>
        <v>6.3637027646500002</v>
      </c>
      <c r="CX51" s="4">
        <f t="shared" si="19"/>
        <v>54.100336117499999</v>
      </c>
      <c r="CY51" s="4">
        <f t="shared" si="19"/>
        <v>55.074369186300004</v>
      </c>
      <c r="CZ51" s="4">
        <f t="shared" si="20"/>
        <v>233.61209151846666</v>
      </c>
      <c r="DA51" s="4">
        <f t="shared" si="20"/>
        <v>36.222474991583333</v>
      </c>
      <c r="DB51" s="4">
        <f t="shared" si="20"/>
        <v>43.338953521625008</v>
      </c>
      <c r="DC51" s="4">
        <f t="shared" si="20"/>
        <v>352.18511970200001</v>
      </c>
      <c r="DD51" s="4">
        <f t="shared" si="20"/>
        <v>210.67987394316665</v>
      </c>
      <c r="DE51" s="4">
        <f t="shared" si="20"/>
        <v>131.89178263905001</v>
      </c>
      <c r="DF51" s="76">
        <f t="shared" si="4"/>
        <v>1007.9302963158916</v>
      </c>
    </row>
    <row r="52" spans="1:110" hidden="1">
      <c r="A52" s="2">
        <v>47</v>
      </c>
      <c r="B52" s="58">
        <f>INDEX(順位表[Comprehensive],MATCH($C52,順位表['#],0))</f>
        <v>40</v>
      </c>
      <c r="C52" s="3">
        <v>47</v>
      </c>
      <c r="D52" s="1" t="str">
        <f>INDEX(都市マスタ[City Name],MATCH($C52,都市マスタ['#],0))</f>
        <v>Tel Aviv</v>
      </c>
      <c r="E52" s="4">
        <f>IFERROR(ROUND(
(INDEX(生データ表[],MATCH($C52,生データ表['#],0),MATCH(E$5,生データ表[#Headers],0))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5.1706805430999996</v>
      </c>
      <c r="F52" s="4">
        <f>IFERROR(ROUND(
(INDEX(生データ表[],MATCH($C52,生データ表['#],0),MATCH(F$5,生データ表[#Headers],0))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0.95245529380000005</v>
      </c>
      <c r="G52" s="4">
        <f>IFERROR(ROUND(
(INDEX(生データ表[],MATCH($C52,生データ表['#],0),MATCH(G$5,生データ表[#Headers],0))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1.7174018400000001E-2</v>
      </c>
      <c r="H52" s="4">
        <f>IFERROR(ROUND(
(INDEX(生データ表[],MATCH($C52,生データ表['#],0),MATCH(H$5,生データ表[#Headers],0))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6.6459865975000003</v>
      </c>
      <c r="I52" s="4">
        <f>IFERROR(ROUND(
(INDEX(生データ表[],MATCH($C52,生データ表['#],0),MATCH(I$5,生データ表[#Headers],0))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23.623283921900001</v>
      </c>
      <c r="J52" s="4">
        <f>IFERROR(ROUND(
(INDEX(生データ表[],MATCH($C52,生データ表['#],0),MATCH(J$5,生データ表[#Headers],0))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44.372551855600001</v>
      </c>
      <c r="K52" s="4">
        <f>IFERROR(ROUND(
(INDEX(生データ表[],MATCH($C52,生データ表['#],0),MATCH(K$5,生データ表[#Headers],0))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57.7039981295</v>
      </c>
      <c r="L52" s="4">
        <f>IFERROR(ROUND(
(INDEX(生データ表[],MATCH($C52,生データ表['#],0),MATCH(L$5,生データ表[#Headers],0))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0.66910869439999998</v>
      </c>
      <c r="M52" s="4">
        <f>IFERROR(ROUND(
(INDEX(生データ表[],MATCH($C52,生データ表['#],0),MATCH(M$5,生データ表[#Headers],0))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0</v>
      </c>
      <c r="N52" s="4">
        <f>IFERROR(ROUND(
(INDEX(生データ表[],MATCH($C52,生データ表['#],0),MATCH(N$5,生データ表[#Headers],0))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4.0836084635000001</v>
      </c>
      <c r="O52" s="4">
        <f>IFERROR(ROUND(
(INDEX(生データ表[],MATCH($C52,生データ表['#],0),MATCH(O$5,生データ表[#Headers],0))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65.661371204600002</v>
      </c>
      <c r="P52" s="4">
        <f>IFERROR(ROUND(
(INDEX(生データ表[],MATCH($C52,生データ表['#],0),MATCH(P$5,生データ表[#Headers],0))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48.087775427099999</v>
      </c>
      <c r="Q52" s="4">
        <f>IFERROR(ROUND(
(INDEX(生データ表[],MATCH($C52,生データ表['#],0),MATCH(Q$5,生データ表[#Headers],0))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35.845098555600003</v>
      </c>
      <c r="R52" s="4">
        <f>IFERROR(ROUND(
(INDEX(生データ表[],MATCH($C52,生データ表['#],0),MATCH(R$5,生データ表[#Headers],0))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23.6723116744</v>
      </c>
      <c r="S52" s="4">
        <f>IFERROR(ROUND(
(INDEX(生データ表[],MATCH($C52,生データ表['#],0),MATCH(S$5,生データ表[#Headers],0))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46.153846153800004</v>
      </c>
      <c r="T52" s="4">
        <f>IFERROR(ROUND(
(INDEX(生データ表[],MATCH($C52,生データ表['#],0),MATCH(T$5,生データ表[#Headers],0))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81.638140760300004</v>
      </c>
      <c r="U52" s="4">
        <f>IFERROR(ROUND(
(INDEX(生データ表[],MATCH($C52,生データ表['#],0),MATCH(U$5,生データ表[#Headers],0))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8.4900396769000004</v>
      </c>
      <c r="V52" s="4">
        <f>IFERROR(ROUND(
(INDEX(生データ表[],MATCH($C52,生データ表['#],0),MATCH(V$5,生データ表[#Headers],0))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0.25220680960000003</v>
      </c>
      <c r="W52" s="4">
        <f>IFERROR(ROUND(
(INDEX(生データ表[],MATCH($C52,生データ表['#],0),MATCH(W$5,生データ表[#Headers],0))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8.9181838991000006</v>
      </c>
      <c r="X52" s="4">
        <f>IFERROR(ROUND(
(INDEX(生データ表[],MATCH($C52,生データ表['#],0),MATCH(X$5,生データ表[#Headers],0))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1.6634077863000001</v>
      </c>
      <c r="Y52" s="4">
        <f>IFERROR(ROUND(
(INDEX(生データ表[],MATCH($C52,生データ表['#],0),MATCH(Y$5,生データ表[#Headers],0))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52.723716535699999</v>
      </c>
      <c r="Z52" s="4">
        <f>IFERROR(ROUND(
(INDEX(生データ表[],MATCH($C52,生データ表['#],0),MATCH(Z$5,生データ表[#Headers],0))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2.7573032411999998</v>
      </c>
      <c r="AA52" s="4">
        <f>IFERROR(ROUND(
(INDEX(生データ表[],MATCH($C52,生データ表['#],0),MATCH(AA$5,生データ表[#Headers],0))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2.2801302932</v>
      </c>
      <c r="AB52" s="4">
        <f>IFERROR(ROUND(
(INDEX(生データ表[],MATCH($C52,生データ表['#],0),MATCH(AB$5,生データ表[#Headers],0))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12.2872340426</v>
      </c>
      <c r="AC52" s="4">
        <f>IFERROR(ROUND(
(INDEX(生データ表[],MATCH($C52,生データ表['#],0),MATCH(AC$5,生データ表[#Headers],0))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0.94637223969999995</v>
      </c>
      <c r="AD52" s="4">
        <f>IFERROR(ROUND(
(INDEX(生データ表[],MATCH($C52,生データ表['#],0),MATCH(AD$5,生データ表[#Headers],0))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36.363636363600001</v>
      </c>
      <c r="AE52" s="4">
        <f>IFERROR(ROUND(
(INDEX(生データ表[],MATCH($C52,生データ表['#],0),MATCH(AE$5,生データ表[#Headers],0))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3.9607324924</v>
      </c>
      <c r="AF52" s="4">
        <f>IFERROR(ROUND(
(INDEX(生データ表[],MATCH($C52,生データ表['#],0),MATCH(AF$5,生データ表[#Headers],0))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1.2991936126000001</v>
      </c>
      <c r="AG52" s="4">
        <f>IFERROR(ROUND(
(INDEX(生データ表[],MATCH($C52,生データ表['#],0),MATCH(AG$5,生データ表[#Headers],0))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29.0110364449</v>
      </c>
      <c r="AH52" s="4">
        <f>IFERROR(ROUND(
(INDEX(生データ表[],MATCH($C52,生データ表['#],0),MATCH(AH$5,生データ表[#Headers],0))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70</v>
      </c>
      <c r="AI52" s="4">
        <f>IFERROR(ROUND(
(INDEX(生データ表[],MATCH($C52,生データ表['#],0),MATCH(AI$5,生データ表[#Headers],0))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64.582099484799997</v>
      </c>
      <c r="AJ52" s="4">
        <f>IFERROR(ROUND(
(INDEX(生データ表[],MATCH($C52,生データ表['#],0),MATCH(AJ$5,生データ表[#Headers],0))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6.0165975103999996</v>
      </c>
      <c r="AK52" s="4">
        <f>IFERROR(ROUND(
(INDEX(生データ表[],MATCH($C52,生データ表['#],0),MATCH(AK$5,生データ表[#Headers],0))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12.3287671233</v>
      </c>
      <c r="AL52" s="4">
        <f>IFERROR(ROUND(
(INDEX(生データ表[],MATCH($C52,生データ表['#],0),MATCH(AL$5,生データ表[#Headers],0))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5.2631578947</v>
      </c>
      <c r="AM52" s="4">
        <f>IFERROR(ROUND(
(INDEX(生データ表[],MATCH($C52,生データ表['#],0),MATCH(AM$5,生データ表[#Headers],0))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5.4702194356999998</v>
      </c>
      <c r="AN52" s="4">
        <f>IFERROR(ROUND(
(INDEX(生データ表[],MATCH($C52,生データ表['#],0),MATCH(AN$5,生データ表[#Headers],0))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3.8817118716999999</v>
      </c>
      <c r="AO52" s="4">
        <f>IFERROR(ROUND(
(INDEX(生データ表[],MATCH($C52,生データ表['#],0),MATCH(AO$5,生データ表[#Headers],0))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28.056767008000001</v>
      </c>
      <c r="AP52" s="4">
        <f>IFERROR(ROUND(
(INDEX(生データ表[],MATCH($C52,生データ表['#],0),MATCH(AP$5,生データ表[#Headers],0))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36.878579424999998</v>
      </c>
      <c r="AQ52" s="4">
        <f>IFERROR(ROUND(
(INDEX(生データ表[],MATCH($C52,生データ表['#],0),MATCH(AQ$5,生データ表[#Headers],0))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5.7888301490999998</v>
      </c>
      <c r="AR52" s="4">
        <f>IFERROR(ROUND(
(INDEX(生データ表[],MATCH($C52,生データ表['#],0),MATCH(AR$5,生データ表[#Headers],0))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0.99837784200000002</v>
      </c>
      <c r="AS52" s="4">
        <f>IFERROR(ROUND(
(INDEX(生データ表[],MATCH($C52,生データ表['#],0),MATCH(AS$5,生データ表[#Headers],0))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90.447935361899994</v>
      </c>
      <c r="AT52" s="4">
        <f>IFERROR(ROUND(
(INDEX(生データ表[],MATCH($C52,生データ表['#],0),MATCH(AT$5,生データ表[#Headers],0))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36.3702077481</v>
      </c>
      <c r="AU52" s="4">
        <f>IFERROR(ROUND(
(INDEX(生データ表[],MATCH($C52,生データ表['#],0),MATCH(AU$5,生データ表[#Headers],0))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47.777777777799997</v>
      </c>
      <c r="AV52" s="4">
        <f>IFERROR(ROUND(
(INDEX(生データ表[],MATCH($C52,生データ表['#],0),MATCH(AV$5,生データ表[#Headers],0))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55.940420216100001</v>
      </c>
      <c r="AW52" s="4">
        <f>IFERROR(ROUND(
(INDEX(生データ表[],MATCH($C52,生データ表['#],0),MATCH(AW$5,生データ表[#Headers],0))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40.490169072299999</v>
      </c>
      <c r="AX52" s="4">
        <f>IFERROR(ROUND(
(INDEX(生データ表[],MATCH($C52,生データ表['#],0),MATCH(AX$5,生データ表[#Headers],0))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95.586444028499997</v>
      </c>
      <c r="AY52" s="4">
        <f>IFERROR(ROUND(
(INDEX(生データ表[],MATCH($C52,生データ表['#],0),MATCH(AY$5,生データ表[#Headers],0))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96.458684654300001</v>
      </c>
      <c r="AZ52" s="4">
        <f>IFERROR(ROUND(
(INDEX(生データ表[],MATCH($C52,生データ表['#],0),MATCH(AZ$5,生データ表[#Headers],0))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85.674598381400003</v>
      </c>
      <c r="BA52" s="4">
        <f>IFERROR(ROUND(
(INDEX(生データ表[],MATCH($C52,生データ表['#],0),MATCH(BA$5,生データ表[#Headers],0))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51.120909996999998</v>
      </c>
      <c r="BB52" s="4">
        <f>IFERROR(ROUND(
(INDEX(生データ表[],MATCH($C52,生データ表['#],0),MATCH(BB$5,生データ表[#Headers],0))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94.720950869899994</v>
      </c>
      <c r="BC52" s="4">
        <f>IFERROR(ROUND(
(INDEX(生データ表[],MATCH($C52,生データ表['#],0),MATCH(BC$5,生データ表[#Headers],0))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40.959466898999999</v>
      </c>
      <c r="BD52" s="4">
        <f>IFERROR(ROUND(
(INDEX(生データ表[],MATCH($C52,生データ表['#],0),MATCH(BD$5,生データ表[#Headers],0))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61.325951432899998</v>
      </c>
      <c r="BE52" s="4">
        <f>IFERROR(ROUND(
(INDEX(生データ表[],MATCH($C52,生データ表['#],0),MATCH(BE$5,生データ表[#Headers],0))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30.1971133841</v>
      </c>
      <c r="BF52" s="4">
        <f>IFERROR(ROUND(
(INDEX(生データ表[],MATCH($C52,生データ表['#],0),MATCH(BF$5,生データ表[#Headers],0))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12.029054936</v>
      </c>
      <c r="BG52" s="4">
        <f>IFERROR(ROUND(
(INDEX(生データ表[],MATCH($C52,生データ表['#],0),MATCH(BG$5,生データ表[#Headers],0))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26.138923140199999</v>
      </c>
      <c r="BH52" s="4">
        <f>IFERROR(ROUND(
(INDEX(生データ表[],MATCH($C52,生データ表['#],0),MATCH(BH$5,生データ表[#Headers],0))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9.7080937638000009</v>
      </c>
      <c r="BI52" s="4">
        <f>IFERROR(ROUND(
(INDEX(生データ表[],MATCH($C52,生データ表['#],0),MATCH(BI$5,生データ表[#Headers],0))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8.9085815813</v>
      </c>
      <c r="BJ52" s="4">
        <f>IFERROR(ROUND(
(INDEX(生データ表[],MATCH($C52,生データ表['#],0),MATCH(BJ$5,生データ表[#Headers],0))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88.109458803400003</v>
      </c>
      <c r="BK52" s="4">
        <f>IFERROR(ROUND(
(INDEX(生データ表[],MATCH($C52,生データ表['#],0),MATCH(BK$5,生データ表[#Headers],0))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62.979683972899998</v>
      </c>
      <c r="BL52" s="4">
        <f>IFERROR(ROUND(
(INDEX(生データ表[],MATCH($C52,生データ表['#],0),MATCH(BL$5,生データ表[#Headers],0))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74.790435575499998</v>
      </c>
      <c r="BM52" s="4">
        <f>IFERROR(ROUND(
(INDEX(生データ表[],MATCH($C52,生データ表['#],0),MATCH(BM$5,生データ表[#Headers],0))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61.8287373004</v>
      </c>
      <c r="BN52" s="4">
        <f>IFERROR(ROUND(
(INDEX(生データ表[],MATCH($C52,生データ表['#],0),MATCH(BN$5,生データ表[#Headers],0))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38.791922080399999</v>
      </c>
      <c r="BO52" s="4">
        <f>IFERROR(ROUND(
(INDEX(生データ表[],MATCH($C52,生データ表['#],0),MATCH(BO$5,生データ表[#Headers],0))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53.2272592379</v>
      </c>
      <c r="BP52" s="4">
        <f>IFERROR(ROUND(
(INDEX(生データ表[],MATCH($C52,生データ表['#],0),MATCH(BP$5,生データ表[#Headers],0))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38.858695652199998</v>
      </c>
      <c r="BQ52" s="4">
        <f>IFERROR(ROUND(
(INDEX(生データ表[],MATCH($C52,生データ表['#],0),MATCH(BQ$5,生データ表[#Headers],0))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7.2837578785000003</v>
      </c>
      <c r="BR52" s="4">
        <f>IFERROR(ROUND(
(INDEX(生データ表[],MATCH($C52,生データ表['#],0),MATCH(BR$5,生データ表[#Headers],0))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11.183114568700001</v>
      </c>
      <c r="BS52" s="4">
        <f>IFERROR(ROUND(
(INDEX(生データ表[],MATCH($C52,生データ表['#],0),MATCH(BS$5,生データ表[#Headers],0))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7.1465265482999998</v>
      </c>
      <c r="BT52" s="4">
        <f>IFERROR(ROUND(
(INDEX(生データ表[],MATCH($C52,生データ表['#],0),MATCH(BT$5,生データ表[#Headers],0))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0</v>
      </c>
      <c r="BU52" s="4">
        <f>IFERROR(ROUND(
(INDEX(生データ表[],MATCH($C52,生データ表['#],0),MATCH(BU$5,生データ表[#Headers],0))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26.994599358799999</v>
      </c>
      <c r="BV52" s="4">
        <f>IFERROR(ROUND(
(INDEX(生データ表[],MATCH($C52,生データ表['#],0),MATCH(BV$5,生データ表[#Headers],0))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33.333333333299997</v>
      </c>
      <c r="BW52" s="4">
        <f>IFERROR(ROUND(
(INDEX(生データ表[],MATCH($C52,生データ表['#],0),MATCH(BW$5,生データ表[#Headers],0))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62.324708791299997</v>
      </c>
      <c r="BX52" s="4">
        <f>IFERROR(ROUND(
(INDEX(生データ表[],MATCH($C52,生データ表['#],0),MATCH(BX$5,生データ表[#Headers],0))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40.359076659999999</v>
      </c>
      <c r="BY52" s="4">
        <f>IFERROR(ROUND(
(INDEX(生データ表[],MATCH($C52,生データ表['#],0),MATCH(BY$5,生データ表[#Headers],0))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63.711671364300003</v>
      </c>
      <c r="BZ52" s="4">
        <f t="shared" si="17"/>
        <v>15.134635259700001</v>
      </c>
      <c r="CA52" s="4">
        <f t="shared" si="17"/>
        <v>51.038274992550001</v>
      </c>
      <c r="CB52" s="4">
        <f t="shared" si="17"/>
        <v>0.33455434719999999</v>
      </c>
      <c r="CC52" s="4">
        <f t="shared" si="17"/>
        <v>34.87248983405</v>
      </c>
      <c r="CD52" s="4">
        <f t="shared" si="17"/>
        <v>35.868395219033339</v>
      </c>
      <c r="CE52" s="4">
        <f t="shared" si="17"/>
        <v>63.895993457050004</v>
      </c>
      <c r="CF52" s="4">
        <f t="shared" si="17"/>
        <v>4.3711232432500005</v>
      </c>
      <c r="CG52" s="4">
        <f t="shared" si="17"/>
        <v>21.101769407033334</v>
      </c>
      <c r="CH52" s="4">
        <f t="shared" si="17"/>
        <v>5.7748891923333332</v>
      </c>
      <c r="CI52" s="4">
        <f t="shared" si="17"/>
        <v>10.642483677074999</v>
      </c>
      <c r="CJ52" s="4">
        <f t="shared" si="18"/>
        <v>54.531045309900001</v>
      </c>
      <c r="CK52" s="4">
        <f t="shared" si="18"/>
        <v>7.8695075094666675</v>
      </c>
      <c r="CL52" s="4">
        <f t="shared" si="18"/>
        <v>18.5718194351</v>
      </c>
      <c r="CM52" s="4">
        <f t="shared" si="18"/>
        <v>3.3936039955499999</v>
      </c>
      <c r="CN52" s="4">
        <f t="shared" si="18"/>
        <v>58.19864029593333</v>
      </c>
      <c r="CO52" s="4">
        <f t="shared" si="18"/>
        <v>48.2152946442</v>
      </c>
      <c r="CP52" s="4">
        <f t="shared" si="18"/>
        <v>96.022564341399999</v>
      </c>
      <c r="CQ52" s="4">
        <f t="shared" si="18"/>
        <v>77.17215308276667</v>
      </c>
      <c r="CR52" s="4">
        <f t="shared" si="18"/>
        <v>36.127896662999994</v>
      </c>
      <c r="CS52" s="4">
        <f t="shared" si="18"/>
        <v>14.918532828433333</v>
      </c>
      <c r="CT52" s="4">
        <f t="shared" si="19"/>
        <v>75.293192783933335</v>
      </c>
      <c r="CU52" s="4">
        <f t="shared" si="19"/>
        <v>51.282639539566667</v>
      </c>
      <c r="CV52" s="4">
        <f t="shared" si="19"/>
        <v>23.071226765349998</v>
      </c>
      <c r="CW52" s="4">
        <f t="shared" si="19"/>
        <v>9.1648205585000007</v>
      </c>
      <c r="CX52" s="4">
        <f t="shared" si="19"/>
        <v>20.109310897366665</v>
      </c>
      <c r="CY52" s="4">
        <f t="shared" si="19"/>
        <v>55.465152271866664</v>
      </c>
      <c r="CZ52" s="4">
        <f t="shared" si="20"/>
        <v>201.14434310958333</v>
      </c>
      <c r="DA52" s="4">
        <f t="shared" si="20"/>
        <v>31.247781842616668</v>
      </c>
      <c r="DB52" s="4">
        <f t="shared" si="20"/>
        <v>95.008459927091664</v>
      </c>
      <c r="DC52" s="4">
        <f t="shared" si="20"/>
        <v>315.73654902729999</v>
      </c>
      <c r="DD52" s="4">
        <f t="shared" si="20"/>
        <v>141.49436515193332</v>
      </c>
      <c r="DE52" s="4">
        <f t="shared" si="20"/>
        <v>107.81051049308334</v>
      </c>
      <c r="DF52" s="76">
        <f t="shared" si="4"/>
        <v>892.44200955160829</v>
      </c>
    </row>
    <row r="53" spans="1:110" hidden="1">
      <c r="A53" s="2">
        <v>48</v>
      </c>
      <c r="B53" s="61">
        <f>INDEX(順位表[Comprehensive],MATCH($C53,順位表['#],0))</f>
        <v>9</v>
      </c>
      <c r="C53" s="62">
        <v>48</v>
      </c>
      <c r="D53" s="63" t="str">
        <f>INDEX(都市マスタ[City Name],MATCH($C53,都市マスタ['#],0))</f>
        <v>Melbourne</v>
      </c>
      <c r="E53" s="77">
        <f>IFERROR(ROUND(
(INDEX(生データ表[],MATCH($C53,生データ表['#],0),MATCH(E$5,生データ表[#Headers],0))
-
INDEX(生データ表2[],MATCH("min",生データ表2[maxmin],0),MATCH(E$5,生データ表2[#Headers],0)))
/
(INDEX(生データ表2[],MATCH("max",生データ表2[maxmin],0),MATCH(E$5,生データ表2[#Headers],0))
-
INDEX(生データ表2[],MATCH("min",生データ表2[maxmin],0),MATCH(E$5,生データ表2[#Headers],0)))
*100,10),"-")</f>
        <v>19.548422901399999</v>
      </c>
      <c r="F53" s="77">
        <f>IFERROR(ROUND(
(INDEX(生データ表[],MATCH($C53,生データ表['#],0),MATCH(F$5,生データ表[#Headers],0))
-
INDEX(生データ表2[],MATCH("min",生データ表2[maxmin],0),MATCH(F$5,生データ表2[#Headers],0)))
/
(INDEX(生データ表2[],MATCH("max",生データ表2[maxmin],0),MATCH(F$5,生データ表2[#Headers],0))
-
INDEX(生データ表2[],MATCH("min",生データ表2[maxmin],0),MATCH(F$5,生データ表2[#Headers],0)))
*100,10),"-")</f>
        <v>60.870319004999999</v>
      </c>
      <c r="G53" s="77">
        <f>IFERROR(ROUND(
(INDEX(生データ表[],MATCH($C53,生データ表['#],0),MATCH(G$5,生データ表[#Headers],0))
-
INDEX(生データ表2[],MATCH("min",生データ表2[maxmin],0),MATCH(G$5,生データ表2[#Headers],0)))
/
(INDEX(生データ表2[],MATCH("max",生データ表2[maxmin],0),MATCH(G$5,生データ表2[#Headers],0))
-
INDEX(生データ表2[],MATCH("min",生データ表2[maxmin],0),MATCH(G$5,生データ表2[#Headers],0)))
*100,10),"-")</f>
        <v>4.2497276999999998E-3</v>
      </c>
      <c r="H53" s="77">
        <f>IFERROR(ROUND(
(INDEX(生データ表[],MATCH($C53,生データ表['#],0),MATCH(H$5,生データ表[#Headers],0))
-
INDEX(生データ表2[],MATCH("min",生データ表2[maxmin],0),MATCH(H$5,生データ表2[#Headers],0)))
/
(INDEX(生データ表2[],MATCH("max",生データ表2[maxmin],0),MATCH(H$5,生データ表2[#Headers],0))
-
INDEX(生データ表2[],MATCH("min",生データ表2[maxmin],0),MATCH(H$5,生データ表2[#Headers],0)))
*100,10),"-")</f>
        <v>32.111008951700001</v>
      </c>
      <c r="I53" s="77">
        <f>IFERROR(ROUND(
(INDEX(生データ表[],MATCH($C53,生データ表['#],0),MATCH(I$5,生データ表[#Headers],0))
-
INDEX(生データ表2[],MATCH("min",生データ表2[maxmin],0),MATCH(I$5,生データ表2[#Headers],0)))
/
(INDEX(生データ表2[],MATCH("max",生データ表2[maxmin],0),MATCH(I$5,生データ表2[#Headers],0))
-
INDEX(生データ表2[],MATCH("min",生データ表2[maxmin],0),MATCH(I$5,生データ表2[#Headers],0)))
*100,10),"-")</f>
        <v>25.532558825999999</v>
      </c>
      <c r="J53" s="77">
        <f>IFERROR(ROUND(
(INDEX(生データ表[],MATCH($C53,生データ表['#],0),MATCH(J$5,生データ表[#Headers],0))
-
INDEX(生データ表2[],MATCH("min",生データ表2[maxmin],0),MATCH(J$5,生データ表2[#Headers],0)))
/
(INDEX(生データ表2[],MATCH("max",生データ表2[maxmin],0),MATCH(J$5,生データ表2[#Headers],0))
-
INDEX(生データ表2[],MATCH("min",生データ表2[maxmin],0),MATCH(J$5,生データ表2[#Headers],0)))
*100,10),"-")</f>
        <v>52.773669476599999</v>
      </c>
      <c r="K53" s="77">
        <f>IFERROR(ROUND(
(INDEX(生データ表[],MATCH($C53,生データ表['#],0),MATCH(K$5,生データ表[#Headers],0))
-
INDEX(生データ表2[],MATCH("min",生データ表2[maxmin],0),MATCH(K$5,生データ表2[#Headers],0)))
/
(INDEX(生データ表2[],MATCH("max",生データ表2[maxmin],0),MATCH(K$5,生データ表2[#Headers],0))
-
INDEX(生データ表2[],MATCH("min",生データ表2[maxmin],0),MATCH(K$5,生データ表2[#Headers],0)))
*100,10),"-")</f>
        <v>74.234276361900001</v>
      </c>
      <c r="L53" s="77">
        <f>IFERROR(ROUND(
(INDEX(生データ表[],MATCH($C53,生データ表['#],0),MATCH(L$5,生データ表[#Headers],0))
-
INDEX(生データ表2[],MATCH("min",生データ表2[maxmin],0),MATCH(L$5,生データ表2[#Headers],0)))
/
(INDEX(生データ表2[],MATCH("max",生データ表2[maxmin],0),MATCH(L$5,生データ表2[#Headers],0))
-
INDEX(生データ表2[],MATCH("min",生データ表2[maxmin],0),MATCH(L$5,生データ表2[#Headers],0)))
*100,10),"-")</f>
        <v>0</v>
      </c>
      <c r="M53" s="77">
        <f>IFERROR(ROUND(
(INDEX(生データ表[],MATCH($C53,生データ表['#],0),MATCH(M$5,生データ表[#Headers],0))
-
INDEX(生データ表2[],MATCH("min",生データ表2[maxmin],0),MATCH(M$5,生データ表2[#Headers],0)))
/
(INDEX(生データ表2[],MATCH("max",生データ表2[maxmin],0),MATCH(M$5,生データ表2[#Headers],0))
-
INDEX(生データ表2[],MATCH("min",生データ表2[maxmin],0),MATCH(M$5,生データ表2[#Headers],0)))
*100,10),"-")</f>
        <v>1.3598454057</v>
      </c>
      <c r="N53" s="77">
        <f>IFERROR(ROUND(
(INDEX(生データ表[],MATCH($C53,生データ表['#],0),MATCH(N$5,生データ表[#Headers],0))
-
INDEX(生データ表2[],MATCH("min",生データ表2[maxmin],0),MATCH(N$5,生データ表2[#Headers],0)))
/
(INDEX(生データ表2[],MATCH("max",生データ表2[maxmin],0),MATCH(N$5,生データ表2[#Headers],0))
-
INDEX(生データ表2[],MATCH("min",生データ表2[maxmin],0),MATCH(N$5,生データ表2[#Headers],0)))
*100,10),"-")</f>
        <v>16.751449145900001</v>
      </c>
      <c r="O53" s="77">
        <f>IFERROR(ROUND(
(INDEX(生データ表[],MATCH($C53,生データ表['#],0),MATCH(O$5,生データ表[#Headers],0))
-
INDEX(生データ表2[],MATCH("min",生データ表2[maxmin],0),MATCH(O$5,生データ表2[#Headers],0)))
/
(INDEX(生データ表2[],MATCH("max",生データ表2[maxmin],0),MATCH(O$5,生データ表2[#Headers],0))
-
INDEX(生データ表2[],MATCH("min",生データ表2[maxmin],0),MATCH(O$5,生データ表2[#Headers],0)))
*100,10),"-")</f>
        <v>62.966609396499997</v>
      </c>
      <c r="P53" s="77">
        <f>IFERROR(ROUND(
(INDEX(生データ表[],MATCH($C53,生データ表['#],0),MATCH(P$5,生データ表[#Headers],0))
-
INDEX(生データ表2[],MATCH("min",生データ表2[maxmin],0),MATCH(P$5,生データ表2[#Headers],0)))
/
(INDEX(生データ表2[],MATCH("max",生データ表2[maxmin],0),MATCH(P$5,生データ表2[#Headers],0))
-
INDEX(生データ表2[],MATCH("min",生データ表2[maxmin],0),MATCH(P$5,生データ表2[#Headers],0)))
*100,10),"-")</f>
        <v>52.918866612899997</v>
      </c>
      <c r="Q53" s="77">
        <f>IFERROR(ROUND(
(INDEX(生データ表[],MATCH($C53,生データ表['#],0),MATCH(Q$5,生データ表[#Headers],0))
-
INDEX(生データ表2[],MATCH("min",生データ表2[maxmin],0),MATCH(Q$5,生データ表2[#Headers],0)))
/
(INDEX(生データ表2[],MATCH("max",生データ表2[maxmin],0),MATCH(Q$5,生データ表2[#Headers],0))
-
INDEX(生データ表2[],MATCH("min",生データ表2[maxmin],0),MATCH(Q$5,生データ表2[#Headers],0)))
*100,10),"-")</f>
        <v>82.706697208199998</v>
      </c>
      <c r="R53" s="77">
        <f>IFERROR(ROUND(
(INDEX(生データ表[],MATCH($C53,生データ表['#],0),MATCH(R$5,生データ表[#Headers],0))
-
INDEX(生データ表2[],MATCH("min",生データ表2[maxmin],0),MATCH(R$5,生データ表2[#Headers],0)))
/
(INDEX(生データ表2[],MATCH("max",生データ表2[maxmin],0),MATCH(R$5,生データ表2[#Headers],0))
-
INDEX(生データ表2[],MATCH("min",生データ表2[maxmin],0),MATCH(R$5,生データ表2[#Headers],0)))
*100,10),"-")</f>
        <v>17.0072973533</v>
      </c>
      <c r="S53" s="77">
        <f>IFERROR(ROUND(
(INDEX(生データ表[],MATCH($C53,生データ表['#],0),MATCH(S$5,生データ表[#Headers],0))
-
INDEX(生データ表2[],MATCH("min",生データ表2[maxmin],0),MATCH(S$5,生データ表2[#Headers],0)))
/
(INDEX(生データ表2[],MATCH("max",生データ表2[maxmin],0),MATCH(S$5,生データ表2[#Headers],0))
-
INDEX(生データ表2[],MATCH("min",生データ表2[maxmin],0),MATCH(S$5,生データ表2[#Headers],0)))
*100,10),"-")</f>
        <v>19.2307692308</v>
      </c>
      <c r="T53" s="77">
        <f>IFERROR(ROUND(
(INDEX(生データ表[],MATCH($C53,生データ表['#],0),MATCH(T$5,生データ表[#Headers],0))
-
INDEX(生データ表2[],MATCH("min",生データ表2[maxmin],0),MATCH(T$5,生データ表2[#Headers],0)))
/
(INDEX(生データ表2[],MATCH("max",生データ表2[maxmin],0),MATCH(T$5,生データ表2[#Headers],0))
-
INDEX(生データ表2[],MATCH("min",生データ表2[maxmin],0),MATCH(T$5,生データ表2[#Headers],0)))
*100,10),"-")</f>
        <v>90.391276752400003</v>
      </c>
      <c r="U53" s="77">
        <f>IFERROR(ROUND(
(INDEX(生データ表[],MATCH($C53,生データ表['#],0),MATCH(U$5,生データ表[#Headers],0))
-
INDEX(生データ表2[],MATCH("min",生データ表2[maxmin],0),MATCH(U$5,生データ表2[#Headers],0)))
/
(INDEX(生データ表2[],MATCH("max",生データ表2[maxmin],0),MATCH(U$5,生データ表2[#Headers],0))
-
INDEX(生データ表2[],MATCH("min",生データ表2[maxmin],0),MATCH(U$5,生データ表2[#Headers],0)))
*100,10),"-")</f>
        <v>23.338885386000001</v>
      </c>
      <c r="V53" s="77">
        <f>IFERROR(ROUND(
(INDEX(生データ表[],MATCH($C53,生データ表['#],0),MATCH(V$5,生データ表[#Headers],0))
-
INDEX(生データ表2[],MATCH("min",生データ表2[maxmin],0),MATCH(V$5,生データ表2[#Headers],0)))
/
(INDEX(生データ表2[],MATCH("max",生データ表2[maxmin],0),MATCH(V$5,生データ表2[#Headers],0))
-
INDEX(生データ表2[],MATCH("min",生データ表2[maxmin],0),MATCH(V$5,生データ表2[#Headers],0)))
*100,10),"-")</f>
        <v>41.361916771799997</v>
      </c>
      <c r="W53" s="77">
        <f>IFERROR(ROUND(
(INDEX(生データ表[],MATCH($C53,生データ表['#],0),MATCH(W$5,生データ表[#Headers],0))
-
INDEX(生データ表2[],MATCH("min",生データ表2[maxmin],0),MATCH(W$5,生データ表2[#Headers],0)))
/
(INDEX(生データ表2[],MATCH("max",生データ表2[maxmin],0),MATCH(W$5,生データ表2[#Headers],0))
-
INDEX(生データ表2[],MATCH("min",生データ表2[maxmin],0),MATCH(W$5,生データ表2[#Headers],0)))
*100,10),"-")</f>
        <v>11.3363960815</v>
      </c>
      <c r="X53" s="77">
        <f>IFERROR(ROUND(
(INDEX(生データ表[],MATCH($C53,生データ表['#],0),MATCH(X$5,生データ表[#Headers],0))
-
INDEX(生データ表2[],MATCH("min",生データ表2[maxmin],0),MATCH(X$5,生データ表2[#Headers],0)))
/
(INDEX(生データ表2[],MATCH("max",生データ表2[maxmin],0),MATCH(X$5,生データ表2[#Headers],0))
-
INDEX(生データ表2[],MATCH("min",生データ表2[maxmin],0),MATCH(X$5,生データ表2[#Headers],0)))
*100,10),"-")</f>
        <v>51.840656792799997</v>
      </c>
      <c r="Y53" s="77">
        <f>IFERROR(ROUND(
(INDEX(生データ表[],MATCH($C53,生データ表['#],0),MATCH(Y$5,生データ表[#Headers],0))
-
INDEX(生データ表2[],MATCH("min",生データ表2[maxmin],0),MATCH(Y$5,生データ表2[#Headers],0)))
/
(INDEX(生データ表2[],MATCH("max",生データ表2[maxmin],0),MATCH(Y$5,生データ表2[#Headers],0))
-
INDEX(生データ表2[],MATCH("min",生データ表2[maxmin],0),MATCH(Y$5,生データ表2[#Headers],0)))
*100,10),"-")</f>
        <v>66.865009536800002</v>
      </c>
      <c r="Z53" s="77">
        <f>IFERROR(ROUND(
(INDEX(生データ表[],MATCH($C53,生データ表['#],0),MATCH(Z$5,生データ表[#Headers],0))
-
INDEX(生データ表2[],MATCH("min",生データ表2[maxmin],0),MATCH(Z$5,生データ表2[#Headers],0)))
/
(INDEX(生データ表2[],MATCH("max",生データ表2[maxmin],0),MATCH(Z$5,生データ表2[#Headers],0))
-
INDEX(生データ表2[],MATCH("min",生データ表2[maxmin],0),MATCH(Z$5,生データ表2[#Headers],0)))
*100,10),"-")</f>
        <v>13.683666944700001</v>
      </c>
      <c r="AA53" s="77">
        <f>IFERROR(ROUND(
(INDEX(生データ表[],MATCH($C53,生データ表['#],0),MATCH(AA$5,生データ表[#Headers],0))
-
INDEX(生データ表2[],MATCH("min",生データ表2[maxmin],0),MATCH(AA$5,生データ表2[#Headers],0)))
/
(INDEX(生データ表2[],MATCH("max",生データ表2[maxmin],0),MATCH(AA$5,生データ表2[#Headers],0))
-
INDEX(生データ表2[],MATCH("min",生データ表2[maxmin],0),MATCH(AA$5,生データ表2[#Headers],0)))
*100,10),"-")</f>
        <v>0</v>
      </c>
      <c r="AB53" s="77">
        <f>IFERROR(ROUND(
(INDEX(生データ表[],MATCH($C53,生データ表['#],0),MATCH(AB$5,生データ表[#Headers],0))
-
INDEX(生データ表2[],MATCH("min",生データ表2[maxmin],0),MATCH(AB$5,生データ表2[#Headers],0)))
/
(INDEX(生データ表2[],MATCH("max",生データ表2[maxmin],0),MATCH(AB$5,生データ表2[#Headers],0))
-
INDEX(生データ表2[],MATCH("min",生データ表2[maxmin],0),MATCH(AB$5,生データ表2[#Headers],0)))
*100,10),"-")</f>
        <v>8.5283687943000004</v>
      </c>
      <c r="AC53" s="77">
        <f>IFERROR(ROUND(
(INDEX(生データ表[],MATCH($C53,生データ表['#],0),MATCH(AC$5,生データ表[#Headers],0))
-
INDEX(生データ表2[],MATCH("min",生データ表2[maxmin],0),MATCH(AC$5,生データ表2[#Headers],0)))
/
(INDEX(生データ表2[],MATCH("max",生データ表2[maxmin],0),MATCH(AC$5,生データ表2[#Headers],0))
-
INDEX(生データ表2[],MATCH("min",生データ表2[maxmin],0),MATCH(AC$5,生データ表2[#Headers],0)))
*100,10),"-")</f>
        <v>4.7318611986999999</v>
      </c>
      <c r="AD53" s="77">
        <f>IFERROR(ROUND(
(INDEX(生データ表[],MATCH($C53,生データ表['#],0),MATCH(AD$5,生データ表[#Headers],0))
-
INDEX(生データ表2[],MATCH("min",生データ表2[maxmin],0),MATCH(AD$5,生データ表2[#Headers],0)))
/
(INDEX(生データ表2[],MATCH("max",生データ表2[maxmin],0),MATCH(AD$5,生データ表2[#Headers],0))
-
INDEX(生データ表2[],MATCH("min",生データ表2[maxmin],0),MATCH(AD$5,生データ表2[#Headers],0)))
*100,10),"-")</f>
        <v>29.090909090899999</v>
      </c>
      <c r="AE53" s="77">
        <f>IFERROR(ROUND(
(INDEX(生データ表[],MATCH($C53,生データ表['#],0),MATCH(AE$5,生データ表[#Headers],0))
-
INDEX(生データ表2[],MATCH("min",生データ表2[maxmin],0),MATCH(AE$5,生データ表2[#Headers],0)))
/
(INDEX(生データ表2[],MATCH("max",生データ表2[maxmin],0),MATCH(AE$5,生データ表2[#Headers],0))
-
INDEX(生データ表2[],MATCH("min",生データ表2[maxmin],0),MATCH(AE$5,生データ表2[#Headers],0)))
*100,10),"-")</f>
        <v>5.7826587080999996</v>
      </c>
      <c r="AF53" s="77">
        <f>IFERROR(ROUND(
(INDEX(生データ表[],MATCH($C53,生データ表['#],0),MATCH(AF$5,生データ表[#Headers],0))
-
INDEX(生データ表2[],MATCH("min",生データ表2[maxmin],0),MATCH(AF$5,生データ表2[#Headers],0)))
/
(INDEX(生データ表2[],MATCH("max",生データ表2[maxmin],0),MATCH(AF$5,生データ表2[#Headers],0))
-
INDEX(生データ表2[],MATCH("min",生データ表2[maxmin],0),MATCH(AF$5,生データ表2[#Headers],0)))
*100,10),"-")</f>
        <v>0.95610604089999995</v>
      </c>
      <c r="AG53" s="77">
        <f>IFERROR(ROUND(
(INDEX(生データ表[],MATCH($C53,生データ表['#],0),MATCH(AG$5,生データ表[#Headers],0))
-
INDEX(生データ表2[],MATCH("min",生データ表2[maxmin],0),MATCH(AG$5,生データ表2[#Headers],0)))
/
(INDEX(生データ表2[],MATCH("max",生データ表2[maxmin],0),MATCH(AG$5,生データ表2[#Headers],0))
-
INDEX(生データ表2[],MATCH("min",生データ表2[maxmin],0),MATCH(AG$5,生データ表2[#Headers],0)))
*100,10),"-")</f>
        <v>50.598954491800001</v>
      </c>
      <c r="AH53" s="77">
        <f>IFERROR(ROUND(
(INDEX(生データ表[],MATCH($C53,生データ表['#],0),MATCH(AH$5,生データ表[#Headers],0))
-
INDEX(生データ表2[],MATCH("min",生データ表2[maxmin],0),MATCH(AH$5,生データ表2[#Headers],0)))
/
(INDEX(生データ表2[],MATCH("max",生データ表2[maxmin],0),MATCH(AH$5,生データ表2[#Headers],0))
-
INDEX(生データ表2[],MATCH("min",生データ表2[maxmin],0),MATCH(AH$5,生データ表2[#Headers],0)))
*100,10),"-")</f>
        <v>5</v>
      </c>
      <c r="AI53" s="77">
        <f>IFERROR(ROUND(
(INDEX(生データ表[],MATCH($C53,生データ表['#],0),MATCH(AI$5,生データ表[#Headers],0))
-
INDEX(生データ表2[],MATCH("min",生データ表2[maxmin],0),MATCH(AI$5,生データ表2[#Headers],0)))
/
(INDEX(生データ表2[],MATCH("max",生データ表2[maxmin],0),MATCH(AI$5,生データ表2[#Headers],0))
-
INDEX(生データ表2[],MATCH("min",生データ表2[maxmin],0),MATCH(AI$5,生データ表2[#Headers],0)))
*100,10),"-")</f>
        <v>38.828676485999999</v>
      </c>
      <c r="AJ53" s="77">
        <f>IFERROR(ROUND(
(INDEX(生データ表[],MATCH($C53,生データ表['#],0),MATCH(AJ$5,生データ表[#Headers],0))
-
INDEX(生データ表2[],MATCH("min",生データ表2[maxmin],0),MATCH(AJ$5,生データ表2[#Headers],0)))
/
(INDEX(生データ表2[],MATCH("max",生データ表2[maxmin],0),MATCH(AJ$5,生データ表2[#Headers],0))
-
INDEX(生データ表2[],MATCH("min",生データ表2[maxmin],0),MATCH(AJ$5,生データ表2[#Headers],0)))
*100,10),"-")</f>
        <v>13.2780082988</v>
      </c>
      <c r="AK53" s="77">
        <f>IFERROR(ROUND(
(INDEX(生データ表[],MATCH($C53,生データ表['#],0),MATCH(AK$5,生データ表[#Headers],0))
-
INDEX(生データ表2[],MATCH("min",生データ表2[maxmin],0),MATCH(AK$5,生データ表2[#Headers],0)))
/
(INDEX(生データ表2[],MATCH("max",生データ表2[maxmin],0),MATCH(AK$5,生データ表2[#Headers],0))
-
INDEX(生データ表2[],MATCH("min",生データ表2[maxmin],0),MATCH(AK$5,生データ表2[#Headers],0)))
*100,10),"-")</f>
        <v>6.8493150685000002</v>
      </c>
      <c r="AL53" s="77">
        <f>IFERROR(ROUND(
(INDEX(生データ表[],MATCH($C53,生データ表['#],0),MATCH(AL$5,生データ表[#Headers],0))
-
INDEX(生データ表2[],MATCH("min",生データ表2[maxmin],0),MATCH(AL$5,生データ表2[#Headers],0)))
/
(INDEX(生データ表2[],MATCH("max",生データ表2[maxmin],0),MATCH(AL$5,生データ表2[#Headers],0))
-
INDEX(生データ表2[],MATCH("min",生データ表2[maxmin],0),MATCH(AL$5,生データ表2[#Headers],0)))
*100,10),"-")</f>
        <v>78.947368421099995</v>
      </c>
      <c r="AM53" s="77">
        <f>IFERROR(ROUND(
(INDEX(生データ表[],MATCH($C53,生データ表['#],0),MATCH(AM$5,生データ表[#Headers],0))
-
INDEX(生データ表2[],MATCH("min",生データ表2[maxmin],0),MATCH(AM$5,生データ表2[#Headers],0)))
/
(INDEX(生データ表2[],MATCH("max",生データ表2[maxmin],0),MATCH(AM$5,生データ表2[#Headers],0))
-
INDEX(生データ表2[],MATCH("min",生データ表2[maxmin],0),MATCH(AM$5,生データ表2[#Headers],0)))
*100,10),"-")</f>
        <v>18.2625994695</v>
      </c>
      <c r="AN53" s="77">
        <f>IFERROR(ROUND(
(INDEX(生データ表[],MATCH($C53,生データ表['#],0),MATCH(AN$5,生データ表[#Headers],0))
-
INDEX(生データ表2[],MATCH("min",生データ表2[maxmin],0),MATCH(AN$5,生データ表2[#Headers],0)))
/
(INDEX(生データ表2[],MATCH("max",生データ表2[maxmin],0),MATCH(AN$5,生データ表2[#Headers],0))
-
INDEX(生データ表2[],MATCH("min",生データ表2[maxmin],0),MATCH(AN$5,生データ表2[#Headers],0)))
*100,10),"-")</f>
        <v>18.615686034399999</v>
      </c>
      <c r="AO53" s="77">
        <f>IFERROR(ROUND(
(INDEX(生データ表[],MATCH($C53,生データ表['#],0),MATCH(AO$5,生データ表[#Headers],0))
-
INDEX(生データ表2[],MATCH("min",生データ表2[maxmin],0),MATCH(AO$5,生データ表2[#Headers],0)))
/
(INDEX(生データ表2[],MATCH("max",生データ表2[maxmin],0),MATCH(AO$5,生データ表2[#Headers],0))
-
INDEX(生データ表2[],MATCH("min",生データ表2[maxmin],0),MATCH(AO$5,生データ表2[#Headers],0)))
*100,10),"-")</f>
        <v>31.836490592800001</v>
      </c>
      <c r="AP53" s="77">
        <f>IFERROR(ROUND(
(INDEX(生データ表[],MATCH($C53,生データ表['#],0),MATCH(AP$5,生データ表[#Headers],0))
-
INDEX(生データ表2[],MATCH("min",生データ表2[maxmin],0),MATCH(AP$5,生データ表2[#Headers],0)))
/
(INDEX(生データ表2[],MATCH("max",生データ表2[maxmin],0),MATCH(AP$5,生データ表2[#Headers],0))
-
INDEX(生データ表2[],MATCH("min",生データ表2[maxmin],0),MATCH(AP$5,生データ表2[#Headers],0)))
*100,10),"-")</f>
        <v>35.515406960500002</v>
      </c>
      <c r="AQ53" s="77">
        <f>IFERROR(ROUND(
(INDEX(生データ表[],MATCH($C53,生データ表['#],0),MATCH(AQ$5,生データ表[#Headers],0))
-
INDEX(生データ表2[],MATCH("min",生データ表2[maxmin],0),MATCH(AQ$5,生データ表2[#Headers],0)))
/
(INDEX(生データ表2[],MATCH("max",生データ表2[maxmin],0),MATCH(AQ$5,生データ表2[#Headers],0))
-
INDEX(生データ表2[],MATCH("min",生データ表2[maxmin],0),MATCH(AQ$5,生データ表2[#Headers],0)))
*100,10),"-")</f>
        <v>60.261964367499999</v>
      </c>
      <c r="AR53" s="77">
        <f>IFERROR(ROUND(
(INDEX(生データ表[],MATCH($C53,生データ表['#],0),MATCH(AR$5,生データ表[#Headers],0))
-
INDEX(生データ表2[],MATCH("min",生データ表2[maxmin],0),MATCH(AR$5,生データ表2[#Headers],0)))
/
(INDEX(生データ表2[],MATCH("max",生データ表2[maxmin],0),MATCH(AR$5,生データ表2[#Headers],0))
-
INDEX(生データ表2[],MATCH("min",生データ表2[maxmin],0),MATCH(AR$5,生データ表2[#Headers],0)))
*100,10),"-")</f>
        <v>3.8762470699999998</v>
      </c>
      <c r="AS53" s="77">
        <f>IFERROR(ROUND(
(INDEX(生データ表[],MATCH($C53,生データ表['#],0),MATCH(AS$5,生データ表[#Headers],0))
-
INDEX(生データ表2[],MATCH("min",生データ表2[maxmin],0),MATCH(AS$5,生データ表2[#Headers],0)))
/
(INDEX(生データ表2[],MATCH("max",生データ表2[maxmin],0),MATCH(AS$5,生データ表2[#Headers],0))
-
INDEX(生データ表2[],MATCH("min",生データ表2[maxmin],0),MATCH(AS$5,生データ表2[#Headers],0)))
*100,10),"-")</f>
        <v>89.885544958500006</v>
      </c>
      <c r="AT53" s="77">
        <f>IFERROR(ROUND(
(INDEX(生データ表[],MATCH($C53,生データ表['#],0),MATCH(AT$5,生データ表[#Headers],0))
-
INDEX(生データ表2[],MATCH("min",生データ表2[maxmin],0),MATCH(AT$5,生データ表2[#Headers],0)))
/
(INDEX(生データ表2[],MATCH("max",生データ表2[maxmin],0),MATCH(AT$5,生データ表2[#Headers],0))
-
INDEX(生データ表2[],MATCH("min",生データ表2[maxmin],0),MATCH(AT$5,生データ表2[#Headers],0)))
*100,10),"-")</f>
        <v>85.447656008999999</v>
      </c>
      <c r="AU53" s="77">
        <f>IFERROR(ROUND(
(INDEX(生データ表[],MATCH($C53,生データ表['#],0),MATCH(AU$5,生データ表[#Headers],0))
-
INDEX(生データ表2[],MATCH("min",生データ表2[maxmin],0),MATCH(AU$5,生データ表2[#Headers],0)))
/
(INDEX(生データ表2[],MATCH("max",生データ表2[maxmin],0),MATCH(AU$5,生データ表2[#Headers],0))
-
INDEX(生データ表2[],MATCH("min",生データ表2[maxmin],0),MATCH(AU$5,生データ表2[#Headers],0)))
*100,10),"-")</f>
        <v>56.816359262200002</v>
      </c>
      <c r="AV53" s="77">
        <f>IFERROR(ROUND(
(INDEX(生データ表[],MATCH($C53,生データ表['#],0),MATCH(AV$5,生データ表[#Headers],0))
-
INDEX(生データ表2[],MATCH("min",生データ表2[maxmin],0),MATCH(AV$5,生データ表2[#Headers],0)))
/
(INDEX(生データ表2[],MATCH("max",生データ表2[maxmin],0),MATCH(AV$5,生データ表2[#Headers],0))
-
INDEX(生データ表2[],MATCH("min",生データ表2[maxmin],0),MATCH(AV$5,生データ表2[#Headers],0)))
*100,10),"-")</f>
        <v>58.745291756999997</v>
      </c>
      <c r="AW53" s="77">
        <f>IFERROR(ROUND(
(INDEX(生データ表[],MATCH($C53,生データ表['#],0),MATCH(AW$5,生データ表[#Headers],0))
-
INDEX(生データ表2[],MATCH("min",生データ表2[maxmin],0),MATCH(AW$5,生データ表2[#Headers],0)))
/
(INDEX(生データ表2[],MATCH("max",生データ表2[maxmin],0),MATCH(AW$5,生データ表2[#Headers],0))
-
INDEX(生データ表2[],MATCH("min",生データ表2[maxmin],0),MATCH(AW$5,生データ表2[#Headers],0)))
*100,10),"-")</f>
        <v>44.729212227600001</v>
      </c>
      <c r="AX53" s="77">
        <f>IFERROR(ROUND(
(INDEX(生データ表[],MATCH($C53,生データ表['#],0),MATCH(AX$5,生データ表[#Headers],0))
-
INDEX(生データ表2[],MATCH("min",生データ表2[maxmin],0),MATCH(AX$5,生データ表2[#Headers],0)))
/
(INDEX(生データ表2[],MATCH("max",生データ表2[maxmin],0),MATCH(AX$5,生データ表2[#Headers],0))
-
INDEX(生データ表2[],MATCH("min",生データ表2[maxmin],0),MATCH(AX$5,生データ表2[#Headers],0)))
*100,10),"-")</f>
        <v>94.706527491800003</v>
      </c>
      <c r="AY53" s="77">
        <f>IFERROR(ROUND(
(INDEX(生データ表[],MATCH($C53,生データ表['#],0),MATCH(AY$5,生データ表[#Headers],0))
-
INDEX(生データ表2[],MATCH("min",生データ表2[maxmin],0),MATCH(AY$5,生データ表2[#Headers],0)))
/
(INDEX(生データ表2[],MATCH("max",生データ表2[maxmin],0),MATCH(AY$5,生データ表2[#Headers],0))
-
INDEX(生データ表2[],MATCH("min",生データ表2[maxmin],0),MATCH(AY$5,生データ表2[#Headers],0)))
*100,10),"-")</f>
        <v>97.976391230999994</v>
      </c>
      <c r="AZ53" s="77">
        <f>IFERROR(ROUND(
(INDEX(生データ表[],MATCH($C53,生データ表['#],0),MATCH(AZ$5,生データ表[#Headers],0))
-
INDEX(生データ表2[],MATCH("min",生データ表2[maxmin],0),MATCH(AZ$5,生データ表2[#Headers],0)))
/
(INDEX(生データ表2[],MATCH("max",生データ表2[maxmin],0),MATCH(AZ$5,生データ表2[#Headers],0))
-
INDEX(生データ表2[],MATCH("min",生データ表2[maxmin],0),MATCH(AZ$5,生データ表2[#Headers],0)))
*100,10),"-")</f>
        <v>87.655513951000003</v>
      </c>
      <c r="BA53" s="77">
        <f>IFERROR(ROUND(
(INDEX(生データ表[],MATCH($C53,生データ表['#],0),MATCH(BA$5,生データ表[#Headers],0))
-
INDEX(生データ表2[],MATCH("min",生データ表2[maxmin],0),MATCH(BA$5,生データ表2[#Headers],0)))
/
(INDEX(生データ表2[],MATCH("max",生データ表2[maxmin],0),MATCH(BA$5,生データ表2[#Headers],0))
-
INDEX(生データ表2[],MATCH("min",生データ表2[maxmin],0),MATCH(BA$5,生データ表2[#Headers],0)))
*100,10),"-")</f>
        <v>79.314654567999995</v>
      </c>
      <c r="BB53" s="77">
        <f>IFERROR(ROUND(
(INDEX(生データ表[],MATCH($C53,生データ表['#],0),MATCH(BB$5,生データ表[#Headers],0))
-
INDEX(生データ表2[],MATCH("min",生データ表2[maxmin],0),MATCH(BB$5,生データ表2[#Headers],0)))
/
(INDEX(生データ表2[],MATCH("max",生データ表2[maxmin],0),MATCH(BB$5,生データ表2[#Headers],0))
-
INDEX(生データ表2[],MATCH("min",生データ表2[maxmin],0),MATCH(BB$5,生データ表2[#Headers],0)))
*100,10),"-")</f>
        <v>71.222627734900001</v>
      </c>
      <c r="BC53" s="77">
        <f>IFERROR(ROUND(
(INDEX(生データ表[],MATCH($C53,生データ表['#],0),MATCH(BC$5,生データ表[#Headers],0))
-
INDEX(生データ表2[],MATCH("min",生データ表2[maxmin],0),MATCH(BC$5,生データ表2[#Headers],0)))
/
(INDEX(生データ表2[],MATCH("max",生データ表2[maxmin],0),MATCH(BC$5,生データ表2[#Headers],0))
-
INDEX(生データ表2[],MATCH("min",生データ表2[maxmin],0),MATCH(BC$5,生データ表2[#Headers],0)))
*100,10),"-")</f>
        <v>43.175713535900002</v>
      </c>
      <c r="BD53" s="77">
        <f>IFERROR(ROUND(
(INDEX(生データ表[],MATCH($C53,生データ表['#],0),MATCH(BD$5,生データ表[#Headers],0))
-
INDEX(生データ表2[],MATCH("min",生データ表2[maxmin],0),MATCH(BD$5,生データ表2[#Headers],0)))
/
(INDEX(生データ表2[],MATCH("max",生データ表2[maxmin],0),MATCH(BD$5,生データ表2[#Headers],0))
-
INDEX(生データ表2[],MATCH("min",生データ表2[maxmin],0),MATCH(BD$5,生データ表2[#Headers],0)))
*100,10),"-")</f>
        <v>75.342033458200007</v>
      </c>
      <c r="BE53" s="77">
        <f>IFERROR(ROUND(
(INDEX(生データ表[],MATCH($C53,生データ表['#],0),MATCH(BE$5,生データ表[#Headers],0))
-
INDEX(生データ表2[],MATCH("min",生データ表2[maxmin],0),MATCH(BE$5,生データ表2[#Headers],0)))
/
(INDEX(生データ表2[],MATCH("max",生データ表2[maxmin],0),MATCH(BE$5,生データ表2[#Headers],0))
-
INDEX(生データ表2[],MATCH("min",生データ表2[maxmin],0),MATCH(BE$5,生データ表2[#Headers],0)))
*100,10),"-")</f>
        <v>29.209106995700001</v>
      </c>
      <c r="BF53" s="77">
        <f>IFERROR(ROUND(
(INDEX(生データ表[],MATCH($C53,生データ表['#],0),MATCH(BF$5,生データ表[#Headers],0))
-
INDEX(生データ表2[],MATCH("min",生データ表2[maxmin],0),MATCH(BF$5,生データ表2[#Headers],0)))
/
(INDEX(生データ表2[],MATCH("max",生データ表2[maxmin],0),MATCH(BF$5,生データ表2[#Headers],0))
-
INDEX(生データ表2[],MATCH("min",生データ表2[maxmin],0),MATCH(BF$5,生データ表2[#Headers],0)))
*100,10),"-")</f>
        <v>22.626117383699999</v>
      </c>
      <c r="BG53" s="77">
        <f>IFERROR(ROUND(
(INDEX(生データ表[],MATCH($C53,生データ表['#],0),MATCH(BG$5,生データ表[#Headers],0))
-
INDEX(生データ表2[],MATCH("min",生データ表2[maxmin],0),MATCH(BG$5,生データ表2[#Headers],0)))
/
(INDEX(生データ表2[],MATCH("max",生データ表2[maxmin],0),MATCH(BG$5,生データ表2[#Headers],0))
-
INDEX(生データ表2[],MATCH("min",生データ表2[maxmin],0),MATCH(BG$5,生データ表2[#Headers],0)))
*100,10),"-")</f>
        <v>85.408960131499995</v>
      </c>
      <c r="BH53" s="77">
        <f>IFERROR(ROUND(
(INDEX(生データ表[],MATCH($C53,生データ表['#],0),MATCH(BH$5,生データ表[#Headers],0))
-
INDEX(生データ表2[],MATCH("min",生データ表2[maxmin],0),MATCH(BH$5,生データ表2[#Headers],0)))
/
(INDEX(生データ表2[],MATCH("max",生データ表2[maxmin],0),MATCH(BH$5,生データ表2[#Headers],0))
-
INDEX(生データ表2[],MATCH("min",生データ表2[maxmin],0),MATCH(BH$5,生データ表2[#Headers],0)))
*100,10),"-")</f>
        <v>16.961521450700001</v>
      </c>
      <c r="BI53" s="77">
        <f>IFERROR(ROUND(
(INDEX(生データ表[],MATCH($C53,生データ表['#],0),MATCH(BI$5,生データ表[#Headers],0))
-
INDEX(生データ表2[],MATCH("min",生データ表2[maxmin],0),MATCH(BI$5,生データ表2[#Headers],0)))
/
(INDEX(生データ表2[],MATCH("max",生データ表2[maxmin],0),MATCH(BI$5,生データ表2[#Headers],0))
-
INDEX(生データ表2[],MATCH("min",生データ表2[maxmin],0),MATCH(BI$5,生データ表2[#Headers],0)))
*100,10),"-")</f>
        <v>40.639909489300003</v>
      </c>
      <c r="BJ53" s="77">
        <f>IFERROR(ROUND(
(INDEX(生データ表[],MATCH($C53,生データ表['#],0),MATCH(BJ$5,生データ表[#Headers],0))
-
INDEX(生データ表2[],MATCH("min",生データ表2[maxmin],0),MATCH(BJ$5,生データ表2[#Headers],0)))
/
(INDEX(生データ表2[],MATCH("max",生データ表2[maxmin],0),MATCH(BJ$5,生データ表2[#Headers],0))
-
INDEX(生データ表2[],MATCH("min",生データ表2[maxmin],0),MATCH(BJ$5,生データ表2[#Headers],0)))
*100,10),"-")</f>
        <v>69.269317486700004</v>
      </c>
      <c r="BK53" s="77">
        <f>IFERROR(ROUND(
(INDEX(生データ表[],MATCH($C53,生データ表['#],0),MATCH(BK$5,生データ表[#Headers],0))
-
INDEX(生データ表2[],MATCH("min",生データ表2[maxmin],0),MATCH(BK$5,生データ表2[#Headers],0)))
/
(INDEX(生データ表2[],MATCH("max",生データ表2[maxmin],0),MATCH(BK$5,生データ表2[#Headers],0))
-
INDEX(生データ表2[],MATCH("min",生データ表2[maxmin],0),MATCH(BK$5,生データ表2[#Headers],0)))
*100,10),"-")</f>
        <v>96.162528216699997</v>
      </c>
      <c r="BL53" s="77">
        <f>IFERROR(ROUND(
(INDEX(生データ表[],MATCH($C53,生データ表['#],0),MATCH(BL$5,生データ表[#Headers],0))
-
INDEX(生データ表2[],MATCH("min",生データ表2[maxmin],0),MATCH(BL$5,生データ表2[#Headers],0)))
/
(INDEX(生データ表2[],MATCH("max",生データ表2[maxmin],0),MATCH(BL$5,生データ表2[#Headers],0))
-
INDEX(生データ表2[],MATCH("min",生データ表2[maxmin],0),MATCH(BL$5,生データ表2[#Headers],0)))
*100,10),"-")</f>
        <v>68.009752025699996</v>
      </c>
      <c r="BM53" s="77">
        <f>IFERROR(ROUND(
(INDEX(生データ表[],MATCH($C53,生データ表['#],0),MATCH(BM$5,生データ表[#Headers],0))
-
INDEX(生データ表2[],MATCH("min",生データ表2[maxmin],0),MATCH(BM$5,生データ表2[#Headers],0)))
/
(INDEX(生データ表2[],MATCH("max",生データ表2[maxmin],0),MATCH(BM$5,生データ表2[#Headers],0))
-
INDEX(生データ表2[],MATCH("min",生データ表2[maxmin],0),MATCH(BM$5,生データ表2[#Headers],0)))
*100,10),"-")</f>
        <v>68.795355587800003</v>
      </c>
      <c r="BN53" s="77">
        <f>IFERROR(ROUND(
(INDEX(生データ表[],MATCH($C53,生データ表['#],0),MATCH(BN$5,生データ表[#Headers],0))
-
INDEX(生データ表2[],MATCH("min",生データ表2[maxmin],0),MATCH(BN$5,生データ表2[#Headers],0)))
/
(INDEX(生データ表2[],MATCH("max",生データ表2[maxmin],0),MATCH(BN$5,生データ表2[#Headers],0))
-
INDEX(生データ表2[],MATCH("min",生データ表2[maxmin],0),MATCH(BN$5,生データ表2[#Headers],0)))
*100,10),"-")</f>
        <v>100</v>
      </c>
      <c r="BO53" s="77">
        <f>IFERROR(ROUND(
(INDEX(生データ表[],MATCH($C53,生データ表['#],0),MATCH(BO$5,生データ表[#Headers],0))
-
INDEX(生データ表2[],MATCH("min",生データ表2[maxmin],0),MATCH(BO$5,生データ表2[#Headers],0)))
/
(INDEX(生データ表2[],MATCH("max",生データ表2[maxmin],0),MATCH(BO$5,生データ表2[#Headers],0))
-
INDEX(生データ表2[],MATCH("min",生データ表2[maxmin],0),MATCH(BO$5,生データ表2[#Headers],0)))
*100,10),"-")</f>
        <v>64.130120039299996</v>
      </c>
      <c r="BP53" s="77">
        <f>IFERROR(ROUND(
(INDEX(生データ表[],MATCH($C53,生データ表['#],0),MATCH(BP$5,生データ表[#Headers],0))
-
INDEX(生データ表2[],MATCH("min",生データ表2[maxmin],0),MATCH(BP$5,生データ表2[#Headers],0)))
/
(INDEX(生データ表2[],MATCH("max",生データ表2[maxmin],0),MATCH(BP$5,生データ表2[#Headers],0))
-
INDEX(生データ表2[],MATCH("min",生データ表2[maxmin],0),MATCH(BP$5,生データ表2[#Headers],0)))
*100,10),"-")</f>
        <v>6.7934782608999997</v>
      </c>
      <c r="BQ53" s="77">
        <f>IFERROR(ROUND(
(INDEX(生データ表[],MATCH($C53,生データ表['#],0),MATCH(BQ$5,生データ表[#Headers],0))
-
INDEX(生データ表2[],MATCH("min",生データ表2[maxmin],0),MATCH(BQ$5,生データ表2[#Headers],0)))
/
(INDEX(生データ表2[],MATCH("max",生データ表2[maxmin],0),MATCH(BQ$5,生データ表2[#Headers],0))
-
INDEX(生データ表2[],MATCH("min",生データ表2[maxmin],0),MATCH(BQ$5,生データ表2[#Headers],0)))
*100,10),"-")</f>
        <v>7.3794664884000003</v>
      </c>
      <c r="BR53" s="77">
        <f>IFERROR(ROUND(
(INDEX(生データ表[],MATCH($C53,生データ表['#],0),MATCH(BR$5,生データ表[#Headers],0))
-
INDEX(生データ表2[],MATCH("min",生データ表2[maxmin],0),MATCH(BR$5,生データ表2[#Headers],0)))
/
(INDEX(生データ表2[],MATCH("max",生データ表2[maxmin],0),MATCH(BR$5,生データ表2[#Headers],0))
-
INDEX(生データ表2[],MATCH("min",生データ表2[maxmin],0),MATCH(BR$5,生データ表2[#Headers],0)))
*100,10),"-")</f>
        <v>15.7502874456</v>
      </c>
      <c r="BS53" s="77">
        <f>IFERROR(ROUND(
(INDEX(生データ表[],MATCH($C53,生データ表['#],0),MATCH(BS$5,生データ表[#Headers],0))
-
INDEX(生データ表2[],MATCH("min",生データ表2[maxmin],0),MATCH(BS$5,生データ表2[#Headers],0)))
/
(INDEX(生データ表2[],MATCH("max",生データ表2[maxmin],0),MATCH(BS$5,生データ表2[#Headers],0))
-
INDEX(生データ表2[],MATCH("min",生データ表2[maxmin],0),MATCH(BS$5,生データ表2[#Headers],0)))
*100,10),"-")</f>
        <v>14.137712849</v>
      </c>
      <c r="BT53" s="77">
        <f>IFERROR(ROUND(
(INDEX(生データ表[],MATCH($C53,生データ表['#],0),MATCH(BT$5,生データ表[#Headers],0))
-
INDEX(生データ表2[],MATCH("min",生データ表2[maxmin],0),MATCH(BT$5,生データ表2[#Headers],0)))
/
(INDEX(生データ表2[],MATCH("max",生データ表2[maxmin],0),MATCH(BT$5,生データ表2[#Headers],0))
-
INDEX(生データ表2[],MATCH("min",生データ表2[maxmin],0),MATCH(BT$5,生データ表2[#Headers],0)))
*100,10),"-")</f>
        <v>100</v>
      </c>
      <c r="BU53" s="77">
        <f>IFERROR(ROUND(
(INDEX(生データ表[],MATCH($C53,生データ表['#],0),MATCH(BU$5,生データ表[#Headers],0))
-
INDEX(生データ表2[],MATCH("min",生データ表2[maxmin],0),MATCH(BU$5,生データ表2[#Headers],0)))
/
(INDEX(生データ表2[],MATCH("max",生データ表2[maxmin],0),MATCH(BU$5,生データ表2[#Headers],0))
-
INDEX(生データ表2[],MATCH("min",生データ表2[maxmin],0),MATCH(BU$5,生データ表2[#Headers],0)))
*100,10),"-")</f>
        <v>32.753775410999999</v>
      </c>
      <c r="BV53" s="77">
        <f>IFERROR(ROUND(
(INDEX(生データ表[],MATCH($C53,生データ表['#],0),MATCH(BV$5,生データ表[#Headers],0))
-
INDEX(生データ表2[],MATCH("min",生データ表2[maxmin],0),MATCH(BV$5,生データ表2[#Headers],0)))
/
(INDEX(生データ表2[],MATCH("max",生データ表2[maxmin],0),MATCH(BV$5,生データ表2[#Headers],0))
-
INDEX(生データ表2[],MATCH("min",生データ表2[maxmin],0),MATCH(BV$5,生データ表2[#Headers],0)))
*100,10),"-")</f>
        <v>66.666666666699996</v>
      </c>
      <c r="BW53" s="77">
        <f>IFERROR(ROUND(
(INDEX(生データ表[],MATCH($C53,生データ表['#],0),MATCH(BW$5,生データ表[#Headers],0))
-
INDEX(生データ表2[],MATCH("min",生データ表2[maxmin],0),MATCH(BW$5,生データ表2[#Headers],0)))
/
(INDEX(生データ表2[],MATCH("max",生データ表2[maxmin],0),MATCH(BW$5,生データ表2[#Headers],0))
-
INDEX(生データ表2[],MATCH("min",生データ表2[maxmin],0),MATCH(BW$5,生データ表2[#Headers],0)))
*100,10),"-")</f>
        <v>66.972173144899998</v>
      </c>
      <c r="BX53" s="77">
        <f>IFERROR(ROUND(
(INDEX(生データ表[],MATCH($C53,生データ表['#],0),MATCH(BX$5,生データ表[#Headers],0))
-
INDEX(生データ表2[],MATCH("min",生データ表2[maxmin],0),MATCH(BX$5,生データ表2[#Headers],0)))
/
(INDEX(生データ表2[],MATCH("max",生データ表2[maxmin],0),MATCH(BX$5,生データ表2[#Headers],0))
-
INDEX(生データ表2[],MATCH("min",生データ表2[maxmin],0),MATCH(BX$5,生データ表2[#Headers],0)))
*100,10),"-")</f>
        <v>38.884216428400002</v>
      </c>
      <c r="BY53" s="77">
        <f>IFERROR(ROUND(
(INDEX(生データ表[],MATCH($C53,生データ表['#],0),MATCH(BY$5,生データ表[#Headers],0))
-
INDEX(生データ表2[],MATCH("min",生データ表2[maxmin],0),MATCH(BY$5,生データ表2[#Headers],0)))
/
(INDEX(生データ表2[],MATCH("max",生データ表2[maxmin],0),MATCH(BY$5,生データ表2[#Headers],0))
-
INDEX(生データ表2[],MATCH("min",生データ表2[maxmin],0),MATCH(BY$5,生データ表2[#Headers],0)))
*100,10),"-")</f>
        <v>79.916036322599993</v>
      </c>
      <c r="BZ53" s="77">
        <f t="shared" si="17"/>
        <v>28.82178388885</v>
      </c>
      <c r="CA53" s="77">
        <f t="shared" si="17"/>
        <v>63.503972919250003</v>
      </c>
      <c r="CB53" s="77">
        <f t="shared" si="17"/>
        <v>0.67992270285</v>
      </c>
      <c r="CC53" s="77">
        <f t="shared" si="17"/>
        <v>39.859029271200001</v>
      </c>
      <c r="CD53" s="77">
        <f t="shared" si="17"/>
        <v>50.877620391466671</v>
      </c>
      <c r="CE53" s="77">
        <f t="shared" si="17"/>
        <v>54.811022991599998</v>
      </c>
      <c r="CF53" s="77">
        <f t="shared" si="17"/>
        <v>32.350401078899999</v>
      </c>
      <c r="CG53" s="77">
        <f t="shared" si="17"/>
        <v>43.347354137033335</v>
      </c>
      <c r="CH53" s="77">
        <f t="shared" si="17"/>
        <v>7.4040119130000006</v>
      </c>
      <c r="CI53" s="77">
        <f t="shared" si="17"/>
        <v>10.14038375965</v>
      </c>
      <c r="CJ53" s="77">
        <f t="shared" si="18"/>
        <v>31.475876992599996</v>
      </c>
      <c r="CK53" s="77">
        <f t="shared" si="18"/>
        <v>33.024897262800003</v>
      </c>
      <c r="CL53" s="77">
        <f t="shared" si="18"/>
        <v>26.057545764300002</v>
      </c>
      <c r="CM53" s="77">
        <f t="shared" si="18"/>
        <v>32.069105718750002</v>
      </c>
      <c r="CN53" s="77">
        <f t="shared" si="18"/>
        <v>77.383186743233338</v>
      </c>
      <c r="CO53" s="77">
        <f t="shared" si="18"/>
        <v>51.737251992300003</v>
      </c>
      <c r="CP53" s="77">
        <f t="shared" si="18"/>
        <v>96.341459361399998</v>
      </c>
      <c r="CQ53" s="77">
        <f t="shared" si="18"/>
        <v>79.397598751299995</v>
      </c>
      <c r="CR53" s="77">
        <f t="shared" si="18"/>
        <v>42.588242843375006</v>
      </c>
      <c r="CS53" s="77">
        <f t="shared" si="18"/>
        <v>47.67013035716667</v>
      </c>
      <c r="CT53" s="77">
        <f t="shared" si="19"/>
        <v>77.813865909699999</v>
      </c>
      <c r="CU53" s="77">
        <f t="shared" si="19"/>
        <v>77.641825209033343</v>
      </c>
      <c r="CV53" s="77">
        <f t="shared" si="19"/>
        <v>7.0864723746500005</v>
      </c>
      <c r="CW53" s="77">
        <f t="shared" si="19"/>
        <v>14.944000147299999</v>
      </c>
      <c r="CX53" s="77">
        <f t="shared" si="19"/>
        <v>66.473480692566667</v>
      </c>
      <c r="CY53" s="77">
        <f t="shared" si="19"/>
        <v>61.924141965299988</v>
      </c>
      <c r="CZ53" s="77">
        <f t="shared" si="20"/>
        <v>238.55335216521669</v>
      </c>
      <c r="DA53" s="77">
        <f t="shared" si="20"/>
        <v>83.101767128933346</v>
      </c>
      <c r="DB53" s="77">
        <f t="shared" si="20"/>
        <v>132.76780949810001</v>
      </c>
      <c r="DC53" s="77">
        <f t="shared" si="20"/>
        <v>347.44773969160832</v>
      </c>
      <c r="DD53" s="77">
        <f t="shared" si="20"/>
        <v>203.12582147590001</v>
      </c>
      <c r="DE53" s="77">
        <f t="shared" si="20"/>
        <v>150.42809517981667</v>
      </c>
      <c r="DF53" s="78">
        <f t="shared" si="4"/>
        <v>1155.4245851395751</v>
      </c>
    </row>
    <row r="54" spans="1:110">
      <c r="A54" s="2">
        <v>49</v>
      </c>
      <c r="B54" s="55"/>
      <c r="C54" s="3"/>
      <c r="D54" s="1"/>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row>
    <row r="55" spans="1:110">
      <c r="A55" s="2">
        <v>50</v>
      </c>
      <c r="B55" s="55"/>
      <c r="C55" s="3"/>
      <c r="D55" s="1"/>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row>
    <row r="57" spans="1:110" s="2" customFormat="1">
      <c r="B57"/>
      <c r="C57"/>
      <c r="D57" s="60" t="s">
        <v>612</v>
      </c>
      <c r="E57" s="56" t="s">
        <v>1088</v>
      </c>
      <c r="F57" s="56" t="s">
        <v>1089</v>
      </c>
      <c r="G57" s="56" t="s">
        <v>1090</v>
      </c>
      <c r="H57" s="132" t="s">
        <v>211</v>
      </c>
      <c r="I57" s="132" t="s">
        <v>212</v>
      </c>
      <c r="J57" s="132" t="s">
        <v>213</v>
      </c>
      <c r="K57" s="132" t="s">
        <v>214</v>
      </c>
      <c r="L57" s="132" t="s">
        <v>215</v>
      </c>
      <c r="M57" s="132" t="s">
        <v>216</v>
      </c>
      <c r="N57" s="132" t="s">
        <v>217</v>
      </c>
      <c r="O57" s="132" t="s">
        <v>218</v>
      </c>
      <c r="P57" s="132" t="s">
        <v>219</v>
      </c>
      <c r="Q57" s="134" t="s">
        <v>611</v>
      </c>
      <c r="R57" s="134" t="s">
        <v>547</v>
      </c>
      <c r="S57" s="134" t="s">
        <v>548</v>
      </c>
      <c r="T57" s="134" t="s">
        <v>549</v>
      </c>
      <c r="U57" s="142" t="s">
        <v>550</v>
      </c>
      <c r="V57" s="142" t="s">
        <v>551</v>
      </c>
      <c r="W57" s="142" t="s">
        <v>552</v>
      </c>
      <c r="X57" s="142" t="s">
        <v>553</v>
      </c>
      <c r="Y57" s="142" t="s">
        <v>554</v>
      </c>
      <c r="Z57" s="142" t="s">
        <v>555</v>
      </c>
      <c r="AA57" s="142" t="s">
        <v>556</v>
      </c>
      <c r="AB57" s="142" t="s">
        <v>557</v>
      </c>
      <c r="AC57" s="150" t="s">
        <v>558</v>
      </c>
      <c r="AD57" s="150" t="s">
        <v>559</v>
      </c>
      <c r="AE57" s="150" t="s">
        <v>560</v>
      </c>
      <c r="AF57" s="150" t="s">
        <v>561</v>
      </c>
      <c r="AG57" s="150" t="s">
        <v>562</v>
      </c>
      <c r="AH57" s="150" t="s">
        <v>563</v>
      </c>
      <c r="AI57" s="150" t="s">
        <v>564</v>
      </c>
      <c r="AJ57" s="150" t="s">
        <v>565</v>
      </c>
      <c r="AK57" s="150" t="s">
        <v>566</v>
      </c>
      <c r="AL57" s="150" t="s">
        <v>567</v>
      </c>
      <c r="AM57" s="150" t="s">
        <v>568</v>
      </c>
      <c r="AN57" s="150" t="s">
        <v>569</v>
      </c>
      <c r="AO57" s="150" t="s">
        <v>570</v>
      </c>
      <c r="AP57" s="150" t="s">
        <v>571</v>
      </c>
      <c r="AQ57" s="150" t="s">
        <v>572</v>
      </c>
      <c r="AR57" s="150" t="s">
        <v>573</v>
      </c>
      <c r="AS57" s="157" t="s">
        <v>574</v>
      </c>
      <c r="AT57" s="157" t="s">
        <v>575</v>
      </c>
      <c r="AU57" s="157" t="s">
        <v>576</v>
      </c>
      <c r="AV57" s="157" t="s">
        <v>577</v>
      </c>
      <c r="AW57" s="157" t="s">
        <v>578</v>
      </c>
      <c r="AX57" s="157" t="s">
        <v>579</v>
      </c>
      <c r="AY57" s="157" t="s">
        <v>580</v>
      </c>
      <c r="AZ57" s="157" t="s">
        <v>581</v>
      </c>
      <c r="BA57" s="157" t="s">
        <v>582</v>
      </c>
      <c r="BB57" s="157" t="s">
        <v>583</v>
      </c>
      <c r="BC57" s="157" t="s">
        <v>584</v>
      </c>
      <c r="BD57" s="157" t="s">
        <v>585</v>
      </c>
      <c r="BE57" s="157" t="s">
        <v>586</v>
      </c>
      <c r="BF57" s="157" t="s">
        <v>587</v>
      </c>
      <c r="BG57" s="165" t="s">
        <v>588</v>
      </c>
      <c r="BH57" s="165" t="s">
        <v>589</v>
      </c>
      <c r="BI57" s="165" t="s">
        <v>590</v>
      </c>
      <c r="BJ57" s="165" t="s">
        <v>591</v>
      </c>
      <c r="BK57" s="165" t="s">
        <v>592</v>
      </c>
      <c r="BL57" s="165" t="s">
        <v>593</v>
      </c>
      <c r="BM57" s="165" t="s">
        <v>594</v>
      </c>
      <c r="BN57" s="165" t="s">
        <v>595</v>
      </c>
      <c r="BO57" s="165" t="s">
        <v>596</v>
      </c>
      <c r="BP57" s="173" t="s">
        <v>597</v>
      </c>
      <c r="BQ57" s="173" t="s">
        <v>598</v>
      </c>
      <c r="BR57" s="173" t="s">
        <v>599</v>
      </c>
      <c r="BS57" s="173" t="s">
        <v>600</v>
      </c>
      <c r="BT57" s="173" t="s">
        <v>601</v>
      </c>
      <c r="BU57" s="173" t="s">
        <v>602</v>
      </c>
      <c r="BV57" s="173" t="s">
        <v>603</v>
      </c>
      <c r="BW57" s="173" t="s">
        <v>604</v>
      </c>
      <c r="BX57" s="173" t="s">
        <v>605</v>
      </c>
      <c r="BY57" s="173" t="s">
        <v>606</v>
      </c>
      <c r="BZ57" s="134" t="s">
        <v>254</v>
      </c>
      <c r="CA57" s="134" t="s">
        <v>255</v>
      </c>
      <c r="CB57" s="134" t="s">
        <v>256</v>
      </c>
      <c r="CC57" s="134" t="s">
        <v>257</v>
      </c>
      <c r="CD57" s="134" t="s">
        <v>258</v>
      </c>
      <c r="CE57" s="134" t="s">
        <v>259</v>
      </c>
      <c r="CF57" s="142" t="s">
        <v>260</v>
      </c>
      <c r="CG57" s="142" t="s">
        <v>261</v>
      </c>
      <c r="CH57" s="142" t="s">
        <v>262</v>
      </c>
      <c r="CI57" s="150" t="s">
        <v>263</v>
      </c>
      <c r="CJ57" s="150" t="s">
        <v>264</v>
      </c>
      <c r="CK57" s="150" t="s">
        <v>265</v>
      </c>
      <c r="CL57" s="150" t="s">
        <v>266</v>
      </c>
      <c r="CM57" s="150" t="s">
        <v>267</v>
      </c>
      <c r="CN57" s="157" t="s">
        <v>268</v>
      </c>
      <c r="CO57" s="157" t="s">
        <v>269</v>
      </c>
      <c r="CP57" s="157" t="s">
        <v>270</v>
      </c>
      <c r="CQ57" s="157" t="s">
        <v>271</v>
      </c>
      <c r="CR57" s="157" t="s">
        <v>272</v>
      </c>
      <c r="CS57" s="165" t="s">
        <v>273</v>
      </c>
      <c r="CT57" s="165" t="s">
        <v>274</v>
      </c>
      <c r="CU57" s="165" t="s">
        <v>275</v>
      </c>
      <c r="CV57" s="173" t="s">
        <v>276</v>
      </c>
      <c r="CW57" s="173" t="s">
        <v>277</v>
      </c>
      <c r="CX57" s="173" t="s">
        <v>278</v>
      </c>
      <c r="CY57" s="173" t="s">
        <v>279</v>
      </c>
      <c r="CZ57" s="134" t="s">
        <v>614</v>
      </c>
      <c r="DA57" s="142" t="s">
        <v>442</v>
      </c>
      <c r="DB57" s="150" t="s">
        <v>7</v>
      </c>
      <c r="DC57" s="157" t="s">
        <v>281</v>
      </c>
      <c r="DD57" s="165" t="s">
        <v>9</v>
      </c>
      <c r="DE57" s="173" t="s">
        <v>10</v>
      </c>
      <c r="DF57" s="227" t="s">
        <v>226</v>
      </c>
    </row>
    <row r="58" spans="1:110">
      <c r="C58"/>
      <c r="D58" s="42" t="s">
        <v>607</v>
      </c>
      <c r="E58" s="4">
        <f t="shared" ref="E58:AK58" si="21">MAX(E6:E55)</f>
        <v>100</v>
      </c>
      <c r="F58" s="4">
        <f t="shared" si="21"/>
        <v>100</v>
      </c>
      <c r="G58" s="4">
        <f t="shared" si="21"/>
        <v>100</v>
      </c>
      <c r="H58" s="4">
        <f t="shared" si="21"/>
        <v>100</v>
      </c>
      <c r="I58" s="4">
        <f t="shared" si="21"/>
        <v>100</v>
      </c>
      <c r="J58" s="4">
        <f t="shared" si="21"/>
        <v>100</v>
      </c>
      <c r="K58" s="4">
        <f t="shared" si="21"/>
        <v>100</v>
      </c>
      <c r="L58" s="4">
        <f t="shared" si="21"/>
        <v>100</v>
      </c>
      <c r="M58" s="4">
        <f t="shared" si="21"/>
        <v>100</v>
      </c>
      <c r="N58" s="4">
        <f t="shared" si="21"/>
        <v>100</v>
      </c>
      <c r="O58" s="4">
        <f t="shared" si="21"/>
        <v>100</v>
      </c>
      <c r="P58" s="4">
        <f t="shared" si="21"/>
        <v>100</v>
      </c>
      <c r="Q58" s="4">
        <f t="shared" si="21"/>
        <v>100</v>
      </c>
      <c r="R58" s="4">
        <f t="shared" si="21"/>
        <v>100</v>
      </c>
      <c r="S58" s="4">
        <f t="shared" si="21"/>
        <v>100</v>
      </c>
      <c r="T58" s="4">
        <f t="shared" si="21"/>
        <v>100</v>
      </c>
      <c r="U58" s="4">
        <f t="shared" si="21"/>
        <v>100</v>
      </c>
      <c r="V58" s="4">
        <f t="shared" si="21"/>
        <v>100</v>
      </c>
      <c r="W58" s="4">
        <f t="shared" si="21"/>
        <v>100</v>
      </c>
      <c r="X58" s="4">
        <f t="shared" si="21"/>
        <v>100</v>
      </c>
      <c r="Y58" s="4">
        <f t="shared" si="21"/>
        <v>100</v>
      </c>
      <c r="Z58" s="4">
        <f t="shared" si="21"/>
        <v>100</v>
      </c>
      <c r="AA58" s="4">
        <f t="shared" si="21"/>
        <v>100</v>
      </c>
      <c r="AB58" s="4">
        <f t="shared" si="21"/>
        <v>100</v>
      </c>
      <c r="AC58" s="4">
        <f t="shared" si="21"/>
        <v>100</v>
      </c>
      <c r="AD58" s="4">
        <f t="shared" si="21"/>
        <v>100</v>
      </c>
      <c r="AE58" s="4">
        <f t="shared" si="21"/>
        <v>100</v>
      </c>
      <c r="AF58" s="4">
        <f t="shared" si="21"/>
        <v>100</v>
      </c>
      <c r="AG58" s="4">
        <f t="shared" si="21"/>
        <v>100</v>
      </c>
      <c r="AH58" s="4">
        <f t="shared" si="21"/>
        <v>100</v>
      </c>
      <c r="AI58" s="4">
        <f t="shared" si="21"/>
        <v>100</v>
      </c>
      <c r="AJ58" s="4">
        <f t="shared" si="21"/>
        <v>100</v>
      </c>
      <c r="AK58" s="4">
        <f t="shared" si="21"/>
        <v>100</v>
      </c>
      <c r="AL58" s="4">
        <f t="shared" ref="AL58:BQ58" si="22">MAX(AL6:AL55)</f>
        <v>100</v>
      </c>
      <c r="AM58" s="4">
        <f t="shared" si="22"/>
        <v>100</v>
      </c>
      <c r="AN58" s="4">
        <f t="shared" si="22"/>
        <v>100</v>
      </c>
      <c r="AO58" s="4">
        <f t="shared" si="22"/>
        <v>100</v>
      </c>
      <c r="AP58" s="4">
        <f t="shared" si="22"/>
        <v>100</v>
      </c>
      <c r="AQ58" s="4">
        <f t="shared" si="22"/>
        <v>100</v>
      </c>
      <c r="AR58" s="4">
        <f t="shared" si="22"/>
        <v>100</v>
      </c>
      <c r="AS58" s="4">
        <f t="shared" si="22"/>
        <v>100</v>
      </c>
      <c r="AT58" s="4">
        <f t="shared" si="22"/>
        <v>100</v>
      </c>
      <c r="AU58" s="4">
        <f t="shared" si="22"/>
        <v>100</v>
      </c>
      <c r="AV58" s="4">
        <f t="shared" si="22"/>
        <v>100</v>
      </c>
      <c r="AW58" s="4">
        <f t="shared" si="22"/>
        <v>100</v>
      </c>
      <c r="AX58" s="4">
        <f t="shared" si="22"/>
        <v>100</v>
      </c>
      <c r="AY58" s="4">
        <f t="shared" si="22"/>
        <v>100</v>
      </c>
      <c r="AZ58" s="4">
        <f t="shared" si="22"/>
        <v>100</v>
      </c>
      <c r="BA58" s="4">
        <f t="shared" si="22"/>
        <v>100</v>
      </c>
      <c r="BB58" s="4">
        <f t="shared" si="22"/>
        <v>100</v>
      </c>
      <c r="BC58" s="4">
        <f t="shared" si="22"/>
        <v>100</v>
      </c>
      <c r="BD58" s="4">
        <f t="shared" si="22"/>
        <v>100</v>
      </c>
      <c r="BE58" s="4">
        <f t="shared" si="22"/>
        <v>100</v>
      </c>
      <c r="BF58" s="4">
        <f t="shared" si="22"/>
        <v>100</v>
      </c>
      <c r="BG58" s="4">
        <f t="shared" si="22"/>
        <v>100</v>
      </c>
      <c r="BH58" s="4">
        <f t="shared" si="22"/>
        <v>100</v>
      </c>
      <c r="BI58" s="4">
        <f t="shared" si="22"/>
        <v>100</v>
      </c>
      <c r="BJ58" s="4">
        <f t="shared" si="22"/>
        <v>100</v>
      </c>
      <c r="BK58" s="4">
        <f t="shared" si="22"/>
        <v>100</v>
      </c>
      <c r="BL58" s="4">
        <f t="shared" si="22"/>
        <v>100</v>
      </c>
      <c r="BM58" s="4">
        <f t="shared" si="22"/>
        <v>100</v>
      </c>
      <c r="BN58" s="4">
        <f t="shared" si="22"/>
        <v>100</v>
      </c>
      <c r="BO58" s="4">
        <f t="shared" si="22"/>
        <v>100</v>
      </c>
      <c r="BP58" s="4">
        <f t="shared" si="22"/>
        <v>100</v>
      </c>
      <c r="BQ58" s="4">
        <f t="shared" si="22"/>
        <v>100</v>
      </c>
      <c r="BR58" s="4">
        <f t="shared" ref="BR58:CW58" si="23">MAX(BR6:BR55)</f>
        <v>100</v>
      </c>
      <c r="BS58" s="4">
        <f t="shared" si="23"/>
        <v>100</v>
      </c>
      <c r="BT58" s="4">
        <f t="shared" si="23"/>
        <v>100</v>
      </c>
      <c r="BU58" s="4">
        <f t="shared" si="23"/>
        <v>100</v>
      </c>
      <c r="BV58" s="4">
        <f t="shared" si="23"/>
        <v>100</v>
      </c>
      <c r="BW58" s="4">
        <f t="shared" si="23"/>
        <v>100</v>
      </c>
      <c r="BX58" s="4">
        <f t="shared" si="23"/>
        <v>100</v>
      </c>
      <c r="BY58" s="4">
        <f t="shared" si="23"/>
        <v>100</v>
      </c>
      <c r="BZ58" s="4">
        <f t="shared" si="23"/>
        <v>73.033080395950009</v>
      </c>
      <c r="CA58" s="4">
        <f t="shared" si="23"/>
        <v>97.26443768995</v>
      </c>
      <c r="CB58" s="4">
        <f t="shared" si="23"/>
        <v>61.251928620499996</v>
      </c>
      <c r="CC58" s="4">
        <f t="shared" si="23"/>
        <v>84.425783139299995</v>
      </c>
      <c r="CD58" s="4">
        <f t="shared" si="23"/>
        <v>92.254782216100011</v>
      </c>
      <c r="CE58" s="4">
        <f t="shared" si="23"/>
        <v>94.749769015699997</v>
      </c>
      <c r="CF58" s="4">
        <f t="shared" si="23"/>
        <v>75.847382511199996</v>
      </c>
      <c r="CG58" s="4">
        <f t="shared" si="23"/>
        <v>64.338306134133333</v>
      </c>
      <c r="CH58" s="4">
        <f t="shared" si="23"/>
        <v>68.727631132300004</v>
      </c>
      <c r="CI58" s="4">
        <f t="shared" si="23"/>
        <v>59.690124036100002</v>
      </c>
      <c r="CJ58" s="4">
        <f t="shared" si="23"/>
        <v>76.666666666666671</v>
      </c>
      <c r="CK58" s="4">
        <f t="shared" si="23"/>
        <v>92.811061217533336</v>
      </c>
      <c r="CL58" s="4">
        <f t="shared" si="23"/>
        <v>79.329425090299992</v>
      </c>
      <c r="CM58" s="4">
        <f t="shared" si="23"/>
        <v>94.522524625300008</v>
      </c>
      <c r="CN58" s="4">
        <f t="shared" si="23"/>
        <v>95.595241501166655</v>
      </c>
      <c r="CO58" s="4">
        <f t="shared" si="23"/>
        <v>94.02813503485001</v>
      </c>
      <c r="CP58" s="4">
        <f t="shared" si="23"/>
        <v>99.491682854650008</v>
      </c>
      <c r="CQ58" s="4">
        <f t="shared" si="23"/>
        <v>85.563784650833327</v>
      </c>
      <c r="CR58" s="4">
        <f t="shared" si="23"/>
        <v>81.482712606574992</v>
      </c>
      <c r="CS58" s="4">
        <f t="shared" si="23"/>
        <v>74.522916999566675</v>
      </c>
      <c r="CT58" s="4">
        <f t="shared" si="23"/>
        <v>90.534630601300009</v>
      </c>
      <c r="CU58" s="4">
        <f t="shared" si="23"/>
        <v>86.85372613700001</v>
      </c>
      <c r="CV58" s="4">
        <f t="shared" si="23"/>
        <v>63.658424059650002</v>
      </c>
      <c r="CW58" s="4">
        <f t="shared" si="23"/>
        <v>97.602811608300001</v>
      </c>
      <c r="CX58" s="4">
        <f t="shared" ref="CX58:DF58" si="24">MAX(CX6:CX55)</f>
        <v>69.996748721599999</v>
      </c>
      <c r="CY58" s="4">
        <f t="shared" si="24"/>
        <v>97.342644960233329</v>
      </c>
      <c r="CZ58" s="4">
        <f t="shared" si="24"/>
        <v>371.09627417245002</v>
      </c>
      <c r="DA58" s="4">
        <f t="shared" si="24"/>
        <v>206.45811885533334</v>
      </c>
      <c r="DB58" s="4">
        <f t="shared" si="24"/>
        <v>367.57992580267501</v>
      </c>
      <c r="DC58" s="4">
        <f t="shared" si="24"/>
        <v>389.98593915240826</v>
      </c>
      <c r="DD58" s="4">
        <f t="shared" si="24"/>
        <v>228.73709255586664</v>
      </c>
      <c r="DE58" s="4">
        <f t="shared" si="24"/>
        <v>229.1637569953333</v>
      </c>
      <c r="DF58" s="76">
        <f t="shared" si="24"/>
        <v>1646.7303259913833</v>
      </c>
    </row>
    <row r="59" spans="1:110">
      <c r="C59"/>
      <c r="D59" s="42" t="s">
        <v>608</v>
      </c>
      <c r="E59" s="4">
        <f t="shared" ref="E59:AK59" si="25">MIN(E6:E55)</f>
        <v>0</v>
      </c>
      <c r="F59" s="4">
        <f t="shared" si="25"/>
        <v>0</v>
      </c>
      <c r="G59" s="4">
        <f t="shared" ref="G59" si="26">MIN(G6:G55)</f>
        <v>0</v>
      </c>
      <c r="H59" s="4">
        <f t="shared" si="25"/>
        <v>0</v>
      </c>
      <c r="I59" s="4">
        <f t="shared" si="25"/>
        <v>0</v>
      </c>
      <c r="J59" s="4">
        <f t="shared" si="25"/>
        <v>0</v>
      </c>
      <c r="K59" s="4">
        <f t="shared" si="25"/>
        <v>0</v>
      </c>
      <c r="L59" s="4">
        <f t="shared" si="25"/>
        <v>0</v>
      </c>
      <c r="M59" s="4">
        <f t="shared" si="25"/>
        <v>0</v>
      </c>
      <c r="N59" s="4">
        <f t="shared" si="25"/>
        <v>0</v>
      </c>
      <c r="O59" s="4">
        <f t="shared" si="25"/>
        <v>0</v>
      </c>
      <c r="P59" s="4">
        <f t="shared" si="25"/>
        <v>0</v>
      </c>
      <c r="Q59" s="4">
        <f t="shared" si="25"/>
        <v>0</v>
      </c>
      <c r="R59" s="4">
        <f t="shared" si="25"/>
        <v>0</v>
      </c>
      <c r="S59" s="4">
        <f t="shared" si="25"/>
        <v>0</v>
      </c>
      <c r="T59" s="4">
        <f t="shared" si="25"/>
        <v>0</v>
      </c>
      <c r="U59" s="4">
        <f t="shared" si="25"/>
        <v>0</v>
      </c>
      <c r="V59" s="4">
        <f t="shared" si="25"/>
        <v>0</v>
      </c>
      <c r="W59" s="4">
        <f t="shared" si="25"/>
        <v>0</v>
      </c>
      <c r="X59" s="4">
        <f t="shared" si="25"/>
        <v>0</v>
      </c>
      <c r="Y59" s="4">
        <f t="shared" si="25"/>
        <v>0</v>
      </c>
      <c r="Z59" s="4">
        <f t="shared" si="25"/>
        <v>0</v>
      </c>
      <c r="AA59" s="4">
        <f t="shared" si="25"/>
        <v>0</v>
      </c>
      <c r="AB59" s="4">
        <f t="shared" si="25"/>
        <v>0</v>
      </c>
      <c r="AC59" s="4">
        <f t="shared" si="25"/>
        <v>0</v>
      </c>
      <c r="AD59" s="4">
        <f t="shared" si="25"/>
        <v>0</v>
      </c>
      <c r="AE59" s="4">
        <f t="shared" si="25"/>
        <v>0</v>
      </c>
      <c r="AF59" s="4">
        <f t="shared" si="25"/>
        <v>0</v>
      </c>
      <c r="AG59" s="4">
        <f t="shared" si="25"/>
        <v>0</v>
      </c>
      <c r="AH59" s="4">
        <f t="shared" si="25"/>
        <v>0</v>
      </c>
      <c r="AI59" s="4">
        <f t="shared" si="25"/>
        <v>0</v>
      </c>
      <c r="AJ59" s="4">
        <f t="shared" si="25"/>
        <v>0</v>
      </c>
      <c r="AK59" s="4">
        <f t="shared" si="25"/>
        <v>0</v>
      </c>
      <c r="AL59" s="4">
        <f t="shared" ref="AL59:BQ59" si="27">MIN(AL6:AL55)</f>
        <v>0</v>
      </c>
      <c r="AM59" s="4">
        <f t="shared" si="27"/>
        <v>0</v>
      </c>
      <c r="AN59" s="4">
        <f t="shared" si="27"/>
        <v>0</v>
      </c>
      <c r="AO59" s="4">
        <f t="shared" si="27"/>
        <v>0</v>
      </c>
      <c r="AP59" s="4">
        <f t="shared" si="27"/>
        <v>0</v>
      </c>
      <c r="AQ59" s="4">
        <f t="shared" si="27"/>
        <v>0</v>
      </c>
      <c r="AR59" s="4">
        <f t="shared" si="27"/>
        <v>0</v>
      </c>
      <c r="AS59" s="4">
        <f t="shared" si="27"/>
        <v>0</v>
      </c>
      <c r="AT59" s="4">
        <f t="shared" si="27"/>
        <v>0</v>
      </c>
      <c r="AU59" s="4">
        <f t="shared" si="27"/>
        <v>0</v>
      </c>
      <c r="AV59" s="4">
        <f t="shared" si="27"/>
        <v>0</v>
      </c>
      <c r="AW59" s="4">
        <f t="shared" si="27"/>
        <v>0</v>
      </c>
      <c r="AX59" s="4">
        <f t="shared" si="27"/>
        <v>0</v>
      </c>
      <c r="AY59" s="4">
        <f t="shared" si="27"/>
        <v>0</v>
      </c>
      <c r="AZ59" s="4">
        <f t="shared" si="27"/>
        <v>0</v>
      </c>
      <c r="BA59" s="4">
        <f t="shared" si="27"/>
        <v>0</v>
      </c>
      <c r="BB59" s="4">
        <f t="shared" si="27"/>
        <v>0</v>
      </c>
      <c r="BC59" s="4">
        <f t="shared" si="27"/>
        <v>0</v>
      </c>
      <c r="BD59" s="4">
        <f t="shared" si="27"/>
        <v>0</v>
      </c>
      <c r="BE59" s="4">
        <f t="shared" si="27"/>
        <v>0</v>
      </c>
      <c r="BF59" s="4">
        <f t="shared" si="27"/>
        <v>0</v>
      </c>
      <c r="BG59" s="4">
        <f t="shared" si="27"/>
        <v>0</v>
      </c>
      <c r="BH59" s="4">
        <f t="shared" si="27"/>
        <v>0</v>
      </c>
      <c r="BI59" s="4">
        <f t="shared" si="27"/>
        <v>0</v>
      </c>
      <c r="BJ59" s="4">
        <f t="shared" si="27"/>
        <v>0</v>
      </c>
      <c r="BK59" s="4">
        <f t="shared" si="27"/>
        <v>0</v>
      </c>
      <c r="BL59" s="4">
        <f t="shared" si="27"/>
        <v>0</v>
      </c>
      <c r="BM59" s="4">
        <f t="shared" si="27"/>
        <v>0</v>
      </c>
      <c r="BN59" s="4">
        <f t="shared" si="27"/>
        <v>0</v>
      </c>
      <c r="BO59" s="4">
        <f t="shared" si="27"/>
        <v>0</v>
      </c>
      <c r="BP59" s="4">
        <f t="shared" si="27"/>
        <v>0</v>
      </c>
      <c r="BQ59" s="4">
        <f t="shared" si="27"/>
        <v>0</v>
      </c>
      <c r="BR59" s="4">
        <f t="shared" ref="BR59:CW59" si="28">MIN(BR6:BR55)</f>
        <v>0</v>
      </c>
      <c r="BS59" s="4">
        <f t="shared" si="28"/>
        <v>0</v>
      </c>
      <c r="BT59" s="4">
        <f t="shared" si="28"/>
        <v>0</v>
      </c>
      <c r="BU59" s="4">
        <f t="shared" si="28"/>
        <v>0</v>
      </c>
      <c r="BV59" s="4">
        <f t="shared" si="28"/>
        <v>0</v>
      </c>
      <c r="BW59" s="4">
        <f t="shared" si="28"/>
        <v>0</v>
      </c>
      <c r="BX59" s="4">
        <f t="shared" si="28"/>
        <v>0</v>
      </c>
      <c r="BY59" s="4">
        <f t="shared" si="28"/>
        <v>0</v>
      </c>
      <c r="BZ59" s="4">
        <f t="shared" si="28"/>
        <v>0.43258232200000002</v>
      </c>
      <c r="CA59" s="4">
        <f t="shared" si="28"/>
        <v>12.284124019850001</v>
      </c>
      <c r="CB59" s="4">
        <f t="shared" si="28"/>
        <v>0</v>
      </c>
      <c r="CC59" s="4">
        <f t="shared" si="28"/>
        <v>18.888421472800001</v>
      </c>
      <c r="CD59" s="4">
        <f t="shared" si="28"/>
        <v>0</v>
      </c>
      <c r="CE59" s="4">
        <f t="shared" si="28"/>
        <v>0</v>
      </c>
      <c r="CF59" s="4">
        <f t="shared" si="28"/>
        <v>0.31525851199999999</v>
      </c>
      <c r="CG59" s="4">
        <f t="shared" si="28"/>
        <v>1.3633323665333332</v>
      </c>
      <c r="CH59" s="4">
        <f t="shared" si="28"/>
        <v>0.62734096756666669</v>
      </c>
      <c r="CI59" s="4">
        <f t="shared" si="28"/>
        <v>1.16613884875</v>
      </c>
      <c r="CJ59" s="4">
        <f t="shared" si="28"/>
        <v>9.144069909533334</v>
      </c>
      <c r="CK59" s="4">
        <f t="shared" si="28"/>
        <v>2.7642573152333334</v>
      </c>
      <c r="CL59" s="4">
        <f t="shared" si="28"/>
        <v>2.56548376805</v>
      </c>
      <c r="CM59" s="4">
        <f t="shared" si="28"/>
        <v>0.97558826715000002</v>
      </c>
      <c r="CN59" s="4">
        <f t="shared" si="28"/>
        <v>37.83512942956667</v>
      </c>
      <c r="CO59" s="4">
        <f t="shared" si="28"/>
        <v>12.1819448425</v>
      </c>
      <c r="CP59" s="4">
        <f t="shared" si="28"/>
        <v>49.108510699150003</v>
      </c>
      <c r="CQ59" s="4">
        <f t="shared" si="28"/>
        <v>16.496863212400001</v>
      </c>
      <c r="CR59" s="4">
        <f t="shared" si="28"/>
        <v>13.883009819150001</v>
      </c>
      <c r="CS59" s="4">
        <f t="shared" si="28"/>
        <v>4.0763673890666672</v>
      </c>
      <c r="CT59" s="4">
        <f t="shared" si="28"/>
        <v>33.681192599133333</v>
      </c>
      <c r="CU59" s="4">
        <f t="shared" si="28"/>
        <v>5.1595041506666668</v>
      </c>
      <c r="CV59" s="4">
        <f t="shared" si="28"/>
        <v>0.6568480645</v>
      </c>
      <c r="CW59" s="4">
        <f t="shared" si="28"/>
        <v>0.72570037955</v>
      </c>
      <c r="CX59" s="4">
        <f t="shared" ref="CX59:DF59" si="29">MIN(CX6:CX55)</f>
        <v>9.9686086356000008</v>
      </c>
      <c r="CY59" s="4">
        <f t="shared" si="29"/>
        <v>17.393624819900001</v>
      </c>
      <c r="CZ59" s="4">
        <f t="shared" si="29"/>
        <v>81.585996675550007</v>
      </c>
      <c r="DA59" s="4">
        <f t="shared" si="29"/>
        <v>3.7728619893999999</v>
      </c>
      <c r="DB59" s="4">
        <f t="shared" si="29"/>
        <v>43.338953521625008</v>
      </c>
      <c r="DC59" s="4">
        <f t="shared" si="29"/>
        <v>231.67150434173334</v>
      </c>
      <c r="DD59" s="4">
        <f t="shared" si="29"/>
        <v>67.555458495300002</v>
      </c>
      <c r="DE59" s="4">
        <f t="shared" si="29"/>
        <v>76.789037432650005</v>
      </c>
      <c r="DF59" s="76">
        <f t="shared" si="29"/>
        <v>645.34513309169165</v>
      </c>
    </row>
    <row r="60" spans="1:110">
      <c r="C60"/>
      <c r="D60" s="42" t="s">
        <v>609</v>
      </c>
      <c r="E60" s="4">
        <f t="shared" ref="E60:AK60" si="30">AVERAGE(E6:E55)</f>
        <v>20.77548701595417</v>
      </c>
      <c r="F60" s="4">
        <f t="shared" si="30"/>
        <v>10.284799969420837</v>
      </c>
      <c r="G60" s="4">
        <f t="shared" ref="G60" si="31">AVERAGE(G6:G55)</f>
        <v>2.3843725201604165</v>
      </c>
      <c r="H60" s="4">
        <f t="shared" si="30"/>
        <v>22.201218317508324</v>
      </c>
      <c r="I60" s="4">
        <f t="shared" si="30"/>
        <v>30.347557839977089</v>
      </c>
      <c r="J60" s="4">
        <f t="shared" si="30"/>
        <v>36.899938250664583</v>
      </c>
      <c r="K60" s="4">
        <f t="shared" si="30"/>
        <v>54.509586158527078</v>
      </c>
      <c r="L60" s="4">
        <f t="shared" si="30"/>
        <v>4.5631056177770821</v>
      </c>
      <c r="M60" s="4">
        <f t="shared" si="30"/>
        <v>6.956667522552082</v>
      </c>
      <c r="N60" s="4">
        <f t="shared" si="30"/>
        <v>20.170180485939582</v>
      </c>
      <c r="O60" s="4">
        <f t="shared" si="30"/>
        <v>59.064828662293763</v>
      </c>
      <c r="P60" s="4">
        <f t="shared" si="30"/>
        <v>44.046385709422914</v>
      </c>
      <c r="Q60" s="4">
        <f t="shared" si="30"/>
        <v>51.582945627074984</v>
      </c>
      <c r="R60" s="4">
        <f t="shared" si="30"/>
        <v>42.943620194135413</v>
      </c>
      <c r="S60" s="4">
        <f t="shared" si="30"/>
        <v>38.396032485931251</v>
      </c>
      <c r="T60" s="4">
        <f t="shared" si="30"/>
        <v>77.855802596572872</v>
      </c>
      <c r="U60" s="4">
        <f t="shared" si="30"/>
        <v>21.560402977012497</v>
      </c>
      <c r="V60" s="4">
        <f t="shared" si="30"/>
        <v>25.420344682645837</v>
      </c>
      <c r="W60" s="4">
        <f t="shared" si="30"/>
        <v>12.844067553354167</v>
      </c>
      <c r="X60" s="4">
        <f t="shared" si="30"/>
        <v>15.120190095277081</v>
      </c>
      <c r="Y60" s="4">
        <f t="shared" si="30"/>
        <v>59.733012502566687</v>
      </c>
      <c r="Z60" s="4">
        <f t="shared" si="30"/>
        <v>12.971597224116669</v>
      </c>
      <c r="AA60" s="4">
        <f t="shared" si="30"/>
        <v>11.054560260597917</v>
      </c>
      <c r="AB60" s="4">
        <f t="shared" si="30"/>
        <v>12.939937943270834</v>
      </c>
      <c r="AC60" s="4">
        <f t="shared" si="30"/>
        <v>15.707150368018752</v>
      </c>
      <c r="AD60" s="4">
        <f t="shared" si="30"/>
        <v>35.952581369247923</v>
      </c>
      <c r="AE60" s="4">
        <f t="shared" si="30"/>
        <v>13.9273641464</v>
      </c>
      <c r="AF60" s="4">
        <f t="shared" si="30"/>
        <v>7.7736126161520831</v>
      </c>
      <c r="AG60" s="4">
        <f t="shared" si="30"/>
        <v>44.402095521583341</v>
      </c>
      <c r="AH60" s="4">
        <f t="shared" si="30"/>
        <v>23.4375</v>
      </c>
      <c r="AI60" s="4">
        <f t="shared" si="30"/>
        <v>45.232547530291662</v>
      </c>
      <c r="AJ60" s="4">
        <f t="shared" si="30"/>
        <v>22.743775933610419</v>
      </c>
      <c r="AK60" s="4">
        <f t="shared" si="30"/>
        <v>25.449486301366662</v>
      </c>
      <c r="AL60" s="4">
        <f t="shared" ref="AL60:BQ60" si="32">AVERAGE(AL6:AL55)</f>
        <v>30.043859649120833</v>
      </c>
      <c r="AM60" s="4">
        <f t="shared" si="32"/>
        <v>27.960385519654167</v>
      </c>
      <c r="AN60" s="4">
        <f t="shared" si="32"/>
        <v>20.909355292962502</v>
      </c>
      <c r="AO60" s="4">
        <f t="shared" si="32"/>
        <v>43.078357638947921</v>
      </c>
      <c r="AP60" s="4">
        <f t="shared" si="32"/>
        <v>38.948316210164585</v>
      </c>
      <c r="AQ60" s="4">
        <f t="shared" si="32"/>
        <v>14.923552830643752</v>
      </c>
      <c r="AR60" s="4">
        <f t="shared" si="32"/>
        <v>18.21682987534583</v>
      </c>
      <c r="AS60" s="4">
        <f t="shared" si="32"/>
        <v>83.075003872674998</v>
      </c>
      <c r="AT60" s="4">
        <f t="shared" si="32"/>
        <v>63.231084902262502</v>
      </c>
      <c r="AU60" s="4">
        <f t="shared" si="32"/>
        <v>61.361317052858332</v>
      </c>
      <c r="AV60" s="4">
        <f t="shared" si="32"/>
        <v>62.552410812312495</v>
      </c>
      <c r="AW60" s="4">
        <f t="shared" si="32"/>
        <v>54.583820405510409</v>
      </c>
      <c r="AX60" s="4">
        <f t="shared" si="32"/>
        <v>89.60351874140629</v>
      </c>
      <c r="AY60" s="4">
        <f t="shared" si="32"/>
        <v>93.918634064074979</v>
      </c>
      <c r="AZ60" s="4">
        <f t="shared" si="32"/>
        <v>71.897194709504149</v>
      </c>
      <c r="BA60" s="4">
        <f t="shared" si="32"/>
        <v>59.00477231316043</v>
      </c>
      <c r="BB60" s="4">
        <f t="shared" si="32"/>
        <v>65.099349317752086</v>
      </c>
      <c r="BC60" s="4">
        <f t="shared" si="32"/>
        <v>43.460458884458326</v>
      </c>
      <c r="BD60" s="4">
        <f t="shared" si="32"/>
        <v>59.506964999741662</v>
      </c>
      <c r="BE60" s="4">
        <f t="shared" si="32"/>
        <v>45.552121492422906</v>
      </c>
      <c r="BF60" s="4">
        <f t="shared" si="32"/>
        <v>38.047105052033324</v>
      </c>
      <c r="BG60" s="4">
        <f t="shared" si="32"/>
        <v>46.953406245895842</v>
      </c>
      <c r="BH60" s="4">
        <f t="shared" si="32"/>
        <v>28.849237063252076</v>
      </c>
      <c r="BI60" s="4">
        <f t="shared" si="32"/>
        <v>42.310454753125008</v>
      </c>
      <c r="BJ60" s="4">
        <f t="shared" si="32"/>
        <v>75.584285618620825</v>
      </c>
      <c r="BK60" s="4">
        <f t="shared" si="32"/>
        <v>72.737960872837519</v>
      </c>
      <c r="BL60" s="4">
        <f t="shared" si="32"/>
        <v>57.353649875497901</v>
      </c>
      <c r="BM60" s="4">
        <f t="shared" si="32"/>
        <v>50.353773584902093</v>
      </c>
      <c r="BN60" s="4">
        <f t="shared" si="32"/>
        <v>60.739802290087482</v>
      </c>
      <c r="BO60" s="4">
        <f t="shared" si="32"/>
        <v>43.407805875958331</v>
      </c>
      <c r="BP60" s="4">
        <f t="shared" si="32"/>
        <v>32.925850442841657</v>
      </c>
      <c r="BQ60" s="4">
        <f t="shared" si="32"/>
        <v>18.300953343425004</v>
      </c>
      <c r="BR60" s="4">
        <f t="shared" ref="BR60:CW60" si="33">AVERAGE(BR6:BR55)</f>
        <v>26.150058682429162</v>
      </c>
      <c r="BS60" s="4">
        <f t="shared" si="33"/>
        <v>23.292413211479175</v>
      </c>
      <c r="BT60" s="4">
        <f t="shared" si="33"/>
        <v>22.207691423320824</v>
      </c>
      <c r="BU60" s="4">
        <f t="shared" si="33"/>
        <v>51.208873717408324</v>
      </c>
      <c r="BV60" s="4">
        <f t="shared" si="33"/>
        <v>54.285092098966679</v>
      </c>
      <c r="BW60" s="4">
        <f t="shared" si="33"/>
        <v>52.308121141633336</v>
      </c>
      <c r="BX60" s="4">
        <f t="shared" si="33"/>
        <v>40.796913521293746</v>
      </c>
      <c r="BY60" s="4">
        <f t="shared" si="33"/>
        <v>47.632209066529164</v>
      </c>
      <c r="BZ60" s="4">
        <f t="shared" si="33"/>
        <v>26.274388078742703</v>
      </c>
      <c r="CA60" s="4">
        <f t="shared" si="33"/>
        <v>45.704762204595845</v>
      </c>
      <c r="CB60" s="4">
        <f t="shared" si="33"/>
        <v>5.7598865701645821</v>
      </c>
      <c r="CC60" s="4">
        <f t="shared" si="33"/>
        <v>39.617504574116658</v>
      </c>
      <c r="CD60" s="4">
        <f t="shared" si="33"/>
        <v>46.190983843544451</v>
      </c>
      <c r="CE60" s="4">
        <f t="shared" si="33"/>
        <v>58.125917541252079</v>
      </c>
      <c r="CF60" s="4">
        <f t="shared" si="33"/>
        <v>23.490373829829167</v>
      </c>
      <c r="CG60" s="4">
        <f t="shared" si="33"/>
        <v>29.232423383732648</v>
      </c>
      <c r="CH60" s="4">
        <f t="shared" si="33"/>
        <v>12.322031809328474</v>
      </c>
      <c r="CI60" s="4">
        <f t="shared" si="33"/>
        <v>18.340177124954693</v>
      </c>
      <c r="CJ60" s="4">
        <f t="shared" si="33"/>
        <v>37.69071435062498</v>
      </c>
      <c r="CK60" s="4">
        <f t="shared" si="33"/>
        <v>26.07904062803264</v>
      </c>
      <c r="CL60" s="4">
        <f t="shared" si="33"/>
        <v>32.724103665432274</v>
      </c>
      <c r="CM60" s="4">
        <f t="shared" si="33"/>
        <v>16.57019135299479</v>
      </c>
      <c r="CN60" s="4">
        <f t="shared" si="33"/>
        <v>69.222468609265249</v>
      </c>
      <c r="CO60" s="4">
        <f t="shared" si="33"/>
        <v>58.568115608911448</v>
      </c>
      <c r="CP60" s="4">
        <f t="shared" si="33"/>
        <v>91.761076402740628</v>
      </c>
      <c r="CQ60" s="4">
        <f t="shared" si="33"/>
        <v>65.333772113472207</v>
      </c>
      <c r="CR60" s="4">
        <f t="shared" si="33"/>
        <v>46.641662607164072</v>
      </c>
      <c r="CS60" s="4">
        <f t="shared" si="33"/>
        <v>39.371032687424311</v>
      </c>
      <c r="CT60" s="4">
        <f t="shared" si="33"/>
        <v>68.558632122318741</v>
      </c>
      <c r="CU60" s="4">
        <f t="shared" si="33"/>
        <v>51.500460583649321</v>
      </c>
      <c r="CV60" s="4">
        <f t="shared" si="33"/>
        <v>25.613401893133332</v>
      </c>
      <c r="CW60" s="4">
        <f t="shared" si="33"/>
        <v>24.721235946954177</v>
      </c>
      <c r="CX60" s="4">
        <f t="shared" ref="CX60:DF60" si="34">AVERAGE(CX6:CX55)</f>
        <v>42.567219079898614</v>
      </c>
      <c r="CY60" s="4">
        <f t="shared" si="34"/>
        <v>46.912414576485418</v>
      </c>
      <c r="CZ60" s="4">
        <f t="shared" si="34"/>
        <v>221.67344281241628</v>
      </c>
      <c r="DA60" s="4">
        <f t="shared" si="34"/>
        <v>65.044829022890283</v>
      </c>
      <c r="DB60" s="4">
        <f t="shared" si="34"/>
        <v>131.4042271220394</v>
      </c>
      <c r="DC60" s="4">
        <f t="shared" si="34"/>
        <v>331.52709534155366</v>
      </c>
      <c r="DD60" s="4">
        <f t="shared" si="34"/>
        <v>159.43012539339239</v>
      </c>
      <c r="DE60" s="4">
        <f t="shared" si="34"/>
        <v>139.81427149647149</v>
      </c>
      <c r="DF60" s="76">
        <f t="shared" si="34"/>
        <v>1048.8939911887635</v>
      </c>
    </row>
    <row r="61" spans="1:110">
      <c r="C61"/>
      <c r="D61" s="66" t="s">
        <v>610</v>
      </c>
      <c r="E61" s="77">
        <f t="shared" ref="E61:AK61" si="35">_xlfn.STDEV.P(E6:E55)</f>
        <v>22.727303336336899</v>
      </c>
      <c r="F61" s="77">
        <f t="shared" si="35"/>
        <v>19.870268491001177</v>
      </c>
      <c r="G61" s="77">
        <f t="shared" ref="G61" si="36">_xlfn.STDEV.P(G6:G55)</f>
        <v>14.293382188659912</v>
      </c>
      <c r="H61" s="77">
        <f t="shared" si="35"/>
        <v>23.896267164475091</v>
      </c>
      <c r="I61" s="77">
        <f t="shared" si="35"/>
        <v>23.815341474148216</v>
      </c>
      <c r="J61" s="77">
        <f t="shared" si="35"/>
        <v>18.826921474815538</v>
      </c>
      <c r="K61" s="77">
        <f t="shared" si="35"/>
        <v>27.671959484461183</v>
      </c>
      <c r="L61" s="77">
        <f t="shared" si="35"/>
        <v>14.401384218604404</v>
      </c>
      <c r="M61" s="77">
        <f t="shared" si="35"/>
        <v>15.613028401582785</v>
      </c>
      <c r="N61" s="77">
        <f t="shared" si="35"/>
        <v>21.68301404919637</v>
      </c>
      <c r="O61" s="77">
        <f t="shared" si="35"/>
        <v>22.209082493726893</v>
      </c>
      <c r="P61" s="77">
        <f t="shared" si="35"/>
        <v>28.530103610136354</v>
      </c>
      <c r="Q61" s="77">
        <f t="shared" si="35"/>
        <v>28.652897643321722</v>
      </c>
      <c r="R61" s="77">
        <f t="shared" si="35"/>
        <v>24.725539514510899</v>
      </c>
      <c r="S61" s="77">
        <f t="shared" si="35"/>
        <v>21.742609131284944</v>
      </c>
      <c r="T61" s="77">
        <f t="shared" si="35"/>
        <v>22.747425039533926</v>
      </c>
      <c r="U61" s="77">
        <f t="shared" si="35"/>
        <v>23.658355665012508</v>
      </c>
      <c r="V61" s="77">
        <f t="shared" si="35"/>
        <v>26.612734014266405</v>
      </c>
      <c r="W61" s="77">
        <f t="shared" si="35"/>
        <v>19.349764773608001</v>
      </c>
      <c r="X61" s="77">
        <f t="shared" si="35"/>
        <v>16.686556617207586</v>
      </c>
      <c r="Y61" s="77">
        <f t="shared" si="35"/>
        <v>21.814507058538574</v>
      </c>
      <c r="Z61" s="77">
        <f t="shared" si="35"/>
        <v>21.317837910072448</v>
      </c>
      <c r="AA61" s="77">
        <f t="shared" si="35"/>
        <v>20.719318772796505</v>
      </c>
      <c r="AB61" s="77">
        <f t="shared" si="35"/>
        <v>18.832383763105106</v>
      </c>
      <c r="AC61" s="77">
        <f t="shared" si="35"/>
        <v>22.581841273398187</v>
      </c>
      <c r="AD61" s="77">
        <f t="shared" si="35"/>
        <v>19.137533153613276</v>
      </c>
      <c r="AE61" s="77">
        <f t="shared" si="35"/>
        <v>21.480414143811945</v>
      </c>
      <c r="AF61" s="77">
        <f t="shared" si="35"/>
        <v>15.764932274305442</v>
      </c>
      <c r="AG61" s="77">
        <f t="shared" si="35"/>
        <v>21.222459915863229</v>
      </c>
      <c r="AH61" s="77">
        <f t="shared" si="35"/>
        <v>25.784282502217813</v>
      </c>
      <c r="AI61" s="77">
        <f t="shared" si="35"/>
        <v>20.956269236534933</v>
      </c>
      <c r="AJ61" s="77">
        <f t="shared" si="35"/>
        <v>23.840746618268088</v>
      </c>
      <c r="AK61" s="77">
        <f t="shared" si="35"/>
        <v>23.034604458649564</v>
      </c>
      <c r="AL61" s="77">
        <f t="shared" ref="AL61:BQ61" si="37">_xlfn.STDEV.P(AL6:AL55)</f>
        <v>23.973822224392784</v>
      </c>
      <c r="AM61" s="77">
        <f t="shared" si="37"/>
        <v>23.064577847058423</v>
      </c>
      <c r="AN61" s="77">
        <f t="shared" si="37"/>
        <v>23.477239672090437</v>
      </c>
      <c r="AO61" s="77">
        <f t="shared" si="37"/>
        <v>22.258551021379127</v>
      </c>
      <c r="AP61" s="77">
        <f t="shared" si="37"/>
        <v>18.979245878832913</v>
      </c>
      <c r="AQ61" s="77">
        <f t="shared" si="37"/>
        <v>19.969635412516016</v>
      </c>
      <c r="AR61" s="77">
        <f t="shared" si="37"/>
        <v>23.963353202254556</v>
      </c>
      <c r="AS61" s="77">
        <f t="shared" si="37"/>
        <v>15.532042796483143</v>
      </c>
      <c r="AT61" s="77">
        <f t="shared" si="37"/>
        <v>20.711991742681217</v>
      </c>
      <c r="AU61" s="77">
        <f t="shared" si="37"/>
        <v>25.929282241937603</v>
      </c>
      <c r="AV61" s="77">
        <f t="shared" si="37"/>
        <v>24.88767885538967</v>
      </c>
      <c r="AW61" s="77">
        <f t="shared" si="37"/>
        <v>20.820882999922386</v>
      </c>
      <c r="AX61" s="77">
        <f t="shared" si="37"/>
        <v>19.941344289129649</v>
      </c>
      <c r="AY61" s="77">
        <f t="shared" si="37"/>
        <v>14.360587778433823</v>
      </c>
      <c r="AZ61" s="77">
        <f t="shared" si="37"/>
        <v>20.918756463718385</v>
      </c>
      <c r="BA61" s="77">
        <f t="shared" si="37"/>
        <v>25.932440762883893</v>
      </c>
      <c r="BB61" s="77">
        <f t="shared" si="37"/>
        <v>26.340782395259513</v>
      </c>
      <c r="BC61" s="77">
        <f t="shared" si="37"/>
        <v>24.703937657651771</v>
      </c>
      <c r="BD61" s="77">
        <f t="shared" si="37"/>
        <v>27.43245793395479</v>
      </c>
      <c r="BE61" s="77">
        <f t="shared" si="37"/>
        <v>22.088105361923684</v>
      </c>
      <c r="BF61" s="77">
        <f t="shared" si="37"/>
        <v>22.655979467619527</v>
      </c>
      <c r="BG61" s="77">
        <f t="shared" si="37"/>
        <v>22.379011529370008</v>
      </c>
      <c r="BH61" s="77">
        <f t="shared" si="37"/>
        <v>24.513096391294319</v>
      </c>
      <c r="BI61" s="77">
        <f t="shared" si="37"/>
        <v>22.915772393169206</v>
      </c>
      <c r="BJ61" s="77">
        <f t="shared" si="37"/>
        <v>20.846332138819356</v>
      </c>
      <c r="BK61" s="77">
        <f t="shared" si="37"/>
        <v>23.292725129564602</v>
      </c>
      <c r="BL61" s="77">
        <f t="shared" si="37"/>
        <v>19.978413304674095</v>
      </c>
      <c r="BM61" s="77">
        <f t="shared" si="37"/>
        <v>26.510673317458803</v>
      </c>
      <c r="BN61" s="77">
        <f t="shared" si="37"/>
        <v>23.132131013157142</v>
      </c>
      <c r="BO61" s="77">
        <f t="shared" si="37"/>
        <v>25.073318005017612</v>
      </c>
      <c r="BP61" s="77">
        <f t="shared" si="37"/>
        <v>23.357677767684574</v>
      </c>
      <c r="BQ61" s="77">
        <f t="shared" si="37"/>
        <v>22.273796631526341</v>
      </c>
      <c r="BR61" s="77">
        <f t="shared" ref="BR61:CW61" si="38">_xlfn.STDEV.P(BR6:BR55)</f>
        <v>21.935534794360589</v>
      </c>
      <c r="BS61" s="77">
        <f t="shared" si="38"/>
        <v>18.770711447690331</v>
      </c>
      <c r="BT61" s="77">
        <f t="shared" si="38"/>
        <v>19.479789846332395</v>
      </c>
      <c r="BU61" s="77">
        <f t="shared" si="38"/>
        <v>26.290179538336503</v>
      </c>
      <c r="BV61" s="77">
        <f t="shared" si="38"/>
        <v>27.387135384756036</v>
      </c>
      <c r="BW61" s="77">
        <f t="shared" si="38"/>
        <v>27.992807012543185</v>
      </c>
      <c r="BX61" s="77">
        <f t="shared" si="38"/>
        <v>20.544584806835669</v>
      </c>
      <c r="BY61" s="77">
        <f t="shared" si="38"/>
        <v>20.897884275227518</v>
      </c>
      <c r="BZ61" s="77">
        <f t="shared" si="38"/>
        <v>16.727774766040593</v>
      </c>
      <c r="CA61" s="77">
        <f t="shared" si="38"/>
        <v>17.028733026385353</v>
      </c>
      <c r="CB61" s="77">
        <f t="shared" si="38"/>
        <v>11.606428119445706</v>
      </c>
      <c r="CC61" s="77">
        <f t="shared" si="38"/>
        <v>14.048347835433024</v>
      </c>
      <c r="CD61" s="77">
        <f t="shared" si="38"/>
        <v>22.576977554182086</v>
      </c>
      <c r="CE61" s="77">
        <f t="shared" si="38"/>
        <v>17.189720738256149</v>
      </c>
      <c r="CF61" s="77">
        <f t="shared" si="38"/>
        <v>21.536631973661095</v>
      </c>
      <c r="CG61" s="77">
        <f t="shared" si="38"/>
        <v>13.60539770192738</v>
      </c>
      <c r="CH61" s="77">
        <f t="shared" si="38"/>
        <v>15.318145472849682</v>
      </c>
      <c r="CI61" s="77">
        <f t="shared" si="38"/>
        <v>12.607359348851372</v>
      </c>
      <c r="CJ61" s="77">
        <f t="shared" si="38"/>
        <v>15.590236553506079</v>
      </c>
      <c r="CK61" s="77">
        <f t="shared" si="38"/>
        <v>19.868637938937507</v>
      </c>
      <c r="CL61" s="77">
        <f t="shared" si="38"/>
        <v>17.976383965810044</v>
      </c>
      <c r="CM61" s="77">
        <f t="shared" si="38"/>
        <v>19.207770531967618</v>
      </c>
      <c r="CN61" s="77">
        <f t="shared" si="38"/>
        <v>11.071868079695202</v>
      </c>
      <c r="CO61" s="77">
        <f t="shared" si="38"/>
        <v>20.911370110110397</v>
      </c>
      <c r="CP61" s="77">
        <f t="shared" si="38"/>
        <v>11.766716465675611</v>
      </c>
      <c r="CQ61" s="77">
        <f t="shared" si="38"/>
        <v>18.16634616411724</v>
      </c>
      <c r="CR61" s="77">
        <f t="shared" si="38"/>
        <v>13.595737197447422</v>
      </c>
      <c r="CS61" s="77">
        <f t="shared" si="38"/>
        <v>12.261519236088571</v>
      </c>
      <c r="CT61" s="77">
        <f t="shared" si="38"/>
        <v>12.392421258701612</v>
      </c>
      <c r="CU61" s="77">
        <f t="shared" si="38"/>
        <v>21.094230996738165</v>
      </c>
      <c r="CV61" s="77">
        <f t="shared" si="38"/>
        <v>16.69626372747334</v>
      </c>
      <c r="CW61" s="77">
        <f t="shared" si="38"/>
        <v>20.051495409018269</v>
      </c>
      <c r="CX61" s="77">
        <f t="shared" ref="CX61:DF61" si="39">_xlfn.STDEV.P(CX6:CX55)</f>
        <v>14.767583541096467</v>
      </c>
      <c r="CY61" s="77">
        <f t="shared" si="39"/>
        <v>14.787169212731161</v>
      </c>
      <c r="CZ61" s="77">
        <f t="shared" si="39"/>
        <v>64.043395679153804</v>
      </c>
      <c r="DA61" s="77">
        <f t="shared" si="39"/>
        <v>47.320661573905035</v>
      </c>
      <c r="DB61" s="77">
        <f t="shared" si="39"/>
        <v>64.225751825160714</v>
      </c>
      <c r="DC61" s="77">
        <f t="shared" si="39"/>
        <v>29.454655566086377</v>
      </c>
      <c r="DD61" s="77">
        <f t="shared" si="39"/>
        <v>34.07176382051626</v>
      </c>
      <c r="DE61" s="77">
        <f t="shared" si="39"/>
        <v>38.699697594204942</v>
      </c>
      <c r="DF61" s="78">
        <f t="shared" si="39"/>
        <v>193.36078631950568</v>
      </c>
    </row>
    <row r="63" spans="1:110">
      <c r="D63" s="36" t="s">
        <v>613</v>
      </c>
      <c r="E63" s="54" t="str">
        <f>IFERROR(INDEX(指標マスタ[],MATCH(E$5,指標マスタ['#],0),MATCH("IG#",指標マスタ[#Headers],0))&amp;"","")</f>
        <v>-</v>
      </c>
      <c r="F63" s="54" t="str">
        <f>IFERROR(INDEX(指標マスタ[],MATCH(F$5,指標マスタ['#],0),MATCH("IG#",指標マスタ[#Headers],0))&amp;"","")</f>
        <v>-</v>
      </c>
      <c r="G63" s="54" t="str">
        <f>IFERROR(INDEX(指標マスタ[],MATCH(G$5,指標マスタ['#],0),MATCH("IG#",指標マスタ[#Headers],0))&amp;"","")</f>
        <v>-</v>
      </c>
      <c r="H63" s="135" t="str">
        <f>IFERROR(INDEX(指標マスタ[],MATCH(H$5,指標マスタ['#],0),MATCH("IG#",指標マスタ[#Headers],0))&amp;"","")</f>
        <v>Ec1</v>
      </c>
      <c r="I63" s="135" t="str">
        <f>IFERROR(INDEX(指標マスタ[],MATCH(I$5,指標マスタ['#],0),MATCH("IG#",指標マスタ[#Headers],0))&amp;"","")</f>
        <v>Ec1</v>
      </c>
      <c r="J63" s="135" t="str">
        <f>IFERROR(INDEX(指標マスタ[],MATCH(J$5,指標マスタ['#],0),MATCH("IG#",指標マスタ[#Headers],0))&amp;"","")</f>
        <v>Ec2</v>
      </c>
      <c r="K63" s="135" t="str">
        <f>IFERROR(INDEX(指標マスタ[],MATCH(K$5,指標マスタ['#],0),MATCH("IG#",指標マスタ[#Headers],0))&amp;"","")</f>
        <v>Ec2</v>
      </c>
      <c r="L63" s="135" t="str">
        <f>IFERROR(INDEX(指標マスタ[],MATCH(L$5,指標マスタ['#],0),MATCH("IG#",指標マスタ[#Headers],0))&amp;"","")</f>
        <v>Ec3</v>
      </c>
      <c r="M63" s="135" t="str">
        <f>IFERROR(INDEX(指標マスタ[],MATCH(M$5,指標マスタ['#],0),MATCH("IG#",指標マスタ[#Headers],0))&amp;"","")</f>
        <v>Ec3</v>
      </c>
      <c r="N63" s="135" t="str">
        <f>IFERROR(INDEX(指標マスタ[],MATCH(N$5,指標マスタ['#],0),MATCH("IG#",指標マスタ[#Headers],0))&amp;"","")</f>
        <v>Ec4</v>
      </c>
      <c r="O63" s="135" t="str">
        <f>IFERROR(INDEX(指標マスタ[],MATCH(O$5,指標マスタ['#],0),MATCH("IG#",指標マスタ[#Headers],0))&amp;"","")</f>
        <v>Ec4</v>
      </c>
      <c r="P63" s="135" t="str">
        <f>IFERROR(INDEX(指標マスタ[],MATCH(P$5,指標マスタ['#],0),MATCH("IG#",指標マスタ[#Headers],0))&amp;"","")</f>
        <v>Ec5</v>
      </c>
      <c r="Q63" s="133" t="str">
        <f>IFERROR(INDEX(指標マスタ[],MATCH(Q$5,指標マスタ['#],0),MATCH("IG#",指標マスタ[#Headers],0))&amp;"","")</f>
        <v>Ec5</v>
      </c>
      <c r="R63" s="133" t="str">
        <f>IFERROR(INDEX(指標マスタ[],MATCH(R$5,指標マスタ['#],0),MATCH("IG#",指標マスタ[#Headers],0))&amp;"","")</f>
        <v>Ec5</v>
      </c>
      <c r="S63" s="133" t="str">
        <f>IFERROR(INDEX(指標マスタ[],MATCH(S$5,指標マスタ['#],0),MATCH("IG#",指標マスタ[#Headers],0))&amp;"","")</f>
        <v>Ec6</v>
      </c>
      <c r="T63" s="133" t="str">
        <f>IFERROR(INDEX(指標マスタ[],MATCH(T$5,指標マスタ['#],0),MATCH("IG#",指標マスタ[#Headers],0))&amp;"","")</f>
        <v>Ec6</v>
      </c>
      <c r="U63" s="143" t="str">
        <f>IFERROR(INDEX(指標マスタ[],MATCH(U$5,指標マスタ['#],0),MATCH("IG#",指標マスタ[#Headers],0))&amp;"","")</f>
        <v>RD1</v>
      </c>
      <c r="V63" s="143" t="str">
        <f>IFERROR(INDEX(指標マスタ[],MATCH(V$5,指標マスタ['#],0),MATCH("IG#",指標マスタ[#Headers],0))&amp;"","")</f>
        <v>RD1</v>
      </c>
      <c r="W63" s="143" t="str">
        <f>IFERROR(INDEX(指標マスタ[],MATCH(W$5,指標マスタ['#],0),MATCH("IG#",指標マスタ[#Headers],0))&amp;"","")</f>
        <v>RD2</v>
      </c>
      <c r="X63" s="143" t="str">
        <f>IFERROR(INDEX(指標マスタ[],MATCH(X$5,指標マスタ['#],0),MATCH("IG#",指標マスタ[#Headers],0))&amp;"","")</f>
        <v>RD2</v>
      </c>
      <c r="Y63" s="143" t="str">
        <f>IFERROR(INDEX(指標マスタ[],MATCH(Y$5,指標マスタ['#],0),MATCH("IG#",指標マスタ[#Headers],0))&amp;"","")</f>
        <v>RD2</v>
      </c>
      <c r="Z63" s="143" t="str">
        <f>IFERROR(INDEX(指標マスタ[],MATCH(Z$5,指標マスタ['#],0),MATCH("IG#",指標マスタ[#Headers],0))&amp;"","")</f>
        <v>RD3</v>
      </c>
      <c r="AA63" s="143" t="str">
        <f>IFERROR(INDEX(指標マスタ[],MATCH(AA$5,指標マスタ['#],0),MATCH("IG#",指標マスタ[#Headers],0))&amp;"","")</f>
        <v>RD3</v>
      </c>
      <c r="AB63" s="143" t="str">
        <f>IFERROR(INDEX(指標マスタ[],MATCH(AB$5,指標マスタ['#],0),MATCH("IG#",指標マスタ[#Headers],0))&amp;"","")</f>
        <v>RD3</v>
      </c>
      <c r="AC63" s="151" t="str">
        <f>IFERROR(INDEX(指標マスタ[],MATCH(AC$5,指標マスタ['#],0),MATCH("IG#",指標マスタ[#Headers],0))&amp;"","")</f>
        <v>CI1</v>
      </c>
      <c r="AD63" s="151" t="str">
        <f>IFERROR(INDEX(指標マスタ[],MATCH(AD$5,指標マスタ['#],0),MATCH("IG#",指標マスタ[#Headers],0))&amp;"","")</f>
        <v>CI1</v>
      </c>
      <c r="AE63" s="151" t="str">
        <f>IFERROR(INDEX(指標マスタ[],MATCH(AE$5,指標マスタ['#],0),MATCH("IG#",指標マスタ[#Headers],0))&amp;"","")</f>
        <v>CI1</v>
      </c>
      <c r="AF63" s="151" t="str">
        <f>IFERROR(INDEX(指標マスタ[],MATCH(AF$5,指標マスタ['#],0),MATCH("IG#",指標マスタ[#Headers],0))&amp;"","")</f>
        <v>CI1</v>
      </c>
      <c r="AG63" s="151" t="str">
        <f>IFERROR(INDEX(指標マスタ[],MATCH(AG$5,指標マスタ['#],0),MATCH("IG#",指標マスタ[#Headers],0))&amp;"","")</f>
        <v>CI2</v>
      </c>
      <c r="AH63" s="151" t="str">
        <f>IFERROR(INDEX(指標マスタ[],MATCH(AH$5,指標マスタ['#],0),MATCH("IG#",指標マスタ[#Headers],0))&amp;"","")</f>
        <v>CI2</v>
      </c>
      <c r="AI63" s="151" t="str">
        <f>IFERROR(INDEX(指標マスタ[],MATCH(AI$5,指標マスタ['#],0),MATCH("IG#",指標マスタ[#Headers],0))&amp;"","")</f>
        <v>CI2</v>
      </c>
      <c r="AJ63" s="151" t="str">
        <f>IFERROR(INDEX(指標マスタ[],MATCH(AJ$5,指標マスタ['#],0),MATCH("IG#",指標マスタ[#Headers],0))&amp;"","")</f>
        <v>CI3</v>
      </c>
      <c r="AK63" s="151" t="str">
        <f>IFERROR(INDEX(指標マスタ[],MATCH(AK$5,指標マスタ['#],0),MATCH("IG#",指標マスタ[#Headers],0))&amp;"","")</f>
        <v>CI3</v>
      </c>
      <c r="AL63" s="151" t="str">
        <f>IFERROR(INDEX(指標マスタ[],MATCH(AL$5,指標マスタ['#],0),MATCH("IG#",指標マスタ[#Headers],0))&amp;"","")</f>
        <v>CI3</v>
      </c>
      <c r="AM63" s="151" t="str">
        <f>IFERROR(INDEX(指標マスタ[],MATCH(AM$5,指標マスタ['#],0),MATCH("IG#",指標マスタ[#Headers],0))&amp;"","")</f>
        <v>CI4</v>
      </c>
      <c r="AN63" s="151" t="str">
        <f>IFERROR(INDEX(指標マスタ[],MATCH(AN$5,指標マスタ['#],0),MATCH("IG#",指標マスタ[#Headers],0))&amp;"","")</f>
        <v>CI4</v>
      </c>
      <c r="AO63" s="151" t="str">
        <f>IFERROR(INDEX(指標マスタ[],MATCH(AO$5,指標マスタ['#],0),MATCH("IG#",指標マスタ[#Headers],0))&amp;"","")</f>
        <v>CI4</v>
      </c>
      <c r="AP63" s="151" t="str">
        <f>IFERROR(INDEX(指標マスタ[],MATCH(AP$5,指標マスタ['#],0),MATCH("IG#",指標マスタ[#Headers],0))&amp;"","")</f>
        <v>CI4</v>
      </c>
      <c r="AQ63" s="151" t="str">
        <f>IFERROR(INDEX(指標マスタ[],MATCH(AQ$5,指標マスタ['#],0),MATCH("IG#",指標マスタ[#Headers],0))&amp;"","")</f>
        <v>CI5</v>
      </c>
      <c r="AR63" s="151" t="str">
        <f>IFERROR(INDEX(指標マスタ[],MATCH(AR$5,指標マスタ['#],0),MATCH("IG#",指標マスタ[#Headers],0))&amp;"","")</f>
        <v>CI5</v>
      </c>
      <c r="AS63" s="158" t="str">
        <f>IFERROR(INDEX(指標マスタ[],MATCH(AS$5,指標マスタ['#],0),MATCH("IG#",指標マスタ[#Headers],0))&amp;"","")</f>
        <v>Li1</v>
      </c>
      <c r="AT63" s="158" t="str">
        <f>IFERROR(INDEX(指標マスタ[],MATCH(AT$5,指標マスタ['#],0),MATCH("IG#",指標マスタ[#Headers],0))&amp;"","")</f>
        <v>Li1</v>
      </c>
      <c r="AU63" s="158" t="str">
        <f>IFERROR(INDEX(指標マスタ[],MATCH(AU$5,指標マスタ['#],0),MATCH("IG#",指標マスタ[#Headers],0))&amp;"","")</f>
        <v>Li1</v>
      </c>
      <c r="AV63" s="158" t="str">
        <f>IFERROR(INDEX(指標マスタ[],MATCH(AV$5,指標マスタ['#],0),MATCH("IG#",指標マスタ[#Headers],0))&amp;"","")</f>
        <v>Li2</v>
      </c>
      <c r="AW63" s="158" t="str">
        <f>IFERROR(INDEX(指標マスタ[],MATCH(AW$5,指標マスタ['#],0),MATCH("IG#",指標マスタ[#Headers],0))&amp;"","")</f>
        <v>Li2</v>
      </c>
      <c r="AX63" s="158" t="str">
        <f>IFERROR(INDEX(指標マスタ[],MATCH(AX$5,指標マスタ['#],0),MATCH("IG#",指標マスタ[#Headers],0))&amp;"","")</f>
        <v>Li3</v>
      </c>
      <c r="AY63" s="158" t="str">
        <f>IFERROR(INDEX(指標マスタ[],MATCH(AY$5,指標マスタ['#],0),MATCH("IG#",指標マスタ[#Headers],0))&amp;"","")</f>
        <v>Li3</v>
      </c>
      <c r="AZ63" s="158" t="str">
        <f>IFERROR(INDEX(指標マスタ[],MATCH(AZ$5,指標マスタ['#],0),MATCH("IG#",指標マスタ[#Headers],0))&amp;"","")</f>
        <v>Li4</v>
      </c>
      <c r="BA63" s="158" t="str">
        <f>IFERROR(INDEX(指標マスタ[],MATCH(BA$5,指標マスタ['#],0),MATCH("IG#",指標マスタ[#Headers],0))&amp;"","")</f>
        <v>Li4</v>
      </c>
      <c r="BB63" s="158" t="str">
        <f>IFERROR(INDEX(指標マスタ[],MATCH(BB$5,指標マスタ['#],0),MATCH("IG#",指標マスタ[#Headers],0))&amp;"","")</f>
        <v>Li4</v>
      </c>
      <c r="BC63" s="158" t="str">
        <f>IFERROR(INDEX(指標マスタ[],MATCH(BC$5,指標マスタ['#],0),MATCH("IG#",指標マスタ[#Headers],0))&amp;"","")</f>
        <v>Li5</v>
      </c>
      <c r="BD63" s="158" t="str">
        <f>IFERROR(INDEX(指標マスタ[],MATCH(BD$5,指標マスタ['#],0),MATCH("IG#",指標マスタ[#Headers],0))&amp;"","")</f>
        <v>Li5</v>
      </c>
      <c r="BE63" s="158" t="str">
        <f>IFERROR(INDEX(指標マスタ[],MATCH(BE$5,指標マスタ['#],0),MATCH("IG#",指標マスタ[#Headers],0))&amp;"","")</f>
        <v>Li5</v>
      </c>
      <c r="BF63" s="158" t="str">
        <f>IFERROR(INDEX(指標マスタ[],MATCH(BF$5,指標マスタ['#],0),MATCH("IG#",指標マスタ[#Headers],0))&amp;"","")</f>
        <v>Li5</v>
      </c>
      <c r="BG63" s="166" t="str">
        <f>IFERROR(INDEX(指標マスタ[],MATCH(BG$5,指標マスタ['#],0),MATCH("IG#",指標マスタ[#Headers],0))&amp;"","")</f>
        <v>En1</v>
      </c>
      <c r="BH63" s="166" t="str">
        <f>IFERROR(INDEX(指標マスタ[],MATCH(BH$5,指標マスタ['#],0),MATCH("IG#",指標マスタ[#Headers],0))&amp;"","")</f>
        <v>En1</v>
      </c>
      <c r="BI63" s="166" t="str">
        <f>IFERROR(INDEX(指標マスタ[],MATCH(BI$5,指標マスタ['#],0),MATCH("IG#",指標マスタ[#Headers],0))&amp;"","")</f>
        <v>En1</v>
      </c>
      <c r="BJ63" s="166" t="str">
        <f>IFERROR(INDEX(指標マスタ[],MATCH(BJ$5,指標マスタ['#],0),MATCH("IG#",指標マスタ[#Headers],0))&amp;"","")</f>
        <v>En2</v>
      </c>
      <c r="BK63" s="166" t="str">
        <f>IFERROR(INDEX(指標マスタ[],MATCH(BK$5,指標マスタ['#],0),MATCH("IG#",指標マスタ[#Headers],0))&amp;"","")</f>
        <v>En2</v>
      </c>
      <c r="BL63" s="166" t="str">
        <f>IFERROR(INDEX(指標マスタ[],MATCH(BL$5,指標マスタ['#],0),MATCH("IG#",指標マスタ[#Headers],0))&amp;"","")</f>
        <v>En2</v>
      </c>
      <c r="BM63" s="166" t="str">
        <f>IFERROR(INDEX(指標マスタ[],MATCH(BM$5,指標マスタ['#],0),MATCH("IG#",指標マスタ[#Headers],0))&amp;"","")</f>
        <v>En3</v>
      </c>
      <c r="BN63" s="166" t="str">
        <f>IFERROR(INDEX(指標マスタ[],MATCH(BN$5,指標マスタ['#],0),MATCH("IG#",指標マスタ[#Headers],0))&amp;"","")</f>
        <v>En3</v>
      </c>
      <c r="BO63" s="166" t="str">
        <f>IFERROR(INDEX(指標マスタ[],MATCH(BO$5,指標マスタ['#],0),MATCH("IG#",指標マスタ[#Headers],0))&amp;"","")</f>
        <v>En3</v>
      </c>
      <c r="BP63" s="174" t="str">
        <f>IFERROR(INDEX(指標マスタ[],MATCH(BP$5,指標マスタ['#],0),MATCH("IG#",指標マスタ[#Headers],0))&amp;"","")</f>
        <v>Ac1</v>
      </c>
      <c r="BQ63" s="174" t="str">
        <f>IFERROR(INDEX(指標マスタ[],MATCH(BQ$5,指標マスタ['#],0),MATCH("IG#",指標マスタ[#Headers],0))&amp;"","")</f>
        <v>Ac1</v>
      </c>
      <c r="BR63" s="174" t="str">
        <f>IFERROR(INDEX(指標マスタ[],MATCH(BR$5,指標マスタ['#],0),MATCH("IG#",指標マスタ[#Headers],0))&amp;"","")</f>
        <v>Ac2</v>
      </c>
      <c r="BS63" s="174" t="str">
        <f>IFERROR(INDEX(指標マスタ[],MATCH(BS$5,指標マスタ['#],0),MATCH("IG#",指標マスタ[#Headers],0))&amp;"","")</f>
        <v>Ac2</v>
      </c>
      <c r="BT63" s="174" t="str">
        <f>IFERROR(INDEX(指標マスタ[],MATCH(BT$5,指標マスタ['#],0),MATCH("IG#",指標マスタ[#Headers],0))&amp;"","")</f>
        <v>Ac3</v>
      </c>
      <c r="BU63" s="174" t="str">
        <f>IFERROR(INDEX(指標マスタ[],MATCH(BU$5,指標マスタ['#],0),MATCH("IG#",指標マスタ[#Headers],0))&amp;"","")</f>
        <v>Ac3</v>
      </c>
      <c r="BV63" s="174" t="str">
        <f>IFERROR(INDEX(指標マスタ[],MATCH(BV$5,指標マスタ['#],0),MATCH("IG#",指標マスタ[#Headers],0))&amp;"","")</f>
        <v>Ac3</v>
      </c>
      <c r="BW63" s="174" t="str">
        <f>IFERROR(INDEX(指標マスタ[],MATCH(BW$5,指標マスタ['#],0),MATCH("IG#",指標マスタ[#Headers],0))&amp;"","")</f>
        <v>Ac4</v>
      </c>
      <c r="BX63" s="174" t="str">
        <f>IFERROR(INDEX(指標マスタ[],MATCH(BX$5,指標マスタ['#],0),MATCH("IG#",指標マスタ[#Headers],0))&amp;"","")</f>
        <v>Ac4</v>
      </c>
      <c r="BY63" s="174" t="str">
        <f>IFERROR(INDEX(指標マスタ[],MATCH(BY$5,指標マスタ['#],0),MATCH("IG#",指標マスタ[#Headers],0))&amp;"","")</f>
        <v>Ac4</v>
      </c>
    </row>
    <row r="64" spans="1:110">
      <c r="D64" s="36" t="s">
        <v>280</v>
      </c>
      <c r="BZ64" s="133" t="s">
        <v>614</v>
      </c>
      <c r="CA64" s="133" t="s">
        <v>614</v>
      </c>
      <c r="CB64" s="133" t="s">
        <v>614</v>
      </c>
      <c r="CC64" s="133" t="s">
        <v>614</v>
      </c>
      <c r="CD64" s="133" t="s">
        <v>614</v>
      </c>
      <c r="CE64" s="133" t="s">
        <v>614</v>
      </c>
      <c r="CF64" s="143" t="s">
        <v>442</v>
      </c>
      <c r="CG64" s="143" t="s">
        <v>442</v>
      </c>
      <c r="CH64" s="143" t="s">
        <v>442</v>
      </c>
      <c r="CI64" s="151" t="s">
        <v>7</v>
      </c>
      <c r="CJ64" s="151" t="s">
        <v>7</v>
      </c>
      <c r="CK64" s="151" t="s">
        <v>7</v>
      </c>
      <c r="CL64" s="151" t="s">
        <v>7</v>
      </c>
      <c r="CM64" s="151" t="s">
        <v>7</v>
      </c>
      <c r="CN64" s="158" t="s">
        <v>281</v>
      </c>
      <c r="CO64" s="158" t="s">
        <v>281</v>
      </c>
      <c r="CP64" s="158" t="s">
        <v>281</v>
      </c>
      <c r="CQ64" s="158" t="s">
        <v>281</v>
      </c>
      <c r="CR64" s="158" t="s">
        <v>281</v>
      </c>
      <c r="CS64" s="166" t="s">
        <v>9</v>
      </c>
      <c r="CT64" s="166" t="s">
        <v>9</v>
      </c>
      <c r="CU64" s="166" t="s">
        <v>9</v>
      </c>
      <c r="CV64" s="174" t="s">
        <v>10</v>
      </c>
      <c r="CW64" s="174" t="s">
        <v>10</v>
      </c>
      <c r="CX64" s="174" t="s">
        <v>10</v>
      </c>
      <c r="CY64" s="174" t="s">
        <v>10</v>
      </c>
    </row>
  </sheetData>
  <phoneticPr fontId="5"/>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DF61"/>
  <sheetViews>
    <sheetView showGridLines="0" zoomScaleNormal="100" workbookViewId="0">
      <pane xSplit="4" ySplit="5" topLeftCell="CJ39" activePane="bottomRight" state="frozen"/>
      <selection activeCell="Q11" sqref="Q11"/>
      <selection pane="topRight" activeCell="Q11" sqref="Q11"/>
      <selection pane="bottomLeft" activeCell="Q11" sqref="Q11"/>
      <selection pane="bottomRight" activeCell="CZ6" sqref="CZ6:DF53"/>
    </sheetView>
  </sheetViews>
  <sheetFormatPr defaultColWidth="9.28515625" defaultRowHeight="15.75"/>
  <cols>
    <col min="1" max="1" width="3.28515625" style="2" bestFit="1" customWidth="1"/>
    <col min="2" max="2" width="8.140625" customWidth="1"/>
    <col min="3" max="3" width="3.28515625" style="2" customWidth="1"/>
    <col min="4" max="4" width="16" customWidth="1"/>
    <col min="5" max="110" width="10.7109375" customWidth="1"/>
  </cols>
  <sheetData>
    <row r="1" spans="1:110">
      <c r="H1" t="s">
        <v>229</v>
      </c>
      <c r="I1" s="21"/>
      <c r="J1" s="21"/>
      <c r="BZ1" t="s">
        <v>228</v>
      </c>
      <c r="CZ1" t="s">
        <v>227</v>
      </c>
    </row>
    <row r="2" spans="1:110" ht="15.4" customHeight="1">
      <c r="D2" s="36" t="str">
        <f>IF(JPEN!$C$2="EN",指標!$E$2,指標!$D$2)</f>
        <v>分野</v>
      </c>
      <c r="E2" s="39" t="str">
        <f>IFERROR(INDEX(指標マスタ[],MATCH(E$5,指標マスタ['#],0),MATCH($D2,指標マスタ[#Headers],0))&amp;"","")</f>
        <v>基礎</v>
      </c>
      <c r="F2" s="39" t="str">
        <f>IFERROR(INDEX(指標マスタ[],MATCH(F$5,指標マスタ['#],0),MATCH($D2,指標マスタ[#Headers],0))&amp;"","")</f>
        <v/>
      </c>
      <c r="G2" s="39" t="str">
        <f>IFERROR(INDEX(指標マスタ[],MATCH(G$5,指標マスタ['#],0),MATCH($D2,指標マスタ[#Headers],0))&amp;"","")</f>
        <v/>
      </c>
      <c r="H2" s="183" t="str">
        <f>IFERROR(INDEX(指標マスタ[],MATCH(H$5,指標マスタ['#],0),MATCH($D2,指標マスタ[#Headers],0))&amp;"","")</f>
        <v>経済</v>
      </c>
      <c r="I2" s="183" t="str">
        <f>IFERROR(INDEX(指標マスタ[],MATCH(I$5,指標マスタ['#],0),MATCH($D2,指標マスタ[#Headers],0))&amp;"","")</f>
        <v/>
      </c>
      <c r="J2" s="183" t="str">
        <f>IFERROR(INDEX(指標マスタ[],MATCH(J$5,指標マスタ['#],0),MATCH($D2,指標マスタ[#Headers],0))&amp;"","")</f>
        <v/>
      </c>
      <c r="K2" s="183" t="str">
        <f>IFERROR(INDEX(指標マスタ[],MATCH(K$5,指標マスタ['#],0),MATCH($D2,指標マスタ[#Headers],0))&amp;"","")</f>
        <v/>
      </c>
      <c r="L2" s="183" t="str">
        <f>IFERROR(INDEX(指標マスタ[],MATCH(L$5,指標マスタ['#],0),MATCH($D2,指標マスタ[#Headers],0))&amp;"","")</f>
        <v/>
      </c>
      <c r="M2" s="183" t="str">
        <f>IFERROR(INDEX(指標マスタ[],MATCH(M$5,指標マスタ['#],0),MATCH($D2,指標マスタ[#Headers],0))&amp;"","")</f>
        <v/>
      </c>
      <c r="N2" s="183" t="str">
        <f>IFERROR(INDEX(指標マスタ[],MATCH(N$5,指標マスタ['#],0),MATCH($D2,指標マスタ[#Headers],0))&amp;"","")</f>
        <v/>
      </c>
      <c r="O2" s="183" t="str">
        <f>IFERROR(INDEX(指標マスタ[],MATCH(O$5,指標マスタ['#],0),MATCH($D2,指標マスタ[#Headers],0))&amp;"","")</f>
        <v/>
      </c>
      <c r="P2" s="183" t="str">
        <f>IFERROR(INDEX(指標マスタ[],MATCH(P$5,指標マスタ['#],0),MATCH($D2,指標マスタ[#Headers],0))&amp;"","")</f>
        <v/>
      </c>
      <c r="Q2" s="183" t="str">
        <f>IFERROR(INDEX(指標マスタ[],MATCH(Q$5,指標マスタ['#],0),MATCH($D2,指標マスタ[#Headers],0))&amp;"","")</f>
        <v/>
      </c>
      <c r="R2" s="183" t="str">
        <f>IFERROR(INDEX(指標マスタ[],MATCH(R$5,指標マスタ['#],0),MATCH($D2,指標マスタ[#Headers],0))&amp;"","")</f>
        <v/>
      </c>
      <c r="S2" s="183" t="str">
        <f>IFERROR(INDEX(指標マスタ[],MATCH(S$5,指標マスタ['#],0),MATCH($D2,指標マスタ[#Headers],0))&amp;"","")</f>
        <v/>
      </c>
      <c r="T2" s="183" t="str">
        <f>IFERROR(INDEX(指標マスタ[],MATCH(T$5,指標マスタ['#],0),MATCH($D2,指標マスタ[#Headers],0))&amp;"","")</f>
        <v/>
      </c>
      <c r="U2" s="187" t="str">
        <f>IFERROR(INDEX(指標マスタ[],MATCH(U$5,指標マスタ['#],0),MATCH($D2,指標マスタ[#Headers],0))&amp;"","")</f>
        <v>研究・開発</v>
      </c>
      <c r="V2" s="187" t="str">
        <f>IFERROR(INDEX(指標マスタ[],MATCH(V$5,指標マスタ['#],0),MATCH($D2,指標マスタ[#Headers],0))&amp;"","")</f>
        <v/>
      </c>
      <c r="W2" s="187" t="str">
        <f>IFERROR(INDEX(指標マスタ[],MATCH(W$5,指標マスタ['#],0),MATCH($D2,指標マスタ[#Headers],0))&amp;"","")</f>
        <v/>
      </c>
      <c r="X2" s="187" t="str">
        <f>IFERROR(INDEX(指標マスタ[],MATCH(X$5,指標マスタ['#],0),MATCH($D2,指標マスタ[#Headers],0))&amp;"","")</f>
        <v/>
      </c>
      <c r="Y2" s="187" t="str">
        <f>IFERROR(INDEX(指標マスタ[],MATCH(Y$5,指標マスタ['#],0),MATCH($D2,指標マスタ[#Headers],0))&amp;"","")</f>
        <v/>
      </c>
      <c r="Z2" s="187" t="str">
        <f>IFERROR(INDEX(指標マスタ[],MATCH(Z$5,指標マスタ['#],0),MATCH($D2,指標マスタ[#Headers],0))&amp;"","")</f>
        <v/>
      </c>
      <c r="AA2" s="187" t="str">
        <f>IFERROR(INDEX(指標マスタ[],MATCH(AA$5,指標マスタ['#],0),MATCH($D2,指標マスタ[#Headers],0))&amp;"","")</f>
        <v/>
      </c>
      <c r="AB2" s="187" t="str">
        <f>IFERROR(INDEX(指標マスタ[],MATCH(AB$5,指標マスタ['#],0),MATCH($D2,指標マスタ[#Headers],0))&amp;"","")</f>
        <v/>
      </c>
      <c r="AC2" s="193" t="str">
        <f>IFERROR(INDEX(指標マスタ[],MATCH(AC$5,指標マスタ['#],0),MATCH($D2,指標マスタ[#Headers],0))&amp;"","")</f>
        <v>文化・交流</v>
      </c>
      <c r="AD2" s="193" t="str">
        <f>IFERROR(INDEX(指標マスタ[],MATCH(AD$5,指標マスタ['#],0),MATCH($D2,指標マスタ[#Headers],0))&amp;"","")</f>
        <v/>
      </c>
      <c r="AE2" s="193" t="str">
        <f>IFERROR(INDEX(指標マスタ[],MATCH(AE$5,指標マスタ['#],0),MATCH($D2,指標マスタ[#Headers],0))&amp;"","")</f>
        <v/>
      </c>
      <c r="AF2" s="193" t="str">
        <f>IFERROR(INDEX(指標マスタ[],MATCH(AF$5,指標マスタ['#],0),MATCH($D2,指標マスタ[#Headers],0))&amp;"","")</f>
        <v/>
      </c>
      <c r="AG2" s="193" t="str">
        <f>IFERROR(INDEX(指標マスタ[],MATCH(AG$5,指標マスタ['#],0),MATCH($D2,指標マスタ[#Headers],0))&amp;"","")</f>
        <v/>
      </c>
      <c r="AH2" s="193" t="str">
        <f>IFERROR(INDEX(指標マスタ[],MATCH(AH$5,指標マスタ['#],0),MATCH($D2,指標マスタ[#Headers],0))&amp;"","")</f>
        <v/>
      </c>
      <c r="AI2" s="193" t="str">
        <f>IFERROR(INDEX(指標マスタ[],MATCH(AI$5,指標マスタ['#],0),MATCH($D2,指標マスタ[#Headers],0))&amp;"","")</f>
        <v/>
      </c>
      <c r="AJ2" s="193" t="str">
        <f>IFERROR(INDEX(指標マスタ[],MATCH(AJ$5,指標マスタ['#],0),MATCH($D2,指標マスタ[#Headers],0))&amp;"","")</f>
        <v/>
      </c>
      <c r="AK2" s="193" t="str">
        <f>IFERROR(INDEX(指標マスタ[],MATCH(AK$5,指標マスタ['#],0),MATCH($D2,指標マスタ[#Headers],0))&amp;"","")</f>
        <v/>
      </c>
      <c r="AL2" s="193" t="str">
        <f>IFERROR(INDEX(指標マスタ[],MATCH(AL$5,指標マスタ['#],0),MATCH($D2,指標マスタ[#Headers],0))&amp;"","")</f>
        <v/>
      </c>
      <c r="AM2" s="193" t="str">
        <f>IFERROR(INDEX(指標マスタ[],MATCH(AM$5,指標マスタ['#],0),MATCH($D2,指標マスタ[#Headers],0))&amp;"","")</f>
        <v/>
      </c>
      <c r="AN2" s="193" t="str">
        <f>IFERROR(INDEX(指標マスタ[],MATCH(AN$5,指標マスタ['#],0),MATCH($D2,指標マスタ[#Headers],0))&amp;"","")</f>
        <v/>
      </c>
      <c r="AO2" s="193" t="str">
        <f>IFERROR(INDEX(指標マスタ[],MATCH(AO$5,指標マスタ['#],0),MATCH($D2,指標マスタ[#Headers],0))&amp;"","")</f>
        <v/>
      </c>
      <c r="AP2" s="193" t="str">
        <f>IFERROR(INDEX(指標マスタ[],MATCH(AP$5,指標マスタ['#],0),MATCH($D2,指標マスタ[#Headers],0))&amp;"","")</f>
        <v/>
      </c>
      <c r="AQ2" s="193" t="str">
        <f>IFERROR(INDEX(指標マスタ[],MATCH(AQ$5,指標マスタ['#],0),MATCH($D2,指標マスタ[#Headers],0))&amp;"","")</f>
        <v/>
      </c>
      <c r="AR2" s="193" t="str">
        <f>IFERROR(INDEX(指標マスタ[],MATCH(AR$5,指標マスタ['#],0),MATCH($D2,指標マスタ[#Headers],0))&amp;"","")</f>
        <v/>
      </c>
      <c r="AS2" s="199" t="str">
        <f>IFERROR(INDEX(指標マスタ[],MATCH(AS$5,指標マスタ['#],0),MATCH($D2,指標マスタ[#Headers],0))&amp;"","")</f>
        <v>居住</v>
      </c>
      <c r="AT2" s="199" t="str">
        <f>IFERROR(INDEX(指標マスタ[],MATCH(AT$5,指標マスタ['#],0),MATCH($D2,指標マスタ[#Headers],0))&amp;"","")</f>
        <v/>
      </c>
      <c r="AU2" s="199" t="str">
        <f>IFERROR(INDEX(指標マスタ[],MATCH(AU$5,指標マスタ['#],0),MATCH($D2,指標マスタ[#Headers],0))&amp;"","")</f>
        <v/>
      </c>
      <c r="AV2" s="199" t="str">
        <f>IFERROR(INDEX(指標マスタ[],MATCH(AV$5,指標マスタ['#],0),MATCH($D2,指標マスタ[#Headers],0))&amp;"","")</f>
        <v/>
      </c>
      <c r="AW2" s="199" t="str">
        <f>IFERROR(INDEX(指標マスタ[],MATCH(AW$5,指標マスタ['#],0),MATCH($D2,指標マスタ[#Headers],0))&amp;"","")</f>
        <v/>
      </c>
      <c r="AX2" s="199" t="str">
        <f>IFERROR(INDEX(指標マスタ[],MATCH(AX$5,指標マスタ['#],0),MATCH($D2,指標マスタ[#Headers],0))&amp;"","")</f>
        <v/>
      </c>
      <c r="AY2" s="199" t="str">
        <f>IFERROR(INDEX(指標マスタ[],MATCH(AY$5,指標マスタ['#],0),MATCH($D2,指標マスタ[#Headers],0))&amp;"","")</f>
        <v/>
      </c>
      <c r="AZ2" s="199" t="str">
        <f>IFERROR(INDEX(指標マスタ[],MATCH(AZ$5,指標マスタ['#],0),MATCH($D2,指標マスタ[#Headers],0))&amp;"","")</f>
        <v/>
      </c>
      <c r="BA2" s="199" t="str">
        <f>IFERROR(INDEX(指標マスタ[],MATCH(BA$5,指標マスタ['#],0),MATCH($D2,指標マスタ[#Headers],0))&amp;"","")</f>
        <v/>
      </c>
      <c r="BB2" s="199" t="str">
        <f>IFERROR(INDEX(指標マスタ[],MATCH(BB$5,指標マスタ['#],0),MATCH($D2,指標マスタ[#Headers],0))&amp;"","")</f>
        <v/>
      </c>
      <c r="BC2" s="199" t="str">
        <f>IFERROR(INDEX(指標マスタ[],MATCH(BC$5,指標マスタ['#],0),MATCH($D2,指標マスタ[#Headers],0))&amp;"","")</f>
        <v/>
      </c>
      <c r="BD2" s="199" t="str">
        <f>IFERROR(INDEX(指標マスタ[],MATCH(BD$5,指標マスタ['#],0),MATCH($D2,指標マスタ[#Headers],0))&amp;"","")</f>
        <v/>
      </c>
      <c r="BE2" s="199" t="str">
        <f>IFERROR(INDEX(指標マスタ[],MATCH(BE$5,指標マスタ['#],0),MATCH($D2,指標マスタ[#Headers],0))&amp;"","")</f>
        <v/>
      </c>
      <c r="BF2" s="199" t="str">
        <f>IFERROR(INDEX(指標マスタ[],MATCH(BF$5,指標マスタ['#],0),MATCH($D2,指標マスタ[#Headers],0))&amp;"","")</f>
        <v/>
      </c>
      <c r="BG2" s="204" t="str">
        <f>IFERROR(INDEX(指標マスタ[],MATCH(BG$5,指標マスタ['#],0),MATCH($D2,指標マスタ[#Headers],0))&amp;"","")</f>
        <v>環境</v>
      </c>
      <c r="BH2" s="204" t="str">
        <f>IFERROR(INDEX(指標マスタ[],MATCH(BH$5,指標マスタ['#],0),MATCH($D2,指標マスタ[#Headers],0))&amp;"","")</f>
        <v/>
      </c>
      <c r="BI2" s="204" t="str">
        <f>IFERROR(INDEX(指標マスタ[],MATCH(BI$5,指標マスタ['#],0),MATCH($D2,指標マスタ[#Headers],0))&amp;"","")</f>
        <v/>
      </c>
      <c r="BJ2" s="204" t="str">
        <f>IFERROR(INDEX(指標マスタ[],MATCH(BJ$5,指標マスタ['#],0),MATCH($D2,指標マスタ[#Headers],0))&amp;"","")</f>
        <v/>
      </c>
      <c r="BK2" s="204" t="str">
        <f>IFERROR(INDEX(指標マスタ[],MATCH(BK$5,指標マスタ['#],0),MATCH($D2,指標マスタ[#Headers],0))&amp;"","")</f>
        <v/>
      </c>
      <c r="BL2" s="204" t="str">
        <f>IFERROR(INDEX(指標マスタ[],MATCH(BL$5,指標マスタ['#],0),MATCH($D2,指標マスタ[#Headers],0))&amp;"","")</f>
        <v/>
      </c>
      <c r="BM2" s="204" t="str">
        <f>IFERROR(INDEX(指標マスタ[],MATCH(BM$5,指標マスタ['#],0),MATCH($D2,指標マスタ[#Headers],0))&amp;"","")</f>
        <v/>
      </c>
      <c r="BN2" s="204" t="str">
        <f>IFERROR(INDEX(指標マスタ[],MATCH(BN$5,指標マスタ['#],0),MATCH($D2,指標マスタ[#Headers],0))&amp;"","")</f>
        <v/>
      </c>
      <c r="BO2" s="204" t="str">
        <f>IFERROR(INDEX(指標マスタ[],MATCH(BO$5,指標マスタ['#],0),MATCH($D2,指標マスタ[#Headers],0))&amp;"","")</f>
        <v/>
      </c>
      <c r="BP2" s="209" t="str">
        <f>IFERROR(INDEX(指標マスタ[],MATCH(BP$5,指標マスタ['#],0),MATCH($D2,指標マスタ[#Headers],0))&amp;"","")</f>
        <v>交通・アクセス</v>
      </c>
      <c r="BQ2" s="209" t="str">
        <f>IFERROR(INDEX(指標マスタ[],MATCH(BQ$5,指標マスタ['#],0),MATCH($D2,指標マスタ[#Headers],0))&amp;"","")</f>
        <v/>
      </c>
      <c r="BR2" s="209" t="str">
        <f>IFERROR(INDEX(指標マスタ[],MATCH(BR$5,指標マスタ['#],0),MATCH($D2,指標マスタ[#Headers],0))&amp;"","")</f>
        <v/>
      </c>
      <c r="BS2" s="209" t="str">
        <f>IFERROR(INDEX(指標マスタ[],MATCH(BS$5,指標マスタ['#],0),MATCH($D2,指標マスタ[#Headers],0))&amp;"","")</f>
        <v/>
      </c>
      <c r="BT2" s="209" t="str">
        <f>IFERROR(INDEX(指標マスタ[],MATCH(BT$5,指標マスタ['#],0),MATCH($D2,指標マスタ[#Headers],0))&amp;"","")</f>
        <v/>
      </c>
      <c r="BU2" s="209" t="str">
        <f>IFERROR(INDEX(指標マスタ[],MATCH(BU$5,指標マスタ['#],0),MATCH($D2,指標マスタ[#Headers],0))&amp;"","")</f>
        <v/>
      </c>
      <c r="BV2" s="209" t="str">
        <f>IFERROR(INDEX(指標マスタ[],MATCH(BV$5,指標マスタ['#],0),MATCH($D2,指標マスタ[#Headers],0))&amp;"","")</f>
        <v/>
      </c>
      <c r="BW2" s="209" t="str">
        <f>IFERROR(INDEX(指標マスタ[],MATCH(BW$5,指標マスタ['#],0),MATCH($D2,指標マスタ[#Headers],0))&amp;"","")</f>
        <v/>
      </c>
      <c r="BX2" s="209" t="str">
        <f>IFERROR(INDEX(指標マスタ[],MATCH(BX$5,指標マスタ['#],0),MATCH($D2,指標マスタ[#Headers],0))&amp;"","")</f>
        <v/>
      </c>
      <c r="BY2" s="209" t="str">
        <f>IFERROR(INDEX(指標マスタ[],MATCH(BY$5,指標マスタ['#],0),MATCH($D2,指標マスタ[#Headers],0))&amp;"","")</f>
        <v/>
      </c>
      <c r="BZ2" s="183" t="str">
        <f>IFERROR(INDEX(指標マスタ[],MATCH(BZ$5,指標マスタ[IG'#],0),MATCH($D2,指標マスタ[#Headers],0))&amp;"","")</f>
        <v>経済</v>
      </c>
      <c r="CA2" s="183" t="str">
        <f>IFERROR(INDEX(指標マスタ[],MATCH(CA$5,指標マスタ[IG'#],0),MATCH($D2,指標マスタ[#Headers],0))&amp;"","")</f>
        <v/>
      </c>
      <c r="CB2" s="183" t="str">
        <f>IFERROR(INDEX(指標マスタ[],MATCH(CB$5,指標マスタ[IG'#],0),MATCH($D2,指標マスタ[#Headers],0))&amp;"","")</f>
        <v/>
      </c>
      <c r="CC2" s="183" t="str">
        <f>IFERROR(INDEX(指標マスタ[],MATCH(CC$5,指標マスタ[IG'#],0),MATCH($D2,指標マスタ[#Headers],0))&amp;"","")</f>
        <v/>
      </c>
      <c r="CD2" s="183" t="str">
        <f>IFERROR(INDEX(指標マスタ[],MATCH(CD$5,指標マスタ[IG'#],0),MATCH($D2,指標マスタ[#Headers],0))&amp;"","")</f>
        <v/>
      </c>
      <c r="CE2" s="183" t="str">
        <f>IFERROR(INDEX(指標マスタ[],MATCH(CE$5,指標マスタ[IG'#],0),MATCH($D2,指標マスタ[#Headers],0))&amp;"","")</f>
        <v/>
      </c>
      <c r="CF2" s="187" t="str">
        <f>IFERROR(INDEX(指標マスタ[],MATCH(CF$5,指標マスタ[IG'#],0),MATCH($D2,指標マスタ[#Headers],0))&amp;"","")</f>
        <v>研究・開発</v>
      </c>
      <c r="CG2" s="187" t="str">
        <f>IFERROR(INDEX(指標マスタ[],MATCH(CG$5,指標マスタ[IG'#],0),MATCH($D2,指標マスタ[#Headers],0))&amp;"","")</f>
        <v/>
      </c>
      <c r="CH2" s="187" t="str">
        <f>IFERROR(INDEX(指標マスタ[],MATCH(CH$5,指標マスタ[IG'#],0),MATCH($D2,指標マスタ[#Headers],0))&amp;"","")</f>
        <v/>
      </c>
      <c r="CI2" s="193" t="str">
        <f>IFERROR(INDEX(指標マスタ[],MATCH(CI$5,指標マスタ[IG'#],0),MATCH($D2,指標マスタ[#Headers],0))&amp;"","")</f>
        <v>文化・交流</v>
      </c>
      <c r="CJ2" s="193" t="str">
        <f>IFERROR(INDEX(指標マスタ[],MATCH(CJ$5,指標マスタ[IG'#],0),MATCH($D2,指標マスタ[#Headers],0))&amp;"","")</f>
        <v/>
      </c>
      <c r="CK2" s="193" t="str">
        <f>IFERROR(INDEX(指標マスタ[],MATCH(CK$5,指標マスタ[IG'#],0),MATCH($D2,指標マスタ[#Headers],0))&amp;"","")</f>
        <v/>
      </c>
      <c r="CL2" s="193" t="str">
        <f>IFERROR(INDEX(指標マスタ[],MATCH(CL$5,指標マスタ[IG'#],0),MATCH($D2,指標マスタ[#Headers],0))&amp;"","")</f>
        <v/>
      </c>
      <c r="CM2" s="193" t="str">
        <f>IFERROR(INDEX(指標マスタ[],MATCH(CM$5,指標マスタ[IG'#],0),MATCH($D2,指標マスタ[#Headers],0))&amp;"","")</f>
        <v/>
      </c>
      <c r="CN2" s="199" t="str">
        <f>IFERROR(INDEX(指標マスタ[],MATCH(CN$5,指標マスタ[IG'#],0),MATCH($D2,指標マスタ[#Headers],0))&amp;"","")</f>
        <v>居住</v>
      </c>
      <c r="CO2" s="199" t="str">
        <f>IFERROR(INDEX(指標マスタ[],MATCH(CO$5,指標マスタ[IG'#],0),MATCH($D2,指標マスタ[#Headers],0))&amp;"","")</f>
        <v/>
      </c>
      <c r="CP2" s="199" t="str">
        <f>IFERROR(INDEX(指標マスタ[],MATCH(CP$5,指標マスタ[IG'#],0),MATCH($D2,指標マスタ[#Headers],0))&amp;"","")</f>
        <v/>
      </c>
      <c r="CQ2" s="199" t="str">
        <f>IFERROR(INDEX(指標マスタ[],MATCH(CQ$5,指標マスタ[IG'#],0),MATCH($D2,指標マスタ[#Headers],0))&amp;"","")</f>
        <v/>
      </c>
      <c r="CR2" s="199" t="str">
        <f>IFERROR(INDEX(指標マスタ[],MATCH(CR$5,指標マスタ[IG'#],0),MATCH($D2,指標マスタ[#Headers],0))&amp;"","")</f>
        <v/>
      </c>
      <c r="CS2" s="204" t="str">
        <f>IFERROR(INDEX(指標マスタ[],MATCH(CS$5,指標マスタ[IG'#],0),MATCH($D2,指標マスタ[#Headers],0))&amp;"","")</f>
        <v>環境</v>
      </c>
      <c r="CT2" s="204" t="str">
        <f>IFERROR(INDEX(指標マスタ[],MATCH(CT$5,指標マスタ[IG'#],0),MATCH($D2,指標マスタ[#Headers],0))&amp;"","")</f>
        <v/>
      </c>
      <c r="CU2" s="204" t="str">
        <f>IFERROR(INDEX(指標マスタ[],MATCH(CU$5,指標マスタ[IG'#],0),MATCH($D2,指標マスタ[#Headers],0))&amp;"","")</f>
        <v/>
      </c>
      <c r="CV2" s="209" t="str">
        <f>IFERROR(INDEX(指標マスタ[],MATCH(CV$5,指標マスタ[IG'#],0),MATCH($D2,指標マスタ[#Headers],0))&amp;"","")</f>
        <v>交通・アクセス</v>
      </c>
      <c r="CW2" s="209" t="str">
        <f>IFERROR(INDEX(指標マスタ[],MATCH(CW$5,指標マスタ[IG'#],0),MATCH($D2,指標マスタ[#Headers],0))&amp;"","")</f>
        <v/>
      </c>
      <c r="CX2" s="209" t="str">
        <f>IFERROR(INDEX(指標マスタ[],MATCH(CX$5,指標マスタ[IG'#],0),MATCH($D2,指標マスタ[#Headers],0))&amp;"","")</f>
        <v/>
      </c>
      <c r="CY2" s="209" t="str">
        <f>IFERROR(INDEX(指標マスタ[],MATCH(CY$5,指標マスタ[IG'#],0),MATCH($D2,指標マスタ[#Headers],0))&amp;"","")</f>
        <v/>
      </c>
      <c r="CZ2" s="183" t="str">
        <f>IF(JPEN!$C$2="EN","Economy","経済")</f>
        <v>経済</v>
      </c>
      <c r="DA2" s="187" t="str">
        <f>IF(JPEN!$C$2="EN","R&amp;D","研究・開発")</f>
        <v>研究・開発</v>
      </c>
      <c r="DB2" s="193" t="str">
        <f>IF(JPEN!$C$2="EN","Cultural Interaction","文化・交流")</f>
        <v>文化・交流</v>
      </c>
      <c r="DC2" s="199" t="str">
        <f>IF(JPEN!$C$2="EN","Livability","居住")</f>
        <v>居住</v>
      </c>
      <c r="DD2" s="204" t="str">
        <f>IF(JPEN!$C$2="EN","Environment","環境")</f>
        <v>環境</v>
      </c>
      <c r="DE2" s="209" t="str">
        <f>IF(JPEN!$C$2="EN","Accessibility","交通・アクセス")</f>
        <v>交通・アクセス</v>
      </c>
      <c r="DF2" s="43" t="str">
        <f>IF(JPEN!$C$2="EN","Comprehensive","総合")</f>
        <v>総合</v>
      </c>
    </row>
    <row r="3" spans="1:110" ht="15.4" customHeight="1">
      <c r="D3" s="36" t="str">
        <f>IF(JPEN!$C$2="EN",指標!$G$2,指標!$F$2)</f>
        <v>指標グループ</v>
      </c>
      <c r="E3" s="39" t="str">
        <f>IFERROR(INDEX(指標マスタ[],MATCH(E$5,指標マスタ['#],0),MATCH($D3,指標マスタ[#Headers],0))&amp;"","")</f>
        <v>基礎</v>
      </c>
      <c r="F3" s="39" t="str">
        <f>IFERROR(INDEX(指標マスタ[],MATCH(F$5,指標マスタ['#],0),MATCH($D3,指標マスタ[#Headers],0))&amp;"","")</f>
        <v/>
      </c>
      <c r="G3" s="39" t="str">
        <f>IFERROR(INDEX(指標マスタ[],MATCH(G$5,指標マスタ['#],0),MATCH($D3,指標マスタ[#Headers],0))&amp;"","")</f>
        <v/>
      </c>
      <c r="H3" s="183" t="str">
        <f>IFERROR(INDEX(指標マスタ[],MATCH(H$5,指標マスタ['#],0),MATCH($D3,指標マスタ[#Headers],0))&amp;"","")</f>
        <v>市場の規模</v>
      </c>
      <c r="I3" s="183" t="str">
        <f>IFERROR(INDEX(指標マスタ[],MATCH(I$5,指標マスタ['#],0),MATCH($D3,指標マスタ[#Headers],0))&amp;"","")</f>
        <v/>
      </c>
      <c r="J3" s="183" t="str">
        <f>IFERROR(INDEX(指標マスタ[],MATCH(J$5,指標マスタ['#],0),MATCH($D3,指標マスタ[#Headers],0))&amp;"","")</f>
        <v>市場の魅力</v>
      </c>
      <c r="K3" s="183" t="str">
        <f>IFERROR(INDEX(指標マスタ[],MATCH(K$5,指標マスタ['#],0),MATCH($D3,指標マスタ[#Headers],0))&amp;"","")</f>
        <v/>
      </c>
      <c r="L3" s="183" t="str">
        <f>IFERROR(INDEX(指標マスタ[],MATCH(L$5,指標マスタ['#],0),MATCH($D3,指標マスタ[#Headers],0))&amp;"","")</f>
        <v>経済集積</v>
      </c>
      <c r="M3" s="183" t="str">
        <f>IFERROR(INDEX(指標マスタ[],MATCH(M$5,指標マスタ['#],0),MATCH($D3,指標マスタ[#Headers],0))&amp;"","")</f>
        <v/>
      </c>
      <c r="N3" s="183" t="str">
        <f>IFERROR(INDEX(指標マスタ[],MATCH(N$5,指標マスタ['#],0),MATCH($D3,指標マスタ[#Headers],0))&amp;"","")</f>
        <v>人的集積</v>
      </c>
      <c r="O3" s="183" t="str">
        <f>IFERROR(INDEX(指標マスタ[],MATCH(O$5,指標マスタ['#],0),MATCH($D3,指標マスタ[#Headers],0))&amp;"","")</f>
        <v/>
      </c>
      <c r="P3" s="183" t="str">
        <f>IFERROR(INDEX(指標マスタ[],MATCH(P$5,指標マスタ['#],0),MATCH($D3,指標マスタ[#Headers],0))&amp;"","")</f>
        <v>ビジネス環境</v>
      </c>
      <c r="Q3" s="183" t="str">
        <f>IFERROR(INDEX(指標マスタ[],MATCH(Q$5,指標マスタ['#],0),MATCH($D3,指標マスタ[#Headers],0))&amp;"","")</f>
        <v/>
      </c>
      <c r="R3" s="183" t="str">
        <f>IFERROR(INDEX(指標マスタ[],MATCH(R$5,指標マスタ['#],0),MATCH($D3,指標マスタ[#Headers],0))&amp;"","")</f>
        <v/>
      </c>
      <c r="S3" s="183" t="str">
        <f>IFERROR(INDEX(指標マスタ[],MATCH(S$5,指標マスタ['#],0),MATCH($D3,指標マスタ[#Headers],0))&amp;"","")</f>
        <v>ビジネスの容易性</v>
      </c>
      <c r="T3" s="183" t="str">
        <f>IFERROR(INDEX(指標マスタ[],MATCH(T$5,指標マスタ['#],0),MATCH($D3,指標マスタ[#Headers],0))&amp;"","")</f>
        <v/>
      </c>
      <c r="U3" s="187" t="str">
        <f>IFERROR(INDEX(指標マスタ[],MATCH(U$5,指標マスタ['#],0),MATCH($D3,指標マスタ[#Headers],0))&amp;"","")</f>
        <v>研究集積</v>
      </c>
      <c r="V3" s="187" t="str">
        <f>IFERROR(INDEX(指標マスタ[],MATCH(V$5,指標マスタ['#],0),MATCH($D3,指標マスタ[#Headers],0))&amp;"","")</f>
        <v/>
      </c>
      <c r="W3" s="188" t="str">
        <f>IFERROR(INDEX(指標マスタ[],MATCH(W$5,指標マスタ['#],0),MATCH($D3,指標マスタ[#Headers],0))&amp;"","")</f>
        <v>研究環境</v>
      </c>
      <c r="X3" s="188" t="str">
        <f>IFERROR(INDEX(指標マスタ[],MATCH(X$5,指標マスタ['#],0),MATCH($D3,指標マスタ[#Headers],0))&amp;"","")</f>
        <v/>
      </c>
      <c r="Y3" s="188" t="str">
        <f>IFERROR(INDEX(指標マスタ[],MATCH(Y$5,指標マスタ['#],0),MATCH($D3,指標マスタ[#Headers],0))&amp;"","")</f>
        <v/>
      </c>
      <c r="Z3" s="188" t="str">
        <f>IFERROR(INDEX(指標マスタ[],MATCH(Z$5,指標マスタ['#],0),MATCH($D3,指標マスタ[#Headers],0))&amp;"","")</f>
        <v>イノベーション</v>
      </c>
      <c r="AA3" s="188" t="str">
        <f>IFERROR(INDEX(指標マスタ[],MATCH(AA$5,指標マスタ['#],0),MATCH($D3,指標マスタ[#Headers],0))&amp;"","")</f>
        <v/>
      </c>
      <c r="AB3" s="188" t="str">
        <f>IFERROR(INDEX(指標マスタ[],MATCH(AB$5,指標マスタ['#],0),MATCH($D3,指標マスタ[#Headers],0))&amp;"","")</f>
        <v/>
      </c>
      <c r="AC3" s="195" t="str">
        <f>IFERROR(INDEX(指標マスタ[],MATCH(AC$5,指標マスタ['#],0),MATCH($D3,指標マスタ[#Headers],0))&amp;"","")</f>
        <v>発信力</v>
      </c>
      <c r="AD3" s="293" t="str">
        <f>IFERROR(INDEX(指標マスタ[],MATCH(AD$5,指標マスタ['#],0),MATCH($D3,指標マスタ[#Headers],0))&amp;"","")</f>
        <v/>
      </c>
      <c r="AE3" s="293" t="str">
        <f>IFERROR(INDEX(指標マスタ[],MATCH(AE$5,指標マスタ['#],0),MATCH($D3,指標マスタ[#Headers],0))&amp;"","")</f>
        <v/>
      </c>
      <c r="AF3" s="294" t="str">
        <f>IFERROR(INDEX(指標マスタ[],MATCH(AF$5,指標マスタ['#],0),MATCH($D3,指標マスタ[#Headers],0))&amp;"","")</f>
        <v/>
      </c>
      <c r="AG3" s="295" t="str">
        <f>IFERROR(INDEX(指標マスタ[],MATCH(AG$5,指標マスタ['#],0),MATCH($D3,指標マスタ[#Headers],0))&amp;"","")</f>
        <v>観光資源</v>
      </c>
      <c r="AH3" s="296" t="str">
        <f>IFERROR(INDEX(指標マスタ[],MATCH(AH$5,指標マスタ['#],0),MATCH($D3,指標マスタ[#Headers],0))&amp;"","")</f>
        <v/>
      </c>
      <c r="AI3" s="297" t="str">
        <f>IFERROR(INDEX(指標マスタ[],MATCH(AI$5,指標マスタ['#],0),MATCH($D3,指標マスタ[#Headers],0))&amp;"","")</f>
        <v/>
      </c>
      <c r="AJ3" s="195" t="str">
        <f>IFERROR(INDEX(指標マスタ[],MATCH(AJ$5,指標マスタ['#],0),MATCH($D3,指標マスタ[#Headers],0))&amp;"","")</f>
        <v>文化施設</v>
      </c>
      <c r="AK3" s="293" t="str">
        <f>IFERROR(INDEX(指標マスタ[],MATCH(AK$5,指標マスタ['#],0),MATCH($D3,指標マスタ[#Headers],0))&amp;"","")</f>
        <v/>
      </c>
      <c r="AL3" s="294" t="str">
        <f>IFERROR(INDEX(指標マスタ[],MATCH(AL$5,指標マスタ['#],0),MATCH($D3,指標マスタ[#Headers],0))&amp;"","")</f>
        <v/>
      </c>
      <c r="AM3" s="195" t="str">
        <f>IFERROR(INDEX(指標マスタ[],MATCH(AM$5,指標マスタ['#],0),MATCH($D3,指標マスタ[#Headers],0))&amp;"","")</f>
        <v>受入環境</v>
      </c>
      <c r="AN3" s="293" t="str">
        <f>IFERROR(INDEX(指標マスタ[],MATCH(AN$5,指標マスタ['#],0),MATCH($D3,指標マスタ[#Headers],0))&amp;"","")</f>
        <v/>
      </c>
      <c r="AO3" s="293" t="str">
        <f>IFERROR(INDEX(指標マスタ[],MATCH(AO$5,指標マスタ['#],0),MATCH($D3,指標マスタ[#Headers],0))&amp;"","")</f>
        <v/>
      </c>
      <c r="AP3" s="294" t="str">
        <f>IFERROR(INDEX(指標マスタ[],MATCH(AP$5,指標マスタ['#],0),MATCH($D3,指標マスタ[#Headers],0))&amp;"","")</f>
        <v/>
      </c>
      <c r="AQ3" s="195" t="str">
        <f>IFERROR(INDEX(指標マスタ[],MATCH(AQ$5,指標マスタ['#],0),MATCH($D3,指標マスタ[#Headers],0))&amp;"","")</f>
        <v>外国人受入実績</v>
      </c>
      <c r="AR3" s="294" t="str">
        <f>IFERROR(INDEX(指標マスタ[],MATCH(AR$5,指標マスタ['#],0),MATCH($D3,指標マスタ[#Headers],0))&amp;"","")</f>
        <v/>
      </c>
      <c r="AS3" s="199" t="str">
        <f>IFERROR(INDEX(指標マスタ[],MATCH(AS$5,指標マスタ['#],0),MATCH($D3,指標マスタ[#Headers],0))&amp;"","")</f>
        <v>就業環境</v>
      </c>
      <c r="AT3" s="199" t="str">
        <f>IFERROR(INDEX(指標マスタ[],MATCH(AT$5,指標マスタ['#],0),MATCH($D3,指標マスタ[#Headers],0))&amp;"","")</f>
        <v/>
      </c>
      <c r="AU3" s="199" t="str">
        <f>IFERROR(INDEX(指標マスタ[],MATCH(AU$5,指標マスタ['#],0),MATCH($D3,指標マスタ[#Headers],0))&amp;"","")</f>
        <v/>
      </c>
      <c r="AV3" s="199" t="str">
        <f>IFERROR(INDEX(指標マスタ[],MATCH(AV$5,指標マスタ['#],0),MATCH($D3,指標マスタ[#Headers],0))&amp;"","")</f>
        <v>居住コスト</v>
      </c>
      <c r="AW3" s="199" t="str">
        <f>IFERROR(INDEX(指標マスタ[],MATCH(AW$5,指標マスタ['#],0),MATCH($D3,指標マスタ[#Headers],0))&amp;"","")</f>
        <v/>
      </c>
      <c r="AX3" s="199" t="str">
        <f>IFERROR(INDEX(指標マスタ[],MATCH(AX$5,指標マスタ['#],0),MATCH($D3,指標マスタ[#Headers],0))&amp;"","")</f>
        <v>安全・安心</v>
      </c>
      <c r="AY3" s="199" t="str">
        <f>IFERROR(INDEX(指標マスタ[],MATCH(AY$5,指標マスタ['#],0),MATCH($D3,指標マスタ[#Headers],0))&amp;"","")</f>
        <v/>
      </c>
      <c r="AZ3" s="199" t="str">
        <f>IFERROR(INDEX(指標マスタ[],MATCH(AZ$5,指標マスタ['#],0),MATCH($D3,指標マスタ[#Headers],0))&amp;"","")</f>
        <v>生活良好性</v>
      </c>
      <c r="BA3" s="199" t="str">
        <f>IFERROR(INDEX(指標マスタ[],MATCH(BA$5,指標マスタ['#],0),MATCH($D3,指標マスタ[#Headers],0))&amp;"","")</f>
        <v/>
      </c>
      <c r="BB3" s="199" t="str">
        <f>IFERROR(INDEX(指標マスタ[],MATCH(BB$5,指標マスタ['#],0),MATCH($D3,指標マスタ[#Headers],0))&amp;"","")</f>
        <v/>
      </c>
      <c r="BC3" s="199" t="str">
        <f>IFERROR(INDEX(指標マスタ[],MATCH(BC$5,指標マスタ['#],0),MATCH($D3,指標マスタ[#Headers],0))&amp;"","")</f>
        <v>生活利便性</v>
      </c>
      <c r="BD3" s="199" t="str">
        <f>IFERROR(INDEX(指標マスタ[],MATCH(BD$5,指標マスタ['#],0),MATCH($D3,指標マスタ[#Headers],0))&amp;"","")</f>
        <v/>
      </c>
      <c r="BE3" s="199" t="str">
        <f>IFERROR(INDEX(指標マスタ[],MATCH(BE$5,指標マスタ['#],0),MATCH($D3,指標マスタ[#Headers],0))&amp;"","")</f>
        <v/>
      </c>
      <c r="BF3" s="199" t="str">
        <f>IFERROR(INDEX(指標マスタ[],MATCH(BF$5,指標マスタ['#],0),MATCH($D3,指標マスタ[#Headers],0))&amp;"","")</f>
        <v/>
      </c>
      <c r="BG3" s="204" t="str">
        <f>IFERROR(INDEX(指標マスタ[],MATCH(BG$5,指標マスタ['#],0),MATCH($D3,指標マスタ[#Headers],0))&amp;"","")</f>
        <v>持続可能性</v>
      </c>
      <c r="BH3" s="204" t="str">
        <f>IFERROR(INDEX(指標マスタ[],MATCH(BH$5,指標マスタ['#],0),MATCH($D3,指標マスタ[#Headers],0))&amp;"","")</f>
        <v/>
      </c>
      <c r="BI3" s="204" t="str">
        <f>IFERROR(INDEX(指標マスタ[],MATCH(BI$5,指標マスタ['#],0),MATCH($D3,指標マスタ[#Headers],0))&amp;"","")</f>
        <v/>
      </c>
      <c r="BJ3" s="204" t="str">
        <f>IFERROR(INDEX(指標マスタ[],MATCH(BJ$5,指標マスタ['#],0),MATCH($D3,指標マスタ[#Headers],0))&amp;"","")</f>
        <v>空気環境</v>
      </c>
      <c r="BK3" s="204" t="str">
        <f>IFERROR(INDEX(指標マスタ[],MATCH(BK$5,指標マスタ['#],0),MATCH($D3,指標マスタ[#Headers],0))&amp;"","")</f>
        <v/>
      </c>
      <c r="BL3" s="204" t="str">
        <f>IFERROR(INDEX(指標マスタ[],MATCH(BL$5,指標マスタ['#],0),MATCH($D3,指標マスタ[#Headers],0))&amp;"","")</f>
        <v/>
      </c>
      <c r="BM3" s="204" t="str">
        <f>IFERROR(INDEX(指標マスタ[],MATCH(BM$5,指標マスタ['#],0),MATCH($D3,指標マスタ[#Headers],0))&amp;"","")</f>
        <v>都市環境</v>
      </c>
      <c r="BN3" s="204" t="str">
        <f>IFERROR(INDEX(指標マスタ[],MATCH(BN$5,指標マスタ['#],0),MATCH($D3,指標マスタ[#Headers],0))&amp;"","")</f>
        <v/>
      </c>
      <c r="BO3" s="204" t="str">
        <f>IFERROR(INDEX(指標マスタ[],MATCH(BO$5,指標マスタ['#],0),MATCH($D3,指標マスタ[#Headers],0))&amp;"","")</f>
        <v/>
      </c>
      <c r="BP3" s="209" t="str">
        <f>IFERROR(INDEX(指標マスタ[],MATCH(BP$5,指標マスタ['#],0),MATCH($D3,指標マスタ[#Headers],0))&amp;"","")</f>
        <v>国際ネットワーク</v>
      </c>
      <c r="BQ3" s="209" t="str">
        <f>IFERROR(INDEX(指標マスタ[],MATCH(BQ$5,指標マスタ['#],0),MATCH($D3,指標マスタ[#Headers],0))&amp;"","")</f>
        <v/>
      </c>
      <c r="BR3" s="209" t="str">
        <f>IFERROR(INDEX(指標マスタ[],MATCH(BR$5,指標マスタ['#],0),MATCH($D3,指標マスタ[#Headers],0))&amp;"","")</f>
        <v>航空キャパシティ</v>
      </c>
      <c r="BS3" s="209" t="str">
        <f>IFERROR(INDEX(指標マスタ[],MATCH(BS$5,指標マスタ['#],0),MATCH($D3,指標マスタ[#Headers],0))&amp;"","")</f>
        <v/>
      </c>
      <c r="BT3" s="209" t="str">
        <f>IFERROR(INDEX(指標マスタ[],MATCH(BT$5,指標マスタ['#],0),MATCH($D3,指標マスタ[#Headers],0))&amp;"","")</f>
        <v>都市内交通</v>
      </c>
      <c r="BU3" s="209" t="str">
        <f>IFERROR(INDEX(指標マスタ[],MATCH(BU$5,指標マスタ['#],0),MATCH($D3,指標マスタ[#Headers],0))&amp;"","")</f>
        <v/>
      </c>
      <c r="BV3" s="209" t="str">
        <f>IFERROR(INDEX(指標マスタ[],MATCH(BV$5,指標マスタ['#],0),MATCH($D3,指標マスタ[#Headers],0))&amp;"","")</f>
        <v/>
      </c>
      <c r="BW3" s="209" t="str">
        <f>IFERROR(INDEX(指標マスタ[],MATCH(BW$5,指標マスタ['#],0),MATCH($D3,指標マスタ[#Headers],0))&amp;"","")</f>
        <v>移動の快適性</v>
      </c>
      <c r="BX3" s="209" t="str">
        <f>IFERROR(INDEX(指標マスタ[],MATCH(BX$5,指標マスタ['#],0),MATCH($D3,指標マスタ[#Headers],0))&amp;"","")</f>
        <v/>
      </c>
      <c r="BY3" s="209" t="str">
        <f>IFERROR(INDEX(指標マスタ[],MATCH(BY$5,指標マスタ['#],0),MATCH($D3,指標マスタ[#Headers],0))&amp;"","")</f>
        <v/>
      </c>
      <c r="BZ3" s="183" t="str">
        <f>IFERROR(INDEX(指標マスタ[],MATCH(BZ$5,指標マスタ[IG'#],0),MATCH($D3,指標マスタ[#Headers],0))&amp;"","")</f>
        <v>市場の規模</v>
      </c>
      <c r="CA3" s="183" t="str">
        <f>IFERROR(INDEX(指標マスタ[],MATCH(CA$5,指標マスタ[IG'#],0),MATCH($D3,指標マスタ[#Headers],0))&amp;"","")</f>
        <v>市場の魅力</v>
      </c>
      <c r="CB3" s="183" t="str">
        <f>IFERROR(INDEX(指標マスタ[],MATCH(CB$5,指標マスタ[IG'#],0),MATCH($D3,指標マスタ[#Headers],0))&amp;"","")</f>
        <v>経済集積</v>
      </c>
      <c r="CC3" s="183" t="str">
        <f>IFERROR(INDEX(指標マスタ[],MATCH(CC$5,指標マスタ[IG'#],0),MATCH($D3,指標マスタ[#Headers],0))&amp;"","")</f>
        <v>人的集積</v>
      </c>
      <c r="CD3" s="183" t="str">
        <f>IFERROR(INDEX(指標マスタ[],MATCH(CD$5,指標マスタ[IG'#],0),MATCH($D3,指標マスタ[#Headers],0))&amp;"","")</f>
        <v>ビジネス環境</v>
      </c>
      <c r="CE3" s="183" t="str">
        <f>IFERROR(INDEX(指標マスタ[],MATCH(CE$5,指標マスタ[IG'#],0),MATCH($D3,指標マスタ[#Headers],0))&amp;"","")</f>
        <v>ビジネスの容易性</v>
      </c>
      <c r="CF3" s="187" t="str">
        <f>IFERROR(INDEX(指標マスタ[],MATCH(CF$5,指標マスタ[IG'#],0),MATCH($D3,指標マスタ[#Headers],0))&amp;"","")</f>
        <v>研究集積</v>
      </c>
      <c r="CG3" s="188" t="str">
        <f>IFERROR(INDEX(指標マスタ[],MATCH(CG$5,指標マスタ[IG'#],0),MATCH($D3,指標マスタ[#Headers],0))&amp;"","")</f>
        <v>研究環境</v>
      </c>
      <c r="CH3" s="188" t="str">
        <f>IFERROR(INDEX(指標マスタ[],MATCH(CH$5,指標マスタ[IG'#],0),MATCH($D3,指標マスタ[#Headers],0))&amp;"","")</f>
        <v>イノベーション</v>
      </c>
      <c r="CI3" s="194" t="str">
        <f>IFERROR(INDEX(指標マスタ[],MATCH(CI$5,指標マスタ[IG'#],0),MATCH($D3,指標マスタ[#Headers],0))&amp;"","")</f>
        <v>発信力</v>
      </c>
      <c r="CJ3" s="193" t="str">
        <f>IFERROR(INDEX(指標マスタ[],MATCH(CJ$5,指標マスタ[IG'#],0),MATCH($D3,指標マスタ[#Headers],0))&amp;"","")</f>
        <v>観光資源</v>
      </c>
      <c r="CK3" s="193" t="str">
        <f>IFERROR(INDEX(指標マスタ[],MATCH(CK$5,指標マスタ[IG'#],0),MATCH($D3,指標マスタ[#Headers],0))&amp;"","")</f>
        <v>文化施設</v>
      </c>
      <c r="CL3" s="193" t="str">
        <f>IFERROR(INDEX(指標マスタ[],MATCH(CL$5,指標マスタ[IG'#],0),MATCH($D3,指標マスタ[#Headers],0))&amp;"","")</f>
        <v>受入環境</v>
      </c>
      <c r="CM3" s="194" t="str">
        <f>IFERROR(INDEX(指標マスタ[],MATCH(CM$5,指標マスタ[IG'#],0),MATCH($D3,指標マスタ[#Headers],0))&amp;"","")</f>
        <v>外国人受入実績</v>
      </c>
      <c r="CN3" s="199" t="str">
        <f>IFERROR(INDEX(指標マスタ[],MATCH(CN$5,指標マスタ[IG'#],0),MATCH($D3,指標マスタ[#Headers],0))&amp;"","")</f>
        <v>就業環境</v>
      </c>
      <c r="CO3" s="199" t="str">
        <f>IFERROR(INDEX(指標マスタ[],MATCH(CO$5,指標マスタ[IG'#],0),MATCH($D3,指標マスタ[#Headers],0))&amp;"","")</f>
        <v>居住コスト</v>
      </c>
      <c r="CP3" s="199" t="str">
        <f>IFERROR(INDEX(指標マスタ[],MATCH(CP$5,指標マスタ[IG'#],0),MATCH($D3,指標マスタ[#Headers],0))&amp;"","")</f>
        <v>安全・安心</v>
      </c>
      <c r="CQ3" s="199" t="str">
        <f>IFERROR(INDEX(指標マスタ[],MATCH(CQ$5,指標マスタ[IG'#],0),MATCH($D3,指標マスタ[#Headers],0))&amp;"","")</f>
        <v>生活良好性</v>
      </c>
      <c r="CR3" s="199" t="str">
        <f>IFERROR(INDEX(指標マスタ[],MATCH(CR$5,指標マスタ[IG'#],0),MATCH($D3,指標マスタ[#Headers],0))&amp;"","")</f>
        <v>生活利便性</v>
      </c>
      <c r="CS3" s="204" t="str">
        <f>IFERROR(INDEX(指標マスタ[],MATCH(CS$5,指標マスタ[IG'#],0),MATCH($D3,指標マスタ[#Headers],0))&amp;"","")</f>
        <v>持続可能性</v>
      </c>
      <c r="CT3" s="204" t="str">
        <f>IFERROR(INDEX(指標マスタ[],MATCH(CT$5,指標マスタ[IG'#],0),MATCH($D3,指標マスタ[#Headers],0))&amp;"","")</f>
        <v>空気環境</v>
      </c>
      <c r="CU3" s="204" t="str">
        <f>IFERROR(INDEX(指標マスタ[],MATCH(CU$5,指標マスタ[IG'#],0),MATCH($D3,指標マスタ[#Headers],0))&amp;"","")</f>
        <v>都市環境</v>
      </c>
      <c r="CV3" s="209" t="str">
        <f>IFERROR(INDEX(指標マスタ[],MATCH(CV$5,指標マスタ[IG'#],0),MATCH($D3,指標マスタ[#Headers],0))&amp;"","")</f>
        <v>国際ネットワーク</v>
      </c>
      <c r="CW3" s="209" t="str">
        <f>IFERROR(INDEX(指標マスタ[],MATCH(CW$5,指標マスタ[IG'#],0),MATCH($D3,指標マスタ[#Headers],0))&amp;"","")</f>
        <v>航空キャパシティ</v>
      </c>
      <c r="CX3" s="209" t="str">
        <f>IFERROR(INDEX(指標マスタ[],MATCH(CX$5,指標マスタ[IG'#],0),MATCH($D3,指標マスタ[#Headers],0))&amp;"","")</f>
        <v>都市内交通</v>
      </c>
      <c r="CY3" s="209" t="str">
        <f>IFERROR(INDEX(指標マスタ[],MATCH(CY$5,指標マスタ[IG'#],0),MATCH($D3,指標マスタ[#Headers],0))&amp;"","")</f>
        <v>移動の快適性</v>
      </c>
      <c r="CZ3" s="183"/>
      <c r="DA3" s="187"/>
      <c r="DB3" s="194"/>
      <c r="DC3" s="199"/>
      <c r="DD3" s="204"/>
      <c r="DE3" s="209"/>
      <c r="DF3" s="43"/>
    </row>
    <row r="4" spans="1:110">
      <c r="D4" s="75" t="str">
        <f>IF(JPEN!$C$2="EN",指標!$I$2,指標!$H$2)</f>
        <v>指標</v>
      </c>
      <c r="E4" s="74" t="str">
        <f>IFERROR(INDEX(指標マスタ[],MATCH(E$5,指標マスタ['#],0),MATCH($D4,指標マスタ[#Headers],0))&amp;"","")</f>
        <v>人口</v>
      </c>
      <c r="F4" s="74" t="str">
        <f>IFERROR(INDEX(指標マスタ[],MATCH(F$5,指標マスタ['#],0),MATCH($D4,指標マスタ[#Headers],0))&amp;"","")</f>
        <v>面積</v>
      </c>
      <c r="G4" s="74" t="str">
        <f>IFERROR(INDEX(指標マスタ[],MATCH(G$5,指標マスタ['#],0),MATCH($D4,指標マスタ[#Headers],0))&amp;"","")</f>
        <v>為替</v>
      </c>
      <c r="H4" s="186" t="str">
        <f>IFERROR(INDEX(指標マスタ[],MATCH(H$5,指標マスタ['#],0),MATCH($D4,指標マスタ[#Headers],0))&amp;"","")</f>
        <v>GDP</v>
      </c>
      <c r="I4" s="186" t="str">
        <f>IFERROR(INDEX(指標マスタ[],MATCH(I$5,指標マスタ['#],0),MATCH($D4,指標マスタ[#Headers],0))&amp;"","")</f>
        <v>1人あたりGDP</v>
      </c>
      <c r="J4" s="186" t="str">
        <f>IFERROR(INDEX(指標マスタ[],MATCH(J$5,指標マスタ['#],0),MATCH($D4,指標マスタ[#Headers],0))&amp;"","")</f>
        <v>GDP成長率</v>
      </c>
      <c r="K4" s="186" t="str">
        <f>IFERROR(INDEX(指標マスタ[],MATCH(K$5,指標マスタ['#],0),MATCH($D4,指標マスタ[#Headers],0))&amp;"","")</f>
        <v>経済自由度</v>
      </c>
      <c r="L4" s="186" t="str">
        <f>IFERROR(INDEX(指標マスタ[],MATCH(L$5,指標マスタ['#],0),MATCH($D4,指標マスタ[#Headers],0))&amp;"","")</f>
        <v>上場株式時価総額</v>
      </c>
      <c r="M4" s="186" t="str">
        <f>IFERROR(INDEX(指標マスタ[],MATCH(M$5,指標マスタ['#],0),MATCH($D4,指標マスタ[#Headers],0))&amp;"","")</f>
        <v>世界トップ500企業</v>
      </c>
      <c r="N4" s="186" t="str">
        <f>IFERROR(INDEX(指標マスタ[],MATCH(N$5,指標マスタ['#],0),MATCH($D4,指標マスタ[#Headers],0))&amp;"","")</f>
        <v>従業者数</v>
      </c>
      <c r="O4" s="186" t="str">
        <f>IFERROR(INDEX(指標マスタ[],MATCH(O$5,指標マスタ['#],0),MATCH($D4,指標マスタ[#Headers],0))&amp;"","")</f>
        <v>ビジネスサポート人材の多さ</v>
      </c>
      <c r="P4" s="186" t="str">
        <f>IFERROR(INDEX(指標マスタ[],MATCH(P$5,指標マスタ['#],0),MATCH($D4,指標マスタ[#Headers],0))&amp;"","")</f>
        <v>賃金水準の高さ</v>
      </c>
      <c r="Q4" s="186" t="str">
        <f>IFERROR(INDEX(指標マスタ[],MATCH(Q$5,指標マスタ['#],0),MATCH($D4,指標マスタ[#Headers],0))&amp;"","")</f>
        <v>優秀な人材確保の容易性</v>
      </c>
      <c r="R4" s="186" t="str">
        <f>IFERROR(INDEX(指標マスタ[],MATCH(R$5,指標マスタ['#],0),MATCH($D4,指標マスタ[#Headers],0))&amp;"","")</f>
        <v>ワークプレイス充実度</v>
      </c>
      <c r="S4" s="186" t="str">
        <f>IFERROR(INDEX(指標マスタ[],MATCH(S$5,指標マスタ['#],0),MATCH($D4,指標マスタ[#Headers],0))&amp;"","")</f>
        <v>法人税率の低さ</v>
      </c>
      <c r="T4" s="186" t="str">
        <f>IFERROR(INDEX(指標マスタ[],MATCH(T$5,指標マスタ['#],0),MATCH($D4,指標マスタ[#Headers],0))&amp;"","")</f>
        <v>政治・経済・商機のリスクの低さ</v>
      </c>
      <c r="U4" s="192" t="str">
        <f>IFERROR(INDEX(指標マスタ[],MATCH(U$5,指標マスタ['#],0),MATCH($D4,指標マスタ[#Headers],0))&amp;"","")</f>
        <v>研究者数</v>
      </c>
      <c r="V4" s="192" t="str">
        <f>IFERROR(INDEX(指標マスタ[],MATCH(V$5,指標マスタ['#],0),MATCH($D4,指標マスタ[#Headers],0))&amp;"","")</f>
        <v>世界トップ大学</v>
      </c>
      <c r="W4" s="192" t="str">
        <f>IFERROR(INDEX(指標マスタ[],MATCH(W$5,指標マスタ['#],0),MATCH($D4,指標マスタ[#Headers],0))&amp;"","")</f>
        <v>研究開発費</v>
      </c>
      <c r="X4" s="192" t="str">
        <f>IFERROR(INDEX(指標マスタ[],MATCH(X$5,指標マスタ['#],0),MATCH($D4,指標マスタ[#Headers],0))&amp;"","")</f>
        <v>留学生数</v>
      </c>
      <c r="Y4" s="192" t="str">
        <f>IFERROR(INDEX(指標マスタ[],MATCH(Y$5,指標マスタ['#],0),MATCH($D4,指標マスタ[#Headers],0))&amp;"","")</f>
        <v>学力の高さ</v>
      </c>
      <c r="Z4" s="192" t="str">
        <f>IFERROR(INDEX(指標マスタ[],MATCH(Z$5,指標マスタ['#],0),MATCH($D4,指標マスタ[#Headers],0))&amp;"","")</f>
        <v>特許登録件数</v>
      </c>
      <c r="AA4" s="192" t="str">
        <f>IFERROR(INDEX(指標マスタ[],MATCH(AA$5,指標マスタ['#],0),MATCH($D4,指標マスタ[#Headers],0))&amp;"","")</f>
        <v>主要科学技術賞受賞者数</v>
      </c>
      <c r="AB4" s="192" t="str">
        <f>IFERROR(INDEX(指標マスタ[],MATCH(AB$5,指標マスタ['#],0),MATCH($D4,指標マスタ[#Headers],0))&amp;"","")</f>
        <v>スタートアップ数</v>
      </c>
      <c r="AC4" s="198" t="str">
        <f>IFERROR(INDEX(指標マスタ[],MATCH(AC$5,指標マスタ['#],0),MATCH($D4,指標マスタ[#Headers],0))&amp;"","")</f>
        <v>国際コンベンション件数</v>
      </c>
      <c r="AD4" s="198" t="str">
        <f>IFERROR(INDEX(指標マスタ[],MATCH(AD$5,指標マスタ['#],0),MATCH($D4,指標マスタ[#Headers],0))&amp;"","")</f>
        <v>文化イベント開催件数</v>
      </c>
      <c r="AE4" s="198" t="str">
        <f>IFERROR(INDEX(指標マスタ[],MATCH(AE$5,指標マスタ['#],0),MATCH($D4,指標マスタ[#Headers],0))&amp;"","")</f>
        <v>コンテンツ輸出額</v>
      </c>
      <c r="AF4" s="198" t="str">
        <f>IFERROR(INDEX(指標マスタ[],MATCH(AF$5,指標マスタ['#],0),MATCH($D4,指標マスタ[#Headers],0))&amp;"","")</f>
        <v>アート市場環境</v>
      </c>
      <c r="AG4" s="198" t="str">
        <f>IFERROR(INDEX(指標マスタ[],MATCH(AG$5,指標マスタ['#],0),MATCH($D4,指標マスタ[#Headers],0))&amp;"","")</f>
        <v>観光地の充実度</v>
      </c>
      <c r="AH4" s="198" t="str">
        <f>IFERROR(INDEX(指標マスタ[],MATCH(AH$5,指標マスタ['#],0),MATCH($D4,指標マスタ[#Headers],0))&amp;"","")</f>
        <v>世界遺産への近接性</v>
      </c>
      <c r="AI4" s="198" t="str">
        <f>IFERROR(INDEX(指標マスタ[],MATCH(AI$5,指標マスタ['#],0),MATCH($D4,指標マスタ[#Headers],0))&amp;"","")</f>
        <v>ナイトライフ充実度</v>
      </c>
      <c r="AJ4" s="198" t="str">
        <f>IFERROR(INDEX(指標マスタ[],MATCH(AJ$5,指標マスタ['#],0),MATCH($D4,指標マスタ[#Headers],0))&amp;"","")</f>
        <v>劇場・コンサートホール数</v>
      </c>
      <c r="AK4" s="198" t="str">
        <f>IFERROR(INDEX(指標マスタ[],MATCH(AK$5,指標マスタ['#],0),MATCH($D4,指標マスタ[#Headers],0))&amp;"","")</f>
        <v>美術館・博物館数</v>
      </c>
      <c r="AL4" s="198" t="str">
        <f>IFERROR(INDEX(指標マスタ[],MATCH(AL$5,指標マスタ['#],0),MATCH($D4,指標マスタ[#Headers],0))&amp;"","")</f>
        <v>スタジアム数</v>
      </c>
      <c r="AM4" s="198" t="str">
        <f>IFERROR(INDEX(指標マスタ[],MATCH(AM$5,指標マスタ['#],0),MATCH($D4,指標マスタ[#Headers],0))&amp;"","")</f>
        <v>ホテル客室数</v>
      </c>
      <c r="AN4" s="198" t="str">
        <f>IFERROR(INDEX(指標マスタ[],MATCH(AN$5,指標マスタ['#],0),MATCH($D4,指標マスタ[#Headers],0))&amp;"","")</f>
        <v>ハイクラスホテル客室数</v>
      </c>
      <c r="AO4" s="198" t="str">
        <f>IFERROR(INDEX(指標マスタ[],MATCH(AO$5,指標マスタ['#],0),MATCH($D4,指標マスタ[#Headers],0))&amp;"","")</f>
        <v>買物の魅力</v>
      </c>
      <c r="AP4" s="198" t="str">
        <f>IFERROR(INDEX(指標マスタ[],MATCH(AP$5,指標マスタ['#],0),MATCH($D4,指標マスタ[#Headers],0))&amp;"","")</f>
        <v>食事の魅力</v>
      </c>
      <c r="AQ4" s="198" t="str">
        <f>IFERROR(INDEX(指標マスタ[],MATCH(AQ$5,指標マスタ['#],0),MATCH($D4,指標マスタ[#Headers],0))&amp;"","")</f>
        <v>外国人居住者数</v>
      </c>
      <c r="AR4" s="198" t="str">
        <f>IFERROR(INDEX(指標マスタ[],MATCH(AR$5,指標マスタ['#],0),MATCH($D4,指標マスタ[#Headers],0))&amp;"","")</f>
        <v>外国人訪問者数</v>
      </c>
      <c r="AS4" s="203" t="str">
        <f>IFERROR(INDEX(指標マスタ[],MATCH(AS$5,指標マスタ['#],0),MATCH($D4,指標マスタ[#Headers],0))&amp;"","")</f>
        <v>完全失業率の低さ</v>
      </c>
      <c r="AT4" s="203" t="str">
        <f>IFERROR(INDEX(指標マスタ[],MATCH(AT$5,指標マスタ['#],0),MATCH($D4,指標マスタ[#Headers],0))&amp;"","")</f>
        <v>1人あたりの総労働時間の短さ</v>
      </c>
      <c r="AU4" s="203" t="str">
        <f>IFERROR(INDEX(指標マスタ[],MATCH(AU$5,指標マスタ['#],0),MATCH($D4,指標マスタ[#Headers],0))&amp;"","")</f>
        <v>働き方の柔軟性</v>
      </c>
      <c r="AV4" s="203" t="str">
        <f>IFERROR(INDEX(指標マスタ[],MATCH(AV$5,指標マスタ['#],0),MATCH($D4,指標マスタ[#Headers],0))&amp;"","")</f>
        <v>住宅賃料水準の低さ</v>
      </c>
      <c r="AW4" s="203" t="str">
        <f>IFERROR(INDEX(指標マスタ[],MATCH(AW$5,指標マスタ['#],0),MATCH($D4,指標マスタ[#Headers],0))&amp;"","")</f>
        <v>物価水準の低さ</v>
      </c>
      <c r="AX4" s="203" t="str">
        <f>IFERROR(INDEX(指標マスタ[],MATCH(AX$5,指標マスタ['#],0),MATCH($D4,指標マスタ[#Headers],0))&amp;"","")</f>
        <v>殺人件数の少なさ</v>
      </c>
      <c r="AY4" s="203" t="str">
        <f>IFERROR(INDEX(指標マスタ[],MATCH(AY$5,指標マスタ['#],0),MATCH($D4,指標マスタ[#Headers],0))&amp;"","")</f>
        <v>自然災害の経済的リスクの少なさ</v>
      </c>
      <c r="AZ4" s="203" t="str">
        <f>IFERROR(INDEX(指標マスタ[],MATCH(AZ$5,指標マスタ['#],0),MATCH($D4,指標マスタ[#Headers],0))&amp;"","")</f>
        <v>平均寿命</v>
      </c>
      <c r="BA4" s="203" t="str">
        <f>IFERROR(INDEX(指標マスタ[],MATCH(BA$5,指標マスタ['#],0),MATCH($D4,指標マスタ[#Headers],0))&amp;"","")</f>
        <v>社会の自由度・平等さ</v>
      </c>
      <c r="BB4" s="203" t="str">
        <f>IFERROR(INDEX(指標マスタ[],MATCH(BB$5,指標マスタ['#],0),MATCH($D4,指標マスタ[#Headers],0))&amp;"","")</f>
        <v>メンタルヘルス水準</v>
      </c>
      <c r="BC4" s="203" t="str">
        <f>IFERROR(INDEX(指標マスタ[],MATCH(BC$5,指標マスタ['#],0),MATCH($D4,指標マスタ[#Headers],0))&amp;"","")</f>
        <v>医師数</v>
      </c>
      <c r="BD4" s="203" t="str">
        <f>IFERROR(INDEX(指標マスタ[],MATCH(BD$5,指標マスタ['#],0),MATCH($D4,指標マスタ[#Headers],0))&amp;"","")</f>
        <v>ICT環境の充実度</v>
      </c>
      <c r="BE4" s="203" t="str">
        <f>IFERROR(INDEX(指標マスタ[],MATCH(BE$5,指標マスタ['#],0),MATCH($D4,指標マスタ[#Headers],0))&amp;"","")</f>
        <v>小売店舗の多さ</v>
      </c>
      <c r="BF4" s="203" t="str">
        <f>IFERROR(INDEX(指標マスタ[],MATCH(BF$5,指標マスタ['#],0),MATCH($D4,指標マスタ[#Headers],0))&amp;"","")</f>
        <v>飲食店の多さ</v>
      </c>
      <c r="BG4" s="208" t="str">
        <f>IFERROR(INDEX(指標マスタ[],MATCH(BG$5,指標マスタ['#],0),MATCH($D4,指標マスタ[#Headers],0))&amp;"","")</f>
        <v>環境への取り組み</v>
      </c>
      <c r="BH4" s="208" t="str">
        <f>IFERROR(INDEX(指標マスタ[],MATCH(BH$5,指標マスタ['#],0),MATCH($D4,指標マスタ[#Headers],0))&amp;"","")</f>
        <v>再生可能エネルギー比率</v>
      </c>
      <c r="BI4" s="208" t="str">
        <f>IFERROR(INDEX(指標マスタ[],MATCH(BI$5,指標マスタ['#],0),MATCH($D4,指標マスタ[#Headers],0))&amp;"","")</f>
        <v>リサイクル率</v>
      </c>
      <c r="BJ4" s="208" t="str">
        <f>IFERROR(INDEX(指標マスタ[],MATCH(BJ$5,指標マスタ['#],0),MATCH($D4,指標マスタ[#Headers],0))&amp;"","")</f>
        <v>1人あたりのCO2排出量の少なさ</v>
      </c>
      <c r="BK4" s="208" t="str">
        <f>IFERROR(INDEX(指標マスタ[],MATCH(BK$5,指標マスタ['#],0),MATCH($D4,指標マスタ[#Headers],0))&amp;"","")</f>
        <v>空気のきれいさ</v>
      </c>
      <c r="BL4" s="208" t="str">
        <f>IFERROR(INDEX(指標マスタ[],MATCH(BL$5,指標マスタ['#],0),MATCH($D4,指標マスタ[#Headers],0))&amp;"","")</f>
        <v>気温の快適性</v>
      </c>
      <c r="BM4" s="208" t="str">
        <f>IFERROR(INDEX(指標マスタ[],MATCH(BM$5,指標マスタ['#],0),MATCH($D4,指標マスタ[#Headers],0))&amp;"","")</f>
        <v>水質の良好性</v>
      </c>
      <c r="BN4" s="208" t="str">
        <f>IFERROR(INDEX(指標マスタ[],MATCH(BN$5,指標マスタ['#],0),MATCH($D4,指標マスタ[#Headers],0))&amp;"","")</f>
        <v>緑地の充実度</v>
      </c>
      <c r="BO4" s="208" t="str">
        <f>IFERROR(INDEX(指標マスタ[],MATCH(BO$5,指標マスタ['#],0),MATCH($D4,指標マスタ[#Headers],0))&amp;"","")</f>
        <v>都市空間の清潔さ</v>
      </c>
      <c r="BP4" s="213" t="str">
        <f>IFERROR(INDEX(指標マスタ[],MATCH(BP$5,指標マスタ['#],0),MATCH($D4,指標マスタ[#Headers],0))&amp;"","")</f>
        <v>国際線直行便就航都市数</v>
      </c>
      <c r="BQ4" s="213" t="str">
        <f>IFERROR(INDEX(指標マスタ[],MATCH(BQ$5,指標マスタ['#],0),MATCH($D4,指標マスタ[#Headers],0))&amp;"","")</f>
        <v>国際貨物流通規模</v>
      </c>
      <c r="BR4" s="213" t="str">
        <f>IFERROR(INDEX(指標マスタ[],MATCH(BR$5,指標マスタ['#],0),MATCH($D4,指標マスタ[#Headers],0))&amp;"","")</f>
        <v>国内・国際線旅客数</v>
      </c>
      <c r="BS4" s="213" t="str">
        <f>IFERROR(INDEX(指標マスタ[],MATCH(BS$5,指標マスタ['#],0),MATCH($D4,指標マスタ[#Headers],0))&amp;"","")</f>
        <v>航空機の発着回数</v>
      </c>
      <c r="BT4" s="213" t="str">
        <f>IFERROR(INDEX(指標マスタ[],MATCH(BT$5,指標マスタ['#],0),MATCH($D4,指標マスタ[#Headers],0))&amp;"","")</f>
        <v>駅密度</v>
      </c>
      <c r="BU4" s="213" t="str">
        <f>IFERROR(INDEX(指標マスタ[],MATCH(BU$5,指標マスタ['#],0),MATCH($D4,指標マスタ[#Headers],0))&amp;"","")</f>
        <v>公共交通機関利用率</v>
      </c>
      <c r="BV4" s="213" t="str">
        <f>IFERROR(INDEX(指標マスタ[],MATCH(BV$5,指標マスタ['#],0),MATCH($D4,指標マスタ[#Headers],0))&amp;"","")</f>
        <v>空港アクセス時間の短さ</v>
      </c>
      <c r="BW4" s="213" t="str">
        <f>IFERROR(INDEX(指標マスタ[],MATCH(BW$5,指標マスタ['#],0),MATCH($D4,指標マスタ[#Headers],0))&amp;"","")</f>
        <v>通勤・通学時間の短さ</v>
      </c>
      <c r="BX4" s="213" t="str">
        <f>IFERROR(INDEX(指標マスタ[],MATCH(BX$5,指標マスタ['#],0),MATCH($D4,指標マスタ[#Headers],0))&amp;"","")</f>
        <v>自動車の移動速度</v>
      </c>
      <c r="BY4" s="213" t="str">
        <f>IFERROR(INDEX(指標マスタ[],MATCH(BY$5,指標マスタ['#],0),MATCH($D4,指標マスタ[#Headers],0))&amp;"","")</f>
        <v>タクシー・自転車での移動のしやすさ</v>
      </c>
      <c r="BZ4" s="186"/>
      <c r="CA4" s="186"/>
      <c r="CB4" s="186"/>
      <c r="CC4" s="186"/>
      <c r="CD4" s="186"/>
      <c r="CE4" s="186"/>
      <c r="CF4" s="192"/>
      <c r="CG4" s="192"/>
      <c r="CH4" s="192"/>
      <c r="CI4" s="198"/>
      <c r="CJ4" s="198"/>
      <c r="CK4" s="198"/>
      <c r="CL4" s="198"/>
      <c r="CM4" s="198"/>
      <c r="CN4" s="203"/>
      <c r="CO4" s="203"/>
      <c r="CP4" s="203"/>
      <c r="CQ4" s="203"/>
      <c r="CR4" s="203"/>
      <c r="CS4" s="204"/>
      <c r="CT4" s="204"/>
      <c r="CU4" s="204"/>
      <c r="CV4" s="209"/>
      <c r="CW4" s="209"/>
      <c r="CX4" s="209"/>
      <c r="CY4" s="209"/>
      <c r="CZ4" s="183"/>
      <c r="DA4" s="187"/>
      <c r="DB4" s="193"/>
      <c r="DC4" s="199"/>
      <c r="DD4" s="204"/>
      <c r="DE4" s="209"/>
      <c r="DF4" s="43"/>
    </row>
    <row r="5" spans="1:110" s="2" customFormat="1">
      <c r="B5" s="60" t="s">
        <v>537</v>
      </c>
      <c r="C5" s="51" t="s">
        <v>208</v>
      </c>
      <c r="D5" s="52" t="s">
        <v>210</v>
      </c>
      <c r="E5" s="56" t="s">
        <v>1088</v>
      </c>
      <c r="F5" s="56" t="s">
        <v>1089</v>
      </c>
      <c r="G5" s="56" t="s">
        <v>1090</v>
      </c>
      <c r="H5" s="132" t="s">
        <v>211</v>
      </c>
      <c r="I5" s="132" t="s">
        <v>212</v>
      </c>
      <c r="J5" s="132" t="s">
        <v>213</v>
      </c>
      <c r="K5" s="132" t="s">
        <v>214</v>
      </c>
      <c r="L5" s="132" t="s">
        <v>215</v>
      </c>
      <c r="M5" s="132" t="s">
        <v>216</v>
      </c>
      <c r="N5" s="132" t="s">
        <v>217</v>
      </c>
      <c r="O5" s="132" t="s">
        <v>218</v>
      </c>
      <c r="P5" s="132" t="s">
        <v>219</v>
      </c>
      <c r="Q5" s="134" t="s">
        <v>611</v>
      </c>
      <c r="R5" s="134" t="s">
        <v>547</v>
      </c>
      <c r="S5" s="134" t="s">
        <v>548</v>
      </c>
      <c r="T5" s="134" t="s">
        <v>549</v>
      </c>
      <c r="U5" s="142" t="s">
        <v>550</v>
      </c>
      <c r="V5" s="142" t="s">
        <v>551</v>
      </c>
      <c r="W5" s="142" t="s">
        <v>552</v>
      </c>
      <c r="X5" s="142" t="s">
        <v>553</v>
      </c>
      <c r="Y5" s="142" t="s">
        <v>554</v>
      </c>
      <c r="Z5" s="142" t="s">
        <v>555</v>
      </c>
      <c r="AA5" s="142" t="s">
        <v>556</v>
      </c>
      <c r="AB5" s="142" t="s">
        <v>557</v>
      </c>
      <c r="AC5" s="150" t="s">
        <v>558</v>
      </c>
      <c r="AD5" s="150" t="s">
        <v>559</v>
      </c>
      <c r="AE5" s="150" t="s">
        <v>560</v>
      </c>
      <c r="AF5" s="150" t="s">
        <v>561</v>
      </c>
      <c r="AG5" s="150" t="s">
        <v>562</v>
      </c>
      <c r="AH5" s="150" t="s">
        <v>563</v>
      </c>
      <c r="AI5" s="150" t="s">
        <v>564</v>
      </c>
      <c r="AJ5" s="150" t="s">
        <v>565</v>
      </c>
      <c r="AK5" s="150" t="s">
        <v>566</v>
      </c>
      <c r="AL5" s="150" t="s">
        <v>567</v>
      </c>
      <c r="AM5" s="150" t="s">
        <v>568</v>
      </c>
      <c r="AN5" s="150" t="s">
        <v>569</v>
      </c>
      <c r="AO5" s="150" t="s">
        <v>570</v>
      </c>
      <c r="AP5" s="150" t="s">
        <v>571</v>
      </c>
      <c r="AQ5" s="150" t="s">
        <v>572</v>
      </c>
      <c r="AR5" s="150" t="s">
        <v>573</v>
      </c>
      <c r="AS5" s="157" t="s">
        <v>574</v>
      </c>
      <c r="AT5" s="157" t="s">
        <v>575</v>
      </c>
      <c r="AU5" s="157" t="s">
        <v>576</v>
      </c>
      <c r="AV5" s="157" t="s">
        <v>577</v>
      </c>
      <c r="AW5" s="157" t="s">
        <v>578</v>
      </c>
      <c r="AX5" s="157" t="s">
        <v>579</v>
      </c>
      <c r="AY5" s="157" t="s">
        <v>580</v>
      </c>
      <c r="AZ5" s="157" t="s">
        <v>581</v>
      </c>
      <c r="BA5" s="157" t="s">
        <v>582</v>
      </c>
      <c r="BB5" s="157" t="s">
        <v>583</v>
      </c>
      <c r="BC5" s="157" t="s">
        <v>584</v>
      </c>
      <c r="BD5" s="157" t="s">
        <v>585</v>
      </c>
      <c r="BE5" s="157" t="s">
        <v>586</v>
      </c>
      <c r="BF5" s="157" t="s">
        <v>587</v>
      </c>
      <c r="BG5" s="165" t="s">
        <v>588</v>
      </c>
      <c r="BH5" s="165" t="s">
        <v>589</v>
      </c>
      <c r="BI5" s="165" t="s">
        <v>590</v>
      </c>
      <c r="BJ5" s="165" t="s">
        <v>591</v>
      </c>
      <c r="BK5" s="165" t="s">
        <v>592</v>
      </c>
      <c r="BL5" s="165" t="s">
        <v>593</v>
      </c>
      <c r="BM5" s="165" t="s">
        <v>594</v>
      </c>
      <c r="BN5" s="165" t="s">
        <v>595</v>
      </c>
      <c r="BO5" s="165" t="s">
        <v>596</v>
      </c>
      <c r="BP5" s="173" t="s">
        <v>597</v>
      </c>
      <c r="BQ5" s="173" t="s">
        <v>598</v>
      </c>
      <c r="BR5" s="173" t="s">
        <v>599</v>
      </c>
      <c r="BS5" s="173" t="s">
        <v>600</v>
      </c>
      <c r="BT5" s="173" t="s">
        <v>601</v>
      </c>
      <c r="BU5" s="173" t="s">
        <v>602</v>
      </c>
      <c r="BV5" s="173" t="s">
        <v>603</v>
      </c>
      <c r="BW5" s="173" t="s">
        <v>604</v>
      </c>
      <c r="BX5" s="173" t="s">
        <v>605</v>
      </c>
      <c r="BY5" s="173" t="s">
        <v>606</v>
      </c>
      <c r="BZ5" s="134" t="s">
        <v>254</v>
      </c>
      <c r="CA5" s="134" t="s">
        <v>255</v>
      </c>
      <c r="CB5" s="134" t="s">
        <v>256</v>
      </c>
      <c r="CC5" s="134" t="s">
        <v>257</v>
      </c>
      <c r="CD5" s="134" t="s">
        <v>615</v>
      </c>
      <c r="CE5" s="134" t="s">
        <v>259</v>
      </c>
      <c r="CF5" s="142" t="s">
        <v>260</v>
      </c>
      <c r="CG5" s="142" t="s">
        <v>261</v>
      </c>
      <c r="CH5" s="142" t="s">
        <v>262</v>
      </c>
      <c r="CI5" s="150" t="s">
        <v>263</v>
      </c>
      <c r="CJ5" s="150" t="s">
        <v>264</v>
      </c>
      <c r="CK5" s="150" t="s">
        <v>265</v>
      </c>
      <c r="CL5" s="150" t="s">
        <v>266</v>
      </c>
      <c r="CM5" s="150" t="s">
        <v>267</v>
      </c>
      <c r="CN5" s="157" t="s">
        <v>268</v>
      </c>
      <c r="CO5" s="157" t="s">
        <v>269</v>
      </c>
      <c r="CP5" s="157" t="s">
        <v>270</v>
      </c>
      <c r="CQ5" s="157" t="s">
        <v>271</v>
      </c>
      <c r="CR5" s="157" t="s">
        <v>272</v>
      </c>
      <c r="CS5" s="165" t="s">
        <v>273</v>
      </c>
      <c r="CT5" s="165" t="s">
        <v>274</v>
      </c>
      <c r="CU5" s="165" t="s">
        <v>275</v>
      </c>
      <c r="CV5" s="173" t="s">
        <v>276</v>
      </c>
      <c r="CW5" s="173" t="s">
        <v>277</v>
      </c>
      <c r="CX5" s="173" t="s">
        <v>278</v>
      </c>
      <c r="CY5" s="173" t="s">
        <v>279</v>
      </c>
      <c r="CZ5" s="134" t="s">
        <v>614</v>
      </c>
      <c r="DA5" s="142" t="s">
        <v>442</v>
      </c>
      <c r="DB5" s="150" t="s">
        <v>616</v>
      </c>
      <c r="DC5" s="157" t="s">
        <v>617</v>
      </c>
      <c r="DD5" s="165" t="s">
        <v>618</v>
      </c>
      <c r="DE5" s="173" t="s">
        <v>619</v>
      </c>
      <c r="DF5" s="227" t="s">
        <v>226</v>
      </c>
    </row>
    <row r="6" spans="1:110">
      <c r="A6" s="2">
        <v>1</v>
      </c>
      <c r="B6" s="58">
        <f>INDEX(順位表[Comprehensive],MATCH($C6,順位表['#],0))</f>
        <v>14</v>
      </c>
      <c r="C6" s="3">
        <v>1</v>
      </c>
      <c r="D6" s="1" t="str">
        <f>INDEX(都市マスタ[City Name],MATCH($C6,都市マスタ['#],0))</f>
        <v>Madrid</v>
      </c>
      <c r="E6" s="79">
        <f>IFERROR(_xlfn.RANK.EQ(INDEX(スコア表[],MATCH($C6,スコア表['#],0),MATCH(E$5,スコア表[#Headers],0)),スコア表[00a],0),"-")</f>
        <v>23</v>
      </c>
      <c r="F6" s="79">
        <f>IFERROR(_xlfn.RANK.EQ(INDEX(スコア表[],MATCH($C6,スコア表['#],0),MATCH(F$5,スコア表[#Headers],0)),スコア表[00b],0),"-")</f>
        <v>23</v>
      </c>
      <c r="G6" s="79">
        <f>IFERROR(_xlfn.RANK.EQ(INDEX(スコア表[],MATCH($C6,スコア表['#],0),MATCH(G$5,スコア表[#Headers],0)),スコア表[00c],0),"-")</f>
        <v>37</v>
      </c>
      <c r="H6" s="79">
        <f>IFERROR(_xlfn.RANK.EQ(INDEX(スコア表[],MATCH($C6,スコア表['#],0),MATCH(H$5,スコア表[#Headers],0)),スコア表[01],0),"-")</f>
        <v>25</v>
      </c>
      <c r="I6" s="79">
        <f>IFERROR(_xlfn.RANK.EQ(INDEX(スコア表[],MATCH($C6,スコア表['#],0),MATCH(I$5,スコア表[#Headers],0)),スコア表[02],0),"-")</f>
        <v>33</v>
      </c>
      <c r="J6" s="79">
        <f>IFERROR(_xlfn.RANK.EQ(INDEX(スコア表[],MATCH($C6,スコア表['#],0),MATCH(J$5,スコア表[#Headers],0)),スコア表[03],0),"-")</f>
        <v>32</v>
      </c>
      <c r="K6" s="79">
        <f>IFERROR(_xlfn.RANK.EQ(INDEX(スコア表[],MATCH($C6,スコア表['#],0),MATCH(K$5,スコア表[#Headers],0)),スコア表[04],0),"-")</f>
        <v>32</v>
      </c>
      <c r="L6" s="79">
        <f>IFERROR(_xlfn.RANK.EQ(INDEX(スコア表[],MATCH($C6,スコア表['#],0),MATCH(L$5,スコア表[#Headers],0)),スコア表[05],0),"-")</f>
        <v>18</v>
      </c>
      <c r="M6" s="79">
        <f>IFERROR(_xlfn.RANK.EQ(INDEX(スコア表[],MATCH($C6,スコア表['#],0),MATCH(M$5,スコア表[#Headers],0)),スコア表[06],0),"-")</f>
        <v>16</v>
      </c>
      <c r="N6" s="79">
        <f>IFERROR(_xlfn.RANK.EQ(INDEX(スコア表[],MATCH($C6,スコア表['#],0),MATCH(N$5,スコア表[#Headers],0)),スコア表[07],0),"-")</f>
        <v>26</v>
      </c>
      <c r="O6" s="79">
        <f>IFERROR(_xlfn.RANK.EQ(INDEX(スコア表[],MATCH($C6,スコア表['#],0),MATCH(O$5,スコア表[#Headers],0)),スコア表[08],0),"-")</f>
        <v>28</v>
      </c>
      <c r="P6" s="79">
        <f>IFERROR(_xlfn.RANK.EQ(INDEX(スコア表[],MATCH($C6,スコア表['#],0),MATCH(P$5,スコア表[#Headers],0)),スコア表[09],0),"-")</f>
        <v>30</v>
      </c>
      <c r="Q6" s="79">
        <f>IFERROR(_xlfn.RANK.EQ(INDEX(スコア表[],MATCH($C6,スコア表['#],0),MATCH(Q$5,スコア表[#Headers],0)),スコア表[10],0),"-")</f>
        <v>28</v>
      </c>
      <c r="R6" s="79">
        <f>IFERROR(_xlfn.RANK.EQ(INDEX(スコア表[],MATCH($C6,スコア表['#],0),MATCH(R$5,スコア表[#Headers],0)),スコア表[11],0),"-")</f>
        <v>8</v>
      </c>
      <c r="S6" s="79">
        <f>IFERROR(_xlfn.RANK.EQ(INDEX(スコア表[],MATCH($C6,スコア表['#],0),MATCH(S$5,スコア表[#Headers],0)),スコア表[12],0),"-")</f>
        <v>20</v>
      </c>
      <c r="T6" s="79">
        <f>IFERROR(_xlfn.RANK.EQ(INDEX(スコア表[],MATCH($C6,スコア表['#],0),MATCH(T$5,スコア表[#Headers],0)),スコア表[13],0),"-")</f>
        <v>32</v>
      </c>
      <c r="U6" s="79">
        <f>IFERROR(_xlfn.RANK.EQ(INDEX(スコア表[],MATCH($C6,スコア表['#],0),MATCH(U$5,スコア表[#Headers],0)),スコア表[14],0),"-")</f>
        <v>27</v>
      </c>
      <c r="V6" s="79">
        <f>IFERROR(_xlfn.RANK.EQ(INDEX(スコア表[],MATCH($C6,スコア表['#],0),MATCH(V$5,スコア表[#Headers],0)),スコア表[15],0),"-")</f>
        <v>37</v>
      </c>
      <c r="W6" s="79">
        <f>IFERROR(_xlfn.RANK.EQ(INDEX(スコア表[],MATCH($C6,スコア表['#],0),MATCH(W$5,スコア表[#Headers],0)),スコア表[16],0),"-")</f>
        <v>32</v>
      </c>
      <c r="X6" s="79">
        <f>IFERROR(_xlfn.RANK.EQ(INDEX(スコア表[],MATCH($C6,スコア表['#],0),MATCH(X$5,スコア表[#Headers],0)),スコア表[17],0),"-")</f>
        <v>26</v>
      </c>
      <c r="Y6" s="79">
        <f>IFERROR(_xlfn.RANK.EQ(INDEX(スコア表[],MATCH($C6,スコア表['#],0),MATCH(Y$5,スコア表[#Headers],0)),スコア表[18],0),"-")</f>
        <v>34</v>
      </c>
      <c r="Z6" s="79">
        <f>IFERROR(_xlfn.RANK.EQ(INDEX(スコア表[],MATCH($C6,スコア表['#],0),MATCH(Z$5,スコア表[#Headers],0)),スコア表[19],0),"-")</f>
        <v>36</v>
      </c>
      <c r="AA6" s="79">
        <f>IFERROR(_xlfn.RANK.EQ(INDEX(スコア表[],MATCH($C6,スコア表['#],0),MATCH(AA$5,スコア表[#Headers],0)),スコア表[20],0),"-")</f>
        <v>23</v>
      </c>
      <c r="AB6" s="79">
        <f>IFERROR(_xlfn.RANK.EQ(INDEX(スコア表[],MATCH($C6,スコア表['#],0),MATCH(AB$5,スコア表[#Headers],0)),スコア表[21],0),"-")</f>
        <v>26</v>
      </c>
      <c r="AC6" s="79">
        <f>IFERROR(_xlfn.RANK.EQ(INDEX(スコア表[],MATCH($C6,スコア表['#],0),MATCH(AC$5,スコア表[#Headers],0)),スコア表[22],0),"-")</f>
        <v>19</v>
      </c>
      <c r="AD6" s="79">
        <f>IFERROR(_xlfn.RANK.EQ(INDEX(スコア表[],MATCH($C6,スコア表['#],0),MATCH(AD$5,スコア表[#Headers],0)),スコア表[23],0),"-")</f>
        <v>9</v>
      </c>
      <c r="AE6" s="79">
        <f>IFERROR(_xlfn.RANK.EQ(INDEX(スコア表[],MATCH($C6,スコア表['#],0),MATCH(AE$5,スコア表[#Headers],0)),スコア表[24],0),"-")</f>
        <v>25</v>
      </c>
      <c r="AF6" s="79">
        <f>IFERROR(_xlfn.RANK.EQ(INDEX(スコア表[],MATCH($C6,スコア表['#],0),MATCH(AF$5,スコア表[#Headers],0)),スコア表[25],0),"-")</f>
        <v>11</v>
      </c>
      <c r="AG6" s="79">
        <f>IFERROR(_xlfn.RANK.EQ(INDEX(スコア表[],MATCH($C6,スコア表['#],0),MATCH(AG$5,スコア表[#Headers],0)),スコア表[26],0),"-")</f>
        <v>8</v>
      </c>
      <c r="AH6" s="79">
        <f>IFERROR(_xlfn.RANK.EQ(INDEX(スコア表[],MATCH($C6,スコア表['#],0),MATCH(AH$5,スコア表[#Headers],0)),スコア表[27],0),"-")</f>
        <v>9</v>
      </c>
      <c r="AI6" s="79">
        <f>IFERROR(_xlfn.RANK.EQ(INDEX(スコア表[],MATCH($C6,スコア表['#],0),MATCH(AI$5,スコア表[#Headers],0)),スコア表[28],0),"-")</f>
        <v>2</v>
      </c>
      <c r="AJ6" s="79">
        <f>IFERROR(_xlfn.RANK.EQ(INDEX(スコア表[],MATCH($C6,スコア表['#],0),MATCH(AJ$5,スコア表[#Headers],0)),スコア表[29],0),"-")</f>
        <v>8</v>
      </c>
      <c r="AK6" s="79">
        <f>IFERROR(_xlfn.RANK.EQ(INDEX(スコア表[],MATCH($C6,スコア表['#],0),MATCH(AK$5,スコア表[#Headers],0)),スコア表[30],0),"-")</f>
        <v>11</v>
      </c>
      <c r="AL6" s="79">
        <f>IFERROR(_xlfn.RANK.EQ(INDEX(スコア表[],MATCH($C6,スコア表['#],0),MATCH(AL$5,スコア表[#Headers],0)),スコア表[31],0),"-")</f>
        <v>16</v>
      </c>
      <c r="AM6" s="79">
        <f>IFERROR(_xlfn.RANK.EQ(INDEX(スコア表[],MATCH($C6,スコア表['#],0),MATCH(AM$5,スコア表[#Headers],0)),スコア表[32],0),"-")</f>
        <v>22</v>
      </c>
      <c r="AN6" s="79">
        <f>IFERROR(_xlfn.RANK.EQ(INDEX(スコア表[],MATCH($C6,スコア表['#],0),MATCH(AN$5,スコア表[#Headers],0)),スコア表[33],0),"-")</f>
        <v>21</v>
      </c>
      <c r="AO6" s="79">
        <f>IFERROR(_xlfn.RANK.EQ(INDEX(スコア表[],MATCH($C6,スコア表['#],0),MATCH(AO$5,スコア表[#Headers],0)),スコア表[34],0),"-")</f>
        <v>9</v>
      </c>
      <c r="AP6" s="79">
        <f>IFERROR(_xlfn.RANK.EQ(INDEX(スコア表[],MATCH($C6,スコア表['#],0),MATCH(AP$5,スコア表[#Headers],0)),スコア表[35],0),"-")</f>
        <v>6</v>
      </c>
      <c r="AQ6" s="79">
        <f>IFERROR(_xlfn.RANK.EQ(INDEX(スコア表[],MATCH($C6,スコア表['#],0),MATCH(AQ$5,スコア表[#Headers],0)),スコア表[36],0),"-")</f>
        <v>15</v>
      </c>
      <c r="AR6" s="79">
        <f>IFERROR(_xlfn.RANK.EQ(INDEX(スコア表[],MATCH($C6,スコア表['#],0),MATCH(AR$5,スコア表[#Headers],0)),スコア表[37],0),"-")</f>
        <v>11</v>
      </c>
      <c r="AS6" s="79">
        <f>IFERROR(_xlfn.RANK.EQ(INDEX(スコア表[],MATCH($C6,スコア表['#],0),MATCH(AS$5,スコア表[#Headers],0)),スコア表[38],0),"-")</f>
        <v>35</v>
      </c>
      <c r="AT6" s="79">
        <f>IFERROR(_xlfn.RANK.EQ(INDEX(スコア表[],MATCH($C6,スコア表['#],0),MATCH(AT$5,スコア表[#Headers],0)),スコア表[39],0),"-")</f>
        <v>13</v>
      </c>
      <c r="AU6" s="79">
        <f>IFERROR(_xlfn.RANK.EQ(INDEX(スコア表[],MATCH($C6,スコア表['#],0),MATCH(AU$5,スコア表[#Headers],0)),スコア表[40],0),"-")</f>
        <v>43</v>
      </c>
      <c r="AV6" s="79">
        <f>IFERROR(_xlfn.RANK.EQ(INDEX(スコア表[],MATCH($C6,スコア表['#],0),MATCH(AV$5,スコア表[#Headers],0)),スコア表[41],0),"-")</f>
        <v>15</v>
      </c>
      <c r="AW6" s="79">
        <f>IFERROR(_xlfn.RANK.EQ(INDEX(スコア表[],MATCH($C6,スコア表['#],0),MATCH(AW$5,スコア表[#Headers],0)),スコア表[42],0),"-")</f>
        <v>11</v>
      </c>
      <c r="AX6" s="79">
        <f>IFERROR(_xlfn.RANK.EQ(INDEX(スコア表[],MATCH($C6,スコア表['#],0),MATCH(AX$5,スコア表[#Headers],0)),スコア表[43],0),"-")</f>
        <v>14</v>
      </c>
      <c r="AY6" s="79">
        <f>IFERROR(_xlfn.RANK.EQ(INDEX(スコア表[],MATCH($C6,スコア表['#],0),MATCH(AY$5,スコア表[#Headers],0)),スコア表[44],0),"-")</f>
        <v>18</v>
      </c>
      <c r="AZ6" s="79">
        <f>IFERROR(_xlfn.RANK.EQ(INDEX(スコア表[],MATCH($C6,スコア表['#],0),MATCH(AZ$5,スコア表[#Headers],0)),スコア表[45],0),"-")</f>
        <v>9</v>
      </c>
      <c r="BA6" s="79">
        <f>IFERROR(_xlfn.RANK.EQ(INDEX(スコア表[],MATCH($C6,スコア表['#],0),MATCH(BA$5,スコア表[#Headers],0)),スコア表[46],0),"-")</f>
        <v>18</v>
      </c>
      <c r="BB6" s="79">
        <f>IFERROR(_xlfn.RANK.EQ(INDEX(スコア表[],MATCH($C6,スコア表['#],0),MATCH(BB$5,スコア表[#Headers],0)),スコア表[47],0),"-")</f>
        <v>8</v>
      </c>
      <c r="BC6" s="79">
        <f>IFERROR(_xlfn.RANK.EQ(INDEX(スコア表[],MATCH($C6,スコア表['#],0),MATCH(BC$5,スコア表[#Headers],0)),スコア表[48],0),"-")</f>
        <v>16</v>
      </c>
      <c r="BD6" s="79">
        <f>IFERROR(_xlfn.RANK.EQ(INDEX(スコア表[],MATCH($C6,スコア表['#],0),MATCH(BD$5,スコア表[#Headers],0)),スコア表[49],0),"-")</f>
        <v>36</v>
      </c>
      <c r="BE6" s="79">
        <f>IFERROR(_xlfn.RANK.EQ(INDEX(スコア表[],MATCH($C6,スコア表['#],0),MATCH(BE$5,スコア表[#Headers],0)),スコア表[50],0),"-")</f>
        <v>3</v>
      </c>
      <c r="BF6" s="79">
        <f>IFERROR(_xlfn.RANK.EQ(INDEX(スコア表[],MATCH($C6,スコア表['#],0),MATCH(BF$5,スコア表[#Headers],0)),スコア表[51],0),"-")</f>
        <v>3</v>
      </c>
      <c r="BG6" s="79">
        <f>IFERROR(_xlfn.RANK.EQ(INDEX(スコア表[],MATCH($C6,スコア表['#],0),MATCH(BG$5,スコア表[#Headers],0)),スコア表[52],0),"-")</f>
        <v>36</v>
      </c>
      <c r="BH6" s="79">
        <f>IFERROR(_xlfn.RANK.EQ(INDEX(スコア表[],MATCH($C6,スコア表['#],0),MATCH(BH$5,スコア表[#Headers],0)),スコア表[53],0),"-")</f>
        <v>12</v>
      </c>
      <c r="BI6" s="79">
        <f>IFERROR(_xlfn.RANK.EQ(INDEX(スコア表[],MATCH($C6,スコア表['#],0),MATCH(BI$5,スコア表[#Headers],0)),スコア表[54],0),"-")</f>
        <v>34</v>
      </c>
      <c r="BJ6" s="79">
        <f>IFERROR(_xlfn.RANK.EQ(INDEX(スコア表[],MATCH($C6,スコア表['#],0),MATCH(BJ$5,スコア表[#Headers],0)),スコア表[55],0),"-")</f>
        <v>11</v>
      </c>
      <c r="BK6" s="79">
        <f>IFERROR(_xlfn.RANK.EQ(INDEX(スコア表[],MATCH($C6,スコア表['#],0),MATCH(BK$5,スコア表[#Headers],0)),スコア表[56],0),"-")</f>
        <v>12</v>
      </c>
      <c r="BL6" s="79">
        <f>IFERROR(_xlfn.RANK.EQ(INDEX(スコア表[],MATCH($C6,スコア表['#],0),MATCH(BL$5,スコア表[#Headers],0)),スコア表[57],0),"-")</f>
        <v>14</v>
      </c>
      <c r="BM6" s="79">
        <f>IFERROR(_xlfn.RANK.EQ(INDEX(スコア表[],MATCH($C6,スコア表['#],0),MATCH(BM$5,スコア表[#Headers],0)),スコア表[58],0),"-")</f>
        <v>4</v>
      </c>
      <c r="BN6" s="79">
        <f>IFERROR(_xlfn.RANK.EQ(INDEX(スコア表[],MATCH($C6,スコア表['#],0),MATCH(BN$5,スコア表[#Headers],0)),スコア表[59],0),"-")</f>
        <v>29</v>
      </c>
      <c r="BO6" s="79">
        <f>IFERROR(_xlfn.RANK.EQ(INDEX(スコア表[],MATCH($C6,スコア表['#],0),MATCH(BO$5,スコア表[#Headers],0)),スコア表[60],0),"-")</f>
        <v>23</v>
      </c>
      <c r="BP6" s="79">
        <f>IFERROR(_xlfn.RANK.EQ(INDEX(スコア表[],MATCH($C6,スコア表['#],0),MATCH(BP$5,スコア表[#Headers],0)),スコア表[61],0),"-")</f>
        <v>13</v>
      </c>
      <c r="BQ6" s="79">
        <f>IFERROR(_xlfn.RANK.EQ(INDEX(スコア表[],MATCH($C6,スコア表['#],0),MATCH(BQ$5,スコア表[#Headers],0)),スコア表[62],0),"-")</f>
        <v>26</v>
      </c>
      <c r="BR6" s="79">
        <f>IFERROR(_xlfn.RANK.EQ(INDEX(スコア表[],MATCH($C6,スコア表['#],0),MATCH(BR$5,スコア表[#Headers],0)),スコア表[63],0),"-")</f>
        <v>11</v>
      </c>
      <c r="BS6" s="79">
        <f>IFERROR(_xlfn.RANK.EQ(INDEX(スコア表[],MATCH($C6,スコア表['#],0),MATCH(BS$5,スコア表[#Headers],0)),スコア表[64],0),"-")</f>
        <v>17</v>
      </c>
      <c r="BT6" s="79">
        <f>IFERROR(_xlfn.RANK.EQ(INDEX(スコア表[],MATCH($C6,スコア表['#],0),MATCH(BT$5,スコア表[#Headers],0)),スコア表[65],0),"-")</f>
        <v>16</v>
      </c>
      <c r="BU6" s="79">
        <f>IFERROR(_xlfn.RANK.EQ(INDEX(スコア表[],MATCH($C6,スコア表['#],0),MATCH(BU$5,スコア表[#Headers],0)),スコア表[66],0),"-")</f>
        <v>32</v>
      </c>
      <c r="BV6" s="79">
        <f>IFERROR(_xlfn.RANK.EQ(INDEX(スコア表[],MATCH($C6,スコア表['#],0),MATCH(BV$5,スコア表[#Headers],0)),スコア表[67],0),"-")</f>
        <v>17</v>
      </c>
      <c r="BW6" s="79">
        <f>IFERROR(_xlfn.RANK.EQ(INDEX(スコア表[],MATCH($C6,スコア表['#],0),MATCH(BW$5,スコア表[#Headers],0)),スコア表[68],0),"-")</f>
        <v>12</v>
      </c>
      <c r="BX6" s="79">
        <f>IFERROR(_xlfn.RANK.EQ(INDEX(スコア表[],MATCH($C6,スコア表['#],0),MATCH(BX$5,スコア表[#Headers],0)),スコア表[69],0),"-")</f>
        <v>11</v>
      </c>
      <c r="BY6" s="79">
        <f>IFERROR(_xlfn.RANK.EQ(INDEX(スコア表[],MATCH($C6,スコア表['#],0),MATCH(BY$5,スコア表[#Headers],0)),スコア表[70],0),"-")</f>
        <v>25</v>
      </c>
      <c r="BZ6" s="79">
        <f>IFERROR(_xlfn.RANK.EQ(INDEX(スコア表[],MATCH($C6,スコア表['#],0),MATCH(BZ$5,スコア表[#Headers],0)),スコア表[Ec1],0),"-")</f>
        <v>35</v>
      </c>
      <c r="CA6" s="79">
        <f>IFERROR(_xlfn.RANK.EQ(INDEX(スコア表[],MATCH($C6,スコア表['#],0),MATCH(CA$5,スコア表[#Headers],0)),スコア表[Ec2],0),"-")</f>
        <v>32</v>
      </c>
      <c r="CB6" s="79">
        <f>IFERROR(_xlfn.RANK.EQ(INDEX(スコア表[],MATCH($C6,スコア表['#],0),MATCH(CB$5,スコア表[#Headers],0)),スコア表[Ec3],0),"-")</f>
        <v>16</v>
      </c>
      <c r="CC6" s="79">
        <f>IFERROR(_xlfn.RANK.EQ(INDEX(スコア表[],MATCH($C6,スコア表['#],0),MATCH(CC$5,スコア表[#Headers],0)),スコア表[Ec4],0),"-")</f>
        <v>31</v>
      </c>
      <c r="CD6" s="79">
        <f>IFERROR(_xlfn.RANK.EQ(INDEX(スコア表[],MATCH($C6,スコア表['#],0),MATCH(CD$5,スコア表[#Headers],0)),スコア表[Ec5],0),"-")</f>
        <v>18</v>
      </c>
      <c r="CE6" s="79">
        <f>IFERROR(_xlfn.RANK.EQ(INDEX(スコア表[],MATCH($C6,スコア表['#],0),MATCH(CE$5,スコア表[#Headers],0)),スコア表[Ec6],0),"-")</f>
        <v>23</v>
      </c>
      <c r="CF6" s="79">
        <f>IFERROR(_xlfn.RANK.EQ(INDEX(スコア表[],MATCH($C6,スコア表['#],0),MATCH(CF$5,スコア表[#Headers],0)),スコア表[RD1],0),"-")</f>
        <v>35</v>
      </c>
      <c r="CG6" s="79">
        <f>IFERROR(_xlfn.RANK.EQ(INDEX(スコア表[],MATCH($C6,スコア表['#],0),MATCH(CG$5,スコア表[#Headers],0)),スコア表[RD2],0),"-")</f>
        <v>35</v>
      </c>
      <c r="CH6" s="79">
        <f>IFERROR(_xlfn.RANK.EQ(INDEX(スコア表[],MATCH($C6,スコア表['#],0),MATCH(CH$5,スコア表[#Headers],0)),スコア表[RD3],0),"-")</f>
        <v>37</v>
      </c>
      <c r="CI6" s="79">
        <f>IFERROR(_xlfn.RANK.EQ(INDEX(スコア表[],MATCH($C6,スコア表['#],0),MATCH(CI$5,スコア表[#Headers],0)),スコア表[CI1],0),"-")</f>
        <v>20</v>
      </c>
      <c r="CJ6" s="79">
        <f>IFERROR(_xlfn.RANK.EQ(INDEX(スコア表[],MATCH($C6,スコア表['#],0),MATCH(CJ$5,スコア表[#Headers],0)),スコア表[CI2],0),"-")</f>
        <v>3</v>
      </c>
      <c r="CK6" s="79">
        <f>IFERROR(_xlfn.RANK.EQ(INDEX(スコア表[],MATCH($C6,スコア表['#],0),MATCH(CK$5,スコア表[#Headers],0)),スコア表[CI3],0),"-")</f>
        <v>10</v>
      </c>
      <c r="CL6" s="79">
        <f>IFERROR(_xlfn.RANK.EQ(INDEX(スコア表[],MATCH($C6,スコア表['#],0),MATCH(CL$5,スコア表[#Headers],0)),スコア表[CI4],0),"-")</f>
        <v>12</v>
      </c>
      <c r="CM6" s="79">
        <f>IFERROR(_xlfn.RANK.EQ(INDEX(スコア表[],MATCH($C6,スコア表['#],0),MATCH(CM$5,スコア表[#Headers],0)),スコア表[CI5],0),"-")</f>
        <v>13</v>
      </c>
      <c r="CN6" s="79">
        <f>IFERROR(_xlfn.RANK.EQ(INDEX(スコア表[],MATCH($C6,スコア表['#],0),MATCH(CN$5,スコア表[#Headers],0)),スコア表[Li1],0),"-")</f>
        <v>38</v>
      </c>
      <c r="CO6" s="79">
        <f>IFERROR(_xlfn.RANK.EQ(INDEX(スコア表[],MATCH($C6,スコア表['#],0),MATCH(CO$5,スコア表[#Headers],0)),スコア表[Li2],0),"-")</f>
        <v>14</v>
      </c>
      <c r="CP6" s="79">
        <f>IFERROR(_xlfn.RANK.EQ(INDEX(スコア表[],MATCH($C6,スコア表['#],0),MATCH(CP$5,スコア表[#Headers],0)),スコア表[Li3],0),"-")</f>
        <v>8</v>
      </c>
      <c r="CQ6" s="79">
        <f>IFERROR(_xlfn.RANK.EQ(INDEX(スコア表[],MATCH($C6,スコア表['#],0),MATCH(CQ$5,スコア表[#Headers],0)),スコア表[Li4],0),"-")</f>
        <v>4</v>
      </c>
      <c r="CR6" s="79">
        <f>IFERROR(_xlfn.RANK.EQ(INDEX(スコア表[],MATCH($C6,スコア表['#],0),MATCH(CR$5,スコア表[#Headers],0)),スコア表[Li5],0),"-")</f>
        <v>4</v>
      </c>
      <c r="CS6" s="79">
        <f>IFERROR(_xlfn.RANK.EQ(INDEX(スコア表[],MATCH($C6,スコア表['#],0),MATCH(CS$5,スコア表[#Headers],0)),スコア表[En1],0),"-")</f>
        <v>37</v>
      </c>
      <c r="CT6" s="79">
        <f>IFERROR(_xlfn.RANK.EQ(INDEX(スコア表[],MATCH($C6,スコア表['#],0),MATCH(CT$5,スコア表[#Headers],0)),スコア表[En2],0),"-")</f>
        <v>5</v>
      </c>
      <c r="CU6" s="79">
        <f>IFERROR(_xlfn.RANK.EQ(INDEX(スコア表[],MATCH($C6,スコア表['#],0),MATCH(CU$5,スコア表[#Headers],0)),スコア表[En3],0),"-")</f>
        <v>14</v>
      </c>
      <c r="CV6" s="79">
        <f>IFERROR(_xlfn.RANK.EQ(INDEX(スコア表[],MATCH($C6,スコア表['#],0),MATCH(CV$5,スコア表[#Headers],0)),スコア表[Ac1],0),"-")</f>
        <v>21</v>
      </c>
      <c r="CW6" s="79">
        <f>IFERROR(_xlfn.RANK.EQ(INDEX(スコア表[],MATCH($C6,スコア表['#],0),MATCH(CW$5,スコア表[#Headers],0)),スコア表[Ac2],0),"-")</f>
        <v>12</v>
      </c>
      <c r="CX6" s="79">
        <f>IFERROR(_xlfn.RANK.EQ(INDEX(スコア表[],MATCH($C6,スコア表['#],0),MATCH(CX$5,スコア表[#Headers],0)),スコア表[Ac3],0),"-")</f>
        <v>28</v>
      </c>
      <c r="CY6" s="79">
        <f>IFERROR(_xlfn.RANK.EQ(INDEX(スコア表[],MATCH($C6,スコア表['#],0),MATCH(CY$5,スコア表[#Headers],0)),スコア表[Ac4],0),"-")</f>
        <v>9</v>
      </c>
      <c r="CZ6" s="79">
        <f>IFERROR(_xlfn.RANK.EQ(INDEX(スコア表[],MATCH($C6,スコア表['#],0),MATCH(CZ$5,スコア表[#Headers],0)),スコア表[Economy],0),"-")</f>
        <v>30</v>
      </c>
      <c r="DA6" s="79">
        <f>IFERROR(_xlfn.RANK.EQ(INDEX(スコア表[],MATCH($C6,スコア表['#],0),MATCH(DA$5,スコア表[#Headers],0)),スコア表[R&amp;D],0),"-")</f>
        <v>37</v>
      </c>
      <c r="DB6" s="79">
        <f>IFERROR(_xlfn.RANK.EQ(INDEX(スコア表[],MATCH($C6,スコア表['#],0),MATCH(DB$5,スコア表[#Headers],0)),スコア表[Cultural Interaction],0),"-")</f>
        <v>7</v>
      </c>
      <c r="DC6" s="79">
        <f>IFERROR(_xlfn.RANK.EQ(INDEX(スコア表[],MATCH($C6,スコア表['#],0),MATCH(DC$5,スコア表[#Headers],0)),スコア表[Livability],0),"-")</f>
        <v>2</v>
      </c>
      <c r="DD6" s="79">
        <f>IFERROR(_xlfn.RANK.EQ(INDEX(スコア表[],MATCH($C6,スコア表['#],0),MATCH(DD$5,スコア表[#Headers],0)),スコア表[Environment],0),"-")</f>
        <v>15</v>
      </c>
      <c r="DE6" s="79">
        <f>IFERROR(_xlfn.RANK.EQ(INDEX(スコア表[],MATCH($C6,スコア表['#],0),MATCH(DE$5,スコア表[#Headers],0)),スコア表[Accessibility],0),"-")</f>
        <v>14</v>
      </c>
      <c r="DF6" s="81">
        <f>IFERROR(_xlfn.RANK.EQ(INDEX(スコア表[],MATCH($C6,スコア表['#],0),MATCH(DF$5,スコア表[#Headers],0)),スコア表[Comprehensive],0),"-")</f>
        <v>14</v>
      </c>
    </row>
    <row r="7" spans="1:110">
      <c r="A7" s="2">
        <v>2</v>
      </c>
      <c r="B7" s="58">
        <f>INDEX(順位表[Comprehensive],MATCH($C7,順位表['#],0))</f>
        <v>22</v>
      </c>
      <c r="C7" s="3">
        <v>2</v>
      </c>
      <c r="D7" s="1" t="str">
        <f>INDEX(都市マスタ[City Name],MATCH($C7,都市マスタ['#],0))</f>
        <v>Barcelona</v>
      </c>
      <c r="E7" s="79">
        <f>IFERROR(_xlfn.RANK.EQ(INDEX(スコア表[],MATCH($C7,スコア表['#],0),MATCH(E$5,スコア表[#Headers],0)),スコア表[00a],0),"-")</f>
        <v>32</v>
      </c>
      <c r="F7" s="79">
        <f>IFERROR(_xlfn.RANK.EQ(INDEX(スコア表[],MATCH($C7,スコア表['#],0),MATCH(F$5,スコア表[#Headers],0)),スコア表[00b],0),"-")</f>
        <v>46</v>
      </c>
      <c r="G7" s="79">
        <f>IFERROR(_xlfn.RANK.EQ(INDEX(スコア表[],MATCH($C7,スコア表['#],0),MATCH(G$5,スコア表[#Headers],0)),スコア表[00c],0),"-")</f>
        <v>37</v>
      </c>
      <c r="H7" s="79">
        <f>IFERROR(_xlfn.RANK.EQ(INDEX(スコア表[],MATCH($C7,スコア表['#],0),MATCH(H$5,スコア表[#Headers],0)),スコア表[01],0),"-")</f>
        <v>31</v>
      </c>
      <c r="I7" s="79">
        <f>IFERROR(_xlfn.RANK.EQ(INDEX(スコア表[],MATCH($C7,スコア表['#],0),MATCH(I$5,スコア表[#Headers],0)),スコア表[02],0),"-")</f>
        <v>23</v>
      </c>
      <c r="J7" s="79">
        <f>IFERROR(_xlfn.RANK.EQ(INDEX(スコア表[],MATCH($C7,スコア表['#],0),MATCH(J$5,スコア表[#Headers],0)),スコア表[03],0),"-")</f>
        <v>35</v>
      </c>
      <c r="K7" s="79">
        <f>IFERROR(_xlfn.RANK.EQ(INDEX(スコア表[],MATCH($C7,スコア表['#],0),MATCH(K$5,スコア表[#Headers],0)),スコア表[04],0),"-")</f>
        <v>32</v>
      </c>
      <c r="L7" s="79">
        <f>IFERROR(_xlfn.RANK.EQ(INDEX(スコア表[],MATCH($C7,スコア表['#],0),MATCH(L$5,スコア表[#Headers],0)),スコア表[05],0),"-")</f>
        <v>36</v>
      </c>
      <c r="M7" s="79">
        <f>IFERROR(_xlfn.RANK.EQ(INDEX(スコア表[],MATCH($C7,スコア表['#],0),MATCH(M$5,スコア表[#Headers],0)),スコア表[06],0),"-")</f>
        <v>35</v>
      </c>
      <c r="N7" s="79">
        <f>IFERROR(_xlfn.RANK.EQ(INDEX(スコア表[],MATCH($C7,スコア表['#],0),MATCH(N$5,スコア表[#Headers],0)),スコア表[07],0),"-")</f>
        <v>41</v>
      </c>
      <c r="O7" s="79">
        <f>IFERROR(_xlfn.RANK.EQ(INDEX(スコア表[],MATCH($C7,スコア表['#],0),MATCH(O$5,スコア表[#Headers],0)),スコア表[08],0),"-")</f>
        <v>25</v>
      </c>
      <c r="P7" s="79">
        <f>IFERROR(_xlfn.RANK.EQ(INDEX(スコア表[],MATCH($C7,スコア表['#],0),MATCH(P$5,スコア表[#Headers],0)),スコア表[09],0),"-")</f>
        <v>32</v>
      </c>
      <c r="Q7" s="79">
        <f>IFERROR(_xlfn.RANK.EQ(INDEX(スコア表[],MATCH($C7,スコア表['#],0),MATCH(Q$5,スコア表[#Headers],0)),スコア表[10],0),"-")</f>
        <v>27</v>
      </c>
      <c r="R7" s="79">
        <f>IFERROR(_xlfn.RANK.EQ(INDEX(スコア表[],MATCH($C7,スコア表['#],0),MATCH(R$5,スコア表[#Headers],0)),スコア表[11],0),"-")</f>
        <v>9</v>
      </c>
      <c r="S7" s="79">
        <f>IFERROR(_xlfn.RANK.EQ(INDEX(スコア表[],MATCH($C7,スコア表['#],0),MATCH(S$5,スコア表[#Headers],0)),スコア表[12],0),"-")</f>
        <v>20</v>
      </c>
      <c r="T7" s="79">
        <f>IFERROR(_xlfn.RANK.EQ(INDEX(スコア表[],MATCH($C7,スコア表['#],0),MATCH(T$5,スコア表[#Headers],0)),スコア表[13],0),"-")</f>
        <v>32</v>
      </c>
      <c r="U7" s="79">
        <f>IFERROR(_xlfn.RANK.EQ(INDEX(スコア表[],MATCH($C7,スコア表['#],0),MATCH(U$5,スコア表[#Headers],0)),スコア表[14],0),"-")</f>
        <v>38</v>
      </c>
      <c r="V7" s="79">
        <f>IFERROR(_xlfn.RANK.EQ(INDEX(スコア表[],MATCH($C7,スコア表['#],0),MATCH(V$5,スコア表[#Headers],0)),スコア表[15],0),"-")</f>
        <v>29</v>
      </c>
      <c r="W7" s="79">
        <f>IFERROR(_xlfn.RANK.EQ(INDEX(スコア表[],MATCH($C7,スコア表['#],0),MATCH(W$5,スコア表[#Headers],0)),スコア表[16],0),"-")</f>
        <v>40</v>
      </c>
      <c r="X7" s="79">
        <f>IFERROR(_xlfn.RANK.EQ(INDEX(スコア表[],MATCH($C7,スコア表['#],0),MATCH(X$5,スコア表[#Headers],0)),スコア表[17],0),"-")</f>
        <v>16</v>
      </c>
      <c r="Y7" s="79">
        <f>IFERROR(_xlfn.RANK.EQ(INDEX(スコア表[],MATCH($C7,スコア表['#],0),MATCH(Y$5,スコア表[#Headers],0)),スコア表[18],0),"-")</f>
        <v>34</v>
      </c>
      <c r="Z7" s="79">
        <f>IFERROR(_xlfn.RANK.EQ(INDEX(スコア表[],MATCH($C7,スコア表['#],0),MATCH(Z$5,スコア表[#Headers],0)),スコア表[19],0),"-")</f>
        <v>43</v>
      </c>
      <c r="AA7" s="79">
        <f>IFERROR(_xlfn.RANK.EQ(INDEX(スコア表[],MATCH($C7,スコア表['#],0),MATCH(AA$5,スコア表[#Headers],0)),スコア表[20],0),"-")</f>
        <v>23</v>
      </c>
      <c r="AB7" s="79">
        <f>IFERROR(_xlfn.RANK.EQ(INDEX(スコア表[],MATCH($C7,スコア表['#],0),MATCH(AB$5,スコア表[#Headers],0)),スコア表[21],0),"-")</f>
        <v>24</v>
      </c>
      <c r="AC7" s="79">
        <f>IFERROR(_xlfn.RANK.EQ(INDEX(スコア表[],MATCH($C7,スコア表['#],0),MATCH(AC$5,スコア表[#Headers],0)),スコア表[22],0),"-")</f>
        <v>10</v>
      </c>
      <c r="AD7" s="79">
        <f>IFERROR(_xlfn.RANK.EQ(INDEX(スコア表[],MATCH($C7,スコア表['#],0),MATCH(AD$5,スコア表[#Headers],0)),スコア表[23],0),"-")</f>
        <v>8</v>
      </c>
      <c r="AE7" s="79">
        <f>IFERROR(_xlfn.RANK.EQ(INDEX(スコア表[],MATCH($C7,スコア表['#],0),MATCH(AE$5,スコア表[#Headers],0)),スコア表[24],0),"-")</f>
        <v>30</v>
      </c>
      <c r="AF7" s="79">
        <f>IFERROR(_xlfn.RANK.EQ(INDEX(スコア表[],MATCH($C7,スコア表['#],0),MATCH(AF$5,スコア表[#Headers],0)),スコア表[25],0),"-")</f>
        <v>20</v>
      </c>
      <c r="AG7" s="79">
        <f>IFERROR(_xlfn.RANK.EQ(INDEX(スコア表[],MATCH($C7,スコア表['#],0),MATCH(AG$5,スコア表[#Headers],0)),スコア表[26],0),"-")</f>
        <v>6</v>
      </c>
      <c r="AH7" s="79">
        <f>IFERROR(_xlfn.RANK.EQ(INDEX(スコア表[],MATCH($C7,スコア表['#],0),MATCH(AH$5,スコア表[#Headers],0)),スコア表[27],0),"-")</f>
        <v>20</v>
      </c>
      <c r="AI7" s="79">
        <f>IFERROR(_xlfn.RANK.EQ(INDEX(スコア表[],MATCH($C7,スコア表['#],0),MATCH(AI$5,スコア表[#Headers],0)),スコア表[28],0),"-")</f>
        <v>4</v>
      </c>
      <c r="AJ7" s="79">
        <f>IFERROR(_xlfn.RANK.EQ(INDEX(スコア表[],MATCH($C7,スコア表['#],0),MATCH(AJ$5,スコア表[#Headers],0)),スコア表[29],0),"-")</f>
        <v>17</v>
      </c>
      <c r="AK7" s="79">
        <f>IFERROR(_xlfn.RANK.EQ(INDEX(スコア表[],MATCH($C7,スコア表['#],0),MATCH(AK$5,スコア表[#Headers],0)),スコア表[30],0),"-")</f>
        <v>25</v>
      </c>
      <c r="AL7" s="79">
        <f>IFERROR(_xlfn.RANK.EQ(INDEX(スコア表[],MATCH($C7,スコア表['#],0),MATCH(AL$5,スコア表[#Headers],0)),スコア表[31],0),"-")</f>
        <v>27</v>
      </c>
      <c r="AM7" s="79">
        <f>IFERROR(_xlfn.RANK.EQ(INDEX(スコア表[],MATCH($C7,スコア表['#],0),MATCH(AM$5,スコア表[#Headers],0)),スコア表[32],0),"-")</f>
        <v>17</v>
      </c>
      <c r="AN7" s="79">
        <f>IFERROR(_xlfn.RANK.EQ(INDEX(スコア表[],MATCH($C7,スコア表['#],0),MATCH(AN$5,スコア表[#Headers],0)),スコア表[33],0),"-")</f>
        <v>17</v>
      </c>
      <c r="AO7" s="79">
        <f>IFERROR(_xlfn.RANK.EQ(INDEX(スコア表[],MATCH($C7,スコア表['#],0),MATCH(AO$5,スコア表[#Headers],0)),スコア表[34],0),"-")</f>
        <v>7</v>
      </c>
      <c r="AP7" s="79">
        <f>IFERROR(_xlfn.RANK.EQ(INDEX(スコア表[],MATCH($C7,スコア表['#],0),MATCH(AP$5,スコア表[#Headers],0)),スコア表[35],0),"-")</f>
        <v>8</v>
      </c>
      <c r="AQ7" s="79">
        <f>IFERROR(_xlfn.RANK.EQ(INDEX(スコア表[],MATCH($C7,スコア表['#],0),MATCH(AQ$5,スコア表[#Headers],0)),スコア表[36],0),"-")</f>
        <v>20</v>
      </c>
      <c r="AR7" s="79">
        <f>IFERROR(_xlfn.RANK.EQ(INDEX(スコア表[],MATCH($C7,スコア表['#],0),MATCH(AR$5,スコア表[#Headers],0)),スコア表[37],0),"-")</f>
        <v>7</v>
      </c>
      <c r="AS7" s="79">
        <f>IFERROR(_xlfn.RANK.EQ(INDEX(スコア表[],MATCH($C7,スコア表['#],0),MATCH(AS$5,スコア表[#Headers],0)),スコア表[38],0),"-")</f>
        <v>41</v>
      </c>
      <c r="AT7" s="79">
        <f>IFERROR(_xlfn.RANK.EQ(INDEX(スコア表[],MATCH($C7,スコア表['#],0),MATCH(AT$5,スコア表[#Headers],0)),スコア表[39],0),"-")</f>
        <v>8</v>
      </c>
      <c r="AU7" s="79">
        <f>IFERROR(_xlfn.RANK.EQ(INDEX(スコア表[],MATCH($C7,スコア表['#],0),MATCH(AU$5,スコア表[#Headers],0)),スコア表[40],0),"-")</f>
        <v>47</v>
      </c>
      <c r="AV7" s="79">
        <f>IFERROR(_xlfn.RANK.EQ(INDEX(スコア表[],MATCH($C7,スコア表['#],0),MATCH(AV$5,スコア表[#Headers],0)),スコア表[41],0),"-")</f>
        <v>18</v>
      </c>
      <c r="AW7" s="79">
        <f>IFERROR(_xlfn.RANK.EQ(INDEX(スコア表[],MATCH($C7,スコア表['#],0),MATCH(AW$5,スコア表[#Headers],0)),スコア表[42],0),"-")</f>
        <v>14</v>
      </c>
      <c r="AX7" s="79">
        <f>IFERROR(_xlfn.RANK.EQ(INDEX(スコア表[],MATCH($C7,スコア表['#],0),MATCH(AX$5,スコア表[#Headers],0)),スコア表[43],0),"-")</f>
        <v>34</v>
      </c>
      <c r="AY7" s="79">
        <f>IFERROR(_xlfn.RANK.EQ(INDEX(スコア表[],MATCH($C7,スコア表['#],0),MATCH(AY$5,スコア表[#Headers],0)),スコア表[44],0),"-")</f>
        <v>29</v>
      </c>
      <c r="AZ7" s="79">
        <f>IFERROR(_xlfn.RANK.EQ(INDEX(スコア表[],MATCH($C7,スコア表['#],0),MATCH(AZ$5,スコア表[#Headers],0)),スコア表[45],0),"-")</f>
        <v>9</v>
      </c>
      <c r="BA7" s="79">
        <f>IFERROR(_xlfn.RANK.EQ(INDEX(スコア表[],MATCH($C7,スコア表['#],0),MATCH(BA$5,スコア表[#Headers],0)),スコア表[46],0),"-")</f>
        <v>18</v>
      </c>
      <c r="BB7" s="79">
        <f>IFERROR(_xlfn.RANK.EQ(INDEX(スコア表[],MATCH($C7,スコア表['#],0),MATCH(BB$5,スコア表[#Headers],0)),スコア表[47],0),"-")</f>
        <v>8</v>
      </c>
      <c r="BC7" s="79">
        <f>IFERROR(_xlfn.RANK.EQ(INDEX(スコア表[],MATCH($C7,スコア表['#],0),MATCH(BC$5,スコア表[#Headers],0)),スコア表[48],0),"-")</f>
        <v>21</v>
      </c>
      <c r="BD7" s="79">
        <f>IFERROR(_xlfn.RANK.EQ(INDEX(スコア表[],MATCH($C7,スコア表['#],0),MATCH(BD$5,スコア表[#Headers],0)),スコア表[49],0),"-")</f>
        <v>36</v>
      </c>
      <c r="BE7" s="79">
        <f>IFERROR(_xlfn.RANK.EQ(INDEX(スコア表[],MATCH($C7,スコア表['#],0),MATCH(BE$5,スコア表[#Headers],0)),スコア表[50],0),"-")</f>
        <v>6</v>
      </c>
      <c r="BF7" s="79">
        <f>IFERROR(_xlfn.RANK.EQ(INDEX(スコア表[],MATCH($C7,スコア表['#],0),MATCH(BF$5,スコア表[#Headers],0)),スコア表[51],0),"-")</f>
        <v>4</v>
      </c>
      <c r="BG7" s="79">
        <f>IFERROR(_xlfn.RANK.EQ(INDEX(スコア表[],MATCH($C7,スコア表['#],0),MATCH(BG$5,スコア表[#Headers],0)),スコア表[52],0),"-")</f>
        <v>27</v>
      </c>
      <c r="BH7" s="79">
        <f>IFERROR(_xlfn.RANK.EQ(INDEX(スコア表[],MATCH($C7,スコア表['#],0),MATCH(BH$5,スコア表[#Headers],0)),スコア表[53],0),"-")</f>
        <v>12</v>
      </c>
      <c r="BI7" s="79">
        <f>IFERROR(_xlfn.RANK.EQ(INDEX(スコア表[],MATCH($C7,スコア表['#],0),MATCH(BI$5,スコア表[#Headers],0)),スコア表[54],0),"-")</f>
        <v>34</v>
      </c>
      <c r="BJ7" s="79">
        <f>IFERROR(_xlfn.RANK.EQ(INDEX(スコア表[],MATCH($C7,スコア表['#],0),MATCH(BJ$5,スコア表[#Headers],0)),スコア表[55],0),"-")</f>
        <v>23</v>
      </c>
      <c r="BK7" s="79">
        <f>IFERROR(_xlfn.RANK.EQ(INDEX(スコア表[],MATCH($C7,スコア表['#],0),MATCH(BK$5,スコア表[#Headers],0)),スコア表[56],0),"-")</f>
        <v>30</v>
      </c>
      <c r="BL7" s="79">
        <f>IFERROR(_xlfn.RANK.EQ(INDEX(スコア表[],MATCH($C7,スコア表['#],0),MATCH(BL$5,スコア表[#Headers],0)),スコア表[57],0),"-")</f>
        <v>9</v>
      </c>
      <c r="BM7" s="79">
        <f>IFERROR(_xlfn.RANK.EQ(INDEX(スコア表[],MATCH($C7,スコア表['#],0),MATCH(BM$5,スコア表[#Headers],0)),スコア表[58],0),"-")</f>
        <v>32</v>
      </c>
      <c r="BN7" s="79">
        <f>IFERROR(_xlfn.RANK.EQ(INDEX(スコア表[],MATCH($C7,スコア表['#],0),MATCH(BN$5,スコア表[#Headers],0)),スコア表[59],0),"-")</f>
        <v>42</v>
      </c>
      <c r="BO7" s="79">
        <f>IFERROR(_xlfn.RANK.EQ(INDEX(スコア表[],MATCH($C7,スコア表['#],0),MATCH(BO$5,スコア表[#Headers],0)),スコア表[60],0),"-")</f>
        <v>35</v>
      </c>
      <c r="BP7" s="79">
        <f>IFERROR(_xlfn.RANK.EQ(INDEX(スコア表[],MATCH($C7,スコア表['#],0),MATCH(BP$5,スコア表[#Headers],0)),スコア表[61],0),"-")</f>
        <v>14</v>
      </c>
      <c r="BQ7" s="79">
        <f>IFERROR(_xlfn.RANK.EQ(INDEX(スコア表[],MATCH($C7,スコア表['#],0),MATCH(BQ$5,スコア表[#Headers],0)),スコア表[62],0),"-")</f>
        <v>30</v>
      </c>
      <c r="BR7" s="79">
        <f>IFERROR(_xlfn.RANK.EQ(INDEX(スコア表[],MATCH($C7,スコア表['#],0),MATCH(BR$5,スコア表[#Headers],0)),スコア表[63],0),"-")</f>
        <v>19</v>
      </c>
      <c r="BS7" s="79">
        <f>IFERROR(_xlfn.RANK.EQ(INDEX(スコア表[],MATCH($C7,スコア表['#],0),MATCH(BS$5,スコア表[#Headers],0)),スコア表[64],0),"-")</f>
        <v>22</v>
      </c>
      <c r="BT7" s="79">
        <f>IFERROR(_xlfn.RANK.EQ(INDEX(スコア表[],MATCH($C7,スコア表['#],0),MATCH(BT$5,スコア表[#Headers],0)),スコア表[65],0),"-")</f>
        <v>14</v>
      </c>
      <c r="BU7" s="79">
        <f>IFERROR(_xlfn.RANK.EQ(INDEX(スコア表[],MATCH($C7,スコア表['#],0),MATCH(BU$5,スコア表[#Headers],0)),スコア表[66],0),"-")</f>
        <v>21</v>
      </c>
      <c r="BV7" s="79">
        <f>IFERROR(_xlfn.RANK.EQ(INDEX(スコア表[],MATCH($C7,スコア表['#],0),MATCH(BV$5,スコア表[#Headers],0)),スコア表[67],0),"-")</f>
        <v>12</v>
      </c>
      <c r="BW7" s="79">
        <f>IFERROR(_xlfn.RANK.EQ(INDEX(スコア表[],MATCH($C7,スコア表['#],0),MATCH(BW$5,スコア表[#Headers],0)),スコア表[68],0),"-")</f>
        <v>8</v>
      </c>
      <c r="BX7" s="79">
        <f>IFERROR(_xlfn.RANK.EQ(INDEX(スコア表[],MATCH($C7,スコア表['#],0),MATCH(BX$5,スコア表[#Headers],0)),スコア表[69],0),"-")</f>
        <v>11</v>
      </c>
      <c r="BY7" s="79">
        <f>IFERROR(_xlfn.RANK.EQ(INDEX(スコア表[],MATCH($C7,スコア表['#],0),MATCH(BY$5,スコア表[#Headers],0)),スコア表[70],0),"-")</f>
        <v>21</v>
      </c>
      <c r="BZ7" s="79">
        <f>IFERROR(_xlfn.RANK.EQ(INDEX(スコア表[],MATCH($C7,スコア表['#],0),MATCH(BZ$5,スコア表[#Headers],0)),スコア表[Ec1],0),"-")</f>
        <v>31</v>
      </c>
      <c r="CA7" s="79">
        <f>IFERROR(_xlfn.RANK.EQ(INDEX(スコア表[],MATCH($C7,スコア表['#],0),MATCH(CA$5,スコア表[#Headers],0)),スコア表[Ec2],0),"-")</f>
        <v>33</v>
      </c>
      <c r="CB7" s="79">
        <f>IFERROR(_xlfn.RANK.EQ(INDEX(スコア表[],MATCH($C7,スコア表['#],0),MATCH(CB$5,スコア表[#Headers],0)),スコア表[Ec3],0),"-")</f>
        <v>44</v>
      </c>
      <c r="CC7" s="79">
        <f>IFERROR(_xlfn.RANK.EQ(INDEX(スコア表[],MATCH($C7,スコア表['#],0),MATCH(CC$5,スコア表[#Headers],0)),スコア表[Ec4],0),"-")</f>
        <v>35</v>
      </c>
      <c r="CD7" s="79">
        <f>IFERROR(_xlfn.RANK.EQ(INDEX(スコア表[],MATCH($C7,スコア表['#],0),MATCH(CD$5,スコア表[#Headers],0)),スコア表[Ec5],0),"-")</f>
        <v>23</v>
      </c>
      <c r="CE7" s="79">
        <f>IFERROR(_xlfn.RANK.EQ(INDEX(スコア表[],MATCH($C7,スコア表['#],0),MATCH(CE$5,スコア表[#Headers],0)),スコア表[Ec6],0),"-")</f>
        <v>23</v>
      </c>
      <c r="CF7" s="79">
        <f>IFERROR(_xlfn.RANK.EQ(INDEX(スコア表[],MATCH($C7,スコア表['#],0),MATCH(CF$5,スコア表[#Headers],0)),スコア表[RD1],0),"-")</f>
        <v>34</v>
      </c>
      <c r="CG7" s="79">
        <f>IFERROR(_xlfn.RANK.EQ(INDEX(スコア表[],MATCH($C7,スコア表['#],0),MATCH(CG$5,スコア表[#Headers],0)),スコア表[RD2],0),"-")</f>
        <v>34</v>
      </c>
      <c r="CH7" s="79">
        <f>IFERROR(_xlfn.RANK.EQ(INDEX(スコア表[],MATCH($C7,スコア表['#],0),MATCH(CH$5,スコア表[#Headers],0)),スコア表[RD3],0),"-")</f>
        <v>36</v>
      </c>
      <c r="CI7" s="79">
        <f>IFERROR(_xlfn.RANK.EQ(INDEX(スコア表[],MATCH($C7,スコア表['#],0),MATCH(CI$5,スコア表[#Headers],0)),スコア表[CI1],0),"-")</f>
        <v>15</v>
      </c>
      <c r="CJ7" s="79">
        <f>IFERROR(_xlfn.RANK.EQ(INDEX(スコア表[],MATCH($C7,スコア表['#],0),MATCH(CJ$5,スコア表[#Headers],0)),スコア表[CI2],0),"-")</f>
        <v>6</v>
      </c>
      <c r="CK7" s="79">
        <f>IFERROR(_xlfn.RANK.EQ(INDEX(スコア表[],MATCH($C7,スコア表['#],0),MATCH(CK$5,スコア表[#Headers],0)),スコア表[CI3],0),"-")</f>
        <v>28</v>
      </c>
      <c r="CL7" s="79">
        <f>IFERROR(_xlfn.RANK.EQ(INDEX(スコア表[],MATCH($C7,スコア表['#],0),MATCH(CL$5,スコア表[#Headers],0)),スコア表[CI4],0),"-")</f>
        <v>11</v>
      </c>
      <c r="CM7" s="79">
        <f>IFERROR(_xlfn.RANK.EQ(INDEX(スコア表[],MATCH($C7,スコア表['#],0),MATCH(CM$5,スコア表[#Headers],0)),スコア表[CI5],0),"-")</f>
        <v>11</v>
      </c>
      <c r="CN7" s="79">
        <f>IFERROR(_xlfn.RANK.EQ(INDEX(スコア表[],MATCH($C7,スコア表['#],0),MATCH(CN$5,スコア表[#Headers],0)),スコア表[Li1],0),"-")</f>
        <v>43</v>
      </c>
      <c r="CO7" s="79">
        <f>IFERROR(_xlfn.RANK.EQ(INDEX(スコア表[],MATCH($C7,スコア表['#],0),MATCH(CO$5,スコア表[#Headers],0)),スコア表[Li2],0),"-")</f>
        <v>16</v>
      </c>
      <c r="CP7" s="79">
        <f>IFERROR(_xlfn.RANK.EQ(INDEX(スコア表[],MATCH($C7,スコア表['#],0),MATCH(CP$5,スコア表[#Headers],0)),スコア表[Li3],0),"-")</f>
        <v>28</v>
      </c>
      <c r="CQ7" s="79">
        <f>IFERROR(_xlfn.RANK.EQ(INDEX(スコア表[],MATCH($C7,スコア表['#],0),MATCH(CQ$5,スコア表[#Headers],0)),スコア表[Li4],0),"-")</f>
        <v>4</v>
      </c>
      <c r="CR7" s="79">
        <f>IFERROR(_xlfn.RANK.EQ(INDEX(スコア表[],MATCH($C7,スコア表['#],0),MATCH(CR$5,スコア表[#Headers],0)),スコア表[Li5],0),"-")</f>
        <v>7</v>
      </c>
      <c r="CS7" s="79">
        <f>IFERROR(_xlfn.RANK.EQ(INDEX(スコア表[],MATCH($C7,スコア表['#],0),MATCH(CS$5,スコア表[#Headers],0)),スコア表[En1],0),"-")</f>
        <v>29</v>
      </c>
      <c r="CT7" s="79">
        <f>IFERROR(_xlfn.RANK.EQ(INDEX(スコア表[],MATCH($C7,スコア表['#],0),MATCH(CT$5,スコア表[#Headers],0)),スコア表[En2],0),"-")</f>
        <v>10</v>
      </c>
      <c r="CU7" s="79">
        <f>IFERROR(_xlfn.RANK.EQ(INDEX(スコア表[],MATCH($C7,スコア表['#],0),MATCH(CU$5,スコア表[#Headers],0)),スコア表[En3],0),"-")</f>
        <v>37</v>
      </c>
      <c r="CV7" s="79">
        <f>IFERROR(_xlfn.RANK.EQ(INDEX(スコア表[],MATCH($C7,スコア表['#],0),MATCH(CV$5,スコア表[#Headers],0)),スコア表[Ac1],0),"-")</f>
        <v>24</v>
      </c>
      <c r="CW7" s="79">
        <f>IFERROR(_xlfn.RANK.EQ(INDEX(スコア表[],MATCH($C7,スコア表['#],0),MATCH(CW$5,スコア表[#Headers],0)),スコア表[Ac2],0),"-")</f>
        <v>20</v>
      </c>
      <c r="CX7" s="79">
        <f>IFERROR(_xlfn.RANK.EQ(INDEX(スコア表[],MATCH($C7,スコア表['#],0),MATCH(CX$5,スコア表[#Headers],0)),スコア表[Ac3],0),"-")</f>
        <v>13</v>
      </c>
      <c r="CY7" s="79">
        <f>IFERROR(_xlfn.RANK.EQ(INDEX(スコア表[],MATCH($C7,スコア表['#],0),MATCH(CY$5,スコア表[#Headers],0)),スコア表[Ac4],0),"-")</f>
        <v>6</v>
      </c>
      <c r="CZ7" s="79">
        <f>IFERROR(_xlfn.RANK.EQ(INDEX(スコア表[],MATCH($C7,スコア表['#],0),MATCH(CZ$5,スコア表[#Headers],0)),スコア表[Economy],0),"-")</f>
        <v>34</v>
      </c>
      <c r="DA7" s="79">
        <f>IFERROR(_xlfn.RANK.EQ(INDEX(スコア表[],MATCH($C7,スコア表['#],0),MATCH(DA$5,スコア表[#Headers],0)),スコア表[R&amp;D],0),"-")</f>
        <v>33</v>
      </c>
      <c r="DB7" s="79">
        <f>IFERROR(_xlfn.RANK.EQ(INDEX(スコア表[],MATCH($C7,スコア表['#],0),MATCH(DB$5,スコア表[#Headers],0)),スコア表[Cultural Interaction],0),"-")</f>
        <v>13</v>
      </c>
      <c r="DC7" s="79">
        <f>IFERROR(_xlfn.RANK.EQ(INDEX(スコア表[],MATCH($C7,スコア表['#],0),MATCH(DC$5,スコア表[#Headers],0)),スコア表[Livability],0),"-")</f>
        <v>4</v>
      </c>
      <c r="DD7" s="79">
        <f>IFERROR(_xlfn.RANK.EQ(INDEX(スコア表[],MATCH($C7,スコア表['#],0),MATCH(DD$5,スコア表[#Headers],0)),スコア表[Environment],0),"-")</f>
        <v>29</v>
      </c>
      <c r="DE7" s="79">
        <f>IFERROR(_xlfn.RANK.EQ(INDEX(スコア表[],MATCH($C7,スコア表['#],0),MATCH(DE$5,スコア表[#Headers],0)),スコア表[Accessibility],0),"-")</f>
        <v>13</v>
      </c>
      <c r="DF7" s="81">
        <f>IFERROR(_xlfn.RANK.EQ(INDEX(スコア表[],MATCH($C7,スコア表['#],0),MATCH(DF$5,スコア表[#Headers],0)),スコア表[Comprehensive],0),"-")</f>
        <v>22</v>
      </c>
    </row>
    <row r="8" spans="1:110">
      <c r="A8" s="2">
        <v>3</v>
      </c>
      <c r="B8" s="58">
        <f>INDEX(順位表[Comprehensive],MATCH($C8,順位表['#],0))</f>
        <v>1</v>
      </c>
      <c r="C8" s="3">
        <v>3</v>
      </c>
      <c r="D8" s="1" t="str">
        <f>INDEX(都市マスタ[City Name],MATCH($C8,都市マスタ['#],0))</f>
        <v>London</v>
      </c>
      <c r="E8" s="79">
        <f>IFERROR(_xlfn.RANK.EQ(INDEX(スコア表[],MATCH($C8,スコア表['#],0),MATCH(E$5,スコア表[#Headers],0)),スコア表[00a],0),"-")</f>
        <v>13</v>
      </c>
      <c r="F8" s="79">
        <f>IFERROR(_xlfn.RANK.EQ(INDEX(スコア表[],MATCH($C8,スコア表['#],0),MATCH(F$5,スコア表[#Headers],0)),スコア表[00b],0),"-")</f>
        <v>10</v>
      </c>
      <c r="G8" s="79">
        <f>IFERROR(_xlfn.RANK.EQ(INDEX(スコア表[],MATCH($C8,スコア表['#],0),MATCH(G$5,スコア表[#Headers],0)),スコア表[00c],0),"-")</f>
        <v>48</v>
      </c>
      <c r="H8" s="79">
        <f>IFERROR(_xlfn.RANK.EQ(INDEX(スコア表[],MATCH($C8,スコア表['#],0),MATCH(H$5,スコア表[#Headers],0)),スコア表[01],0),"-")</f>
        <v>3</v>
      </c>
      <c r="I8" s="79">
        <f>IFERROR(_xlfn.RANK.EQ(INDEX(スコア表[],MATCH($C8,スコア表['#],0),MATCH(I$5,スコア表[#Headers],0)),スコア表[02],0),"-")</f>
        <v>17</v>
      </c>
      <c r="J8" s="79">
        <f>IFERROR(_xlfn.RANK.EQ(INDEX(スコア表[],MATCH($C8,スコア表['#],0),MATCH(J$5,スコア表[#Headers],0)),スコア表[03],0),"-")</f>
        <v>22</v>
      </c>
      <c r="K8" s="79">
        <f>IFERROR(_xlfn.RANK.EQ(INDEX(スコア表[],MATCH($C8,スコア表['#],0),MATCH(K$5,スコア表[#Headers],0)),スコア表[04],0),"-")</f>
        <v>25</v>
      </c>
      <c r="L8" s="79">
        <f>IFERROR(_xlfn.RANK.EQ(INDEX(スコア表[],MATCH($C8,スコア表['#],0),MATCH(L$5,スコア表[#Headers],0)),スコア表[05],0),"-")</f>
        <v>6</v>
      </c>
      <c r="M8" s="79">
        <f>IFERROR(_xlfn.RANK.EQ(INDEX(スコア表[],MATCH($C8,スコア表['#],0),MATCH(M$5,スコア表[#Headers],0)),スコア表[06],0),"-")</f>
        <v>5</v>
      </c>
      <c r="N8" s="79">
        <f>IFERROR(_xlfn.RANK.EQ(INDEX(スコア表[],MATCH($C8,スコア表['#],0),MATCH(N$5,スコア表[#Headers],0)),スコア表[07],0),"-")</f>
        <v>5</v>
      </c>
      <c r="O8" s="79">
        <f>IFERROR(_xlfn.RANK.EQ(INDEX(スコア表[],MATCH($C8,スコア表['#],0),MATCH(O$5,スコア表[#Headers],0)),スコア表[08],0),"-")</f>
        <v>3</v>
      </c>
      <c r="P8" s="79">
        <f>IFERROR(_xlfn.RANK.EQ(INDEX(スコア表[],MATCH($C8,スコア表['#],0),MATCH(P$5,スコア表[#Headers],0)),スコア表[09],0),"-")</f>
        <v>12</v>
      </c>
      <c r="Q8" s="79">
        <f>IFERROR(_xlfn.RANK.EQ(INDEX(スコア表[],MATCH($C8,スコア表['#],0),MATCH(Q$5,スコア表[#Headers],0)),スコア表[10],0),"-")</f>
        <v>12</v>
      </c>
      <c r="R8" s="79">
        <f>IFERROR(_xlfn.RANK.EQ(INDEX(スコア表[],MATCH($C8,スコア表['#],0),MATCH(R$5,スコア表[#Headers],0)),スコア表[11],0),"-")</f>
        <v>1</v>
      </c>
      <c r="S8" s="79">
        <f>IFERROR(_xlfn.RANK.EQ(INDEX(スコア表[],MATCH($C8,スコア表['#],0),MATCH(S$5,スコア表[#Headers],0)),スコア表[12],0),"-")</f>
        <v>20</v>
      </c>
      <c r="T8" s="79">
        <f>IFERROR(_xlfn.RANK.EQ(INDEX(スコア表[],MATCH($C8,スコア表['#],0),MATCH(T$5,スコア表[#Headers],0)),スコア表[13],0),"-")</f>
        <v>10</v>
      </c>
      <c r="U8" s="79">
        <f>IFERROR(_xlfn.RANK.EQ(INDEX(スコア表[],MATCH($C8,スコア表['#],0),MATCH(U$5,スコア表[#Headers],0)),スコア表[14],0),"-")</f>
        <v>5</v>
      </c>
      <c r="V8" s="79">
        <f>IFERROR(_xlfn.RANK.EQ(INDEX(スコア表[],MATCH($C8,スコア表['#],0),MATCH(V$5,スコア表[#Headers],0)),スコア表[15],0),"-")</f>
        <v>1</v>
      </c>
      <c r="W8" s="79">
        <f>IFERROR(_xlfn.RANK.EQ(INDEX(スコア表[],MATCH($C8,スコア表['#],0),MATCH(W$5,スコア表[#Headers],0)),スコア表[16],0),"-")</f>
        <v>9</v>
      </c>
      <c r="X8" s="79">
        <f>IFERROR(_xlfn.RANK.EQ(INDEX(スコア表[],MATCH($C8,スコア表['#],0),MATCH(X$5,スコア表[#Headers],0)),スコア表[17],0),"-")</f>
        <v>1</v>
      </c>
      <c r="Y8" s="79">
        <f>IFERROR(_xlfn.RANK.EQ(INDEX(スコア表[],MATCH($C8,スコア表['#],0),MATCH(Y$5,スコア表[#Headers],0)),スコア表[18],0),"-")</f>
        <v>14</v>
      </c>
      <c r="Z8" s="79">
        <f>IFERROR(_xlfn.RANK.EQ(INDEX(スコア表[],MATCH($C8,スコア表['#],0),MATCH(Z$5,スコア表[#Headers],0)),スコア表[19],0),"-")</f>
        <v>20</v>
      </c>
      <c r="AA8" s="79">
        <f>IFERROR(_xlfn.RANK.EQ(INDEX(スコア表[],MATCH($C8,スコア表['#],0),MATCH(AA$5,スコア表[#Headers],0)),スコア表[20],0),"-")</f>
        <v>9</v>
      </c>
      <c r="AB8" s="79">
        <f>IFERROR(_xlfn.RANK.EQ(INDEX(スコア表[],MATCH($C8,スコア表['#],0),MATCH(AB$5,スコア表[#Headers],0)),スコア表[21],0),"-")</f>
        <v>1</v>
      </c>
      <c r="AC8" s="79">
        <f>IFERROR(_xlfn.RANK.EQ(INDEX(スコア表[],MATCH($C8,スコア表['#],0),MATCH(AC$5,スコア表[#Headers],0)),スコア表[22],0),"-")</f>
        <v>7</v>
      </c>
      <c r="AD8" s="79">
        <f>IFERROR(_xlfn.RANK.EQ(INDEX(スコア表[],MATCH($C8,スコア表['#],0),MATCH(AD$5,スコア表[#Headers],0)),スコア表[23],0),"-")</f>
        <v>11</v>
      </c>
      <c r="AE8" s="79">
        <f>IFERROR(_xlfn.RANK.EQ(INDEX(スコア表[],MATCH($C8,スコア表['#],0),MATCH(AE$5,スコア表[#Headers],0)),スコア表[24],0),"-")</f>
        <v>1</v>
      </c>
      <c r="AF8" s="79">
        <f>IFERROR(_xlfn.RANK.EQ(INDEX(スコア表[],MATCH($C8,スコア表['#],0),MATCH(AF$5,スコア表[#Headers],0)),スコア表[25],0),"-")</f>
        <v>2</v>
      </c>
      <c r="AG8" s="79">
        <f>IFERROR(_xlfn.RANK.EQ(INDEX(スコア表[],MATCH($C8,スコア表['#],0),MATCH(AG$5,スコア表[#Headers],0)),スコア表[26],0),"-")</f>
        <v>1</v>
      </c>
      <c r="AH8" s="79">
        <f>IFERROR(_xlfn.RANK.EQ(INDEX(スコア表[],MATCH($C8,スコア表['#],0),MATCH(AH$5,スコア表[#Headers],0)),スコア表[27],0),"-")</f>
        <v>15</v>
      </c>
      <c r="AI8" s="79">
        <f>IFERROR(_xlfn.RANK.EQ(INDEX(スコア表[],MATCH($C8,スコア表['#],0),MATCH(AI$5,スコア表[#Headers],0)),スコア表[28],0),"-")</f>
        <v>1</v>
      </c>
      <c r="AJ8" s="79">
        <f>IFERROR(_xlfn.RANK.EQ(INDEX(スコア表[],MATCH($C8,スコア表['#],0),MATCH(AJ$5,スコア表[#Headers],0)),スコア表[29],0),"-")</f>
        <v>3</v>
      </c>
      <c r="AK8" s="79">
        <f>IFERROR(_xlfn.RANK.EQ(INDEX(スコア表[],MATCH($C8,スコア表['#],0),MATCH(AK$5,スコア表[#Headers],0)),スコア表[30],0),"-")</f>
        <v>2</v>
      </c>
      <c r="AL8" s="79">
        <f>IFERROR(_xlfn.RANK.EQ(INDEX(スコア表[],MATCH($C8,スコア表['#],0),MATCH(AL$5,スコア表[#Headers],0)),スコア表[31],0),"-")</f>
        <v>1</v>
      </c>
      <c r="AM8" s="79">
        <f>IFERROR(_xlfn.RANK.EQ(INDEX(スコア表[],MATCH($C8,スコア表['#],0),MATCH(AM$5,スコア表[#Headers],0)),スコア表[32],0),"-")</f>
        <v>3</v>
      </c>
      <c r="AN8" s="79">
        <f>IFERROR(_xlfn.RANK.EQ(INDEX(スコア表[],MATCH($C8,スコア表['#],0),MATCH(AN$5,スコア表[#Headers],0)),スコア表[33],0),"-")</f>
        <v>4</v>
      </c>
      <c r="AO8" s="79">
        <f>IFERROR(_xlfn.RANK.EQ(INDEX(スコア表[],MATCH($C8,スコア表['#],0),MATCH(AO$5,スコア表[#Headers],0)),スコア表[34],0),"-")</f>
        <v>6</v>
      </c>
      <c r="AP8" s="79">
        <f>IFERROR(_xlfn.RANK.EQ(INDEX(スコア表[],MATCH($C8,スコア表['#],0),MATCH(AP$5,スコア表[#Headers],0)),スコア表[35],0),"-")</f>
        <v>21</v>
      </c>
      <c r="AQ8" s="79">
        <f>IFERROR(_xlfn.RANK.EQ(INDEX(スコア表[],MATCH($C8,スコア表['#],0),MATCH(AQ$5,スコア表[#Headers],0)),スコア表[36],0),"-")</f>
        <v>4</v>
      </c>
      <c r="AR8" s="79">
        <f>IFERROR(_xlfn.RANK.EQ(INDEX(スコア表[],MATCH($C8,スコア表['#],0),MATCH(AR$5,スコア表[#Headers],0)),スコア表[37],0),"-")</f>
        <v>1</v>
      </c>
      <c r="AS8" s="79">
        <f>IFERROR(_xlfn.RANK.EQ(INDEX(スコア表[],MATCH($C8,スコア表['#],0),MATCH(AS$5,スコア表[#Headers],0)),スコア表[38],0),"-")</f>
        <v>22</v>
      </c>
      <c r="AT8" s="79">
        <f>IFERROR(_xlfn.RANK.EQ(INDEX(スコア表[],MATCH($C8,スコア表['#],0),MATCH(AT$5,スコア表[#Headers],0)),スコア表[39],0),"-")</f>
        <v>21</v>
      </c>
      <c r="AU8" s="79">
        <f>IFERROR(_xlfn.RANK.EQ(INDEX(スコア表[],MATCH($C8,スコア表['#],0),MATCH(AU$5,スコア表[#Headers],0)),スコア表[40],0),"-")</f>
        <v>21</v>
      </c>
      <c r="AV8" s="79">
        <f>IFERROR(_xlfn.RANK.EQ(INDEX(スコア表[],MATCH($C8,スコア表['#],0),MATCH(AV$5,スコア表[#Headers],0)),スコア表[41],0),"-")</f>
        <v>44</v>
      </c>
      <c r="AW8" s="79">
        <f>IFERROR(_xlfn.RANK.EQ(INDEX(スコア表[],MATCH($C8,スコア表['#],0),MATCH(AW$5,スコア表[#Headers],0)),スコア表[42],0),"-")</f>
        <v>34</v>
      </c>
      <c r="AX8" s="79">
        <f>IFERROR(_xlfn.RANK.EQ(INDEX(スコア表[],MATCH($C8,スコア表['#],0),MATCH(AX$5,スコア表[#Headers],0)),スコア表[43],0),"-")</f>
        <v>25</v>
      </c>
      <c r="AY8" s="79">
        <f>IFERROR(_xlfn.RANK.EQ(INDEX(スコア表[],MATCH($C8,スコア表['#],0),MATCH(AY$5,スコア表[#Headers],0)),スコア表[44],0),"-")</f>
        <v>31</v>
      </c>
      <c r="AZ8" s="79">
        <f>IFERROR(_xlfn.RANK.EQ(INDEX(スコア表[],MATCH($C8,スコア表['#],0),MATCH(AZ$5,スコア表[#Headers],0)),スコア表[45],0),"-")</f>
        <v>26</v>
      </c>
      <c r="BA8" s="79">
        <f>IFERROR(_xlfn.RANK.EQ(INDEX(スコア表[],MATCH($C8,スコア表['#],0),MATCH(BA$5,スコア表[#Headers],0)),スコア表[46],0),"-")</f>
        <v>13</v>
      </c>
      <c r="BB8" s="79">
        <f>IFERROR(_xlfn.RANK.EQ(INDEX(スコア表[],MATCH($C8,スコア表['#],0),MATCH(BB$5,スコア表[#Headers],0)),スコア表[47],0),"-")</f>
        <v>12</v>
      </c>
      <c r="BC8" s="79">
        <f>IFERROR(_xlfn.RANK.EQ(INDEX(スコア表[],MATCH($C8,スコア表['#],0),MATCH(BC$5,スコア表[#Headers],0)),スコア表[48],0),"-")</f>
        <v>25</v>
      </c>
      <c r="BD8" s="79">
        <f>IFERROR(_xlfn.RANK.EQ(INDEX(スコア表[],MATCH($C8,スコア表['#],0),MATCH(BD$5,スコア表[#Headers],0)),スコア表[49],0),"-")</f>
        <v>8</v>
      </c>
      <c r="BE8" s="79">
        <f>IFERROR(_xlfn.RANK.EQ(INDEX(スコア表[],MATCH($C8,スコア表['#],0),MATCH(BE$5,スコア表[#Headers],0)),スコア表[50],0),"-")</f>
        <v>9</v>
      </c>
      <c r="BF8" s="79">
        <f>IFERROR(_xlfn.RANK.EQ(INDEX(スコア表[],MATCH($C8,スコア表['#],0),MATCH(BF$5,スコア表[#Headers],0)),スコア表[51],0),"-")</f>
        <v>6</v>
      </c>
      <c r="BG8" s="79">
        <f>IFERROR(_xlfn.RANK.EQ(INDEX(スコア表[],MATCH($C8,スコア表['#],0),MATCH(BG$5,スコア表[#Headers],0)),スコア表[52],0),"-")</f>
        <v>7</v>
      </c>
      <c r="BH8" s="79">
        <f>IFERROR(_xlfn.RANK.EQ(INDEX(スコア表[],MATCH($C8,スコア表['#],0),MATCH(BH$5,スコア表[#Headers],0)),スコア表[53],0),"-")</f>
        <v>19</v>
      </c>
      <c r="BI8" s="79">
        <f>IFERROR(_xlfn.RANK.EQ(INDEX(スコア表[],MATCH($C8,スコア表['#],0),MATCH(BI$5,スコア表[#Headers],0)),スコア表[54],0),"-")</f>
        <v>20</v>
      </c>
      <c r="BJ8" s="79">
        <f>IFERROR(_xlfn.RANK.EQ(INDEX(スコア表[],MATCH($C8,スコア表['#],0),MATCH(BJ$5,スコア表[#Headers],0)),スコア表[55],0),"-")</f>
        <v>3</v>
      </c>
      <c r="BK8" s="79">
        <f>IFERROR(_xlfn.RANK.EQ(INDEX(スコア表[],MATCH($C8,スコア表['#],0),MATCH(BK$5,スコア表[#Headers],0)),スコア表[56],0),"-")</f>
        <v>13</v>
      </c>
      <c r="BL8" s="79">
        <f>IFERROR(_xlfn.RANK.EQ(INDEX(スコア表[],MATCH($C8,スコア表['#],0),MATCH(BL$5,スコア表[#Headers],0)),スコア表[57],0),"-")</f>
        <v>18</v>
      </c>
      <c r="BM8" s="79">
        <f>IFERROR(_xlfn.RANK.EQ(INDEX(スコア表[],MATCH($C8,スコア表['#],0),MATCH(BM$5,スコア表[#Headers],0)),スコア表[58],0),"-")</f>
        <v>23</v>
      </c>
      <c r="BN8" s="79">
        <f>IFERROR(_xlfn.RANK.EQ(INDEX(スコア表[],MATCH($C8,スコア表['#],0),MATCH(BN$5,スコア表[#Headers],0)),スコア表[59],0),"-")</f>
        <v>11</v>
      </c>
      <c r="BO8" s="79">
        <f>IFERROR(_xlfn.RANK.EQ(INDEX(スコア表[],MATCH($C8,スコア表['#],0),MATCH(BO$5,スコア表[#Headers],0)),スコア表[60],0),"-")</f>
        <v>30</v>
      </c>
      <c r="BP8" s="79">
        <f>IFERROR(_xlfn.RANK.EQ(INDEX(スコア表[],MATCH($C8,スコア表['#],0),MATCH(BP$5,スコア表[#Headers],0)),スコア表[61],0),"-")</f>
        <v>1</v>
      </c>
      <c r="BQ8" s="79">
        <f>IFERROR(_xlfn.RANK.EQ(INDEX(スコア表[],MATCH($C8,スコア表['#],0),MATCH(BQ$5,スコア表[#Headers],0)),スコア表[62],0),"-")</f>
        <v>12</v>
      </c>
      <c r="BR8" s="79">
        <f>IFERROR(_xlfn.RANK.EQ(INDEX(スコア表[],MATCH($C8,スコア表['#],0),MATCH(BR$5,スコア表[#Headers],0)),スコア表[63],0),"-")</f>
        <v>1</v>
      </c>
      <c r="BS8" s="79">
        <f>IFERROR(_xlfn.RANK.EQ(INDEX(スコア表[],MATCH($C8,スコア表['#],0),MATCH(BS$5,スコア表[#Headers],0)),スコア表[64],0),"-")</f>
        <v>2</v>
      </c>
      <c r="BT8" s="79">
        <f>IFERROR(_xlfn.RANK.EQ(INDEX(スコア表[],MATCH($C8,スコア表['#],0),MATCH(BT$5,スコア表[#Headers],0)),スコア表[65],0),"-")</f>
        <v>12</v>
      </c>
      <c r="BU8" s="79">
        <f>IFERROR(_xlfn.RANK.EQ(INDEX(スコア表[],MATCH($C8,スコア表['#],0),MATCH(BU$5,スコア表[#Headers],0)),スコア表[66],0),"-")</f>
        <v>3</v>
      </c>
      <c r="BV8" s="79">
        <f>IFERROR(_xlfn.RANK.EQ(INDEX(スコア表[],MATCH($C8,スコア表['#],0),MATCH(BV$5,スコア表[#Headers],0)),スコア表[67],0),"-")</f>
        <v>46</v>
      </c>
      <c r="BW8" s="79">
        <f>IFERROR(_xlfn.RANK.EQ(INDEX(スコア表[],MATCH($C8,スコア表['#],0),MATCH(BW$5,スコア表[#Headers],0)),スコア表[68],0),"-")</f>
        <v>31</v>
      </c>
      <c r="BX8" s="79">
        <f>IFERROR(_xlfn.RANK.EQ(INDEX(スコア表[],MATCH($C8,スコア表['#],0),MATCH(BX$5,スコア表[#Headers],0)),スコア表[69],0),"-")</f>
        <v>48</v>
      </c>
      <c r="BY8" s="79">
        <f>IFERROR(_xlfn.RANK.EQ(INDEX(スコア表[],MATCH($C8,スコア表['#],0),MATCH(BY$5,スコア表[#Headers],0)),スコア表[70],0),"-")</f>
        <v>47</v>
      </c>
      <c r="BZ8" s="79">
        <f>IFERROR(_xlfn.RANK.EQ(INDEX(スコア表[],MATCH($C8,スコア表['#],0),MATCH(BZ$5,スコア表[#Headers],0)),スコア表[Ec1],0),"-")</f>
        <v>4</v>
      </c>
      <c r="CA8" s="79">
        <f>IFERROR(_xlfn.RANK.EQ(INDEX(スコア表[],MATCH($C8,スコア表['#],0),MATCH(CA$5,スコア表[#Headers],0)),スコア表[Ec2],0),"-")</f>
        <v>21</v>
      </c>
      <c r="CB8" s="79">
        <f>IFERROR(_xlfn.RANK.EQ(INDEX(スコア表[],MATCH($C8,スコア表['#],0),MATCH(CB$5,スコア表[#Headers],0)),スコア表[Ec3],0),"-")</f>
        <v>5</v>
      </c>
      <c r="CC8" s="79">
        <f>IFERROR(_xlfn.RANK.EQ(INDEX(スコア表[],MATCH($C8,スコア表['#],0),MATCH(CC$5,スコア表[#Headers],0)),スコア表[Ec4],0),"-")</f>
        <v>3</v>
      </c>
      <c r="CD8" s="79">
        <f>IFERROR(_xlfn.RANK.EQ(INDEX(スコア表[],MATCH($C8,スコア表['#],0),MATCH(CD$5,スコア表[#Headers],0)),スコア表[Ec5],0),"-")</f>
        <v>5</v>
      </c>
      <c r="CE8" s="79">
        <f>IFERROR(_xlfn.RANK.EQ(INDEX(スコア表[],MATCH($C8,スコア表['#],0),MATCH(CE$5,スコア表[#Headers],0)),スコア表[Ec6],0),"-")</f>
        <v>13</v>
      </c>
      <c r="CF8" s="79">
        <f>IFERROR(_xlfn.RANK.EQ(INDEX(スコア表[],MATCH($C8,スコア表['#],0),MATCH(CF$5,スコア表[#Headers],0)),スコア表[RD1],0),"-")</f>
        <v>1</v>
      </c>
      <c r="CG8" s="79">
        <f>IFERROR(_xlfn.RANK.EQ(INDEX(スコア表[],MATCH($C8,スコア表['#],0),MATCH(CG$5,スコア表[#Headers],0)),スコア表[RD2],0),"-")</f>
        <v>2</v>
      </c>
      <c r="CH8" s="79">
        <f>IFERROR(_xlfn.RANK.EQ(INDEX(スコア表[],MATCH($C8,スコア表['#],0),MATCH(CH$5,スコア表[#Headers],0)),スコア表[RD3],0),"-")</f>
        <v>5</v>
      </c>
      <c r="CI8" s="79">
        <f>IFERROR(_xlfn.RANK.EQ(INDEX(スコア表[],MATCH($C8,スコア表['#],0),MATCH(CI$5,スコア表[#Headers],0)),スコア表[CI1],0),"-")</f>
        <v>2</v>
      </c>
      <c r="CJ8" s="79">
        <f>IFERROR(_xlfn.RANK.EQ(INDEX(スコア表[],MATCH($C8,スコア表['#],0),MATCH(CJ$5,スコア表[#Headers],0)),スコア表[CI2],0),"-")</f>
        <v>1</v>
      </c>
      <c r="CK8" s="79">
        <f>IFERROR(_xlfn.RANK.EQ(INDEX(スコア表[],MATCH($C8,スコア表['#],0),MATCH(CK$5,スコア表[#Headers],0)),スコア表[CI3],0),"-")</f>
        <v>1</v>
      </c>
      <c r="CL8" s="79">
        <f>IFERROR(_xlfn.RANK.EQ(INDEX(スコア表[],MATCH($C8,スコア表['#],0),MATCH(CL$5,スコア表[#Headers],0)),スコア表[CI4],0),"-")</f>
        <v>5</v>
      </c>
      <c r="CM8" s="79">
        <f>IFERROR(_xlfn.RANK.EQ(INDEX(スコア表[],MATCH($C8,スコア表['#],0),MATCH(CM$5,スコア表[#Headers],0)),スコア表[CI5],0),"-")</f>
        <v>2</v>
      </c>
      <c r="CN8" s="79">
        <f>IFERROR(_xlfn.RANK.EQ(INDEX(スコア表[],MATCH($C8,スコア表['#],0),MATCH(CN$5,スコア表[#Headers],0)),スコア表[Li1],0),"-")</f>
        <v>13</v>
      </c>
      <c r="CO8" s="79">
        <f>IFERROR(_xlfn.RANK.EQ(INDEX(スコア表[],MATCH($C8,スコア表['#],0),MATCH(CO$5,スコア表[#Headers],0)),スコア表[Li2],0),"-")</f>
        <v>40</v>
      </c>
      <c r="CP8" s="79">
        <f>IFERROR(_xlfn.RANK.EQ(INDEX(スコア表[],MATCH($C8,スコア表['#],0),MATCH(CP$5,スコア表[#Headers],0)),スコア表[Li3],0),"-")</f>
        <v>21</v>
      </c>
      <c r="CQ8" s="79">
        <f>IFERROR(_xlfn.RANK.EQ(INDEX(スコア表[],MATCH($C8,スコア表['#],0),MATCH(CQ$5,スコア表[#Headers],0)),スコア表[Li4],0),"-")</f>
        <v>12</v>
      </c>
      <c r="CR8" s="79">
        <f>IFERROR(_xlfn.RANK.EQ(INDEX(スコア表[],MATCH($C8,スコア表['#],0),MATCH(CR$5,スコア表[#Headers],0)),スコア表[Li5],0),"-")</f>
        <v>3</v>
      </c>
      <c r="CS8" s="79">
        <f>IFERROR(_xlfn.RANK.EQ(INDEX(スコア表[],MATCH($C8,スコア表['#],0),MATCH(CS$5,スコア表[#Headers],0)),スコア表[En1],0),"-")</f>
        <v>11</v>
      </c>
      <c r="CT8" s="79">
        <f>IFERROR(_xlfn.RANK.EQ(INDEX(スコア表[],MATCH($C8,スコア表['#],0),MATCH(CT$5,スコア表[#Headers],0)),スコア表[En2],0),"-")</f>
        <v>4</v>
      </c>
      <c r="CU8" s="79">
        <f>IFERROR(_xlfn.RANK.EQ(INDEX(スコア表[],MATCH($C8,スコア表['#],0),MATCH(CU$5,スコア表[#Headers],0)),スコア表[En3],0),"-")</f>
        <v>21</v>
      </c>
      <c r="CV8" s="79">
        <f>IFERROR(_xlfn.RANK.EQ(INDEX(スコア表[],MATCH($C8,スコア表['#],0),MATCH(CV$5,スコア表[#Headers],0)),スコア表[Ac1],0),"-")</f>
        <v>1</v>
      </c>
      <c r="CW8" s="79">
        <f>IFERROR(_xlfn.RANK.EQ(INDEX(スコア表[],MATCH($C8,スコア表['#],0),MATCH(CW$5,スコア表[#Headers],0)),スコア表[Ac2],0),"-")</f>
        <v>2</v>
      </c>
      <c r="CX8" s="79">
        <f>IFERROR(_xlfn.RANK.EQ(INDEX(スコア表[],MATCH($C8,スコア表['#],0),MATCH(CX$5,スコア表[#Headers],0)),スコア表[Ac3],0),"-")</f>
        <v>24</v>
      </c>
      <c r="CY8" s="79">
        <f>IFERROR(_xlfn.RANK.EQ(INDEX(スコア表[],MATCH($C8,スコア表['#],0),MATCH(CY$5,スコア表[#Headers],0)),スコア表[Ac4],0),"-")</f>
        <v>48</v>
      </c>
      <c r="CZ8" s="79">
        <f>IFERROR(_xlfn.RANK.EQ(INDEX(スコア表[],MATCH($C8,スコア表['#],0),MATCH(CZ$5,スコア表[#Headers],0)),スコア表[Economy],0),"-")</f>
        <v>2</v>
      </c>
      <c r="DA8" s="79">
        <f>IFERROR(_xlfn.RANK.EQ(INDEX(スコア表[],MATCH($C8,スコア表['#],0),MATCH(DA$5,スコア表[#Headers],0)),スコア表[R&amp;D],0),"-")</f>
        <v>2</v>
      </c>
      <c r="DB8" s="79">
        <f>IFERROR(_xlfn.RANK.EQ(INDEX(スコア表[],MATCH($C8,スコア表['#],0),MATCH(DB$5,スコア表[#Headers],0)),スコア表[Cultural Interaction],0),"-")</f>
        <v>1</v>
      </c>
      <c r="DC8" s="79">
        <f>IFERROR(_xlfn.RANK.EQ(INDEX(スコア表[],MATCH($C8,スコア表['#],0),MATCH(DC$5,スコア表[#Headers],0)),スコア表[Livability],0),"-")</f>
        <v>9</v>
      </c>
      <c r="DD8" s="79">
        <f>IFERROR(_xlfn.RANK.EQ(INDEX(スコア表[],MATCH($C8,スコア表['#],0),MATCH(DD$5,スコア表[#Headers],0)),スコア表[Environment],0),"-")</f>
        <v>11</v>
      </c>
      <c r="DE8" s="79">
        <f>IFERROR(_xlfn.RANK.EQ(INDEX(スコア表[],MATCH($C8,スコア表['#],0),MATCH(DE$5,スコア表[#Headers],0)),スコア表[Accessibility],0),"-")</f>
        <v>4</v>
      </c>
      <c r="DF8" s="81">
        <f>IFERROR(_xlfn.RANK.EQ(INDEX(スコア表[],MATCH($C8,スコア表['#],0),MATCH(DF$5,スコア表[#Headers],0)),スコア表[Comprehensive],0),"-")</f>
        <v>1</v>
      </c>
    </row>
    <row r="9" spans="1:110">
      <c r="A9" s="2">
        <v>4</v>
      </c>
      <c r="B9" s="58">
        <f>INDEX(順位表[Comprehensive],MATCH($C9,順位表['#],0))</f>
        <v>4</v>
      </c>
      <c r="C9" s="3">
        <v>4</v>
      </c>
      <c r="D9" s="1" t="str">
        <f>INDEX(都市マスタ[City Name],MATCH($C9,都市マスタ['#],0))</f>
        <v>Paris</v>
      </c>
      <c r="E9" s="79">
        <f>IFERROR(_xlfn.RANK.EQ(INDEX(スコア表[],MATCH($C9,スコア表['#],0),MATCH(E$5,スコア表[#Headers],0)),スコア表[00a],0),"-")</f>
        <v>29</v>
      </c>
      <c r="F9" s="79">
        <f>IFERROR(_xlfn.RANK.EQ(INDEX(スコア表[],MATCH($C9,スコア表['#],0),MATCH(F$5,スコア表[#Headers],0)),スコア表[00b],0),"-")</f>
        <v>45</v>
      </c>
      <c r="G9" s="79">
        <f>IFERROR(_xlfn.RANK.EQ(INDEX(スコア表[],MATCH($C9,スコア表['#],0),MATCH(G$5,スコア表[#Headers],0)),スコア表[00c],0),"-")</f>
        <v>37</v>
      </c>
      <c r="H9" s="79">
        <f>IFERROR(_xlfn.RANK.EQ(INDEX(スコア表[],MATCH($C9,スコア表['#],0),MATCH(H$5,スコア表[#Headers],0)),スコア表[01],0),"-")</f>
        <v>13</v>
      </c>
      <c r="I9" s="79">
        <f>IFERROR(_xlfn.RANK.EQ(INDEX(スコア表[],MATCH($C9,スコア表['#],0),MATCH(I$5,スコア表[#Headers],0)),スコア表[02],0),"-")</f>
        <v>6</v>
      </c>
      <c r="J9" s="79">
        <f>IFERROR(_xlfn.RANK.EQ(INDEX(スコア表[],MATCH($C9,スコア表['#],0),MATCH(J$5,スコア表[#Headers],0)),スコア表[03],0),"-")</f>
        <v>33</v>
      </c>
      <c r="K9" s="79">
        <f>IFERROR(_xlfn.RANK.EQ(INDEX(スコア表[],MATCH($C9,スコア表['#],0),MATCH(K$5,スコア表[#Headers],0)),スコア表[04],0),"-")</f>
        <v>34</v>
      </c>
      <c r="L9" s="79">
        <f>IFERROR(_xlfn.RANK.EQ(INDEX(スコア表[],MATCH($C9,スコア表['#],0),MATCH(L$5,スコア表[#Headers],0)),スコア表[05],0),"-")</f>
        <v>7</v>
      </c>
      <c r="M9" s="79">
        <f>IFERROR(_xlfn.RANK.EQ(INDEX(スコア表[],MATCH($C9,スコア表['#],0),MATCH(M$5,スコア表[#Headers],0)),スコア表[06],0),"-")</f>
        <v>3</v>
      </c>
      <c r="N9" s="79">
        <f>IFERROR(_xlfn.RANK.EQ(INDEX(スコア表[],MATCH($C9,スコア表['#],0),MATCH(N$5,スコア表[#Headers],0)),スコア表[07],0),"-")</f>
        <v>23</v>
      </c>
      <c r="O9" s="79">
        <f>IFERROR(_xlfn.RANK.EQ(INDEX(スコア表[],MATCH($C9,スコア表['#],0),MATCH(O$5,スコア表[#Headers],0)),スコア表[08],0),"-")</f>
        <v>12</v>
      </c>
      <c r="P9" s="79">
        <f>IFERROR(_xlfn.RANK.EQ(INDEX(スコア表[],MATCH($C9,スコア表['#],0),MATCH(P$5,スコア表[#Headers],0)),スコア表[09],0),"-")</f>
        <v>28</v>
      </c>
      <c r="Q9" s="79">
        <f>IFERROR(_xlfn.RANK.EQ(INDEX(スコア表[],MATCH($C9,スコア表['#],0),MATCH(Q$5,スコア表[#Headers],0)),スコア表[10],0),"-")</f>
        <v>24</v>
      </c>
      <c r="R9" s="79">
        <f>IFERROR(_xlfn.RANK.EQ(INDEX(スコア表[],MATCH($C9,スコア表['#],0),MATCH(R$5,スコア表[#Headers],0)),スコア表[11],0),"-")</f>
        <v>15</v>
      </c>
      <c r="S9" s="79">
        <f>IFERROR(_xlfn.RANK.EQ(INDEX(スコア表[],MATCH($C9,スコア表['#],0),MATCH(S$5,スコア表[#Headers],0)),スコア表[12],0),"-")</f>
        <v>20</v>
      </c>
      <c r="T9" s="79">
        <f>IFERROR(_xlfn.RANK.EQ(INDEX(スコア表[],MATCH($C9,スコア表['#],0),MATCH(T$5,スコア表[#Headers],0)),スコア表[13],0),"-")</f>
        <v>28</v>
      </c>
      <c r="U9" s="79">
        <f>IFERROR(_xlfn.RANK.EQ(INDEX(スコア表[],MATCH($C9,スコア表['#],0),MATCH(U$5,スコア表[#Headers],0)),スコア表[14],0),"-")</f>
        <v>19</v>
      </c>
      <c r="V9" s="79">
        <f>IFERROR(_xlfn.RANK.EQ(INDEX(スコア表[],MATCH($C9,スコア表['#],0),MATCH(V$5,スコア表[#Headers],0)),スコア表[15],0),"-")</f>
        <v>4</v>
      </c>
      <c r="W9" s="79">
        <f>IFERROR(_xlfn.RANK.EQ(INDEX(スコア表[],MATCH($C9,スコア表['#],0),MATCH(W$5,スコア表[#Headers],0)),スコア表[16],0),"-")</f>
        <v>10</v>
      </c>
      <c r="X9" s="79">
        <f>IFERROR(_xlfn.RANK.EQ(INDEX(スコア表[],MATCH($C9,スコア表['#],0),MATCH(X$5,スコア表[#Headers],0)),スコア表[17],0),"-")</f>
        <v>4</v>
      </c>
      <c r="Y9" s="79">
        <f>IFERROR(_xlfn.RANK.EQ(INDEX(スコア表[],MATCH($C9,スコア表['#],0),MATCH(Y$5,スコア表[#Headers],0)),スコア表[18],0),"-")</f>
        <v>31</v>
      </c>
      <c r="Z9" s="79">
        <f>IFERROR(_xlfn.RANK.EQ(INDEX(スコア表[],MATCH($C9,スコア表['#],0),MATCH(Z$5,スコア表[#Headers],0)),スコア表[19],0),"-")</f>
        <v>21</v>
      </c>
      <c r="AA9" s="79">
        <f>IFERROR(_xlfn.RANK.EQ(INDEX(スコア表[],MATCH($C9,スコア表['#],0),MATCH(AA$5,スコア表[#Headers],0)),スコア表[20],0),"-")</f>
        <v>4</v>
      </c>
      <c r="AB9" s="79">
        <f>IFERROR(_xlfn.RANK.EQ(INDEX(スコア表[],MATCH($C9,スコア表['#],0),MATCH(AB$5,スコア表[#Headers],0)),スコア表[21],0),"-")</f>
        <v>6</v>
      </c>
      <c r="AC9" s="79">
        <f>IFERROR(_xlfn.RANK.EQ(INDEX(スコア表[],MATCH($C9,スコア表['#],0),MATCH(AC$5,スコア表[#Headers],0)),スコア表[22],0),"-")</f>
        <v>5</v>
      </c>
      <c r="AD9" s="79">
        <f>IFERROR(_xlfn.RANK.EQ(INDEX(スコア表[],MATCH($C9,スコア表['#],0),MATCH(AD$5,スコア表[#Headers],0)),スコア表[23],0),"-")</f>
        <v>43</v>
      </c>
      <c r="AE9" s="79">
        <f>IFERROR(_xlfn.RANK.EQ(INDEX(スコア表[],MATCH($C9,スコア表['#],0),MATCH(AE$5,スコア表[#Headers],0)),スコア表[24],0),"-")</f>
        <v>12</v>
      </c>
      <c r="AF9" s="79">
        <f>IFERROR(_xlfn.RANK.EQ(INDEX(スコア表[],MATCH($C9,スコア表['#],0),MATCH(AF$5,スコア表[#Headers],0)),スコア表[25],0),"-")</f>
        <v>3</v>
      </c>
      <c r="AG9" s="79">
        <f>IFERROR(_xlfn.RANK.EQ(INDEX(スコア表[],MATCH($C9,スコア表['#],0),MATCH(AG$5,スコア表[#Headers],0)),スコア表[26],0),"-")</f>
        <v>2</v>
      </c>
      <c r="AH9" s="79">
        <f>IFERROR(_xlfn.RANK.EQ(INDEX(スコア表[],MATCH($C9,スコア表['#],0),MATCH(AH$5,スコア表[#Headers],0)),スコア表[27],0),"-")</f>
        <v>10</v>
      </c>
      <c r="AI9" s="79">
        <f>IFERROR(_xlfn.RANK.EQ(INDEX(スコア表[],MATCH($C9,スコア表['#],0),MATCH(AI$5,スコア表[#Headers],0)),スコア表[28],0),"-")</f>
        <v>12</v>
      </c>
      <c r="AJ9" s="79">
        <f>IFERROR(_xlfn.RANK.EQ(INDEX(スコア表[],MATCH($C9,スコア表['#],0),MATCH(AJ$5,スコア表[#Headers],0)),スコア表[29],0),"-")</f>
        <v>1</v>
      </c>
      <c r="AK9" s="79">
        <f>IFERROR(_xlfn.RANK.EQ(INDEX(スコア表[],MATCH($C9,スコア表['#],0),MATCH(AK$5,スコア表[#Headers],0)),スコア表[30],0),"-")</f>
        <v>4</v>
      </c>
      <c r="AL9" s="79">
        <f>IFERROR(_xlfn.RANK.EQ(INDEX(スコア表[],MATCH($C9,スコア表['#],0),MATCH(AL$5,スコア表[#Headers],0)),スコア表[31],0),"-")</f>
        <v>10</v>
      </c>
      <c r="AM9" s="79">
        <f>IFERROR(_xlfn.RANK.EQ(INDEX(スコア表[],MATCH($C9,スコア表['#],0),MATCH(AM$5,スコア表[#Headers],0)),スコア表[32],0),"-")</f>
        <v>5</v>
      </c>
      <c r="AN9" s="79">
        <f>IFERROR(_xlfn.RANK.EQ(INDEX(スコア表[],MATCH($C9,スコア表['#],0),MATCH(AN$5,スコア表[#Headers],0)),スコア表[33],0),"-")</f>
        <v>14</v>
      </c>
      <c r="AO9" s="79">
        <f>IFERROR(_xlfn.RANK.EQ(INDEX(スコア表[],MATCH($C9,スコア表['#],0),MATCH(AO$5,スコア表[#Headers],0)),スコア表[34],0),"-")</f>
        <v>2</v>
      </c>
      <c r="AP9" s="79">
        <f>IFERROR(_xlfn.RANK.EQ(INDEX(スコア表[],MATCH($C9,スコア表['#],0),MATCH(AP$5,スコア表[#Headers],0)),スコア表[35],0),"-")</f>
        <v>5</v>
      </c>
      <c r="AQ9" s="79">
        <f>IFERROR(_xlfn.RANK.EQ(INDEX(スコア表[],MATCH($C9,スコア表['#],0),MATCH(AQ$5,スコア表[#Headers],0)),スコア表[36],0),"-")</f>
        <v>21</v>
      </c>
      <c r="AR9" s="79">
        <f>IFERROR(_xlfn.RANK.EQ(INDEX(スコア表[],MATCH($C9,スコア表['#],0),MATCH(AR$5,スコア表[#Headers],0)),スコア表[37],0),"-")</f>
        <v>5</v>
      </c>
      <c r="AS9" s="79">
        <f>IFERROR(_xlfn.RANK.EQ(INDEX(スコア表[],MATCH($C9,スコア表['#],0),MATCH(AS$5,スコア表[#Headers],0)),スコア表[38],0),"-")</f>
        <v>31</v>
      </c>
      <c r="AT9" s="79">
        <f>IFERROR(_xlfn.RANK.EQ(INDEX(スコア表[],MATCH($C9,スコア表['#],0),MATCH(AT$5,スコア表[#Headers],0)),スコア表[39],0),"-")</f>
        <v>2</v>
      </c>
      <c r="AU9" s="79">
        <f>IFERROR(_xlfn.RANK.EQ(INDEX(スコア表[],MATCH($C9,スコア表['#],0),MATCH(AU$5,スコア表[#Headers],0)),スコア表[40],0),"-")</f>
        <v>35</v>
      </c>
      <c r="AV9" s="79">
        <f>IFERROR(_xlfn.RANK.EQ(INDEX(スコア表[],MATCH($C9,スコア表['#],0),MATCH(AV$5,スコア表[#Headers],0)),スコア表[41],0),"-")</f>
        <v>27</v>
      </c>
      <c r="AW9" s="79">
        <f>IFERROR(_xlfn.RANK.EQ(INDEX(スコア表[],MATCH($C9,スコア表['#],0),MATCH(AW$5,スコア表[#Headers],0)),スコア表[42],0),"-")</f>
        <v>27</v>
      </c>
      <c r="AX9" s="79">
        <f>IFERROR(_xlfn.RANK.EQ(INDEX(スコア表[],MATCH($C9,スコア表['#],0),MATCH(AX$5,スコア表[#Headers],0)),スコア表[43],0),"-")</f>
        <v>20</v>
      </c>
      <c r="AY9" s="79">
        <f>IFERROR(_xlfn.RANK.EQ(INDEX(スコア表[],MATCH($C9,スコア表['#],0),MATCH(AY$5,スコア表[#Headers],0)),スコア表[44],0),"-")</f>
        <v>18</v>
      </c>
      <c r="AZ9" s="79">
        <f>IFERROR(_xlfn.RANK.EQ(INDEX(スコア表[],MATCH($C9,スコア表['#],0),MATCH(AZ$5,スコア表[#Headers],0)),スコア表[45],0),"-")</f>
        <v>16</v>
      </c>
      <c r="BA9" s="79">
        <f>IFERROR(_xlfn.RANK.EQ(INDEX(スコア表[],MATCH($C9,スコア表['#],0),MATCH(BA$5,スコア表[#Headers],0)),スコア表[46],0),"-")</f>
        <v>16</v>
      </c>
      <c r="BB9" s="79">
        <f>IFERROR(_xlfn.RANK.EQ(INDEX(スコア表[],MATCH($C9,スコア表['#],0),MATCH(BB$5,スコア表[#Headers],0)),スコア表[47],0),"-")</f>
        <v>23</v>
      </c>
      <c r="BC9" s="79">
        <f>IFERROR(_xlfn.RANK.EQ(INDEX(スコア表[],MATCH($C9,スコア表['#],0),MATCH(BC$5,スコア表[#Headers],0)),スコア表[48],0),"-")</f>
        <v>6</v>
      </c>
      <c r="BD9" s="79">
        <f>IFERROR(_xlfn.RANK.EQ(INDEX(スコア表[],MATCH($C9,スコア表['#],0),MATCH(BD$5,スコア表[#Headers],0)),スコア表[49],0),"-")</f>
        <v>24</v>
      </c>
      <c r="BE9" s="79">
        <f>IFERROR(_xlfn.RANK.EQ(INDEX(スコア表[],MATCH($C9,スコア表['#],0),MATCH(BE$5,スコア表[#Headers],0)),スコア表[50],0),"-")</f>
        <v>1</v>
      </c>
      <c r="BF9" s="79">
        <f>IFERROR(_xlfn.RANK.EQ(INDEX(スコア表[],MATCH($C9,スコア表['#],0),MATCH(BF$5,スコア表[#Headers],0)),スコア表[51],0),"-")</f>
        <v>2</v>
      </c>
      <c r="BG9" s="79">
        <f>IFERROR(_xlfn.RANK.EQ(INDEX(スコア表[],MATCH($C9,スコア表['#],0),MATCH(BG$5,スコア表[#Headers],0)),スコア表[52],0),"-")</f>
        <v>3</v>
      </c>
      <c r="BH9" s="79">
        <f>IFERROR(_xlfn.RANK.EQ(INDEX(スコア表[],MATCH($C9,スコア表['#],0),MATCH(BH$5,スコア表[#Headers],0)),スコア表[53],0),"-")</f>
        <v>20</v>
      </c>
      <c r="BI9" s="79">
        <f>IFERROR(_xlfn.RANK.EQ(INDEX(スコア表[],MATCH($C9,スコア表['#],0),MATCH(BI$5,スコア表[#Headers],0)),スコア表[54],0),"-")</f>
        <v>25</v>
      </c>
      <c r="BJ9" s="79">
        <f>IFERROR(_xlfn.RANK.EQ(INDEX(スコア表[],MATCH($C9,スコア表['#],0),MATCH(BJ$5,スコア表[#Headers],0)),スコア表[55],0),"-")</f>
        <v>31</v>
      </c>
      <c r="BK9" s="79">
        <f>IFERROR(_xlfn.RANK.EQ(INDEX(スコア表[],MATCH($C9,スコア表['#],0),MATCH(BK$5,スコア表[#Headers],0)),スコア表[56],0),"-")</f>
        <v>29</v>
      </c>
      <c r="BL9" s="79">
        <f>IFERROR(_xlfn.RANK.EQ(INDEX(スコア表[],MATCH($C9,スコア表['#],0),MATCH(BL$5,スコア表[#Headers],0)),スコア表[57],0),"-")</f>
        <v>17</v>
      </c>
      <c r="BM9" s="79">
        <f>IFERROR(_xlfn.RANK.EQ(INDEX(スコア表[],MATCH($C9,スコア表['#],0),MATCH(BM$5,スコア表[#Headers],0)),スコア表[58],0),"-")</f>
        <v>25</v>
      </c>
      <c r="BN9" s="79">
        <f>IFERROR(_xlfn.RANK.EQ(INDEX(スコア表[],MATCH($C9,スコア表['#],0),MATCH(BN$5,スコア表[#Headers],0)),スコア表[59],0),"-")</f>
        <v>38</v>
      </c>
      <c r="BO9" s="79">
        <f>IFERROR(_xlfn.RANK.EQ(INDEX(スコア表[],MATCH($C9,スコア表['#],0),MATCH(BO$5,スコア表[#Headers],0)),スコア表[60],0),"-")</f>
        <v>47</v>
      </c>
      <c r="BP9" s="79">
        <f>IFERROR(_xlfn.RANK.EQ(INDEX(スコア表[],MATCH($C9,スコア表['#],0),MATCH(BP$5,スコア表[#Headers],0)),スコア表[61],0),"-")</f>
        <v>2</v>
      </c>
      <c r="BQ9" s="79">
        <f>IFERROR(_xlfn.RANK.EQ(INDEX(スコア表[],MATCH($C9,スコア表['#],0),MATCH(BQ$5,スコア表[#Headers],0)),スコア表[62],0),"-")</f>
        <v>11</v>
      </c>
      <c r="BR9" s="79">
        <f>IFERROR(_xlfn.RANK.EQ(INDEX(スコア表[],MATCH($C9,スコア表['#],0),MATCH(BR$5,スコア表[#Headers],0)),スコア表[63],0),"-")</f>
        <v>4</v>
      </c>
      <c r="BS9" s="79">
        <f>IFERROR(_xlfn.RANK.EQ(INDEX(スコア表[],MATCH($C9,スコア表['#],0),MATCH(BS$5,スコア表[#Headers],0)),スコア表[64],0),"-")</f>
        <v>5</v>
      </c>
      <c r="BT9" s="79">
        <f>IFERROR(_xlfn.RANK.EQ(INDEX(スコア表[],MATCH($C9,スコア表['#],0),MATCH(BT$5,スコア表[#Headers],0)),スコア表[65],0),"-")</f>
        <v>2</v>
      </c>
      <c r="BU9" s="79">
        <f>IFERROR(_xlfn.RANK.EQ(INDEX(スコア表[],MATCH($C9,スコア表['#],0),MATCH(BU$5,スコア表[#Headers],0)),スコア表[66],0),"-")</f>
        <v>10</v>
      </c>
      <c r="BV9" s="79">
        <f>IFERROR(_xlfn.RANK.EQ(INDEX(スコア表[],MATCH($C9,スコア表['#],0),MATCH(BV$5,スコア表[#Headers],0)),スコア表[67],0),"-")</f>
        <v>37</v>
      </c>
      <c r="BW9" s="79">
        <f>IFERROR(_xlfn.RANK.EQ(INDEX(スコア表[],MATCH($C9,スコア表['#],0),MATCH(BW$5,スコア表[#Headers],0)),スコア表[68],0),"-")</f>
        <v>28</v>
      </c>
      <c r="BX9" s="79">
        <f>IFERROR(_xlfn.RANK.EQ(INDEX(スコア表[],MATCH($C9,スコア表['#],0),MATCH(BX$5,スコア表[#Headers],0)),スコア表[69],0),"-")</f>
        <v>43</v>
      </c>
      <c r="BY9" s="79">
        <f>IFERROR(_xlfn.RANK.EQ(INDEX(スコア表[],MATCH($C9,スコア表['#],0),MATCH(BY$5,スコア表[#Headers],0)),スコア表[70],0),"-")</f>
        <v>22</v>
      </c>
      <c r="BZ9" s="79">
        <f>IFERROR(_xlfn.RANK.EQ(INDEX(スコア表[],MATCH($C9,スコア表['#],0),MATCH(BZ$5,スコア表[#Headers],0)),スコア表[Ec1],0),"-")</f>
        <v>7</v>
      </c>
      <c r="CA9" s="79">
        <f>IFERROR(_xlfn.RANK.EQ(INDEX(スコア表[],MATCH($C9,スコア表['#],0),MATCH(CA$5,スコア表[#Headers],0)),スコア表[Ec2],0),"-")</f>
        <v>34</v>
      </c>
      <c r="CB9" s="79">
        <f>IFERROR(_xlfn.RANK.EQ(INDEX(スコア表[],MATCH($C9,スコア表['#],0),MATCH(CB$5,スコア表[#Headers],0)),スコア表[Ec3],0),"-")</f>
        <v>4</v>
      </c>
      <c r="CC9" s="79">
        <f>IFERROR(_xlfn.RANK.EQ(INDEX(スコア表[],MATCH($C9,スコア表['#],0),MATCH(CC$5,スコア表[#Headers],0)),スコア表[Ec4],0),"-")</f>
        <v>12</v>
      </c>
      <c r="CD9" s="79">
        <f>IFERROR(_xlfn.RANK.EQ(INDEX(スコア表[],MATCH($C9,スコア表['#],0),MATCH(CD$5,スコア表[#Headers],0)),スコア表[Ec5],0),"-")</f>
        <v>22</v>
      </c>
      <c r="CE9" s="79">
        <f>IFERROR(_xlfn.RANK.EQ(INDEX(スコア表[],MATCH($C9,スコア表['#],0),MATCH(CE$5,スコア表[#Headers],0)),スコア表[Ec6],0),"-")</f>
        <v>21</v>
      </c>
      <c r="CF9" s="79">
        <f>IFERROR(_xlfn.RANK.EQ(INDEX(スコア表[],MATCH($C9,スコア表['#],0),MATCH(CF$5,スコア表[#Headers],0)),スコア表[RD1],0),"-")</f>
        <v>8</v>
      </c>
      <c r="CG9" s="79">
        <f>IFERROR(_xlfn.RANK.EQ(INDEX(スコア表[],MATCH($C9,スコア表['#],0),MATCH(CG$5,スコア表[#Headers],0)),スコア表[RD2],0),"-")</f>
        <v>12</v>
      </c>
      <c r="CH9" s="79">
        <f>IFERROR(_xlfn.RANK.EQ(INDEX(スコア表[],MATCH($C9,スコア表['#],0),MATCH(CH$5,スコア表[#Headers],0)),スコア表[RD3],0),"-")</f>
        <v>10</v>
      </c>
      <c r="CI9" s="79">
        <f>IFERROR(_xlfn.RANK.EQ(INDEX(スコア表[],MATCH($C9,スコア表['#],0),MATCH(CI$5,スコア表[#Headers],0)),スコア表[CI1],0),"-")</f>
        <v>9</v>
      </c>
      <c r="CJ9" s="79">
        <f>IFERROR(_xlfn.RANK.EQ(INDEX(スコア表[],MATCH($C9,スコア表['#],0),MATCH(CJ$5,スコア表[#Headers],0)),スコア表[CI2],0),"-")</f>
        <v>5</v>
      </c>
      <c r="CK9" s="79">
        <f>IFERROR(_xlfn.RANK.EQ(INDEX(スコア表[],MATCH($C9,スコア表['#],0),MATCH(CK$5,スコア表[#Headers],0)),スコア表[CI3],0),"-")</f>
        <v>3</v>
      </c>
      <c r="CL9" s="79">
        <f>IFERROR(_xlfn.RANK.EQ(INDEX(スコア表[],MATCH($C9,スコア表['#],0),MATCH(CL$5,スコア表[#Headers],0)),スコア表[CI4],0),"-")</f>
        <v>3</v>
      </c>
      <c r="CM9" s="79">
        <f>IFERROR(_xlfn.RANK.EQ(INDEX(スコア表[],MATCH($C9,スコア表['#],0),MATCH(CM$5,スコア表[#Headers],0)),スコア表[CI5],0),"-")</f>
        <v>8</v>
      </c>
      <c r="CN9" s="79">
        <f>IFERROR(_xlfn.RANK.EQ(INDEX(スコア表[],MATCH($C9,スコア表['#],0),MATCH(CN$5,スコア表[#Headers],0)),スコア表[Li1],0),"-")</f>
        <v>10</v>
      </c>
      <c r="CO9" s="79">
        <f>IFERROR(_xlfn.RANK.EQ(INDEX(スコア表[],MATCH($C9,スコア表['#],0),MATCH(CO$5,スコア表[#Headers],0)),スコア表[Li2],0),"-")</f>
        <v>28</v>
      </c>
      <c r="CP9" s="79">
        <f>IFERROR(_xlfn.RANK.EQ(INDEX(スコア表[],MATCH($C9,スコア表['#],0),MATCH(CP$5,スコア表[#Headers],0)),スコア表[Li3],0),"-")</f>
        <v>12</v>
      </c>
      <c r="CQ9" s="79">
        <f>IFERROR(_xlfn.RANK.EQ(INDEX(スコア表[],MATCH($C9,スコア表['#],0),MATCH(CQ$5,スコア表[#Headers],0)),スコア表[Li4],0),"-")</f>
        <v>18</v>
      </c>
      <c r="CR9" s="79">
        <f>IFERROR(_xlfn.RANK.EQ(INDEX(スコア表[],MATCH($C9,スコア表['#],0),MATCH(CR$5,スコア表[#Headers],0)),スコア表[Li5],0),"-")</f>
        <v>1</v>
      </c>
      <c r="CS9" s="79">
        <f>IFERROR(_xlfn.RANK.EQ(INDEX(スコア表[],MATCH($C9,スコア表['#],0),MATCH(CS$5,スコア表[#Headers],0)),スコア表[En1],0),"-")</f>
        <v>10</v>
      </c>
      <c r="CT9" s="79">
        <f>IFERROR(_xlfn.RANK.EQ(INDEX(スコア表[],MATCH($C9,スコア表['#],0),MATCH(CT$5,スコア表[#Headers],0)),スコア表[En2],0),"-")</f>
        <v>27</v>
      </c>
      <c r="CU9" s="79">
        <f>IFERROR(_xlfn.RANK.EQ(INDEX(スコア表[],MATCH($C9,スコア表['#],0),MATCH(CU$5,スコア表[#Headers],0)),スコア表[En3],0),"-")</f>
        <v>40</v>
      </c>
      <c r="CV9" s="79">
        <f>IFERROR(_xlfn.RANK.EQ(INDEX(スコア表[],MATCH($C9,スコア表['#],0),MATCH(CV$5,スコア表[#Headers],0)),スコア表[Ac1],0),"-")</f>
        <v>5</v>
      </c>
      <c r="CW9" s="79">
        <f>IFERROR(_xlfn.RANK.EQ(INDEX(スコア表[],MATCH($C9,スコア表['#],0),MATCH(CW$5,スコア表[#Headers],0)),スコア表[Ac2],0),"-")</f>
        <v>4</v>
      </c>
      <c r="CX9" s="79">
        <f>IFERROR(_xlfn.RANK.EQ(INDEX(スコア表[],MATCH($C9,スコア表['#],0),MATCH(CX$5,スコア表[#Headers],0)),スコア表[Ac3],0),"-")</f>
        <v>6</v>
      </c>
      <c r="CY9" s="79">
        <f>IFERROR(_xlfn.RANK.EQ(INDEX(スコア表[],MATCH($C9,スコア表['#],0),MATCH(CY$5,スコア表[#Headers],0)),スコア表[Ac4],0),"-")</f>
        <v>30</v>
      </c>
      <c r="CZ9" s="79">
        <f>IFERROR(_xlfn.RANK.EQ(INDEX(スコア表[],MATCH($C9,スコア表['#],0),MATCH(CZ$5,スコア表[#Headers],0)),スコア表[Economy],0),"-")</f>
        <v>16</v>
      </c>
      <c r="DA9" s="79">
        <f>IFERROR(_xlfn.RANK.EQ(INDEX(スコア表[],MATCH($C9,スコア表['#],0),MATCH(DA$5,スコア表[#Headers],0)),スコア表[R&amp;D],0),"-")</f>
        <v>9</v>
      </c>
      <c r="DB9" s="79">
        <f>IFERROR(_xlfn.RANK.EQ(INDEX(スコア表[],MATCH($C9,スコア表['#],0),MATCH(DB$5,スコア表[#Headers],0)),スコア表[Cultural Interaction],0),"-")</f>
        <v>3</v>
      </c>
      <c r="DC9" s="79">
        <f>IFERROR(_xlfn.RANK.EQ(INDEX(スコア表[],MATCH($C9,スコア表['#],0),MATCH(DC$5,スコア表[#Headers],0)),スコア表[Livability],0),"-")</f>
        <v>1</v>
      </c>
      <c r="DD9" s="79">
        <f>IFERROR(_xlfn.RANK.EQ(INDEX(スコア表[],MATCH($C9,スコア表['#],0),MATCH(DD$5,スコア表[#Headers],0)),スコア表[Environment],0),"-")</f>
        <v>27</v>
      </c>
      <c r="DE9" s="79">
        <f>IFERROR(_xlfn.RANK.EQ(INDEX(スコア表[],MATCH($C9,スコア表['#],0),MATCH(DE$5,スコア表[#Headers],0)),スコア表[Accessibility],0),"-")</f>
        <v>5</v>
      </c>
      <c r="DF9" s="81">
        <f>IFERROR(_xlfn.RANK.EQ(INDEX(スコア表[],MATCH($C9,スコア表['#],0),MATCH(DF$5,スコア表[#Headers],0)),スコア表[Comprehensive],0),"-")</f>
        <v>4</v>
      </c>
    </row>
    <row r="10" spans="1:110">
      <c r="A10" s="2">
        <v>5</v>
      </c>
      <c r="B10" s="58">
        <f>INDEX(順位表[Comprehensive],MATCH($C10,順位表['#],0))</f>
        <v>24</v>
      </c>
      <c r="C10" s="3">
        <v>5</v>
      </c>
      <c r="D10" s="1" t="str">
        <f>INDEX(都市マスタ[City Name],MATCH($C10,都市マスタ['#],0))</f>
        <v>Brussels</v>
      </c>
      <c r="E10" s="79">
        <f>IFERROR(_xlfn.RANK.EQ(INDEX(スコア表[],MATCH($C10,スコア表['#],0),MATCH(E$5,スコア表[#Headers],0)),スコア表[00a],0),"-")</f>
        <v>36</v>
      </c>
      <c r="F10" s="79">
        <f>IFERROR(_xlfn.RANK.EQ(INDEX(スコア表[],MATCH($C10,スコア表['#],0),MATCH(F$5,スコア表[#Headers],0)),スコア表[00b],0),"-")</f>
        <v>39</v>
      </c>
      <c r="G10" s="79">
        <f>IFERROR(_xlfn.RANK.EQ(INDEX(スコア表[],MATCH($C10,スコア表['#],0),MATCH(G$5,スコア表[#Headers],0)),スコア表[00c],0),"-")</f>
        <v>37</v>
      </c>
      <c r="H10" s="79">
        <f>IFERROR(_xlfn.RANK.EQ(INDEX(スコア表[],MATCH($C10,スコア表['#],0),MATCH(H$5,スコア表[#Headers],0)),スコア表[01],0),"-")</f>
        <v>28</v>
      </c>
      <c r="I10" s="79">
        <f>IFERROR(_xlfn.RANK.EQ(INDEX(スコア表[],MATCH($C10,スコア表['#],0),MATCH(I$5,スコア表[#Headers],0)),スコア表[02],0),"-")</f>
        <v>12</v>
      </c>
      <c r="J10" s="79">
        <f>IFERROR(_xlfn.RANK.EQ(INDEX(スコア表[],MATCH($C10,スコア表['#],0),MATCH(J$5,スコア表[#Headers],0)),スコア表[03],0),"-")</f>
        <v>41</v>
      </c>
      <c r="K10" s="79">
        <f>IFERROR(_xlfn.RANK.EQ(INDEX(スコア表[],MATCH($C10,スコア表['#],0),MATCH(K$5,スコア表[#Headers],0)),スコア表[04],0),"-")</f>
        <v>31</v>
      </c>
      <c r="L10" s="79">
        <f>IFERROR(_xlfn.RANK.EQ(INDEX(スコア表[],MATCH($C10,スコア表['#],0),MATCH(L$5,スコア表[#Headers],0)),スコア表[05],0),"-")</f>
        <v>26</v>
      </c>
      <c r="M10" s="79">
        <f>IFERROR(_xlfn.RANK.EQ(INDEX(スコア表[],MATCH($C10,スコア表['#],0),MATCH(M$5,スコア表[#Headers],0)),スコア表[06],0),"-")</f>
        <v>35</v>
      </c>
      <c r="N10" s="79">
        <f>IFERROR(_xlfn.RANK.EQ(INDEX(スコア表[],MATCH($C10,スコア表['#],0),MATCH(N$5,スコア表[#Headers],0)),スコア表[07],0),"-")</f>
        <v>36</v>
      </c>
      <c r="O10" s="79">
        <f>IFERROR(_xlfn.RANK.EQ(INDEX(スコア表[],MATCH($C10,スコア表['#],0),MATCH(O$5,スコア表[#Headers],0)),スコア表[08],0),"-")</f>
        <v>17</v>
      </c>
      <c r="P10" s="79">
        <f>IFERROR(_xlfn.RANK.EQ(INDEX(スコア表[],MATCH($C10,スコア表['#],0),MATCH(P$5,スコア表[#Headers],0)),スコア表[09],0),"-")</f>
        <v>25</v>
      </c>
      <c r="Q10" s="79">
        <f>IFERROR(_xlfn.RANK.EQ(INDEX(スコア表[],MATCH($C10,スコア表['#],0),MATCH(Q$5,スコア表[#Headers],0)),スコア表[10],0),"-")</f>
        <v>19</v>
      </c>
      <c r="R10" s="79">
        <f>IFERROR(_xlfn.RANK.EQ(INDEX(スコア表[],MATCH($C10,スコア表['#],0),MATCH(R$5,スコア表[#Headers],0)),スコア表[11],0),"-")</f>
        <v>39</v>
      </c>
      <c r="S10" s="79">
        <f>IFERROR(_xlfn.RANK.EQ(INDEX(スコア表[],MATCH($C10,スコア表['#],0),MATCH(S$5,スコア表[#Headers],0)),スコア表[12],0),"-")</f>
        <v>20</v>
      </c>
      <c r="T10" s="79">
        <f>IFERROR(_xlfn.RANK.EQ(INDEX(スコア表[],MATCH($C10,スコア表['#],0),MATCH(T$5,スコア表[#Headers],0)),スコア表[13],0),"-")</f>
        <v>37</v>
      </c>
      <c r="U10" s="79">
        <f>IFERROR(_xlfn.RANK.EQ(INDEX(スコア表[],MATCH($C10,スコア表['#],0),MATCH(U$5,スコア表[#Headers],0)),スコア表[14],0),"-")</f>
        <v>28</v>
      </c>
      <c r="V10" s="79">
        <f>IFERROR(_xlfn.RANK.EQ(INDEX(スコア表[],MATCH($C10,スコア表['#],0),MATCH(V$5,スコア表[#Headers],0)),スコア表[15],0),"-")</f>
        <v>13</v>
      </c>
      <c r="W10" s="79">
        <f>IFERROR(_xlfn.RANK.EQ(INDEX(スコア表[],MATCH($C10,スコア表['#],0),MATCH(W$5,スコア表[#Headers],0)),スコア表[16],0),"-")</f>
        <v>22</v>
      </c>
      <c r="X10" s="79">
        <f>IFERROR(_xlfn.RANK.EQ(INDEX(スコア表[],MATCH($C10,スコア表['#],0),MATCH(X$5,スコア表[#Headers],0)),スコア表[17],0),"-")</f>
        <v>11</v>
      </c>
      <c r="Y10" s="79">
        <f>IFERROR(_xlfn.RANK.EQ(INDEX(スコア表[],MATCH($C10,スコア表['#],0),MATCH(Y$5,スコア表[#Headers],0)),スコア表[18],0),"-")</f>
        <v>20</v>
      </c>
      <c r="Z10" s="79">
        <f>IFERROR(_xlfn.RANK.EQ(INDEX(スコア表[],MATCH($C10,スコア表['#],0),MATCH(Z$5,スコア表[#Headers],0)),スコア表[19],0),"-")</f>
        <v>35</v>
      </c>
      <c r="AA10" s="79">
        <f>IFERROR(_xlfn.RANK.EQ(INDEX(スコア表[],MATCH($C10,スコア表['#],0),MATCH(AA$5,スコア表[#Headers],0)),スコア表[20],0),"-")</f>
        <v>18</v>
      </c>
      <c r="AB10" s="79">
        <f>IFERROR(_xlfn.RANK.EQ(INDEX(スコア表[],MATCH($C10,スコア表['#],0),MATCH(AB$5,スコア表[#Headers],0)),スコア表[21],0),"-")</f>
        <v>42</v>
      </c>
      <c r="AC10" s="79">
        <f>IFERROR(_xlfn.RANK.EQ(INDEX(スコア表[],MATCH($C10,スコア表['#],0),MATCH(AC$5,スコア表[#Headers],0)),スコア表[22],0),"-")</f>
        <v>1</v>
      </c>
      <c r="AD10" s="79">
        <f>IFERROR(_xlfn.RANK.EQ(INDEX(スコア表[],MATCH($C10,スコア表['#],0),MATCH(AD$5,スコア表[#Headers],0)),スコア表[23],0),"-")</f>
        <v>27</v>
      </c>
      <c r="AE10" s="79">
        <f>IFERROR(_xlfn.RANK.EQ(INDEX(スコア表[],MATCH($C10,スコア表['#],0),MATCH(AE$5,スコア表[#Headers],0)),スコア表[24],0),"-")</f>
        <v>14</v>
      </c>
      <c r="AF10" s="79">
        <f>IFERROR(_xlfn.RANK.EQ(INDEX(スコア表[],MATCH($C10,スコア表['#],0),MATCH(AF$5,スコア表[#Headers],0)),スコア表[25],0),"-")</f>
        <v>19</v>
      </c>
      <c r="AG10" s="79">
        <f>IFERROR(_xlfn.RANK.EQ(INDEX(スコア表[],MATCH($C10,スコア表['#],0),MATCH(AG$5,スコア表[#Headers],0)),スコア表[26],0),"-")</f>
        <v>41</v>
      </c>
      <c r="AH10" s="79">
        <f>IFERROR(_xlfn.RANK.EQ(INDEX(スコア表[],MATCH($C10,スコア表['#],0),MATCH(AH$5,スコア表[#Headers],0)),スコア表[27],0),"-")</f>
        <v>2</v>
      </c>
      <c r="AI10" s="79">
        <f>IFERROR(_xlfn.RANK.EQ(INDEX(スコア表[],MATCH($C10,スコア表['#],0),MATCH(AI$5,スコア表[#Headers],0)),スコア表[28],0),"-")</f>
        <v>45</v>
      </c>
      <c r="AJ10" s="79">
        <f>IFERROR(_xlfn.RANK.EQ(INDEX(スコア表[],MATCH($C10,スコア表['#],0),MATCH(AJ$5,スコア表[#Headers],0)),スコア表[29],0),"-")</f>
        <v>23</v>
      </c>
      <c r="AK10" s="79">
        <f>IFERROR(_xlfn.RANK.EQ(INDEX(スコア表[],MATCH($C10,スコア表['#],0),MATCH(AK$5,スコア表[#Headers],0)),スコア表[30],0),"-")</f>
        <v>15</v>
      </c>
      <c r="AL10" s="79">
        <f>IFERROR(_xlfn.RANK.EQ(INDEX(スコア表[],MATCH($C10,スコア表['#],0),MATCH(AL$5,スコア表[#Headers],0)),スコア表[31],0),"-")</f>
        <v>27</v>
      </c>
      <c r="AM10" s="79">
        <f>IFERROR(_xlfn.RANK.EQ(INDEX(スコア表[],MATCH($C10,スコア表['#],0),MATCH(AM$5,スコア表[#Headers],0)),スコア表[32],0),"-")</f>
        <v>38</v>
      </c>
      <c r="AN10" s="79">
        <f>IFERROR(_xlfn.RANK.EQ(INDEX(スコア表[],MATCH($C10,スコア表['#],0),MATCH(AN$5,スコア表[#Headers],0)),スコア表[33],0),"-")</f>
        <v>35</v>
      </c>
      <c r="AO10" s="79">
        <f>IFERROR(_xlfn.RANK.EQ(INDEX(スコア表[],MATCH($C10,スコア表['#],0),MATCH(AO$5,スコア表[#Headers],0)),スコア表[34],0),"-")</f>
        <v>33</v>
      </c>
      <c r="AP10" s="79">
        <f>IFERROR(_xlfn.RANK.EQ(INDEX(スコア表[],MATCH($C10,スコア表['#],0),MATCH(AP$5,スコア表[#Headers],0)),スコア表[35],0),"-")</f>
        <v>35</v>
      </c>
      <c r="AQ10" s="79">
        <f>IFERROR(_xlfn.RANK.EQ(INDEX(スコア表[],MATCH($C10,スコア表['#],0),MATCH(AQ$5,スコア表[#Headers],0)),スコア表[36],0),"-")</f>
        <v>18</v>
      </c>
      <c r="AR10" s="79">
        <f>IFERROR(_xlfn.RANK.EQ(INDEX(スコア表[],MATCH($C10,スコア表['#],0),MATCH(AR$5,スコア表[#Headers],0)),スコア表[37],0),"-")</f>
        <v>23</v>
      </c>
      <c r="AS10" s="79">
        <f>IFERROR(_xlfn.RANK.EQ(INDEX(スコア表[],MATCH($C10,スコア表['#],0),MATCH(AS$5,スコア表[#Headers],0)),スコア表[38],0),"-")</f>
        <v>44</v>
      </c>
      <c r="AT10" s="79">
        <f>IFERROR(_xlfn.RANK.EQ(INDEX(スコア表[],MATCH($C10,スコア表['#],0),MATCH(AT$5,スコア表[#Headers],0)),スコア表[39],0),"-")</f>
        <v>9</v>
      </c>
      <c r="AU10" s="79">
        <f>IFERROR(_xlfn.RANK.EQ(INDEX(スコア表[],MATCH($C10,スコア表['#],0),MATCH(AU$5,スコア表[#Headers],0)),スコア表[40],0),"-")</f>
        <v>42</v>
      </c>
      <c r="AV10" s="79">
        <f>IFERROR(_xlfn.RANK.EQ(INDEX(スコア表[],MATCH($C10,スコア表['#],0),MATCH(AV$5,スコア表[#Headers],0)),スコア表[41],0),"-")</f>
        <v>19</v>
      </c>
      <c r="AW10" s="79">
        <f>IFERROR(_xlfn.RANK.EQ(INDEX(スコア表[],MATCH($C10,スコア表['#],0),MATCH(AW$5,スコア表[#Headers],0)),スコア表[42],0),"-")</f>
        <v>20</v>
      </c>
      <c r="AX10" s="79">
        <f>IFERROR(_xlfn.RANK.EQ(INDEX(スコア表[],MATCH($C10,スコア表['#],0),MATCH(AX$5,スコア表[#Headers],0)),スコア表[43],0),"-")</f>
        <v>2</v>
      </c>
      <c r="AY10" s="79">
        <f>IFERROR(_xlfn.RANK.EQ(INDEX(スコア表[],MATCH($C10,スコア表['#],0),MATCH(AY$5,スコア表[#Headers],0)),スコア表[44],0),"-")</f>
        <v>22</v>
      </c>
      <c r="AZ10" s="79">
        <f>IFERROR(_xlfn.RANK.EQ(INDEX(スコア表[],MATCH($C10,スコア表['#],0),MATCH(AZ$5,スコア表[#Headers],0)),スコア表[45],0),"-")</f>
        <v>26</v>
      </c>
      <c r="BA10" s="79">
        <f>IFERROR(_xlfn.RANK.EQ(INDEX(スコア表[],MATCH($C10,スコア表['#],0),MATCH(BA$5,スコア表[#Headers],0)),スコア表[46],0),"-")</f>
        <v>12</v>
      </c>
      <c r="BB10" s="79">
        <f>IFERROR(_xlfn.RANK.EQ(INDEX(スコア表[],MATCH($C10,スコア表['#],0),MATCH(BB$5,スコア表[#Headers],0)),スコア表[47],0),"-")</f>
        <v>35</v>
      </c>
      <c r="BC10" s="79">
        <f>IFERROR(_xlfn.RANK.EQ(INDEX(スコア表[],MATCH($C10,スコア表['#],0),MATCH(BC$5,スコア表[#Headers],0)),スコア表[48],0),"-")</f>
        <v>5</v>
      </c>
      <c r="BD10" s="79">
        <f>IFERROR(_xlfn.RANK.EQ(INDEX(スコア表[],MATCH($C10,スコア表['#],0),MATCH(BD$5,スコア表[#Headers],0)),スコア表[49],0),"-")</f>
        <v>26</v>
      </c>
      <c r="BE10" s="79">
        <f>IFERROR(_xlfn.RANK.EQ(INDEX(スコア表[],MATCH($C10,スコア表['#],0),MATCH(BE$5,スコア表[#Headers],0)),スコア表[50],0),"-")</f>
        <v>20</v>
      </c>
      <c r="BF10" s="79">
        <f>IFERROR(_xlfn.RANK.EQ(INDEX(スコア表[],MATCH($C10,スコア表['#],0),MATCH(BF$5,スコア表[#Headers],0)),スコア表[51],0),"-")</f>
        <v>21</v>
      </c>
      <c r="BG10" s="79">
        <f>IFERROR(_xlfn.RANK.EQ(INDEX(スコア表[],MATCH($C10,スコア表['#],0),MATCH(BG$5,スコア表[#Headers],0)),スコア表[52],0),"-")</f>
        <v>34</v>
      </c>
      <c r="BH10" s="79">
        <f>IFERROR(_xlfn.RANK.EQ(INDEX(スコア表[],MATCH($C10,スコア表['#],0),MATCH(BH$5,スコア表[#Headers],0)),スコア表[53],0),"-")</f>
        <v>26</v>
      </c>
      <c r="BI10" s="79">
        <f>IFERROR(_xlfn.RANK.EQ(INDEX(スコア表[],MATCH($C10,スコア表['#],0),MATCH(BI$5,スコア表[#Headers],0)),スコア表[54],0),"-")</f>
        <v>12</v>
      </c>
      <c r="BJ10" s="79">
        <f>IFERROR(_xlfn.RANK.EQ(INDEX(スコア表[],MATCH($C10,スコア表['#],0),MATCH(BJ$5,スコア表[#Headers],0)),スコア表[55],0),"-")</f>
        <v>30</v>
      </c>
      <c r="BK10" s="79">
        <f>IFERROR(_xlfn.RANK.EQ(INDEX(スコア表[],MATCH($C10,スコア表['#],0),MATCH(BK$5,スコア表[#Headers],0)),スコア表[56],0),"-")</f>
        <v>24</v>
      </c>
      <c r="BL10" s="79">
        <f>IFERROR(_xlfn.RANK.EQ(INDEX(スコア表[],MATCH($C10,スコア表['#],0),MATCH(BL$5,スコア表[#Headers],0)),スコア表[57],0),"-")</f>
        <v>21</v>
      </c>
      <c r="BM10" s="79">
        <f>IFERROR(_xlfn.RANK.EQ(INDEX(スコア表[],MATCH($C10,スコア表['#],0),MATCH(BM$5,スコア表[#Headers],0)),スコア表[58],0),"-")</f>
        <v>26</v>
      </c>
      <c r="BN10" s="79">
        <f>IFERROR(_xlfn.RANK.EQ(INDEX(スコア表[],MATCH($C10,スコア表['#],0),MATCH(BN$5,スコア表[#Headers],0)),スコア表[59],0),"-")</f>
        <v>18</v>
      </c>
      <c r="BO10" s="79">
        <f>IFERROR(_xlfn.RANK.EQ(INDEX(スコア表[],MATCH($C10,スコア表['#],0),MATCH(BO$5,スコア表[#Headers],0)),スコア表[60],0),"-")</f>
        <v>38</v>
      </c>
      <c r="BP10" s="79">
        <f>IFERROR(_xlfn.RANK.EQ(INDEX(スコア表[],MATCH($C10,スコア表['#],0),MATCH(BP$5,スコア表[#Headers],0)),スコア表[61],0),"-")</f>
        <v>7</v>
      </c>
      <c r="BQ10" s="79">
        <f>IFERROR(_xlfn.RANK.EQ(INDEX(スコア表[],MATCH($C10,スコア表['#],0),MATCH(BQ$5,スコア表[#Headers],0)),スコア表[62],0),"-")</f>
        <v>23</v>
      </c>
      <c r="BR10" s="79">
        <f>IFERROR(_xlfn.RANK.EQ(INDEX(スコア表[],MATCH($C10,スコア表['#],0),MATCH(BR$5,スコア表[#Headers],0)),スコア表[63],0),"-")</f>
        <v>29</v>
      </c>
      <c r="BS10" s="79">
        <f>IFERROR(_xlfn.RANK.EQ(INDEX(スコア表[],MATCH($C10,スコア表['#],0),MATCH(BS$5,スコア表[#Headers],0)),スコア表[64],0),"-")</f>
        <v>33</v>
      </c>
      <c r="BT10" s="79">
        <f>IFERROR(_xlfn.RANK.EQ(INDEX(スコア表[],MATCH($C10,スコア表['#],0),MATCH(BT$5,スコア表[#Headers],0)),スコア表[65],0),"-")</f>
        <v>8</v>
      </c>
      <c r="BU10" s="79">
        <f>IFERROR(_xlfn.RANK.EQ(INDEX(スコア表[],MATCH($C10,スコア表['#],0),MATCH(BU$5,スコア表[#Headers],0)),スコア表[66],0),"-")</f>
        <v>23</v>
      </c>
      <c r="BV10" s="79">
        <f>IFERROR(_xlfn.RANK.EQ(INDEX(スコア表[],MATCH($C10,スコア表['#],0),MATCH(BV$5,スコア表[#Headers],0)),スコア表[67],0),"-")</f>
        <v>27</v>
      </c>
      <c r="BW10" s="79">
        <f>IFERROR(_xlfn.RANK.EQ(INDEX(スコア表[],MATCH($C10,スコア表['#],0),MATCH(BW$5,スコア表[#Headers],0)),スコア表[68],0),"-")</f>
        <v>18</v>
      </c>
      <c r="BX10" s="79">
        <f>IFERROR(_xlfn.RANK.EQ(INDEX(スコア表[],MATCH($C10,スコア表['#],0),MATCH(BX$5,スコア表[#Headers],0)),スコア表[69],0),"-")</f>
        <v>41</v>
      </c>
      <c r="BY10" s="79">
        <f>IFERROR(_xlfn.RANK.EQ(INDEX(スコア表[],MATCH($C10,スコア表['#],0),MATCH(BY$5,スコア表[#Headers],0)),スコア表[70],0),"-")</f>
        <v>41</v>
      </c>
      <c r="BZ10" s="79">
        <f>IFERROR(_xlfn.RANK.EQ(INDEX(スコア表[],MATCH($C10,スコア表['#],0),MATCH(BZ$5,スコア表[#Headers],0)),スコア表[Ec1],0),"-")</f>
        <v>24</v>
      </c>
      <c r="CA10" s="79">
        <f>IFERROR(_xlfn.RANK.EQ(INDEX(スコア表[],MATCH($C10,スコア表['#],0),MATCH(CA$5,スコア表[#Headers],0)),スコア表[Ec2],0),"-")</f>
        <v>30</v>
      </c>
      <c r="CB10" s="79">
        <f>IFERROR(_xlfn.RANK.EQ(INDEX(スコア表[],MATCH($C10,スコア表['#],0),MATCH(CB$5,スコア表[#Headers],0)),スコア表[Ec3],0),"-")</f>
        <v>38</v>
      </c>
      <c r="CC10" s="79">
        <f>IFERROR(_xlfn.RANK.EQ(INDEX(スコア表[],MATCH($C10,スコア表['#],0),MATCH(CC$5,スコア表[#Headers],0)),スコア表[Ec4],0),"-")</f>
        <v>23</v>
      </c>
      <c r="CD10" s="79">
        <f>IFERROR(_xlfn.RANK.EQ(INDEX(スコア表[],MATCH($C10,スコア表['#],0),MATCH(CD$5,スコア表[#Headers],0)),スコア表[Ec5],0),"-")</f>
        <v>27</v>
      </c>
      <c r="CE10" s="79">
        <f>IFERROR(_xlfn.RANK.EQ(INDEX(スコア表[],MATCH($C10,スコア表['#],0),MATCH(CE$5,スコア表[#Headers],0)),スコア表[Ec6],0),"-")</f>
        <v>29</v>
      </c>
      <c r="CF10" s="79">
        <f>IFERROR(_xlfn.RANK.EQ(INDEX(スコア表[],MATCH($C10,スコア表['#],0),MATCH(CF$5,スコア表[#Headers],0)),スコア表[RD1],0),"-")</f>
        <v>19</v>
      </c>
      <c r="CG10" s="79">
        <f>IFERROR(_xlfn.RANK.EQ(INDEX(スコア表[],MATCH($C10,スコア表['#],0),MATCH(CG$5,スコア表[#Headers],0)),スコア表[RD2],0),"-")</f>
        <v>18</v>
      </c>
      <c r="CH10" s="79">
        <f>IFERROR(_xlfn.RANK.EQ(INDEX(スコア表[],MATCH($C10,スコア表['#],0),MATCH(CH$5,スコア表[#Headers],0)),スコア表[RD3],0),"-")</f>
        <v>41</v>
      </c>
      <c r="CI10" s="79">
        <f>IFERROR(_xlfn.RANK.EQ(INDEX(スコア表[],MATCH($C10,スコア表['#],0),MATCH(CI$5,スコア表[#Headers],0)),スコア表[CI1],0),"-")</f>
        <v>5</v>
      </c>
      <c r="CJ10" s="79">
        <f>IFERROR(_xlfn.RANK.EQ(INDEX(スコア表[],MATCH($C10,スコア表['#],0),MATCH(CJ$5,スコア表[#Headers],0)),スコア表[CI2],0),"-")</f>
        <v>13</v>
      </c>
      <c r="CK10" s="79">
        <f>IFERROR(_xlfn.RANK.EQ(INDEX(スコア表[],MATCH($C10,スコア表['#],0),MATCH(CK$5,スコア表[#Headers],0)),スコア表[CI3],0),"-")</f>
        <v>27</v>
      </c>
      <c r="CL10" s="79">
        <f>IFERROR(_xlfn.RANK.EQ(INDEX(スコア表[],MATCH($C10,スコア表['#],0),MATCH(CL$5,スコア表[#Headers],0)),スコア表[CI4],0),"-")</f>
        <v>37</v>
      </c>
      <c r="CM10" s="79">
        <f>IFERROR(_xlfn.RANK.EQ(INDEX(スコア表[],MATCH($C10,スコア表['#],0),MATCH(CM$5,スコア表[#Headers],0)),スコア表[CI5],0),"-")</f>
        <v>23</v>
      </c>
      <c r="CN10" s="79">
        <f>IFERROR(_xlfn.RANK.EQ(INDEX(スコア表[],MATCH($C10,スコア表['#],0),MATCH(CN$5,スコア表[#Headers],0)),スコア表[Li1],0),"-")</f>
        <v>40</v>
      </c>
      <c r="CO10" s="79">
        <f>IFERROR(_xlfn.RANK.EQ(INDEX(スコア表[],MATCH($C10,スコア表['#],0),MATCH(CO$5,スコア表[#Headers],0)),スコア表[Li2],0),"-")</f>
        <v>18</v>
      </c>
      <c r="CP10" s="79">
        <f>IFERROR(_xlfn.RANK.EQ(INDEX(スコア表[],MATCH($C10,スコア表['#],0),MATCH(CP$5,スコア表[#Headers],0)),スコア表[Li3],0),"-")</f>
        <v>3</v>
      </c>
      <c r="CQ10" s="79">
        <f>IFERROR(_xlfn.RANK.EQ(INDEX(スコア表[],MATCH($C10,スコア表['#],0),MATCH(CQ$5,スコア表[#Headers],0)),スコア表[Li4],0),"-")</f>
        <v>21</v>
      </c>
      <c r="CR10" s="79">
        <f>IFERROR(_xlfn.RANK.EQ(INDEX(スコア表[],MATCH($C10,スコア表['#],0),MATCH(CR$5,スコア表[#Headers],0)),スコア表[Li5],0),"-")</f>
        <v>8</v>
      </c>
      <c r="CS10" s="79">
        <f>IFERROR(_xlfn.RANK.EQ(INDEX(スコア表[],MATCH($C10,スコア表['#],0),MATCH(CS$5,スコア表[#Headers],0)),スコア表[En1],0),"-")</f>
        <v>33</v>
      </c>
      <c r="CT10" s="79">
        <f>IFERROR(_xlfn.RANK.EQ(INDEX(スコア表[],MATCH($C10,スコア表['#],0),MATCH(CT$5,スコア表[#Headers],0)),スコア表[En2],0),"-")</f>
        <v>26</v>
      </c>
      <c r="CU10" s="79">
        <f>IFERROR(_xlfn.RANK.EQ(INDEX(スコア表[],MATCH($C10,スコア表['#],0),MATCH(CU$5,スコア表[#Headers],0)),スコア表[En3],0),"-")</f>
        <v>28</v>
      </c>
      <c r="CV10" s="79">
        <f>IFERROR(_xlfn.RANK.EQ(INDEX(スコア表[],MATCH($C10,スコア表['#],0),MATCH(CV$5,スコア表[#Headers],0)),スコア表[Ac1],0),"-")</f>
        <v>11</v>
      </c>
      <c r="CW10" s="79">
        <f>IFERROR(_xlfn.RANK.EQ(INDEX(スコア表[],MATCH($C10,スコア表['#],0),MATCH(CW$5,スコア表[#Headers],0)),スコア表[Ac2],0),"-")</f>
        <v>29</v>
      </c>
      <c r="CX10" s="79">
        <f>IFERROR(_xlfn.RANK.EQ(INDEX(スコア表[],MATCH($C10,スコア表['#],0),MATCH(CX$5,スコア表[#Headers],0)),スコア表[Ac3],0),"-")</f>
        <v>19</v>
      </c>
      <c r="CY10" s="79">
        <f>IFERROR(_xlfn.RANK.EQ(INDEX(スコア表[],MATCH($C10,スコア表['#],0),MATCH(CY$5,スコア表[#Headers],0)),スコア表[Ac4],0),"-")</f>
        <v>34</v>
      </c>
      <c r="CZ10" s="79">
        <f>IFERROR(_xlfn.RANK.EQ(INDEX(スコア表[],MATCH($C10,スコア表['#],0),MATCH(CZ$5,スコア表[#Headers],0)),スコア表[Economy],0),"-")</f>
        <v>31</v>
      </c>
      <c r="DA10" s="79">
        <f>IFERROR(_xlfn.RANK.EQ(INDEX(スコア表[],MATCH($C10,スコア表['#],0),MATCH(DA$5,スコア表[#Headers],0)),スコア表[R&amp;D],0),"-")</f>
        <v>21</v>
      </c>
      <c r="DB10" s="79">
        <f>IFERROR(_xlfn.RANK.EQ(INDEX(スコア表[],MATCH($C10,スコア表['#],0),MATCH(DB$5,スコア表[#Headers],0)),スコア表[Cultural Interaction],0),"-")</f>
        <v>21</v>
      </c>
      <c r="DC10" s="79">
        <f>IFERROR(_xlfn.RANK.EQ(INDEX(スコア表[],MATCH($C10,スコア表['#],0),MATCH(DC$5,スコア表[#Headers],0)),スコア表[Livability],0),"-")</f>
        <v>11</v>
      </c>
      <c r="DD10" s="79">
        <f>IFERROR(_xlfn.RANK.EQ(INDEX(スコア表[],MATCH($C10,スコア表['#],0),MATCH(DD$5,スコア表[#Headers],0)),スコア表[Environment],0),"-")</f>
        <v>24</v>
      </c>
      <c r="DE10" s="79">
        <f>IFERROR(_xlfn.RANK.EQ(INDEX(スコア表[],MATCH($C10,スコア表['#],0),MATCH(DE$5,スコア表[#Headers],0)),スコア表[Accessibility],0),"-")</f>
        <v>21</v>
      </c>
      <c r="DF10" s="81">
        <f>IFERROR(_xlfn.RANK.EQ(INDEX(スコア表[],MATCH($C10,スコア表['#],0),MATCH(DF$5,スコア表[#Headers],0)),スコア表[Comprehensive],0),"-")</f>
        <v>24</v>
      </c>
    </row>
    <row r="11" spans="1:110">
      <c r="A11" s="2">
        <v>6</v>
      </c>
      <c r="B11" s="58">
        <f>INDEX(順位表[Comprehensive],MATCH($C11,順位表['#],0))</f>
        <v>6</v>
      </c>
      <c r="C11" s="3">
        <v>6</v>
      </c>
      <c r="D11" s="1" t="str">
        <f>INDEX(都市マスタ[City Name],MATCH($C11,都市マスタ['#],0))</f>
        <v>Amsterdam</v>
      </c>
      <c r="E11" s="79">
        <f>IFERROR(_xlfn.RANK.EQ(INDEX(スコア表[],MATCH($C11,スコア表['#],0),MATCH(E$5,スコア表[#Headers],0)),スコア表[00a],0),"-")</f>
        <v>38</v>
      </c>
      <c r="F11" s="79">
        <f>IFERROR(_xlfn.RANK.EQ(INDEX(スコア表[],MATCH($C11,スコア表['#],0),MATCH(F$5,スコア表[#Headers],0)),スコア表[00b],0),"-")</f>
        <v>38</v>
      </c>
      <c r="G11" s="79">
        <f>IFERROR(_xlfn.RANK.EQ(INDEX(スコア表[],MATCH($C11,スコア表['#],0),MATCH(G$5,スコア表[#Headers],0)),スコア表[00c],0),"-")</f>
        <v>37</v>
      </c>
      <c r="H11" s="79">
        <f>IFERROR(_xlfn.RANK.EQ(INDEX(スコア表[],MATCH($C11,スコア表['#],0),MATCH(H$5,スコア表[#Headers],0)),スコア表[01],0),"-")</f>
        <v>30</v>
      </c>
      <c r="I11" s="79">
        <f>IFERROR(_xlfn.RANK.EQ(INDEX(スコア表[],MATCH($C11,スコア表['#],0),MATCH(I$5,スコア表[#Headers],0)),スコア表[02],0),"-")</f>
        <v>7</v>
      </c>
      <c r="J11" s="79">
        <f>IFERROR(_xlfn.RANK.EQ(INDEX(スコア表[],MATCH($C11,スコア表['#],0),MATCH(J$5,スコア表[#Headers],0)),スコア表[03],0),"-")</f>
        <v>26</v>
      </c>
      <c r="K11" s="79">
        <f>IFERROR(_xlfn.RANK.EQ(INDEX(スコア表[],MATCH($C11,スコア表['#],0),MATCH(K$5,スコア表[#Headers],0)),スコア表[04],0),"-")</f>
        <v>6</v>
      </c>
      <c r="L11" s="79">
        <f>IFERROR(_xlfn.RANK.EQ(INDEX(スコア表[],MATCH($C11,スコア表['#],0),MATCH(L$5,スコア表[#Headers],0)),スコア表[05],0),"-")</f>
        <v>14</v>
      </c>
      <c r="M11" s="79">
        <f>IFERROR(_xlfn.RANK.EQ(INDEX(スコア表[],MATCH($C11,スコア表['#],0),MATCH(M$5,スコア表[#Headers],0)),スコア表[06],0),"-")</f>
        <v>10</v>
      </c>
      <c r="N11" s="79">
        <f>IFERROR(_xlfn.RANK.EQ(INDEX(スコア表[],MATCH($C11,スコア表['#],0),MATCH(N$5,スコア表[#Headers],0)),スコア表[07],0),"-")</f>
        <v>42</v>
      </c>
      <c r="O11" s="79">
        <f>IFERROR(_xlfn.RANK.EQ(INDEX(スコア表[],MATCH($C11,スコア表['#],0),MATCH(O$5,スコア表[#Headers],0)),スコア表[08],0),"-")</f>
        <v>2</v>
      </c>
      <c r="P11" s="79">
        <f>IFERROR(_xlfn.RANK.EQ(INDEX(スコア表[],MATCH($C11,スコア表['#],0),MATCH(P$5,スコア表[#Headers],0)),スコア表[09],0),"-")</f>
        <v>13</v>
      </c>
      <c r="Q11" s="79">
        <f>IFERROR(_xlfn.RANK.EQ(INDEX(スコア表[],MATCH($C11,スコア表['#],0),MATCH(Q$5,スコア表[#Headers],0)),スコア表[10],0),"-")</f>
        <v>11</v>
      </c>
      <c r="R11" s="79">
        <f>IFERROR(_xlfn.RANK.EQ(INDEX(スコア表[],MATCH($C11,スコア表['#],0),MATCH(R$5,スコア表[#Headers],0)),スコア表[11],0),"-")</f>
        <v>29</v>
      </c>
      <c r="S11" s="79">
        <f>IFERROR(_xlfn.RANK.EQ(INDEX(スコア表[],MATCH($C11,スコア表['#],0),MATCH(S$5,スコア表[#Headers],0)),スコア表[12],0),"-")</f>
        <v>27</v>
      </c>
      <c r="T11" s="79">
        <f>IFERROR(_xlfn.RANK.EQ(INDEX(スコア表[],MATCH($C11,スコア表['#],0),MATCH(T$5,スコア表[#Headers],0)),スコア表[13],0),"-")</f>
        <v>35</v>
      </c>
      <c r="U11" s="79">
        <f>IFERROR(_xlfn.RANK.EQ(INDEX(スコア表[],MATCH($C11,スコア表['#],0),MATCH(U$5,スコア表[#Headers],0)),スコア表[14],0),"-")</f>
        <v>36</v>
      </c>
      <c r="V11" s="79">
        <f>IFERROR(_xlfn.RANK.EQ(INDEX(スコア表[],MATCH($C11,スコア表['#],0),MATCH(V$5,スコア表[#Headers],0)),スコア表[15],0),"-")</f>
        <v>6</v>
      </c>
      <c r="W11" s="79">
        <f>IFERROR(_xlfn.RANK.EQ(INDEX(スコア表[],MATCH($C11,スコア表['#],0),MATCH(W$5,スコア表[#Headers],0)),スコア表[16],0),"-")</f>
        <v>33</v>
      </c>
      <c r="X11" s="79">
        <f>IFERROR(_xlfn.RANK.EQ(INDEX(スコア表[],MATCH($C11,スコア表['#],0),MATCH(X$5,スコア表[#Headers],0)),スコア表[17],0),"-")</f>
        <v>14</v>
      </c>
      <c r="Y11" s="79">
        <f>IFERROR(_xlfn.RANK.EQ(INDEX(スコア表[],MATCH($C11,スコア表['#],0),MATCH(Y$5,スコア表[#Headers],0)),スコア表[18],0),"-")</f>
        <v>15</v>
      </c>
      <c r="Z11" s="79">
        <f>IFERROR(_xlfn.RANK.EQ(INDEX(スコア表[],MATCH($C11,スコア表['#],0),MATCH(Z$5,スコア表[#Headers],0)),スコア表[19],0),"-")</f>
        <v>41</v>
      </c>
      <c r="AA11" s="79">
        <f>IFERROR(_xlfn.RANK.EQ(INDEX(スコア表[],MATCH($C11,スコア表['#],0),MATCH(AA$5,スコア表[#Headers],0)),スコア表[20],0),"-")</f>
        <v>14</v>
      </c>
      <c r="AB11" s="79">
        <f>IFERROR(_xlfn.RANK.EQ(INDEX(スコア表[],MATCH($C11,スコア表['#],0),MATCH(AB$5,スコア表[#Headers],0)),スコア表[21],0),"-")</f>
        <v>19</v>
      </c>
      <c r="AC11" s="79">
        <f>IFERROR(_xlfn.RANK.EQ(INDEX(スコア表[],MATCH($C11,スコア表['#],0),MATCH(AC$5,スコア表[#Headers],0)),スコア表[22],0),"-")</f>
        <v>13</v>
      </c>
      <c r="AD11" s="79">
        <f>IFERROR(_xlfn.RANK.EQ(INDEX(スコア表[],MATCH($C11,スコア表['#],0),MATCH(AD$5,スコア表[#Headers],0)),スコア表[23],0),"-")</f>
        <v>16</v>
      </c>
      <c r="AE11" s="79">
        <f>IFERROR(_xlfn.RANK.EQ(INDEX(スコア表[],MATCH($C11,スコア表['#],0),MATCH(AE$5,スコア表[#Headers],0)),スコア表[24],0),"-")</f>
        <v>11</v>
      </c>
      <c r="AF11" s="79">
        <f>IFERROR(_xlfn.RANK.EQ(INDEX(スコア表[],MATCH($C11,スコア表['#],0),MATCH(AF$5,スコア表[#Headers],0)),スコア表[25],0),"-")</f>
        <v>17</v>
      </c>
      <c r="AG11" s="79">
        <f>IFERROR(_xlfn.RANK.EQ(INDEX(スコア表[],MATCH($C11,スコア表['#],0),MATCH(AG$5,スコア表[#Headers],0)),スコア表[26],0),"-")</f>
        <v>26</v>
      </c>
      <c r="AH11" s="79">
        <f>IFERROR(_xlfn.RANK.EQ(INDEX(スコア表[],MATCH($C11,スコア表['#],0),MATCH(AH$5,スコア表[#Headers],0)),スコア表[27],0),"-")</f>
        <v>1</v>
      </c>
      <c r="AI11" s="79">
        <f>IFERROR(_xlfn.RANK.EQ(INDEX(スコア表[],MATCH($C11,スコア表['#],0),MATCH(AI$5,スコア表[#Headers],0)),スコア表[28],0),"-")</f>
        <v>7</v>
      </c>
      <c r="AJ11" s="79">
        <f>IFERROR(_xlfn.RANK.EQ(INDEX(スコア表[],MATCH($C11,スコア表['#],0),MATCH(AJ$5,スコア表[#Headers],0)),スコア表[29],0),"-")</f>
        <v>15</v>
      </c>
      <c r="AK11" s="79">
        <f>IFERROR(_xlfn.RANK.EQ(INDEX(スコア表[],MATCH($C11,スコア表['#],0),MATCH(AK$5,スコア表[#Headers],0)),スコア表[30],0),"-")</f>
        <v>12</v>
      </c>
      <c r="AL11" s="79">
        <f>IFERROR(_xlfn.RANK.EQ(INDEX(スコア表[],MATCH($C11,スコア表['#],0),MATCH(AL$5,スコア表[#Headers],0)),スコア表[31],0),"-")</f>
        <v>34</v>
      </c>
      <c r="AM11" s="79">
        <f>IFERROR(_xlfn.RANK.EQ(INDEX(スコア表[],MATCH($C11,スコア表['#],0),MATCH(AM$5,スコア表[#Headers],0)),スコア表[32],0),"-")</f>
        <v>23</v>
      </c>
      <c r="AN11" s="79">
        <f>IFERROR(_xlfn.RANK.EQ(INDEX(スコア表[],MATCH($C11,スコア表['#],0),MATCH(AN$5,スコア表[#Headers],0)),スコア表[33],0),"-")</f>
        <v>23</v>
      </c>
      <c r="AO11" s="79">
        <f>IFERROR(_xlfn.RANK.EQ(INDEX(スコア表[],MATCH($C11,スコア表['#],0),MATCH(AO$5,スコア表[#Headers],0)),スコア表[34],0),"-")</f>
        <v>16</v>
      </c>
      <c r="AP11" s="79">
        <f>IFERROR(_xlfn.RANK.EQ(INDEX(スコア表[],MATCH($C11,スコア表['#],0),MATCH(AP$5,スコア表[#Headers],0)),スコア表[35],0),"-")</f>
        <v>36</v>
      </c>
      <c r="AQ11" s="79">
        <f>IFERROR(_xlfn.RANK.EQ(INDEX(スコア表[],MATCH($C11,スコア表['#],0),MATCH(AQ$5,スコア表[#Headers],0)),スコア表[36],0),"-")</f>
        <v>28</v>
      </c>
      <c r="AR11" s="79">
        <f>IFERROR(_xlfn.RANK.EQ(INDEX(スコア表[],MATCH($C11,スコア表['#],0),MATCH(AR$5,スコア表[#Headers],0)),スコア表[37],0),"-")</f>
        <v>8</v>
      </c>
      <c r="AS11" s="79">
        <f>IFERROR(_xlfn.RANK.EQ(INDEX(スコア表[],MATCH($C11,スコア表['#],0),MATCH(AS$5,スコア表[#Headers],0)),スコア表[38],0),"-")</f>
        <v>20</v>
      </c>
      <c r="AT11" s="79">
        <f>IFERROR(_xlfn.RANK.EQ(INDEX(スコア表[],MATCH($C11,スコア表['#],0),MATCH(AT$5,スコア表[#Headers],0)),スコア表[39],0),"-")</f>
        <v>16</v>
      </c>
      <c r="AU11" s="79">
        <f>IFERROR(_xlfn.RANK.EQ(INDEX(スコア表[],MATCH($C11,スコア表['#],0),MATCH(AU$5,スコア表[#Headers],0)),スコア表[40],0),"-")</f>
        <v>25</v>
      </c>
      <c r="AV11" s="79">
        <f>IFERROR(_xlfn.RANK.EQ(INDEX(スコア表[],MATCH($C11,スコア表['#],0),MATCH(AV$5,スコア表[#Headers],0)),スコア表[41],0),"-")</f>
        <v>33</v>
      </c>
      <c r="AW11" s="79">
        <f>IFERROR(_xlfn.RANK.EQ(INDEX(スコア表[],MATCH($C11,スコア表['#],0),MATCH(AW$5,スコア表[#Headers],0)),スコア表[42],0),"-")</f>
        <v>25</v>
      </c>
      <c r="AX11" s="79">
        <f>IFERROR(_xlfn.RANK.EQ(INDEX(スコア表[],MATCH($C11,スコア表['#],0),MATCH(AX$5,スコア表[#Headers],0)),スコア表[43],0),"-")</f>
        <v>28</v>
      </c>
      <c r="AY11" s="79">
        <f>IFERROR(_xlfn.RANK.EQ(INDEX(スコア表[],MATCH($C11,スコア表['#],0),MATCH(AY$5,スコア表[#Headers],0)),スコア表[44],0),"-")</f>
        <v>33</v>
      </c>
      <c r="AZ11" s="79">
        <f>IFERROR(_xlfn.RANK.EQ(INDEX(スコア表[],MATCH($C11,スコア表['#],0),MATCH(AZ$5,スコア表[#Headers],0)),スコア表[45],0),"-")</f>
        <v>20</v>
      </c>
      <c r="BA11" s="79">
        <f>IFERROR(_xlfn.RANK.EQ(INDEX(スコア表[],MATCH($C11,スコア表['#],0),MATCH(BA$5,スコア表[#Headers],0)),スコア表[46],0),"-")</f>
        <v>9</v>
      </c>
      <c r="BB11" s="79">
        <f>IFERROR(_xlfn.RANK.EQ(INDEX(スコア表[],MATCH($C11,スコア表['#],0),MATCH(BB$5,スコア表[#Headers],0)),スコア表[47],0),"-")</f>
        <v>16</v>
      </c>
      <c r="BC11" s="79">
        <f>IFERROR(_xlfn.RANK.EQ(INDEX(スコア表[],MATCH($C11,スコア表['#],0),MATCH(BC$5,スコア表[#Headers],0)),スコア表[48],0),"-")</f>
        <v>15</v>
      </c>
      <c r="BD11" s="79">
        <f>IFERROR(_xlfn.RANK.EQ(INDEX(スコア表[],MATCH($C11,スコア表['#],0),MATCH(BD$5,スコア表[#Headers],0)),スコア表[49],0),"-")</f>
        <v>7</v>
      </c>
      <c r="BE11" s="79">
        <f>IFERROR(_xlfn.RANK.EQ(INDEX(スコア表[],MATCH($C11,スコア表['#],0),MATCH(BE$5,スコア表[#Headers],0)),スコア表[50],0),"-")</f>
        <v>26</v>
      </c>
      <c r="BF11" s="79">
        <f>IFERROR(_xlfn.RANK.EQ(INDEX(スコア表[],MATCH($C11,スコア表['#],0),MATCH(BF$5,スコア表[#Headers],0)),スコア表[51],0),"-")</f>
        <v>34</v>
      </c>
      <c r="BG11" s="79">
        <f>IFERROR(_xlfn.RANK.EQ(INDEX(スコア表[],MATCH($C11,スコア表['#],0),MATCH(BG$5,スコア表[#Headers],0)),スコア表[52],0),"-")</f>
        <v>31</v>
      </c>
      <c r="BH11" s="79">
        <f>IFERROR(_xlfn.RANK.EQ(INDEX(スコア表[],MATCH($C11,スコア表['#],0),MATCH(BH$5,スコア表[#Headers],0)),スコア表[53],0),"-")</f>
        <v>22</v>
      </c>
      <c r="BI11" s="79">
        <f>IFERROR(_xlfn.RANK.EQ(INDEX(スコア表[],MATCH($C11,スコア表['#],0),MATCH(BI$5,スコア表[#Headers],0)),スコア表[54],0),"-")</f>
        <v>18</v>
      </c>
      <c r="BJ11" s="79">
        <f>IFERROR(_xlfn.RANK.EQ(INDEX(スコア表[],MATCH($C11,スコア表['#],0),MATCH(BJ$5,スコア表[#Headers],0)),スコア表[55],0),"-")</f>
        <v>40</v>
      </c>
      <c r="BK11" s="79">
        <f>IFERROR(_xlfn.RANK.EQ(INDEX(スコア表[],MATCH($C11,スコア表['#],0),MATCH(BK$5,スコア表[#Headers],0)),スコア表[56],0),"-")</f>
        <v>18</v>
      </c>
      <c r="BL11" s="79">
        <f>IFERROR(_xlfn.RANK.EQ(INDEX(スコア表[],MATCH($C11,スコア表['#],0),MATCH(BL$5,スコア表[#Headers],0)),スコア表[57],0),"-")</f>
        <v>28</v>
      </c>
      <c r="BM11" s="79">
        <f>IFERROR(_xlfn.RANK.EQ(INDEX(スコア表[],MATCH($C11,スコア表['#],0),MATCH(BM$5,スコア表[#Headers],0)),スコア表[58],0),"-")</f>
        <v>8</v>
      </c>
      <c r="BN11" s="79">
        <f>IFERROR(_xlfn.RANK.EQ(INDEX(スコア表[],MATCH($C11,スコア表['#],0),MATCH(BN$5,スコア表[#Headers],0)),スコア表[59],0),"-")</f>
        <v>12</v>
      </c>
      <c r="BO11" s="79">
        <f>IFERROR(_xlfn.RANK.EQ(INDEX(スコア表[],MATCH($C11,スコア表['#],0),MATCH(BO$5,スコア表[#Headers],0)),スコア表[60],0),"-")</f>
        <v>22</v>
      </c>
      <c r="BP11" s="79">
        <f>IFERROR(_xlfn.RANK.EQ(INDEX(スコア表[],MATCH($C11,スコア表['#],0),MATCH(BP$5,スコア表[#Headers],0)),スコア表[61],0),"-")</f>
        <v>4</v>
      </c>
      <c r="BQ11" s="79">
        <f>IFERROR(_xlfn.RANK.EQ(INDEX(スコア表[],MATCH($C11,スコア表['#],0),MATCH(BQ$5,スコア表[#Headers],0)),スコア表[62],0),"-")</f>
        <v>15</v>
      </c>
      <c r="BR11" s="79">
        <f>IFERROR(_xlfn.RANK.EQ(INDEX(スコア表[],MATCH($C11,スコア表['#],0),MATCH(BR$5,スコア表[#Headers],0)),スコア表[63],0),"-")</f>
        <v>10</v>
      </c>
      <c r="BS11" s="79">
        <f>IFERROR(_xlfn.RANK.EQ(INDEX(スコア表[],MATCH($C11,スコア表['#],0),MATCH(BS$5,スコア表[#Headers],0)),スコア表[64],0),"-")</f>
        <v>10</v>
      </c>
      <c r="BT11" s="79">
        <f>IFERROR(_xlfn.RANK.EQ(INDEX(スコア表[],MATCH($C11,スコア表['#],0),MATCH(BT$5,スコア表[#Headers],0)),スコア表[65],0),"-")</f>
        <v>19</v>
      </c>
      <c r="BU11" s="79">
        <f>IFERROR(_xlfn.RANK.EQ(INDEX(スコア表[],MATCH($C11,スコア表['#],0),MATCH(BU$5,スコア表[#Headers],0)),スコア表[66],0),"-")</f>
        <v>18</v>
      </c>
      <c r="BV11" s="79">
        <f>IFERROR(_xlfn.RANK.EQ(INDEX(スコア表[],MATCH($C11,スコア表['#],0),MATCH(BV$5,スコア表[#Headers],0)),スコア表[67],0),"-")</f>
        <v>16</v>
      </c>
      <c r="BW11" s="79">
        <f>IFERROR(_xlfn.RANK.EQ(INDEX(スコア表[],MATCH($C11,スコア表['#],0),MATCH(BW$5,スコア表[#Headers],0)),スコア表[68],0),"-")</f>
        <v>1</v>
      </c>
      <c r="BX11" s="79">
        <f>IFERROR(_xlfn.RANK.EQ(INDEX(スコア表[],MATCH($C11,スコア表['#],0),MATCH(BX$5,スコア表[#Headers],0)),スコア表[69],0),"-")</f>
        <v>2</v>
      </c>
      <c r="BY11" s="79">
        <f>IFERROR(_xlfn.RANK.EQ(INDEX(スコア表[],MATCH($C11,スコア表['#],0),MATCH(BY$5,スコア表[#Headers],0)),スコア表[70],0),"-")</f>
        <v>2</v>
      </c>
      <c r="BZ11" s="79">
        <f>IFERROR(_xlfn.RANK.EQ(INDEX(スコア表[],MATCH($C11,スコア表['#],0),MATCH(BZ$5,スコア表[#Headers],0)),スコア表[Ec1],0),"-")</f>
        <v>15</v>
      </c>
      <c r="CA11" s="79">
        <f>IFERROR(_xlfn.RANK.EQ(INDEX(スコア表[],MATCH($C11,スコア表['#],0),MATCH(CA$5,スコア表[#Headers],0)),スコア表[Ec2],0),"-")</f>
        <v>13</v>
      </c>
      <c r="CB11" s="79">
        <f>IFERROR(_xlfn.RANK.EQ(INDEX(スコア表[],MATCH($C11,スコア表['#],0),MATCH(CB$5,スコア表[#Headers],0)),スコア表[Ec3],0),"-")</f>
        <v>12</v>
      </c>
      <c r="CC11" s="79">
        <f>IFERROR(_xlfn.RANK.EQ(INDEX(スコア表[],MATCH($C11,スコア表['#],0),MATCH(CC$5,スコア表[#Headers],0)),スコア表[Ec4],0),"-")</f>
        <v>7</v>
      </c>
      <c r="CD11" s="79">
        <f>IFERROR(_xlfn.RANK.EQ(INDEX(スコア表[],MATCH($C11,スコア表['#],0),MATCH(CD$5,スコア表[#Headers],0)),スコア表[Ec5],0),"-")</f>
        <v>14</v>
      </c>
      <c r="CE11" s="79">
        <f>IFERROR(_xlfn.RANK.EQ(INDEX(スコア表[],MATCH($C11,スコア表['#],0),MATCH(CE$5,スコア表[#Headers],0)),スコア表[Ec6],0),"-")</f>
        <v>30</v>
      </c>
      <c r="CF11" s="79">
        <f>IFERROR(_xlfn.RANK.EQ(INDEX(スコア表[],MATCH($C11,スコア表['#],0),MATCH(CF$5,スコア表[#Headers],0)),スコア表[RD1],0),"-")</f>
        <v>16</v>
      </c>
      <c r="CG11" s="79">
        <f>IFERROR(_xlfn.RANK.EQ(INDEX(スコア表[],MATCH($C11,スコア表['#],0),MATCH(CG$5,スコア表[#Headers],0)),スコア表[RD2],0),"-")</f>
        <v>23</v>
      </c>
      <c r="CH11" s="79">
        <f>IFERROR(_xlfn.RANK.EQ(INDEX(スコア表[],MATCH($C11,スコア表['#],0),MATCH(CH$5,スコア表[#Headers],0)),スコア表[RD3],0),"-")</f>
        <v>25</v>
      </c>
      <c r="CI11" s="79">
        <f>IFERROR(_xlfn.RANK.EQ(INDEX(スコア表[],MATCH($C11,スコア表['#],0),MATCH(CI$5,スコア表[#Headers],0)),スコア表[CI1],0),"-")</f>
        <v>18</v>
      </c>
      <c r="CJ11" s="79">
        <f>IFERROR(_xlfn.RANK.EQ(INDEX(スコア表[],MATCH($C11,スコア表['#],0),MATCH(CJ$5,スコア表[#Headers],0)),スコア表[CI2],0),"-")</f>
        <v>2</v>
      </c>
      <c r="CK11" s="79">
        <f>IFERROR(_xlfn.RANK.EQ(INDEX(スコア表[],MATCH($C11,スコア表['#],0),MATCH(CK$5,スコア表[#Headers],0)),スコア表[CI3],0),"-")</f>
        <v>21</v>
      </c>
      <c r="CL11" s="79">
        <f>IFERROR(_xlfn.RANK.EQ(INDEX(スコア表[],MATCH($C11,スコア表['#],0),MATCH(CL$5,スコア表[#Headers],0)),スコア表[CI4],0),"-")</f>
        <v>24</v>
      </c>
      <c r="CM11" s="79">
        <f>IFERROR(_xlfn.RANK.EQ(INDEX(スコア表[],MATCH($C11,スコア表['#],0),MATCH(CM$5,スコア表[#Headers],0)),スコア表[CI5],0),"-")</f>
        <v>14</v>
      </c>
      <c r="CN11" s="79">
        <f>IFERROR(_xlfn.RANK.EQ(INDEX(スコア表[],MATCH($C11,スコア表['#],0),MATCH(CN$5,スコア表[#Headers],0)),スコア表[Li1],0),"-")</f>
        <v>20</v>
      </c>
      <c r="CO11" s="79">
        <f>IFERROR(_xlfn.RANK.EQ(INDEX(スコア表[],MATCH($C11,スコア表['#],0),MATCH(CO$5,スコア表[#Headers],0)),スコア表[Li2],0),"-")</f>
        <v>29</v>
      </c>
      <c r="CP11" s="79">
        <f>IFERROR(_xlfn.RANK.EQ(INDEX(スコア表[],MATCH($C11,スコア表['#],0),MATCH(CP$5,スコア表[#Headers],0)),スコア表[Li3],0),"-")</f>
        <v>24</v>
      </c>
      <c r="CQ11" s="79">
        <f>IFERROR(_xlfn.RANK.EQ(INDEX(スコア表[],MATCH($C11,スコア表['#],0),MATCH(CQ$5,スコア表[#Headers],0)),スコア表[Li4],0),"-")</f>
        <v>7</v>
      </c>
      <c r="CR11" s="79">
        <f>IFERROR(_xlfn.RANK.EQ(INDEX(スコア表[],MATCH($C11,スコア表['#],0),MATCH(CR$5,スコア表[#Headers],0)),スコア表[Li5],0),"-")</f>
        <v>16</v>
      </c>
      <c r="CS11" s="79">
        <f>IFERROR(_xlfn.RANK.EQ(INDEX(スコア表[],MATCH($C11,スコア表['#],0),MATCH(CS$5,スコア表[#Headers],0)),スコア表[En1],0),"-")</f>
        <v>34</v>
      </c>
      <c r="CT11" s="79">
        <f>IFERROR(_xlfn.RANK.EQ(INDEX(スコア表[],MATCH($C11,スコア表['#],0),MATCH(CT$5,スコア表[#Headers],0)),スコア表[En2],0),"-")</f>
        <v>32</v>
      </c>
      <c r="CU11" s="79">
        <f>IFERROR(_xlfn.RANK.EQ(INDEX(スコア表[],MATCH($C11,スコア表['#],0),MATCH(CU$5,スコア表[#Headers],0)),スコア表[En3],0),"-")</f>
        <v>10</v>
      </c>
      <c r="CV11" s="79">
        <f>IFERROR(_xlfn.RANK.EQ(INDEX(スコア表[],MATCH($C11,スコア表['#],0),MATCH(CV$5,スコア表[#Headers],0)),スコア表[Ac1],0),"-")</f>
        <v>8</v>
      </c>
      <c r="CW11" s="79">
        <f>IFERROR(_xlfn.RANK.EQ(INDEX(スコア表[],MATCH($C11,スコア表['#],0),MATCH(CW$5,スコア表[#Headers],0)),スコア表[Ac2],0),"-")</f>
        <v>10</v>
      </c>
      <c r="CX11" s="79">
        <f>IFERROR(_xlfn.RANK.EQ(INDEX(スコア表[],MATCH($C11,スコア表['#],0),MATCH(CX$5,スコア表[#Headers],0)),スコア表[Ac3],0),"-")</f>
        <v>16</v>
      </c>
      <c r="CY11" s="79">
        <f>IFERROR(_xlfn.RANK.EQ(INDEX(スコア表[],MATCH($C11,スコア表['#],0),MATCH(CY$5,スコア表[#Headers],0)),スコア表[Ac4],0),"-")</f>
        <v>1</v>
      </c>
      <c r="CZ11" s="79">
        <f>IFERROR(_xlfn.RANK.EQ(INDEX(スコア表[],MATCH($C11,スコア表['#],0),MATCH(CZ$5,スコア表[#Headers],0)),スコア表[Economy],0),"-")</f>
        <v>12</v>
      </c>
      <c r="DA11" s="79">
        <f>IFERROR(_xlfn.RANK.EQ(INDEX(スコア表[],MATCH($C11,スコア表['#],0),MATCH(DA$5,スコア表[#Headers],0)),スコア表[R&amp;D],0),"-")</f>
        <v>19</v>
      </c>
      <c r="DB11" s="79">
        <f>IFERROR(_xlfn.RANK.EQ(INDEX(スコア表[],MATCH($C11,スコア表['#],0),MATCH(DB$5,スコア表[#Headers],0)),スコア表[Cultural Interaction],0),"-")</f>
        <v>15</v>
      </c>
      <c r="DC11" s="79">
        <f>IFERROR(_xlfn.RANK.EQ(INDEX(スコア表[],MATCH($C11,スコア表['#],0),MATCH(DC$5,スコア表[#Headers],0)),スコア表[Livability],0),"-")</f>
        <v>8</v>
      </c>
      <c r="DD11" s="79">
        <f>IFERROR(_xlfn.RANK.EQ(INDEX(スコア表[],MATCH($C11,スコア表['#],0),MATCH(DD$5,スコア表[#Headers],0)),スコア表[Environment],0),"-")</f>
        <v>17</v>
      </c>
      <c r="DE11" s="79">
        <f>IFERROR(_xlfn.RANK.EQ(INDEX(スコア表[],MATCH($C11,スコア表['#],0),MATCH(DE$5,スコア表[#Headers],0)),スコア表[Accessibility],0),"-")</f>
        <v>1</v>
      </c>
      <c r="DF11" s="81">
        <f>IFERROR(_xlfn.RANK.EQ(INDEX(スコア表[],MATCH($C11,スコア表['#],0),MATCH(DF$5,スコア表[#Headers],0)),スコア表[Comprehensive],0),"-")</f>
        <v>6</v>
      </c>
    </row>
    <row r="12" spans="1:110">
      <c r="A12" s="2">
        <v>7</v>
      </c>
      <c r="B12" s="58">
        <f>INDEX(順位表[Comprehensive],MATCH($C12,順位表['#],0))</f>
        <v>26</v>
      </c>
      <c r="C12" s="3">
        <v>7</v>
      </c>
      <c r="D12" s="1" t="str">
        <f>INDEX(都市マスタ[City Name],MATCH($C12,都市マスタ['#],0))</f>
        <v>Geneva</v>
      </c>
      <c r="E12" s="79">
        <f>IFERROR(_xlfn.RANK.EQ(INDEX(スコア表[],MATCH($C12,スコア表['#],0),MATCH(E$5,スコア表[#Headers],0)),スコア表[00a],0),"-")</f>
        <v>48</v>
      </c>
      <c r="F12" s="79">
        <f>IFERROR(_xlfn.RANK.EQ(INDEX(スコア表[],MATCH($C12,スコア表['#],0),MATCH(F$5,スコア表[#Headers],0)),スコア表[00b],0),"-")</f>
        <v>48</v>
      </c>
      <c r="G12" s="79">
        <f>IFERROR(_xlfn.RANK.EQ(INDEX(スコア表[],MATCH($C12,スコア表['#],0),MATCH(G$5,スコア表[#Headers],0)),スコア表[00c],0),"-")</f>
        <v>35</v>
      </c>
      <c r="H12" s="79">
        <f>IFERROR(_xlfn.RANK.EQ(INDEX(スコア表[],MATCH($C12,スコア表['#],0),MATCH(H$5,スコア表[#Headers],0)),スコア表[01],0),"-")</f>
        <v>48</v>
      </c>
      <c r="I12" s="79">
        <f>IFERROR(_xlfn.RANK.EQ(INDEX(スコア表[],MATCH($C12,スコア表['#],0),MATCH(I$5,スコア表[#Headers],0)),スコア表[02],0),"-")</f>
        <v>8</v>
      </c>
      <c r="J12" s="79">
        <f>IFERROR(_xlfn.RANK.EQ(INDEX(スコア表[],MATCH($C12,スコア表['#],0),MATCH(J$5,スコア表[#Headers],0)),スコア表[03],0),"-")</f>
        <v>25</v>
      </c>
      <c r="K12" s="79">
        <f>IFERROR(_xlfn.RANK.EQ(INDEX(スコア表[],MATCH($C12,スコア表['#],0),MATCH(K$5,スコア表[#Headers],0)),スコア表[04],0),"-")</f>
        <v>2</v>
      </c>
      <c r="L12" s="79">
        <f>IFERROR(_xlfn.RANK.EQ(INDEX(スコア表[],MATCH($C12,スコア表['#],0),MATCH(L$5,スコア表[#Headers],0)),スコア表[05],0),"-")</f>
        <v>36</v>
      </c>
      <c r="M12" s="79">
        <f>IFERROR(_xlfn.RANK.EQ(INDEX(スコア表[],MATCH($C12,スコア表['#],0),MATCH(M$5,スコア表[#Headers],0)),スコア表[06],0),"-")</f>
        <v>35</v>
      </c>
      <c r="N12" s="79">
        <f>IFERROR(_xlfn.RANK.EQ(INDEX(スコア表[],MATCH($C12,スコア表['#],0),MATCH(N$5,スコア表[#Headers],0)),スコア表[07],0),"-")</f>
        <v>48</v>
      </c>
      <c r="O12" s="79">
        <f>IFERROR(_xlfn.RANK.EQ(INDEX(スコア表[],MATCH($C12,スコア表['#],0),MATCH(O$5,スコア表[#Headers],0)),スコア表[08],0),"-")</f>
        <v>16</v>
      </c>
      <c r="P12" s="79">
        <f>IFERROR(_xlfn.RANK.EQ(INDEX(スコア表[],MATCH($C12,スコア表['#],0),MATCH(P$5,スコア表[#Headers],0)),スコア表[09],0),"-")</f>
        <v>8</v>
      </c>
      <c r="Q12" s="79">
        <f>IFERROR(_xlfn.RANK.EQ(INDEX(スコア表[],MATCH($C12,スコア表['#],0),MATCH(Q$5,スコア表[#Headers],0)),スコア表[10],0),"-")</f>
        <v>21</v>
      </c>
      <c r="R12" s="79">
        <f>IFERROR(_xlfn.RANK.EQ(INDEX(スコア表[],MATCH($C12,スコア表['#],0),MATCH(R$5,スコア表[#Headers],0)),スコア表[11],0),"-")</f>
        <v>19</v>
      </c>
      <c r="S12" s="79">
        <f>IFERROR(_xlfn.RANK.EQ(INDEX(スコア表[],MATCH($C12,スコア表['#],0),MATCH(S$5,スコア表[#Headers],0)),スコア表[12],0),"-")</f>
        <v>3</v>
      </c>
      <c r="T12" s="79">
        <f>IFERROR(_xlfn.RANK.EQ(INDEX(スコア表[],MATCH($C12,スコア表['#],0),MATCH(T$5,スコア表[#Headers],0)),スコア表[13],0),"-")</f>
        <v>30</v>
      </c>
      <c r="U12" s="79">
        <f>IFERROR(_xlfn.RANK.EQ(INDEX(スコア表[],MATCH($C12,スコア表['#],0),MATCH(U$5,スコア表[#Headers],0)),スコア表[14],0),"-")</f>
        <v>47</v>
      </c>
      <c r="V12" s="79">
        <f>IFERROR(_xlfn.RANK.EQ(INDEX(スコア表[],MATCH($C12,スコア表['#],0),MATCH(V$5,スコア表[#Headers],0)),スコア表[15],0),"-")</f>
        <v>19</v>
      </c>
      <c r="W12" s="79">
        <f>IFERROR(_xlfn.RANK.EQ(INDEX(スコア表[],MATCH($C12,スコア表['#],0),MATCH(W$5,スコア表[#Headers],0)),スコア表[16],0),"-")</f>
        <v>38</v>
      </c>
      <c r="X12" s="79">
        <f>IFERROR(_xlfn.RANK.EQ(INDEX(スコア表[],MATCH($C12,スコア表['#],0),MATCH(X$5,スコア表[#Headers],0)),スコア表[17],0),"-")</f>
        <v>19</v>
      </c>
      <c r="Y12" s="79">
        <f>IFERROR(_xlfn.RANK.EQ(INDEX(スコア表[],MATCH($C12,スコア表['#],0),MATCH(Y$5,スコア表[#Headers],0)),スコア表[18],0),"-")</f>
        <v>23</v>
      </c>
      <c r="Z12" s="79">
        <f>IFERROR(_xlfn.RANK.EQ(INDEX(スコア表[],MATCH($C12,スコア表['#],0),MATCH(Z$5,スコア表[#Headers],0)),スコア表[19],0),"-")</f>
        <v>47</v>
      </c>
      <c r="AA12" s="79">
        <f>IFERROR(_xlfn.RANK.EQ(INDEX(スコア表[],MATCH($C12,スコア表['#],0),MATCH(AA$5,スコア表[#Headers],0)),スコア表[20],0),"-")</f>
        <v>7</v>
      </c>
      <c r="AB12" s="79">
        <f>IFERROR(_xlfn.RANK.EQ(INDEX(スコア表[],MATCH($C12,スコア表['#],0),MATCH(AB$5,スコア表[#Headers],0)),スコア表[21],0),"-")</f>
        <v>45</v>
      </c>
      <c r="AC12" s="79">
        <f>IFERROR(_xlfn.RANK.EQ(INDEX(スコア表[],MATCH($C12,スコア表['#],0),MATCH(AC$5,スコア表[#Headers],0)),スコア表[22],0),"-")</f>
        <v>8</v>
      </c>
      <c r="AD12" s="79">
        <f>IFERROR(_xlfn.RANK.EQ(INDEX(スコア表[],MATCH($C12,スコア表['#],0),MATCH(AD$5,スコア表[#Headers],0)),スコア表[23],0),"-")</f>
        <v>25</v>
      </c>
      <c r="AE12" s="79">
        <f>IFERROR(_xlfn.RANK.EQ(INDEX(スコア表[],MATCH($C12,スコア表['#],0),MATCH(AE$5,スコア表[#Headers],0)),スコア表[24],0),"-")</f>
        <v>47</v>
      </c>
      <c r="AF12" s="79">
        <f>IFERROR(_xlfn.RANK.EQ(INDEX(スコア表[],MATCH($C12,スコア表['#],0),MATCH(AF$5,スコア表[#Headers],0)),スコア表[25],0),"-")</f>
        <v>31</v>
      </c>
      <c r="AG12" s="79">
        <f>IFERROR(_xlfn.RANK.EQ(INDEX(スコア表[],MATCH($C12,スコア表['#],0),MATCH(AG$5,スコア表[#Headers],0)),スコア表[26],0),"-")</f>
        <v>47</v>
      </c>
      <c r="AH12" s="79">
        <f>IFERROR(_xlfn.RANK.EQ(INDEX(スコア表[],MATCH($C12,スコア表['#],0),MATCH(AH$5,スコア表[#Headers],0)),スコア表[27],0),"-")</f>
        <v>23</v>
      </c>
      <c r="AI12" s="79">
        <f>IFERROR(_xlfn.RANK.EQ(INDEX(スコア表[],MATCH($C12,スコア表['#],0),MATCH(AI$5,スコア表[#Headers],0)),スコア表[28],0),"-")</f>
        <v>47</v>
      </c>
      <c r="AJ12" s="79">
        <f>IFERROR(_xlfn.RANK.EQ(INDEX(スコア表[],MATCH($C12,スコア表['#],0),MATCH(AJ$5,スコア表[#Headers],0)),スコア表[29],0),"-")</f>
        <v>34</v>
      </c>
      <c r="AK12" s="79">
        <f>IFERROR(_xlfn.RANK.EQ(INDEX(スコア表[],MATCH($C12,スコア表['#],0),MATCH(AK$5,スコア表[#Headers],0)),スコア表[30],0),"-")</f>
        <v>39</v>
      </c>
      <c r="AL12" s="79">
        <f>IFERROR(_xlfn.RANK.EQ(INDEX(スコア表[],MATCH($C12,スコア表['#],0),MATCH(AL$5,スコア表[#Headers],0)),スコア表[31],0),"-")</f>
        <v>48</v>
      </c>
      <c r="AM12" s="79">
        <f>IFERROR(_xlfn.RANK.EQ(INDEX(スコア表[],MATCH($C12,スコア表['#],0),MATCH(AM$5,スコア表[#Headers],0)),スコア表[32],0),"-")</f>
        <v>46</v>
      </c>
      <c r="AN12" s="79">
        <f>IFERROR(_xlfn.RANK.EQ(INDEX(スコア表[],MATCH($C12,スコア表['#],0),MATCH(AN$5,スコア表[#Headers],0)),スコア表[33],0),"-")</f>
        <v>33</v>
      </c>
      <c r="AO12" s="79">
        <f>IFERROR(_xlfn.RANK.EQ(INDEX(スコア表[],MATCH($C12,スコア表['#],0),MATCH(AO$5,スコア表[#Headers],0)),スコア表[34],0),"-")</f>
        <v>38</v>
      </c>
      <c r="AP12" s="79">
        <f>IFERROR(_xlfn.RANK.EQ(INDEX(スコア表[],MATCH($C12,スコア表['#],0),MATCH(AP$5,スコア表[#Headers],0)),スコア表[35],0),"-")</f>
        <v>46</v>
      </c>
      <c r="AQ12" s="79">
        <f>IFERROR(_xlfn.RANK.EQ(INDEX(スコア表[],MATCH($C12,スコア表['#],0),MATCH(AQ$5,スコア表[#Headers],0)),スコア表[36],0),"-")</f>
        <v>36</v>
      </c>
      <c r="AR12" s="79">
        <f>IFERROR(_xlfn.RANK.EQ(INDEX(スコア表[],MATCH($C12,スコア表['#],0),MATCH(AR$5,スコア表[#Headers],0)),スコア表[37],0),"-")</f>
        <v>38</v>
      </c>
      <c r="AS12" s="79">
        <f>IFERROR(_xlfn.RANK.EQ(INDEX(スコア表[],MATCH($C12,スコア表['#],0),MATCH(AS$5,スコア表[#Headers],0)),スコア表[38],0),"-")</f>
        <v>17</v>
      </c>
      <c r="AT12" s="79">
        <f>IFERROR(_xlfn.RANK.EQ(INDEX(スコア表[],MATCH($C12,スコア表['#],0),MATCH(AT$5,スコア表[#Headers],0)),スコア表[39],0),"-")</f>
        <v>32</v>
      </c>
      <c r="AU12" s="79">
        <f>IFERROR(_xlfn.RANK.EQ(INDEX(スコア表[],MATCH($C12,スコア表['#],0),MATCH(AU$5,スコア表[#Headers],0)),スコア表[40],0),"-")</f>
        <v>23</v>
      </c>
      <c r="AV12" s="79">
        <f>IFERROR(_xlfn.RANK.EQ(INDEX(スコア表[],MATCH($C12,スコア表['#],0),MATCH(AV$5,スコア表[#Headers],0)),スコア表[41],0),"-")</f>
        <v>40</v>
      </c>
      <c r="AW12" s="79">
        <f>IFERROR(_xlfn.RANK.EQ(INDEX(スコア表[],MATCH($C12,スコア表['#],0),MATCH(AW$5,スコア表[#Headers],0)),スコア表[42],0),"-")</f>
        <v>46</v>
      </c>
      <c r="AX12" s="79">
        <f>IFERROR(_xlfn.RANK.EQ(INDEX(スコア表[],MATCH($C12,スコア表['#],0),MATCH(AX$5,スコア表[#Headers],0)),スコア表[43],0),"-")</f>
        <v>21</v>
      </c>
      <c r="AY12" s="79">
        <f>IFERROR(_xlfn.RANK.EQ(INDEX(スコア表[],MATCH($C12,スコア表['#],0),MATCH(AY$5,スコア表[#Headers],0)),スコア表[44],0),"-")</f>
        <v>22</v>
      </c>
      <c r="AZ12" s="79">
        <f>IFERROR(_xlfn.RANK.EQ(INDEX(スコア表[],MATCH($C12,スコア表['#],0),MATCH(AZ$5,スコア表[#Headers],0)),スコア表[45],0),"-")</f>
        <v>6</v>
      </c>
      <c r="BA12" s="79">
        <f>IFERROR(_xlfn.RANK.EQ(INDEX(スコア表[],MATCH($C12,スコア表['#],0),MATCH(BA$5,スコア表[#Headers],0)),スコア表[46],0),"-")</f>
        <v>7</v>
      </c>
      <c r="BB12" s="79">
        <f>IFERROR(_xlfn.RANK.EQ(INDEX(スコア表[],MATCH($C12,スコア表['#],0),MATCH(BB$5,スコア表[#Headers],0)),スコア表[47],0),"-")</f>
        <v>18</v>
      </c>
      <c r="BC12" s="79">
        <f>IFERROR(_xlfn.RANK.EQ(INDEX(スコア表[],MATCH($C12,スコア表['#],0),MATCH(BC$5,スコア表[#Headers],0)),スコア表[48],0),"-")</f>
        <v>8</v>
      </c>
      <c r="BD12" s="79">
        <f>IFERROR(_xlfn.RANK.EQ(INDEX(スコア表[],MATCH($C12,スコア表['#],0),MATCH(BD$5,スコア表[#Headers],0)),スコア表[49],0),"-")</f>
        <v>22</v>
      </c>
      <c r="BE12" s="79">
        <f>IFERROR(_xlfn.RANK.EQ(INDEX(スコア表[],MATCH($C12,スコア表['#],0),MATCH(BE$5,スコア表[#Headers],0)),スコア表[50],0),"-")</f>
        <v>36</v>
      </c>
      <c r="BF12" s="79">
        <f>IFERROR(_xlfn.RANK.EQ(INDEX(スコア表[],MATCH($C12,スコア表['#],0),MATCH(BF$5,スコア表[#Headers],0)),スコア表[51],0),"-")</f>
        <v>36</v>
      </c>
      <c r="BG12" s="79">
        <f>IFERROR(_xlfn.RANK.EQ(INDEX(スコア表[],MATCH($C12,スコア表['#],0),MATCH(BG$5,スコア表[#Headers],0)),スコア表[52],0),"-")</f>
        <v>4</v>
      </c>
      <c r="BH12" s="79">
        <f>IFERROR(_xlfn.RANK.EQ(INDEX(スコア表[],MATCH($C12,スコア表['#],0),MATCH(BH$5,スコア表[#Headers],0)),スコア表[53],0),"-")</f>
        <v>8</v>
      </c>
      <c r="BI12" s="79">
        <f>IFERROR(_xlfn.RANK.EQ(INDEX(スコア表[],MATCH($C12,スコア表['#],0),MATCH(BI$5,スコア表[#Headers],0)),スコア表[54],0),"-")</f>
        <v>15</v>
      </c>
      <c r="BJ12" s="79">
        <f>IFERROR(_xlfn.RANK.EQ(INDEX(スコア表[],MATCH($C12,スコア表['#],0),MATCH(BJ$5,スコア表[#Headers],0)),スコア表[55],0),"-")</f>
        <v>9</v>
      </c>
      <c r="BK12" s="79">
        <f>IFERROR(_xlfn.RANK.EQ(INDEX(スコア表[],MATCH($C12,スコア表['#],0),MATCH(BK$5,スコア表[#Headers],0)),スコア表[56],0),"-")</f>
        <v>26</v>
      </c>
      <c r="BL12" s="79">
        <f>IFERROR(_xlfn.RANK.EQ(INDEX(スコア表[],MATCH($C12,スコア表['#],0),MATCH(BL$5,スコア表[#Headers],0)),スコア表[57],0),"-")</f>
        <v>19</v>
      </c>
      <c r="BM12" s="79">
        <f>IFERROR(_xlfn.RANK.EQ(INDEX(スコア表[],MATCH($C12,スコア表['#],0),MATCH(BM$5,スコア表[#Headers],0)),スコア表[58],0),"-")</f>
        <v>6</v>
      </c>
      <c r="BN12" s="79">
        <f>IFERROR(_xlfn.RANK.EQ(INDEX(スコア表[],MATCH($C12,スコア表['#],0),MATCH(BN$5,スコア表[#Headers],0)),スコア表[59],0),"-")</f>
        <v>16</v>
      </c>
      <c r="BO12" s="79">
        <f>IFERROR(_xlfn.RANK.EQ(INDEX(スコア表[],MATCH($C12,スコア表['#],0),MATCH(BO$5,スコア表[#Headers],0)),スコア表[60],0),"-")</f>
        <v>4</v>
      </c>
      <c r="BP12" s="79">
        <f>IFERROR(_xlfn.RANK.EQ(INDEX(スコア表[],MATCH($C12,スコア表['#],0),MATCH(BP$5,スコア表[#Headers],0)),スコア表[61],0),"-")</f>
        <v>20</v>
      </c>
      <c r="BQ12" s="79">
        <f>IFERROR(_xlfn.RANK.EQ(INDEX(スコア表[],MATCH($C12,スコア表['#],0),MATCH(BQ$5,スコア表[#Headers],0)),スコア表[62],0),"-")</f>
        <v>47</v>
      </c>
      <c r="BR12" s="79">
        <f>IFERROR(_xlfn.RANK.EQ(INDEX(スコア表[],MATCH($C12,スコア表['#],0),MATCH(BR$5,スコア表[#Headers],0)),スコア表[63],0),"-")</f>
        <v>41</v>
      </c>
      <c r="BS12" s="79">
        <f>IFERROR(_xlfn.RANK.EQ(INDEX(スコア表[],MATCH($C12,スコア表['#],0),MATCH(BS$5,スコア表[#Headers],0)),スコア表[64],0),"-")</f>
        <v>44</v>
      </c>
      <c r="BT12" s="79">
        <f>IFERROR(_xlfn.RANK.EQ(INDEX(スコア表[],MATCH($C12,スコア表['#],0),MATCH(BT$5,スコア表[#Headers],0)),スコア表[65],0),"-")</f>
        <v>32</v>
      </c>
      <c r="BU12" s="79">
        <f>IFERROR(_xlfn.RANK.EQ(INDEX(スコア表[],MATCH($C12,スコア表['#],0),MATCH(BU$5,スコア表[#Headers],0)),スコア表[66],0),"-")</f>
        <v>36</v>
      </c>
      <c r="BV12" s="79">
        <f>IFERROR(_xlfn.RANK.EQ(INDEX(スコア表[],MATCH($C12,スコア表['#],0),MATCH(BV$5,スコア表[#Headers],0)),スコア表[67],0),"-")</f>
        <v>1</v>
      </c>
      <c r="BW12" s="79">
        <f>IFERROR(_xlfn.RANK.EQ(INDEX(スコア表[],MATCH($C12,スコア表['#],0),MATCH(BW$5,スコア表[#Headers],0)),スコア表[68],0),"-")</f>
        <v>6</v>
      </c>
      <c r="BX12" s="79">
        <f>IFERROR(_xlfn.RANK.EQ(INDEX(スコア表[],MATCH($C12,スコア表['#],0),MATCH(BX$5,スコア表[#Headers],0)),スコア表[69],0),"-")</f>
        <v>16</v>
      </c>
      <c r="BY12" s="79">
        <f>IFERROR(_xlfn.RANK.EQ(INDEX(スコア表[],MATCH($C12,スコア表['#],0),MATCH(BY$5,スコア表[#Headers],0)),スコア表[70],0),"-")</f>
        <v>44</v>
      </c>
      <c r="BZ12" s="79">
        <f>IFERROR(_xlfn.RANK.EQ(INDEX(スコア表[],MATCH($C12,スコア表['#],0),MATCH(BZ$5,スコア表[#Headers],0)),スコア表[Ec1],0),"-")</f>
        <v>21</v>
      </c>
      <c r="CA12" s="79">
        <f>IFERROR(_xlfn.RANK.EQ(INDEX(スコア表[],MATCH($C12,スコア表['#],0),MATCH(CA$5,スコア表[#Headers],0)),スコア表[Ec2],0),"-")</f>
        <v>4</v>
      </c>
      <c r="CB12" s="79">
        <f>IFERROR(_xlfn.RANK.EQ(INDEX(スコア表[],MATCH($C12,スコア表['#],0),MATCH(CB$5,スコア表[#Headers],0)),スコア表[Ec3],0),"-")</f>
        <v>44</v>
      </c>
      <c r="CC12" s="79">
        <f>IFERROR(_xlfn.RANK.EQ(INDEX(スコア表[],MATCH($C12,スコア表['#],0),MATCH(CC$5,スコア表[#Headers],0)),スコア表[Ec4],0),"-")</f>
        <v>28</v>
      </c>
      <c r="CD12" s="79">
        <f>IFERROR(_xlfn.RANK.EQ(INDEX(スコア表[],MATCH($C12,スコア表['#],0),MATCH(CD$5,スコア表[#Headers],0)),スコア表[Ec5],0),"-")</f>
        <v>11</v>
      </c>
      <c r="CE12" s="79">
        <f>IFERROR(_xlfn.RANK.EQ(INDEX(スコア表[],MATCH($C12,スコア表['#],0),MATCH(CE$5,スコア表[#Headers],0)),スコア表[Ec6],0),"-")</f>
        <v>5</v>
      </c>
      <c r="CF12" s="79">
        <f>IFERROR(_xlfn.RANK.EQ(INDEX(スコア表[],MATCH($C12,スコア表['#],0),MATCH(CF$5,スコア表[#Headers],0)),スコア表[RD1],0),"-")</f>
        <v>26</v>
      </c>
      <c r="CG12" s="79">
        <f>IFERROR(_xlfn.RANK.EQ(INDEX(スコア表[],MATCH($C12,スコア表['#],0),MATCH(CG$5,スコア表[#Headers],0)),スコア表[RD2],0),"-")</f>
        <v>29</v>
      </c>
      <c r="CH12" s="79">
        <f>IFERROR(_xlfn.RANK.EQ(INDEX(スコア表[],MATCH($C12,スコア表['#],0),MATCH(CH$5,スコア表[#Headers],0)),スコア表[RD3],0),"-")</f>
        <v>14</v>
      </c>
      <c r="CI12" s="79">
        <f>IFERROR(_xlfn.RANK.EQ(INDEX(スコア表[],MATCH($C12,スコア表['#],0),MATCH(CI$5,スコア表[#Headers],0)),スコア表[CI1],0),"-")</f>
        <v>21</v>
      </c>
      <c r="CJ12" s="79">
        <f>IFERROR(_xlfn.RANK.EQ(INDEX(スコア表[],MATCH($C12,スコア表['#],0),MATCH(CJ$5,スコア表[#Headers],0)),スコア表[CI2],0),"-")</f>
        <v>47</v>
      </c>
      <c r="CK12" s="79">
        <f>IFERROR(_xlfn.RANK.EQ(INDEX(スコア表[],MATCH($C12,スコア表['#],0),MATCH(CK$5,スコア表[#Headers],0)),スコア表[CI3],0),"-")</f>
        <v>46</v>
      </c>
      <c r="CL12" s="79">
        <f>IFERROR(_xlfn.RANK.EQ(INDEX(スコア表[],MATCH($C12,スコア表['#],0),MATCH(CL$5,スコア表[#Headers],0)),スコア表[CI4],0),"-")</f>
        <v>47</v>
      </c>
      <c r="CM12" s="79">
        <f>IFERROR(_xlfn.RANK.EQ(INDEX(スコア表[],MATCH($C12,スコア表['#],0),MATCH(CM$5,スコア表[#Headers],0)),スコア表[CI5],0),"-")</f>
        <v>39</v>
      </c>
      <c r="CN12" s="79">
        <f>IFERROR(_xlfn.RANK.EQ(INDEX(スコア表[],MATCH($C12,スコア表['#],0),MATCH(CN$5,スコア表[#Headers],0)),スコア表[Li1],0),"-")</f>
        <v>27</v>
      </c>
      <c r="CO12" s="79">
        <f>IFERROR(_xlfn.RANK.EQ(INDEX(スコア表[],MATCH($C12,スコア表['#],0),MATCH(CO$5,スコア表[#Headers],0)),スコア表[Li2],0),"-")</f>
        <v>44</v>
      </c>
      <c r="CP12" s="79">
        <f>IFERROR(_xlfn.RANK.EQ(INDEX(スコア表[],MATCH($C12,スコア表['#],0),MATCH(CP$5,スコア表[#Headers],0)),スコア表[Li3],0),"-")</f>
        <v>14</v>
      </c>
      <c r="CQ12" s="79">
        <f>IFERROR(_xlfn.RANK.EQ(INDEX(スコア表[],MATCH($C12,スコア表['#],0),MATCH(CQ$5,スコア表[#Headers],0)),スコア表[Li4],0),"-")</f>
        <v>2</v>
      </c>
      <c r="CR12" s="79">
        <f>IFERROR(_xlfn.RANK.EQ(INDEX(スコア表[],MATCH($C12,スコア表['#],0),MATCH(CR$5,スコア表[#Headers],0)),スコア表[Li5],0),"-")</f>
        <v>28</v>
      </c>
      <c r="CS12" s="79">
        <f>IFERROR(_xlfn.RANK.EQ(INDEX(スコア表[],MATCH($C12,スコア表['#],0),MATCH(CS$5,スコア表[#Headers],0)),スコア表[En1],0),"-")</f>
        <v>3</v>
      </c>
      <c r="CT12" s="79">
        <f>IFERROR(_xlfn.RANK.EQ(INDEX(スコア表[],MATCH($C12,スコア表['#],0),MATCH(CT$5,スコア表[#Headers],0)),スコア表[En2],0),"-")</f>
        <v>9</v>
      </c>
      <c r="CU12" s="79">
        <f>IFERROR(_xlfn.RANK.EQ(INDEX(スコア表[],MATCH($C12,スコア表['#],0),MATCH(CU$5,スコア表[#Headers],0)),スコア表[En3],0),"-")</f>
        <v>6</v>
      </c>
      <c r="CV12" s="79">
        <f>IFERROR(_xlfn.RANK.EQ(INDEX(スコア表[],MATCH($C12,スコア表['#],0),MATCH(CV$5,スコア表[#Headers],0)),スコア表[Ac1],0),"-")</f>
        <v>31</v>
      </c>
      <c r="CW12" s="79">
        <f>IFERROR(_xlfn.RANK.EQ(INDEX(スコア表[],MATCH($C12,スコア表['#],0),MATCH(CW$5,スコア表[#Headers],0)),スコア表[Ac2],0),"-")</f>
        <v>43</v>
      </c>
      <c r="CX12" s="79">
        <f>IFERROR(_xlfn.RANK.EQ(INDEX(スコア表[],MATCH($C12,スコア表['#],0),MATCH(CX$5,スコア表[#Headers],0)),スコア表[Ac3],0),"-")</f>
        <v>21</v>
      </c>
      <c r="CY12" s="79">
        <f>IFERROR(_xlfn.RANK.EQ(INDEX(スコア表[],MATCH($C12,スコア表['#],0),MATCH(CY$5,スコア表[#Headers],0)),スコア表[Ac4],0),"-")</f>
        <v>18</v>
      </c>
      <c r="CZ12" s="79">
        <f>IFERROR(_xlfn.RANK.EQ(INDEX(スコア表[],MATCH($C12,スコア表['#],0),MATCH(CZ$5,スコア表[#Headers],0)),スコア表[Economy],0),"-")</f>
        <v>8</v>
      </c>
      <c r="DA12" s="79">
        <f>IFERROR(_xlfn.RANK.EQ(INDEX(スコア表[],MATCH($C12,スコア表['#],0),MATCH(DA$5,スコア表[#Headers],0)),スコア表[R&amp;D],0),"-")</f>
        <v>23</v>
      </c>
      <c r="DB12" s="79">
        <f>IFERROR(_xlfn.RANK.EQ(INDEX(スコア表[],MATCH($C12,スコア表['#],0),MATCH(DB$5,スコア表[#Headers],0)),スコア表[Cultural Interaction],0),"-")</f>
        <v>46</v>
      </c>
      <c r="DC12" s="79">
        <f>IFERROR(_xlfn.RANK.EQ(INDEX(スコア表[],MATCH($C12,スコア表['#],0),MATCH(DC$5,スコア表[#Headers],0)),スコア表[Livability],0),"-")</f>
        <v>33</v>
      </c>
      <c r="DD12" s="79">
        <f>IFERROR(_xlfn.RANK.EQ(INDEX(スコア表[],MATCH($C12,スコア表['#],0),MATCH(DD$5,スコア表[#Headers],0)),スコア表[Environment],0),"-")</f>
        <v>3</v>
      </c>
      <c r="DE12" s="79">
        <f>IFERROR(_xlfn.RANK.EQ(INDEX(スコア表[],MATCH($C12,スコア表['#],0),MATCH(DE$5,スコア表[#Headers],0)),スコア表[Accessibility],0),"-")</f>
        <v>28</v>
      </c>
      <c r="DF12" s="81">
        <f>IFERROR(_xlfn.RANK.EQ(INDEX(スコア表[],MATCH($C12,スコア表['#],0),MATCH(DF$5,スコア表[#Headers],0)),スコア表[Comprehensive],0),"-")</f>
        <v>26</v>
      </c>
    </row>
    <row r="13" spans="1:110">
      <c r="A13" s="2">
        <v>8</v>
      </c>
      <c r="B13" s="58">
        <f>INDEX(順位表[Comprehensive],MATCH($C13,順位表['#],0))</f>
        <v>20</v>
      </c>
      <c r="C13" s="3">
        <v>8</v>
      </c>
      <c r="D13" s="1" t="str">
        <f>INDEX(都市マスタ[City Name],MATCH($C13,都市マスタ['#],0))</f>
        <v>Frankfurt</v>
      </c>
      <c r="E13" s="79">
        <f>IFERROR(_xlfn.RANK.EQ(INDEX(スコア表[],MATCH($C13,スコア表['#],0),MATCH(E$5,スコア表[#Headers],0)),スコア表[00a],0),"-")</f>
        <v>41</v>
      </c>
      <c r="F13" s="79">
        <f>IFERROR(_xlfn.RANK.EQ(INDEX(スコア表[],MATCH($C13,スコア表['#],0),MATCH(F$5,スコア表[#Headers],0)),スコア表[00b],0),"-")</f>
        <v>29</v>
      </c>
      <c r="G13" s="79">
        <f>IFERROR(_xlfn.RANK.EQ(INDEX(スコア表[],MATCH($C13,スコア表['#],0),MATCH(G$5,スコア表[#Headers],0)),スコア表[00c],0),"-")</f>
        <v>37</v>
      </c>
      <c r="H13" s="79">
        <f>IFERROR(_xlfn.RANK.EQ(INDEX(スコア表[],MATCH($C13,スコア表['#],0),MATCH(H$5,スコア表[#Headers],0)),スコア表[01],0),"-")</f>
        <v>34</v>
      </c>
      <c r="I13" s="79">
        <f>IFERROR(_xlfn.RANK.EQ(INDEX(スコア表[],MATCH($C13,スコア表['#],0),MATCH(I$5,スコア表[#Headers],0)),スコア表[02],0),"-")</f>
        <v>9</v>
      </c>
      <c r="J13" s="79">
        <f>IFERROR(_xlfn.RANK.EQ(INDEX(スコア表[],MATCH($C13,スコア表['#],0),MATCH(J$5,スコア表[#Headers],0)),スコア表[03],0),"-")</f>
        <v>44</v>
      </c>
      <c r="K13" s="79">
        <f>IFERROR(_xlfn.RANK.EQ(INDEX(スコア表[],MATCH($C13,スコア表['#],0),MATCH(K$5,スコア表[#Headers],0)),スコア表[04],0),"-")</f>
        <v>12</v>
      </c>
      <c r="L13" s="79">
        <f>IFERROR(_xlfn.RANK.EQ(INDEX(スコア表[],MATCH($C13,スコア表['#],0),MATCH(L$5,スコア表[#Headers],0)),スコア表[05],0),"-")</f>
        <v>9</v>
      </c>
      <c r="M13" s="79">
        <f>IFERROR(_xlfn.RANK.EQ(INDEX(スコア表[],MATCH($C13,スコア表['#],0),MATCH(M$5,スコア表[#Headers],0)),スコア表[06],0),"-")</f>
        <v>25</v>
      </c>
      <c r="N13" s="79">
        <f>IFERROR(_xlfn.RANK.EQ(INDEX(スコア表[],MATCH($C13,スコア表['#],0),MATCH(N$5,スコア表[#Headers],0)),スコア表[07],0),"-")</f>
        <v>37</v>
      </c>
      <c r="O13" s="79">
        <f>IFERROR(_xlfn.RANK.EQ(INDEX(スコア表[],MATCH($C13,スコア表['#],0),MATCH(O$5,スコア表[#Headers],0)),スコア表[08],0),"-")</f>
        <v>4</v>
      </c>
      <c r="P13" s="79">
        <f>IFERROR(_xlfn.RANK.EQ(INDEX(スコア表[],MATCH($C13,スコア表['#],0),MATCH(P$5,スコア表[#Headers],0)),スコア表[09],0),"-")</f>
        <v>14</v>
      </c>
      <c r="Q13" s="79">
        <f>IFERROR(_xlfn.RANK.EQ(INDEX(スコア表[],MATCH($C13,スコア表['#],0),MATCH(Q$5,スコア表[#Headers],0)),スコア表[10],0),"-")</f>
        <v>23</v>
      </c>
      <c r="R13" s="79">
        <f>IFERROR(_xlfn.RANK.EQ(INDEX(スコア表[],MATCH($C13,スコア表['#],0),MATCH(R$5,スコア表[#Headers],0)),スコア表[11],0),"-")</f>
        <v>37</v>
      </c>
      <c r="S13" s="79">
        <f>IFERROR(_xlfn.RANK.EQ(INDEX(スコア表[],MATCH($C13,スコア表['#],0),MATCH(S$5,スコア表[#Headers],0)),スコア表[12],0),"-")</f>
        <v>44</v>
      </c>
      <c r="T13" s="79">
        <f>IFERROR(_xlfn.RANK.EQ(INDEX(スコア表[],MATCH($C13,スコア表['#],0),MATCH(T$5,スコア表[#Headers],0)),スコア表[13],0),"-")</f>
        <v>18</v>
      </c>
      <c r="U13" s="79">
        <f>IFERROR(_xlfn.RANK.EQ(INDEX(スコア表[],MATCH($C13,スコア表['#],0),MATCH(U$5,スコア表[#Headers],0)),スコア表[14],0),"-")</f>
        <v>33</v>
      </c>
      <c r="V13" s="79">
        <f>IFERROR(_xlfn.RANK.EQ(INDEX(スコア表[],MATCH($C13,スコア表['#],0),MATCH(V$5,スコア表[#Headers],0)),スコア表[15],0),"-")</f>
        <v>37</v>
      </c>
      <c r="W13" s="79">
        <f>IFERROR(_xlfn.RANK.EQ(INDEX(スコア表[],MATCH($C13,スコア表['#],0),MATCH(W$5,スコア表[#Headers],0)),スコア表[16],0),"-")</f>
        <v>28</v>
      </c>
      <c r="X13" s="79">
        <f>IFERROR(_xlfn.RANK.EQ(INDEX(スコア表[],MATCH($C13,スコア表['#],0),MATCH(X$5,スコア表[#Headers],0)),スコア表[17],0),"-")</f>
        <v>32</v>
      </c>
      <c r="Y13" s="79">
        <f>IFERROR(_xlfn.RANK.EQ(INDEX(スコア表[],MATCH($C13,スコア表['#],0),MATCH(Y$5,スコア表[#Headers],0)),スコア表[18],0),"-")</f>
        <v>18</v>
      </c>
      <c r="Z13" s="79">
        <f>IFERROR(_xlfn.RANK.EQ(INDEX(スコア表[],MATCH($C13,スコア表['#],0),MATCH(Z$5,スコア表[#Headers],0)),スコア表[19],0),"-")</f>
        <v>32</v>
      </c>
      <c r="AA13" s="79">
        <f>IFERROR(_xlfn.RANK.EQ(INDEX(スコア表[],MATCH($C13,スコア表['#],0),MATCH(AA$5,スコア表[#Headers],0)),スコア表[20],0),"-")</f>
        <v>23</v>
      </c>
      <c r="AB13" s="79">
        <f>IFERROR(_xlfn.RANK.EQ(INDEX(スコア表[],MATCH($C13,スコア表['#],0),MATCH(AB$5,スコア表[#Headers],0)),スコア表[21],0),"-")</f>
        <v>38</v>
      </c>
      <c r="AC13" s="79">
        <f>IFERROR(_xlfn.RANK.EQ(INDEX(スコア表[],MATCH($C13,スコア表['#],0),MATCH(AC$5,スコア表[#Headers],0)),スコア表[22],0),"-")</f>
        <v>45</v>
      </c>
      <c r="AD13" s="79">
        <f>IFERROR(_xlfn.RANK.EQ(INDEX(スコア表[],MATCH($C13,スコア表['#],0),MATCH(AD$5,スコア表[#Headers],0)),スコア表[23],0),"-")</f>
        <v>38</v>
      </c>
      <c r="AE13" s="79">
        <f>IFERROR(_xlfn.RANK.EQ(INDEX(スコア表[],MATCH($C13,スコア表['#],0),MATCH(AE$5,スコア表[#Headers],0)),スコア表[24],0),"-")</f>
        <v>28</v>
      </c>
      <c r="AF13" s="79">
        <f>IFERROR(_xlfn.RANK.EQ(INDEX(スコア表[],MATCH($C13,スコア表['#],0),MATCH(AF$5,スコア表[#Headers],0)),スコア表[25],0),"-")</f>
        <v>25</v>
      </c>
      <c r="AG13" s="79">
        <f>IFERROR(_xlfn.RANK.EQ(INDEX(スコア表[],MATCH($C13,スコア表['#],0),MATCH(AG$5,スコア表[#Headers],0)),スコア表[26],0),"-")</f>
        <v>44</v>
      </c>
      <c r="AH13" s="79">
        <f>IFERROR(_xlfn.RANK.EQ(INDEX(スコア表[],MATCH($C13,スコア表['#],0),MATCH(AH$5,スコア表[#Headers],0)),スコア表[27],0),"-")</f>
        <v>4</v>
      </c>
      <c r="AI13" s="79">
        <f>IFERROR(_xlfn.RANK.EQ(INDEX(スコア表[],MATCH($C13,スコア表['#],0),MATCH(AI$5,スコア表[#Headers],0)),スコア表[28],0),"-")</f>
        <v>28</v>
      </c>
      <c r="AJ13" s="79">
        <f>IFERROR(_xlfn.RANK.EQ(INDEX(スコア表[],MATCH($C13,スコア表['#],0),MATCH(AJ$5,スコア表[#Headers],0)),スコア表[29],0),"-")</f>
        <v>28</v>
      </c>
      <c r="AK13" s="79">
        <f>IFERROR(_xlfn.RANK.EQ(INDEX(スコア表[],MATCH($C13,スコア表['#],0),MATCH(AK$5,スコア表[#Headers],0)),スコア表[30],0),"-")</f>
        <v>28</v>
      </c>
      <c r="AL13" s="79">
        <f>IFERROR(_xlfn.RANK.EQ(INDEX(スコア表[],MATCH($C13,スコア表['#],0),MATCH(AL$5,スコア表[#Headers],0)),スコア表[31],0),"-")</f>
        <v>44</v>
      </c>
      <c r="AM13" s="79">
        <f>IFERROR(_xlfn.RANK.EQ(INDEX(スコア表[],MATCH($C13,スコア表['#],0),MATCH(AM$5,スコア表[#Headers],0)),スコア表[32],0),"-")</f>
        <v>26</v>
      </c>
      <c r="AN13" s="79">
        <f>IFERROR(_xlfn.RANK.EQ(INDEX(スコア表[],MATCH($C13,スコア表['#],0),MATCH(AN$5,スコア表[#Headers],0)),スコア表[33],0),"-")</f>
        <v>34</v>
      </c>
      <c r="AO13" s="79">
        <f>IFERROR(_xlfn.RANK.EQ(INDEX(スコア表[],MATCH($C13,スコア表['#],0),MATCH(AO$5,スコア表[#Headers],0)),スコア表[34],0),"-")</f>
        <v>43</v>
      </c>
      <c r="AP13" s="79">
        <f>IFERROR(_xlfn.RANK.EQ(INDEX(スコア表[],MATCH($C13,スコア表['#],0),MATCH(AP$5,スコア表[#Headers],0)),スコア表[35],0),"-")</f>
        <v>44</v>
      </c>
      <c r="AQ13" s="79">
        <f>IFERROR(_xlfn.RANK.EQ(INDEX(スコア表[],MATCH($C13,スコア表['#],0),MATCH(AQ$5,スコア表[#Headers],0)),スコア表[36],0),"-")</f>
        <v>24</v>
      </c>
      <c r="AR13" s="79">
        <f>IFERROR(_xlfn.RANK.EQ(INDEX(スコア表[],MATCH($C13,スコア表['#],0),MATCH(AR$5,スコア表[#Headers],0)),スコア表[37],0),"-")</f>
        <v>21</v>
      </c>
      <c r="AS13" s="79">
        <f>IFERROR(_xlfn.RANK.EQ(INDEX(スコア表[],MATCH($C13,スコア表['#],0),MATCH(AS$5,スコア表[#Headers],0)),スコア表[38],0),"-")</f>
        <v>32</v>
      </c>
      <c r="AT13" s="79">
        <f>IFERROR(_xlfn.RANK.EQ(INDEX(スコア表[],MATCH($C13,スコア表['#],0),MATCH(AT$5,スコア表[#Headers],0)),スコア表[39],0),"-")</f>
        <v>3</v>
      </c>
      <c r="AU13" s="79">
        <f>IFERROR(_xlfn.RANK.EQ(INDEX(スコア表[],MATCH($C13,スコア表['#],0),MATCH(AU$5,スコア表[#Headers],0)),スコア表[40],0),"-")</f>
        <v>38</v>
      </c>
      <c r="AV13" s="79">
        <f>IFERROR(_xlfn.RANK.EQ(INDEX(スコア表[],MATCH($C13,スコア表['#],0),MATCH(AV$5,スコア表[#Headers],0)),スコア表[41],0),"-")</f>
        <v>23</v>
      </c>
      <c r="AW13" s="79">
        <f>IFERROR(_xlfn.RANK.EQ(INDEX(スコア表[],MATCH($C13,スコア表['#],0),MATCH(AW$5,スコア表[#Headers],0)),スコア表[42],0),"-")</f>
        <v>19</v>
      </c>
      <c r="AX13" s="79">
        <f>IFERROR(_xlfn.RANK.EQ(INDEX(スコア表[],MATCH($C13,スコア表['#],0),MATCH(AX$5,スコア表[#Headers],0)),スコア表[43],0),"-")</f>
        <v>44</v>
      </c>
      <c r="AY13" s="79">
        <f>IFERROR(_xlfn.RANK.EQ(INDEX(スコア表[],MATCH($C13,スコア表['#],0),MATCH(AY$5,スコア表[#Headers],0)),スコア表[44],0),"-")</f>
        <v>12</v>
      </c>
      <c r="AZ13" s="79">
        <f>IFERROR(_xlfn.RANK.EQ(INDEX(スコア表[],MATCH($C13,スコア表['#],0),MATCH(AZ$5,スコア表[#Headers],0)),スコア表[45],0),"-")</f>
        <v>22</v>
      </c>
      <c r="BA13" s="79">
        <f>IFERROR(_xlfn.RANK.EQ(INDEX(スコア表[],MATCH($C13,スコア表['#],0),MATCH(BA$5,スコア表[#Headers],0)),スコア表[46],0),"-")</f>
        <v>5</v>
      </c>
      <c r="BB13" s="79">
        <f>IFERROR(_xlfn.RANK.EQ(INDEX(スコア表[],MATCH($C13,スコア表['#],0),MATCH(BB$5,スコア表[#Headers],0)),スコア表[47],0),"-")</f>
        <v>20</v>
      </c>
      <c r="BC13" s="79">
        <f>IFERROR(_xlfn.RANK.EQ(INDEX(スコア表[],MATCH($C13,スコア表['#],0),MATCH(BC$5,スコア表[#Headers],0)),スコア表[48],0),"-")</f>
        <v>3</v>
      </c>
      <c r="BD13" s="79">
        <f>IFERROR(_xlfn.RANK.EQ(INDEX(スコア表[],MATCH($C13,スコア表['#],0),MATCH(BD$5,スコア表[#Headers],0)),スコア表[49],0),"-")</f>
        <v>15</v>
      </c>
      <c r="BE13" s="79">
        <f>IFERROR(_xlfn.RANK.EQ(INDEX(スコア表[],MATCH($C13,スコア表['#],0),MATCH(BE$5,スコア表[#Headers],0)),スコア表[50],0),"-")</f>
        <v>42</v>
      </c>
      <c r="BF13" s="79">
        <f>IFERROR(_xlfn.RANK.EQ(INDEX(スコア表[],MATCH($C13,スコア表['#],0),MATCH(BF$5,スコア表[#Headers],0)),スコア表[51],0),"-")</f>
        <v>46</v>
      </c>
      <c r="BG13" s="79">
        <f>IFERROR(_xlfn.RANK.EQ(INDEX(スコア表[],MATCH($C13,スコア表['#],0),MATCH(BG$5,スコア表[#Headers],0)),スコア表[52],0),"-")</f>
        <v>45</v>
      </c>
      <c r="BH13" s="79">
        <f>IFERROR(_xlfn.RANK.EQ(INDEX(スコア表[],MATCH($C13,スコア表['#],0),MATCH(BH$5,スコア表[#Headers],0)),スコア表[53],0),"-")</f>
        <v>16</v>
      </c>
      <c r="BI13" s="79">
        <f>IFERROR(_xlfn.RANK.EQ(INDEX(スコア表[],MATCH($C13,スコア表['#],0),MATCH(BI$5,スコア表[#Headers],0)),スコア表[54],0),"-")</f>
        <v>4</v>
      </c>
      <c r="BJ13" s="79">
        <f>IFERROR(_xlfn.RANK.EQ(INDEX(スコア表[],MATCH($C13,スコア表['#],0),MATCH(BJ$5,スコア表[#Headers],0)),スコア表[55],0),"-")</f>
        <v>42</v>
      </c>
      <c r="BK13" s="79">
        <f>IFERROR(_xlfn.RANK.EQ(INDEX(スコア表[],MATCH($C13,スコア表['#],0),MATCH(BK$5,スコア表[#Headers],0)),スコア表[56],0),"-")</f>
        <v>17</v>
      </c>
      <c r="BL13" s="79">
        <f>IFERROR(_xlfn.RANK.EQ(INDEX(スコア表[],MATCH($C13,スコア表['#],0),MATCH(BL$5,スコア表[#Headers],0)),スコア表[57],0),"-")</f>
        <v>22</v>
      </c>
      <c r="BM13" s="79">
        <f>IFERROR(_xlfn.RANK.EQ(INDEX(スコア表[],MATCH($C13,スコア表['#],0),MATCH(BM$5,スコア表[#Headers],0)),スコア表[58],0),"-")</f>
        <v>9</v>
      </c>
      <c r="BN13" s="79">
        <f>IFERROR(_xlfn.RANK.EQ(INDEX(スコア表[],MATCH($C13,スコア表['#],0),MATCH(BN$5,スコア表[#Headers],0)),スコア表[59],0),"-")</f>
        <v>6</v>
      </c>
      <c r="BO13" s="79">
        <f>IFERROR(_xlfn.RANK.EQ(INDEX(スコア表[],MATCH($C13,スコア表['#],0),MATCH(BO$5,スコア表[#Headers],0)),スコア表[60],0),"-")</f>
        <v>31</v>
      </c>
      <c r="BP13" s="79">
        <f>IFERROR(_xlfn.RANK.EQ(INDEX(スコア表[],MATCH($C13,スコア表['#],0),MATCH(BP$5,スコア表[#Headers],0)),スコア表[61],0),"-")</f>
        <v>3</v>
      </c>
      <c r="BQ13" s="79">
        <f>IFERROR(_xlfn.RANK.EQ(INDEX(スコア表[],MATCH($C13,スコア表['#],0),MATCH(BQ$5,スコア表[#Headers],0)),スコア表[62],0),"-")</f>
        <v>9</v>
      </c>
      <c r="BR13" s="79">
        <f>IFERROR(_xlfn.RANK.EQ(INDEX(スコア表[],MATCH($C13,スコア表['#],0),MATCH(BR$5,スコア表[#Headers],0)),スコア表[63],0),"-")</f>
        <v>12</v>
      </c>
      <c r="BS13" s="79">
        <f>IFERROR(_xlfn.RANK.EQ(INDEX(スコア表[],MATCH($C13,スコア表['#],0),MATCH(BS$5,スコア表[#Headers],0)),スコア表[64],0),"-")</f>
        <v>11</v>
      </c>
      <c r="BT13" s="79">
        <f>IFERROR(_xlfn.RANK.EQ(INDEX(スコア表[],MATCH($C13,スコア表['#],0),MATCH(BT$5,スコア表[#Headers],0)),スコア表[65],0),"-")</f>
        <v>15</v>
      </c>
      <c r="BU13" s="79">
        <f>IFERROR(_xlfn.RANK.EQ(INDEX(スコア表[],MATCH($C13,スコア表['#],0),MATCH(BU$5,スコア表[#Headers],0)),スコア表[66],0),"-")</f>
        <v>19</v>
      </c>
      <c r="BV13" s="79">
        <f>IFERROR(_xlfn.RANK.EQ(INDEX(スコア表[],MATCH($C13,スコア表['#],0),MATCH(BV$5,スコア表[#Headers],0)),スコア表[67],0),"-")</f>
        <v>6</v>
      </c>
      <c r="BW13" s="79">
        <f>IFERROR(_xlfn.RANK.EQ(INDEX(スコア表[],MATCH($C13,スコア表['#],0),MATCH(BW$5,スコア表[#Headers],0)),スコア表[68],0),"-")</f>
        <v>2</v>
      </c>
      <c r="BX13" s="79">
        <f>IFERROR(_xlfn.RANK.EQ(INDEX(スコア表[],MATCH($C13,スコア表['#],0),MATCH(BX$5,スコア表[#Headers],0)),スコア表[69],0),"-")</f>
        <v>5</v>
      </c>
      <c r="BY13" s="79">
        <f>IFERROR(_xlfn.RANK.EQ(INDEX(スコア表[],MATCH($C13,スコア表['#],0),MATCH(BY$5,スコア表[#Headers],0)),スコア表[70],0),"-")</f>
        <v>24</v>
      </c>
      <c r="BZ13" s="79">
        <f>IFERROR(_xlfn.RANK.EQ(INDEX(スコア表[],MATCH($C13,スコア表['#],0),MATCH(BZ$5,スコア表[#Headers],0)),スコア表[Ec1],0),"-")</f>
        <v>20</v>
      </c>
      <c r="CA13" s="79">
        <f>IFERROR(_xlfn.RANK.EQ(INDEX(スコア表[],MATCH($C13,スコア表['#],0),MATCH(CA$5,スコア表[#Headers],0)),スコア表[Ec2],0),"-")</f>
        <v>25</v>
      </c>
      <c r="CB13" s="79">
        <f>IFERROR(_xlfn.RANK.EQ(INDEX(スコア表[],MATCH($C13,スコア表['#],0),MATCH(CB$5,スコア表[#Headers],0)),スコア表[Ec3],0),"-")</f>
        <v>18</v>
      </c>
      <c r="CC13" s="79">
        <f>IFERROR(_xlfn.RANK.EQ(INDEX(スコア表[],MATCH($C13,スコア表['#],0),MATCH(CC$5,スコア表[#Headers],0)),スコア表[Ec4],0),"-")</f>
        <v>8</v>
      </c>
      <c r="CD13" s="79">
        <f>IFERROR(_xlfn.RANK.EQ(INDEX(スコア表[],MATCH($C13,スコア表['#],0),MATCH(CD$5,スコア表[#Headers],0)),スコア表[Ec5],0),"-")</f>
        <v>29</v>
      </c>
      <c r="CE13" s="79">
        <f>IFERROR(_xlfn.RANK.EQ(INDEX(スコア表[],MATCH($C13,スコア表['#],0),MATCH(CE$5,スコア表[#Headers],0)),スコア表[Ec6],0),"-")</f>
        <v>40</v>
      </c>
      <c r="CF13" s="79">
        <f>IFERROR(_xlfn.RANK.EQ(INDEX(スコア表[],MATCH($C13,スコア表['#],0),MATCH(CF$5,スコア表[#Headers],0)),スコア表[RD1],0),"-")</f>
        <v>42</v>
      </c>
      <c r="CG13" s="79">
        <f>IFERROR(_xlfn.RANK.EQ(INDEX(スコア表[],MATCH($C13,スコア表['#],0),MATCH(CG$5,スコア表[#Headers],0)),スコア表[RD2],0),"-")</f>
        <v>31</v>
      </c>
      <c r="CH13" s="79">
        <f>IFERROR(_xlfn.RANK.EQ(INDEX(スコア表[],MATCH($C13,スコア表['#],0),MATCH(CH$5,スコア表[#Headers],0)),スコア表[RD3],0),"-")</f>
        <v>46</v>
      </c>
      <c r="CI13" s="79">
        <f>IFERROR(_xlfn.RANK.EQ(INDEX(スコア表[],MATCH($C13,スコア表['#],0),MATCH(CI$5,スコア表[#Headers],0)),スコア表[CI1],0),"-")</f>
        <v>43</v>
      </c>
      <c r="CJ13" s="79">
        <f>IFERROR(_xlfn.RANK.EQ(INDEX(スコア表[],MATCH($C13,スコア表['#],0),MATCH(CJ$5,スコア表[#Headers],0)),スコア表[CI2],0),"-")</f>
        <v>21</v>
      </c>
      <c r="CK13" s="79">
        <f>IFERROR(_xlfn.RANK.EQ(INDEX(スコア表[],MATCH($C13,スコア表['#],0),MATCH(CK$5,スコア表[#Headers],0)),スコア表[CI3],0),"-")</f>
        <v>42</v>
      </c>
      <c r="CL13" s="79">
        <f>IFERROR(_xlfn.RANK.EQ(INDEX(スコア表[],MATCH($C13,スコア表['#],0),MATCH(CL$5,スコア表[#Headers],0)),スコア表[CI4],0),"-")</f>
        <v>42</v>
      </c>
      <c r="CM13" s="79">
        <f>IFERROR(_xlfn.RANK.EQ(INDEX(スコア表[],MATCH($C13,スコア表['#],0),MATCH(CM$5,スコア表[#Headers],0)),スコア表[CI5],0),"-")</f>
        <v>29</v>
      </c>
      <c r="CN13" s="79">
        <f>IFERROR(_xlfn.RANK.EQ(INDEX(スコア表[],MATCH($C13,スコア表['#],0),MATCH(CN$5,スコア表[#Headers],0)),スコア表[Li1],0),"-")</f>
        <v>21</v>
      </c>
      <c r="CO13" s="79">
        <f>IFERROR(_xlfn.RANK.EQ(INDEX(スコア表[],MATCH($C13,スコア表['#],0),MATCH(CO$5,スコア表[#Headers],0)),スコア表[Li2],0),"-")</f>
        <v>20</v>
      </c>
      <c r="CP13" s="79">
        <f>IFERROR(_xlfn.RANK.EQ(INDEX(スコア表[],MATCH($C13,スコア表['#],0),MATCH(CP$5,スコア表[#Headers],0)),スコア表[Li3],0),"-")</f>
        <v>42</v>
      </c>
      <c r="CQ13" s="79">
        <f>IFERROR(_xlfn.RANK.EQ(INDEX(スコア表[],MATCH($C13,スコア表['#],0),MATCH(CQ$5,スコア表[#Headers],0)),スコア表[Li4],0),"-")</f>
        <v>10</v>
      </c>
      <c r="CR13" s="79">
        <f>IFERROR(_xlfn.RANK.EQ(INDEX(スコア表[],MATCH($C13,スコア表['#],0),MATCH(CR$5,スコア表[#Headers],0)),スコア表[Li5],0),"-")</f>
        <v>21</v>
      </c>
      <c r="CS13" s="79">
        <f>IFERROR(_xlfn.RANK.EQ(INDEX(スコア表[],MATCH($C13,スコア表['#],0),MATCH(CS$5,スコア表[#Headers],0)),スコア表[En1],0),"-")</f>
        <v>15</v>
      </c>
      <c r="CT13" s="79">
        <f>IFERROR(_xlfn.RANK.EQ(INDEX(スコア表[],MATCH($C13,スコア表['#],0),MATCH(CT$5,スコア表[#Headers],0)),スコア表[En2],0),"-")</f>
        <v>31</v>
      </c>
      <c r="CU13" s="79">
        <f>IFERROR(_xlfn.RANK.EQ(INDEX(スコア表[],MATCH($C13,スコア表['#],0),MATCH(CU$5,スコア表[#Headers],0)),スコア表[En3],0),"-")</f>
        <v>11</v>
      </c>
      <c r="CV13" s="79">
        <f>IFERROR(_xlfn.RANK.EQ(INDEX(スコア表[],MATCH($C13,スコア表['#],0),MATCH(CV$5,スコア表[#Headers],0)),スコア表[Ac1],0),"-")</f>
        <v>6</v>
      </c>
      <c r="CW13" s="79">
        <f>IFERROR(_xlfn.RANK.EQ(INDEX(スコア表[],MATCH($C13,スコア表['#],0),MATCH(CW$5,スコア表[#Headers],0)),スコア表[Ac2],0),"-")</f>
        <v>11</v>
      </c>
      <c r="CX13" s="79">
        <f>IFERROR(_xlfn.RANK.EQ(INDEX(スコア表[],MATCH($C13,スコア表['#],0),MATCH(CX$5,スコア表[#Headers],0)),スコア表[Ac3],0),"-")</f>
        <v>5</v>
      </c>
      <c r="CY13" s="79">
        <f>IFERROR(_xlfn.RANK.EQ(INDEX(スコア表[],MATCH($C13,スコア表['#],0),MATCH(CY$5,スコア表[#Headers],0)),スコア表[Ac4],0),"-")</f>
        <v>3</v>
      </c>
      <c r="CZ13" s="79">
        <f>IFERROR(_xlfn.RANK.EQ(INDEX(スコア表[],MATCH($C13,スコア表['#],0),MATCH(CZ$5,スコア表[#Headers],0)),スコア表[Economy],0),"-")</f>
        <v>28</v>
      </c>
      <c r="DA13" s="79">
        <f>IFERROR(_xlfn.RANK.EQ(INDEX(スコア表[],MATCH($C13,スコア表['#],0),MATCH(DA$5,スコア表[#Headers],0)),スコア表[R&amp;D],0),"-")</f>
        <v>38</v>
      </c>
      <c r="DB13" s="79">
        <f>IFERROR(_xlfn.RANK.EQ(INDEX(スコア表[],MATCH($C13,スコア表['#],0),MATCH(DB$5,スコア表[#Headers],0)),スコア表[Cultural Interaction],0),"-")</f>
        <v>37</v>
      </c>
      <c r="DC13" s="79">
        <f>IFERROR(_xlfn.RANK.EQ(INDEX(スコア表[],MATCH($C13,スコア表['#],0),MATCH(DC$5,スコア表[#Headers],0)),スコア表[Livability],0),"-")</f>
        <v>7</v>
      </c>
      <c r="DD13" s="79">
        <f>IFERROR(_xlfn.RANK.EQ(INDEX(スコア表[],MATCH($C13,スコア表['#],0),MATCH(DD$5,スコア表[#Headers],0)),スコア表[Environment],0),"-")</f>
        <v>13</v>
      </c>
      <c r="DE13" s="79">
        <f>IFERROR(_xlfn.RANK.EQ(INDEX(スコア表[],MATCH($C13,スコア表['#],0),MATCH(DE$5,スコア表[#Headers],0)),スコア表[Accessibility],0),"-")</f>
        <v>2</v>
      </c>
      <c r="DF13" s="81">
        <f>IFERROR(_xlfn.RANK.EQ(INDEX(スコア表[],MATCH($C13,スコア表['#],0),MATCH(DF$5,スコア表[#Headers],0)),スコア表[Comprehensive],0),"-")</f>
        <v>20</v>
      </c>
    </row>
    <row r="14" spans="1:110">
      <c r="A14" s="2">
        <v>9</v>
      </c>
      <c r="B14" s="58">
        <f>INDEX(順位表[Comprehensive],MATCH($C14,順位表['#],0))</f>
        <v>10</v>
      </c>
      <c r="C14" s="3">
        <v>9</v>
      </c>
      <c r="D14" s="1" t="str">
        <f>INDEX(都市マスタ[City Name],MATCH($C14,都市マスタ['#],0))</f>
        <v>Berlin</v>
      </c>
      <c r="E14" s="79">
        <f>IFERROR(_xlfn.RANK.EQ(INDEX(スコア表[],MATCH($C14,スコア表['#],0),MATCH(E$5,スコア表[#Headers],0)),スコア表[00a],0),"-")</f>
        <v>21</v>
      </c>
      <c r="F14" s="79">
        <f>IFERROR(_xlfn.RANK.EQ(INDEX(スコア表[],MATCH($C14,スコア表['#],0),MATCH(F$5,スコア表[#Headers],0)),スコア表[00b],0),"-")</f>
        <v>16</v>
      </c>
      <c r="G14" s="79">
        <f>IFERROR(_xlfn.RANK.EQ(INDEX(スコア表[],MATCH($C14,スコア表['#],0),MATCH(G$5,スコア表[#Headers],0)),スコア表[00c],0),"-")</f>
        <v>37</v>
      </c>
      <c r="H14" s="79">
        <f>IFERROR(_xlfn.RANK.EQ(INDEX(スコア表[],MATCH($C14,スコア表['#],0),MATCH(H$5,スコア表[#Headers],0)),スコア表[01],0),"-")</f>
        <v>17</v>
      </c>
      <c r="I14" s="79">
        <f>IFERROR(_xlfn.RANK.EQ(INDEX(スコア表[],MATCH($C14,スコア表['#],0),MATCH(I$5,スコア表[#Headers],0)),スコア表[02],0),"-")</f>
        <v>29</v>
      </c>
      <c r="J14" s="79">
        <f>IFERROR(_xlfn.RANK.EQ(INDEX(スコア表[],MATCH($C14,スコア表['#],0),MATCH(J$5,スコア表[#Headers],0)),スコア表[03],0),"-")</f>
        <v>15</v>
      </c>
      <c r="K14" s="79">
        <f>IFERROR(_xlfn.RANK.EQ(INDEX(スコア表[],MATCH($C14,スコア表['#],0),MATCH(K$5,スコア表[#Headers],0)),スコア表[04],0),"-")</f>
        <v>12</v>
      </c>
      <c r="L14" s="79">
        <f>IFERROR(_xlfn.RANK.EQ(INDEX(スコア表[],MATCH($C14,スコア表['#],0),MATCH(L$5,スコア表[#Headers],0)),スコア表[05],0),"-")</f>
        <v>36</v>
      </c>
      <c r="M14" s="79">
        <f>IFERROR(_xlfn.RANK.EQ(INDEX(スコア表[],MATCH($C14,スコア表['#],0),MATCH(M$5,スコア表[#Headers],0)),スコア表[06],0),"-")</f>
        <v>31</v>
      </c>
      <c r="N14" s="79">
        <f>IFERROR(_xlfn.RANK.EQ(INDEX(スコア表[],MATCH($C14,スコア表['#],0),MATCH(N$5,スコア表[#Headers],0)),スコア表[07],0),"-")</f>
        <v>22</v>
      </c>
      <c r="O14" s="79">
        <f>IFERROR(_xlfn.RANK.EQ(INDEX(スコア表[],MATCH($C14,スコア表['#],0),MATCH(O$5,スコア表[#Headers],0)),スコア表[08],0),"-")</f>
        <v>22</v>
      </c>
      <c r="P14" s="79">
        <f>IFERROR(_xlfn.RANK.EQ(INDEX(スコア表[],MATCH($C14,スコア表['#],0),MATCH(P$5,スコア表[#Headers],0)),スコア表[09],0),"-")</f>
        <v>22</v>
      </c>
      <c r="Q14" s="79">
        <f>IFERROR(_xlfn.RANK.EQ(INDEX(スコア表[],MATCH($C14,スコア表['#],0),MATCH(Q$5,スコア表[#Headers],0)),スコア表[10],0),"-")</f>
        <v>25</v>
      </c>
      <c r="R14" s="79">
        <f>IFERROR(_xlfn.RANK.EQ(INDEX(スコア表[],MATCH($C14,スコア表['#],0),MATCH(R$5,スコア表[#Headers],0)),スコア表[11],0),"-")</f>
        <v>31</v>
      </c>
      <c r="S14" s="79">
        <f>IFERROR(_xlfn.RANK.EQ(INDEX(スコア表[],MATCH($C14,スコア表['#],0),MATCH(S$5,スコア表[#Headers],0)),スコア表[12],0),"-")</f>
        <v>40</v>
      </c>
      <c r="T14" s="79">
        <f>IFERROR(_xlfn.RANK.EQ(INDEX(スコア表[],MATCH($C14,スコア表['#],0),MATCH(T$5,スコア表[#Headers],0)),スコア表[13],0),"-")</f>
        <v>18</v>
      </c>
      <c r="U14" s="79">
        <f>IFERROR(_xlfn.RANK.EQ(INDEX(スコア表[],MATCH($C14,スコア表['#],0),MATCH(U$5,スコア表[#Headers],0)),スコア表[14],0),"-")</f>
        <v>20</v>
      </c>
      <c r="V14" s="79">
        <f>IFERROR(_xlfn.RANK.EQ(INDEX(スコア表[],MATCH($C14,スコア表['#],0),MATCH(V$5,スコア表[#Headers],0)),スコア表[15],0),"-")</f>
        <v>7</v>
      </c>
      <c r="W14" s="79">
        <f>IFERROR(_xlfn.RANK.EQ(INDEX(スコア表[],MATCH($C14,スコア表['#],0),MATCH(W$5,スコア表[#Headers],0)),スコア表[16],0),"-")</f>
        <v>15</v>
      </c>
      <c r="X14" s="79">
        <f>IFERROR(_xlfn.RANK.EQ(INDEX(スコア表[],MATCH($C14,スコア表['#],0),MATCH(X$5,スコア表[#Headers],0)),スコア表[17],0),"-")</f>
        <v>15</v>
      </c>
      <c r="Y14" s="79">
        <f>IFERROR(_xlfn.RANK.EQ(INDEX(スコア表[],MATCH($C14,スコア表['#],0),MATCH(Y$5,スコア表[#Headers],0)),スコア表[18],0),"-")</f>
        <v>18</v>
      </c>
      <c r="Z14" s="79">
        <f>IFERROR(_xlfn.RANK.EQ(INDEX(スコア表[],MATCH($C14,スコア表['#],0),MATCH(Z$5,スコア表[#Headers],0)),スコア表[19],0),"-")</f>
        <v>23</v>
      </c>
      <c r="AA14" s="79">
        <f>IFERROR(_xlfn.RANK.EQ(INDEX(スコア表[],MATCH($C14,スコア表['#],0),MATCH(AA$5,スコア表[#Headers],0)),スコア表[20],0),"-")</f>
        <v>11</v>
      </c>
      <c r="AB14" s="79">
        <f>IFERROR(_xlfn.RANK.EQ(INDEX(スコア表[],MATCH($C14,スコア表['#],0),MATCH(AB$5,スコア表[#Headers],0)),スコア表[21],0),"-")</f>
        <v>8</v>
      </c>
      <c r="AC14" s="79">
        <f>IFERROR(_xlfn.RANK.EQ(INDEX(スコア表[],MATCH($C14,スコア表['#],0),MATCH(AC$5,スコア表[#Headers],0)),スコア表[22],0),"-")</f>
        <v>17</v>
      </c>
      <c r="AD14" s="79">
        <f>IFERROR(_xlfn.RANK.EQ(INDEX(スコア表[],MATCH($C14,スコア表['#],0),MATCH(AD$5,スコア表[#Headers],0)),スコア表[23],0),"-")</f>
        <v>12</v>
      </c>
      <c r="AE14" s="79">
        <f>IFERROR(_xlfn.RANK.EQ(INDEX(スコア表[],MATCH($C14,スコア表['#],0),MATCH(AE$5,スコア表[#Headers],0)),スコア表[24],0),"-")</f>
        <v>16</v>
      </c>
      <c r="AF14" s="79">
        <f>IFERROR(_xlfn.RANK.EQ(INDEX(スコア表[],MATCH($C14,スコア表['#],0),MATCH(AF$5,スコア表[#Headers],0)),スコア表[25],0),"-")</f>
        <v>5</v>
      </c>
      <c r="AG14" s="79">
        <f>IFERROR(_xlfn.RANK.EQ(INDEX(スコア表[],MATCH($C14,スコア表['#],0),MATCH(AG$5,スコア表[#Headers],0)),スコア表[26],0),"-")</f>
        <v>19</v>
      </c>
      <c r="AH14" s="79">
        <f>IFERROR(_xlfn.RANK.EQ(INDEX(スコア表[],MATCH($C14,スコア表['#],0),MATCH(AH$5,スコア表[#Headers],0)),スコア表[27],0),"-")</f>
        <v>8</v>
      </c>
      <c r="AI14" s="79">
        <f>IFERROR(_xlfn.RANK.EQ(INDEX(スコア表[],MATCH($C14,スコア表['#],0),MATCH(AI$5,スコア表[#Headers],0)),スコア表[28],0),"-")</f>
        <v>8</v>
      </c>
      <c r="AJ14" s="79">
        <f>IFERROR(_xlfn.RANK.EQ(INDEX(スコア表[],MATCH($C14,スコア表['#],0),MATCH(AJ$5,スコア表[#Headers],0)),スコア表[29],0),"-")</f>
        <v>6</v>
      </c>
      <c r="AK14" s="79">
        <f>IFERROR(_xlfn.RANK.EQ(INDEX(スコア表[],MATCH($C14,スコア表['#],0),MATCH(AK$5,スコア表[#Headers],0)),スコア表[30],0),"-")</f>
        <v>3</v>
      </c>
      <c r="AL14" s="79">
        <f>IFERROR(_xlfn.RANK.EQ(INDEX(スコア表[],MATCH($C14,スコア表['#],0),MATCH(AL$5,スコア表[#Headers],0)),スコア表[31],0),"-")</f>
        <v>16</v>
      </c>
      <c r="AM14" s="79">
        <f>IFERROR(_xlfn.RANK.EQ(INDEX(スコア表[],MATCH($C14,スコア表['#],0),MATCH(AM$5,スコア表[#Headers],0)),スコア表[32],0),"-")</f>
        <v>16</v>
      </c>
      <c r="AN14" s="79">
        <f>IFERROR(_xlfn.RANK.EQ(INDEX(スコア表[],MATCH($C14,スコア表['#],0),MATCH(AN$5,スコア表[#Headers],0)),スコア表[33],0),"-")</f>
        <v>19</v>
      </c>
      <c r="AO14" s="79">
        <f>IFERROR(_xlfn.RANK.EQ(INDEX(スコア表[],MATCH($C14,スコア表['#],0),MATCH(AO$5,スコア表[#Headers],0)),スコア表[34],0),"-")</f>
        <v>36</v>
      </c>
      <c r="AP14" s="79">
        <f>IFERROR(_xlfn.RANK.EQ(INDEX(スコア表[],MATCH($C14,スコア表['#],0),MATCH(AP$5,スコア表[#Headers],0)),スコア表[35],0),"-")</f>
        <v>45</v>
      </c>
      <c r="AQ14" s="79">
        <f>IFERROR(_xlfn.RANK.EQ(INDEX(スコア表[],MATCH($C14,スコア表['#],0),MATCH(AQ$5,スコア表[#Headers],0)),スコア表[36],0),"-")</f>
        <v>8</v>
      </c>
      <c r="AR14" s="79">
        <f>IFERROR(_xlfn.RANK.EQ(INDEX(スコア表[],MATCH($C14,スコア表['#],0),MATCH(AR$5,スコア表[#Headers],0)),スコア表[37],0),"-")</f>
        <v>13</v>
      </c>
      <c r="AS14" s="79">
        <f>IFERROR(_xlfn.RANK.EQ(INDEX(スコア表[],MATCH($C14,スコア表['#],0),MATCH(AS$5,スコア表[#Headers],0)),スコア表[38],0),"-")</f>
        <v>39</v>
      </c>
      <c r="AT14" s="79">
        <f>IFERROR(_xlfn.RANK.EQ(INDEX(スコア表[],MATCH($C14,スコア表['#],0),MATCH(AT$5,スコア表[#Headers],0)),スコア表[39],0),"-")</f>
        <v>5</v>
      </c>
      <c r="AU14" s="79">
        <f>IFERROR(_xlfn.RANK.EQ(INDEX(スコア表[],MATCH($C14,スコア表['#],0),MATCH(AU$5,スコア表[#Headers],0)),スコア表[40],0),"-")</f>
        <v>26</v>
      </c>
      <c r="AV14" s="79">
        <f>IFERROR(_xlfn.RANK.EQ(INDEX(スコア表[],MATCH($C14,スコア表['#],0),MATCH(AV$5,スコア表[#Headers],0)),スコア表[41],0),"-")</f>
        <v>24</v>
      </c>
      <c r="AW14" s="79">
        <f>IFERROR(_xlfn.RANK.EQ(INDEX(スコア表[],MATCH($C14,スコア表['#],0),MATCH(AW$5,スコア表[#Headers],0)),スコア表[42],0),"-")</f>
        <v>28</v>
      </c>
      <c r="AX14" s="79">
        <f>IFERROR(_xlfn.RANK.EQ(INDEX(スコア表[],MATCH($C14,スコア表['#],0),MATCH(AX$5,スコア表[#Headers],0)),スコア表[43],0),"-")</f>
        <v>26</v>
      </c>
      <c r="AY14" s="79">
        <f>IFERROR(_xlfn.RANK.EQ(INDEX(スコア表[],MATCH($C14,スコア表['#],0),MATCH(AY$5,スコア表[#Headers],0)),スコア表[44],0),"-")</f>
        <v>15</v>
      </c>
      <c r="AZ14" s="79">
        <f>IFERROR(_xlfn.RANK.EQ(INDEX(スコア表[],MATCH($C14,スコア表['#],0),MATCH(AZ$5,スコア表[#Headers],0)),スコア表[45],0),"-")</f>
        <v>22</v>
      </c>
      <c r="BA14" s="79">
        <f>IFERROR(_xlfn.RANK.EQ(INDEX(スコア表[],MATCH($C14,スコア表['#],0),MATCH(BA$5,スコア表[#Headers],0)),スコア表[46],0),"-")</f>
        <v>5</v>
      </c>
      <c r="BB14" s="79">
        <f>IFERROR(_xlfn.RANK.EQ(INDEX(スコア表[],MATCH($C14,スコア表['#],0),MATCH(BB$5,スコア表[#Headers],0)),スコア表[47],0),"-")</f>
        <v>20</v>
      </c>
      <c r="BC14" s="79">
        <f>IFERROR(_xlfn.RANK.EQ(INDEX(スコア表[],MATCH($C14,スコア表['#],0),MATCH(BC$5,スコア表[#Headers],0)),スコア表[48],0),"-")</f>
        <v>17</v>
      </c>
      <c r="BD14" s="79">
        <f>IFERROR(_xlfn.RANK.EQ(INDEX(スコア表[],MATCH($C14,スコア表['#],0),MATCH(BD$5,スコア表[#Headers],0)),スコア表[49],0),"-")</f>
        <v>15</v>
      </c>
      <c r="BE14" s="79">
        <f>IFERROR(_xlfn.RANK.EQ(INDEX(スコア表[],MATCH($C14,スコア表['#],0),MATCH(BE$5,スコア表[#Headers],0)),スコア表[50],0),"-")</f>
        <v>30</v>
      </c>
      <c r="BF14" s="79">
        <f>IFERROR(_xlfn.RANK.EQ(INDEX(スコア表[],MATCH($C14,スコア表['#],0),MATCH(BF$5,スコア表[#Headers],0)),スコア表[51],0),"-")</f>
        <v>31</v>
      </c>
      <c r="BG14" s="79">
        <f>IFERROR(_xlfn.RANK.EQ(INDEX(スコア表[],MATCH($C14,スコア表['#],0),MATCH(BG$5,スコア表[#Headers],0)),スコア表[52],0),"-")</f>
        <v>25</v>
      </c>
      <c r="BH14" s="79">
        <f>IFERROR(_xlfn.RANK.EQ(INDEX(スコア表[],MATCH($C14,スコア表['#],0),MATCH(BH$5,スコア表[#Headers],0)),スコア表[53],0),"-")</f>
        <v>16</v>
      </c>
      <c r="BI14" s="79">
        <f>IFERROR(_xlfn.RANK.EQ(INDEX(スコア表[],MATCH($C14,スコア表['#],0),MATCH(BI$5,スコア表[#Headers],0)),スコア表[54],0),"-")</f>
        <v>4</v>
      </c>
      <c r="BJ14" s="79">
        <f>IFERROR(_xlfn.RANK.EQ(INDEX(スコア表[],MATCH($C14,スコア表['#],0),MATCH(BJ$5,スコア表[#Headers],0)),スコア表[55],0),"-")</f>
        <v>17</v>
      </c>
      <c r="BK14" s="79">
        <f>IFERROR(_xlfn.RANK.EQ(INDEX(スコア表[],MATCH($C14,スコア表['#],0),MATCH(BK$5,スコア表[#Headers],0)),スコア表[56],0),"-")</f>
        <v>28</v>
      </c>
      <c r="BL14" s="79">
        <f>IFERROR(_xlfn.RANK.EQ(INDEX(スコア表[],MATCH($C14,スコア表['#],0),MATCH(BL$5,スコア表[#Headers],0)),スコア表[57],0),"-")</f>
        <v>31</v>
      </c>
      <c r="BM14" s="79">
        <f>IFERROR(_xlfn.RANK.EQ(INDEX(スコア表[],MATCH($C14,スコア表['#],0),MATCH(BM$5,スコア表[#Headers],0)),スコア表[58],0),"-")</f>
        <v>11</v>
      </c>
      <c r="BN14" s="79">
        <f>IFERROR(_xlfn.RANK.EQ(INDEX(スコア表[],MATCH($C14,スコア表['#],0),MATCH(BN$5,スコア表[#Headers],0)),スコア表[59],0),"-")</f>
        <v>2</v>
      </c>
      <c r="BO14" s="79">
        <f>IFERROR(_xlfn.RANK.EQ(INDEX(スコア表[],MATCH($C14,スコア表['#],0),MATCH(BO$5,スコア表[#Headers],0)),スコア表[60],0),"-")</f>
        <v>32</v>
      </c>
      <c r="BP14" s="79">
        <f>IFERROR(_xlfn.RANK.EQ(INDEX(スコア表[],MATCH($C14,スコア表['#],0),MATCH(BP$5,スコア表[#Headers],0)),スコア表[61],0),"-")</f>
        <v>18</v>
      </c>
      <c r="BQ14" s="79">
        <f>IFERROR(_xlfn.RANK.EQ(INDEX(スコア表[],MATCH($C14,スコア表['#],0),MATCH(BQ$5,スコア表[#Headers],0)),スコア表[62],0),"-")</f>
        <v>48</v>
      </c>
      <c r="BR14" s="79">
        <f>IFERROR(_xlfn.RANK.EQ(INDEX(スコア表[],MATCH($C14,スコア表['#],0),MATCH(BR$5,スコア表[#Headers],0)),スコア表[63],0),"-")</f>
        <v>37</v>
      </c>
      <c r="BS14" s="79">
        <f>IFERROR(_xlfn.RANK.EQ(INDEX(スコア表[],MATCH($C14,スコア表['#],0),MATCH(BS$5,スコア表[#Headers],0)),スコア表[64],0),"-")</f>
        <v>41</v>
      </c>
      <c r="BT14" s="79">
        <f>IFERROR(_xlfn.RANK.EQ(INDEX(スコア表[],MATCH($C14,スコア表['#],0),MATCH(BT$5,スコア表[#Headers],0)),スコア表[65],0),"-")</f>
        <v>6</v>
      </c>
      <c r="BU14" s="79">
        <f>IFERROR(_xlfn.RANK.EQ(INDEX(スコア表[],MATCH($C14,スコア表['#],0),MATCH(BU$5,スコア表[#Headers],0)),スコア表[66],0),"-")</f>
        <v>6</v>
      </c>
      <c r="BV14" s="79">
        <f>IFERROR(_xlfn.RANK.EQ(INDEX(スコア表[],MATCH($C14,スコア表['#],0),MATCH(BV$5,スコア表[#Headers],0)),スコア表[67],0),"-")</f>
        <v>33</v>
      </c>
      <c r="BW14" s="79">
        <f>IFERROR(_xlfn.RANK.EQ(INDEX(スコア表[],MATCH($C14,スコア表['#],0),MATCH(BW$5,スコア表[#Headers],0)),スコア表[68],0),"-")</f>
        <v>9</v>
      </c>
      <c r="BX14" s="79">
        <f>IFERROR(_xlfn.RANK.EQ(INDEX(スコア表[],MATCH($C14,スコア表['#],0),MATCH(BX$5,スコア表[#Headers],0)),スコア表[69],0),"-")</f>
        <v>31</v>
      </c>
      <c r="BY14" s="79">
        <f>IFERROR(_xlfn.RANK.EQ(INDEX(スコア表[],MATCH($C14,スコア表['#],0),MATCH(BY$5,スコア表[#Headers],0)),スコア表[70],0),"-")</f>
        <v>27</v>
      </c>
      <c r="BZ14" s="79">
        <f>IFERROR(_xlfn.RANK.EQ(INDEX(スコア表[],MATCH($C14,スコア表['#],0),MATCH(BZ$5,スコア表[#Headers],0)),スコア表[Ec1],0),"-")</f>
        <v>27</v>
      </c>
      <c r="CA14" s="79">
        <f>IFERROR(_xlfn.RANK.EQ(INDEX(スコア表[],MATCH($C14,スコア表['#],0),MATCH(CA$5,スコア表[#Headers],0)),スコア表[Ec2],0),"-")</f>
        <v>17</v>
      </c>
      <c r="CB14" s="79">
        <f>IFERROR(_xlfn.RANK.EQ(INDEX(スコア表[],MATCH($C14,スコア表['#],0),MATCH(CB$5,スコア表[#Headers],0)),スコア表[Ec3],0),"-")</f>
        <v>37</v>
      </c>
      <c r="CC14" s="79">
        <f>IFERROR(_xlfn.RANK.EQ(INDEX(スコア表[],MATCH($C14,スコア表['#],0),MATCH(CC$5,スコア表[#Headers],0)),スコア表[Ec4],0),"-")</f>
        <v>21</v>
      </c>
      <c r="CD14" s="79">
        <f>IFERROR(_xlfn.RANK.EQ(INDEX(スコア表[],MATCH($C14,スコア表['#],0),MATCH(CD$5,スコア表[#Headers],0)),スコア表[Ec5],0),"-")</f>
        <v>31</v>
      </c>
      <c r="CE14" s="79">
        <f>IFERROR(_xlfn.RANK.EQ(INDEX(スコア表[],MATCH($C14,スコア表['#],0),MATCH(CE$5,スコア表[#Headers],0)),スコア表[Ec6],0),"-")</f>
        <v>33</v>
      </c>
      <c r="CF14" s="79">
        <f>IFERROR(_xlfn.RANK.EQ(INDEX(スコア表[],MATCH($C14,スコア表['#],0),MATCH(CF$5,スコア表[#Headers],0)),スコア表[RD1],0),"-")</f>
        <v>15</v>
      </c>
      <c r="CG14" s="79">
        <f>IFERROR(_xlfn.RANK.EQ(INDEX(スコア表[],MATCH($C14,スコア表['#],0),MATCH(CG$5,スコア表[#Headers],0)),スコア表[RD2],0),"-")</f>
        <v>20</v>
      </c>
      <c r="CH14" s="79">
        <f>IFERROR(_xlfn.RANK.EQ(INDEX(スコア表[],MATCH($C14,スコア表['#],0),MATCH(CH$5,スコア表[#Headers],0)),スコア表[RD3],0),"-")</f>
        <v>13</v>
      </c>
      <c r="CI14" s="79">
        <f>IFERROR(_xlfn.RANK.EQ(INDEX(スコア表[],MATCH($C14,スコア表['#],0),MATCH(CI$5,スコア表[#Headers],0)),スコア表[CI1],0),"-")</f>
        <v>14</v>
      </c>
      <c r="CJ14" s="79">
        <f>IFERROR(_xlfn.RANK.EQ(INDEX(スコア表[],MATCH($C14,スコア表['#],0),MATCH(CJ$5,スコア表[#Headers],0)),スコア表[CI2],0),"-")</f>
        <v>9</v>
      </c>
      <c r="CK14" s="79">
        <f>IFERROR(_xlfn.RANK.EQ(INDEX(スコア表[],MATCH($C14,スコア表['#],0),MATCH(CK$5,スコア表[#Headers],0)),スコア表[CI3],0),"-")</f>
        <v>5</v>
      </c>
      <c r="CL14" s="79">
        <f>IFERROR(_xlfn.RANK.EQ(INDEX(スコア表[],MATCH($C14,スコア表['#],0),MATCH(CL$5,スコア表[#Headers],0)),スコア表[CI4],0),"-")</f>
        <v>34</v>
      </c>
      <c r="CM14" s="79">
        <f>IFERROR(_xlfn.RANK.EQ(INDEX(スコア表[],MATCH($C14,スコア表['#],0),MATCH(CM$5,スコア表[#Headers],0)),スコア表[CI5],0),"-")</f>
        <v>10</v>
      </c>
      <c r="CN14" s="79">
        <f>IFERROR(_xlfn.RANK.EQ(INDEX(スコア表[],MATCH($C14,スコア表['#],0),MATCH(CN$5,スコア表[#Headers],0)),スコア表[Li1],0),"-")</f>
        <v>17</v>
      </c>
      <c r="CO14" s="79">
        <f>IFERROR(_xlfn.RANK.EQ(INDEX(スコア表[],MATCH($C14,スコア表['#],0),MATCH(CO$5,スコア表[#Headers],0)),スコア表[Li2],0),"-")</f>
        <v>26</v>
      </c>
      <c r="CP14" s="79">
        <f>IFERROR(_xlfn.RANK.EQ(INDEX(スコア表[],MATCH($C14,スコア表['#],0),MATCH(CP$5,スコア表[#Headers],0)),スコア表[Li3],0),"-")</f>
        <v>16</v>
      </c>
      <c r="CQ14" s="79">
        <f>IFERROR(_xlfn.RANK.EQ(INDEX(スコア表[],MATCH($C14,スコア表['#],0),MATCH(CQ$5,スコア表[#Headers],0)),スコア表[Li4],0),"-")</f>
        <v>10</v>
      </c>
      <c r="CR14" s="79">
        <f>IFERROR(_xlfn.RANK.EQ(INDEX(スコア表[],MATCH($C14,スコア表['#],0),MATCH(CR$5,スコア表[#Headers],0)),スコア表[Li5],0),"-")</f>
        <v>27</v>
      </c>
      <c r="CS14" s="79">
        <f>IFERROR(_xlfn.RANK.EQ(INDEX(スコア表[],MATCH($C14,スコア表['#],0),MATCH(CS$5,スコア表[#Headers],0)),スコア表[En1],0),"-")</f>
        <v>5</v>
      </c>
      <c r="CT14" s="79">
        <f>IFERROR(_xlfn.RANK.EQ(INDEX(スコア表[],MATCH($C14,スコア表['#],0),MATCH(CT$5,スコア表[#Headers],0)),スコア表[En2],0),"-")</f>
        <v>23</v>
      </c>
      <c r="CU14" s="79">
        <f>IFERROR(_xlfn.RANK.EQ(INDEX(スコア表[],MATCH($C14,スコア表['#],0),MATCH(CU$5,スコア表[#Headers],0)),スコア表[En3],0),"-")</f>
        <v>13</v>
      </c>
      <c r="CV14" s="79">
        <f>IFERROR(_xlfn.RANK.EQ(INDEX(スコア表[],MATCH($C14,スコア表['#],0),MATCH(CV$5,スコア表[#Headers],0)),スコア表[Ac1],0),"-")</f>
        <v>30</v>
      </c>
      <c r="CW14" s="79">
        <f>IFERROR(_xlfn.RANK.EQ(INDEX(スコア表[],MATCH($C14,スコア表['#],0),MATCH(CW$5,スコア表[#Headers],0)),スコア表[Ac2],0),"-")</f>
        <v>39</v>
      </c>
      <c r="CX14" s="79">
        <f>IFERROR(_xlfn.RANK.EQ(INDEX(スコア表[],MATCH($C14,スコア表['#],0),MATCH(CX$5,スコア表[#Headers],0)),スコア表[Ac3],0),"-")</f>
        <v>10</v>
      </c>
      <c r="CY14" s="79">
        <f>IFERROR(_xlfn.RANK.EQ(INDEX(スコア表[],MATCH($C14,スコア表['#],0),MATCH(CY$5,スコア表[#Headers],0)),スコア表[Ac4],0),"-")</f>
        <v>15</v>
      </c>
      <c r="CZ14" s="79">
        <f>IFERROR(_xlfn.RANK.EQ(INDEX(スコア表[],MATCH($C14,スコア表['#],0),MATCH(CZ$5,スコア表[#Headers],0)),スコア表[Economy],0),"-")</f>
        <v>29</v>
      </c>
      <c r="DA14" s="79">
        <f>IFERROR(_xlfn.RANK.EQ(INDEX(スコア表[],MATCH($C14,スコア表['#],0),MATCH(DA$5,スコア表[#Headers],0)),スコア表[R&amp;D],0),"-")</f>
        <v>17</v>
      </c>
      <c r="DB14" s="79">
        <f>IFERROR(_xlfn.RANK.EQ(INDEX(スコア表[],MATCH($C14,スコア表['#],0),MATCH(DB$5,スコア表[#Headers],0)),スコア表[Cultural Interaction],0),"-")</f>
        <v>10</v>
      </c>
      <c r="DC14" s="79">
        <f>IFERROR(_xlfn.RANK.EQ(INDEX(スコア表[],MATCH($C14,スコア表['#],0),MATCH(DC$5,スコア表[#Headers],0)),スコア表[Livability],0),"-")</f>
        <v>6</v>
      </c>
      <c r="DD14" s="79">
        <f>IFERROR(_xlfn.RANK.EQ(INDEX(スコア表[],MATCH($C14,スコア表['#],0),MATCH(DD$5,スコア表[#Headers],0)),スコア表[Environment],0),"-")</f>
        <v>9</v>
      </c>
      <c r="DE14" s="79">
        <f>IFERROR(_xlfn.RANK.EQ(INDEX(スコア表[],MATCH($C14,スコア表['#],0),MATCH(DE$5,スコア表[#Headers],0)),スコア表[Accessibility],0),"-")</f>
        <v>23</v>
      </c>
      <c r="DF14" s="81">
        <f>IFERROR(_xlfn.RANK.EQ(INDEX(スコア表[],MATCH($C14,スコア表['#],0),MATCH(DF$5,スコア表[#Headers],0)),スコア表[Comprehensive],0),"-")</f>
        <v>10</v>
      </c>
    </row>
    <row r="15" spans="1:110">
      <c r="A15" s="2">
        <v>10</v>
      </c>
      <c r="B15" s="58">
        <f>INDEX(順位表[Comprehensive],MATCH($C15,順位表['#],0))</f>
        <v>33</v>
      </c>
      <c r="C15" s="3">
        <v>10</v>
      </c>
      <c r="D15" s="1" t="str">
        <f>INDEX(都市マスタ[City Name],MATCH($C15,都市マスタ['#],0))</f>
        <v>Milan</v>
      </c>
      <c r="E15" s="79">
        <f>IFERROR(_xlfn.RANK.EQ(INDEX(スコア表[],MATCH($C15,スコア表['#],0),MATCH(E$5,スコア表[#Headers],0)),スコア表[00a],0),"-")</f>
        <v>35</v>
      </c>
      <c r="F15" s="79">
        <f>IFERROR(_xlfn.RANK.EQ(INDEX(スコア表[],MATCH($C15,スコア表['#],0),MATCH(F$5,スコア表[#Headers],0)),スコア表[00b],0),"-")</f>
        <v>36</v>
      </c>
      <c r="G15" s="79">
        <f>IFERROR(_xlfn.RANK.EQ(INDEX(スコア表[],MATCH($C15,スコア表['#],0),MATCH(G$5,スコア表[#Headers],0)),スコア表[00c],0),"-")</f>
        <v>37</v>
      </c>
      <c r="H15" s="79">
        <f>IFERROR(_xlfn.RANK.EQ(INDEX(スコア表[],MATCH($C15,スコア表['#],0),MATCH(H$5,スコア表[#Headers],0)),スコア表[01],0),"-")</f>
        <v>32</v>
      </c>
      <c r="I15" s="79">
        <f>IFERROR(_xlfn.RANK.EQ(INDEX(スコア表[],MATCH($C15,スコア表['#],0),MATCH(I$5,スコア表[#Headers],0)),スコア表[02],0),"-")</f>
        <v>22</v>
      </c>
      <c r="J15" s="79">
        <f>IFERROR(_xlfn.RANK.EQ(INDEX(スコア表[],MATCH($C15,スコア表['#],0),MATCH(J$5,スコア表[#Headers],0)),スコア表[03],0),"-")</f>
        <v>38</v>
      </c>
      <c r="K15" s="79">
        <f>IFERROR(_xlfn.RANK.EQ(INDEX(スコア表[],MATCH($C15,スコア表['#],0),MATCH(K$5,スコア表[#Headers],0)),スコア表[04],0),"-")</f>
        <v>37</v>
      </c>
      <c r="L15" s="79">
        <f>IFERROR(_xlfn.RANK.EQ(INDEX(スコア表[],MATCH($C15,スコア表['#],0),MATCH(L$5,スコア表[#Headers],0)),スコア表[05],0),"-")</f>
        <v>36</v>
      </c>
      <c r="M15" s="79">
        <f>IFERROR(_xlfn.RANK.EQ(INDEX(スコア表[],MATCH($C15,スコア表['#],0),MATCH(M$5,スコア表[#Headers],0)),スコア表[06],0),"-")</f>
        <v>35</v>
      </c>
      <c r="N15" s="79">
        <f>IFERROR(_xlfn.RANK.EQ(INDEX(スコア表[],MATCH($C15,スコア表['#],0),MATCH(N$5,スコア表[#Headers],0)),スコア表[07],0),"-")</f>
        <v>31</v>
      </c>
      <c r="O15" s="79">
        <f>IFERROR(_xlfn.RANK.EQ(INDEX(スコア表[],MATCH($C15,スコア表['#],0),MATCH(O$5,スコア表[#Headers],0)),スコア表[08],0),"-")</f>
        <v>1</v>
      </c>
      <c r="P15" s="79">
        <f>IFERROR(_xlfn.RANK.EQ(INDEX(スコア表[],MATCH($C15,スコア表['#],0),MATCH(P$5,スコア表[#Headers],0)),スコア表[09],0),"-")</f>
        <v>34</v>
      </c>
      <c r="Q15" s="79">
        <f>IFERROR(_xlfn.RANK.EQ(INDEX(スコア表[],MATCH($C15,スコア表['#],0),MATCH(Q$5,スコア表[#Headers],0)),スコア表[10],0),"-")</f>
        <v>35</v>
      </c>
      <c r="R15" s="79">
        <f>IFERROR(_xlfn.RANK.EQ(INDEX(スコア表[],MATCH($C15,スコア表['#],0),MATCH(R$5,スコア表[#Headers],0)),スコア表[11],0),"-")</f>
        <v>27</v>
      </c>
      <c r="S15" s="79">
        <f>IFERROR(_xlfn.RANK.EQ(INDEX(スコア表[],MATCH($C15,スコア表['#],0),MATCH(S$5,スコア表[#Headers],0)),スコア表[12],0),"-")</f>
        <v>33</v>
      </c>
      <c r="T15" s="79">
        <f>IFERROR(_xlfn.RANK.EQ(INDEX(スコア表[],MATCH($C15,スコア表['#],0),MATCH(T$5,スコア表[#Headers],0)),スコア表[13],0),"-")</f>
        <v>39</v>
      </c>
      <c r="U15" s="79">
        <f>IFERROR(_xlfn.RANK.EQ(INDEX(スコア表[],MATCH($C15,スコア表['#],0),MATCH(U$5,スコア表[#Headers],0)),スコア表[14],0),"-")</f>
        <v>35</v>
      </c>
      <c r="V15" s="79">
        <f>IFERROR(_xlfn.RANK.EQ(INDEX(スコア表[],MATCH($C15,スコア表['#],0),MATCH(V$5,スコア表[#Headers],0)),スコア表[15],0),"-")</f>
        <v>33</v>
      </c>
      <c r="W15" s="79">
        <f>IFERROR(_xlfn.RANK.EQ(INDEX(スコア表[],MATCH($C15,スコア表['#],0),MATCH(W$5,スコア表[#Headers],0)),スコア表[16],0),"-")</f>
        <v>34</v>
      </c>
      <c r="X15" s="79">
        <f>IFERROR(_xlfn.RANK.EQ(INDEX(スコア表[],MATCH($C15,スコア表['#],0),MATCH(X$5,スコア表[#Headers],0)),スコア表[17],0),"-")</f>
        <v>24</v>
      </c>
      <c r="Y15" s="79">
        <f>IFERROR(_xlfn.RANK.EQ(INDEX(スコア表[],MATCH($C15,スコア表['#],0),MATCH(Y$5,スコア表[#Headers],0)),スコア表[18],0),"-")</f>
        <v>36</v>
      </c>
      <c r="Z15" s="79">
        <f>IFERROR(_xlfn.RANK.EQ(INDEX(スコア表[],MATCH($C15,スコア表['#],0),MATCH(Z$5,スコア表[#Headers],0)),スコア表[19],0),"-")</f>
        <v>30</v>
      </c>
      <c r="AA15" s="79">
        <f>IFERROR(_xlfn.RANK.EQ(INDEX(スコア表[],MATCH($C15,スコア表['#],0),MATCH(AA$5,スコア表[#Headers],0)),スコア表[20],0),"-")</f>
        <v>23</v>
      </c>
      <c r="AB15" s="79">
        <f>IFERROR(_xlfn.RANK.EQ(INDEX(スコア表[],MATCH($C15,スコア表['#],0),MATCH(AB$5,スコア表[#Headers],0)),スコア表[21],0),"-")</f>
        <v>17</v>
      </c>
      <c r="AC15" s="79">
        <f>IFERROR(_xlfn.RANK.EQ(INDEX(スコア表[],MATCH($C15,スコア表['#],0),MATCH(AC$5,スコア表[#Headers],0)),スコア表[22],0),"-")</f>
        <v>23</v>
      </c>
      <c r="AD15" s="79">
        <f>IFERROR(_xlfn.RANK.EQ(INDEX(スコア表[],MATCH($C15,スコア表['#],0),MATCH(AD$5,スコア表[#Headers],0)),スコア表[23],0),"-")</f>
        <v>7</v>
      </c>
      <c r="AE15" s="79">
        <f>IFERROR(_xlfn.RANK.EQ(INDEX(スコア表[],MATCH($C15,スコア表['#],0),MATCH(AE$5,スコア表[#Headers],0)),スコア表[24],0),"-")</f>
        <v>39</v>
      </c>
      <c r="AF15" s="79">
        <f>IFERROR(_xlfn.RANK.EQ(INDEX(スコア表[],MATCH($C15,スコア表['#],0),MATCH(AF$5,スコア表[#Headers],0)),スコア表[25],0),"-")</f>
        <v>16</v>
      </c>
      <c r="AG15" s="79">
        <f>IFERROR(_xlfn.RANK.EQ(INDEX(スコア表[],MATCH($C15,スコア表['#],0),MATCH(AG$5,スコア表[#Headers],0)),スコア表[26],0),"-")</f>
        <v>30</v>
      </c>
      <c r="AH15" s="79">
        <f>IFERROR(_xlfn.RANK.EQ(INDEX(スコア表[],MATCH($C15,スコア表['#],0),MATCH(AH$5,スコア表[#Headers],0)),スコア表[27],0),"-")</f>
        <v>11</v>
      </c>
      <c r="AI15" s="79">
        <f>IFERROR(_xlfn.RANK.EQ(INDEX(スコア表[],MATCH($C15,スコア表['#],0),MATCH(AI$5,スコア表[#Headers],0)),スコア表[28],0),"-")</f>
        <v>16</v>
      </c>
      <c r="AJ15" s="79">
        <f>IFERROR(_xlfn.RANK.EQ(INDEX(スコア表[],MATCH($C15,スコア表['#],0),MATCH(AJ$5,スコア表[#Headers],0)),スコア表[29],0),"-")</f>
        <v>16</v>
      </c>
      <c r="AK15" s="79">
        <f>IFERROR(_xlfn.RANK.EQ(INDEX(スコア表[],MATCH($C15,スコア表['#],0),MATCH(AK$5,スコア表[#Headers],0)),スコア表[30],0),"-")</f>
        <v>12</v>
      </c>
      <c r="AL15" s="79">
        <f>IFERROR(_xlfn.RANK.EQ(INDEX(スコア表[],MATCH($C15,スコア表['#],0),MATCH(AL$5,スコア表[#Headers],0)),スコア表[31],0),"-")</f>
        <v>34</v>
      </c>
      <c r="AM15" s="79">
        <f>IFERROR(_xlfn.RANK.EQ(INDEX(スコア表[],MATCH($C15,スコア表['#],0),MATCH(AM$5,スコア表[#Headers],0)),スコア表[32],0),"-")</f>
        <v>31</v>
      </c>
      <c r="AN15" s="79">
        <f>IFERROR(_xlfn.RANK.EQ(INDEX(スコア表[],MATCH($C15,スコア表['#],0),MATCH(AN$5,スコア表[#Headers],0)),スコア表[33],0),"-")</f>
        <v>28</v>
      </c>
      <c r="AO15" s="79">
        <f>IFERROR(_xlfn.RANK.EQ(INDEX(スコア表[],MATCH($C15,スコア表['#],0),MATCH(AO$5,スコア表[#Headers],0)),スコア表[34],0),"-")</f>
        <v>12</v>
      </c>
      <c r="AP15" s="79">
        <f>IFERROR(_xlfn.RANK.EQ(INDEX(スコア表[],MATCH($C15,スコア表['#],0),MATCH(AP$5,スコア表[#Headers],0)),スコア表[35],0),"-")</f>
        <v>26</v>
      </c>
      <c r="AQ15" s="79">
        <f>IFERROR(_xlfn.RANK.EQ(INDEX(スコア表[],MATCH($C15,スコア表['#],0),MATCH(AQ$5,スコア表[#Headers],0)),スコア表[36],0),"-")</f>
        <v>22</v>
      </c>
      <c r="AR15" s="79">
        <f>IFERROR(_xlfn.RANK.EQ(INDEX(スコア表[],MATCH($C15,スコア表['#],0),MATCH(AR$5,スコア表[#Headers],0)),スコア表[37],0),"-")</f>
        <v>19</v>
      </c>
      <c r="AS15" s="79">
        <f>IFERROR(_xlfn.RANK.EQ(INDEX(スコア表[],MATCH($C15,スコア表['#],0),MATCH(AS$5,スコア表[#Headers],0)),スコア表[38],0),"-")</f>
        <v>29</v>
      </c>
      <c r="AT15" s="79">
        <f>IFERROR(_xlfn.RANK.EQ(INDEX(スコア表[],MATCH($C15,スコア表['#],0),MATCH(AT$5,スコア表[#Headers],0)),スコア表[39],0),"-")</f>
        <v>15</v>
      </c>
      <c r="AU15" s="79">
        <f>IFERROR(_xlfn.RANK.EQ(INDEX(スコア表[],MATCH($C15,スコア表['#],0),MATCH(AU$5,スコア表[#Headers],0)),スコア表[40],0),"-")</f>
        <v>46</v>
      </c>
      <c r="AV15" s="79">
        <f>IFERROR(_xlfn.RANK.EQ(INDEX(スコア表[],MATCH($C15,スコア表['#],0),MATCH(AV$5,スコア表[#Headers],0)),スコア表[41],0),"-")</f>
        <v>26</v>
      </c>
      <c r="AW15" s="79">
        <f>IFERROR(_xlfn.RANK.EQ(INDEX(スコア表[],MATCH($C15,スコア表['#],0),MATCH(AW$5,スコア表[#Headers],0)),スコア表[42],0),"-")</f>
        <v>22</v>
      </c>
      <c r="AX15" s="79">
        <f>IFERROR(_xlfn.RANK.EQ(INDEX(スコア表[],MATCH($C15,スコア表['#],0),MATCH(AX$5,スコア表[#Headers],0)),スコア表[43],0),"-")</f>
        <v>11</v>
      </c>
      <c r="AY15" s="79">
        <f>IFERROR(_xlfn.RANK.EQ(INDEX(スコア表[],MATCH($C15,スコア表['#],0),MATCH(AY$5,スコア表[#Headers],0)),スコア表[44],0),"-")</f>
        <v>1</v>
      </c>
      <c r="AZ15" s="79">
        <f>IFERROR(_xlfn.RANK.EQ(INDEX(スコア表[],MATCH($C15,スコア表['#],0),MATCH(AZ$5,スコア表[#Headers],0)),スコア表[45],0),"-")</f>
        <v>12</v>
      </c>
      <c r="BA15" s="79">
        <f>IFERROR(_xlfn.RANK.EQ(INDEX(スコア表[],MATCH($C15,スコア表['#],0),MATCH(BA$5,スコア表[#Headers],0)),スコア表[46],0),"-")</f>
        <v>28</v>
      </c>
      <c r="BB15" s="79">
        <f>IFERROR(_xlfn.RANK.EQ(INDEX(スコア表[],MATCH($C15,スコア表['#],0),MATCH(BB$5,スコア表[#Headers],0)),スコア表[47],0),"-")</f>
        <v>6</v>
      </c>
      <c r="BC15" s="79">
        <f>IFERROR(_xlfn.RANK.EQ(INDEX(スコア表[],MATCH($C15,スコア表['#],0),MATCH(BC$5,スコア表[#Headers],0)),スコア表[48],0),"-")</f>
        <v>4</v>
      </c>
      <c r="BD15" s="79">
        <f>IFERROR(_xlfn.RANK.EQ(INDEX(スコア表[],MATCH($C15,スコア表['#],0),MATCH(BD$5,スコア表[#Headers],0)),スコア表[49],0),"-")</f>
        <v>33</v>
      </c>
      <c r="BE15" s="79">
        <f>IFERROR(_xlfn.RANK.EQ(INDEX(スコア表[],MATCH($C15,スコア表['#],0),MATCH(BE$5,スコア表[#Headers],0)),スコア表[50],0),"-")</f>
        <v>25</v>
      </c>
      <c r="BF15" s="79">
        <f>IFERROR(_xlfn.RANK.EQ(INDEX(スコア表[],MATCH($C15,スコア表['#],0),MATCH(BF$5,スコア表[#Headers],0)),スコア表[51],0),"-")</f>
        <v>15</v>
      </c>
      <c r="BG15" s="79">
        <f>IFERROR(_xlfn.RANK.EQ(INDEX(スコア表[],MATCH($C15,スコア表['#],0),MATCH(BG$5,スコア表[#Headers],0)),スコア表[52],0),"-")</f>
        <v>28</v>
      </c>
      <c r="BH15" s="79">
        <f>IFERROR(_xlfn.RANK.EQ(INDEX(スコア表[],MATCH($C15,スコア表['#],0),MATCH(BH$5,スコア表[#Headers],0)),スコア表[53],0),"-")</f>
        <v>10</v>
      </c>
      <c r="BI15" s="79">
        <f>IFERROR(_xlfn.RANK.EQ(INDEX(スコア表[],MATCH($C15,スコア表['#],0),MATCH(BI$5,スコア表[#Headers],0)),スコア表[54],0),"-")</f>
        <v>14</v>
      </c>
      <c r="BJ15" s="79">
        <f>IFERROR(_xlfn.RANK.EQ(INDEX(スコア表[],MATCH($C15,スコア表['#],0),MATCH(BJ$5,スコア表[#Headers],0)),スコア表[55],0),"-")</f>
        <v>28</v>
      </c>
      <c r="BK15" s="79">
        <f>IFERROR(_xlfn.RANK.EQ(INDEX(スコア表[],MATCH($C15,スコア表['#],0),MATCH(BK$5,スコア表[#Headers],0)),スコア表[56],0),"-")</f>
        <v>43</v>
      </c>
      <c r="BL15" s="79">
        <f>IFERROR(_xlfn.RANK.EQ(INDEX(スコア表[],MATCH($C15,スコア表['#],0),MATCH(BL$5,スコア表[#Headers],0)),スコア表[57],0),"-")</f>
        <v>11</v>
      </c>
      <c r="BM15" s="79">
        <f>IFERROR(_xlfn.RANK.EQ(INDEX(スコア表[],MATCH($C15,スコア表['#],0),MATCH(BM$5,スコア表[#Headers],0)),スコア表[58],0),"-")</f>
        <v>21</v>
      </c>
      <c r="BN15" s="79">
        <f>IFERROR(_xlfn.RANK.EQ(INDEX(スコア表[],MATCH($C15,スコア表['#],0),MATCH(BN$5,スコア表[#Headers],0)),スコア表[59],0),"-")</f>
        <v>34</v>
      </c>
      <c r="BO15" s="79">
        <f>IFERROR(_xlfn.RANK.EQ(INDEX(スコア表[],MATCH($C15,スコア表['#],0),MATCH(BO$5,スコア表[#Headers],0)),スコア表[60],0),"-")</f>
        <v>33</v>
      </c>
      <c r="BP15" s="79">
        <f>IFERROR(_xlfn.RANK.EQ(INDEX(スコア表[],MATCH($C15,スコア表['#],0),MATCH(BP$5,スコア表[#Headers],0)),スコア表[61],0),"-")</f>
        <v>8</v>
      </c>
      <c r="BQ15" s="79">
        <f>IFERROR(_xlfn.RANK.EQ(INDEX(スコア表[],MATCH($C15,スコア表['#],0),MATCH(BQ$5,スコア表[#Headers],0)),スコア表[62],0),"-")</f>
        <v>20</v>
      </c>
      <c r="BR15" s="79">
        <f>IFERROR(_xlfn.RANK.EQ(INDEX(スコア表[],MATCH($C15,スコア表['#],0),MATCH(BR$5,スコア表[#Headers],0)),スコア表[63],0),"-")</f>
        <v>18</v>
      </c>
      <c r="BS15" s="79">
        <f>IFERROR(_xlfn.RANK.EQ(INDEX(スコア表[],MATCH($C15,スコア表['#],0),MATCH(BS$5,スコア表[#Headers],0)),スコア表[64],0),"-")</f>
        <v>20</v>
      </c>
      <c r="BT15" s="79">
        <f>IFERROR(_xlfn.RANK.EQ(INDEX(スコア表[],MATCH($C15,スコア表['#],0),MATCH(BT$5,スコア表[#Headers],0)),スコア表[65],0),"-")</f>
        <v>4</v>
      </c>
      <c r="BU15" s="79">
        <f>IFERROR(_xlfn.RANK.EQ(INDEX(スコア表[],MATCH($C15,スコア表['#],0),MATCH(BU$5,スコア表[#Headers],0)),スコア表[66],0),"-")</f>
        <v>20</v>
      </c>
      <c r="BV15" s="79">
        <f>IFERROR(_xlfn.RANK.EQ(INDEX(スコア表[],MATCH($C15,スコア表['#],0),MATCH(BV$5,スコア表[#Headers],0)),スコア表[67],0),"-")</f>
        <v>39</v>
      </c>
      <c r="BW15" s="79">
        <f>IFERROR(_xlfn.RANK.EQ(INDEX(スコア表[],MATCH($C15,スコア表['#],0),MATCH(BW$5,スコア表[#Headers],0)),スコア表[68],0),"-")</f>
        <v>16</v>
      </c>
      <c r="BX15" s="79">
        <f>IFERROR(_xlfn.RANK.EQ(INDEX(スコア表[],MATCH($C15,スコア表['#],0),MATCH(BX$5,スコア表[#Headers],0)),スコア表[69],0),"-")</f>
        <v>45</v>
      </c>
      <c r="BY15" s="79">
        <f>IFERROR(_xlfn.RANK.EQ(INDEX(スコア表[],MATCH($C15,スコア表['#],0),MATCH(BY$5,スコア表[#Headers],0)),スコア表[70],0),"-")</f>
        <v>33</v>
      </c>
      <c r="BZ15" s="79">
        <f>IFERROR(_xlfn.RANK.EQ(INDEX(スコア表[],MATCH($C15,スコア表['#],0),MATCH(BZ$5,スコア表[#Headers],0)),スコア表[Ec1],0),"-")</f>
        <v>30</v>
      </c>
      <c r="CA15" s="79">
        <f>IFERROR(_xlfn.RANK.EQ(INDEX(スコア表[],MATCH($C15,スコア表['#],0),MATCH(CA$5,スコア表[#Headers],0)),スコア表[Ec2],0),"-")</f>
        <v>35</v>
      </c>
      <c r="CB15" s="79">
        <f>IFERROR(_xlfn.RANK.EQ(INDEX(スコア表[],MATCH($C15,スコア表['#],0),MATCH(CB$5,スコア表[#Headers],0)),スコア表[Ec3],0),"-")</f>
        <v>44</v>
      </c>
      <c r="CC15" s="79">
        <f>IFERROR(_xlfn.RANK.EQ(INDEX(スコア表[],MATCH($C15,スコア表['#],0),MATCH(CC$5,スコア表[#Headers],0)),スコア表[Ec4],0),"-")</f>
        <v>6</v>
      </c>
      <c r="CD15" s="79">
        <f>IFERROR(_xlfn.RANK.EQ(INDEX(スコア表[],MATCH($C15,スコア表['#],0),MATCH(CD$5,スコア表[#Headers],0)),スコア表[Ec5],0),"-")</f>
        <v>36</v>
      </c>
      <c r="CE15" s="79">
        <f>IFERROR(_xlfn.RANK.EQ(INDEX(スコア表[],MATCH($C15,スコア表['#],0),MATCH(CE$5,スコア表[#Headers],0)),スコア表[Ec6],0),"-")</f>
        <v>41</v>
      </c>
      <c r="CF15" s="79">
        <f>IFERROR(_xlfn.RANK.EQ(INDEX(スコア表[],MATCH($C15,スコア表['#],0),MATCH(CF$5,スコア表[#Headers],0)),スコア表[RD1],0),"-")</f>
        <v>41</v>
      </c>
      <c r="CG15" s="79">
        <f>IFERROR(_xlfn.RANK.EQ(INDEX(スコア表[],MATCH($C15,スコア表['#],0),MATCH(CG$5,スコア表[#Headers],0)),スコア表[RD2],0),"-")</f>
        <v>36</v>
      </c>
      <c r="CH15" s="79">
        <f>IFERROR(_xlfn.RANK.EQ(INDEX(スコア表[],MATCH($C15,スコア表['#],0),MATCH(CH$5,スコア表[#Headers],0)),スコア表[RD3],0),"-")</f>
        <v>28</v>
      </c>
      <c r="CI15" s="79">
        <f>IFERROR(_xlfn.RANK.EQ(INDEX(スコア表[],MATCH($C15,スコア表['#],0),MATCH(CI$5,スコア表[#Headers],0)),スコア表[CI1],0),"-")</f>
        <v>22</v>
      </c>
      <c r="CJ15" s="79">
        <f>IFERROR(_xlfn.RANK.EQ(INDEX(スコア表[],MATCH($C15,スコア表['#],0),MATCH(CJ$5,スコア表[#Headers],0)),スコア表[CI2],0),"-")</f>
        <v>16</v>
      </c>
      <c r="CK15" s="79">
        <f>IFERROR(_xlfn.RANK.EQ(INDEX(スコア表[],MATCH($C15,スコア表['#],0),MATCH(CK$5,スコア表[#Headers],0)),スコア表[CI3],0),"-")</f>
        <v>23</v>
      </c>
      <c r="CL15" s="79">
        <f>IFERROR(_xlfn.RANK.EQ(INDEX(スコア表[],MATCH($C15,スコア表['#],0),MATCH(CL$5,スコア表[#Headers],0)),スコア表[CI4],0),"-")</f>
        <v>22</v>
      </c>
      <c r="CM15" s="79">
        <f>IFERROR(_xlfn.RANK.EQ(INDEX(スコア表[],MATCH($C15,スコア表['#],0),MATCH(CM$5,スコア表[#Headers],0)),スコア表[CI5],0),"-")</f>
        <v>21</v>
      </c>
      <c r="CN15" s="79">
        <f>IFERROR(_xlfn.RANK.EQ(INDEX(スコア表[],MATCH($C15,スコア表['#],0),MATCH(CN$5,スコア表[#Headers],0)),スコア表[Li1],0),"-")</f>
        <v>42</v>
      </c>
      <c r="CO15" s="79">
        <f>IFERROR(_xlfn.RANK.EQ(INDEX(スコア表[],MATCH($C15,スコア表['#],0),MATCH(CO$5,スコア表[#Headers],0)),スコア表[Li2],0),"-")</f>
        <v>24</v>
      </c>
      <c r="CP15" s="79">
        <f>IFERROR(_xlfn.RANK.EQ(INDEX(スコア表[],MATCH($C15,スコア表['#],0),MATCH(CP$5,スコア表[#Headers],0)),スコア表[Li3],0),"-")</f>
        <v>1</v>
      </c>
      <c r="CQ15" s="79">
        <f>IFERROR(_xlfn.RANK.EQ(INDEX(スコア表[],MATCH($C15,スコア表['#],0),MATCH(CQ$5,スコア表[#Headers],0)),スコア表[Li4],0),"-")</f>
        <v>13</v>
      </c>
      <c r="CR15" s="79">
        <f>IFERROR(_xlfn.RANK.EQ(INDEX(スコア表[],MATCH($C15,スコア表['#],0),MATCH(CR$5,スコア表[#Headers],0)),スコア表[Li5],0),"-")</f>
        <v>9</v>
      </c>
      <c r="CS15" s="79">
        <f>IFERROR(_xlfn.RANK.EQ(INDEX(スコア表[],MATCH($C15,スコア表['#],0),MATCH(CS$5,スコア表[#Headers],0)),スコア表[En1],0),"-")</f>
        <v>14</v>
      </c>
      <c r="CT15" s="79">
        <f>IFERROR(_xlfn.RANK.EQ(INDEX(スコア表[],MATCH($C15,スコア表['#],0),MATCH(CT$5,スコア表[#Headers],0)),スコア表[En2],0),"-")</f>
        <v>34</v>
      </c>
      <c r="CU15" s="79">
        <f>IFERROR(_xlfn.RANK.EQ(INDEX(スコア表[],MATCH($C15,スコア表['#],0),MATCH(CU$5,スコア表[#Headers],0)),スコア表[En3],0),"-")</f>
        <v>31</v>
      </c>
      <c r="CV15" s="79">
        <f>IFERROR(_xlfn.RANK.EQ(INDEX(スコア表[],MATCH($C15,スコア表['#],0),MATCH(CV$5,スコア表[#Headers],0)),スコア表[Ac1],0),"-")</f>
        <v>13</v>
      </c>
      <c r="CW15" s="79">
        <f>IFERROR(_xlfn.RANK.EQ(INDEX(スコア表[],MATCH($C15,スコア表['#],0),MATCH(CW$5,スコア表[#Headers],0)),スコア表[Ac2],0),"-")</f>
        <v>18</v>
      </c>
      <c r="CX15" s="79">
        <f>IFERROR(_xlfn.RANK.EQ(INDEX(スコア表[],MATCH($C15,スコア表['#],0),MATCH(CX$5,スコア表[#Headers],0)),スコア表[Ac3],0),"-")</f>
        <v>20</v>
      </c>
      <c r="CY15" s="79">
        <f>IFERROR(_xlfn.RANK.EQ(INDEX(スコア表[],MATCH($C15,スコア表['#],0),MATCH(CY$5,スコア表[#Headers],0)),スコア表[Ac4],0),"-")</f>
        <v>31</v>
      </c>
      <c r="CZ15" s="79">
        <f>IFERROR(_xlfn.RANK.EQ(INDEX(スコア表[],MATCH($C15,スコア表['#],0),MATCH(CZ$5,スコア表[#Headers],0)),スコア表[Economy],0),"-")</f>
        <v>36</v>
      </c>
      <c r="DA15" s="79">
        <f>IFERROR(_xlfn.RANK.EQ(INDEX(スコア表[],MATCH($C15,スコア表['#],0),MATCH(DA$5,スコア表[#Headers],0)),スコア表[R&amp;D],0),"-")</f>
        <v>35</v>
      </c>
      <c r="DB15" s="79">
        <f>IFERROR(_xlfn.RANK.EQ(INDEX(スコア表[],MATCH($C15,スコア表['#],0),MATCH(DB$5,スコア表[#Headers],0)),スコア表[Cultural Interaction],0),"-")</f>
        <v>24</v>
      </c>
      <c r="DC15" s="79">
        <f>IFERROR(_xlfn.RANK.EQ(INDEX(スコア表[],MATCH($C15,スコア表['#],0),MATCH(DC$5,スコア表[#Headers],0)),スコア表[Livability],0),"-")</f>
        <v>13</v>
      </c>
      <c r="DD15" s="79">
        <f>IFERROR(_xlfn.RANK.EQ(INDEX(スコア表[],MATCH($C15,スコア表['#],0),MATCH(DD$5,スコア表[#Headers],0)),スコア表[Environment],0),"-")</f>
        <v>25</v>
      </c>
      <c r="DE15" s="79">
        <f>IFERROR(_xlfn.RANK.EQ(INDEX(スコア表[],MATCH($C15,スコア表['#],0),MATCH(DE$5,スコア表[#Headers],0)),スコア表[Accessibility],0),"-")</f>
        <v>19</v>
      </c>
      <c r="DF15" s="81">
        <f>IFERROR(_xlfn.RANK.EQ(INDEX(スコア表[],MATCH($C15,スコア表['#],0),MATCH(DF$5,スコア表[#Headers],0)),スコア表[Comprehensive],0),"-")</f>
        <v>33</v>
      </c>
    </row>
    <row r="16" spans="1:110">
      <c r="A16" s="2">
        <v>11</v>
      </c>
      <c r="B16" s="58">
        <f>INDEX(順位表[Comprehensive],MATCH($C16,順位表['#],0))</f>
        <v>19</v>
      </c>
      <c r="C16" s="3">
        <v>11</v>
      </c>
      <c r="D16" s="1" t="str">
        <f>INDEX(都市マスタ[City Name],MATCH($C16,都市マスタ['#],0))</f>
        <v>Zurich</v>
      </c>
      <c r="E16" s="79">
        <f>IFERROR(_xlfn.RANK.EQ(INDEX(スコア表[],MATCH($C16,スコア表['#],0),MATCH(E$5,スコア表[#Headers],0)),スコア表[00a],0),"-")</f>
        <v>47</v>
      </c>
      <c r="F16" s="79">
        <f>IFERROR(_xlfn.RANK.EQ(INDEX(スコア表[],MATCH($C16,スコア表['#],0),MATCH(F$5,スコア表[#Headers],0)),スコア表[00b],0),"-")</f>
        <v>47</v>
      </c>
      <c r="G16" s="79">
        <f>IFERROR(_xlfn.RANK.EQ(INDEX(スコア表[],MATCH($C16,スコア表['#],0),MATCH(G$5,スコア表[#Headers],0)),スコア表[00c],0),"-")</f>
        <v>35</v>
      </c>
      <c r="H16" s="79">
        <f>IFERROR(_xlfn.RANK.EQ(INDEX(スコア表[],MATCH($C16,スコア表['#],0),MATCH(H$5,スコア表[#Headers],0)),スコア表[01],0),"-")</f>
        <v>33</v>
      </c>
      <c r="I16" s="79">
        <f>IFERROR(_xlfn.RANK.EQ(INDEX(スコア表[],MATCH($C16,スコア表['#],0),MATCH(I$5,スコア表[#Headers],0)),スコア表[02],0),"-")</f>
        <v>3</v>
      </c>
      <c r="J16" s="79">
        <f>IFERROR(_xlfn.RANK.EQ(INDEX(スコア表[],MATCH($C16,スコア表['#],0),MATCH(J$5,スコア表[#Headers],0)),スコア表[03],0),"-")</f>
        <v>27</v>
      </c>
      <c r="K16" s="79">
        <f>IFERROR(_xlfn.RANK.EQ(INDEX(スコア表[],MATCH($C16,スコア表['#],0),MATCH(K$5,スコア表[#Headers],0)),スコア表[04],0),"-")</f>
        <v>2</v>
      </c>
      <c r="L16" s="79">
        <f>IFERROR(_xlfn.RANK.EQ(INDEX(スコア表[],MATCH($C16,スコア表['#],0),MATCH(L$5,スコア表[#Headers],0)),スコア表[05],0),"-")</f>
        <v>10</v>
      </c>
      <c r="M16" s="79">
        <f>IFERROR(_xlfn.RANK.EQ(INDEX(スコア表[],MATCH($C16,スコア表['#],0),MATCH(M$5,スコア表[#Headers],0)),スコア表[06],0),"-")</f>
        <v>18</v>
      </c>
      <c r="N16" s="79">
        <f>IFERROR(_xlfn.RANK.EQ(INDEX(スコア表[],MATCH($C16,スコア表['#],0),MATCH(N$5,スコア表[#Headers],0)),スコア表[07],0),"-")</f>
        <v>43</v>
      </c>
      <c r="O16" s="79">
        <f>IFERROR(_xlfn.RANK.EQ(INDEX(スコア表[],MATCH($C16,スコア表['#],0),MATCH(O$5,スコア表[#Headers],0)),スコア表[08],0),"-")</f>
        <v>14</v>
      </c>
      <c r="P16" s="79">
        <f>IFERROR(_xlfn.RANK.EQ(INDEX(スコア表[],MATCH($C16,スコア表['#],0),MATCH(P$5,スコア表[#Headers],0)),スコア表[09],0),"-")</f>
        <v>2</v>
      </c>
      <c r="Q16" s="79">
        <f>IFERROR(_xlfn.RANK.EQ(INDEX(スコア表[],MATCH($C16,スコア表['#],0),MATCH(Q$5,スコア表[#Headers],0)),スコア表[10],0),"-")</f>
        <v>15</v>
      </c>
      <c r="R16" s="79">
        <f>IFERROR(_xlfn.RANK.EQ(INDEX(スコア表[],MATCH($C16,スコア表['#],0),MATCH(R$5,スコア表[#Headers],0)),スコア表[11],0),"-")</f>
        <v>17</v>
      </c>
      <c r="S16" s="79">
        <f>IFERROR(_xlfn.RANK.EQ(INDEX(スコア表[],MATCH($C16,スコア表['#],0),MATCH(S$5,スコア表[#Headers],0)),スコア表[12],0),"-")</f>
        <v>6</v>
      </c>
      <c r="T16" s="79">
        <f>IFERROR(_xlfn.RANK.EQ(INDEX(スコア表[],MATCH($C16,スコア表['#],0),MATCH(T$5,スコア表[#Headers],0)),スコア表[13],0),"-")</f>
        <v>30</v>
      </c>
      <c r="U16" s="79">
        <f>IFERROR(_xlfn.RANK.EQ(INDEX(スコア表[],MATCH($C16,スコア表['#],0),MATCH(U$5,スコア表[#Headers],0)),スコア表[14],0),"-")</f>
        <v>40</v>
      </c>
      <c r="V16" s="79">
        <f>IFERROR(_xlfn.RANK.EQ(INDEX(スコア表[],MATCH($C16,スコア表['#],0),MATCH(V$5,スコア表[#Headers],0)),スコア表[15],0),"-")</f>
        <v>16</v>
      </c>
      <c r="W16" s="79">
        <f>IFERROR(_xlfn.RANK.EQ(INDEX(スコア表[],MATCH($C16,スコア表['#],0),MATCH(W$5,スコア表[#Headers],0)),スコア表[16],0),"-")</f>
        <v>27</v>
      </c>
      <c r="X16" s="79">
        <f>IFERROR(_xlfn.RANK.EQ(INDEX(スコア表[],MATCH($C16,スコア表['#],0),MATCH(X$5,スコア表[#Headers],0)),スコア表[17],0),"-")</f>
        <v>27</v>
      </c>
      <c r="Y16" s="79">
        <f>IFERROR(_xlfn.RANK.EQ(INDEX(スコア表[],MATCH($C16,スコア表['#],0),MATCH(Y$5,スコア表[#Headers],0)),スコア表[18],0),"-")</f>
        <v>23</v>
      </c>
      <c r="Z16" s="79">
        <f>IFERROR(_xlfn.RANK.EQ(INDEX(スコア表[],MATCH($C16,スコア表['#],0),MATCH(Z$5,スコア表[#Headers],0)),スコア表[19],0),"-")</f>
        <v>44</v>
      </c>
      <c r="AA16" s="79">
        <f>IFERROR(_xlfn.RANK.EQ(INDEX(スコア表[],MATCH($C16,スコア表['#],0),MATCH(AA$5,スコア表[#Headers],0)),スコア表[20],0),"-")</f>
        <v>16</v>
      </c>
      <c r="AB16" s="79">
        <f>IFERROR(_xlfn.RANK.EQ(INDEX(スコア表[],MATCH($C16,スコア表['#],0),MATCH(AB$5,スコア表[#Headers],0)),スコア表[21],0),"-")</f>
        <v>28</v>
      </c>
      <c r="AC16" s="79">
        <f>IFERROR(_xlfn.RANK.EQ(INDEX(スコア表[],MATCH($C16,スコア表['#],0),MATCH(AC$5,スコア表[#Headers],0)),スコア表[22],0),"-")</f>
        <v>32</v>
      </c>
      <c r="AD16" s="79">
        <f>IFERROR(_xlfn.RANK.EQ(INDEX(スコア表[],MATCH($C16,スコア表['#],0),MATCH(AD$5,スコア表[#Headers],0)),スコア表[23],0),"-")</f>
        <v>43</v>
      </c>
      <c r="AE16" s="79">
        <f>IFERROR(_xlfn.RANK.EQ(INDEX(スコア表[],MATCH($C16,スコア表['#],0),MATCH(AE$5,スコア表[#Headers],0)),スコア表[24],0),"-")</f>
        <v>41</v>
      </c>
      <c r="AF16" s="79">
        <f>IFERROR(_xlfn.RANK.EQ(INDEX(スコア表[],MATCH($C16,スコア表['#],0),MATCH(AF$5,スコア表[#Headers],0)),スコア表[25],0),"-")</f>
        <v>22</v>
      </c>
      <c r="AG16" s="79">
        <f>IFERROR(_xlfn.RANK.EQ(INDEX(スコア表[],MATCH($C16,スコア表['#],0),MATCH(AG$5,スコア表[#Headers],0)),スコア表[26],0),"-")</f>
        <v>46</v>
      </c>
      <c r="AH16" s="79">
        <f>IFERROR(_xlfn.RANK.EQ(INDEX(スコア表[],MATCH($C16,スコア表['#],0),MATCH(AH$5,スコア表[#Headers],0)),スコア表[27],0),"-")</f>
        <v>17</v>
      </c>
      <c r="AI16" s="79">
        <f>IFERROR(_xlfn.RANK.EQ(INDEX(スコア表[],MATCH($C16,スコア表['#],0),MATCH(AI$5,スコア表[#Headers],0)),スコア表[28],0),"-")</f>
        <v>34</v>
      </c>
      <c r="AJ16" s="79">
        <f>IFERROR(_xlfn.RANK.EQ(INDEX(スコア表[],MATCH($C16,スコア表['#],0),MATCH(AJ$5,スコア表[#Headers],0)),スコア表[29],0),"-")</f>
        <v>37</v>
      </c>
      <c r="AK16" s="79">
        <f>IFERROR(_xlfn.RANK.EQ(INDEX(スコア表[],MATCH($C16,スコア表['#],0),MATCH(AK$5,スコア表[#Headers],0)),スコア表[30],0),"-")</f>
        <v>26</v>
      </c>
      <c r="AL16" s="79">
        <f>IFERROR(_xlfn.RANK.EQ(INDEX(スコア表[],MATCH($C16,スコア表['#],0),MATCH(AL$5,スコア表[#Headers],0)),スコア表[31],0),"-")</f>
        <v>34</v>
      </c>
      <c r="AM16" s="79">
        <f>IFERROR(_xlfn.RANK.EQ(INDEX(スコア表[],MATCH($C16,スコア表['#],0),MATCH(AM$5,スコア表[#Headers],0)),スコア表[32],0),"-")</f>
        <v>44</v>
      </c>
      <c r="AN16" s="79">
        <f>IFERROR(_xlfn.RANK.EQ(INDEX(スコア表[],MATCH($C16,スコア表['#],0),MATCH(AN$5,スコア表[#Headers],0)),スコア表[33],0),"-")</f>
        <v>39</v>
      </c>
      <c r="AO16" s="79">
        <f>IFERROR(_xlfn.RANK.EQ(INDEX(スコア表[],MATCH($C16,スコア表['#],0),MATCH(AO$5,スコア表[#Headers],0)),スコア表[34],0),"-")</f>
        <v>34</v>
      </c>
      <c r="AP16" s="79">
        <f>IFERROR(_xlfn.RANK.EQ(INDEX(スコア表[],MATCH($C16,スコア表['#],0),MATCH(AP$5,スコア表[#Headers],0)),スコア表[35],0),"-")</f>
        <v>47</v>
      </c>
      <c r="AQ16" s="79">
        <f>IFERROR(_xlfn.RANK.EQ(INDEX(スコア表[],MATCH($C16,スコア表['#],0),MATCH(AQ$5,スコア表[#Headers],0)),スコア表[36],0),"-")</f>
        <v>30</v>
      </c>
      <c r="AR16" s="79">
        <f>IFERROR(_xlfn.RANK.EQ(INDEX(スコア表[],MATCH($C16,スコア表['#],0),MATCH(AR$5,スコア表[#Headers],0)),スコア表[37],0),"-")</f>
        <v>28</v>
      </c>
      <c r="AS16" s="79">
        <f>IFERROR(_xlfn.RANK.EQ(INDEX(スコア表[],MATCH($C16,スコア表['#],0),MATCH(AS$5,スコア表[#Headers],0)),スコア表[38],0),"-")</f>
        <v>3</v>
      </c>
      <c r="AT16" s="79">
        <f>IFERROR(_xlfn.RANK.EQ(INDEX(スコア表[],MATCH($C16,スコア表['#],0),MATCH(AT$5,スコア表[#Headers],0)),スコア表[39],0),"-")</f>
        <v>14</v>
      </c>
      <c r="AU16" s="79">
        <f>IFERROR(_xlfn.RANK.EQ(INDEX(スコア表[],MATCH($C16,スコア表['#],0),MATCH(AU$5,スコア表[#Headers],0)),スコア表[40],0),"-")</f>
        <v>33</v>
      </c>
      <c r="AV16" s="79">
        <f>IFERROR(_xlfn.RANK.EQ(INDEX(スコア表[],MATCH($C16,スコア表['#],0),MATCH(AV$5,スコア表[#Headers],0)),スコア表[41],0),"-")</f>
        <v>41</v>
      </c>
      <c r="AW16" s="79">
        <f>IFERROR(_xlfn.RANK.EQ(INDEX(スコア表[],MATCH($C16,スコア表['#],0),MATCH(AW$5,スコア表[#Headers],0)),スコア表[42],0),"-")</f>
        <v>48</v>
      </c>
      <c r="AX16" s="79">
        <f>IFERROR(_xlfn.RANK.EQ(INDEX(スコア表[],MATCH($C16,スコア表['#],0),MATCH(AX$5,スコア表[#Headers],0)),スコア表[43],0),"-")</f>
        <v>4</v>
      </c>
      <c r="AY16" s="79">
        <f>IFERROR(_xlfn.RANK.EQ(INDEX(スコア表[],MATCH($C16,スコア表['#],0),MATCH(AY$5,スコア表[#Headers],0)),スコア表[44],0),"-")</f>
        <v>18</v>
      </c>
      <c r="AZ16" s="79">
        <f>IFERROR(_xlfn.RANK.EQ(INDEX(スコア表[],MATCH($C16,スコア表['#],0),MATCH(AZ$5,スコア表[#Headers],0)),スコア表[45],0),"-")</f>
        <v>6</v>
      </c>
      <c r="BA16" s="79">
        <f>IFERROR(_xlfn.RANK.EQ(INDEX(スコア表[],MATCH($C16,スコア表['#],0),MATCH(BA$5,スコア表[#Headers],0)),スコア表[46],0),"-")</f>
        <v>7</v>
      </c>
      <c r="BB16" s="79">
        <f>IFERROR(_xlfn.RANK.EQ(INDEX(スコア表[],MATCH($C16,スコア表['#],0),MATCH(BB$5,スコア表[#Headers],0)),スコア表[47],0),"-")</f>
        <v>18</v>
      </c>
      <c r="BC16" s="79">
        <f>IFERROR(_xlfn.RANK.EQ(INDEX(スコア表[],MATCH($C16,スコア表['#],0),MATCH(BC$5,スコア表[#Headers],0)),スコア表[48],0),"-")</f>
        <v>1</v>
      </c>
      <c r="BD16" s="79">
        <f>IFERROR(_xlfn.RANK.EQ(INDEX(スコア表[],MATCH($C16,スコア表['#],0),MATCH(BD$5,スコア表[#Headers],0)),スコア表[49],0),"-")</f>
        <v>22</v>
      </c>
      <c r="BE16" s="79">
        <f>IFERROR(_xlfn.RANK.EQ(INDEX(スコア表[],MATCH($C16,スコア表['#],0),MATCH(BE$5,スコア表[#Headers],0)),スコア表[50],0),"-")</f>
        <v>46</v>
      </c>
      <c r="BF16" s="79">
        <f>IFERROR(_xlfn.RANK.EQ(INDEX(スコア表[],MATCH($C16,スコア表['#],0),MATCH(BF$5,スコア表[#Headers],0)),スコア表[51],0),"-")</f>
        <v>42</v>
      </c>
      <c r="BG16" s="79">
        <f>IFERROR(_xlfn.RANK.EQ(INDEX(スコア表[],MATCH($C16,スコア表['#],0),MATCH(BG$5,スコア表[#Headers],0)),スコア表[52],0),"-")</f>
        <v>43</v>
      </c>
      <c r="BH16" s="79">
        <f>IFERROR(_xlfn.RANK.EQ(INDEX(スコア表[],MATCH($C16,スコア表['#],0),MATCH(BH$5,スコア表[#Headers],0)),スコア表[53],0),"-")</f>
        <v>8</v>
      </c>
      <c r="BI16" s="79">
        <f>IFERROR(_xlfn.RANK.EQ(INDEX(スコア表[],MATCH($C16,スコア表['#],0),MATCH(BI$5,スコア表[#Headers],0)),スコア表[54],0),"-")</f>
        <v>15</v>
      </c>
      <c r="BJ16" s="79">
        <f>IFERROR(_xlfn.RANK.EQ(INDEX(スコア表[],MATCH($C16,スコア表['#],0),MATCH(BJ$5,スコア表[#Headers],0)),スコア表[55],0),"-")</f>
        <v>20</v>
      </c>
      <c r="BK16" s="79">
        <f>IFERROR(_xlfn.RANK.EQ(INDEX(スコア表[],MATCH($C16,スコア表['#],0),MATCH(BK$5,スコア表[#Headers],0)),スコア表[56],0),"-")</f>
        <v>21</v>
      </c>
      <c r="BL16" s="79">
        <f>IFERROR(_xlfn.RANK.EQ(INDEX(スコア表[],MATCH($C16,スコア表['#],0),MATCH(BL$5,スコア表[#Headers],0)),スコア表[57],0),"-")</f>
        <v>24</v>
      </c>
      <c r="BM16" s="79">
        <f>IFERROR(_xlfn.RANK.EQ(INDEX(スコア表[],MATCH($C16,スコア表['#],0),MATCH(BM$5,スコア表[#Headers],0)),スコア表[58],0),"-")</f>
        <v>5</v>
      </c>
      <c r="BN16" s="79">
        <f>IFERROR(_xlfn.RANK.EQ(INDEX(スコア表[],MATCH($C16,スコア表['#],0),MATCH(BN$5,スコア表[#Headers],0)),スコア表[59],0),"-")</f>
        <v>9</v>
      </c>
      <c r="BO16" s="79">
        <f>IFERROR(_xlfn.RANK.EQ(INDEX(スコア表[],MATCH($C16,スコア表['#],0),MATCH(BO$5,スコア表[#Headers],0)),スコア表[60],0),"-")</f>
        <v>3</v>
      </c>
      <c r="BP16" s="79">
        <f>IFERROR(_xlfn.RANK.EQ(INDEX(スコア表[],MATCH($C16,スコア表['#],0),MATCH(BP$5,スコア表[#Headers],0)),スコア表[61],0),"-")</f>
        <v>9</v>
      </c>
      <c r="BQ16" s="79">
        <f>IFERROR(_xlfn.RANK.EQ(INDEX(スコア表[],MATCH($C16,スコア表['#],0),MATCH(BQ$5,スコア表[#Headers],0)),スコア表[62],0),"-")</f>
        <v>38</v>
      </c>
      <c r="BR16" s="79">
        <f>IFERROR(_xlfn.RANK.EQ(INDEX(スコア表[],MATCH($C16,スコア表['#],0),MATCH(BR$5,スコア表[#Headers],0)),スコア表[63],0),"-")</f>
        <v>33</v>
      </c>
      <c r="BS16" s="79">
        <f>IFERROR(_xlfn.RANK.EQ(INDEX(スコア表[],MATCH($C16,スコア表['#],0),MATCH(BS$5,スコア表[#Headers],0)),スコア表[64],0),"-")</f>
        <v>36</v>
      </c>
      <c r="BT16" s="79">
        <f>IFERROR(_xlfn.RANK.EQ(INDEX(スコア表[],MATCH($C16,スコア表['#],0),MATCH(BT$5,スコア表[#Headers],0)),スコア表[65],0),"-")</f>
        <v>13</v>
      </c>
      <c r="BU16" s="79">
        <f>IFERROR(_xlfn.RANK.EQ(INDEX(スコア表[],MATCH($C16,スコア表['#],0),MATCH(BU$5,スコア表[#Headers],0)),スコア表[66],0),"-")</f>
        <v>8</v>
      </c>
      <c r="BV16" s="79">
        <f>IFERROR(_xlfn.RANK.EQ(INDEX(スコア表[],MATCH($C16,スコア表['#],0),MATCH(BV$5,スコア表[#Headers],0)),スコア表[67],0),"-")</f>
        <v>3</v>
      </c>
      <c r="BW16" s="79">
        <f>IFERROR(_xlfn.RANK.EQ(INDEX(スコア表[],MATCH($C16,スコア表['#],0),MATCH(BW$5,スコア表[#Headers],0)),スコア表[68],0),"-")</f>
        <v>10</v>
      </c>
      <c r="BX16" s="79">
        <f>IFERROR(_xlfn.RANK.EQ(INDEX(スコア表[],MATCH($C16,スコア表['#],0),MATCH(BX$5,スコア表[#Headers],0)),スコア表[69],0),"-")</f>
        <v>24</v>
      </c>
      <c r="BY16" s="79">
        <f>IFERROR(_xlfn.RANK.EQ(INDEX(スコア表[],MATCH($C16,スコア表['#],0),MATCH(BY$5,スコア表[#Headers],0)),スコア表[70],0),"-")</f>
        <v>48</v>
      </c>
      <c r="BZ16" s="79">
        <f>IFERROR(_xlfn.RANK.EQ(INDEX(スコア表[],MATCH($C16,スコア表['#],0),MATCH(BZ$5,スコア表[#Headers],0)),スコア表[Ec1],0),"-")</f>
        <v>6</v>
      </c>
      <c r="CA16" s="79">
        <f>IFERROR(_xlfn.RANK.EQ(INDEX(スコア表[],MATCH($C16,スコア表['#],0),MATCH(CA$5,スコア表[#Headers],0)),スコア表[Ec2],0),"-")</f>
        <v>5</v>
      </c>
      <c r="CB16" s="79">
        <f>IFERROR(_xlfn.RANK.EQ(INDEX(スコア表[],MATCH($C16,スコア表['#],0),MATCH(CB$5,スコア表[#Headers],0)),スコア表[Ec3],0),"-")</f>
        <v>15</v>
      </c>
      <c r="CC16" s="79">
        <f>IFERROR(_xlfn.RANK.EQ(INDEX(スコア表[],MATCH($C16,スコア表['#],0),MATCH(CC$5,スコア表[#Headers],0)),スコア表[Ec4],0),"-")</f>
        <v>22</v>
      </c>
      <c r="CD16" s="79">
        <f>IFERROR(_xlfn.RANK.EQ(INDEX(スコア表[],MATCH($C16,スコア表['#],0),MATCH(CD$5,スコア表[#Headers],0)),スコア表[Ec5],0),"-")</f>
        <v>8</v>
      </c>
      <c r="CE16" s="79">
        <f>IFERROR(_xlfn.RANK.EQ(INDEX(スコア表[],MATCH($C16,スコア表['#],0),MATCH(CE$5,スコア表[#Headers],0)),スコア表[Ec6],0),"-")</f>
        <v>10</v>
      </c>
      <c r="CF16" s="79">
        <f>IFERROR(_xlfn.RANK.EQ(INDEX(スコア表[],MATCH($C16,スコア表['#],0),MATCH(CF$5,スコア表[#Headers],0)),スコア表[RD1],0),"-")</f>
        <v>21</v>
      </c>
      <c r="CG16" s="79">
        <f>IFERROR(_xlfn.RANK.EQ(INDEX(スコア表[],MATCH($C16,スコア表['#],0),MATCH(CG$5,スコア表[#Headers],0)),スコア表[RD2],0),"-")</f>
        <v>28</v>
      </c>
      <c r="CH16" s="79">
        <f>IFERROR(_xlfn.RANK.EQ(INDEX(スコア表[],MATCH($C16,スコア表['#],0),MATCH(CH$5,スコア表[#Headers],0)),スコア表[RD3],0),"-")</f>
        <v>31</v>
      </c>
      <c r="CI16" s="79">
        <f>IFERROR(_xlfn.RANK.EQ(INDEX(スコア表[],MATCH($C16,スコア表['#],0),MATCH(CI$5,スコア表[#Headers],0)),スコア表[CI1],0),"-")</f>
        <v>44</v>
      </c>
      <c r="CJ16" s="79">
        <f>IFERROR(_xlfn.RANK.EQ(INDEX(スコア表[],MATCH($C16,スコア表['#],0),MATCH(CJ$5,スコア表[#Headers],0)),スコア表[CI2],0),"-")</f>
        <v>38</v>
      </c>
      <c r="CK16" s="79">
        <f>IFERROR(_xlfn.RANK.EQ(INDEX(スコア表[],MATCH($C16,スコア表['#],0),MATCH(CK$5,スコア表[#Headers],0)),スコア表[CI3],0),"-")</f>
        <v>39</v>
      </c>
      <c r="CL16" s="79">
        <f>IFERROR(_xlfn.RANK.EQ(INDEX(スコア表[],MATCH($C16,スコア表['#],0),MATCH(CL$5,スコア表[#Headers],0)),スコア表[CI4],0),"-")</f>
        <v>46</v>
      </c>
      <c r="CM16" s="79">
        <f>IFERROR(_xlfn.RANK.EQ(INDEX(スコア表[],MATCH($C16,スコア表['#],0),MATCH(CM$5,スコア表[#Headers],0)),スコア表[CI5],0),"-")</f>
        <v>33</v>
      </c>
      <c r="CN16" s="79">
        <f>IFERROR(_xlfn.RANK.EQ(INDEX(スコア表[],MATCH($C16,スコア表['#],0),MATCH(CN$5,スコア表[#Headers],0)),スコア表[Li1],0),"-")</f>
        <v>12</v>
      </c>
      <c r="CO16" s="79">
        <f>IFERROR(_xlfn.RANK.EQ(INDEX(スコア表[],MATCH($C16,スコア表['#],0),MATCH(CO$5,スコア表[#Headers],0)),スコア表[Li2],0),"-")</f>
        <v>47</v>
      </c>
      <c r="CP16" s="79">
        <f>IFERROR(_xlfn.RANK.EQ(INDEX(スコア表[],MATCH($C16,スコア表['#],0),MATCH(CP$5,スコア表[#Headers],0)),スコア表[Li3],0),"-")</f>
        <v>2</v>
      </c>
      <c r="CQ16" s="79">
        <f>IFERROR(_xlfn.RANK.EQ(INDEX(スコア表[],MATCH($C16,スコア表['#],0),MATCH(CQ$5,スコア表[#Headers],0)),スコア表[Li4],0),"-")</f>
        <v>2</v>
      </c>
      <c r="CR16" s="79">
        <f>IFERROR(_xlfn.RANK.EQ(INDEX(スコア表[],MATCH($C16,スコア表['#],0),MATCH(CR$5,スコア表[#Headers],0)),スコア表[Li5],0),"-")</f>
        <v>20</v>
      </c>
      <c r="CS16" s="79">
        <f>IFERROR(_xlfn.RANK.EQ(INDEX(スコア表[],MATCH($C16,スコア表['#],0),MATCH(CS$5,スコア表[#Headers],0)),スコア表[En1],0),"-")</f>
        <v>20</v>
      </c>
      <c r="CT16" s="79">
        <f>IFERROR(_xlfn.RANK.EQ(INDEX(スコア表[],MATCH($C16,スコア表['#],0),MATCH(CT$5,スコア表[#Headers],0)),スコア表[En2],0),"-")</f>
        <v>17</v>
      </c>
      <c r="CU16" s="79">
        <f>IFERROR(_xlfn.RANK.EQ(INDEX(スコア表[],MATCH($C16,スコア表['#],0),MATCH(CU$5,スコア表[#Headers],0)),スコア表[En3],0),"-")</f>
        <v>2</v>
      </c>
      <c r="CV16" s="79">
        <f>IFERROR(_xlfn.RANK.EQ(INDEX(スコア表[],MATCH($C16,スコア表['#],0),MATCH(CV$5,スコア表[#Headers],0)),スコア表[Ac1],0),"-")</f>
        <v>16</v>
      </c>
      <c r="CW16" s="79">
        <f>IFERROR(_xlfn.RANK.EQ(INDEX(スコア表[],MATCH($C16,スコア表['#],0),MATCH(CW$5,スコア表[#Headers],0)),スコア表[Ac2],0),"-")</f>
        <v>33</v>
      </c>
      <c r="CX16" s="79">
        <f>IFERROR(_xlfn.RANK.EQ(INDEX(スコア表[],MATCH($C16,スコア表['#],0),MATCH(CX$5,スコア表[#Headers],0)),スコア表[Ac3],0),"-")</f>
        <v>1</v>
      </c>
      <c r="CY16" s="79">
        <f>IFERROR(_xlfn.RANK.EQ(INDEX(スコア表[],MATCH($C16,スコア表['#],0),MATCH(CY$5,スコア表[#Headers],0)),スコア表[Ac4],0),"-")</f>
        <v>35</v>
      </c>
      <c r="CZ16" s="79">
        <f>IFERROR(_xlfn.RANK.EQ(INDEX(スコア表[],MATCH($C16,スコア表['#],0),MATCH(CZ$5,スコア表[#Headers],0)),スコア表[Economy],0),"-")</f>
        <v>5</v>
      </c>
      <c r="DA16" s="79">
        <f>IFERROR(_xlfn.RANK.EQ(INDEX(スコア表[],MATCH($C16,スコア表['#],0),MATCH(DA$5,スコア表[#Headers],0)),スコア表[R&amp;D],0),"-")</f>
        <v>24</v>
      </c>
      <c r="DB16" s="79">
        <f>IFERROR(_xlfn.RANK.EQ(INDEX(スコア表[],MATCH($C16,スコア表['#],0),MATCH(DB$5,スコア表[#Headers],0)),スコア表[Cultural Interaction],0),"-")</f>
        <v>45</v>
      </c>
      <c r="DC16" s="79">
        <f>IFERROR(_xlfn.RANK.EQ(INDEX(スコア表[],MATCH($C16,スコア表['#],0),MATCH(DC$5,スコア表[#Headers],0)),スコア表[Livability],0),"-")</f>
        <v>32</v>
      </c>
      <c r="DD16" s="79">
        <f>IFERROR(_xlfn.RANK.EQ(INDEX(スコア表[],MATCH($C16,スコア表['#],0),MATCH(DD$5,スコア表[#Headers],0)),スコア表[Environment],0),"-")</f>
        <v>8</v>
      </c>
      <c r="DE16" s="79">
        <f>IFERROR(_xlfn.RANK.EQ(INDEX(スコア表[],MATCH($C16,スコア表['#],0),MATCH(DE$5,スコア表[#Headers],0)),スコア表[Accessibility],0),"-")</f>
        <v>18</v>
      </c>
      <c r="DF16" s="81">
        <f>IFERROR(_xlfn.RANK.EQ(INDEX(スコア表[],MATCH($C16,スコア表['#],0),MATCH(DF$5,スコア表[#Headers],0)),スコア表[Comprehensive],0),"-")</f>
        <v>19</v>
      </c>
    </row>
    <row r="17" spans="1:110">
      <c r="A17" s="2">
        <v>12</v>
      </c>
      <c r="B17" s="58">
        <f>INDEX(順位表[Comprehensive],MATCH($C17,順位表['#],0))</f>
        <v>11</v>
      </c>
      <c r="C17" s="3">
        <v>12</v>
      </c>
      <c r="D17" s="1" t="str">
        <f>INDEX(都市マスタ[City Name],MATCH($C17,都市マスタ['#],0))</f>
        <v>Copenhagen</v>
      </c>
      <c r="E17" s="79">
        <f>IFERROR(_xlfn.RANK.EQ(INDEX(スコア表[],MATCH($C17,スコア表['#],0),MATCH(E$5,スコア表[#Headers],0)),スコア表[00a],0),"-")</f>
        <v>39</v>
      </c>
      <c r="F17" s="79">
        <f>IFERROR(_xlfn.RANK.EQ(INDEX(スコア表[],MATCH($C17,スコア表['#],0),MATCH(F$5,スコア表[#Headers],0)),スコア表[00b],0),"-")</f>
        <v>35</v>
      </c>
      <c r="G17" s="79">
        <f>IFERROR(_xlfn.RANK.EQ(INDEX(スコア表[],MATCH($C17,スコア表['#],0),MATCH(G$5,スコア表[#Headers],0)),スコア表[00c],0),"-")</f>
        <v>17</v>
      </c>
      <c r="H17" s="79">
        <f>IFERROR(_xlfn.RANK.EQ(INDEX(スコア表[],MATCH($C17,スコア表['#],0),MATCH(H$5,スコア表[#Headers],0)),スコア表[01],0),"-")</f>
        <v>39</v>
      </c>
      <c r="I17" s="79">
        <f>IFERROR(_xlfn.RANK.EQ(INDEX(スコア表[],MATCH($C17,スコア表['#],0),MATCH(I$5,スコア表[#Headers],0)),スコア表[02],0),"-")</f>
        <v>11</v>
      </c>
      <c r="J17" s="79">
        <f>IFERROR(_xlfn.RANK.EQ(INDEX(スコア表[],MATCH($C17,スコア表['#],0),MATCH(J$5,スコア表[#Headers],0)),スコア表[03],0),"-")</f>
        <v>18</v>
      </c>
      <c r="K17" s="79">
        <f>IFERROR(_xlfn.RANK.EQ(INDEX(スコア表[],MATCH($C17,スコア表['#],0),MATCH(K$5,スコア表[#Headers],0)),スコア表[04],0),"-")</f>
        <v>7</v>
      </c>
      <c r="L17" s="79">
        <f>IFERROR(_xlfn.RANK.EQ(INDEX(スコア表[],MATCH($C17,スコア表['#],0),MATCH(L$5,スコア表[#Headers],0)),スコア表[05],0),"-")</f>
        <v>22</v>
      </c>
      <c r="M17" s="79">
        <f>IFERROR(_xlfn.RANK.EQ(INDEX(スコア表[],MATCH($C17,スコア表['#],0),MATCH(M$5,スコア表[#Headers],0)),スコア表[06],0),"-")</f>
        <v>28</v>
      </c>
      <c r="N17" s="79">
        <f>IFERROR(_xlfn.RANK.EQ(INDEX(スコア表[],MATCH($C17,スコア表['#],0),MATCH(N$5,スコア表[#Headers],0)),スコア表[07],0),"-")</f>
        <v>44</v>
      </c>
      <c r="O17" s="79">
        <f>IFERROR(_xlfn.RANK.EQ(INDEX(スコア表[],MATCH($C17,スコア表['#],0),MATCH(O$5,スコア表[#Headers],0)),スコア表[08],0),"-")</f>
        <v>36</v>
      </c>
      <c r="P17" s="79">
        <f>IFERROR(_xlfn.RANK.EQ(INDEX(スコア表[],MATCH($C17,スコア表['#],0),MATCH(P$5,スコア表[#Headers],0)),スコア表[09],0),"-")</f>
        <v>17</v>
      </c>
      <c r="Q17" s="79">
        <f>IFERROR(_xlfn.RANK.EQ(INDEX(スコア表[],MATCH($C17,スコア表['#],0),MATCH(Q$5,スコア表[#Headers],0)),スコア表[10],0),"-")</f>
        <v>14</v>
      </c>
      <c r="R17" s="79">
        <f>IFERROR(_xlfn.RANK.EQ(INDEX(スコア表[],MATCH($C17,スコア表['#],0),MATCH(R$5,スコア表[#Headers],0)),スコア表[11],0),"-")</f>
        <v>14</v>
      </c>
      <c r="S17" s="79">
        <f>IFERROR(_xlfn.RANK.EQ(INDEX(スコア表[],MATCH($C17,スコア表['#],0),MATCH(S$5,スコア表[#Headers],0)),スコア表[12],0),"-")</f>
        <v>13</v>
      </c>
      <c r="T17" s="79">
        <f>IFERROR(_xlfn.RANK.EQ(INDEX(スコア表[],MATCH($C17,スコア表['#],0),MATCH(T$5,スコア表[#Headers],0)),スコア表[13],0),"-")</f>
        <v>3</v>
      </c>
      <c r="U17" s="79">
        <f>IFERROR(_xlfn.RANK.EQ(INDEX(スコア表[],MATCH($C17,スコア表['#],0),MATCH(U$5,スコア表[#Headers],0)),スコア表[14],0),"-")</f>
        <v>34</v>
      </c>
      <c r="V17" s="79">
        <f>IFERROR(_xlfn.RANK.EQ(INDEX(スコア表[],MATCH($C17,スコア表['#],0),MATCH(V$5,スコア表[#Headers],0)),スコア表[15],0),"-")</f>
        <v>26</v>
      </c>
      <c r="W17" s="79">
        <f>IFERROR(_xlfn.RANK.EQ(INDEX(スコア表[],MATCH($C17,スコア表['#],0),MATCH(W$5,スコア表[#Headers],0)),スコア表[16],0),"-")</f>
        <v>29</v>
      </c>
      <c r="X17" s="79">
        <f>IFERROR(_xlfn.RANK.EQ(INDEX(スコア表[],MATCH($C17,スコア表['#],0),MATCH(X$5,スコア表[#Headers],0)),スコア表[17],0),"-")</f>
        <v>30</v>
      </c>
      <c r="Y17" s="79">
        <f>IFERROR(_xlfn.RANK.EQ(INDEX(スコア表[],MATCH($C17,スコア表['#],0),MATCH(Y$5,スコア表[#Headers],0)),スコア表[18],0),"-")</f>
        <v>17</v>
      </c>
      <c r="Z17" s="79">
        <f>IFERROR(_xlfn.RANK.EQ(INDEX(スコア表[],MATCH($C17,スコア表['#],0),MATCH(Z$5,スコア表[#Headers],0)),スコア表[19],0),"-")</f>
        <v>45</v>
      </c>
      <c r="AA17" s="79">
        <f>IFERROR(_xlfn.RANK.EQ(INDEX(スコア表[],MATCH($C17,スコア表['#],0),MATCH(AA$5,スコア表[#Headers],0)),スコア表[20],0),"-")</f>
        <v>12</v>
      </c>
      <c r="AB17" s="79">
        <f>IFERROR(_xlfn.RANK.EQ(INDEX(スコア表[],MATCH($C17,スコア表['#],0),MATCH(AB$5,スコア表[#Headers],0)),スコア表[21],0),"-")</f>
        <v>33</v>
      </c>
      <c r="AC17" s="79">
        <f>IFERROR(_xlfn.RANK.EQ(INDEX(スコア表[],MATCH($C17,スコア表['#],0),MATCH(AC$5,スコア表[#Headers],0)),スコア表[22],0),"-")</f>
        <v>11</v>
      </c>
      <c r="AD17" s="79">
        <f>IFERROR(_xlfn.RANK.EQ(INDEX(スコア表[],MATCH($C17,スコア表['#],0),MATCH(AD$5,スコア表[#Headers],0)),スコア表[23],0),"-")</f>
        <v>18</v>
      </c>
      <c r="AE17" s="79">
        <f>IFERROR(_xlfn.RANK.EQ(INDEX(スコア表[],MATCH($C17,スコア表['#],0),MATCH(AE$5,スコア表[#Headers],0)),スコア表[24],0),"-")</f>
        <v>21</v>
      </c>
      <c r="AF17" s="79">
        <f>IFERROR(_xlfn.RANK.EQ(INDEX(スコア表[],MATCH($C17,スコア表['#],0),MATCH(AF$5,スコア表[#Headers],0)),スコア表[25],0),"-")</f>
        <v>30</v>
      </c>
      <c r="AG17" s="79">
        <f>IFERROR(_xlfn.RANK.EQ(INDEX(スコア表[],MATCH($C17,スコア表['#],0),MATCH(AG$5,スコア表[#Headers],0)),スコア表[26],0),"-")</f>
        <v>37</v>
      </c>
      <c r="AH17" s="79">
        <f>IFERROR(_xlfn.RANK.EQ(INDEX(スコア表[],MATCH($C17,スコア表['#],0),MATCH(AH$5,スコア表[#Headers],0)),スコア表[27],0),"-")</f>
        <v>12</v>
      </c>
      <c r="AI17" s="79">
        <f>IFERROR(_xlfn.RANK.EQ(INDEX(スコア表[],MATCH($C17,スコア表['#],0),MATCH(AI$5,スコア表[#Headers],0)),スコア表[28],0),"-")</f>
        <v>41</v>
      </c>
      <c r="AJ17" s="79">
        <f>IFERROR(_xlfn.RANK.EQ(INDEX(スコア表[],MATCH($C17,スコア表['#],0),MATCH(AJ$5,スコア表[#Headers],0)),スコア表[29],0),"-")</f>
        <v>30</v>
      </c>
      <c r="AK17" s="79">
        <f>IFERROR(_xlfn.RANK.EQ(INDEX(スコア表[],MATCH($C17,スコア表['#],0),MATCH(AK$5,スコア表[#Headers],0)),スコア表[30],0),"-")</f>
        <v>33</v>
      </c>
      <c r="AL17" s="79">
        <f>IFERROR(_xlfn.RANK.EQ(INDEX(スコア表[],MATCH($C17,スコア表['#],0),MATCH(AL$5,スコア表[#Headers],0)),スコア表[31],0),"-")</f>
        <v>23</v>
      </c>
      <c r="AM17" s="79">
        <f>IFERROR(_xlfn.RANK.EQ(INDEX(スコア表[],MATCH($C17,スコア表['#],0),MATCH(AM$5,スコア表[#Headers],0)),スコア表[32],0),"-")</f>
        <v>37</v>
      </c>
      <c r="AN17" s="79">
        <f>IFERROR(_xlfn.RANK.EQ(INDEX(スコア表[],MATCH($C17,スコア表['#],0),MATCH(AN$5,スコア表[#Headers],0)),スコア表[33],0),"-")</f>
        <v>31</v>
      </c>
      <c r="AO17" s="79">
        <f>IFERROR(_xlfn.RANK.EQ(INDEX(スコア表[],MATCH($C17,スコア表['#],0),MATCH(AO$5,スコア表[#Headers],0)),スコア表[34],0),"-")</f>
        <v>31</v>
      </c>
      <c r="AP17" s="79">
        <f>IFERROR(_xlfn.RANK.EQ(INDEX(スコア表[],MATCH($C17,スコア表['#],0),MATCH(AP$5,スコア表[#Headers],0)),スコア表[35],0),"-")</f>
        <v>25</v>
      </c>
      <c r="AQ17" s="79">
        <f>IFERROR(_xlfn.RANK.EQ(INDEX(スコア表[],MATCH($C17,スコア表['#],0),MATCH(AQ$5,スコア表[#Headers],0)),スコア表[36],0),"-")</f>
        <v>31</v>
      </c>
      <c r="AR17" s="79">
        <f>IFERROR(_xlfn.RANK.EQ(INDEX(スコア表[],MATCH($C17,スコア表['#],0),MATCH(AR$5,スコア表[#Headers],0)),スコア表[37],0),"-")</f>
        <v>10</v>
      </c>
      <c r="AS17" s="79">
        <f>IFERROR(_xlfn.RANK.EQ(INDEX(スコア表[],MATCH($C17,スコア表['#],0),MATCH(AS$5,スコア表[#Headers],0)),スコア表[38],0),"-")</f>
        <v>12</v>
      </c>
      <c r="AT17" s="79">
        <f>IFERROR(_xlfn.RANK.EQ(INDEX(スコア表[],MATCH($C17,スコア表['#],0),MATCH(AT$5,スコア表[#Headers],0)),スコア表[39],0),"-")</f>
        <v>11</v>
      </c>
      <c r="AU17" s="79">
        <f>IFERROR(_xlfn.RANK.EQ(INDEX(スコア表[],MATCH($C17,スコア表['#],0),MATCH(AU$5,スコア表[#Headers],0)),スコア表[40],0),"-")</f>
        <v>34</v>
      </c>
      <c r="AV17" s="79">
        <f>IFERROR(_xlfn.RANK.EQ(INDEX(スコア表[],MATCH($C17,スコア表['#],0),MATCH(AV$5,スコア表[#Headers],0)),スコア表[41],0),"-")</f>
        <v>30</v>
      </c>
      <c r="AW17" s="79">
        <f>IFERROR(_xlfn.RANK.EQ(INDEX(スコア表[],MATCH($C17,スコア表['#],0),MATCH(AW$5,スコア表[#Headers],0)),スコア表[42],0),"-")</f>
        <v>40</v>
      </c>
      <c r="AX17" s="79">
        <f>IFERROR(_xlfn.RANK.EQ(INDEX(スコア表[],MATCH($C17,スコア表['#],0),MATCH(AX$5,スコア表[#Headers],0)),スコア表[43],0),"-")</f>
        <v>5</v>
      </c>
      <c r="AY17" s="79">
        <f>IFERROR(_xlfn.RANK.EQ(INDEX(スコア表[],MATCH($C17,スコア表['#],0),MATCH(AY$5,スコア表[#Headers],0)),スコア表[44],0),"-")</f>
        <v>15</v>
      </c>
      <c r="AZ17" s="79">
        <f>IFERROR(_xlfn.RANK.EQ(INDEX(スコア表[],MATCH($C17,スコア表['#],0),MATCH(AZ$5,スコア表[#Headers],0)),スコア表[45],0),"-")</f>
        <v>28</v>
      </c>
      <c r="BA17" s="79">
        <f>IFERROR(_xlfn.RANK.EQ(INDEX(スコア表[],MATCH($C17,スコア表['#],0),MATCH(BA$5,スコア表[#Headers],0)),スコア表[46],0),"-")</f>
        <v>3</v>
      </c>
      <c r="BB17" s="79">
        <f>IFERROR(_xlfn.RANK.EQ(INDEX(スコア表[],MATCH($C17,スコア表['#],0),MATCH(BB$5,スコア表[#Headers],0)),スコア表[47],0),"-")</f>
        <v>11</v>
      </c>
      <c r="BC17" s="79">
        <f>IFERROR(_xlfn.RANK.EQ(INDEX(スコア表[],MATCH($C17,スコア表['#],0),MATCH(BC$5,スコア表[#Headers],0)),スコア表[48],0),"-")</f>
        <v>12</v>
      </c>
      <c r="BD17" s="79">
        <f>IFERROR(_xlfn.RANK.EQ(INDEX(スコア表[],MATCH($C17,スコア表['#],0),MATCH(BD$5,スコア表[#Headers],0)),スコア表[49],0),"-")</f>
        <v>9</v>
      </c>
      <c r="BE17" s="79">
        <f>IFERROR(_xlfn.RANK.EQ(INDEX(スコア表[],MATCH($C17,スコア表['#],0),MATCH(BE$5,スコア表[#Headers],0)),スコア表[50],0),"-")</f>
        <v>40</v>
      </c>
      <c r="BF17" s="79">
        <f>IFERROR(_xlfn.RANK.EQ(INDEX(スコア表[],MATCH($C17,スコア表['#],0),MATCH(BF$5,スコア表[#Headers],0)),スコア表[51],0),"-")</f>
        <v>41</v>
      </c>
      <c r="BG17" s="79">
        <f>IFERROR(_xlfn.RANK.EQ(INDEX(スコア表[],MATCH($C17,スコア表['#],0),MATCH(BG$5,スコア表[#Headers],0)),スコア表[52],0),"-")</f>
        <v>1</v>
      </c>
      <c r="BH17" s="79">
        <f>IFERROR(_xlfn.RANK.EQ(INDEX(スコア表[],MATCH($C17,スコア表['#],0),MATCH(BH$5,スコア表[#Headers],0)),スコア表[53],0),"-")</f>
        <v>3</v>
      </c>
      <c r="BI17" s="79">
        <f>IFERROR(_xlfn.RANK.EQ(INDEX(スコア表[],MATCH($C17,スコア表['#],0),MATCH(BI$5,スコア表[#Headers],0)),スコア表[54],0),"-")</f>
        <v>32</v>
      </c>
      <c r="BJ17" s="79">
        <f>IFERROR(_xlfn.RANK.EQ(INDEX(スコア表[],MATCH($C17,スコア表['#],0),MATCH(BJ$5,スコア表[#Headers],0)),スコア表[55],0),"-")</f>
        <v>16</v>
      </c>
      <c r="BK17" s="79">
        <f>IFERROR(_xlfn.RANK.EQ(INDEX(スコア表[],MATCH($C17,スコア表['#],0),MATCH(BK$5,スコア表[#Headers],0)),スコア表[56],0),"-")</f>
        <v>10</v>
      </c>
      <c r="BL17" s="79">
        <f>IFERROR(_xlfn.RANK.EQ(INDEX(スコア表[],MATCH($C17,スコア表['#],0),MATCH(BL$5,スコア表[#Headers],0)),スコア表[57],0),"-")</f>
        <v>37</v>
      </c>
      <c r="BM17" s="79">
        <f>IFERROR(_xlfn.RANK.EQ(INDEX(スコア表[],MATCH($C17,スコア表['#],0),MATCH(BM$5,スコア表[#Headers],0)),スコア表[58],0),"-")</f>
        <v>7</v>
      </c>
      <c r="BN17" s="79">
        <f>IFERROR(_xlfn.RANK.EQ(INDEX(スコア表[],MATCH($C17,スコア表['#],0),MATCH(BN$5,スコア表[#Headers],0)),スコア表[59],0),"-")</f>
        <v>19</v>
      </c>
      <c r="BO17" s="79">
        <f>IFERROR(_xlfn.RANK.EQ(INDEX(スコア表[],MATCH($C17,スコア表['#],0),MATCH(BO$5,スコア表[#Headers],0)),スコア表[60],0),"-")</f>
        <v>7</v>
      </c>
      <c r="BP17" s="79">
        <f>IFERROR(_xlfn.RANK.EQ(INDEX(スコア表[],MATCH($C17,スコア表['#],0),MATCH(BP$5,スコア表[#Headers],0)),スコア表[61],0),"-")</f>
        <v>12</v>
      </c>
      <c r="BQ17" s="79">
        <f>IFERROR(_xlfn.RANK.EQ(INDEX(スコア表[],MATCH($C17,スコア表['#],0),MATCH(BQ$5,スコア表[#Headers],0)),スコア表[62],0),"-")</f>
        <v>37</v>
      </c>
      <c r="BR17" s="79">
        <f>IFERROR(_xlfn.RANK.EQ(INDEX(スコア表[],MATCH($C17,スコア表['#],0),MATCH(BR$5,スコア表[#Headers],0)),スコア表[63],0),"-")</f>
        <v>34</v>
      </c>
      <c r="BS17" s="79">
        <f>IFERROR(_xlfn.RANK.EQ(INDEX(スコア表[],MATCH($C17,スコア表['#],0),MATCH(BS$5,スコア表[#Headers],0)),スコア表[64],0),"-")</f>
        <v>34</v>
      </c>
      <c r="BT17" s="79">
        <f>IFERROR(_xlfn.RANK.EQ(INDEX(スコア表[],MATCH($C17,スコア表['#],0),MATCH(BT$5,スコア表[#Headers],0)),スコア表[65],0),"-")</f>
        <v>42</v>
      </c>
      <c r="BU17" s="79">
        <f>IFERROR(_xlfn.RANK.EQ(INDEX(スコア表[],MATCH($C17,スコア表['#],0),MATCH(BU$5,スコア表[#Headers],0)),スコア表[66],0),"-")</f>
        <v>15</v>
      </c>
      <c r="BV17" s="79">
        <f>IFERROR(_xlfn.RANK.EQ(INDEX(スコア表[],MATCH($C17,スコア表['#],0),MATCH(BV$5,スコア表[#Headers],0)),スコア表[67],0),"-")</f>
        <v>5</v>
      </c>
      <c r="BW17" s="79">
        <f>IFERROR(_xlfn.RANK.EQ(INDEX(スコア表[],MATCH($C17,スコア表['#],0),MATCH(BW$5,スコア表[#Headers],0)),スコア表[68],0),"-")</f>
        <v>7</v>
      </c>
      <c r="BX17" s="79">
        <f>IFERROR(_xlfn.RANK.EQ(INDEX(スコア表[],MATCH($C17,スコア表['#],0),MATCH(BX$5,スコア表[#Headers],0)),スコア表[69],0),"-")</f>
        <v>10</v>
      </c>
      <c r="BY17" s="79">
        <f>IFERROR(_xlfn.RANK.EQ(INDEX(スコア表[],MATCH($C17,スコア表['#],0),MATCH(BY$5,スコア表[#Headers],0)),スコア表[70],0),"-")</f>
        <v>1</v>
      </c>
      <c r="BZ17" s="79">
        <f>IFERROR(_xlfn.RANK.EQ(INDEX(スコア表[],MATCH($C17,スコア表['#],0),MATCH(BZ$5,スコア表[#Headers],0)),スコア表[Ec1],0),"-")</f>
        <v>22</v>
      </c>
      <c r="CA17" s="79">
        <f>IFERROR(_xlfn.RANK.EQ(INDEX(スコア表[],MATCH($C17,スコア表['#],0),MATCH(CA$5,スコア表[#Headers],0)),スコア表[Ec2],0),"-")</f>
        <v>9</v>
      </c>
      <c r="CB17" s="79">
        <f>IFERROR(_xlfn.RANK.EQ(INDEX(スコア表[],MATCH($C17,スコア表['#],0),MATCH(CB$5,スコア表[#Headers],0)),スコア表[Ec3],0),"-")</f>
        <v>25</v>
      </c>
      <c r="CC17" s="79">
        <f>IFERROR(_xlfn.RANK.EQ(INDEX(スコア表[],MATCH($C17,スコア表['#],0),MATCH(CC$5,スコア表[#Headers],0)),スコア表[Ec4],0),"-")</f>
        <v>43</v>
      </c>
      <c r="CD17" s="79">
        <f>IFERROR(_xlfn.RANK.EQ(INDEX(スコア表[],MATCH($C17,スコア表['#],0),MATCH(CD$5,スコア表[#Headers],0)),スコア表[Ec5],0),"-")</f>
        <v>12</v>
      </c>
      <c r="CE17" s="79">
        <f>IFERROR(_xlfn.RANK.EQ(INDEX(スコア表[],MATCH($C17,スコア表['#],0),MATCH(CE$5,スコア表[#Headers],0)),スコア表[Ec6],0),"-")</f>
        <v>6</v>
      </c>
      <c r="CF17" s="79">
        <f>IFERROR(_xlfn.RANK.EQ(INDEX(スコア表[],MATCH($C17,スコア表['#],0),MATCH(CF$5,スコア表[#Headers],0)),スコア表[RD1],0),"-")</f>
        <v>28</v>
      </c>
      <c r="CG17" s="79">
        <f>IFERROR(_xlfn.RANK.EQ(INDEX(スコア表[],MATCH($C17,スコア表['#],0),MATCH(CG$5,スコア表[#Headers],0)),スコア表[RD2],0),"-")</f>
        <v>30</v>
      </c>
      <c r="CH17" s="79">
        <f>IFERROR(_xlfn.RANK.EQ(INDEX(スコア表[],MATCH($C17,スコア表['#],0),MATCH(CH$5,スコア表[#Headers],0)),スコア表[RD3],0),"-")</f>
        <v>24</v>
      </c>
      <c r="CI17" s="79">
        <f>IFERROR(_xlfn.RANK.EQ(INDEX(スコア表[],MATCH($C17,スコア表['#],0),MATCH(CI$5,スコア表[#Headers],0)),スコア表[CI1],0),"-")</f>
        <v>23</v>
      </c>
      <c r="CJ17" s="79">
        <f>IFERROR(_xlfn.RANK.EQ(INDEX(スコア表[],MATCH($C17,スコア表['#],0),MATCH(CJ$5,スコア表[#Headers],0)),スコア表[CI2],0),"-")</f>
        <v>33</v>
      </c>
      <c r="CK17" s="79">
        <f>IFERROR(_xlfn.RANK.EQ(INDEX(スコア表[],MATCH($C17,スコア表['#],0),MATCH(CK$5,スコア表[#Headers],0)),スコア表[CI3],0),"-")</f>
        <v>33</v>
      </c>
      <c r="CL17" s="79">
        <f>IFERROR(_xlfn.RANK.EQ(INDEX(スコア表[],MATCH($C17,スコア表['#],0),MATCH(CL$5,スコア表[#Headers],0)),スコア表[CI4],0),"-")</f>
        <v>35</v>
      </c>
      <c r="CM17" s="79">
        <f>IFERROR(_xlfn.RANK.EQ(INDEX(スコア表[],MATCH($C17,スコア表['#],0),MATCH(CM$5,スコア表[#Headers],0)),スコア表[CI5],0),"-")</f>
        <v>18</v>
      </c>
      <c r="CN17" s="79">
        <f>IFERROR(_xlfn.RANK.EQ(INDEX(スコア表[],MATCH($C17,スコア表['#],0),MATCH(CN$5,スコア表[#Headers],0)),スコア表[Li1],0),"-")</f>
        <v>19</v>
      </c>
      <c r="CO17" s="79">
        <f>IFERROR(_xlfn.RANK.EQ(INDEX(スコア表[],MATCH($C17,スコア表['#],0),MATCH(CO$5,スコア表[#Headers],0)),スコア表[Li2],0),"-")</f>
        <v>34</v>
      </c>
      <c r="CP17" s="79">
        <f>IFERROR(_xlfn.RANK.EQ(INDEX(スコア表[],MATCH($C17,スコア表['#],0),MATCH(CP$5,スコア表[#Headers],0)),スコア表[Li3],0),"-")</f>
        <v>5</v>
      </c>
      <c r="CQ17" s="79">
        <f>IFERROR(_xlfn.RANK.EQ(INDEX(スコア表[],MATCH($C17,スコア表['#],0),MATCH(CQ$5,スコア表[#Headers],0)),スコア表[Li4],0),"-")</f>
        <v>1</v>
      </c>
      <c r="CR17" s="79">
        <f>IFERROR(_xlfn.RANK.EQ(INDEX(スコア表[],MATCH($C17,スコア表['#],0),MATCH(CR$5,スコア表[#Headers],0)),スコア表[Li5],0),"-")</f>
        <v>29</v>
      </c>
      <c r="CS17" s="79">
        <f>IFERROR(_xlfn.RANK.EQ(INDEX(スコア表[],MATCH($C17,スコア表['#],0),MATCH(CS$5,スコア表[#Headers],0)),スコア表[En1],0),"-")</f>
        <v>1</v>
      </c>
      <c r="CT17" s="79">
        <f>IFERROR(_xlfn.RANK.EQ(INDEX(スコア表[],MATCH($C17,スコア表['#],0),MATCH(CT$5,スコア表[#Headers],0)),スコア表[En2],0),"-")</f>
        <v>21</v>
      </c>
      <c r="CU17" s="79">
        <f>IFERROR(_xlfn.RANK.EQ(INDEX(スコア表[],MATCH($C17,スコア表['#],0),MATCH(CU$5,スコア表[#Headers],0)),スコア表[En3],0),"-")</f>
        <v>8</v>
      </c>
      <c r="CV17" s="79">
        <f>IFERROR(_xlfn.RANK.EQ(INDEX(スコア表[],MATCH($C17,スコア表['#],0),MATCH(CV$5,スコア表[#Headers],0)),スコア表[Ac1],0),"-")</f>
        <v>22</v>
      </c>
      <c r="CW17" s="79">
        <f>IFERROR(_xlfn.RANK.EQ(INDEX(スコア表[],MATCH($C17,スコア表['#],0),MATCH(CW$5,スコア表[#Headers],0)),スコア表[Ac2],0),"-")</f>
        <v>34</v>
      </c>
      <c r="CX17" s="79">
        <f>IFERROR(_xlfn.RANK.EQ(INDEX(スコア表[],MATCH($C17,スコア表['#],0),MATCH(CX$5,スコア表[#Headers],0)),スコア表[Ac3],0),"-")</f>
        <v>11</v>
      </c>
      <c r="CY17" s="79">
        <f>IFERROR(_xlfn.RANK.EQ(INDEX(スコア表[],MATCH($C17,スコア表['#],0),MATCH(CY$5,スコア表[#Headers],0)),スコア表[Ac4],0),"-")</f>
        <v>2</v>
      </c>
      <c r="CZ17" s="79">
        <f>IFERROR(_xlfn.RANK.EQ(INDEX(スコア表[],MATCH($C17,スコア表['#],0),MATCH(CZ$5,スコア表[#Headers],0)),スコア表[Economy],0),"-")</f>
        <v>19</v>
      </c>
      <c r="DA17" s="79">
        <f>IFERROR(_xlfn.RANK.EQ(INDEX(スコア表[],MATCH($C17,スコア表['#],0),MATCH(DA$5,スコア表[#Headers],0)),スコア表[R&amp;D],0),"-")</f>
        <v>28</v>
      </c>
      <c r="DB17" s="79">
        <f>IFERROR(_xlfn.RANK.EQ(INDEX(スコア表[],MATCH($C17,スコア表['#],0),MATCH(DB$5,スコア表[#Headers],0)),スコア表[Cultural Interaction],0),"-")</f>
        <v>33</v>
      </c>
      <c r="DC17" s="79">
        <f>IFERROR(_xlfn.RANK.EQ(INDEX(スコア表[],MATCH($C17,スコア表['#],0),MATCH(DC$5,スコア表[#Headers],0)),スコア表[Livability],0),"-")</f>
        <v>15</v>
      </c>
      <c r="DD17" s="79">
        <f>IFERROR(_xlfn.RANK.EQ(INDEX(スコア表[],MATCH($C17,スコア表['#],0),MATCH(DD$5,スコア表[#Headers],0)),スコア表[Environment],0),"-")</f>
        <v>2</v>
      </c>
      <c r="DE17" s="79">
        <f>IFERROR(_xlfn.RANK.EQ(INDEX(スコア表[],MATCH($C17,スコア表['#],0),MATCH(DE$5,スコア表[#Headers],0)),スコア表[Accessibility],0),"-")</f>
        <v>10</v>
      </c>
      <c r="DF17" s="81">
        <f>IFERROR(_xlfn.RANK.EQ(INDEX(スコア表[],MATCH($C17,スコア表['#],0),MATCH(DF$5,スコア表[#Headers],0)),スコア表[Comprehensive],0),"-")</f>
        <v>11</v>
      </c>
    </row>
    <row r="18" spans="1:110">
      <c r="A18" s="2">
        <v>13</v>
      </c>
      <c r="B18" s="58">
        <f>INDEX(順位表[Comprehensive],MATCH($C18,順位表['#],0))</f>
        <v>13</v>
      </c>
      <c r="C18" s="3">
        <v>13</v>
      </c>
      <c r="D18" s="1" t="str">
        <f>INDEX(都市マスタ[City Name],MATCH($C18,都市マスタ['#],0))</f>
        <v>Vienna</v>
      </c>
      <c r="E18" s="79">
        <f>IFERROR(_xlfn.RANK.EQ(INDEX(スコア表[],MATCH($C18,スコア表['#],0),MATCH(E$5,スコア表[#Headers],0)),スコア表[00a],0),"-")</f>
        <v>30</v>
      </c>
      <c r="F18" s="79">
        <f>IFERROR(_xlfn.RANK.EQ(INDEX(スコア表[],MATCH($C18,スコア表['#],0),MATCH(F$5,スコア表[#Headers],0)),スコア表[00b],0),"-")</f>
        <v>26</v>
      </c>
      <c r="G18" s="79">
        <f>IFERROR(_xlfn.RANK.EQ(INDEX(スコア表[],MATCH($C18,スコア表['#],0),MATCH(G$5,スコア表[#Headers],0)),スコア表[00c],0),"-")</f>
        <v>37</v>
      </c>
      <c r="H18" s="79">
        <f>IFERROR(_xlfn.RANK.EQ(INDEX(スコア表[],MATCH($C18,スコア表['#],0),MATCH(H$5,スコア表[#Headers],0)),スコア表[01],0),"-")</f>
        <v>27</v>
      </c>
      <c r="I18" s="79">
        <f>IFERROR(_xlfn.RANK.EQ(INDEX(スコア表[],MATCH($C18,スコア表['#],0),MATCH(I$5,スコア表[#Headers],0)),スコア表[02],0),"-")</f>
        <v>24</v>
      </c>
      <c r="J18" s="79">
        <f>IFERROR(_xlfn.RANK.EQ(INDEX(スコア表[],MATCH($C18,スコア表['#],0),MATCH(J$5,スコア表[#Headers],0)),スコア表[03],0),"-")</f>
        <v>40</v>
      </c>
      <c r="K18" s="79">
        <f>IFERROR(_xlfn.RANK.EQ(INDEX(スコア表[],MATCH($C18,スコア表['#],0),MATCH(K$5,スコア表[#Headers],0)),スコア表[04],0),"-")</f>
        <v>17</v>
      </c>
      <c r="L18" s="79">
        <f>IFERROR(_xlfn.RANK.EQ(INDEX(スコア表[],MATCH($C18,スコア表['#],0),MATCH(L$5,スコア表[#Headers],0)),スコア表[05],0),"-")</f>
        <v>32</v>
      </c>
      <c r="M18" s="79">
        <f>IFERROR(_xlfn.RANK.EQ(INDEX(スコア表[],MATCH($C18,スコア表['#],0),MATCH(M$5,スコア表[#Headers],0)),スコア表[06],0),"-")</f>
        <v>30</v>
      </c>
      <c r="N18" s="79">
        <f>IFERROR(_xlfn.RANK.EQ(INDEX(スコア表[],MATCH($C18,スコア表['#],0),MATCH(N$5,スコア表[#Headers],0)),スコア表[07],0),"-")</f>
        <v>30</v>
      </c>
      <c r="O18" s="79">
        <f>IFERROR(_xlfn.RANK.EQ(INDEX(スコア表[],MATCH($C18,スコア表['#],0),MATCH(O$5,スコア表[#Headers],0)),スコア表[08],0),"-")</f>
        <v>34</v>
      </c>
      <c r="P18" s="79">
        <f>IFERROR(_xlfn.RANK.EQ(INDEX(スコア表[],MATCH($C18,スコア表['#],0),MATCH(P$5,スコア表[#Headers],0)),スコア表[09],0),"-")</f>
        <v>24</v>
      </c>
      <c r="Q18" s="79">
        <f>IFERROR(_xlfn.RANK.EQ(INDEX(スコア表[],MATCH($C18,スコア表['#],0),MATCH(Q$5,スコア表[#Headers],0)),スコア表[10],0),"-")</f>
        <v>20</v>
      </c>
      <c r="R18" s="79">
        <f>IFERROR(_xlfn.RANK.EQ(INDEX(スコア表[],MATCH($C18,スコア表['#],0),MATCH(R$5,スコア表[#Headers],0)),スコア表[11],0),"-")</f>
        <v>28</v>
      </c>
      <c r="S18" s="79">
        <f>IFERROR(_xlfn.RANK.EQ(INDEX(スコア表[],MATCH($C18,スコア表['#],0),MATCH(S$5,スコア表[#Headers],0)),スコア表[12],0),"-")</f>
        <v>17</v>
      </c>
      <c r="T18" s="79">
        <f>IFERROR(_xlfn.RANK.EQ(INDEX(スコア表[],MATCH($C18,スコア表['#],0),MATCH(T$5,スコア表[#Headers],0)),スコア表[13],0),"-")</f>
        <v>23</v>
      </c>
      <c r="U18" s="79">
        <f>IFERROR(_xlfn.RANK.EQ(INDEX(スコア表[],MATCH($C18,スコア表['#],0),MATCH(U$5,スコア表[#Headers],0)),スコア表[14],0),"-")</f>
        <v>25</v>
      </c>
      <c r="V18" s="79">
        <f>IFERROR(_xlfn.RANK.EQ(INDEX(スコア表[],MATCH($C18,スコア表['#],0),MATCH(V$5,スコア表[#Headers],0)),スコア表[15],0),"-")</f>
        <v>28</v>
      </c>
      <c r="W18" s="79">
        <f>IFERROR(_xlfn.RANK.EQ(INDEX(スコア表[],MATCH($C18,スコア表['#],0),MATCH(W$5,スコア表[#Headers],0)),スコア表[16],0),"-")</f>
        <v>21</v>
      </c>
      <c r="X18" s="79">
        <f>IFERROR(_xlfn.RANK.EQ(INDEX(スコア表[],MATCH($C18,スコア表['#],0),MATCH(X$5,スコア表[#Headers],0)),スコア表[17],0),"-")</f>
        <v>25</v>
      </c>
      <c r="Y18" s="79">
        <f>IFERROR(_xlfn.RANK.EQ(INDEX(スコア表[],MATCH($C18,スコア表['#],0),MATCH(Y$5,スコア表[#Headers],0)),スコア表[18],0),"-")</f>
        <v>32</v>
      </c>
      <c r="Z18" s="79">
        <f>IFERROR(_xlfn.RANK.EQ(INDEX(スコア表[],MATCH($C18,スコア表['#],0),MATCH(Z$5,スコア表[#Headers],0)),スコア表[19],0),"-")</f>
        <v>31</v>
      </c>
      <c r="AA18" s="79">
        <f>IFERROR(_xlfn.RANK.EQ(INDEX(スコア表[],MATCH($C18,スコア表['#],0),MATCH(AA$5,スコア表[#Headers],0)),スコア表[20],0),"-")</f>
        <v>14</v>
      </c>
      <c r="AB18" s="79">
        <f>IFERROR(_xlfn.RANK.EQ(INDEX(スコア表[],MATCH($C18,スコア表['#],0),MATCH(AB$5,スコア表[#Headers],0)),スコア表[21],0),"-")</f>
        <v>36</v>
      </c>
      <c r="AC18" s="79">
        <f>IFERROR(_xlfn.RANK.EQ(INDEX(スコア表[],MATCH($C18,スコア表['#],0),MATCH(AC$5,スコア表[#Headers],0)),スコア表[22],0),"-")</f>
        <v>4</v>
      </c>
      <c r="AD18" s="79">
        <f>IFERROR(_xlfn.RANK.EQ(INDEX(スコア表[],MATCH($C18,スコア表['#],0),MATCH(AD$5,スコア表[#Headers],0)),スコア表[23],0),"-")</f>
        <v>18</v>
      </c>
      <c r="AE18" s="79">
        <f>IFERROR(_xlfn.RANK.EQ(INDEX(スコア表[],MATCH($C18,スコア表['#],0),MATCH(AE$5,スコア表[#Headers],0)),スコア表[24],0),"-")</f>
        <v>17</v>
      </c>
      <c r="AF18" s="79">
        <f>IFERROR(_xlfn.RANK.EQ(INDEX(スコア表[],MATCH($C18,スコア表['#],0),MATCH(AF$5,スコア表[#Headers],0)),スコア表[25],0),"-")</f>
        <v>15</v>
      </c>
      <c r="AG18" s="79">
        <f>IFERROR(_xlfn.RANK.EQ(INDEX(スコア表[],MATCH($C18,スコア表['#],0),MATCH(AG$5,スコア表[#Headers],0)),スコア表[26],0),"-")</f>
        <v>20</v>
      </c>
      <c r="AH18" s="79">
        <f>IFERROR(_xlfn.RANK.EQ(INDEX(スコア表[],MATCH($C18,スコア表['#],0),MATCH(AH$5,スコア表[#Headers],0)),スコア表[27],0),"-")</f>
        <v>4</v>
      </c>
      <c r="AI18" s="79">
        <f>IFERROR(_xlfn.RANK.EQ(INDEX(スコア表[],MATCH($C18,スコア表['#],0),MATCH(AI$5,スコア表[#Headers],0)),スコア表[28],0),"-")</f>
        <v>44</v>
      </c>
      <c r="AJ18" s="79">
        <f>IFERROR(_xlfn.RANK.EQ(INDEX(スコア表[],MATCH($C18,スコア表['#],0),MATCH(AJ$5,スコア表[#Headers],0)),スコア表[29],0),"-")</f>
        <v>14</v>
      </c>
      <c r="AK18" s="79">
        <f>IFERROR(_xlfn.RANK.EQ(INDEX(スコア表[],MATCH($C18,スコア表['#],0),MATCH(AK$5,スコア表[#Headers],0)),スコア表[30],0),"-")</f>
        <v>6</v>
      </c>
      <c r="AL18" s="79">
        <f>IFERROR(_xlfn.RANK.EQ(INDEX(スコア表[],MATCH($C18,スコア表['#],0),MATCH(AL$5,スコア表[#Headers],0)),スコア表[31],0),"-")</f>
        <v>27</v>
      </c>
      <c r="AM18" s="79">
        <f>IFERROR(_xlfn.RANK.EQ(INDEX(スコア表[],MATCH($C18,スコア表['#],0),MATCH(AM$5,スコア表[#Headers],0)),スコア表[32],0),"-")</f>
        <v>24</v>
      </c>
      <c r="AN18" s="79">
        <f>IFERROR(_xlfn.RANK.EQ(INDEX(スコア表[],MATCH($C18,スコア表['#],0),MATCH(AN$5,スコア表[#Headers],0)),スコア表[33],0),"-")</f>
        <v>22</v>
      </c>
      <c r="AO18" s="79">
        <f>IFERROR(_xlfn.RANK.EQ(INDEX(スコア表[],MATCH($C18,スコア表['#],0),MATCH(AO$5,スコア表[#Headers],0)),スコア表[34],0),"-")</f>
        <v>41</v>
      </c>
      <c r="AP18" s="79">
        <f>IFERROR(_xlfn.RANK.EQ(INDEX(スコア表[],MATCH($C18,スコア表['#],0),MATCH(AP$5,スコア表[#Headers],0)),スコア表[35],0),"-")</f>
        <v>34</v>
      </c>
      <c r="AQ18" s="79">
        <f>IFERROR(_xlfn.RANK.EQ(INDEX(スコア表[],MATCH($C18,スコア表['#],0),MATCH(AQ$5,スコア表[#Headers],0)),スコア表[36],0),"-")</f>
        <v>12</v>
      </c>
      <c r="AR18" s="79">
        <f>IFERROR(_xlfn.RANK.EQ(INDEX(スコア表[],MATCH($C18,スコア表['#],0),MATCH(AR$5,スコア表[#Headers],0)),スコア表[37],0),"-")</f>
        <v>12</v>
      </c>
      <c r="AS18" s="79">
        <f>IFERROR(_xlfn.RANK.EQ(INDEX(スコア表[],MATCH($C18,スコア表['#],0),MATCH(AS$5,スコア表[#Headers],0)),スコア表[38],0),"-")</f>
        <v>43</v>
      </c>
      <c r="AT18" s="79">
        <f>IFERROR(_xlfn.RANK.EQ(INDEX(スコア表[],MATCH($C18,スコア表['#],0),MATCH(AT$5,スコア表[#Headers],0)),スコア表[39],0),"-")</f>
        <v>4</v>
      </c>
      <c r="AU18" s="79">
        <f>IFERROR(_xlfn.RANK.EQ(INDEX(スコア表[],MATCH($C18,スコア表['#],0),MATCH(AU$5,スコア表[#Headers],0)),スコア表[40],0),"-")</f>
        <v>32</v>
      </c>
      <c r="AV18" s="79">
        <f>IFERROR(_xlfn.RANK.EQ(INDEX(スコア表[],MATCH($C18,スコア表['#],0),MATCH(AV$5,スコア表[#Headers],0)),スコア表[41],0),"-")</f>
        <v>14</v>
      </c>
      <c r="AW18" s="79">
        <f>IFERROR(_xlfn.RANK.EQ(INDEX(スコア表[],MATCH($C18,スコア表['#],0),MATCH(AW$5,スコア表[#Headers],0)),スコア表[42],0),"-")</f>
        <v>23</v>
      </c>
      <c r="AX18" s="79">
        <f>IFERROR(_xlfn.RANK.EQ(INDEX(スコア表[],MATCH($C18,スコア表['#],0),MATCH(AX$5,スコア表[#Headers],0)),スコア表[43],0),"-")</f>
        <v>17</v>
      </c>
      <c r="AY18" s="79">
        <f>IFERROR(_xlfn.RANK.EQ(INDEX(スコア表[],MATCH($C18,スコア表['#],0),MATCH(AY$5,スコア表[#Headers],0)),スコア表[44],0),"-")</f>
        <v>12</v>
      </c>
      <c r="AZ18" s="79">
        <f>IFERROR(_xlfn.RANK.EQ(INDEX(スコア表[],MATCH($C18,スコア表['#],0),MATCH(AZ$5,スコア表[#Headers],0)),スコア表[45],0),"-")</f>
        <v>24</v>
      </c>
      <c r="BA18" s="79">
        <f>IFERROR(_xlfn.RANK.EQ(INDEX(スコア表[],MATCH($C18,スコア表['#],0),MATCH(BA$5,スコア表[#Headers],0)),スコア表[46],0),"-")</f>
        <v>17</v>
      </c>
      <c r="BB18" s="79">
        <f>IFERROR(_xlfn.RANK.EQ(INDEX(スコア表[],MATCH($C18,スコア表['#],0),MATCH(BB$5,スコア表[#Headers],0)),スコア表[47],0),"-")</f>
        <v>22</v>
      </c>
      <c r="BC18" s="79">
        <f>IFERROR(_xlfn.RANK.EQ(INDEX(スコア表[],MATCH($C18,スコア表['#],0),MATCH(BC$5,スコア表[#Headers],0)),スコア表[48],0),"-")</f>
        <v>9</v>
      </c>
      <c r="BD18" s="79">
        <f>IFERROR(_xlfn.RANK.EQ(INDEX(スコア表[],MATCH($C18,スコア表['#],0),MATCH(BD$5,スコア表[#Headers],0)),スコア表[49],0),"-")</f>
        <v>38</v>
      </c>
      <c r="BE18" s="79">
        <f>IFERROR(_xlfn.RANK.EQ(INDEX(スコア表[],MATCH($C18,スコア表['#],0),MATCH(BE$5,スコア表[#Headers],0)),スコア表[50],0),"-")</f>
        <v>28</v>
      </c>
      <c r="BF18" s="79">
        <f>IFERROR(_xlfn.RANK.EQ(INDEX(スコア表[],MATCH($C18,スコア表['#],0),MATCH(BF$5,スコア表[#Headers],0)),スコア表[51],0),"-")</f>
        <v>27</v>
      </c>
      <c r="BG18" s="79">
        <f>IFERROR(_xlfn.RANK.EQ(INDEX(スコア表[],MATCH($C18,スコア表['#],0),MATCH(BG$5,スコア表[#Headers],0)),スコア表[52],0),"-")</f>
        <v>37</v>
      </c>
      <c r="BH18" s="79">
        <f>IFERROR(_xlfn.RANK.EQ(INDEX(スコア表[],MATCH($C18,スコア表['#],0),MATCH(BH$5,スコア表[#Headers],0)),スコア表[53],0),"-")</f>
        <v>5</v>
      </c>
      <c r="BI18" s="79">
        <f>IFERROR(_xlfn.RANK.EQ(INDEX(スコア表[],MATCH($C18,スコア表['#],0),MATCH(BI$5,スコア表[#Headers],0)),スコア表[54],0),"-")</f>
        <v>11</v>
      </c>
      <c r="BJ18" s="79">
        <f>IFERROR(_xlfn.RANK.EQ(INDEX(スコア表[],MATCH($C18,スコア表['#],0),MATCH(BJ$5,スコア表[#Headers],0)),スコア表[55],0),"-")</f>
        <v>18</v>
      </c>
      <c r="BK18" s="79">
        <f>IFERROR(_xlfn.RANK.EQ(INDEX(スコア表[],MATCH($C18,スコア表['#],0),MATCH(BK$5,スコア表[#Headers],0)),スコア表[56],0),"-")</f>
        <v>22</v>
      </c>
      <c r="BL18" s="79">
        <f>IFERROR(_xlfn.RANK.EQ(INDEX(スコア表[],MATCH($C18,スコア表['#],0),MATCH(BL$5,スコア表[#Headers],0)),スコア表[57],0),"-")</f>
        <v>34</v>
      </c>
      <c r="BM18" s="79">
        <f>IFERROR(_xlfn.RANK.EQ(INDEX(スコア表[],MATCH($C18,スコア表['#],0),MATCH(BM$5,スコア表[#Headers],0)),スコア表[58],0),"-")</f>
        <v>1</v>
      </c>
      <c r="BN18" s="79">
        <f>IFERROR(_xlfn.RANK.EQ(INDEX(スコア表[],MATCH($C18,スコア表['#],0),MATCH(BN$5,スコア表[#Headers],0)),スコア表[59],0),"-")</f>
        <v>7</v>
      </c>
      <c r="BO18" s="79">
        <f>IFERROR(_xlfn.RANK.EQ(INDEX(スコア表[],MATCH($C18,スコア表['#],0),MATCH(BO$5,スコア表[#Headers],0)),スコア表[60],0),"-")</f>
        <v>5</v>
      </c>
      <c r="BP18" s="79">
        <f>IFERROR(_xlfn.RANK.EQ(INDEX(スコア表[],MATCH($C18,スコア表['#],0),MATCH(BP$5,スコア表[#Headers],0)),スコア表[61],0),"-")</f>
        <v>10</v>
      </c>
      <c r="BQ18" s="79">
        <f>IFERROR(_xlfn.RANK.EQ(INDEX(スコア表[],MATCH($C18,スコア表['#],0),MATCH(BQ$5,スコア表[#Headers],0)),スコア表[62],0),"-")</f>
        <v>42</v>
      </c>
      <c r="BR18" s="79">
        <f>IFERROR(_xlfn.RANK.EQ(INDEX(スコア表[],MATCH($C18,スコア表['#],0),MATCH(BR$5,スコア表[#Headers],0)),スコア表[63],0),"-")</f>
        <v>32</v>
      </c>
      <c r="BS18" s="79">
        <f>IFERROR(_xlfn.RANK.EQ(INDEX(スコア表[],MATCH($C18,スコア表['#],0),MATCH(BS$5,スコア表[#Headers],0)),スコア表[64],0),"-")</f>
        <v>35</v>
      </c>
      <c r="BT18" s="79">
        <f>IFERROR(_xlfn.RANK.EQ(INDEX(スコア表[],MATCH($C18,スコア表['#],0),MATCH(BT$5,スコア表[#Headers],0)),スコア表[65],0),"-")</f>
        <v>3</v>
      </c>
      <c r="BU18" s="79">
        <f>IFERROR(_xlfn.RANK.EQ(INDEX(スコア表[],MATCH($C18,スコア表['#],0),MATCH(BU$5,スコア表[#Headers],0)),スコア表[66],0),"-")</f>
        <v>16</v>
      </c>
      <c r="BV18" s="79">
        <f>IFERROR(_xlfn.RANK.EQ(INDEX(スコア表[],MATCH($C18,スコア表['#],0),MATCH(BV$5,スコア表[#Headers],0)),スコア表[67],0),"-")</f>
        <v>11</v>
      </c>
      <c r="BW18" s="79">
        <f>IFERROR(_xlfn.RANK.EQ(INDEX(スコア表[],MATCH($C18,スコア表['#],0),MATCH(BW$5,スコア表[#Headers],0)),スコア表[68],0),"-")</f>
        <v>4</v>
      </c>
      <c r="BX18" s="79">
        <f>IFERROR(_xlfn.RANK.EQ(INDEX(スコア表[],MATCH($C18,スコア表['#],0),MATCH(BX$5,スコア表[#Headers],0)),スコア表[69],0),"-")</f>
        <v>30</v>
      </c>
      <c r="BY18" s="79">
        <f>IFERROR(_xlfn.RANK.EQ(INDEX(スコア表[],MATCH($C18,スコア表['#],0),MATCH(BY$5,スコア表[#Headers],0)),スコア表[70],0),"-")</f>
        <v>12</v>
      </c>
      <c r="BZ18" s="79">
        <f>IFERROR(_xlfn.RANK.EQ(INDEX(スコア表[],MATCH($C18,スコア表['#],0),MATCH(BZ$5,スコア表[#Headers],0)),スコア表[Ec1],0),"-")</f>
        <v>28</v>
      </c>
      <c r="CA18" s="79">
        <f>IFERROR(_xlfn.RANK.EQ(INDEX(スコア表[],MATCH($C18,スコア表['#],0),MATCH(CA$5,スコア表[#Headers],0)),スコア表[Ec2],0),"-")</f>
        <v>28</v>
      </c>
      <c r="CB18" s="79">
        <f>IFERROR(_xlfn.RANK.EQ(INDEX(スコア表[],MATCH($C18,スコア表['#],0),MATCH(CB$5,スコア表[#Headers],0)),スコア表[Ec3],0),"-")</f>
        <v>35</v>
      </c>
      <c r="CC18" s="79">
        <f>IFERROR(_xlfn.RANK.EQ(INDEX(スコア表[],MATCH($C18,スコア表['#],0),MATCH(CC$5,スコア表[#Headers],0)),スコア表[Ec4],0),"-")</f>
        <v>40</v>
      </c>
      <c r="CD18" s="79">
        <f>IFERROR(_xlfn.RANK.EQ(INDEX(スコア表[],MATCH($C18,スコア表['#],0),MATCH(CD$5,スコア表[#Headers],0)),スコア表[Ec5],0),"-")</f>
        <v>24</v>
      </c>
      <c r="CE18" s="79">
        <f>IFERROR(_xlfn.RANK.EQ(INDEX(スコア表[],MATCH($C18,スコア表['#],0),MATCH(CE$5,スコア表[#Headers],0)),スコア表[Ec6],0),"-")</f>
        <v>14</v>
      </c>
      <c r="CF18" s="79">
        <f>IFERROR(_xlfn.RANK.EQ(INDEX(スコア表[],MATCH($C18,スコア表['#],0),MATCH(CF$5,スコア表[#Headers],0)),スコア表[RD1],0),"-")</f>
        <v>29</v>
      </c>
      <c r="CG18" s="79">
        <f>IFERROR(_xlfn.RANK.EQ(INDEX(スコア表[],MATCH($C18,スコア表['#],0),MATCH(CG$5,スコア表[#Headers],0)),スコア表[RD2],0),"-")</f>
        <v>27</v>
      </c>
      <c r="CH18" s="79">
        <f>IFERROR(_xlfn.RANK.EQ(INDEX(スコア表[],MATCH($C18,スコア表['#],0),MATCH(CH$5,スコア表[#Headers],0)),スコア表[RD3],0),"-")</f>
        <v>34</v>
      </c>
      <c r="CI18" s="79">
        <f>IFERROR(_xlfn.RANK.EQ(INDEX(スコア表[],MATCH($C18,スコア表['#],0),MATCH(CI$5,スコア表[#Headers],0)),スコア表[CI1],0),"-")</f>
        <v>7</v>
      </c>
      <c r="CJ18" s="79">
        <f>IFERROR(_xlfn.RANK.EQ(INDEX(スコア表[],MATCH($C18,スコア表['#],0),MATCH(CJ$5,スコア表[#Headers],0)),スコア表[CI2],0),"-")</f>
        <v>17</v>
      </c>
      <c r="CK18" s="79">
        <f>IFERROR(_xlfn.RANK.EQ(INDEX(スコア表[],MATCH($C18,スコア表['#],0),MATCH(CK$5,スコア表[#Headers],0)),スコア表[CI3],0),"-")</f>
        <v>13</v>
      </c>
      <c r="CL18" s="79">
        <f>IFERROR(_xlfn.RANK.EQ(INDEX(スコア表[],MATCH($C18,スコア表['#],0),MATCH(CL$5,スコア表[#Headers],0)),スコア表[CI4],0),"-")</f>
        <v>31</v>
      </c>
      <c r="CM18" s="79">
        <f>IFERROR(_xlfn.RANK.EQ(INDEX(スコア表[],MATCH($C18,スコア表['#],0),MATCH(CM$5,スコア表[#Headers],0)),スコア表[CI5],0),"-")</f>
        <v>12</v>
      </c>
      <c r="CN18" s="79">
        <f>IFERROR(_xlfn.RANK.EQ(INDEX(スコア表[],MATCH($C18,スコア表['#],0),MATCH(CN$5,スコア表[#Headers],0)),スコア表[Li1],0),"-")</f>
        <v>25</v>
      </c>
      <c r="CO18" s="79">
        <f>IFERROR(_xlfn.RANK.EQ(INDEX(スコア表[],MATCH($C18,スコア表['#],0),MATCH(CO$5,スコア表[#Headers],0)),スコア表[Li2],0),"-")</f>
        <v>17</v>
      </c>
      <c r="CP18" s="79">
        <f>IFERROR(_xlfn.RANK.EQ(INDEX(スコア表[],MATCH($C18,スコア表['#],0),MATCH(CP$5,スコア表[#Headers],0)),スコア表[Li3],0),"-")</f>
        <v>9</v>
      </c>
      <c r="CQ18" s="79">
        <f>IFERROR(_xlfn.RANK.EQ(INDEX(スコア表[],MATCH($C18,スコア表['#],0),MATCH(CQ$5,スコア表[#Headers],0)),スコア表[Li4],0),"-")</f>
        <v>20</v>
      </c>
      <c r="CR18" s="79">
        <f>IFERROR(_xlfn.RANK.EQ(INDEX(スコア表[],MATCH($C18,スコア表['#],0),MATCH(CR$5,スコア表[#Headers],0)),スコア表[Li5],0),"-")</f>
        <v>30</v>
      </c>
      <c r="CS18" s="79">
        <f>IFERROR(_xlfn.RANK.EQ(INDEX(スコア表[],MATCH($C18,スコア表['#],0),MATCH(CS$5,スコア表[#Headers],0)),スコア表[En1],0),"-")</f>
        <v>7</v>
      </c>
      <c r="CT18" s="79">
        <f>IFERROR(_xlfn.RANK.EQ(INDEX(スコア表[],MATCH($C18,スコア表['#],0),MATCH(CT$5,スコア表[#Headers],0)),スコア表[En2],0),"-")</f>
        <v>22</v>
      </c>
      <c r="CU18" s="79">
        <f>IFERROR(_xlfn.RANK.EQ(INDEX(スコア表[],MATCH($C18,スコア表['#],0),MATCH(CU$5,スコア表[#Headers],0)),スコア表[En3],0),"-")</f>
        <v>1</v>
      </c>
      <c r="CV18" s="79">
        <f>IFERROR(_xlfn.RANK.EQ(INDEX(スコア表[],MATCH($C18,スコア表['#],0),MATCH(CV$5,スコア表[#Headers],0)),スコア表[Ac1],0),"-")</f>
        <v>17</v>
      </c>
      <c r="CW18" s="79">
        <f>IFERROR(_xlfn.RANK.EQ(INDEX(スコア表[],MATCH($C18,スコア表['#],0),MATCH(CW$5,スコア表[#Headers],0)),スコア表[Ac2],0),"-")</f>
        <v>32</v>
      </c>
      <c r="CX18" s="79">
        <f>IFERROR(_xlfn.RANK.EQ(INDEX(スコア表[],MATCH($C18,スコア表['#],0),MATCH(CX$5,スコア表[#Headers],0)),スコア表[Ac3],0),"-")</f>
        <v>2</v>
      </c>
      <c r="CY18" s="79">
        <f>IFERROR(_xlfn.RANK.EQ(INDEX(スコア表[],MATCH($C18,スコア表['#],0),MATCH(CY$5,スコア表[#Headers],0)),スコア表[Ac4],0),"-")</f>
        <v>4</v>
      </c>
      <c r="CZ18" s="79">
        <f>IFERROR(_xlfn.RANK.EQ(INDEX(スコア表[],MATCH($C18,スコア表['#],0),MATCH(CZ$5,スコア表[#Headers],0)),スコア表[Economy],0),"-")</f>
        <v>32</v>
      </c>
      <c r="DA18" s="79">
        <f>IFERROR(_xlfn.RANK.EQ(INDEX(スコア表[],MATCH($C18,スコア表['#],0),MATCH(DA$5,スコア表[#Headers],0)),スコア表[R&amp;D],0),"-")</f>
        <v>29</v>
      </c>
      <c r="DB18" s="79">
        <f>IFERROR(_xlfn.RANK.EQ(INDEX(スコア表[],MATCH($C18,スコア表['#],0),MATCH(DB$5,スコア表[#Headers],0)),スコア表[Cultural Interaction],0),"-")</f>
        <v>18</v>
      </c>
      <c r="DC18" s="79">
        <f>IFERROR(_xlfn.RANK.EQ(INDEX(スコア表[],MATCH($C18,スコア表['#],0),MATCH(DC$5,スコア表[#Headers],0)),スコア表[Livability],0),"-")</f>
        <v>5</v>
      </c>
      <c r="DD18" s="79">
        <f>IFERROR(_xlfn.RANK.EQ(INDEX(スコア表[],MATCH($C18,スコア表['#],0),MATCH(DD$5,スコア表[#Headers],0)),スコア表[Environment],0),"-")</f>
        <v>5</v>
      </c>
      <c r="DE18" s="79">
        <f>IFERROR(_xlfn.RANK.EQ(INDEX(スコア表[],MATCH($C18,スコア表['#],0),MATCH(DE$5,スコア表[#Headers],0)),スコア表[Accessibility],0),"-")</f>
        <v>11</v>
      </c>
      <c r="DF18" s="81">
        <f>IFERROR(_xlfn.RANK.EQ(INDEX(スコア表[],MATCH($C18,スコア表['#],0),MATCH(DF$5,スコア表[#Headers],0)),スコア表[Comprehensive],0),"-")</f>
        <v>13</v>
      </c>
    </row>
    <row r="19" spans="1:110">
      <c r="A19" s="2">
        <v>14</v>
      </c>
      <c r="B19" s="58">
        <f>INDEX(順位表[Comprehensive],MATCH($C19,順位表['#],0))</f>
        <v>16</v>
      </c>
      <c r="C19" s="3">
        <v>14</v>
      </c>
      <c r="D19" s="1" t="str">
        <f>INDEX(都市マスタ[City Name],MATCH($C19,都市マスタ['#],0))</f>
        <v>Stockholm</v>
      </c>
      <c r="E19" s="79">
        <f>IFERROR(_xlfn.RANK.EQ(INDEX(スコア表[],MATCH($C19,スコア表['#],0),MATCH(E$5,スコア表[#Headers],0)),スコア表[00a],0),"-")</f>
        <v>37</v>
      </c>
      <c r="F19" s="79">
        <f>IFERROR(_xlfn.RANK.EQ(INDEX(スコア表[],MATCH($C19,スコア表['#],0),MATCH(F$5,スコア表[#Headers],0)),スコア表[00b],0),"-")</f>
        <v>34</v>
      </c>
      <c r="G19" s="79">
        <f>IFERROR(_xlfn.RANK.EQ(INDEX(スコア表[],MATCH($C19,スコア表['#],0),MATCH(G$5,スコア表[#Headers],0)),スコア表[00c],0),"-")</f>
        <v>15</v>
      </c>
      <c r="H19" s="79">
        <f>IFERROR(_xlfn.RANK.EQ(INDEX(スコア表[],MATCH($C19,スコア表['#],0),MATCH(H$5,スコア表[#Headers],0)),スコア表[01],0),"-")</f>
        <v>35</v>
      </c>
      <c r="I19" s="79">
        <f>IFERROR(_xlfn.RANK.EQ(INDEX(スコア表[],MATCH($C19,スコア表['#],0),MATCH(I$5,スコア表[#Headers],0)),スコア表[02],0),"-")</f>
        <v>13</v>
      </c>
      <c r="J19" s="79">
        <f>IFERROR(_xlfn.RANK.EQ(INDEX(スコア表[],MATCH($C19,スコア表['#],0),MATCH(J$5,スコア表[#Headers],0)),スコア表[03],0),"-")</f>
        <v>23</v>
      </c>
      <c r="K19" s="79">
        <f>IFERROR(_xlfn.RANK.EQ(INDEX(スコア表[],MATCH($C19,スコア表['#],0),MATCH(K$5,スコア表[#Headers],0)),スコア表[04],0),"-")</f>
        <v>8</v>
      </c>
      <c r="L19" s="79">
        <f>IFERROR(_xlfn.RANK.EQ(INDEX(スコア表[],MATCH($C19,スコア表['#],0),MATCH(L$5,スコア表[#Headers],0)),スコア表[05],0),"-")</f>
        <v>16</v>
      </c>
      <c r="M19" s="79">
        <f>IFERROR(_xlfn.RANK.EQ(INDEX(スコア表[],MATCH($C19,スコア表['#],0),MATCH(M$5,スコア表[#Headers],0)),スコア表[06],0),"-")</f>
        <v>35</v>
      </c>
      <c r="N19" s="79">
        <f>IFERROR(_xlfn.RANK.EQ(INDEX(スコア表[],MATCH($C19,スコア表['#],0),MATCH(N$5,スコア表[#Headers],0)),スコア表[07],0),"-")</f>
        <v>40</v>
      </c>
      <c r="O19" s="79">
        <f>IFERROR(_xlfn.RANK.EQ(INDEX(スコア表[],MATCH($C19,スコア表['#],0),MATCH(O$5,スコア表[#Headers],0)),スコア表[08],0),"-")</f>
        <v>11</v>
      </c>
      <c r="P19" s="79">
        <f>IFERROR(_xlfn.RANK.EQ(INDEX(スコア表[],MATCH($C19,スコア表['#],0),MATCH(P$5,スコア表[#Headers],0)),スコア表[09],0),"-")</f>
        <v>21</v>
      </c>
      <c r="Q19" s="79">
        <f>IFERROR(_xlfn.RANK.EQ(INDEX(スコア表[],MATCH($C19,スコア表['#],0),MATCH(Q$5,スコア表[#Headers],0)),スコア表[10],0),"-")</f>
        <v>18</v>
      </c>
      <c r="R19" s="79">
        <f>IFERROR(_xlfn.RANK.EQ(INDEX(スコア表[],MATCH($C19,スコア表['#],0),MATCH(R$5,スコア表[#Headers],0)),スコア表[11],0),"-")</f>
        <v>26</v>
      </c>
      <c r="S19" s="79">
        <f>IFERROR(_xlfn.RANK.EQ(INDEX(スコア表[],MATCH($C19,スコア表['#],0),MATCH(S$5,スコア表[#Headers],0)),スコア表[12],0),"-")</f>
        <v>12</v>
      </c>
      <c r="T19" s="79">
        <f>IFERROR(_xlfn.RANK.EQ(INDEX(スコア表[],MATCH($C19,スコア表['#],0),MATCH(T$5,スコア表[#Headers],0)),スコア表[13],0),"-")</f>
        <v>12</v>
      </c>
      <c r="U19" s="79">
        <f>IFERROR(_xlfn.RANK.EQ(INDEX(スコア表[],MATCH($C19,スコア表['#],0),MATCH(U$5,スコア表[#Headers],0)),スコア表[14],0),"-")</f>
        <v>26</v>
      </c>
      <c r="V19" s="79">
        <f>IFERROR(_xlfn.RANK.EQ(INDEX(スコア表[],MATCH($C19,スコア表['#],0),MATCH(V$5,スコア表[#Headers],0)),スコア表[15],0),"-")</f>
        <v>20</v>
      </c>
      <c r="W19" s="79">
        <f>IFERROR(_xlfn.RANK.EQ(INDEX(スコア表[],MATCH($C19,スコア表['#],0),MATCH(W$5,スコア表[#Headers],0)),スコア表[16],0),"-")</f>
        <v>23</v>
      </c>
      <c r="X19" s="79">
        <f>IFERROR(_xlfn.RANK.EQ(INDEX(スコア表[],MATCH($C19,スコア表['#],0),MATCH(X$5,スコア表[#Headers],0)),スコア表[17],0),"-")</f>
        <v>36</v>
      </c>
      <c r="Y19" s="79">
        <f>IFERROR(_xlfn.RANK.EQ(INDEX(スコア表[],MATCH($C19,スコア表['#],0),MATCH(Y$5,スコア表[#Headers],0)),スコア表[18],0),"-")</f>
        <v>15</v>
      </c>
      <c r="Z19" s="79">
        <f>IFERROR(_xlfn.RANK.EQ(INDEX(スコア表[],MATCH($C19,スコア表['#],0),MATCH(Z$5,スコア表[#Headers],0)),スコア表[19],0),"-")</f>
        <v>40</v>
      </c>
      <c r="AA19" s="79">
        <f>IFERROR(_xlfn.RANK.EQ(INDEX(スコア表[],MATCH($C19,スコア表['#],0),MATCH(AA$5,スコア表[#Headers],0)),スコア表[20],0),"-")</f>
        <v>18</v>
      </c>
      <c r="AB19" s="79">
        <f>IFERROR(_xlfn.RANK.EQ(INDEX(スコア表[],MATCH($C19,スコア表['#],0),MATCH(AB$5,スコア表[#Headers],0)),スコア表[21],0),"-")</f>
        <v>20</v>
      </c>
      <c r="AC19" s="79">
        <f>IFERROR(_xlfn.RANK.EQ(INDEX(スコア表[],MATCH($C19,スコア表['#],0),MATCH(AC$5,スコア表[#Headers],0)),スコア表[22],0),"-")</f>
        <v>13</v>
      </c>
      <c r="AD19" s="79">
        <f>IFERROR(_xlfn.RANK.EQ(INDEX(スコア表[],MATCH($C19,スコア表['#],0),MATCH(AD$5,スコア表[#Headers],0)),スコア表[23],0),"-")</f>
        <v>13</v>
      </c>
      <c r="AE19" s="79">
        <f>IFERROR(_xlfn.RANK.EQ(INDEX(スコア表[],MATCH($C19,スコア表['#],0),MATCH(AE$5,スコア表[#Headers],0)),スコア表[24],0),"-")</f>
        <v>4</v>
      </c>
      <c r="AF19" s="79">
        <f>IFERROR(_xlfn.RANK.EQ(INDEX(スコア表[],MATCH($C19,スコア表['#],0),MATCH(AF$5,スコア表[#Headers],0)),スコア表[25],0),"-")</f>
        <v>23</v>
      </c>
      <c r="AG19" s="79">
        <f>IFERROR(_xlfn.RANK.EQ(INDEX(スコア表[],MATCH($C19,スコア表['#],0),MATCH(AG$5,スコア表[#Headers],0)),スコア表[26],0),"-")</f>
        <v>36</v>
      </c>
      <c r="AH19" s="79">
        <f>IFERROR(_xlfn.RANK.EQ(INDEX(スコア表[],MATCH($C19,スコア表['#],0),MATCH(AH$5,スコア表[#Headers],0)),スコア表[27],0),"-")</f>
        <v>24</v>
      </c>
      <c r="AI19" s="79">
        <f>IFERROR(_xlfn.RANK.EQ(INDEX(スコア表[],MATCH($C19,スコア表['#],0),MATCH(AI$5,スコア表[#Headers],0)),スコア表[28],0),"-")</f>
        <v>39</v>
      </c>
      <c r="AJ19" s="79">
        <f>IFERROR(_xlfn.RANK.EQ(INDEX(スコア表[],MATCH($C19,スコア表['#],0),MATCH(AJ$5,スコア表[#Headers],0)),スコア表[29],0),"-")</f>
        <v>24</v>
      </c>
      <c r="AK19" s="79">
        <f>IFERROR(_xlfn.RANK.EQ(INDEX(スコア表[],MATCH($C19,スコア表['#],0),MATCH(AK$5,スコア表[#Headers],0)),スコア表[30],0),"-")</f>
        <v>20</v>
      </c>
      <c r="AL19" s="79">
        <f>IFERROR(_xlfn.RANK.EQ(INDEX(スコア表[],MATCH($C19,スコア表['#],0),MATCH(AL$5,スコア表[#Headers],0)),スコア表[31],0),"-")</f>
        <v>27</v>
      </c>
      <c r="AM19" s="79">
        <f>IFERROR(_xlfn.RANK.EQ(INDEX(スコア表[],MATCH($C19,スコア表['#],0),MATCH(AM$5,スコア表[#Headers],0)),スコア表[32],0),"-")</f>
        <v>36</v>
      </c>
      <c r="AN19" s="79">
        <f>IFERROR(_xlfn.RANK.EQ(INDEX(スコア表[],MATCH($C19,スコア表['#],0),MATCH(AN$5,スコア表[#Headers],0)),スコア表[33],0),"-")</f>
        <v>44</v>
      </c>
      <c r="AO19" s="79">
        <f>IFERROR(_xlfn.RANK.EQ(INDEX(スコア表[],MATCH($C19,スコア表['#],0),MATCH(AO$5,スコア表[#Headers],0)),スコア表[34],0),"-")</f>
        <v>44</v>
      </c>
      <c r="AP19" s="79">
        <f>IFERROR(_xlfn.RANK.EQ(INDEX(スコア表[],MATCH($C19,スコア表['#],0),MATCH(AP$5,スコア表[#Headers],0)),スコア表[35],0),"-")</f>
        <v>42</v>
      </c>
      <c r="AQ19" s="79">
        <f>IFERROR(_xlfn.RANK.EQ(INDEX(スコア表[],MATCH($C19,スコア表['#],0),MATCH(AQ$5,スコア表[#Headers],0)),スコア表[36],0),"-")</f>
        <v>34</v>
      </c>
      <c r="AR19" s="79">
        <f>IFERROR(_xlfn.RANK.EQ(INDEX(スコア表[],MATCH($C19,スコア表['#],0),MATCH(AR$5,スコア表[#Headers],0)),スコア表[37],0),"-")</f>
        <v>9</v>
      </c>
      <c r="AS19" s="79">
        <f>IFERROR(_xlfn.RANK.EQ(INDEX(スコア表[],MATCH($C19,スコア表['#],0),MATCH(AS$5,スコア表[#Headers],0)),スコア表[38],0),"-")</f>
        <v>38</v>
      </c>
      <c r="AT19" s="79">
        <f>IFERROR(_xlfn.RANK.EQ(INDEX(スコア表[],MATCH($C19,スコア表['#],0),MATCH(AT$5,スコア表[#Headers],0)),スコア表[39],0),"-")</f>
        <v>10</v>
      </c>
      <c r="AU19" s="79">
        <f>IFERROR(_xlfn.RANK.EQ(INDEX(スコア表[],MATCH($C19,スコア表['#],0),MATCH(AU$5,スコア表[#Headers],0)),スコア表[40],0),"-")</f>
        <v>24</v>
      </c>
      <c r="AV19" s="79">
        <f>IFERROR(_xlfn.RANK.EQ(INDEX(スコア表[],MATCH($C19,スコア表['#],0),MATCH(AV$5,スコア表[#Headers],0)),スコア表[41],0),"-")</f>
        <v>25</v>
      </c>
      <c r="AW19" s="79">
        <f>IFERROR(_xlfn.RANK.EQ(INDEX(スコア表[],MATCH($C19,スコア表['#],0),MATCH(AW$5,スコア表[#Headers],0)),スコア表[42],0),"-")</f>
        <v>29</v>
      </c>
      <c r="AX19" s="79">
        <f>IFERROR(_xlfn.RANK.EQ(INDEX(スコア表[],MATCH($C19,スコア表['#],0),MATCH(AX$5,スコア表[#Headers],0)),スコア表[43],0),"-")</f>
        <v>37</v>
      </c>
      <c r="AY19" s="79">
        <f>IFERROR(_xlfn.RANK.EQ(INDEX(スコア表[],MATCH($C19,スコア表['#],0),MATCH(AY$5,スコア表[#Headers],0)),スコア表[44],0),"-")</f>
        <v>1</v>
      </c>
      <c r="AZ19" s="79">
        <f>IFERROR(_xlfn.RANK.EQ(INDEX(スコア表[],MATCH($C19,スコア表['#],0),MATCH(AZ$5,スコア表[#Headers],0)),スコア表[45],0),"-")</f>
        <v>17</v>
      </c>
      <c r="BA19" s="79">
        <f>IFERROR(_xlfn.RANK.EQ(INDEX(スコア表[],MATCH($C19,スコア表['#],0),MATCH(BA$5,スコア表[#Headers],0)),スコア表[46],0),"-")</f>
        <v>2</v>
      </c>
      <c r="BB19" s="79">
        <f>IFERROR(_xlfn.RANK.EQ(INDEX(スコア表[],MATCH($C19,スコア表['#],0),MATCH(BB$5,スコア表[#Headers],0)),スコア表[47],0),"-")</f>
        <v>30</v>
      </c>
      <c r="BC19" s="79">
        <f>IFERROR(_xlfn.RANK.EQ(INDEX(スコア表[],MATCH($C19,スコア表['#],0),MATCH(BC$5,スコア表[#Headers],0)),スコア表[48],0),"-")</f>
        <v>2</v>
      </c>
      <c r="BD19" s="79">
        <f>IFERROR(_xlfn.RANK.EQ(INDEX(スコア表[],MATCH($C19,スコア表['#],0),MATCH(BD$5,スコア表[#Headers],0)),スコア表[49],0),"-")</f>
        <v>20</v>
      </c>
      <c r="BE19" s="79">
        <f>IFERROR(_xlfn.RANK.EQ(INDEX(スコア表[],MATCH($C19,スコア表['#],0),MATCH(BE$5,スコア表[#Headers],0)),スコア表[50],0),"-")</f>
        <v>47</v>
      </c>
      <c r="BF19" s="79">
        <f>IFERROR(_xlfn.RANK.EQ(INDEX(スコア表[],MATCH($C19,スコア表['#],0),MATCH(BF$5,スコア表[#Headers],0)),スコア表[51],0),"-")</f>
        <v>40</v>
      </c>
      <c r="BG19" s="79">
        <f>IFERROR(_xlfn.RANK.EQ(INDEX(スコア表[],MATCH($C19,スコア表['#],0),MATCH(BG$5,スコア表[#Headers],0)),スコア表[52],0),"-")</f>
        <v>8</v>
      </c>
      <c r="BH19" s="79">
        <f>IFERROR(_xlfn.RANK.EQ(INDEX(スコア表[],MATCH($C19,スコア表['#],0),MATCH(BH$5,スコア表[#Headers],0)),スコア表[53],0),"-")</f>
        <v>1</v>
      </c>
      <c r="BI19" s="79">
        <f>IFERROR(_xlfn.RANK.EQ(INDEX(スコア表[],MATCH($C19,スコア表['#],0),MATCH(BI$5,スコア表[#Headers],0)),スコア表[54],0),"-")</f>
        <v>21</v>
      </c>
      <c r="BJ19" s="79">
        <f>IFERROR(_xlfn.RANK.EQ(INDEX(スコア表[],MATCH($C19,スコア表['#],0),MATCH(BJ$5,スコア表[#Headers],0)),スコア表[55],0),"-")</f>
        <v>8</v>
      </c>
      <c r="BK19" s="79">
        <f>IFERROR(_xlfn.RANK.EQ(INDEX(スコア表[],MATCH($C19,スコア表['#],0),MATCH(BK$5,スコア表[#Headers],0)),スコア表[56],0),"-")</f>
        <v>4</v>
      </c>
      <c r="BL19" s="79">
        <f>IFERROR(_xlfn.RANK.EQ(INDEX(スコア表[],MATCH($C19,スコア表['#],0),MATCH(BL$5,スコア表[#Headers],0)),スコア表[57],0),"-")</f>
        <v>40</v>
      </c>
      <c r="BM19" s="79">
        <f>IFERROR(_xlfn.RANK.EQ(INDEX(スコア表[],MATCH($C19,スコア表['#],0),MATCH(BM$5,スコア表[#Headers],0)),スコア表[58],0),"-")</f>
        <v>3</v>
      </c>
      <c r="BN19" s="79">
        <f>IFERROR(_xlfn.RANK.EQ(INDEX(スコア表[],MATCH($C19,スコア表['#],0),MATCH(BN$5,スコア表[#Headers],0)),スコア表[59],0),"-")</f>
        <v>5</v>
      </c>
      <c r="BO19" s="79">
        <f>IFERROR(_xlfn.RANK.EQ(INDEX(スコア表[],MATCH($C19,スコア表['#],0),MATCH(BO$5,スコア表[#Headers],0)),スコア表[60],0),"-")</f>
        <v>12</v>
      </c>
      <c r="BP19" s="79">
        <f>IFERROR(_xlfn.RANK.EQ(INDEX(スコア表[],MATCH($C19,スコア表['#],0),MATCH(BP$5,スコア表[#Headers],0)),スコア表[61],0),"-")</f>
        <v>15</v>
      </c>
      <c r="BQ19" s="79">
        <f>IFERROR(_xlfn.RANK.EQ(INDEX(スコア表[],MATCH($C19,スコア表['#],0),MATCH(BQ$5,スコア表[#Headers],0)),スコア表[62],0),"-")</f>
        <v>46</v>
      </c>
      <c r="BR19" s="79">
        <f>IFERROR(_xlfn.RANK.EQ(INDEX(スコア表[],MATCH($C19,スコア表['#],0),MATCH(BR$5,スコア表[#Headers],0)),スコア表[63],0),"-")</f>
        <v>39</v>
      </c>
      <c r="BS19" s="79">
        <f>IFERROR(_xlfn.RANK.EQ(INDEX(スコア表[],MATCH($C19,スコア表['#],0),MATCH(BS$5,スコア表[#Headers],0)),スコア表[64],0),"-")</f>
        <v>37</v>
      </c>
      <c r="BT19" s="79">
        <f>IFERROR(_xlfn.RANK.EQ(INDEX(スコア表[],MATCH($C19,スコア表['#],0),MATCH(BT$5,スコア表[#Headers],0)),スコア表[65],0),"-")</f>
        <v>21</v>
      </c>
      <c r="BU19" s="79">
        <f>IFERROR(_xlfn.RANK.EQ(INDEX(スコア表[],MATCH($C19,スコア表['#],0),MATCH(BU$5,スコア表[#Headers],0)),スコア表[66],0),"-")</f>
        <v>5</v>
      </c>
      <c r="BV19" s="79">
        <f>IFERROR(_xlfn.RANK.EQ(INDEX(スコア表[],MATCH($C19,スコア表['#],0),MATCH(BV$5,スコア表[#Headers],0)),スコア表[67],0),"-")</f>
        <v>24</v>
      </c>
      <c r="BW19" s="79">
        <f>IFERROR(_xlfn.RANK.EQ(INDEX(スコア表[],MATCH($C19,スコア表['#],0),MATCH(BW$5,スコア表[#Headers],0)),スコア表[68],0),"-")</f>
        <v>14</v>
      </c>
      <c r="BX19" s="79">
        <f>IFERROR(_xlfn.RANK.EQ(INDEX(スコア表[],MATCH($C19,スコア表['#],0),MATCH(BX$5,スコア表[#Headers],0)),スコア表[69],0),"-")</f>
        <v>6</v>
      </c>
      <c r="BY19" s="79">
        <f>IFERROR(_xlfn.RANK.EQ(INDEX(スコア表[],MATCH($C19,スコア表['#],0),MATCH(BY$5,スコア表[#Headers],0)),スコア表[70],0),"-")</f>
        <v>46</v>
      </c>
      <c r="BZ19" s="79">
        <f>IFERROR(_xlfn.RANK.EQ(INDEX(スコア表[],MATCH($C19,スコア表['#],0),MATCH(BZ$5,スコア表[#Headers],0)),スコア表[Ec1],0),"-")</f>
        <v>26</v>
      </c>
      <c r="CA19" s="79">
        <f>IFERROR(_xlfn.RANK.EQ(INDEX(スコア表[],MATCH($C19,スコア表['#],0),MATCH(CA$5,スコア表[#Headers],0)),スコア表[Ec2],0),"-")</f>
        <v>11</v>
      </c>
      <c r="CB19" s="79">
        <f>IFERROR(_xlfn.RANK.EQ(INDEX(スコア表[],MATCH($C19,スコア表['#],0),MATCH(CB$5,スコア表[#Headers],0)),スコア表[Ec3],0),"-")</f>
        <v>31</v>
      </c>
      <c r="CC19" s="79">
        <f>IFERROR(_xlfn.RANK.EQ(INDEX(スコア表[],MATCH($C19,スコア表['#],0),MATCH(CC$5,スコア表[#Headers],0)),スコア表[Ec4],0),"-")</f>
        <v>19</v>
      </c>
      <c r="CD19" s="79">
        <f>IFERROR(_xlfn.RANK.EQ(INDEX(スコア表[],MATCH($C19,スコア表['#],0),MATCH(CD$5,スコア表[#Headers],0)),スコア表[Ec5],0),"-")</f>
        <v>19</v>
      </c>
      <c r="CE19" s="79">
        <f>IFERROR(_xlfn.RANK.EQ(INDEX(スコア表[],MATCH($C19,スコア表['#],0),MATCH(CE$5,スコア表[#Headers],0)),スコア表[Ec6],0),"-")</f>
        <v>8</v>
      </c>
      <c r="CF19" s="79">
        <f>IFERROR(_xlfn.RANK.EQ(INDEX(スコア表[],MATCH($C19,スコア表['#],0),MATCH(CF$5,スコア表[#Headers],0)),スコア表[RD1],0),"-")</f>
        <v>23</v>
      </c>
      <c r="CG19" s="79">
        <f>IFERROR(_xlfn.RANK.EQ(INDEX(スコア表[],MATCH($C19,スコア表['#],0),MATCH(CG$5,スコア表[#Headers],0)),スコア表[RD2],0),"-")</f>
        <v>33</v>
      </c>
      <c r="CH19" s="79">
        <f>IFERROR(_xlfn.RANK.EQ(INDEX(スコア表[],MATCH($C19,スコア表['#],0),MATCH(CH$5,スコア表[#Headers],0)),スコア表[RD3],0),"-")</f>
        <v>29</v>
      </c>
      <c r="CI19" s="79">
        <f>IFERROR(_xlfn.RANK.EQ(INDEX(スコア表[],MATCH($C19,スコア表['#],0),MATCH(CI$5,スコア表[#Headers],0)),スコア表[CI1],0),"-")</f>
        <v>8</v>
      </c>
      <c r="CJ19" s="79">
        <f>IFERROR(_xlfn.RANK.EQ(INDEX(スコア表[],MATCH($C19,スコア表['#],0),MATCH(CJ$5,スコア表[#Headers],0)),スコア表[CI2],0),"-")</f>
        <v>36</v>
      </c>
      <c r="CK19" s="79">
        <f>IFERROR(_xlfn.RANK.EQ(INDEX(スコア表[],MATCH($C19,スコア表['#],0),MATCH(CK$5,スコア表[#Headers],0)),スコア表[CI3],0),"-")</f>
        <v>30</v>
      </c>
      <c r="CL19" s="79">
        <f>IFERROR(_xlfn.RANK.EQ(INDEX(スコア表[],MATCH($C19,スコア表['#],0),MATCH(CL$5,スコア表[#Headers],0)),スコア表[CI4],0),"-")</f>
        <v>44</v>
      </c>
      <c r="CM19" s="79">
        <f>IFERROR(_xlfn.RANK.EQ(INDEX(スコア表[],MATCH($C19,スコア表['#],0),MATCH(CM$5,スコア表[#Headers],0)),スコア表[CI5],0),"-")</f>
        <v>17</v>
      </c>
      <c r="CN19" s="79">
        <f>IFERROR(_xlfn.RANK.EQ(INDEX(スコア表[],MATCH($C19,スコア表['#],0),MATCH(CN$5,スコア表[#Headers],0)),スコア表[Li1],0),"-")</f>
        <v>22</v>
      </c>
      <c r="CO19" s="79">
        <f>IFERROR(_xlfn.RANK.EQ(INDEX(スコア表[],MATCH($C19,スコア表['#],0),MATCH(CO$5,スコア表[#Headers],0)),スコア表[Li2],0),"-")</f>
        <v>27</v>
      </c>
      <c r="CP19" s="79">
        <f>IFERROR(_xlfn.RANK.EQ(INDEX(スコア表[],MATCH($C19,スコア表['#],0),MATCH(CP$5,スコア表[#Headers],0)),スコア表[Li3],0),"-")</f>
        <v>32</v>
      </c>
      <c r="CQ19" s="79">
        <f>IFERROR(_xlfn.RANK.EQ(INDEX(スコア表[],MATCH($C19,スコア表['#],0),MATCH(CQ$5,スコア表[#Headers],0)),スコア表[Li4],0),"-")</f>
        <v>8</v>
      </c>
      <c r="CR19" s="79">
        <f>IFERROR(_xlfn.RANK.EQ(INDEX(スコア表[],MATCH($C19,スコア表['#],0),MATCH(CR$5,スコア表[#Headers],0)),スコア表[Li5],0),"-")</f>
        <v>17</v>
      </c>
      <c r="CS19" s="79">
        <f>IFERROR(_xlfn.RANK.EQ(INDEX(スコア表[],MATCH($C19,スコア表['#],0),MATCH(CS$5,スコア表[#Headers],0)),スコア表[En1],0),"-")</f>
        <v>2</v>
      </c>
      <c r="CT19" s="79">
        <f>IFERROR(_xlfn.RANK.EQ(INDEX(スコア表[],MATCH($C19,スコア表['#],0),MATCH(CT$5,スコア表[#Headers],0)),スコア表[En2],0),"-")</f>
        <v>14</v>
      </c>
      <c r="CU19" s="79">
        <f>IFERROR(_xlfn.RANK.EQ(INDEX(スコア表[],MATCH($C19,スコア表['#],0),MATCH(CU$5,スコア表[#Headers],0)),スコア表[En3],0),"-")</f>
        <v>3</v>
      </c>
      <c r="CV19" s="79">
        <f>IFERROR(_xlfn.RANK.EQ(INDEX(スコア表[],MATCH($C19,スコア表['#],0),MATCH(CV$5,スコア表[#Headers],0)),スコア表[Ac1],0),"-")</f>
        <v>27</v>
      </c>
      <c r="CW19" s="79">
        <f>IFERROR(_xlfn.RANK.EQ(INDEX(スコア表[],MATCH($C19,スコア表['#],0),MATCH(CW$5,スコア表[#Headers],0)),スコア表[Ac2],0),"-")</f>
        <v>37</v>
      </c>
      <c r="CX19" s="79">
        <f>IFERROR(_xlfn.RANK.EQ(INDEX(スコア表[],MATCH($C19,スコア表['#],0),MATCH(CX$5,スコア表[#Headers],0)),スコア表[Ac3],0),"-")</f>
        <v>9</v>
      </c>
      <c r="CY19" s="79">
        <f>IFERROR(_xlfn.RANK.EQ(INDEX(スコア表[],MATCH($C19,スコア表['#],0),MATCH(CY$5,スコア表[#Headers],0)),スコア表[Ac4],0),"-")</f>
        <v>20</v>
      </c>
      <c r="CZ19" s="79">
        <f>IFERROR(_xlfn.RANK.EQ(INDEX(スコア表[],MATCH($C19,スコア表['#],0),MATCH(CZ$5,スコア表[#Headers],0)),スコア表[Economy],0),"-")</f>
        <v>20</v>
      </c>
      <c r="DA19" s="79">
        <f>IFERROR(_xlfn.RANK.EQ(INDEX(スコア表[],MATCH($C19,スコア表['#],0),MATCH(DA$5,スコア表[#Headers],0)),スコア表[R&amp;D],0),"-")</f>
        <v>25</v>
      </c>
      <c r="DB19" s="79">
        <f>IFERROR(_xlfn.RANK.EQ(INDEX(スコア表[],MATCH($C19,スコア表['#],0),MATCH(DB$5,スコア表[#Headers],0)),スコア表[Cultural Interaction],0),"-")</f>
        <v>32</v>
      </c>
      <c r="DC19" s="79">
        <f>IFERROR(_xlfn.RANK.EQ(INDEX(スコア表[],MATCH($C19,スコア表['#],0),MATCH(DC$5,スコア表[#Headers],0)),スコア表[Livability],0),"-")</f>
        <v>10</v>
      </c>
      <c r="DD19" s="79">
        <f>IFERROR(_xlfn.RANK.EQ(INDEX(スコア表[],MATCH($C19,スコア表['#],0),MATCH(DD$5,スコア表[#Headers],0)),スコア表[Environment],0),"-")</f>
        <v>1</v>
      </c>
      <c r="DE19" s="79">
        <f>IFERROR(_xlfn.RANK.EQ(INDEX(スコア表[],MATCH($C19,スコア表['#],0),MATCH(DE$5,スコア表[#Headers],0)),スコア表[Accessibility],0),"-")</f>
        <v>22</v>
      </c>
      <c r="DF19" s="81">
        <f>IFERROR(_xlfn.RANK.EQ(INDEX(スコア表[],MATCH($C19,スコア表['#],0),MATCH(DF$5,スコア表[#Headers],0)),スコア表[Comprehensive],0),"-")</f>
        <v>16</v>
      </c>
    </row>
    <row r="20" spans="1:110">
      <c r="A20" s="2">
        <v>15</v>
      </c>
      <c r="B20" s="58">
        <f>INDEX(順位表[Comprehensive],MATCH($C20,順位表['#],0))</f>
        <v>30</v>
      </c>
      <c r="C20" s="3">
        <v>15</v>
      </c>
      <c r="D20" s="1" t="str">
        <f>INDEX(都市マスタ[City Name],MATCH($C20,都市マスタ['#],0))</f>
        <v>Istanbul</v>
      </c>
      <c r="E20" s="79">
        <f>IFERROR(_xlfn.RANK.EQ(INDEX(スコア表[],MATCH($C20,スコア表['#],0),MATCH(E$5,スコア表[#Headers],0)),スコア表[00a],0),"-")</f>
        <v>3</v>
      </c>
      <c r="F20" s="79">
        <f>IFERROR(_xlfn.RANK.EQ(INDEX(スコア表[],MATCH($C20,スコア表['#],0),MATCH(F$5,スコア表[#Headers],0)),スコア表[00b],0),"-")</f>
        <v>5</v>
      </c>
      <c r="G20" s="79">
        <f>IFERROR(_xlfn.RANK.EQ(INDEX(スコア表[],MATCH($C20,スコア表['#],0),MATCH(G$5,スコア表[#Headers],0)),スコア表[00c],0),"-")</f>
        <v>13</v>
      </c>
      <c r="H20" s="79">
        <f>IFERROR(_xlfn.RANK.EQ(INDEX(スコア表[],MATCH($C20,スコア表['#],0),MATCH(H$5,スコア表[#Headers],0)),スコア表[01],0),"-")</f>
        <v>14</v>
      </c>
      <c r="I20" s="79">
        <f>IFERROR(_xlfn.RANK.EQ(INDEX(スコア表[],MATCH($C20,スコア表['#],0),MATCH(I$5,スコア表[#Headers],0)),スコア表[02],0),"-")</f>
        <v>44</v>
      </c>
      <c r="J20" s="79">
        <f>IFERROR(_xlfn.RANK.EQ(INDEX(スコア表[],MATCH($C20,スコア表['#],0),MATCH(J$5,スコア表[#Headers],0)),スコア表[03],0),"-")</f>
        <v>2</v>
      </c>
      <c r="K20" s="79">
        <f>IFERROR(_xlfn.RANK.EQ(INDEX(スコア表[],MATCH($C20,スコア表['#],0),MATCH(K$5,スコア表[#Headers],0)),スコア表[04],0),"-")</f>
        <v>39</v>
      </c>
      <c r="L20" s="79">
        <f>IFERROR(_xlfn.RANK.EQ(INDEX(スコア表[],MATCH($C20,スコア表['#],0),MATCH(L$5,スコア表[#Headers],0)),スコア表[05],0),"-")</f>
        <v>27</v>
      </c>
      <c r="M20" s="79">
        <f>IFERROR(_xlfn.RANK.EQ(INDEX(スコア表[],MATCH($C20,スコア表['#],0),MATCH(M$5,スコア表[#Headers],0)),スコア表[06],0),"-")</f>
        <v>33</v>
      </c>
      <c r="N20" s="79">
        <f>IFERROR(_xlfn.RANK.EQ(INDEX(スコア表[],MATCH($C20,スコア表['#],0),MATCH(N$5,スコア表[#Headers],0)),スコア表[07],0),"-")</f>
        <v>6</v>
      </c>
      <c r="O20" s="79">
        <f>IFERROR(_xlfn.RANK.EQ(INDEX(スコア表[],MATCH($C20,スコア表['#],0),MATCH(O$5,スコア表[#Headers],0)),スコア表[08],0),"-")</f>
        <v>46</v>
      </c>
      <c r="P20" s="79">
        <f>IFERROR(_xlfn.RANK.EQ(INDEX(スコア表[],MATCH($C20,スコア表['#],0),MATCH(P$5,スコア表[#Headers],0)),スコア表[09],0),"-")</f>
        <v>42</v>
      </c>
      <c r="Q20" s="79">
        <f>IFERROR(_xlfn.RANK.EQ(INDEX(スコア表[],MATCH($C20,スコア表['#],0),MATCH(Q$5,スコア表[#Headers],0)),スコア表[10],0),"-")</f>
        <v>46</v>
      </c>
      <c r="R20" s="79">
        <f>IFERROR(_xlfn.RANK.EQ(INDEX(スコア表[],MATCH($C20,スコア表['#],0),MATCH(R$5,スコア表[#Headers],0)),スコア表[11],0),"-")</f>
        <v>47</v>
      </c>
      <c r="S20" s="79">
        <f>IFERROR(_xlfn.RANK.EQ(INDEX(スコア表[],MATCH($C20,スコア表['#],0),MATCH(S$5,スコア表[#Headers],0)),スコア表[12],0),"-")</f>
        <v>7</v>
      </c>
      <c r="T20" s="79">
        <f>IFERROR(_xlfn.RANK.EQ(INDEX(スコア表[],MATCH($C20,スコア表['#],0),MATCH(T$5,スコア表[#Headers],0)),スコア表[13],0),"-")</f>
        <v>43</v>
      </c>
      <c r="U20" s="79">
        <f>IFERROR(_xlfn.RANK.EQ(INDEX(スコア表[],MATCH($C20,スコア表['#],0),MATCH(U$5,スコア表[#Headers],0)),スコア表[14],0),"-")</f>
        <v>13</v>
      </c>
      <c r="V20" s="79">
        <f>IFERROR(_xlfn.RANK.EQ(INDEX(スコア表[],MATCH($C20,スコア表['#],0),MATCH(V$5,スコア表[#Headers],0)),スコア表[15],0),"-")</f>
        <v>34</v>
      </c>
      <c r="W20" s="79">
        <f>IFERROR(_xlfn.RANK.EQ(INDEX(スコア表[],MATCH($C20,スコア表['#],0),MATCH(W$5,スコア表[#Headers],0)),スコア表[16],0),"-")</f>
        <v>31</v>
      </c>
      <c r="X20" s="79">
        <f>IFERROR(_xlfn.RANK.EQ(INDEX(スコア表[],MATCH($C20,スコア表['#],0),MATCH(X$5,スコア表[#Headers],0)),スコア表[17],0),"-")</f>
        <v>35</v>
      </c>
      <c r="Y20" s="79">
        <f>IFERROR(_xlfn.RANK.EQ(INDEX(スコア表[],MATCH($C20,スコア表['#],0),MATCH(Y$5,スコア表[#Headers],0)),スコア表[18],0),"-")</f>
        <v>38</v>
      </c>
      <c r="Z20" s="79">
        <f>IFERROR(_xlfn.RANK.EQ(INDEX(スコア表[],MATCH($C20,スコア表['#],0),MATCH(Z$5,スコア表[#Headers],0)),スコア表[19],0),"-")</f>
        <v>28</v>
      </c>
      <c r="AA20" s="79">
        <f>IFERROR(_xlfn.RANK.EQ(INDEX(スコア表[],MATCH($C20,スコア表['#],0),MATCH(AA$5,スコア表[#Headers],0)),スコア表[20],0),"-")</f>
        <v>23</v>
      </c>
      <c r="AB20" s="79">
        <f>IFERROR(_xlfn.RANK.EQ(INDEX(スコア表[],MATCH($C20,スコア表['#],0),MATCH(AB$5,スコア表[#Headers],0)),スコア表[21],0),"-")</f>
        <v>23</v>
      </c>
      <c r="AC20" s="79">
        <f>IFERROR(_xlfn.RANK.EQ(INDEX(スコア表[],MATCH($C20,スコア表['#],0),MATCH(AC$5,スコア表[#Headers],0)),スコア表[22],0),"-")</f>
        <v>35</v>
      </c>
      <c r="AD20" s="79">
        <f>IFERROR(_xlfn.RANK.EQ(INDEX(スコア表[],MATCH($C20,スコア表['#],0),MATCH(AD$5,スコア表[#Headers],0)),スコア表[23],0),"-")</f>
        <v>33</v>
      </c>
      <c r="AE20" s="79">
        <f>IFERROR(_xlfn.RANK.EQ(INDEX(スコア表[],MATCH($C20,スコア表['#],0),MATCH(AE$5,スコア表[#Headers],0)),スコア表[24],0),"-")</f>
        <v>20</v>
      </c>
      <c r="AF20" s="79">
        <f>IFERROR(_xlfn.RANK.EQ(INDEX(スコア表[],MATCH($C20,スコア表['#],0),MATCH(AF$5,スコア表[#Headers],0)),スコア表[25],0),"-")</f>
        <v>26</v>
      </c>
      <c r="AG20" s="79">
        <f>IFERROR(_xlfn.RANK.EQ(INDEX(スコア表[],MATCH($C20,スコア表['#],0),MATCH(AG$5,スコア表[#Headers],0)),スコア表[26],0),"-")</f>
        <v>4</v>
      </c>
      <c r="AH20" s="79">
        <f>IFERROR(_xlfn.RANK.EQ(INDEX(スコア表[],MATCH($C20,スコア表['#],0),MATCH(AH$5,スコア表[#Headers],0)),スコア表[27],0),"-")</f>
        <v>24</v>
      </c>
      <c r="AI20" s="79">
        <f>IFERROR(_xlfn.RANK.EQ(INDEX(スコア表[],MATCH($C20,スコア表['#],0),MATCH(AI$5,スコア表[#Headers],0)),スコア表[28],0),"-")</f>
        <v>13</v>
      </c>
      <c r="AJ20" s="79">
        <f>IFERROR(_xlfn.RANK.EQ(INDEX(スコア表[],MATCH($C20,スコア表['#],0),MATCH(AJ$5,スコア表[#Headers],0)),スコア表[29],0),"-")</f>
        <v>13</v>
      </c>
      <c r="AK20" s="79">
        <f>IFERROR(_xlfn.RANK.EQ(INDEX(スコア表[],MATCH($C20,スコア表['#],0),MATCH(AK$5,スコア表[#Headers],0)),スコア表[30],0),"-")</f>
        <v>27</v>
      </c>
      <c r="AL20" s="79">
        <f>IFERROR(_xlfn.RANK.EQ(INDEX(スコア表[],MATCH($C20,スコア表['#],0),MATCH(AL$5,スコア表[#Headers],0)),スコア表[31],0),"-")</f>
        <v>10</v>
      </c>
      <c r="AM20" s="79">
        <f>IFERROR(_xlfn.RANK.EQ(INDEX(スコア表[],MATCH($C20,スコア表['#],0),MATCH(AM$5,スコア表[#Headers],0)),スコア表[32],0),"-")</f>
        <v>7</v>
      </c>
      <c r="AN20" s="79">
        <f>IFERROR(_xlfn.RANK.EQ(INDEX(スコア表[],MATCH($C20,スコア表['#],0),MATCH(AN$5,スコア表[#Headers],0)),スコア表[33],0),"-")</f>
        <v>6</v>
      </c>
      <c r="AO20" s="79">
        <f>IFERROR(_xlfn.RANK.EQ(INDEX(スコア表[],MATCH($C20,スコア表['#],0),MATCH(AO$5,スコア表[#Headers],0)),スコア表[34],0),"-")</f>
        <v>3</v>
      </c>
      <c r="AP20" s="79">
        <f>IFERROR(_xlfn.RANK.EQ(INDEX(スコア表[],MATCH($C20,スコア表['#],0),MATCH(AP$5,スコア表[#Headers],0)),スコア表[35],0),"-")</f>
        <v>18</v>
      </c>
      <c r="AQ20" s="79">
        <f>IFERROR(_xlfn.RANK.EQ(INDEX(スコア表[],MATCH($C20,スコア表['#],0),MATCH(AQ$5,スコア表[#Headers],0)),スコア表[36],0),"-")</f>
        <v>9</v>
      </c>
      <c r="AR20" s="79">
        <f>IFERROR(_xlfn.RANK.EQ(INDEX(スコア表[],MATCH($C20,スコア表['#],0),MATCH(AR$5,スコア表[#Headers],0)),スコア表[37],0),"-")</f>
        <v>2</v>
      </c>
      <c r="AS20" s="79">
        <f>IFERROR(_xlfn.RANK.EQ(INDEX(スコア表[],MATCH($C20,スコア表['#],0),MATCH(AS$5,スコア表[#Headers],0)),スコア表[38],0),"-")</f>
        <v>42</v>
      </c>
      <c r="AT20" s="79">
        <f>IFERROR(_xlfn.RANK.EQ(INDEX(スコア表[],MATCH($C20,スコア表['#],0),MATCH(AT$5,スコア表[#Headers],0)),スコア表[39],0),"-")</f>
        <v>46</v>
      </c>
      <c r="AU20" s="79">
        <f>IFERROR(_xlfn.RANK.EQ(INDEX(スコア表[],MATCH($C20,スコア表['#],0),MATCH(AU$5,スコア表[#Headers],0)),スコア表[40],0),"-")</f>
        <v>44</v>
      </c>
      <c r="AV20" s="79">
        <f>IFERROR(_xlfn.RANK.EQ(INDEX(スコア表[],MATCH($C20,スコア表['#],0),MATCH(AV$5,スコア表[#Headers],0)),スコア表[41],0),"-")</f>
        <v>28</v>
      </c>
      <c r="AW20" s="79">
        <f>IFERROR(_xlfn.RANK.EQ(INDEX(スコア表[],MATCH($C20,スコア表['#],0),MATCH(AW$5,スコア表[#Headers],0)),スコア表[42],0),"-")</f>
        <v>9</v>
      </c>
      <c r="AX20" s="79">
        <f>IFERROR(_xlfn.RANK.EQ(INDEX(スコア表[],MATCH($C20,スコア表['#],0),MATCH(AX$5,スコア表[#Headers],0)),スコア表[43],0),"-")</f>
        <v>35</v>
      </c>
      <c r="AY20" s="79">
        <f>IFERROR(_xlfn.RANK.EQ(INDEX(スコア表[],MATCH($C20,スコア表['#],0),MATCH(AY$5,スコア表[#Headers],0)),スコア表[44],0),"-")</f>
        <v>45</v>
      </c>
      <c r="AZ20" s="79">
        <f>IFERROR(_xlfn.RANK.EQ(INDEX(スコア表[],MATCH($C20,スコア表['#],0),MATCH(AZ$5,スコア表[#Headers],0)),スコア表[45],0),"-")</f>
        <v>29</v>
      </c>
      <c r="BA20" s="79">
        <f>IFERROR(_xlfn.RANK.EQ(INDEX(スコア表[],MATCH($C20,スコア表['#],0),MATCH(BA$5,スコア表[#Headers],0)),スコア表[46],0),"-")</f>
        <v>45</v>
      </c>
      <c r="BB20" s="79">
        <f>IFERROR(_xlfn.RANK.EQ(INDEX(スコア表[],MATCH($C20,スコア表['#],0),MATCH(BB$5,スコア表[#Headers],0)),スコア表[47],0),"-")</f>
        <v>1</v>
      </c>
      <c r="BC20" s="79">
        <f>IFERROR(_xlfn.RANK.EQ(INDEX(スコア表[],MATCH($C20,スコア表['#],0),MATCH(BC$5,スコア表[#Headers],0)),スコア表[48],0),"-")</f>
        <v>43</v>
      </c>
      <c r="BD20" s="79">
        <f>IFERROR(_xlfn.RANK.EQ(INDEX(スコア表[],MATCH($C20,スコア表['#],0),MATCH(BD$5,スコア表[#Headers],0)),スコア表[49],0),"-")</f>
        <v>41</v>
      </c>
      <c r="BE20" s="79">
        <f>IFERROR(_xlfn.RANK.EQ(INDEX(スコア表[],MATCH($C20,スコア表['#],0),MATCH(BE$5,スコア表[#Headers],0)),スコア表[50],0),"-")</f>
        <v>2</v>
      </c>
      <c r="BF20" s="79">
        <f>IFERROR(_xlfn.RANK.EQ(INDEX(スコア表[],MATCH($C20,スコア表['#],0),MATCH(BF$5,スコア表[#Headers],0)),スコア表[51],0),"-")</f>
        <v>16</v>
      </c>
      <c r="BG20" s="79">
        <f>IFERROR(_xlfn.RANK.EQ(INDEX(スコア表[],MATCH($C20,スコア表['#],0),MATCH(BG$5,スコア表[#Headers],0)),スコア表[52],0),"-")</f>
        <v>9</v>
      </c>
      <c r="BH20" s="79">
        <f>IFERROR(_xlfn.RANK.EQ(INDEX(スコア表[],MATCH($C20,スコア表['#],0),MATCH(BH$5,スコア表[#Headers],0)),スコア表[53],0),"-")</f>
        <v>18</v>
      </c>
      <c r="BI20" s="79">
        <f>IFERROR(_xlfn.RANK.EQ(INDEX(スコア表[],MATCH($C20,スコア表['#],0),MATCH(BI$5,スコア表[#Headers],0)),スコア表[54],0),"-")</f>
        <v>41</v>
      </c>
      <c r="BJ20" s="79">
        <f>IFERROR(_xlfn.RANK.EQ(INDEX(スコア表[],MATCH($C20,スコア表['#],0),MATCH(BJ$5,スコア表[#Headers],0)),スコア表[55],0),"-")</f>
        <v>14</v>
      </c>
      <c r="BK20" s="79">
        <f>IFERROR(_xlfn.RANK.EQ(INDEX(スコア表[],MATCH($C20,スコア表['#],0),MATCH(BK$5,スコア表[#Headers],0)),スコア表[56],0),"-")</f>
        <v>36</v>
      </c>
      <c r="BL20" s="79">
        <f>IFERROR(_xlfn.RANK.EQ(INDEX(スコア表[],MATCH($C20,スコア表['#],0),MATCH(BL$5,スコア表[#Headers],0)),スコア表[57],0),"-")</f>
        <v>10</v>
      </c>
      <c r="BM20" s="79">
        <f>IFERROR(_xlfn.RANK.EQ(INDEX(スコア表[],MATCH($C20,スコア表['#],0),MATCH(BM$5,スコア表[#Headers],0)),スコア表[58],0),"-")</f>
        <v>37</v>
      </c>
      <c r="BN20" s="79">
        <f>IFERROR(_xlfn.RANK.EQ(INDEX(スコア表[],MATCH($C20,スコア表['#],0),MATCH(BN$5,スコア表[#Headers],0)),スコア表[59],0),"-")</f>
        <v>32</v>
      </c>
      <c r="BO20" s="79">
        <f>IFERROR(_xlfn.RANK.EQ(INDEX(スコア表[],MATCH($C20,スコア表['#],0),MATCH(BO$5,スコア表[#Headers],0)),スコア表[60],0),"-")</f>
        <v>39</v>
      </c>
      <c r="BP20" s="79">
        <f>IFERROR(_xlfn.RANK.EQ(INDEX(スコア表[],MATCH($C20,スコア表['#],0),MATCH(BP$5,スコア表[#Headers],0)),スコア表[61],0),"-")</f>
        <v>6</v>
      </c>
      <c r="BQ20" s="79">
        <f>IFERROR(_xlfn.RANK.EQ(INDEX(スコア表[],MATCH($C20,スコア表['#],0),MATCH(BQ$5,スコア表[#Headers],0)),スコア表[62],0),"-")</f>
        <v>16</v>
      </c>
      <c r="BR20" s="79">
        <f>IFERROR(_xlfn.RANK.EQ(INDEX(スコア表[],MATCH($C20,スコア表['#],0),MATCH(BR$5,スコア表[#Headers],0)),スコア表[63],0),"-")</f>
        <v>3</v>
      </c>
      <c r="BS20" s="79">
        <f>IFERROR(_xlfn.RANK.EQ(INDEX(スコア表[],MATCH($C20,スコア表['#],0),MATCH(BS$5,スコア表[#Headers],0)),スコア表[64],0),"-")</f>
        <v>4</v>
      </c>
      <c r="BT20" s="79">
        <f>IFERROR(_xlfn.RANK.EQ(INDEX(スコア表[],MATCH($C20,スコア表['#],0),MATCH(BT$5,スコア表[#Headers],0)),スコア表[65],0),"-")</f>
        <v>25</v>
      </c>
      <c r="BU20" s="79">
        <f>IFERROR(_xlfn.RANK.EQ(INDEX(スコア表[],MATCH($C20,スコア表['#],0),MATCH(BU$5,スコア表[#Headers],0)),スコア表[66],0),"-")</f>
        <v>28</v>
      </c>
      <c r="BV20" s="79">
        <f>IFERROR(_xlfn.RANK.EQ(INDEX(スコア表[],MATCH($C20,スコア表['#],0),MATCH(BV$5,スコア表[#Headers],0)),スコア表[67],0),"-")</f>
        <v>43</v>
      </c>
      <c r="BW20" s="79">
        <f>IFERROR(_xlfn.RANK.EQ(INDEX(スコア表[],MATCH($C20,スコア表['#],0),MATCH(BW$5,スコア表[#Headers],0)),スコア表[68],0),"-")</f>
        <v>44</v>
      </c>
      <c r="BX20" s="79">
        <f>IFERROR(_xlfn.RANK.EQ(INDEX(スコア表[],MATCH($C20,スコア表['#],0),MATCH(BX$5,スコア表[#Headers],0)),スコア表[69],0),"-")</f>
        <v>21</v>
      </c>
      <c r="BY20" s="79">
        <f>IFERROR(_xlfn.RANK.EQ(INDEX(スコア表[],MATCH($C20,スコア表['#],0),MATCH(BY$5,スコア表[#Headers],0)),スコア表[70],0),"-")</f>
        <v>11</v>
      </c>
      <c r="BZ20" s="79">
        <f>IFERROR(_xlfn.RANK.EQ(INDEX(スコア表[],MATCH($C20,スコア表['#],0),MATCH(BZ$5,スコア表[#Headers],0)),スコア表[Ec1],0),"-")</f>
        <v>33</v>
      </c>
      <c r="CA20" s="79">
        <f>IFERROR(_xlfn.RANK.EQ(INDEX(スコア表[],MATCH($C20,スコア表['#],0),MATCH(CA$5,スコア表[#Headers],0)),スコア表[Ec2],0),"-")</f>
        <v>14</v>
      </c>
      <c r="CB20" s="79">
        <f>IFERROR(_xlfn.RANK.EQ(INDEX(スコア表[],MATCH($C20,スコア表['#],0),MATCH(CB$5,スコア表[#Headers],0)),スコア表[Ec3],0),"-")</f>
        <v>33</v>
      </c>
      <c r="CC20" s="79">
        <f>IFERROR(_xlfn.RANK.EQ(INDEX(スコア表[],MATCH($C20,スコア表['#],0),MATCH(CC$5,スコア表[#Headers],0)),スコア表[Ec4],0),"-")</f>
        <v>37</v>
      </c>
      <c r="CD20" s="79">
        <f>IFERROR(_xlfn.RANK.EQ(INDEX(スコア表[],MATCH($C20,スコア表['#],0),MATCH(CD$5,スコア表[#Headers],0)),スコア表[Ec5],0),"-")</f>
        <v>47</v>
      </c>
      <c r="CE20" s="79">
        <f>IFERROR(_xlfn.RANK.EQ(INDEX(スコア表[],MATCH($C20,スコア表['#],0),MATCH(CE$5,スコア表[#Headers],0)),スコア表[Ec6],0),"-")</f>
        <v>39</v>
      </c>
      <c r="CF20" s="79">
        <f>IFERROR(_xlfn.RANK.EQ(INDEX(スコア表[],MATCH($C20,スコア表['#],0),MATCH(CF$5,スコア表[#Headers],0)),スコア表[RD1],0),"-")</f>
        <v>25</v>
      </c>
      <c r="CG20" s="79">
        <f>IFERROR(_xlfn.RANK.EQ(INDEX(スコア表[],MATCH($C20,スコア表['#],0),MATCH(CG$5,スコア表[#Headers],0)),スコア表[RD2],0),"-")</f>
        <v>38</v>
      </c>
      <c r="CH20" s="79">
        <f>IFERROR(_xlfn.RANK.EQ(INDEX(スコア表[],MATCH($C20,スコア表['#],0),MATCH(CH$5,スコア表[#Headers],0)),スコア表[RD3],0),"-")</f>
        <v>35</v>
      </c>
      <c r="CI20" s="79">
        <f>IFERROR(_xlfn.RANK.EQ(INDEX(スコア表[],MATCH($C20,スコア表['#],0),MATCH(CI$5,スコア表[#Headers],0)),スコア表[CI1],0),"-")</f>
        <v>34</v>
      </c>
      <c r="CJ20" s="79">
        <f>IFERROR(_xlfn.RANK.EQ(INDEX(スコア表[],MATCH($C20,スコア表['#],0),MATCH(CJ$5,スコア表[#Headers],0)),スコア表[CI2],0),"-")</f>
        <v>11</v>
      </c>
      <c r="CK20" s="79">
        <f>IFERROR(_xlfn.RANK.EQ(INDEX(スコア表[],MATCH($C20,スコア表['#],0),MATCH(CK$5,スコア表[#Headers],0)),スコア表[CI3],0),"-")</f>
        <v>15</v>
      </c>
      <c r="CL20" s="79">
        <f>IFERROR(_xlfn.RANK.EQ(INDEX(スコア表[],MATCH($C20,スコア表['#],0),MATCH(CL$5,スコア表[#Headers],0)),スコア表[CI4],0),"-")</f>
        <v>7</v>
      </c>
      <c r="CM20" s="79">
        <f>IFERROR(_xlfn.RANK.EQ(INDEX(スコア表[],MATCH($C20,スコア表['#],0),MATCH(CM$5,スコア表[#Headers],0)),スコア表[CI5],0),"-")</f>
        <v>3</v>
      </c>
      <c r="CN20" s="79">
        <f>IFERROR(_xlfn.RANK.EQ(INDEX(スコア表[],MATCH($C20,スコア表['#],0),MATCH(CN$5,スコア表[#Headers],0)),スコア表[Li1],0),"-")</f>
        <v>48</v>
      </c>
      <c r="CO20" s="79">
        <f>IFERROR(_xlfn.RANK.EQ(INDEX(スコア表[],MATCH($C20,スコア表['#],0),MATCH(CO$5,スコア表[#Headers],0)),スコア表[Li2],0),"-")</f>
        <v>22</v>
      </c>
      <c r="CP20" s="79">
        <f>IFERROR(_xlfn.RANK.EQ(INDEX(スコア表[],MATCH($C20,スコア表['#],0),MATCH(CP$5,スコア表[#Headers],0)),スコア表[Li3],0),"-")</f>
        <v>40</v>
      </c>
      <c r="CQ20" s="79">
        <f>IFERROR(_xlfn.RANK.EQ(INDEX(スコア表[],MATCH($C20,スコア表['#],0),MATCH(CQ$5,スコア表[#Headers],0)),スコア表[Li4],0),"-")</f>
        <v>33</v>
      </c>
      <c r="CR20" s="79">
        <f>IFERROR(_xlfn.RANK.EQ(INDEX(スコア表[],MATCH($C20,スコア表['#],0),MATCH(CR$5,スコア表[#Headers],0)),スコア表[Li5],0),"-")</f>
        <v>32</v>
      </c>
      <c r="CS20" s="79">
        <f>IFERROR(_xlfn.RANK.EQ(INDEX(スコア表[],MATCH($C20,スコア表['#],0),MATCH(CS$5,スコア表[#Headers],0)),スコア表[En1],0),"-")</f>
        <v>24</v>
      </c>
      <c r="CT20" s="79">
        <f>IFERROR(_xlfn.RANK.EQ(INDEX(スコア表[],MATCH($C20,スコア表['#],0),MATCH(CT$5,スコア表[#Headers],0)),スコア表[En2],0),"-")</f>
        <v>20</v>
      </c>
      <c r="CU20" s="79">
        <f>IFERROR(_xlfn.RANK.EQ(INDEX(スコア表[],MATCH($C20,スコア表['#],0),MATCH(CU$5,スコア表[#Headers],0)),スコア表[En3],0),"-")</f>
        <v>38</v>
      </c>
      <c r="CV20" s="79">
        <f>IFERROR(_xlfn.RANK.EQ(INDEX(スコア表[],MATCH($C20,スコア表['#],0),MATCH(CV$5,スコア表[#Headers],0)),スコア表[Ac1],0),"-")</f>
        <v>9</v>
      </c>
      <c r="CW20" s="79">
        <f>IFERROR(_xlfn.RANK.EQ(INDEX(スコア表[],MATCH($C20,スコア表['#],0),MATCH(CW$5,スコア表[#Headers],0)),スコア表[Ac2],0),"-")</f>
        <v>3</v>
      </c>
      <c r="CX20" s="79">
        <f>IFERROR(_xlfn.RANK.EQ(INDEX(スコア表[],MATCH($C20,スコア表['#],0),MATCH(CX$5,スコア表[#Headers],0)),スコア表[Ac3],0),"-")</f>
        <v>41</v>
      </c>
      <c r="CY20" s="79">
        <f>IFERROR(_xlfn.RANK.EQ(INDEX(スコア表[],MATCH($C20,スコア表['#],0),MATCH(CY$5,スコア表[#Headers],0)),スコア表[Ac4],0),"-")</f>
        <v>36</v>
      </c>
      <c r="CZ20" s="79">
        <f>IFERROR(_xlfn.RANK.EQ(INDEX(スコア表[],MATCH($C20,スコア表['#],0),MATCH(CZ$5,スコア表[#Headers],0)),スコア表[Economy],0),"-")</f>
        <v>39</v>
      </c>
      <c r="DA20" s="79">
        <f>IFERROR(_xlfn.RANK.EQ(INDEX(スコア表[],MATCH($C20,スコア表['#],0),MATCH(DA$5,スコア表[#Headers],0)),スコア表[R&amp;D],0),"-")</f>
        <v>30</v>
      </c>
      <c r="DB20" s="79">
        <f>IFERROR(_xlfn.RANK.EQ(INDEX(スコア表[],MATCH($C20,スコア表['#],0),MATCH(DB$5,スコア表[#Headers],0)),スコア表[Cultural Interaction],0),"-")</f>
        <v>6</v>
      </c>
      <c r="DC20" s="79">
        <f>IFERROR(_xlfn.RANK.EQ(INDEX(スコア表[],MATCH($C20,スコア表['#],0),MATCH(DC$5,スコア表[#Headers],0)),スコア表[Livability],0),"-")</f>
        <v>42</v>
      </c>
      <c r="DD20" s="79">
        <f>IFERROR(_xlfn.RANK.EQ(INDEX(スコア表[],MATCH($C20,スコア表['#],0),MATCH(DD$5,スコア表[#Headers],0)),スコア表[Environment],0),"-")</f>
        <v>30</v>
      </c>
      <c r="DE20" s="79">
        <f>IFERROR(_xlfn.RANK.EQ(INDEX(スコア表[],MATCH($C20,スコア表['#],0),MATCH(DE$5,スコア表[#Headers],0)),スコア表[Accessibility],0),"-")</f>
        <v>12</v>
      </c>
      <c r="DF20" s="81">
        <f>IFERROR(_xlfn.RANK.EQ(INDEX(スコア表[],MATCH($C20,スコア表['#],0),MATCH(DF$5,スコア表[#Headers],0)),スコア表[Comprehensive],0),"-")</f>
        <v>30</v>
      </c>
    </row>
    <row r="21" spans="1:110">
      <c r="A21" s="2">
        <v>16</v>
      </c>
      <c r="B21" s="58">
        <f>INDEX(順位表[Comprehensive],MATCH($C21,順位表['#],0))</f>
        <v>47</v>
      </c>
      <c r="C21" s="3">
        <v>16</v>
      </c>
      <c r="D21" s="1" t="str">
        <f>INDEX(都市マスタ[City Name],MATCH($C21,都市マスタ['#],0))</f>
        <v>Cairo</v>
      </c>
      <c r="E21" s="79">
        <f>IFERROR(_xlfn.RANK.EQ(INDEX(スコア表[],MATCH($C21,スコア表['#],0),MATCH(E$5,スコア表[#Headers],0)),スコア表[00a],0),"-")</f>
        <v>8</v>
      </c>
      <c r="F21" s="79">
        <f>IFERROR(_xlfn.RANK.EQ(INDEX(スコア表[],MATCH($C21,スコア表['#],0),MATCH(F$5,スコア表[#Headers],0)),スコア表[00b],0),"-")</f>
        <v>7</v>
      </c>
      <c r="G21" s="79">
        <f>IFERROR(_xlfn.RANK.EQ(INDEX(スコア表[],MATCH($C21,スコア表['#],0),MATCH(G$5,スコア表[#Headers],0)),スコア表[00c],0),"-")</f>
        <v>12</v>
      </c>
      <c r="H21" s="79">
        <f>IFERROR(_xlfn.RANK.EQ(INDEX(スコア表[],MATCH($C21,スコア表['#],0),MATCH(H$5,スコア表[#Headers],0)),スコア表[01],0),"-")</f>
        <v>45</v>
      </c>
      <c r="I21" s="79">
        <f>IFERROR(_xlfn.RANK.EQ(INDEX(スコア表[],MATCH($C21,スコア表['#],0),MATCH(I$5,スコア表[#Headers],0)),スコア表[02],0),"-")</f>
        <v>47</v>
      </c>
      <c r="J21" s="79">
        <f>IFERROR(_xlfn.RANK.EQ(INDEX(スコア表[],MATCH($C21,スコア表['#],0),MATCH(J$5,スコア表[#Headers],0)),スコア表[03],0),"-")</f>
        <v>6</v>
      </c>
      <c r="K21" s="79">
        <f>IFERROR(_xlfn.RANK.EQ(INDEX(スコア表[],MATCH($C21,スコア表['#],0),MATCH(K$5,スコア表[#Headers],0)),スコア表[04],0),"-")</f>
        <v>45</v>
      </c>
      <c r="L21" s="79">
        <f>IFERROR(_xlfn.RANK.EQ(INDEX(スコア表[],MATCH($C21,スコア表['#],0),MATCH(L$5,スコア表[#Headers],0)),スコア表[05],0),"-")</f>
        <v>35</v>
      </c>
      <c r="M21" s="79">
        <f>IFERROR(_xlfn.RANK.EQ(INDEX(スコア表[],MATCH($C21,スコア表['#],0),MATCH(M$5,スコア表[#Headers],0)),スコア表[06],0),"-")</f>
        <v>35</v>
      </c>
      <c r="N21" s="79">
        <f>IFERROR(_xlfn.RANK.EQ(INDEX(スコア表[],MATCH($C21,スコア表['#],0),MATCH(N$5,スコア表[#Headers],0)),スコア表[07],0),"-")</f>
        <v>16</v>
      </c>
      <c r="O21" s="79">
        <f>IFERROR(_xlfn.RANK.EQ(INDEX(スコア表[],MATCH($C21,スコア表['#],0),MATCH(O$5,スコア表[#Headers],0)),スコア表[08],0),"-")</f>
        <v>45</v>
      </c>
      <c r="P21" s="79">
        <f>IFERROR(_xlfn.RANK.EQ(INDEX(スコア表[],MATCH($C21,スコア表['#],0),MATCH(P$5,スコア表[#Headers],0)),スコア表[09],0),"-")</f>
        <v>48</v>
      </c>
      <c r="Q21" s="79">
        <f>IFERROR(_xlfn.RANK.EQ(INDEX(スコア表[],MATCH($C21,スコア表['#],0),MATCH(Q$5,スコア表[#Headers],0)),スコア表[10],0),"-")</f>
        <v>48</v>
      </c>
      <c r="R21" s="79">
        <f>IFERROR(_xlfn.RANK.EQ(INDEX(スコア表[],MATCH($C21,スコア表['#],0),MATCH(R$5,スコア表[#Headers],0)),スコア表[11],0),"-")</f>
        <v>48</v>
      </c>
      <c r="S21" s="79">
        <f>IFERROR(_xlfn.RANK.EQ(INDEX(スコア表[],MATCH($C21,スコア表['#],0),MATCH(S$5,スコア表[#Headers],0)),スコア表[12],0),"-")</f>
        <v>15</v>
      </c>
      <c r="T21" s="79">
        <f>IFERROR(_xlfn.RANK.EQ(INDEX(スコア表[],MATCH($C21,スコア表['#],0),MATCH(T$5,スコア表[#Headers],0)),スコア表[13],0),"-")</f>
        <v>47</v>
      </c>
      <c r="U21" s="79">
        <f>IFERROR(_xlfn.RANK.EQ(INDEX(スコア表[],MATCH($C21,スコア表['#],0),MATCH(U$5,スコア表[#Headers],0)),スコア表[14],0),"-")</f>
        <v>32</v>
      </c>
      <c r="V21" s="79">
        <f>IFERROR(_xlfn.RANK.EQ(INDEX(スコア表[],MATCH($C21,スコア表['#],0),MATCH(V$5,スコア表[#Headers],0)),スコア表[15],0),"-")</f>
        <v>35</v>
      </c>
      <c r="W21" s="79">
        <f>IFERROR(_xlfn.RANK.EQ(INDEX(スコア表[],MATCH($C21,スコア表['#],0),MATCH(W$5,スコア表[#Headers],0)),スコア表[16],0),"-")</f>
        <v>42</v>
      </c>
      <c r="X21" s="79">
        <f>IFERROR(_xlfn.RANK.EQ(INDEX(スコア表[],MATCH($C21,スコア表['#],0),MATCH(X$5,スコア表[#Headers],0)),スコア表[17],0),"-")</f>
        <v>7</v>
      </c>
      <c r="Y21" s="79">
        <f>IFERROR(_xlfn.RANK.EQ(INDEX(スコア表[],MATCH($C21,スコア表['#],0),MATCH(Y$5,スコア表[#Headers],0)),スコア表[18],0),"-")</f>
        <v>46</v>
      </c>
      <c r="Z21" s="79">
        <f>IFERROR(_xlfn.RANK.EQ(INDEX(スコア表[],MATCH($C21,スコア表['#],0),MATCH(Z$5,スコア表[#Headers],0)),スコア表[19],0),"-")</f>
        <v>46</v>
      </c>
      <c r="AA21" s="79">
        <f>IFERROR(_xlfn.RANK.EQ(INDEX(スコア表[],MATCH($C21,スコア表['#],0),MATCH(AA$5,スコア表[#Headers],0)),スコア表[20],0),"-")</f>
        <v>23</v>
      </c>
      <c r="AB21" s="79">
        <f>IFERROR(_xlfn.RANK.EQ(INDEX(スコア表[],MATCH($C21,スコア表['#],0),MATCH(AB$5,スコア表[#Headers],0)),スコア表[21],0),"-")</f>
        <v>30</v>
      </c>
      <c r="AC21" s="79">
        <f>IFERROR(_xlfn.RANK.EQ(INDEX(スコア表[],MATCH($C21,スコア表['#],0),MATCH(AC$5,スコア表[#Headers],0)),スコア表[22],0),"-")</f>
        <v>47</v>
      </c>
      <c r="AD21" s="79">
        <f>IFERROR(_xlfn.RANK.EQ(INDEX(スコア表[],MATCH($C21,スコア表['#],0),MATCH(AD$5,スコア表[#Headers],0)),スコア表[23],0),"-")</f>
        <v>39</v>
      </c>
      <c r="AE21" s="79">
        <f>IFERROR(_xlfn.RANK.EQ(INDEX(スコア表[],MATCH($C21,スコア表['#],0),MATCH(AE$5,スコア表[#Headers],0)),スコア表[24],0),"-")</f>
        <v>48</v>
      </c>
      <c r="AF21" s="79">
        <f>IFERROR(_xlfn.RANK.EQ(INDEX(スコア表[],MATCH($C21,スコア表['#],0),MATCH(AF$5,スコア表[#Headers],0)),スコア表[25],0),"-")</f>
        <v>47</v>
      </c>
      <c r="AG21" s="79">
        <f>IFERROR(_xlfn.RANK.EQ(INDEX(スコア表[],MATCH($C21,スコア表['#],0),MATCH(AG$5,スコア表[#Headers],0)),スコア表[26],0),"-")</f>
        <v>12</v>
      </c>
      <c r="AH21" s="79">
        <f>IFERROR(_xlfn.RANK.EQ(INDEX(スコア表[],MATCH($C21,スコア表['#],0),MATCH(AH$5,スコア表[#Headers],0)),スコア表[27],0),"-")</f>
        <v>18</v>
      </c>
      <c r="AI21" s="79">
        <f>IFERROR(_xlfn.RANK.EQ(INDEX(スコア表[],MATCH($C21,スコア表['#],0),MATCH(AI$5,スコア表[#Headers],0)),スコア表[28],0),"-")</f>
        <v>20</v>
      </c>
      <c r="AJ21" s="79">
        <f>IFERROR(_xlfn.RANK.EQ(INDEX(スコア表[],MATCH($C21,スコア表['#],0),MATCH(AJ$5,スコア表[#Headers],0)),スコア表[29],0),"-")</f>
        <v>47</v>
      </c>
      <c r="AK21" s="79">
        <f>IFERROR(_xlfn.RANK.EQ(INDEX(スコア表[],MATCH($C21,スコア表['#],0),MATCH(AK$5,スコア表[#Headers],0)),スコア表[30],0),"-")</f>
        <v>35</v>
      </c>
      <c r="AL21" s="79">
        <f>IFERROR(_xlfn.RANK.EQ(INDEX(スコア表[],MATCH($C21,スコア表['#],0),MATCH(AL$5,スコア表[#Headers],0)),スコア表[31],0),"-")</f>
        <v>10</v>
      </c>
      <c r="AM21" s="79">
        <f>IFERROR(_xlfn.RANK.EQ(INDEX(スコア表[],MATCH($C21,スコア表['#],0),MATCH(AM$5,スコア表[#Headers],0)),スコア表[32],0),"-")</f>
        <v>41</v>
      </c>
      <c r="AN21" s="79">
        <f>IFERROR(_xlfn.RANK.EQ(INDEX(スコア表[],MATCH($C21,スコア表['#],0),MATCH(AN$5,スコア表[#Headers],0)),スコア表[33],0),"-")</f>
        <v>13</v>
      </c>
      <c r="AO21" s="79">
        <f>IFERROR(_xlfn.RANK.EQ(INDEX(スコア表[],MATCH($C21,スコア表['#],0),MATCH(AO$5,スコア表[#Headers],0)),スコア表[34],0),"-")</f>
        <v>24</v>
      </c>
      <c r="AP21" s="79">
        <f>IFERROR(_xlfn.RANK.EQ(INDEX(スコア表[],MATCH($C21,スコア表['#],0),MATCH(AP$5,スコア表[#Headers],0)),スコア表[35],0),"-")</f>
        <v>40</v>
      </c>
      <c r="AQ21" s="79">
        <f>IFERROR(_xlfn.RANK.EQ(INDEX(スコア表[],MATCH($C21,スコア表['#],0),MATCH(AQ$5,スコア表[#Headers],0)),スコア表[36],0),"-")</f>
        <v>44</v>
      </c>
      <c r="AR21" s="79">
        <f>IFERROR(_xlfn.RANK.EQ(INDEX(スコア表[],MATCH($C21,スコア表['#],0),MATCH(AR$5,スコア表[#Headers],0)),スコア表[37],0),"-")</f>
        <v>29</v>
      </c>
      <c r="AS21" s="79">
        <f>IFERROR(_xlfn.RANK.EQ(INDEX(スコア表[],MATCH($C21,スコア表['#],0),MATCH(AS$5,スコア表[#Headers],0)),スコア表[38],0),"-")</f>
        <v>45</v>
      </c>
      <c r="AT21" s="79">
        <f>IFERROR(_xlfn.RANK.EQ(INDEX(スコア表[],MATCH($C21,スコア表['#],0),MATCH(AT$5,スコア表[#Headers],0)),スコア表[39],0),"-")</f>
        <v>30</v>
      </c>
      <c r="AU21" s="79">
        <f>IFERROR(_xlfn.RANK.EQ(INDEX(スコア表[],MATCH($C21,スコア表['#],0),MATCH(AU$5,スコア表[#Headers],0)),スコア表[40],0),"-")</f>
        <v>48</v>
      </c>
      <c r="AV21" s="79">
        <f>IFERROR(_xlfn.RANK.EQ(INDEX(スコア表[],MATCH($C21,スコア表['#],0),MATCH(AV$5,スコア表[#Headers],0)),スコア表[41],0),"-")</f>
        <v>1</v>
      </c>
      <c r="AW21" s="79">
        <f>IFERROR(_xlfn.RANK.EQ(INDEX(スコア表[],MATCH($C21,スコア表['#],0),MATCH(AW$5,スコア表[#Headers],0)),スコア表[42],0),"-")</f>
        <v>12</v>
      </c>
      <c r="AX21" s="79">
        <f>IFERROR(_xlfn.RANK.EQ(INDEX(スコア表[],MATCH($C21,スコア表['#],0),MATCH(AX$5,スコア表[#Headers],0)),スコア表[43],0),"-")</f>
        <v>22</v>
      </c>
      <c r="AY21" s="79">
        <f>IFERROR(_xlfn.RANK.EQ(INDEX(スコア表[],MATCH($C21,スコア表['#],0),MATCH(AY$5,スコア表[#Headers],0)),スコア表[44],0),"-")</f>
        <v>35</v>
      </c>
      <c r="AZ21" s="79">
        <f>IFERROR(_xlfn.RANK.EQ(INDEX(スコア表[],MATCH($C21,スコア表['#],0),MATCH(AZ$5,スコア表[#Headers],0)),スコア表[45],0),"-")</f>
        <v>45</v>
      </c>
      <c r="BA21" s="79">
        <f>IFERROR(_xlfn.RANK.EQ(INDEX(スコア表[],MATCH($C21,スコア表['#],0),MATCH(BA$5,スコア表[#Headers],0)),スコア表[46],0),"-")</f>
        <v>48</v>
      </c>
      <c r="BB21" s="79">
        <f>IFERROR(_xlfn.RANK.EQ(INDEX(スコア表[],MATCH($C21,スコア表['#],0),MATCH(BB$5,スコア表[#Headers],0)),スコア表[47],0),"-")</f>
        <v>2</v>
      </c>
      <c r="BC21" s="79">
        <f>IFERROR(_xlfn.RANK.EQ(INDEX(スコア表[],MATCH($C21,スコア表['#],0),MATCH(BC$5,スコア表[#Headers],0)),スコア表[48],0),"-")</f>
        <v>47</v>
      </c>
      <c r="BD21" s="79">
        <f>IFERROR(_xlfn.RANK.EQ(INDEX(スコア表[],MATCH($C21,スコア表['#],0),MATCH(BD$5,スコア表[#Headers],0)),スコア表[49],0),"-")</f>
        <v>43</v>
      </c>
      <c r="BE21" s="79">
        <f>IFERROR(_xlfn.RANK.EQ(INDEX(スコア表[],MATCH($C21,スコア表['#],0),MATCH(BE$5,スコア表[#Headers],0)),スコア表[50],0),"-")</f>
        <v>14</v>
      </c>
      <c r="BF21" s="79">
        <f>IFERROR(_xlfn.RANK.EQ(INDEX(スコア表[],MATCH($C21,スコア表['#],0),MATCH(BF$5,スコア表[#Headers],0)),スコア表[51],0),"-")</f>
        <v>20</v>
      </c>
      <c r="BG21" s="79">
        <f>IFERROR(_xlfn.RANK.EQ(INDEX(スコア表[],MATCH($C21,スコア表['#],0),MATCH(BG$5,スコア表[#Headers],0)),スコア表[52],0),"-")</f>
        <v>48</v>
      </c>
      <c r="BH21" s="79">
        <f>IFERROR(_xlfn.RANK.EQ(INDEX(スコア表[],MATCH($C21,スコア表['#],0),MATCH(BH$5,スコア表[#Headers],0)),スコア表[53],0),"-")</f>
        <v>39</v>
      </c>
      <c r="BI21" s="79">
        <f>IFERROR(_xlfn.RANK.EQ(INDEX(スコア表[],MATCH($C21,スコア表['#],0),MATCH(BI$5,スコア表[#Headers],0)),スコア表[54],0),"-")</f>
        <v>48</v>
      </c>
      <c r="BJ21" s="79">
        <f>IFERROR(_xlfn.RANK.EQ(INDEX(スコア表[],MATCH($C21,スコア表['#],0),MATCH(BJ$5,スコア表[#Headers],0)),スコア表[55],0),"-")</f>
        <v>2</v>
      </c>
      <c r="BK21" s="79">
        <f>IFERROR(_xlfn.RANK.EQ(INDEX(スコア表[],MATCH($C21,スコア表['#],0),MATCH(BK$5,スコア表[#Headers],0)),スコア表[56],0),"-")</f>
        <v>48</v>
      </c>
      <c r="BL21" s="79">
        <f>IFERROR(_xlfn.RANK.EQ(INDEX(スコア表[],MATCH($C21,スコア表['#],0),MATCH(BL$5,スコア表[#Headers],0)),スコア表[57],0),"-")</f>
        <v>7</v>
      </c>
      <c r="BM21" s="79">
        <f>IFERROR(_xlfn.RANK.EQ(INDEX(スコア表[],MATCH($C21,スコア表['#],0),MATCH(BM$5,スコア表[#Headers],0)),スコア表[58],0),"-")</f>
        <v>46</v>
      </c>
      <c r="BN21" s="79">
        <f>IFERROR(_xlfn.RANK.EQ(INDEX(スコア表[],MATCH($C21,スコア表['#],0),MATCH(BN$5,スコア表[#Headers],0)),スコア表[59],0),"-")</f>
        <v>48</v>
      </c>
      <c r="BO21" s="79">
        <f>IFERROR(_xlfn.RANK.EQ(INDEX(スコア表[],MATCH($C21,スコア表['#],0),MATCH(BO$5,スコア表[#Headers],0)),スコア表[60],0),"-")</f>
        <v>41</v>
      </c>
      <c r="BP21" s="79">
        <f>IFERROR(_xlfn.RANK.EQ(INDEX(スコア表[],MATCH($C21,スコア表['#],0),MATCH(BP$5,スコア表[#Headers],0)),スコア表[61],0),"-")</f>
        <v>19</v>
      </c>
      <c r="BQ21" s="79">
        <f>IFERROR(_xlfn.RANK.EQ(INDEX(スコア表[],MATCH($C21,スコア表['#],0),MATCH(BQ$5,スコア表[#Headers],0)),スコア表[62],0),"-")</f>
        <v>33</v>
      </c>
      <c r="BR21" s="79">
        <f>IFERROR(_xlfn.RANK.EQ(INDEX(スコア表[],MATCH($C21,スコア表['#],0),MATCH(BR$5,スコア表[#Headers],0)),スコア表[63],0),"-")</f>
        <v>35</v>
      </c>
      <c r="BS21" s="79">
        <f>IFERROR(_xlfn.RANK.EQ(INDEX(スコア表[],MATCH($C21,スコア表['#],0),MATCH(BS$5,スコア表[#Headers],0)),スコア表[64],0),"-")</f>
        <v>39</v>
      </c>
      <c r="BT21" s="79">
        <f>IFERROR(_xlfn.RANK.EQ(INDEX(スコア表[],MATCH($C21,スコア表['#],0),MATCH(BT$5,スコア表[#Headers],0)),スコア表[65],0),"-")</f>
        <v>41</v>
      </c>
      <c r="BU21" s="79">
        <f>IFERROR(_xlfn.RANK.EQ(INDEX(スコア表[],MATCH($C21,スコア表['#],0),MATCH(BU$5,スコア表[#Headers],0)),スコア表[66],0),"-")</f>
        <v>38</v>
      </c>
      <c r="BV21" s="79">
        <f>IFERROR(_xlfn.RANK.EQ(INDEX(スコア表[],MATCH($C21,スコア表['#],0),MATCH(BV$5,スコア表[#Headers],0)),スコア表[67],0),"-")</f>
        <v>21</v>
      </c>
      <c r="BW21" s="79">
        <f>IFERROR(_xlfn.RANK.EQ(INDEX(スコア表[],MATCH($C21,スコア表['#],0),MATCH(BW$5,スコア表[#Headers],0)),スコア表[68],0),"-")</f>
        <v>42</v>
      </c>
      <c r="BX21" s="79">
        <f>IFERROR(_xlfn.RANK.EQ(INDEX(スコア表[],MATCH($C21,スコア表['#],0),MATCH(BX$5,スコア表[#Headers],0)),スコア表[69],0),"-")</f>
        <v>28</v>
      </c>
      <c r="BY21" s="79">
        <f>IFERROR(_xlfn.RANK.EQ(INDEX(スコア表[],MATCH($C21,スコア表['#],0),MATCH(BY$5,スコア表[#Headers],0)),スコア表[70],0),"-")</f>
        <v>7</v>
      </c>
      <c r="BZ21" s="79">
        <f>IFERROR(_xlfn.RANK.EQ(INDEX(スコア表[],MATCH($C21,スコア表['#],0),MATCH(BZ$5,スコア表[#Headers],0)),スコア表[Ec1],0),"-")</f>
        <v>47</v>
      </c>
      <c r="CA21" s="79">
        <f>IFERROR(_xlfn.RANK.EQ(INDEX(スコア表[],MATCH($C21,スコア表['#],0),MATCH(CA$5,スコア表[#Headers],0)),スコア表[Ec2],0),"-")</f>
        <v>37</v>
      </c>
      <c r="CB21" s="79">
        <f>IFERROR(_xlfn.RANK.EQ(INDEX(スコア表[],MATCH($C21,スコア表['#],0),MATCH(CB$5,スコア表[#Headers],0)),スコア表[Ec3],0),"-")</f>
        <v>43</v>
      </c>
      <c r="CC21" s="79">
        <f>IFERROR(_xlfn.RANK.EQ(INDEX(スコア表[],MATCH($C21,スコア表['#],0),MATCH(CC$5,スコア表[#Headers],0)),スコア表[Ec4],0),"-")</f>
        <v>46</v>
      </c>
      <c r="CD21" s="79">
        <f>IFERROR(_xlfn.RANK.EQ(INDEX(スコア表[],MATCH($C21,スコア表['#],0),MATCH(CD$5,スコア表[#Headers],0)),スコア表[Ec5],0),"-")</f>
        <v>48</v>
      </c>
      <c r="CE21" s="79">
        <f>IFERROR(_xlfn.RANK.EQ(INDEX(スコア表[],MATCH($C21,スコア表['#],0),MATCH(CE$5,スコア表[#Headers],0)),スコア表[Ec6],0),"-")</f>
        <v>45</v>
      </c>
      <c r="CF21" s="79">
        <f>IFERROR(_xlfn.RANK.EQ(INDEX(スコア表[],MATCH($C21,スコア表['#],0),MATCH(CF$5,スコア表[#Headers],0)),スコア表[RD1],0),"-")</f>
        <v>39</v>
      </c>
      <c r="CG21" s="79">
        <f>IFERROR(_xlfn.RANK.EQ(INDEX(スコア表[],MATCH($C21,スコア表['#],0),MATCH(CG$5,スコア表[#Headers],0)),スコア表[RD2],0),"-")</f>
        <v>41</v>
      </c>
      <c r="CH21" s="79">
        <f>IFERROR(_xlfn.RANK.EQ(INDEX(スコア表[],MATCH($C21,スコア表['#],0),MATCH(CH$5,スコア表[#Headers],0)),スコア表[RD3],0),"-")</f>
        <v>42</v>
      </c>
      <c r="CI21" s="79">
        <f>IFERROR(_xlfn.RANK.EQ(INDEX(スコア表[],MATCH($C21,スコア表['#],0),MATCH(CI$5,スコア表[#Headers],0)),スコア表[CI1],0),"-")</f>
        <v>46</v>
      </c>
      <c r="CJ21" s="79">
        <f>IFERROR(_xlfn.RANK.EQ(INDEX(スコア表[],MATCH($C21,スコア表['#],0),MATCH(CJ$5,スコア表[#Headers],0)),スコア表[CI2],0),"-")</f>
        <v>14</v>
      </c>
      <c r="CK21" s="79">
        <f>IFERROR(_xlfn.RANK.EQ(INDEX(スコア表[],MATCH($C21,スコア表['#],0),MATCH(CK$5,スコア表[#Headers],0)),スコア表[CI3],0),"-")</f>
        <v>26</v>
      </c>
      <c r="CL21" s="79">
        <f>IFERROR(_xlfn.RANK.EQ(INDEX(スコア表[],MATCH($C21,スコア表['#],0),MATCH(CL$5,スコア表[#Headers],0)),スコア表[CI4],0),"-")</f>
        <v>28</v>
      </c>
      <c r="CM21" s="79">
        <f>IFERROR(_xlfn.RANK.EQ(INDEX(スコア表[],MATCH($C21,スコア表['#],0),MATCH(CM$5,スコア表[#Headers],0)),スコア表[CI5],0),"-")</f>
        <v>37</v>
      </c>
      <c r="CN21" s="79">
        <f>IFERROR(_xlfn.RANK.EQ(INDEX(スコア表[],MATCH($C21,スコア表['#],0),MATCH(CN$5,スコア表[#Headers],0)),スコア表[Li1],0),"-")</f>
        <v>47</v>
      </c>
      <c r="CO21" s="79">
        <f>IFERROR(_xlfn.RANK.EQ(INDEX(スコア表[],MATCH($C21,スコア表['#],0),MATCH(CO$5,スコア表[#Headers],0)),スコア表[Li2],0),"-")</f>
        <v>7</v>
      </c>
      <c r="CP21" s="79">
        <f>IFERROR(_xlfn.RANK.EQ(INDEX(スコア表[],MATCH($C21,スコア表['#],0),MATCH(CP$5,スコア表[#Headers],0)),スコア表[Li3],0),"-")</f>
        <v>22</v>
      </c>
      <c r="CQ21" s="79">
        <f>IFERROR(_xlfn.RANK.EQ(INDEX(スコア表[],MATCH($C21,スコア表['#],0),MATCH(CQ$5,スコア表[#Headers],0)),スコア表[Li4],0),"-")</f>
        <v>43</v>
      </c>
      <c r="CR21" s="79">
        <f>IFERROR(_xlfn.RANK.EQ(INDEX(スコア表[],MATCH($C21,スコア表['#],0),MATCH(CR$5,スコア表[#Headers],0)),スコア表[Li5],0),"-")</f>
        <v>42</v>
      </c>
      <c r="CS21" s="79">
        <f>IFERROR(_xlfn.RANK.EQ(INDEX(スコア表[],MATCH($C21,スコア表['#],0),MATCH(CS$5,スコア表[#Headers],0)),スコア表[En1],0),"-")</f>
        <v>48</v>
      </c>
      <c r="CT21" s="79">
        <f>IFERROR(_xlfn.RANK.EQ(INDEX(スコア表[],MATCH($C21,スコア表['#],0),MATCH(CT$5,スコア表[#Headers],0)),スコア表[En2],0),"-")</f>
        <v>38</v>
      </c>
      <c r="CU21" s="79">
        <f>IFERROR(_xlfn.RANK.EQ(INDEX(スコア表[],MATCH($C21,スコア表['#],0),MATCH(CU$5,スコア表[#Headers],0)),スコア表[En3],0),"-")</f>
        <v>48</v>
      </c>
      <c r="CV21" s="79">
        <f>IFERROR(_xlfn.RANK.EQ(INDEX(スコア表[],MATCH($C21,スコア表['#],0),MATCH(CV$5,スコア表[#Headers],0)),スコア表[Ac1],0),"-")</f>
        <v>29</v>
      </c>
      <c r="CW21" s="79">
        <f>IFERROR(_xlfn.RANK.EQ(INDEX(スコア表[],MATCH($C21,スコア表['#],0),MATCH(CW$5,スコア表[#Headers],0)),スコア表[Ac2],0),"-")</f>
        <v>38</v>
      </c>
      <c r="CX21" s="79">
        <f>IFERROR(_xlfn.RANK.EQ(INDEX(スコア表[],MATCH($C21,スコア表['#],0),MATCH(CX$5,スコア表[#Headers],0)),スコア表[Ac3],0),"-")</f>
        <v>37</v>
      </c>
      <c r="CY21" s="79">
        <f>IFERROR(_xlfn.RANK.EQ(INDEX(スコア表[],MATCH($C21,スコア表['#],0),MATCH(CY$5,スコア表[#Headers],0)),スコア表[Ac4],0),"-")</f>
        <v>33</v>
      </c>
      <c r="CZ21" s="79">
        <f>IFERROR(_xlfn.RANK.EQ(INDEX(スコア表[],MATCH($C21,スコア表['#],0),MATCH(CZ$5,スコア表[#Headers],0)),スコア表[Economy],0),"-")</f>
        <v>48</v>
      </c>
      <c r="DA21" s="79">
        <f>IFERROR(_xlfn.RANK.EQ(INDEX(スコア表[],MATCH($C21,スコア表['#],0),MATCH(DA$5,スコア表[#Headers],0)),スコア表[R&amp;D],0),"-")</f>
        <v>42</v>
      </c>
      <c r="DB21" s="79">
        <f>IFERROR(_xlfn.RANK.EQ(INDEX(スコア表[],MATCH($C21,スコア表['#],0),MATCH(DB$5,スコア表[#Headers],0)),スコア表[Cultural Interaction],0),"-")</f>
        <v>31</v>
      </c>
      <c r="DC21" s="79">
        <f>IFERROR(_xlfn.RANK.EQ(INDEX(スコア表[],MATCH($C21,スコア表['#],0),MATCH(DC$5,スコア表[#Headers],0)),スコア表[Livability],0),"-")</f>
        <v>43</v>
      </c>
      <c r="DD21" s="79">
        <f>IFERROR(_xlfn.RANK.EQ(INDEX(スコア表[],MATCH($C21,スコア表['#],0),MATCH(DD$5,スコア表[#Headers],0)),スコア表[Environment],0),"-")</f>
        <v>48</v>
      </c>
      <c r="DE21" s="79">
        <f>IFERROR(_xlfn.RANK.EQ(INDEX(スコア表[],MATCH($C21,スコア表['#],0),MATCH(DE$5,スコア表[#Headers],0)),スコア表[Accessibility],0),"-")</f>
        <v>42</v>
      </c>
      <c r="DF21" s="81">
        <f>IFERROR(_xlfn.RANK.EQ(INDEX(スコア表[],MATCH($C21,スコア表['#],0),MATCH(DF$5,スコア表[#Headers],0)),スコア表[Comprehensive],0),"-")</f>
        <v>47</v>
      </c>
    </row>
    <row r="22" spans="1:110">
      <c r="A22" s="2">
        <v>17</v>
      </c>
      <c r="B22" s="58">
        <f>INDEX(順位表[Comprehensive],MATCH($C22,順位表['#],0))</f>
        <v>34</v>
      </c>
      <c r="C22" s="3">
        <v>17</v>
      </c>
      <c r="D22" s="1" t="str">
        <f>INDEX(都市マスタ[City Name],MATCH($C22,都市マスタ['#],0))</f>
        <v>Moscow</v>
      </c>
      <c r="E22" s="79">
        <f>IFERROR(_xlfn.RANK.EQ(INDEX(スコア表[],MATCH($C22,スコア表['#],0),MATCH(E$5,スコア表[#Headers],0)),スコア表[00a],0),"-")</f>
        <v>5</v>
      </c>
      <c r="F22" s="79">
        <f>IFERROR(_xlfn.RANK.EQ(INDEX(スコア表[],MATCH($C22,スコア表['#],0),MATCH(F$5,スコア表[#Headers],0)),スコア表[00b],0),"-")</f>
        <v>8</v>
      </c>
      <c r="G22" s="79">
        <f>IFERROR(_xlfn.RANK.EQ(INDEX(スコア表[],MATCH($C22,スコア表['#],0),MATCH(G$5,スコア表[#Headers],0)),スコア表[00c],0),"-")</f>
        <v>8</v>
      </c>
      <c r="H22" s="79">
        <f>IFERROR(_xlfn.RANK.EQ(INDEX(スコア表[],MATCH($C22,スコア表['#],0),MATCH(H$5,スコア表[#Headers],0)),スコア表[01],0),"-")</f>
        <v>11</v>
      </c>
      <c r="I22" s="79">
        <f>IFERROR(_xlfn.RANK.EQ(INDEX(スコア表[],MATCH($C22,スコア表['#],0),MATCH(I$5,スコア表[#Headers],0)),スコア表[02],0),"-")</f>
        <v>40</v>
      </c>
      <c r="J22" s="79">
        <f>IFERROR(_xlfn.RANK.EQ(INDEX(スコア表[],MATCH($C22,スコア表['#],0),MATCH(J$5,スコア表[#Headers],0)),スコア表[03],0),"-")</f>
        <v>16</v>
      </c>
      <c r="K22" s="79">
        <f>IFERROR(_xlfn.RANK.EQ(INDEX(スコア表[],MATCH($C22,スコア表['#],0),MATCH(K$5,スコア表[#Headers],0)),スコア表[04],0),"-")</f>
        <v>41</v>
      </c>
      <c r="L22" s="79">
        <f>IFERROR(_xlfn.RANK.EQ(INDEX(スコア表[],MATCH($C22,スコア表['#],0),MATCH(L$5,スコア表[#Headers],0)),スコア表[05],0),"-")</f>
        <v>23</v>
      </c>
      <c r="M22" s="79">
        <f>IFERROR(_xlfn.RANK.EQ(INDEX(スコア表[],MATCH($C22,スコア表['#],0),MATCH(M$5,スコア表[#Headers],0)),スコア表[06],0),"-")</f>
        <v>32</v>
      </c>
      <c r="N22" s="79">
        <f>IFERROR(_xlfn.RANK.EQ(INDEX(スコア表[],MATCH($C22,スコア表['#],0),MATCH(N$5,スコア表[#Headers],0)),スコア表[07],0),"-")</f>
        <v>4</v>
      </c>
      <c r="O22" s="79">
        <f>IFERROR(_xlfn.RANK.EQ(INDEX(スコア表[],MATCH($C22,スコア表['#],0),MATCH(O$5,スコア表[#Headers],0)),スコア表[08],0),"-")</f>
        <v>44</v>
      </c>
      <c r="P22" s="79">
        <f>IFERROR(_xlfn.RANK.EQ(INDEX(スコア表[],MATCH($C22,スコア表['#],0),MATCH(P$5,スコア表[#Headers],0)),スコア表[09],0),"-")</f>
        <v>39</v>
      </c>
      <c r="Q22" s="79">
        <f>IFERROR(_xlfn.RANK.EQ(INDEX(スコア表[],MATCH($C22,スコア表['#],0),MATCH(Q$5,スコア表[#Headers],0)),スコア表[10],0),"-")</f>
        <v>37</v>
      </c>
      <c r="R22" s="79">
        <f>IFERROR(_xlfn.RANK.EQ(INDEX(スコア表[],MATCH($C22,スコア表['#],0),MATCH(R$5,スコア表[#Headers],0)),スコア表[11],0),"-")</f>
        <v>41</v>
      </c>
      <c r="S22" s="79">
        <f>IFERROR(_xlfn.RANK.EQ(INDEX(スコア表[],MATCH($C22,スコア表['#],0),MATCH(S$5,スコア表[#Headers],0)),スコア表[12],0),"-")</f>
        <v>7</v>
      </c>
      <c r="T22" s="79">
        <f>IFERROR(_xlfn.RANK.EQ(INDEX(スコア表[],MATCH($C22,スコア表['#],0),MATCH(T$5,スコア表[#Headers],0)),スコア表[13],0),"-")</f>
        <v>45</v>
      </c>
      <c r="U22" s="79">
        <f>IFERROR(_xlfn.RANK.EQ(INDEX(スコア表[],MATCH($C22,スコア表['#],0),MATCH(U$5,スコア表[#Headers],0)),スコア表[14],0),"-")</f>
        <v>9</v>
      </c>
      <c r="V22" s="79">
        <f>IFERROR(_xlfn.RANK.EQ(INDEX(スコア表[],MATCH($C22,スコア表['#],0),MATCH(V$5,スコア表[#Headers],0)),スコア表[15],0),"-")</f>
        <v>30</v>
      </c>
      <c r="W22" s="79">
        <f>IFERROR(_xlfn.RANK.EQ(INDEX(スコア表[],MATCH($C22,スコア表['#],0),MATCH(W$5,スコア表[#Headers],0)),スコア表[16],0),"-")</f>
        <v>30</v>
      </c>
      <c r="X22" s="79">
        <f>IFERROR(_xlfn.RANK.EQ(INDEX(スコア表[],MATCH($C22,スコア表['#],0),MATCH(X$5,スコア表[#Headers],0)),スコア表[17],0),"-")</f>
        <v>9</v>
      </c>
      <c r="Y22" s="79">
        <f>IFERROR(_xlfn.RANK.EQ(INDEX(スコア表[],MATCH($C22,スコア表['#],0),MATCH(Y$5,スコア表[#Headers],0)),スコア表[18],0),"-")</f>
        <v>33</v>
      </c>
      <c r="Z22" s="79">
        <f>IFERROR(_xlfn.RANK.EQ(INDEX(スコア表[],MATCH($C22,スコア表['#],0),MATCH(Z$5,スコア表[#Headers],0)),スコア表[19],0),"-")</f>
        <v>17</v>
      </c>
      <c r="AA22" s="79">
        <f>IFERROR(_xlfn.RANK.EQ(INDEX(スコア表[],MATCH($C22,スコア表['#],0),MATCH(AA$5,スコア表[#Headers],0)),スコア表[20],0),"-")</f>
        <v>21</v>
      </c>
      <c r="AB22" s="79">
        <f>IFERROR(_xlfn.RANK.EQ(INDEX(スコア表[],MATCH($C22,スコア表['#],0),MATCH(AB$5,スコア表[#Headers],0)),スコア表[21],0),"-")</f>
        <v>44</v>
      </c>
      <c r="AC22" s="79">
        <f>IFERROR(_xlfn.RANK.EQ(INDEX(スコア表[],MATCH($C22,スコア表['#],0),MATCH(AC$5,スコア表[#Headers],0)),スコア表[22],0),"-")</f>
        <v>35</v>
      </c>
      <c r="AD22" s="79">
        <f>IFERROR(_xlfn.RANK.EQ(INDEX(スコア表[],MATCH($C22,スコア表['#],0),MATCH(AD$5,スコア表[#Headers],0)),スコア表[23],0),"-")</f>
        <v>2</v>
      </c>
      <c r="AE22" s="79">
        <f>IFERROR(_xlfn.RANK.EQ(INDEX(スコア表[],MATCH($C22,スコア表['#],0),MATCH(AE$5,スコア表[#Headers],0)),スコア表[24],0),"-")</f>
        <v>32</v>
      </c>
      <c r="AF22" s="79">
        <f>IFERROR(_xlfn.RANK.EQ(INDEX(スコア表[],MATCH($C22,スコア表['#],0),MATCH(AF$5,スコア表[#Headers],0)),スコア表[25],0),"-")</f>
        <v>32</v>
      </c>
      <c r="AG22" s="79">
        <f>IFERROR(_xlfn.RANK.EQ(INDEX(スコア表[],MATCH($C22,スコア表['#],0),MATCH(AG$5,スコア表[#Headers],0)),スコア表[26],0),"-")</f>
        <v>10</v>
      </c>
      <c r="AH22" s="79">
        <f>IFERROR(_xlfn.RANK.EQ(INDEX(スコア表[],MATCH($C22,スコア表['#],0),MATCH(AH$5,スコア表[#Headers],0)),スコア表[27],0),"-")</f>
        <v>20</v>
      </c>
      <c r="AI22" s="79">
        <f>IFERROR(_xlfn.RANK.EQ(INDEX(スコア表[],MATCH($C22,スコア表['#],0),MATCH(AI$5,スコア表[#Headers],0)),スコア表[28],0),"-")</f>
        <v>31</v>
      </c>
      <c r="AJ22" s="79">
        <f>IFERROR(_xlfn.RANK.EQ(INDEX(スコア表[],MATCH($C22,スコア表['#],0),MATCH(AJ$5,スコア表[#Headers],0)),スコア表[29],0),"-")</f>
        <v>2</v>
      </c>
      <c r="AK22" s="79">
        <f>IFERROR(_xlfn.RANK.EQ(INDEX(スコア表[],MATCH($C22,スコア表['#],0),MATCH(AK$5,スコア表[#Headers],0)),スコア表[30],0),"-")</f>
        <v>1</v>
      </c>
      <c r="AL22" s="79">
        <f>IFERROR(_xlfn.RANK.EQ(INDEX(スコア表[],MATCH($C22,スコア表['#],0),MATCH(AL$5,スコア表[#Headers],0)),スコア表[31],0),"-")</f>
        <v>6</v>
      </c>
      <c r="AM22" s="79">
        <f>IFERROR(_xlfn.RANK.EQ(INDEX(スコア表[],MATCH($C22,スコア表['#],0),MATCH(AM$5,スコア表[#Headers],0)),スコア表[32],0),"-")</f>
        <v>18</v>
      </c>
      <c r="AN22" s="79">
        <f>IFERROR(_xlfn.RANK.EQ(INDEX(スコア表[],MATCH($C22,スコア表['#],0),MATCH(AN$5,スコア表[#Headers],0)),スコア表[33],0),"-")</f>
        <v>16</v>
      </c>
      <c r="AO22" s="79">
        <f>IFERROR(_xlfn.RANK.EQ(INDEX(スコア表[],MATCH($C22,スコア表['#],0),MATCH(AO$5,スコア表[#Headers],0)),スコア表[34],0),"-")</f>
        <v>35</v>
      </c>
      <c r="AP22" s="79">
        <f>IFERROR(_xlfn.RANK.EQ(INDEX(スコア表[],MATCH($C22,スコア表['#],0),MATCH(AP$5,スコア表[#Headers],0)),スコア表[35],0),"-")</f>
        <v>37</v>
      </c>
      <c r="AQ22" s="79">
        <f>IFERROR(_xlfn.RANK.EQ(INDEX(スコア表[],MATCH($C22,スコア表['#],0),MATCH(AQ$5,スコア表[#Headers],0)),スコア表[36],0),"-")</f>
        <v>43</v>
      </c>
      <c r="AR22" s="79">
        <f>IFERROR(_xlfn.RANK.EQ(INDEX(スコア表[],MATCH($C22,スコア表['#],0),MATCH(AR$5,スコア表[#Headers],0)),スコア表[37],0),"-")</f>
        <v>34</v>
      </c>
      <c r="AS22" s="79">
        <f>IFERROR(_xlfn.RANK.EQ(INDEX(スコア表[],MATCH($C22,スコア表['#],0),MATCH(AS$5,スコア表[#Headers],0)),スコア表[38],0),"-")</f>
        <v>6</v>
      </c>
      <c r="AT22" s="79">
        <f>IFERROR(_xlfn.RANK.EQ(INDEX(スコア表[],MATCH($C22,スコア表['#],0),MATCH(AT$5,スコア表[#Headers],0)),スコア表[39],0),"-")</f>
        <v>1</v>
      </c>
      <c r="AU22" s="79">
        <f>IFERROR(_xlfn.RANK.EQ(INDEX(スコア表[],MATCH($C22,スコア表['#],0),MATCH(AU$5,スコア表[#Headers],0)),スコア表[40],0),"-")</f>
        <v>7</v>
      </c>
      <c r="AV22" s="79">
        <f>IFERROR(_xlfn.RANK.EQ(INDEX(スコア表[],MATCH($C22,スコア表['#],0),MATCH(AV$5,スコア表[#Headers],0)),スコア表[41],0),"-")</f>
        <v>13</v>
      </c>
      <c r="AW22" s="79">
        <f>IFERROR(_xlfn.RANK.EQ(INDEX(スコア表[],MATCH($C22,スコア表['#],0),MATCH(AW$5,スコア表[#Headers],0)),スコア表[42],0),"-")</f>
        <v>13</v>
      </c>
      <c r="AX22" s="79">
        <f>IFERROR(_xlfn.RANK.EQ(INDEX(スコア表[],MATCH($C22,スコア表['#],0),MATCH(AX$5,スコア表[#Headers],0)),スコア表[43],0),"-")</f>
        <v>39</v>
      </c>
      <c r="AY22" s="79">
        <f>IFERROR(_xlfn.RANK.EQ(INDEX(スコア表[],MATCH($C22,スコア表['#],0),MATCH(AY$5,スコア表[#Headers],0)),スコア表[44],0),"-")</f>
        <v>6</v>
      </c>
      <c r="AZ22" s="79">
        <f>IFERROR(_xlfn.RANK.EQ(INDEX(スコア表[],MATCH($C22,スコア表['#],0),MATCH(AZ$5,スコア表[#Headers],0)),スコア表[45],0),"-")</f>
        <v>44</v>
      </c>
      <c r="BA22" s="79">
        <f>IFERROR(_xlfn.RANK.EQ(INDEX(スコア表[],MATCH($C22,スコア表['#],0),MATCH(BA$5,スコア表[#Headers],0)),スコア表[46],0),"-")</f>
        <v>44</v>
      </c>
      <c r="BB22" s="79">
        <f>IFERROR(_xlfn.RANK.EQ(INDEX(スコア表[],MATCH($C22,スコア表['#],0),MATCH(BB$5,スコア表[#Headers],0)),スコア表[47],0),"-")</f>
        <v>38</v>
      </c>
      <c r="BC22" s="79">
        <f>IFERROR(_xlfn.RANK.EQ(INDEX(スコア表[],MATCH($C22,スコア表['#],0),MATCH(BC$5,スコア表[#Headers],0)),スコア表[48],0),"-")</f>
        <v>18</v>
      </c>
      <c r="BD22" s="79">
        <f>IFERROR(_xlfn.RANK.EQ(INDEX(スコア表[],MATCH($C22,スコア表['#],0),MATCH(BD$5,スコア表[#Headers],0)),スコア表[49],0),"-")</f>
        <v>39</v>
      </c>
      <c r="BE22" s="79">
        <f>IFERROR(_xlfn.RANK.EQ(INDEX(スコア表[],MATCH($C22,スコア表['#],0),MATCH(BE$5,スコア表[#Headers],0)),スコア表[50],0),"-")</f>
        <v>7</v>
      </c>
      <c r="BF22" s="79">
        <f>IFERROR(_xlfn.RANK.EQ(INDEX(スコア表[],MATCH($C22,スコア表['#],0),MATCH(BF$5,スコア表[#Headers],0)),スコア表[51],0),"-")</f>
        <v>43</v>
      </c>
      <c r="BG22" s="79">
        <f>IFERROR(_xlfn.RANK.EQ(INDEX(スコア表[],MATCH($C22,スコア表['#],0),MATCH(BG$5,スコア表[#Headers],0)),スコア表[52],0),"-")</f>
        <v>21</v>
      </c>
      <c r="BH22" s="79">
        <f>IFERROR(_xlfn.RANK.EQ(INDEX(スコア表[],MATCH($C22,スコア表['#],0),MATCH(BH$5,スコア表[#Headers],0)),スコア表[53],0),"-")</f>
        <v>43</v>
      </c>
      <c r="BI22" s="79">
        <f>IFERROR(_xlfn.RANK.EQ(INDEX(スコア表[],MATCH($C22,スコア表['#],0),MATCH(BI$5,スコア表[#Headers],0)),スコア表[54],0),"-")</f>
        <v>42</v>
      </c>
      <c r="BJ22" s="79">
        <f>IFERROR(_xlfn.RANK.EQ(INDEX(スコア表[],MATCH($C22,スコア表['#],0),MATCH(BJ$5,スコア表[#Headers],0)),スコア表[55],0),"-")</f>
        <v>45</v>
      </c>
      <c r="BK22" s="79">
        <f>IFERROR(_xlfn.RANK.EQ(INDEX(スコア表[],MATCH($C22,スコア表['#],0),MATCH(BK$5,スコア表[#Headers],0)),スコア表[56],0),"-")</f>
        <v>25</v>
      </c>
      <c r="BL22" s="79">
        <f>IFERROR(_xlfn.RANK.EQ(INDEX(スコア表[],MATCH($C22,スコア表['#],0),MATCH(BL$5,スコア表[#Headers],0)),スコア表[57],0),"-")</f>
        <v>41</v>
      </c>
      <c r="BM22" s="79">
        <f>IFERROR(_xlfn.RANK.EQ(INDEX(スコア表[],MATCH($C22,スコア表['#],0),MATCH(BM$5,スコア表[#Headers],0)),スコア表[58],0),"-")</f>
        <v>30</v>
      </c>
      <c r="BN22" s="79">
        <f>IFERROR(_xlfn.RANK.EQ(INDEX(スコア表[],MATCH($C22,スコア表['#],0),MATCH(BN$5,スコア表[#Headers],0)),スコア表[59],0),"-")</f>
        <v>4</v>
      </c>
      <c r="BO22" s="79">
        <f>IFERROR(_xlfn.RANK.EQ(INDEX(スコア表[],MATCH($C22,スコア表['#],0),MATCH(BO$5,スコア表[#Headers],0)),スコア表[60],0),"-")</f>
        <v>16</v>
      </c>
      <c r="BP22" s="79">
        <f>IFERROR(_xlfn.RANK.EQ(INDEX(スコア表[],MATCH($C22,スコア表['#],0),MATCH(BP$5,スコア表[#Headers],0)),スコア表[61],0),"-")</f>
        <v>26</v>
      </c>
      <c r="BQ22" s="79">
        <f>IFERROR(_xlfn.RANK.EQ(INDEX(スコア表[],MATCH($C22,スコア表['#],0),MATCH(BQ$5,スコア表[#Headers],0)),スコア表[62],0),"-")</f>
        <v>43</v>
      </c>
      <c r="BR22" s="79">
        <f>IFERROR(_xlfn.RANK.EQ(INDEX(スコア表[],MATCH($C22,スコア表['#],0),MATCH(BR$5,スコア表[#Headers],0)),スコア表[63],0),"-")</f>
        <v>7</v>
      </c>
      <c r="BS22" s="79">
        <f>IFERROR(_xlfn.RANK.EQ(INDEX(スコア表[],MATCH($C22,スコア表['#],0),MATCH(BS$5,スコア表[#Headers],0)),スコア表[64],0),"-")</f>
        <v>9</v>
      </c>
      <c r="BT22" s="79">
        <f>IFERROR(_xlfn.RANK.EQ(INDEX(スコア表[],MATCH($C22,スコア表['#],0),MATCH(BT$5,スコア表[#Headers],0)),スコア表[65],0),"-")</f>
        <v>7</v>
      </c>
      <c r="BU22" s="79">
        <f>IFERROR(_xlfn.RANK.EQ(INDEX(スコア表[],MATCH($C22,スコア表['#],0),MATCH(BU$5,スコア表[#Headers],0)),スコア表[66],0),"-")</f>
        <v>17</v>
      </c>
      <c r="BV22" s="79">
        <f>IFERROR(_xlfn.RANK.EQ(INDEX(スコア表[],MATCH($C22,スコア表['#],0),MATCH(BV$5,スコア表[#Headers],0)),スコア表[67],0),"-")</f>
        <v>47</v>
      </c>
      <c r="BW22" s="79">
        <f>IFERROR(_xlfn.RANK.EQ(INDEX(スコア表[],MATCH($C22,スコア表['#],0),MATCH(BW$5,スコア表[#Headers],0)),スコア表[68],0),"-")</f>
        <v>43</v>
      </c>
      <c r="BX22" s="79">
        <f>IFERROR(_xlfn.RANK.EQ(INDEX(スコア表[],MATCH($C22,スコア表['#],0),MATCH(BX$5,スコア表[#Headers],0)),スコア表[69],0),"-")</f>
        <v>44</v>
      </c>
      <c r="BY22" s="79">
        <f>IFERROR(_xlfn.RANK.EQ(INDEX(スコア表[],MATCH($C22,スコア表['#],0),MATCH(BY$5,スコア表[#Headers],0)),スコア表[70],0),"-")</f>
        <v>34</v>
      </c>
      <c r="BZ22" s="79">
        <f>IFERROR(_xlfn.RANK.EQ(INDEX(スコア表[],MATCH($C22,スコア表['#],0),MATCH(BZ$5,スコア表[#Headers],0)),スコア表[Ec1],0),"-")</f>
        <v>25</v>
      </c>
      <c r="CA22" s="79">
        <f>IFERROR(_xlfn.RANK.EQ(INDEX(スコア表[],MATCH($C22,スコア表['#],0),MATCH(CA$5,スコア表[#Headers],0)),スコア表[Ec2],0),"-")</f>
        <v>43</v>
      </c>
      <c r="CB22" s="79">
        <f>IFERROR(_xlfn.RANK.EQ(INDEX(スコア表[],MATCH($C22,スコア表['#],0),MATCH(CB$5,スコア表[#Headers],0)),スコア表[Ec3],0),"-")</f>
        <v>30</v>
      </c>
      <c r="CC22" s="79">
        <f>IFERROR(_xlfn.RANK.EQ(INDEX(スコア表[],MATCH($C22,スコア表['#],0),MATCH(CC$5,スコア表[#Headers],0)),スコア表[Ec4],0),"-")</f>
        <v>26</v>
      </c>
      <c r="CD22" s="79">
        <f>IFERROR(_xlfn.RANK.EQ(INDEX(スコア表[],MATCH($C22,スコア表['#],0),MATCH(CD$5,スコア表[#Headers],0)),スコア表[Ec5],0),"-")</f>
        <v>41</v>
      </c>
      <c r="CE22" s="79">
        <f>IFERROR(_xlfn.RANK.EQ(INDEX(スコア表[],MATCH($C22,スコア表['#],0),MATCH(CE$5,スコア表[#Headers],0)),スコア表[Ec6],0),"-")</f>
        <v>42</v>
      </c>
      <c r="CF22" s="79">
        <f>IFERROR(_xlfn.RANK.EQ(INDEX(スコア表[],MATCH($C22,スコア表['#],0),MATCH(CF$5,スコア表[#Headers],0)),スコア表[RD1],0),"-")</f>
        <v>20</v>
      </c>
      <c r="CG22" s="79">
        <f>IFERROR(_xlfn.RANK.EQ(INDEX(スコア表[],MATCH($C22,スコア表['#],0),MATCH(CG$5,スコア表[#Headers],0)),スコア表[RD2],0),"-")</f>
        <v>22</v>
      </c>
      <c r="CH22" s="79">
        <f>IFERROR(_xlfn.RANK.EQ(INDEX(スコア表[],MATCH($C22,スコア表['#],0),MATCH(CH$5,スコア表[#Headers],0)),スコア表[RD3],0),"-")</f>
        <v>27</v>
      </c>
      <c r="CI22" s="79">
        <f>IFERROR(_xlfn.RANK.EQ(INDEX(スコア表[],MATCH($C22,スコア表['#],0),MATCH(CI$5,スコア表[#Headers],0)),スコア表[CI1],0),"-")</f>
        <v>11</v>
      </c>
      <c r="CJ22" s="79">
        <f>IFERROR(_xlfn.RANK.EQ(INDEX(スコア表[],MATCH($C22,スコア表['#],0),MATCH(CJ$5,スコア表[#Headers],0)),スコア表[CI2],0),"-")</f>
        <v>20</v>
      </c>
      <c r="CK22" s="79">
        <f>IFERROR(_xlfn.RANK.EQ(INDEX(スコア表[],MATCH($C22,スコア表['#],0),MATCH(CK$5,スコア表[#Headers],0)),スコア表[CI3],0),"-")</f>
        <v>2</v>
      </c>
      <c r="CL22" s="79">
        <f>IFERROR(_xlfn.RANK.EQ(INDEX(スコア表[],MATCH($C22,スコア表['#],0),MATCH(CL$5,スコア表[#Headers],0)),スコア表[CI4],0),"-")</f>
        <v>26</v>
      </c>
      <c r="CM22" s="79">
        <f>IFERROR(_xlfn.RANK.EQ(INDEX(スコア表[],MATCH($C22,スコア表['#],0),MATCH(CM$5,スコア表[#Headers],0)),スコア表[CI5],0),"-")</f>
        <v>40</v>
      </c>
      <c r="CN22" s="79">
        <f>IFERROR(_xlfn.RANK.EQ(INDEX(スコア表[],MATCH($C22,スコア表['#],0),MATCH(CN$5,スコア表[#Headers],0)),スコア表[Li1],0),"-")</f>
        <v>1</v>
      </c>
      <c r="CO22" s="79">
        <f>IFERROR(_xlfn.RANK.EQ(INDEX(スコア表[],MATCH($C22,スコア表['#],0),MATCH(CO$5,スコア表[#Headers],0)),スコア表[Li2],0),"-")</f>
        <v>11</v>
      </c>
      <c r="CP22" s="79">
        <f>IFERROR(_xlfn.RANK.EQ(INDEX(スコア表[],MATCH($C22,スコア表['#],0),MATCH(CP$5,スコア表[#Headers],0)),スコア表[Li3],0),"-")</f>
        <v>34</v>
      </c>
      <c r="CQ22" s="79">
        <f>IFERROR(_xlfn.RANK.EQ(INDEX(スコア表[],MATCH($C22,スコア表['#],0),MATCH(CQ$5,スコア表[#Headers],0)),スコア表[Li4],0),"-")</f>
        <v>47</v>
      </c>
      <c r="CR22" s="79">
        <f>IFERROR(_xlfn.RANK.EQ(INDEX(スコア表[],MATCH($C22,スコア表['#],0),MATCH(CR$5,スコア表[#Headers],0)),スコア表[Li5],0),"-")</f>
        <v>33</v>
      </c>
      <c r="CS22" s="79">
        <f>IFERROR(_xlfn.RANK.EQ(INDEX(スコア表[],MATCH($C22,スコア表['#],0),MATCH(CS$5,スコア表[#Headers],0)),スコア表[En1],0),"-")</f>
        <v>45</v>
      </c>
      <c r="CT22" s="79">
        <f>IFERROR(_xlfn.RANK.EQ(INDEX(スコア表[],MATCH($C22,スコア表['#],0),MATCH(CT$5,スコア表[#Headers],0)),スコア表[En2],0),"-")</f>
        <v>40</v>
      </c>
      <c r="CU22" s="79">
        <f>IFERROR(_xlfn.RANK.EQ(INDEX(スコア表[],MATCH($C22,スコア表['#],0),MATCH(CU$5,スコア表[#Headers],0)),スコア表[En3],0),"-")</f>
        <v>15</v>
      </c>
      <c r="CV22" s="79">
        <f>IFERROR(_xlfn.RANK.EQ(INDEX(スコア表[],MATCH($C22,スコア表['#],0),MATCH(CV$5,スコア表[#Headers],0)),スコア表[Ac1],0),"-")</f>
        <v>33</v>
      </c>
      <c r="CW22" s="79">
        <f>IFERROR(_xlfn.RANK.EQ(INDEX(スコア表[],MATCH($C22,スコア表['#],0),MATCH(CW$5,スコア表[#Headers],0)),スコア表[Ac2],0),"-")</f>
        <v>8</v>
      </c>
      <c r="CX22" s="79">
        <f>IFERROR(_xlfn.RANK.EQ(INDEX(スコア表[],MATCH($C22,スコア表['#],0),MATCH(CX$5,スコア表[#Headers],0)),スコア表[Ac3],0),"-")</f>
        <v>30</v>
      </c>
      <c r="CY22" s="79">
        <f>IFERROR(_xlfn.RANK.EQ(INDEX(スコア表[],MATCH($C22,スコア表['#],0),MATCH(CY$5,スコア表[#Headers],0)),スコア表[Ac4],0),"-")</f>
        <v>47</v>
      </c>
      <c r="CZ22" s="79">
        <f>IFERROR(_xlfn.RANK.EQ(INDEX(スコア表[],MATCH($C22,スコア表['#],0),MATCH(CZ$5,スコア表[#Headers],0)),スコア表[Economy],0),"-")</f>
        <v>41</v>
      </c>
      <c r="DA22" s="79">
        <f>IFERROR(_xlfn.RANK.EQ(INDEX(スコア表[],MATCH($C22,スコア表['#],0),MATCH(DA$5,スコア表[#Headers],0)),スコア表[R&amp;D],0),"-")</f>
        <v>22</v>
      </c>
      <c r="DB22" s="79">
        <f>IFERROR(_xlfn.RANK.EQ(INDEX(スコア表[],MATCH($C22,スコア表['#],0),MATCH(DB$5,スコア表[#Headers],0)),スコア表[Cultural Interaction],0),"-")</f>
        <v>8</v>
      </c>
      <c r="DC22" s="79">
        <f>IFERROR(_xlfn.RANK.EQ(INDEX(スコア表[],MATCH($C22,スコア表['#],0),MATCH(DC$5,スコア表[#Headers],0)),スコア表[Livability],0),"-")</f>
        <v>26</v>
      </c>
      <c r="DD22" s="79">
        <f>IFERROR(_xlfn.RANK.EQ(INDEX(スコア表[],MATCH($C22,スコア表['#],0),MATCH(DD$5,スコア表[#Headers],0)),スコア表[Environment],0),"-")</f>
        <v>32</v>
      </c>
      <c r="DE22" s="79">
        <f>IFERROR(_xlfn.RANK.EQ(INDEX(スコア表[],MATCH($C22,スコア表['#],0),MATCH(DE$5,スコア表[#Headers],0)),スコア表[Accessibility],0),"-")</f>
        <v>33</v>
      </c>
      <c r="DF22" s="81">
        <f>IFERROR(_xlfn.RANK.EQ(INDEX(スコア表[],MATCH($C22,スコア表['#],0),MATCH(DF$5,スコア表[#Headers],0)),スコア表[Comprehensive],0),"-")</f>
        <v>34</v>
      </c>
    </row>
    <row r="23" spans="1:110">
      <c r="A23" s="2">
        <v>18</v>
      </c>
      <c r="B23" s="58">
        <f>INDEX(順位表[Comprehensive],MATCH($C23,順位表['#],0))</f>
        <v>48</v>
      </c>
      <c r="C23" s="3">
        <v>18</v>
      </c>
      <c r="D23" s="1" t="str">
        <f>INDEX(都市マスタ[City Name],MATCH($C23,都市マスタ['#],0))</f>
        <v>Mumbai</v>
      </c>
      <c r="E23" s="79">
        <f>IFERROR(_xlfn.RANK.EQ(INDEX(スコア表[],MATCH($C23,スコア表['#],0),MATCH(E$5,スコア表[#Headers],0)),スコア表[00a],0),"-")</f>
        <v>4</v>
      </c>
      <c r="F23" s="79">
        <f>IFERROR(_xlfn.RANK.EQ(INDEX(スコア表[],MATCH($C23,スコア表['#],0),MATCH(F$5,スコア表[#Headers],0)),スコア表[00b],0),"-")</f>
        <v>24</v>
      </c>
      <c r="G23" s="79">
        <f>IFERROR(_xlfn.RANK.EQ(INDEX(スコア表[],MATCH($C23,スコア表['#],0),MATCH(G$5,スコア表[#Headers],0)),スコア表[00c],0),"-")</f>
        <v>7</v>
      </c>
      <c r="H23" s="79">
        <f>IFERROR(_xlfn.RANK.EQ(INDEX(スコア表[],MATCH($C23,スコア表['#],0),MATCH(H$5,スコア表[#Headers],0)),スコア表[01],0),"-")</f>
        <v>47</v>
      </c>
      <c r="I23" s="79">
        <f>IFERROR(_xlfn.RANK.EQ(INDEX(スコア表[],MATCH($C23,スコア表['#],0),MATCH(I$5,スコア表[#Headers],0)),スコア表[02],0),"-")</f>
        <v>48</v>
      </c>
      <c r="J23" s="79">
        <f>IFERROR(_xlfn.RANK.EQ(INDEX(スコア表[],MATCH($C23,スコア表['#],0),MATCH(J$5,スコア表[#Headers],0)),スコア表[03],0),"-")</f>
        <v>30</v>
      </c>
      <c r="K23" s="79">
        <f>IFERROR(_xlfn.RANK.EQ(INDEX(スコア表[],MATCH($C23,スコア表['#],0),MATCH(K$5,スコア表[#Headers],0)),スコア表[04],0),"-")</f>
        <v>43</v>
      </c>
      <c r="L23" s="79">
        <f>IFERROR(_xlfn.RANK.EQ(INDEX(スコア表[],MATCH($C23,スコア表['#],0),MATCH(L$5,スコア表[#Headers],0)),スコア表[05],0),"-")</f>
        <v>5</v>
      </c>
      <c r="M23" s="79">
        <f>IFERROR(_xlfn.RANK.EQ(INDEX(スコア表[],MATCH($C23,スコア表['#],0),MATCH(M$5,スコア表[#Headers],0)),スコア表[06],0),"-")</f>
        <v>11</v>
      </c>
      <c r="N23" s="79">
        <f>IFERROR(_xlfn.RANK.EQ(INDEX(スコア表[],MATCH($C23,スコア表['#],0),MATCH(N$5,スコア表[#Headers],0)),スコア表[07],0),"-")</f>
        <v>9</v>
      </c>
      <c r="O23" s="79">
        <f>IFERROR(_xlfn.RANK.EQ(INDEX(スコア表[],MATCH($C23,スコア表['#],0),MATCH(O$5,スコア表[#Headers],0)),スコア表[08],0),"-")</f>
        <v>48</v>
      </c>
      <c r="P23" s="79">
        <f>IFERROR(_xlfn.RANK.EQ(INDEX(スコア表[],MATCH($C23,スコア表['#],0),MATCH(P$5,スコア表[#Headers],0)),スコア表[09],0),"-")</f>
        <v>41</v>
      </c>
      <c r="Q23" s="79">
        <f>IFERROR(_xlfn.RANK.EQ(INDEX(スコア表[],MATCH($C23,スコア表['#],0),MATCH(Q$5,スコア表[#Headers],0)),スコア表[10],0),"-")</f>
        <v>44</v>
      </c>
      <c r="R23" s="79">
        <f>IFERROR(_xlfn.RANK.EQ(INDEX(スコア表[],MATCH($C23,スコア表['#],0),MATCH(R$5,スコア表[#Headers],0)),スコア表[11],0),"-")</f>
        <v>43</v>
      </c>
      <c r="S23" s="79">
        <f>IFERROR(_xlfn.RANK.EQ(INDEX(スコア表[],MATCH($C23,スコア表['#],0),MATCH(S$5,スコア表[#Headers],0)),スコア表[12],0),"-")</f>
        <v>47</v>
      </c>
      <c r="T23" s="79">
        <f>IFERROR(_xlfn.RANK.EQ(INDEX(スコア表[],MATCH($C23,スコア表['#],0),MATCH(T$5,スコア表[#Headers],0)),スコア表[13],0),"-")</f>
        <v>41</v>
      </c>
      <c r="U23" s="79">
        <f>IFERROR(_xlfn.RANK.EQ(INDEX(スコア表[],MATCH($C23,スコア表['#],0),MATCH(U$5,スコア表[#Headers],0)),スコア表[14],0),"-")</f>
        <v>42</v>
      </c>
      <c r="V23" s="79">
        <f>IFERROR(_xlfn.RANK.EQ(INDEX(スコア表[],MATCH($C23,スコア表['#],0),MATCH(V$5,スコア表[#Headers],0)),スコア表[15],0),"-")</f>
        <v>45</v>
      </c>
      <c r="W23" s="79">
        <f>IFERROR(_xlfn.RANK.EQ(INDEX(スコア表[],MATCH($C23,スコア表['#],0),MATCH(W$5,スコア表[#Headers],0)),スコア表[16],0),"-")</f>
        <v>46</v>
      </c>
      <c r="X23" s="79">
        <f>IFERROR(_xlfn.RANK.EQ(INDEX(スコア表[],MATCH($C23,スコア表['#],0),MATCH(X$5,スコア表[#Headers],0)),スコア表[17],0),"-")</f>
        <v>45</v>
      </c>
      <c r="Y23" s="79">
        <f>IFERROR(_xlfn.RANK.EQ(INDEX(スコア表[],MATCH($C23,スコア表['#],0),MATCH(Y$5,スコア表[#Headers],0)),スコア表[18],0),"-")</f>
        <v>47</v>
      </c>
      <c r="Z23" s="79">
        <f>IFERROR(_xlfn.RANK.EQ(INDEX(スコア表[],MATCH($C23,スコア表['#],0),MATCH(Z$5,スコア表[#Headers],0)),スコア表[19],0),"-")</f>
        <v>39</v>
      </c>
      <c r="AA23" s="79">
        <f>IFERROR(_xlfn.RANK.EQ(INDEX(スコア表[],MATCH($C23,スコア表['#],0),MATCH(AA$5,スコア表[#Headers],0)),スコア表[20],0),"-")</f>
        <v>23</v>
      </c>
      <c r="AB23" s="79">
        <f>IFERROR(_xlfn.RANK.EQ(INDEX(スコア表[],MATCH($C23,スコア表['#],0),MATCH(AB$5,スコア表[#Headers],0)),スコア表[21],0),"-")</f>
        <v>11</v>
      </c>
      <c r="AC23" s="79">
        <f>IFERROR(_xlfn.RANK.EQ(INDEX(スコア表[],MATCH($C23,スコア表['#],0),MATCH(AC$5,スコア表[#Headers],0)),スコア表[22],0),"-")</f>
        <v>41</v>
      </c>
      <c r="AD23" s="79">
        <f>IFERROR(_xlfn.RANK.EQ(INDEX(スコア表[],MATCH($C23,スコア表['#],0),MATCH(AD$5,スコア表[#Headers],0)),スコア表[23],0),"-")</f>
        <v>13</v>
      </c>
      <c r="AE23" s="79">
        <f>IFERROR(_xlfn.RANK.EQ(INDEX(スコア表[],MATCH($C23,スコア表['#],0),MATCH(AE$5,スコア表[#Headers],0)),スコア表[24],0),"-")</f>
        <v>45</v>
      </c>
      <c r="AF23" s="79">
        <f>IFERROR(_xlfn.RANK.EQ(INDEX(スコア表[],MATCH($C23,スコア表['#],0),MATCH(AF$5,スコア表[#Headers],0)),スコア表[25],0),"-")</f>
        <v>46</v>
      </c>
      <c r="AG23" s="79">
        <f>IFERROR(_xlfn.RANK.EQ(INDEX(スコア表[],MATCH($C23,スコア表['#],0),MATCH(AG$5,スコア表[#Headers],0)),スコア表[26],0),"-")</f>
        <v>29</v>
      </c>
      <c r="AH23" s="79">
        <f>IFERROR(_xlfn.RANK.EQ(INDEX(スコア表[],MATCH($C23,スコア表['#],0),MATCH(AH$5,スコア表[#Headers],0)),スコア表[27],0),"-")</f>
        <v>24</v>
      </c>
      <c r="AI23" s="79">
        <f>IFERROR(_xlfn.RANK.EQ(INDEX(スコア表[],MATCH($C23,スコア表['#],0),MATCH(AI$5,スコア表[#Headers],0)),スコア表[28],0),"-")</f>
        <v>21</v>
      </c>
      <c r="AJ23" s="79">
        <f>IFERROR(_xlfn.RANK.EQ(INDEX(スコア表[],MATCH($C23,スコア表['#],0),MATCH(AJ$5,スコア表[#Headers],0)),スコア表[29],0),"-")</f>
        <v>42</v>
      </c>
      <c r="AK23" s="79">
        <f>IFERROR(_xlfn.RANK.EQ(INDEX(スコア表[],MATCH($C23,スコア表['#],0),MATCH(AK$5,スコア表[#Headers],0)),スコア表[30],0),"-")</f>
        <v>46</v>
      </c>
      <c r="AL23" s="79">
        <f>IFERROR(_xlfn.RANK.EQ(INDEX(スコア表[],MATCH($C23,スコア表['#],0),MATCH(AL$5,スコア表[#Headers],0)),スコア表[31],0),"-")</f>
        <v>34</v>
      </c>
      <c r="AM23" s="79">
        <f>IFERROR(_xlfn.RANK.EQ(INDEX(スコア表[],MATCH($C23,スコア表['#],0),MATCH(AM$5,スコア表[#Headers],0)),スコア表[32],0),"-")</f>
        <v>47</v>
      </c>
      <c r="AN23" s="79">
        <f>IFERROR(_xlfn.RANK.EQ(INDEX(スコア表[],MATCH($C23,スコア表['#],0),MATCH(AN$5,スコア表[#Headers],0)),スコア表[33],0),"-")</f>
        <v>25</v>
      </c>
      <c r="AO23" s="79">
        <f>IFERROR(_xlfn.RANK.EQ(INDEX(スコア表[],MATCH($C23,スコア表['#],0),MATCH(AO$5,スコア表[#Headers],0)),スコア表[34],0),"-")</f>
        <v>21</v>
      </c>
      <c r="AP23" s="79">
        <f>IFERROR(_xlfn.RANK.EQ(INDEX(スコア表[],MATCH($C23,スコア表['#],0),MATCH(AP$5,スコア表[#Headers],0)),スコア表[35],0),"-")</f>
        <v>32</v>
      </c>
      <c r="AQ23" s="79">
        <f>IFERROR(_xlfn.RANK.EQ(INDEX(スコア表[],MATCH($C23,スコア表['#],0),MATCH(AQ$5,スコア表[#Headers],0)),スコア表[36],0),"-")</f>
        <v>39</v>
      </c>
      <c r="AR23" s="79">
        <f>IFERROR(_xlfn.RANK.EQ(INDEX(スコア表[],MATCH($C23,スコア表['#],0),MATCH(AR$5,スコア表[#Headers],0)),スコア表[37],0),"-")</f>
        <v>48</v>
      </c>
      <c r="AS23" s="79">
        <f>IFERROR(_xlfn.RANK.EQ(INDEX(スコア表[],MATCH($C23,スコア表['#],0),MATCH(AS$5,スコア表[#Headers],0)),スコア表[38],0),"-")</f>
        <v>37</v>
      </c>
      <c r="AT23" s="79">
        <f>IFERROR(_xlfn.RANK.EQ(INDEX(スコア表[],MATCH($C23,スコア表['#],0),MATCH(AT$5,スコア表[#Headers],0)),スコア表[39],0),"-")</f>
        <v>47</v>
      </c>
      <c r="AU23" s="79">
        <f>IFERROR(_xlfn.RANK.EQ(INDEX(スコア表[],MATCH($C23,スコア表['#],0),MATCH(AU$5,スコア表[#Headers],0)),スコア表[40],0),"-")</f>
        <v>11</v>
      </c>
      <c r="AV23" s="79">
        <f>IFERROR(_xlfn.RANK.EQ(INDEX(スコア表[],MATCH($C23,スコア表['#],0),MATCH(AV$5,スコア表[#Headers],0)),スコア表[41],0),"-")</f>
        <v>9</v>
      </c>
      <c r="AW23" s="79">
        <f>IFERROR(_xlfn.RANK.EQ(INDEX(スコア表[],MATCH($C23,スコア表['#],0),MATCH(AW$5,スコア表[#Headers],0)),スコア表[42],0),"-")</f>
        <v>1</v>
      </c>
      <c r="AX23" s="79">
        <f>IFERROR(_xlfn.RANK.EQ(INDEX(スコア表[],MATCH($C23,スコア表['#],0),MATCH(AX$5,スコア表[#Headers],0)),スコア表[43],0),"-")</f>
        <v>23</v>
      </c>
      <c r="AY23" s="79">
        <f>IFERROR(_xlfn.RANK.EQ(INDEX(スコア表[],MATCH($C23,スコア表['#],0),MATCH(AY$5,スコア表[#Headers],0)),スコア表[44],0),"-")</f>
        <v>27</v>
      </c>
      <c r="AZ23" s="79">
        <f>IFERROR(_xlfn.RANK.EQ(INDEX(スコア表[],MATCH($C23,スコア表['#],0),MATCH(AZ$5,スコア表[#Headers],0)),スコア表[45],0),"-")</f>
        <v>47</v>
      </c>
      <c r="BA23" s="79">
        <f>IFERROR(_xlfn.RANK.EQ(INDEX(スコア表[],MATCH($C23,スコア表['#],0),MATCH(BA$5,スコア表[#Headers],0)),スコア表[46],0),"-")</f>
        <v>43</v>
      </c>
      <c r="BB23" s="79">
        <f>IFERROR(_xlfn.RANK.EQ(INDEX(スコア表[],MATCH($C23,スコア表['#],0),MATCH(BB$5,スコア表[#Headers],0)),スコア表[47],0),"-")</f>
        <v>48</v>
      </c>
      <c r="BC23" s="79">
        <f>IFERROR(_xlfn.RANK.EQ(INDEX(スコア表[],MATCH($C23,スコア表['#],0),MATCH(BC$5,スコア表[#Headers],0)),スコア表[48],0),"-")</f>
        <v>46</v>
      </c>
      <c r="BD23" s="79">
        <f>IFERROR(_xlfn.RANK.EQ(INDEX(スコア表[],MATCH($C23,スコア表['#],0),MATCH(BD$5,スコア表[#Headers],0)),スコア表[49],0),"-")</f>
        <v>48</v>
      </c>
      <c r="BE23" s="79">
        <f>IFERROR(_xlfn.RANK.EQ(INDEX(スコア表[],MATCH($C23,スコア表['#],0),MATCH(BE$5,スコア表[#Headers],0)),スコア表[50],0),"-")</f>
        <v>12</v>
      </c>
      <c r="BF23" s="79">
        <f>IFERROR(_xlfn.RANK.EQ(INDEX(スコア表[],MATCH($C23,スコア表['#],0),MATCH(BF$5,スコア表[#Headers],0)),スコア表[51],0),"-")</f>
        <v>33</v>
      </c>
      <c r="BG23" s="79">
        <f>IFERROR(_xlfn.RANK.EQ(INDEX(スコア表[],MATCH($C23,スコア表['#],0),MATCH(BG$5,スコア表[#Headers],0)),スコア表[52],0),"-")</f>
        <v>29</v>
      </c>
      <c r="BH23" s="79">
        <f>IFERROR(_xlfn.RANK.EQ(INDEX(スコア表[],MATCH($C23,スコア表['#],0),MATCH(BH$5,スコア表[#Headers],0)),スコア表[53],0),"-")</f>
        <v>7</v>
      </c>
      <c r="BI23" s="79">
        <f>IFERROR(_xlfn.RANK.EQ(INDEX(スコア表[],MATCH($C23,スコア表['#],0),MATCH(BI$5,スコア表[#Headers],0)),スコア表[54],0),"-")</f>
        <v>40</v>
      </c>
      <c r="BJ23" s="79">
        <f>IFERROR(_xlfn.RANK.EQ(INDEX(スコア表[],MATCH($C23,スコア表['#],0),MATCH(BJ$5,スコア表[#Headers],0)),スコア表[55],0),"-")</f>
        <v>1</v>
      </c>
      <c r="BK23" s="79">
        <f>IFERROR(_xlfn.RANK.EQ(INDEX(スコア表[],MATCH($C23,スコア表['#],0),MATCH(BK$5,スコア表[#Headers],0)),スコア表[56],0),"-")</f>
        <v>47</v>
      </c>
      <c r="BL23" s="79">
        <f>IFERROR(_xlfn.RANK.EQ(INDEX(スコア表[],MATCH($C23,スコア表['#],0),MATCH(BL$5,スコア表[#Headers],0)),スコア表[57],0),"-")</f>
        <v>45</v>
      </c>
      <c r="BM23" s="79">
        <f>IFERROR(_xlfn.RANK.EQ(INDEX(スコア表[],MATCH($C23,スコア表['#],0),MATCH(BM$5,スコア表[#Headers],0)),スコア表[58],0),"-")</f>
        <v>47</v>
      </c>
      <c r="BN23" s="79">
        <f>IFERROR(_xlfn.RANK.EQ(INDEX(スコア表[],MATCH($C23,スコア表['#],0),MATCH(BN$5,スコア表[#Headers],0)),スコア表[59],0),"-")</f>
        <v>45</v>
      </c>
      <c r="BO23" s="79">
        <f>IFERROR(_xlfn.RANK.EQ(INDEX(スコア表[],MATCH($C23,スコア表['#],0),MATCH(BO$5,スコア表[#Headers],0)),スコア表[60],0),"-")</f>
        <v>48</v>
      </c>
      <c r="BP23" s="79">
        <f>IFERROR(_xlfn.RANK.EQ(INDEX(スコア表[],MATCH($C23,スコア表['#],0),MATCH(BP$5,スコア表[#Headers],0)),スコア表[61],0),"-")</f>
        <v>38</v>
      </c>
      <c r="BQ23" s="79">
        <f>IFERROR(_xlfn.RANK.EQ(INDEX(スコア表[],MATCH($C23,スコア表['#],0),MATCH(BQ$5,スコア表[#Headers],0)),スコア表[62],0),"-")</f>
        <v>25</v>
      </c>
      <c r="BR23" s="79">
        <f>IFERROR(_xlfn.RANK.EQ(INDEX(スコア表[],MATCH($C23,スコア表['#],0),MATCH(BR$5,スコア表[#Headers],0)),スコア表[63],0),"-")</f>
        <v>21</v>
      </c>
      <c r="BS23" s="79">
        <f>IFERROR(_xlfn.RANK.EQ(INDEX(スコア表[],MATCH($C23,スコア表['#],0),MATCH(BS$5,スコア表[#Headers],0)),スコア表[64],0),"-")</f>
        <v>21</v>
      </c>
      <c r="BT23" s="79">
        <f>IFERROR(_xlfn.RANK.EQ(INDEX(スコア表[],MATCH($C23,スコア表['#],0),MATCH(BT$5,スコア表[#Headers],0)),スコア表[65],0),"-")</f>
        <v>44</v>
      </c>
      <c r="BU23" s="79">
        <f>IFERROR(_xlfn.RANK.EQ(INDEX(スコア表[],MATCH($C23,スコア表['#],0),MATCH(BU$5,スコア表[#Headers],0)),スコア表[66],0),"-")</f>
        <v>27</v>
      </c>
      <c r="BV23" s="79">
        <f>IFERROR(_xlfn.RANK.EQ(INDEX(スコア表[],MATCH($C23,スコア表['#],0),MATCH(BV$5,スコア表[#Headers],0)),スコア表[67],0),"-")</f>
        <v>33</v>
      </c>
      <c r="BW23" s="79">
        <f>IFERROR(_xlfn.RANK.EQ(INDEX(スコア表[],MATCH($C23,スコア表['#],0),MATCH(BW$5,スコア表[#Headers],0)),スコア表[68],0),"-")</f>
        <v>48</v>
      </c>
      <c r="BX23" s="79">
        <f>IFERROR(_xlfn.RANK.EQ(INDEX(スコア表[],MATCH($C23,スコア表['#],0),MATCH(BX$5,スコア表[#Headers],0)),スコア表[69],0),"-")</f>
        <v>25</v>
      </c>
      <c r="BY23" s="79">
        <f>IFERROR(_xlfn.RANK.EQ(INDEX(スコア表[],MATCH($C23,スコア表['#],0),MATCH(BY$5,スコア表[#Headers],0)),スコア表[70],0),"-")</f>
        <v>10</v>
      </c>
      <c r="BZ23" s="79">
        <f>IFERROR(_xlfn.RANK.EQ(INDEX(スコア表[],MATCH($C23,スコア表['#],0),MATCH(BZ$5,スコア表[#Headers],0)),スコア表[Ec1],0),"-")</f>
        <v>48</v>
      </c>
      <c r="CA23" s="79">
        <f>IFERROR(_xlfn.RANK.EQ(INDEX(スコア表[],MATCH($C23,スコア表['#],0),MATCH(CA$5,スコア表[#Headers],0)),スコア表[Ec2],0),"-")</f>
        <v>44</v>
      </c>
      <c r="CB23" s="79">
        <f>IFERROR(_xlfn.RANK.EQ(INDEX(スコア表[],MATCH($C23,スコア表['#],0),MATCH(CB$5,スコア表[#Headers],0)),スコア表[Ec3],0),"-")</f>
        <v>9</v>
      </c>
      <c r="CC23" s="79">
        <f>IFERROR(_xlfn.RANK.EQ(INDEX(スコア表[],MATCH($C23,スコア表['#],0),MATCH(CC$5,スコア表[#Headers],0)),スコア表[Ec4],0),"-")</f>
        <v>45</v>
      </c>
      <c r="CD23" s="79">
        <f>IFERROR(_xlfn.RANK.EQ(INDEX(スコア表[],MATCH($C23,スコア表['#],0),MATCH(CD$5,スコア表[#Headers],0)),スコア表[Ec5],0),"-")</f>
        <v>45</v>
      </c>
      <c r="CE23" s="79">
        <f>IFERROR(_xlfn.RANK.EQ(INDEX(スコア表[],MATCH($C23,スコア表['#],0),MATCH(CE$5,スコア表[#Headers],0)),スコア表[Ec6],0),"-")</f>
        <v>46</v>
      </c>
      <c r="CF23" s="79">
        <f>IFERROR(_xlfn.RANK.EQ(INDEX(スコア表[],MATCH($C23,スコア表['#],0),MATCH(CF$5,スコア表[#Headers],0)),スコア表[RD1],0),"-")</f>
        <v>45</v>
      </c>
      <c r="CG23" s="79">
        <f>IFERROR(_xlfn.RANK.EQ(INDEX(スコア表[],MATCH($C23,スコア表['#],0),MATCH(CG$5,スコア表[#Headers],0)),スコア表[RD2],0),"-")</f>
        <v>48</v>
      </c>
      <c r="CH23" s="79">
        <f>IFERROR(_xlfn.RANK.EQ(INDEX(スコア表[],MATCH($C23,スコア表['#],0),MATCH(CH$5,スコア表[#Headers],0)),スコア表[RD3],0),"-")</f>
        <v>26</v>
      </c>
      <c r="CI23" s="79">
        <f>IFERROR(_xlfn.RANK.EQ(INDEX(スコア表[],MATCH($C23,スコア表['#],0),MATCH(CI$5,スコア表[#Headers],0)),スコア表[CI1],0),"-")</f>
        <v>31</v>
      </c>
      <c r="CJ23" s="79">
        <f>IFERROR(_xlfn.RANK.EQ(INDEX(スコア表[],MATCH($C23,スコア表['#],0),MATCH(CJ$5,スコア表[#Headers],0)),スコア表[CI2],0),"-")</f>
        <v>27</v>
      </c>
      <c r="CK23" s="79">
        <f>IFERROR(_xlfn.RANK.EQ(INDEX(スコア表[],MATCH($C23,スコア表['#],0),MATCH(CK$5,スコア表[#Headers],0)),スコア表[CI3],0),"-")</f>
        <v>47</v>
      </c>
      <c r="CL23" s="79">
        <f>IFERROR(_xlfn.RANK.EQ(INDEX(スコア表[],MATCH($C23,スコア表['#],0),MATCH(CL$5,スコア表[#Headers],0)),スコア表[CI4],0),"-")</f>
        <v>33</v>
      </c>
      <c r="CM23" s="79">
        <f>IFERROR(_xlfn.RANK.EQ(INDEX(スコア表[],MATCH($C23,スコア表['#],0),MATCH(CM$5,スコア表[#Headers],0)),スコア表[CI5],0),"-")</f>
        <v>47</v>
      </c>
      <c r="CN23" s="79">
        <f>IFERROR(_xlfn.RANK.EQ(INDEX(スコア表[],MATCH($C23,スコア表['#],0),MATCH(CN$5,スコア表[#Headers],0)),スコア表[Li1],0),"-")</f>
        <v>39</v>
      </c>
      <c r="CO23" s="79">
        <f>IFERROR(_xlfn.RANK.EQ(INDEX(スコア表[],MATCH($C23,スコア表['#],0),MATCH(CO$5,スコア表[#Headers],0)),スコア表[Li2],0),"-")</f>
        <v>1</v>
      </c>
      <c r="CP23" s="79">
        <f>IFERROR(_xlfn.RANK.EQ(INDEX(スコア表[],MATCH($C23,スコア表['#],0),MATCH(CP$5,スコア表[#Headers],0)),スコア表[Li3],0),"-")</f>
        <v>17</v>
      </c>
      <c r="CQ23" s="79">
        <f>IFERROR(_xlfn.RANK.EQ(INDEX(スコア表[],MATCH($C23,スコア表['#],0),MATCH(CQ$5,スコア表[#Headers],0)),スコア表[Li4],0),"-")</f>
        <v>48</v>
      </c>
      <c r="CR23" s="79">
        <f>IFERROR(_xlfn.RANK.EQ(INDEX(スコア表[],MATCH($C23,スコア表['#],0),MATCH(CR$5,スコア表[#Headers],0)),スコア表[Li5],0),"-")</f>
        <v>47</v>
      </c>
      <c r="CS23" s="79">
        <f>IFERROR(_xlfn.RANK.EQ(INDEX(スコア表[],MATCH($C23,スコア表['#],0),MATCH(CS$5,スコア表[#Headers],0)),スコア表[En1],0),"-")</f>
        <v>18</v>
      </c>
      <c r="CT23" s="79">
        <f>IFERROR(_xlfn.RANK.EQ(INDEX(スコア表[],MATCH($C23,スコア表['#],0),MATCH(CT$5,スコア表[#Headers],0)),スコア表[En2],0),"-")</f>
        <v>47</v>
      </c>
      <c r="CU23" s="79">
        <f>IFERROR(_xlfn.RANK.EQ(INDEX(スコア表[],MATCH($C23,スコア表['#],0),MATCH(CU$5,スコア表[#Headers],0)),スコア表[En3],0),"-")</f>
        <v>47</v>
      </c>
      <c r="CV23" s="79">
        <f>IFERROR(_xlfn.RANK.EQ(INDEX(スコア表[],MATCH($C23,スコア表['#],0),MATCH(CV$5,スコア表[#Headers],0)),スコア表[Ac1],0),"-")</f>
        <v>41</v>
      </c>
      <c r="CW23" s="79">
        <f>IFERROR(_xlfn.RANK.EQ(INDEX(スコア表[],MATCH($C23,スコア表['#],0),MATCH(CW$5,スコア表[#Headers],0)),スコア表[Ac2],0),"-")</f>
        <v>23</v>
      </c>
      <c r="CX23" s="79">
        <f>IFERROR(_xlfn.RANK.EQ(INDEX(スコア表[],MATCH($C23,スコア表['#],0),MATCH(CX$5,スコア表[#Headers],0)),スコア表[Ac3],0),"-")</f>
        <v>40</v>
      </c>
      <c r="CY23" s="79">
        <f>IFERROR(_xlfn.RANK.EQ(INDEX(スコア表[],MATCH($C23,スコア表['#],0),MATCH(CY$5,スコア表[#Headers],0)),スコア表[Ac4],0),"-")</f>
        <v>42</v>
      </c>
      <c r="CZ23" s="79">
        <f>IFERROR(_xlfn.RANK.EQ(INDEX(スコア表[],MATCH($C23,スコア表['#],0),MATCH(CZ$5,スコア表[#Headers],0)),スコア表[Economy],0),"-")</f>
        <v>47</v>
      </c>
      <c r="DA23" s="79">
        <f>IFERROR(_xlfn.RANK.EQ(INDEX(スコア表[],MATCH($C23,スコア表['#],0),MATCH(DA$5,スコア表[#Headers],0)),スコア表[R&amp;D],0),"-")</f>
        <v>47</v>
      </c>
      <c r="DB23" s="79">
        <f>IFERROR(_xlfn.RANK.EQ(INDEX(スコア表[],MATCH($C23,スコア表['#],0),MATCH(DB$5,スコア表[#Headers],0)),スコア表[Cultural Interaction],0),"-")</f>
        <v>41</v>
      </c>
      <c r="DC23" s="79">
        <f>IFERROR(_xlfn.RANK.EQ(INDEX(スコア表[],MATCH($C23,スコア表['#],0),MATCH(DC$5,スコア表[#Headers],0)),スコア表[Livability],0),"-")</f>
        <v>45</v>
      </c>
      <c r="DD23" s="79">
        <f>IFERROR(_xlfn.RANK.EQ(INDEX(スコア表[],MATCH($C23,スコア表['#],0),MATCH(DD$5,スコア表[#Headers],0)),スコア表[Environment],0),"-")</f>
        <v>46</v>
      </c>
      <c r="DE23" s="79">
        <f>IFERROR(_xlfn.RANK.EQ(INDEX(スコア表[],MATCH($C23,スコア表['#],0),MATCH(DE$5,スコア表[#Headers],0)),スコア表[Accessibility],0),"-")</f>
        <v>44</v>
      </c>
      <c r="DF23" s="81">
        <f>IFERROR(_xlfn.RANK.EQ(INDEX(スコア表[],MATCH($C23,スコア表['#],0),MATCH(DF$5,スコア表[#Headers],0)),スコア表[Comprehensive],0),"-")</f>
        <v>48</v>
      </c>
    </row>
    <row r="24" spans="1:110">
      <c r="A24" s="2">
        <v>19</v>
      </c>
      <c r="B24" s="58">
        <f>INDEX(順位表[Comprehensive],MATCH($C24,順位表['#],0))</f>
        <v>38</v>
      </c>
      <c r="C24" s="3">
        <v>19</v>
      </c>
      <c r="D24" s="1" t="str">
        <f>INDEX(都市マスタ[City Name],MATCH($C24,都市マスタ['#],0))</f>
        <v>Bangkok</v>
      </c>
      <c r="E24" s="79">
        <f>IFERROR(_xlfn.RANK.EQ(INDEX(スコア表[],MATCH($C24,スコア表['#],0),MATCH(E$5,スコア表[#Headers],0)),スコア表[00a],0),"-")</f>
        <v>12</v>
      </c>
      <c r="F24" s="79">
        <f>IFERROR(_xlfn.RANK.EQ(INDEX(スコア表[],MATCH($C24,スコア表['#],0),MATCH(F$5,スコア表[#Headers],0)),スコア表[00b],0),"-")</f>
        <v>11</v>
      </c>
      <c r="G24" s="79">
        <f>IFERROR(_xlfn.RANK.EQ(INDEX(スコア表[],MATCH($C24,スコア表['#],0),MATCH(G$5,スコア表[#Headers],0)),スコア表[00c],0),"-")</f>
        <v>9</v>
      </c>
      <c r="H24" s="79">
        <f>IFERROR(_xlfn.RANK.EQ(INDEX(スコア表[],MATCH($C24,スコア表['#],0),MATCH(H$5,スコア表[#Headers],0)),スコア表[01],0),"-")</f>
        <v>21</v>
      </c>
      <c r="I24" s="79">
        <f>IFERROR(_xlfn.RANK.EQ(INDEX(スコア表[],MATCH($C24,スコア表['#],0),MATCH(I$5,スコア表[#Headers],0)),スコア表[02],0),"-")</f>
        <v>42</v>
      </c>
      <c r="J24" s="79">
        <f>IFERROR(_xlfn.RANK.EQ(INDEX(スコア表[],MATCH($C24,スコア表['#],0),MATCH(J$5,スコア表[#Headers],0)),スコア表[03],0),"-")</f>
        <v>34</v>
      </c>
      <c r="K24" s="79">
        <f>IFERROR(_xlfn.RANK.EQ(INDEX(スコア表[],MATCH($C24,スコア表['#],0),MATCH(K$5,スコア表[#Headers],0)),スコア表[04],0),"-")</f>
        <v>38</v>
      </c>
      <c r="L24" s="79">
        <f>IFERROR(_xlfn.RANK.EQ(INDEX(スコア表[],MATCH($C24,スコア表['#],0),MATCH(L$5,スコア表[#Headers],0)),スコア表[05],0),"-")</f>
        <v>21</v>
      </c>
      <c r="M24" s="79">
        <f>IFERROR(_xlfn.RANK.EQ(INDEX(スコア表[],MATCH($C24,スコア表['#],0),MATCH(M$5,スコア表[#Headers],0)),スコア表[06],0),"-")</f>
        <v>23</v>
      </c>
      <c r="N24" s="79">
        <f>IFERROR(_xlfn.RANK.EQ(INDEX(スコア表[],MATCH($C24,スコア表['#],0),MATCH(N$5,スコア表[#Headers],0)),スコア表[07],0),"-")</f>
        <v>10</v>
      </c>
      <c r="O24" s="79">
        <f>IFERROR(_xlfn.RANK.EQ(INDEX(スコア表[],MATCH($C24,スコア表['#],0),MATCH(O$5,スコア表[#Headers],0)),スコア表[08],0),"-")</f>
        <v>42</v>
      </c>
      <c r="P24" s="79">
        <f>IFERROR(_xlfn.RANK.EQ(INDEX(スコア表[],MATCH($C24,スコア表['#],0),MATCH(P$5,スコア表[#Headers],0)),スコア表[09],0),"-")</f>
        <v>44</v>
      </c>
      <c r="Q24" s="79">
        <f>IFERROR(_xlfn.RANK.EQ(INDEX(スコア表[],MATCH($C24,スコア表['#],0),MATCH(Q$5,スコア表[#Headers],0)),スコア表[10],0),"-")</f>
        <v>41</v>
      </c>
      <c r="R24" s="79">
        <f>IFERROR(_xlfn.RANK.EQ(INDEX(スコア表[],MATCH($C24,スコア表['#],0),MATCH(R$5,スコア表[#Headers],0)),スコア表[11],0),"-")</f>
        <v>7</v>
      </c>
      <c r="S24" s="79">
        <f>IFERROR(_xlfn.RANK.EQ(INDEX(スコア表[],MATCH($C24,スコア表['#],0),MATCH(S$5,スコア表[#Headers],0)),スコア表[12],0),"-")</f>
        <v>7</v>
      </c>
      <c r="T24" s="79">
        <f>IFERROR(_xlfn.RANK.EQ(INDEX(スコア表[],MATCH($C24,スコア表['#],0),MATCH(T$5,スコア表[#Headers],0)),スコア表[13],0),"-")</f>
        <v>38</v>
      </c>
      <c r="U24" s="79">
        <f>IFERROR(_xlfn.RANK.EQ(INDEX(スコア表[],MATCH($C24,スコア表['#],0),MATCH(U$5,スコア表[#Headers],0)),スコア表[14],0),"-")</f>
        <v>21</v>
      </c>
      <c r="V24" s="79">
        <f>IFERROR(_xlfn.RANK.EQ(INDEX(スコア表[],MATCH($C24,スコア表['#],0),MATCH(V$5,スコア表[#Headers],0)),スコア表[15],0),"-")</f>
        <v>37</v>
      </c>
      <c r="W24" s="79">
        <f>IFERROR(_xlfn.RANK.EQ(INDEX(スコア表[],MATCH($C24,スコア表['#],0),MATCH(W$5,スコア表[#Headers],0)),スコア表[16],0),"-")</f>
        <v>37</v>
      </c>
      <c r="X24" s="79">
        <f>IFERROR(_xlfn.RANK.EQ(INDEX(スコア表[],MATCH($C24,スコア表['#],0),MATCH(X$5,スコア表[#Headers],0)),スコア表[17],0),"-")</f>
        <v>42</v>
      </c>
      <c r="Y24" s="79">
        <f>IFERROR(_xlfn.RANK.EQ(INDEX(スコア表[],MATCH($C24,スコア表['#],0),MATCH(Y$5,スコア表[#Headers],0)),スコア表[18],0),"-")</f>
        <v>42</v>
      </c>
      <c r="Z24" s="79">
        <f>IFERROR(_xlfn.RANK.EQ(INDEX(スコア表[],MATCH($C24,スコア表['#],0),MATCH(Z$5,スコア表[#Headers],0)),スコア表[19],0),"-")</f>
        <v>29</v>
      </c>
      <c r="AA24" s="79">
        <f>IFERROR(_xlfn.RANK.EQ(INDEX(スコア表[],MATCH($C24,スコア表['#],0),MATCH(AA$5,スコア表[#Headers],0)),スコア表[20],0),"-")</f>
        <v>23</v>
      </c>
      <c r="AB24" s="79">
        <f>IFERROR(_xlfn.RANK.EQ(INDEX(スコア表[],MATCH($C24,スコア表['#],0),MATCH(AB$5,スコア表[#Headers],0)),スコア表[21],0),"-")</f>
        <v>46</v>
      </c>
      <c r="AC24" s="79">
        <f>IFERROR(_xlfn.RANK.EQ(INDEX(スコア表[],MATCH($C24,スコア表['#],0),MATCH(AC$5,スコア表[#Headers],0)),スコア表[22],0),"-")</f>
        <v>13</v>
      </c>
      <c r="AD24" s="79">
        <f>IFERROR(_xlfn.RANK.EQ(INDEX(スコア表[],MATCH($C24,スコア表['#],0),MATCH(AD$5,スコア表[#Headers],0)),スコア表[23],0),"-")</f>
        <v>39</v>
      </c>
      <c r="AE24" s="79">
        <f>IFERROR(_xlfn.RANK.EQ(INDEX(スコア表[],MATCH($C24,スコア表['#],0),MATCH(AE$5,スコア表[#Headers],0)),スコア表[24],0),"-")</f>
        <v>37</v>
      </c>
      <c r="AF24" s="79">
        <f>IFERROR(_xlfn.RANK.EQ(INDEX(スコア表[],MATCH($C24,スコア表['#],0),MATCH(AF$5,スコア表[#Headers],0)),スコア表[25],0),"-")</f>
        <v>39</v>
      </c>
      <c r="AG24" s="79">
        <f>IFERROR(_xlfn.RANK.EQ(INDEX(スコア表[],MATCH($C24,スコア表['#],0),MATCH(AG$5,スコア表[#Headers],0)),スコア表[26],0),"-")</f>
        <v>27</v>
      </c>
      <c r="AH24" s="79">
        <f>IFERROR(_xlfn.RANK.EQ(INDEX(スコア表[],MATCH($C24,スコア表['#],0),MATCH(AH$5,スコア表[#Headers],0)),スコア表[27],0),"-")</f>
        <v>31</v>
      </c>
      <c r="AI24" s="79">
        <f>IFERROR(_xlfn.RANK.EQ(INDEX(スコア表[],MATCH($C24,スコア表['#],0),MATCH(AI$5,スコア表[#Headers],0)),スコア表[28],0),"-")</f>
        <v>14</v>
      </c>
      <c r="AJ24" s="79">
        <f>IFERROR(_xlfn.RANK.EQ(INDEX(スコア表[],MATCH($C24,スコア表['#],0),MATCH(AJ$5,スコア表[#Headers],0)),スコア表[29],0),"-")</f>
        <v>41</v>
      </c>
      <c r="AK24" s="79">
        <f>IFERROR(_xlfn.RANK.EQ(INDEX(スコア表[],MATCH($C24,スコア表['#],0),MATCH(AK$5,スコア表[#Headers],0)),スコア表[30],0),"-")</f>
        <v>33</v>
      </c>
      <c r="AL24" s="79">
        <f>IFERROR(_xlfn.RANK.EQ(INDEX(スコア表[],MATCH($C24,スコア表['#],0),MATCH(AL$5,スコア表[#Headers],0)),スコア表[31],0),"-")</f>
        <v>23</v>
      </c>
      <c r="AM24" s="79">
        <f>IFERROR(_xlfn.RANK.EQ(INDEX(スコア表[],MATCH($C24,スコア表['#],0),MATCH(AM$5,スコア表[#Headers],0)),スコア表[32],0),"-")</f>
        <v>2</v>
      </c>
      <c r="AN24" s="79">
        <f>IFERROR(_xlfn.RANK.EQ(INDEX(スコア表[],MATCH($C24,スコア表['#],0),MATCH(AN$5,スコア表[#Headers],0)),スコア表[33],0),"-")</f>
        <v>1</v>
      </c>
      <c r="AO24" s="79">
        <f>IFERROR(_xlfn.RANK.EQ(INDEX(スコア表[],MATCH($C24,スコア表['#],0),MATCH(AO$5,スコア表[#Headers],0)),スコア表[34],0),"-")</f>
        <v>4</v>
      </c>
      <c r="AP24" s="79">
        <f>IFERROR(_xlfn.RANK.EQ(INDEX(スコア表[],MATCH($C24,スコア表['#],0),MATCH(AP$5,スコア表[#Headers],0)),スコア表[35],0),"-")</f>
        <v>10</v>
      </c>
      <c r="AQ24" s="79">
        <f>IFERROR(_xlfn.RANK.EQ(INDEX(スコア表[],MATCH($C24,スコア表['#],0),MATCH(AQ$5,スコア表[#Headers],0)),スコア表[36],0),"-")</f>
        <v>45</v>
      </c>
      <c r="AR24" s="79">
        <f>IFERROR(_xlfn.RANK.EQ(INDEX(スコア表[],MATCH($C24,スコア表['#],0),MATCH(AR$5,スコア表[#Headers],0)),スコア表[37],0),"-")</f>
        <v>4</v>
      </c>
      <c r="AS24" s="79">
        <f>IFERROR(_xlfn.RANK.EQ(INDEX(スコア表[],MATCH($C24,スコア表['#],0),MATCH(AS$5,スコア表[#Headers],0)),スコア表[38],0),"-")</f>
        <v>2</v>
      </c>
      <c r="AT24" s="79">
        <f>IFERROR(_xlfn.RANK.EQ(INDEX(スコア表[],MATCH($C24,スコア表['#],0),MATCH(AT$5,スコア表[#Headers],0)),スコア表[39],0),"-")</f>
        <v>35</v>
      </c>
      <c r="AU24" s="79">
        <f>IFERROR(_xlfn.RANK.EQ(INDEX(スコア表[],MATCH($C24,スコア表['#],0),MATCH(AU$5,スコア表[#Headers],0)),スコア表[40],0),"-")</f>
        <v>8</v>
      </c>
      <c r="AV24" s="79">
        <f>IFERROR(_xlfn.RANK.EQ(INDEX(スコア表[],MATCH($C24,スコア表['#],0),MATCH(AV$5,スコア表[#Headers],0)),スコア表[41],0),"-")</f>
        <v>11</v>
      </c>
      <c r="AW24" s="79">
        <f>IFERROR(_xlfn.RANK.EQ(INDEX(スコア表[],MATCH($C24,スコア表['#],0),MATCH(AW$5,スコア表[#Headers],0)),スコア表[42],0),"-")</f>
        <v>8</v>
      </c>
      <c r="AX24" s="79">
        <f>IFERROR(_xlfn.RANK.EQ(INDEX(スコア表[],MATCH($C24,スコア表['#],0),MATCH(AX$5,スコア表[#Headers],0)),スコア表[43],0),"-")</f>
        <v>7</v>
      </c>
      <c r="AY24" s="79">
        <f>IFERROR(_xlfn.RANK.EQ(INDEX(スコア表[],MATCH($C24,スコア表['#],0),MATCH(AY$5,スコア表[#Headers],0)),スコア表[44],0),"-")</f>
        <v>28</v>
      </c>
      <c r="AZ24" s="79">
        <f>IFERROR(_xlfn.RANK.EQ(INDEX(スコア表[],MATCH($C24,スコア表['#],0),MATCH(AZ$5,スコア表[#Headers],0)),スコア表[45],0),"-")</f>
        <v>36</v>
      </c>
      <c r="BA24" s="79">
        <f>IFERROR(_xlfn.RANK.EQ(INDEX(スコア表[],MATCH($C24,スコア表['#],0),MATCH(BA$5,スコア表[#Headers],0)),スコア表[46],0),"-")</f>
        <v>42</v>
      </c>
      <c r="BB24" s="79">
        <f>IFERROR(_xlfn.RANK.EQ(INDEX(スコア表[],MATCH($C24,スコア表['#],0),MATCH(BB$5,スコア表[#Headers],0)),スコア表[47],0),"-")</f>
        <v>14</v>
      </c>
      <c r="BC24" s="79">
        <f>IFERROR(_xlfn.RANK.EQ(INDEX(スコア表[],MATCH($C24,スコア表['#],0),MATCH(BC$5,スコア表[#Headers],0)),スコア表[48],0),"-")</f>
        <v>45</v>
      </c>
      <c r="BD24" s="79">
        <f>IFERROR(_xlfn.RANK.EQ(INDEX(スコア表[],MATCH($C24,スコア表['#],0),MATCH(BD$5,スコア表[#Headers],0)),スコア表[49],0),"-")</f>
        <v>40</v>
      </c>
      <c r="BE24" s="79">
        <f>IFERROR(_xlfn.RANK.EQ(INDEX(スコア表[],MATCH($C24,スコア表['#],0),MATCH(BE$5,スコア表[#Headers],0)),スコア表[50],0),"-")</f>
        <v>29</v>
      </c>
      <c r="BF24" s="79">
        <f>IFERROR(_xlfn.RANK.EQ(INDEX(スコア表[],MATCH($C24,スコア表['#],0),MATCH(BF$5,スコア表[#Headers],0)),スコア表[51],0),"-")</f>
        <v>30</v>
      </c>
      <c r="BG24" s="79">
        <f>IFERROR(_xlfn.RANK.EQ(INDEX(スコア表[],MATCH($C24,スコア表['#],0),MATCH(BG$5,スコア表[#Headers],0)),スコア表[52],0),"-")</f>
        <v>42</v>
      </c>
      <c r="BH24" s="79">
        <f>IFERROR(_xlfn.RANK.EQ(INDEX(スコア表[],MATCH($C24,スコア表['#],0),MATCH(BH$5,スコア表[#Headers],0)),スコア表[53],0),"-")</f>
        <v>11</v>
      </c>
      <c r="BI24" s="79">
        <f>IFERROR(_xlfn.RANK.EQ(INDEX(スコア表[],MATCH($C24,スコア表['#],0),MATCH(BI$5,スコア表[#Headers],0)),スコア表[54],0),"-")</f>
        <v>8</v>
      </c>
      <c r="BJ24" s="79">
        <f>IFERROR(_xlfn.RANK.EQ(INDEX(スコア表[],MATCH($C24,スコア表['#],0),MATCH(BJ$5,スコア表[#Headers],0)),スコア表[55],0),"-")</f>
        <v>27</v>
      </c>
      <c r="BK24" s="79">
        <f>IFERROR(_xlfn.RANK.EQ(INDEX(スコア表[],MATCH($C24,スコア表['#],0),MATCH(BK$5,スコア表[#Headers],0)),スコア表[56],0),"-")</f>
        <v>37</v>
      </c>
      <c r="BL24" s="79">
        <f>IFERROR(_xlfn.RANK.EQ(INDEX(スコア表[],MATCH($C24,スコア表['#],0),MATCH(BL$5,スコア表[#Headers],0)),スコア表[57],0),"-")</f>
        <v>48</v>
      </c>
      <c r="BM24" s="79">
        <f>IFERROR(_xlfn.RANK.EQ(INDEX(スコア表[],MATCH($C24,スコア表['#],0),MATCH(BM$5,スコア表[#Headers],0)),スコア表[58],0),"-")</f>
        <v>44</v>
      </c>
      <c r="BN24" s="79">
        <f>IFERROR(_xlfn.RANK.EQ(INDEX(スコア表[],MATCH($C24,スコア表['#],0),MATCH(BN$5,スコア表[#Headers],0)),スコア表[59],0),"-")</f>
        <v>26</v>
      </c>
      <c r="BO24" s="79">
        <f>IFERROR(_xlfn.RANK.EQ(INDEX(スコア表[],MATCH($C24,スコア表['#],0),MATCH(BO$5,スコア表[#Headers],0)),スコア表[60],0),"-")</f>
        <v>36</v>
      </c>
      <c r="BP24" s="79">
        <f>IFERROR(_xlfn.RANK.EQ(INDEX(スコア表[],MATCH($C24,スコア表['#],0),MATCH(BP$5,スコア表[#Headers],0)),スコア表[61],0),"-")</f>
        <v>24</v>
      </c>
      <c r="BQ24" s="79">
        <f>IFERROR(_xlfn.RANK.EQ(INDEX(スコア表[],MATCH($C24,スコア表['#],0),MATCH(BQ$5,スコア表[#Headers],0)),スコア表[62],0),"-")</f>
        <v>17</v>
      </c>
      <c r="BR24" s="79">
        <f>IFERROR(_xlfn.RANK.EQ(INDEX(スコア表[],MATCH($C24,スコア表['#],0),MATCH(BR$5,スコア表[#Headers],0)),スコア表[63],0),"-")</f>
        <v>14</v>
      </c>
      <c r="BS24" s="79">
        <f>IFERROR(_xlfn.RANK.EQ(INDEX(スコア表[],MATCH($C24,スコア表['#],0),MATCH(BS$5,スコア表[#Headers],0)),スコア表[64],0),"-")</f>
        <v>13</v>
      </c>
      <c r="BT24" s="79">
        <f>IFERROR(_xlfn.RANK.EQ(INDEX(スコア表[],MATCH($C24,スコア表['#],0),MATCH(BT$5,スコア表[#Headers],0)),スコア表[65],0),"-")</f>
        <v>34</v>
      </c>
      <c r="BU24" s="79">
        <f>IFERROR(_xlfn.RANK.EQ(INDEX(スコア表[],MATCH($C24,スコア表['#],0),MATCH(BU$5,スコア表[#Headers],0)),スコア表[66],0),"-")</f>
        <v>42</v>
      </c>
      <c r="BV24" s="79">
        <f>IFERROR(_xlfn.RANK.EQ(INDEX(スコア表[],MATCH($C24,スコア表['#],0),MATCH(BV$5,スコア表[#Headers],0)),スコア表[67],0),"-")</f>
        <v>32</v>
      </c>
      <c r="BW24" s="79">
        <f>IFERROR(_xlfn.RANK.EQ(INDEX(スコア表[],MATCH($C24,スコア表['#],0),MATCH(BW$5,スコア表[#Headers],0)),スコア表[68],0),"-")</f>
        <v>38</v>
      </c>
      <c r="BX24" s="79">
        <f>IFERROR(_xlfn.RANK.EQ(INDEX(スコア表[],MATCH($C24,スコア表['#],0),MATCH(BX$5,スコア表[#Headers],0)),スコア表[69],0),"-")</f>
        <v>21</v>
      </c>
      <c r="BY24" s="79">
        <f>IFERROR(_xlfn.RANK.EQ(INDEX(スコア表[],MATCH($C24,スコア表['#],0),MATCH(BY$5,スコア表[#Headers],0)),スコア表[70],0),"-")</f>
        <v>29</v>
      </c>
      <c r="BZ24" s="79">
        <f>IFERROR(_xlfn.RANK.EQ(INDEX(スコア表[],MATCH($C24,スコア表['#],0),MATCH(BZ$5,スコア表[#Headers],0)),スコア表[Ec1],0),"-")</f>
        <v>40</v>
      </c>
      <c r="CA24" s="79">
        <f>IFERROR(_xlfn.RANK.EQ(INDEX(スコア表[],MATCH($C24,スコア表['#],0),MATCH(CA$5,スコア表[#Headers],0)),スコア表[Ec2],0),"-")</f>
        <v>36</v>
      </c>
      <c r="CB24" s="79">
        <f>IFERROR(_xlfn.RANK.EQ(INDEX(スコア表[],MATCH($C24,スコア表['#],0),MATCH(CB$5,スコア表[#Headers],0)),スコア表[Ec3],0),"-")</f>
        <v>22</v>
      </c>
      <c r="CC24" s="79">
        <f>IFERROR(_xlfn.RANK.EQ(INDEX(スコア表[],MATCH($C24,スコア表['#],0),MATCH(CC$5,スコア表[#Headers],0)),スコア表[Ec4],0),"-")</f>
        <v>27</v>
      </c>
      <c r="CD24" s="79">
        <f>IFERROR(_xlfn.RANK.EQ(INDEX(スコア表[],MATCH($C24,スコア表['#],0),MATCH(CD$5,スコア表[#Headers],0)),スコア表[Ec5],0),"-")</f>
        <v>35</v>
      </c>
      <c r="CE24" s="79">
        <f>IFERROR(_xlfn.RANK.EQ(INDEX(スコア表[],MATCH($C24,スコア表['#],0),MATCH(CE$5,スコア表[#Headers],0)),スコア表[Ec6],0),"-")</f>
        <v>12</v>
      </c>
      <c r="CF24" s="79">
        <f>IFERROR(_xlfn.RANK.EQ(INDEX(スコア表[],MATCH($C24,スコア表['#],0),MATCH(CF$5,スコア表[#Headers],0)),スコア表[RD1],0),"-")</f>
        <v>31</v>
      </c>
      <c r="CG24" s="79">
        <f>IFERROR(_xlfn.RANK.EQ(INDEX(スコア表[],MATCH($C24,スコア表['#],0),MATCH(CG$5,スコア表[#Headers],0)),スコア表[RD2],0),"-")</f>
        <v>42</v>
      </c>
      <c r="CH24" s="79">
        <f>IFERROR(_xlfn.RANK.EQ(INDEX(スコア表[],MATCH($C24,スコア表['#],0),MATCH(CH$5,スコア表[#Headers],0)),スコア表[RD3],0),"-")</f>
        <v>48</v>
      </c>
      <c r="CI24" s="79">
        <f>IFERROR(_xlfn.RANK.EQ(INDEX(スコア表[],MATCH($C24,スコア表['#],0),MATCH(CI$5,スコア表[#Headers],0)),スコア表[CI1],0),"-")</f>
        <v>40</v>
      </c>
      <c r="CJ24" s="79">
        <f>IFERROR(_xlfn.RANK.EQ(INDEX(スコア表[],MATCH($C24,スコア表['#],0),MATCH(CJ$5,スコア表[#Headers],0)),スコア表[CI2],0),"-")</f>
        <v>25</v>
      </c>
      <c r="CK24" s="79">
        <f>IFERROR(_xlfn.RANK.EQ(INDEX(スコア表[],MATCH($C24,スコア表['#],0),MATCH(CK$5,スコア表[#Headers],0)),スコア表[CI3],0),"-")</f>
        <v>37</v>
      </c>
      <c r="CL24" s="79">
        <f>IFERROR(_xlfn.RANK.EQ(INDEX(スコア表[],MATCH($C24,スコア表['#],0),MATCH(CL$5,スコア表[#Headers],0)),スコア表[CI4],0),"-")</f>
        <v>2</v>
      </c>
      <c r="CM24" s="79">
        <f>IFERROR(_xlfn.RANK.EQ(INDEX(スコア表[],MATCH($C24,スコア表['#],0),MATCH(CM$5,スコア表[#Headers],0)),スコア表[CI5],0),"-")</f>
        <v>6</v>
      </c>
      <c r="CN24" s="79">
        <f>IFERROR(_xlfn.RANK.EQ(INDEX(スコア表[],MATCH($C24,スコア表['#],0),MATCH(CN$5,スコア表[#Headers],0)),スコア表[Li1],0),"-")</f>
        <v>5</v>
      </c>
      <c r="CO24" s="79">
        <f>IFERROR(_xlfn.RANK.EQ(INDEX(スコア表[],MATCH($C24,スコア表['#],0),MATCH(CO$5,スコア表[#Headers],0)),スコア表[Li2],0),"-")</f>
        <v>8</v>
      </c>
      <c r="CP24" s="79">
        <f>IFERROR(_xlfn.RANK.EQ(INDEX(スコア表[],MATCH($C24,スコア表['#],0),MATCH(CP$5,スコア表[#Headers],0)),スコア表[Li3],0),"-")</f>
        <v>11</v>
      </c>
      <c r="CQ24" s="79">
        <f>IFERROR(_xlfn.RANK.EQ(INDEX(スコア表[],MATCH($C24,スコア表['#],0),MATCH(CQ$5,スコア表[#Headers],0)),スコア表[Li4],0),"-")</f>
        <v>34</v>
      </c>
      <c r="CR24" s="79">
        <f>IFERROR(_xlfn.RANK.EQ(INDEX(スコア表[],MATCH($C24,スコア表['#],0),MATCH(CR$5,スコア表[#Headers],0)),スコア表[Li5],0),"-")</f>
        <v>45</v>
      </c>
      <c r="CS24" s="79">
        <f>IFERROR(_xlfn.RANK.EQ(INDEX(スコア表[],MATCH($C24,スコア表['#],0),MATCH(CS$5,スコア表[#Headers],0)),スコア表[En1],0),"-")</f>
        <v>16</v>
      </c>
      <c r="CT24" s="79">
        <f>IFERROR(_xlfn.RANK.EQ(INDEX(スコア表[],MATCH($C24,スコア表['#],0),MATCH(CT$5,スコア表[#Headers],0)),スコア表[En2],0),"-")</f>
        <v>43</v>
      </c>
      <c r="CU24" s="79">
        <f>IFERROR(_xlfn.RANK.EQ(INDEX(スコア表[],MATCH($C24,スコア表['#],0),MATCH(CU$5,スコア表[#Headers],0)),スコア表[En3],0),"-")</f>
        <v>41</v>
      </c>
      <c r="CV24" s="79">
        <f>IFERROR(_xlfn.RANK.EQ(INDEX(スコア表[],MATCH($C24,スコア表['#],0),MATCH(CV$5,スコア表[#Headers],0)),スコア表[Ac1],0),"-")</f>
        <v>19</v>
      </c>
      <c r="CW24" s="79">
        <f>IFERROR(_xlfn.RANK.EQ(INDEX(スコア表[],MATCH($C24,スコア表['#],0),MATCH(CW$5,スコア表[#Headers],0)),スコア表[Ac2],0),"-")</f>
        <v>14</v>
      </c>
      <c r="CX24" s="79">
        <f>IFERROR(_xlfn.RANK.EQ(INDEX(スコア表[],MATCH($C24,スコア表['#],0),MATCH(CX$5,スコア表[#Headers],0)),スコア表[Ac3],0),"-")</f>
        <v>42</v>
      </c>
      <c r="CY24" s="79">
        <f>IFERROR(_xlfn.RANK.EQ(INDEX(スコア表[],MATCH($C24,スコア表['#],0),MATCH(CY$5,スコア表[#Headers],0)),スコア表[Ac4],0),"-")</f>
        <v>38</v>
      </c>
      <c r="CZ24" s="79">
        <f>IFERROR(_xlfn.RANK.EQ(INDEX(スコア表[],MATCH($C24,スコア表['#],0),MATCH(CZ$5,スコア表[#Headers],0)),スコア表[Economy],0),"-")</f>
        <v>35</v>
      </c>
      <c r="DA24" s="79">
        <f>IFERROR(_xlfn.RANK.EQ(INDEX(スコア表[],MATCH($C24,スコア表['#],0),MATCH(DA$5,スコア表[#Headers],0)),スコア表[R&amp;D],0),"-")</f>
        <v>41</v>
      </c>
      <c r="DB24" s="79">
        <f>IFERROR(_xlfn.RANK.EQ(INDEX(スコア表[],MATCH($C24,スコア表['#],0),MATCH(DB$5,スコア表[#Headers],0)),スコア表[Cultural Interaction],0),"-")</f>
        <v>12</v>
      </c>
      <c r="DC24" s="79">
        <f>IFERROR(_xlfn.RANK.EQ(INDEX(スコア表[],MATCH($C24,スコア表['#],0),MATCH(DC$5,スコア表[#Headers],0)),スコア表[Livability],0),"-")</f>
        <v>20</v>
      </c>
      <c r="DD24" s="79">
        <f>IFERROR(_xlfn.RANK.EQ(INDEX(スコア表[],MATCH($C24,スコア表['#],0),MATCH(DD$5,スコア表[#Headers],0)),スコア表[Environment],0),"-")</f>
        <v>45</v>
      </c>
      <c r="DE24" s="79">
        <f>IFERROR(_xlfn.RANK.EQ(INDEX(スコア表[],MATCH($C24,スコア表['#],0),MATCH(DE$5,スコア表[#Headers],0)),スコア表[Accessibility],0),"-")</f>
        <v>35</v>
      </c>
      <c r="DF24" s="81">
        <f>IFERROR(_xlfn.RANK.EQ(INDEX(スコア表[],MATCH($C24,スコア表['#],0),MATCH(DF$5,スコア表[#Headers],0)),スコア表[Comprehensive],0),"-")</f>
        <v>38</v>
      </c>
    </row>
    <row r="25" spans="1:110">
      <c r="A25" s="2">
        <v>20</v>
      </c>
      <c r="B25" s="58">
        <f>INDEX(順位表[Comprehensive],MATCH($C25,順位表['#],0))</f>
        <v>41</v>
      </c>
      <c r="C25" s="3">
        <v>20</v>
      </c>
      <c r="D25" s="1" t="str">
        <f>INDEX(都市マスタ[City Name],MATCH($C25,都市マスタ['#],0))</f>
        <v>Kuala Lumpur</v>
      </c>
      <c r="E25" s="79">
        <f>IFERROR(_xlfn.RANK.EQ(INDEX(スコア表[],MATCH($C25,スコア表['#],0),MATCH(E$5,スコア表[#Headers],0)),スコア表[00a],0),"-")</f>
        <v>31</v>
      </c>
      <c r="F25" s="79">
        <f>IFERROR(_xlfn.RANK.EQ(INDEX(スコア表[],MATCH($C25,スコア表['#],0),MATCH(F$5,スコア表[#Headers],0)),スコア表[00b],0),"-")</f>
        <v>30</v>
      </c>
      <c r="G25" s="79">
        <f>IFERROR(_xlfn.RANK.EQ(INDEX(スコア表[],MATCH($C25,スコア表['#],0),MATCH(G$5,スコア表[#Headers],0)),スコア表[00c],0),"-")</f>
        <v>21</v>
      </c>
      <c r="H25" s="79">
        <f>IFERROR(_xlfn.RANK.EQ(INDEX(スコア表[],MATCH($C25,スコア表['#],0),MATCH(H$5,スコア表[#Headers],0)),スコア表[01],0),"-")</f>
        <v>42</v>
      </c>
      <c r="I25" s="79">
        <f>IFERROR(_xlfn.RANK.EQ(INDEX(スコア表[],MATCH($C25,スコア表['#],0),MATCH(I$5,スコア表[#Headers],0)),スコア表[02],0),"-")</f>
        <v>36</v>
      </c>
      <c r="J25" s="79">
        <f>IFERROR(_xlfn.RANK.EQ(INDEX(スコア表[],MATCH($C25,スコア表['#],0),MATCH(J$5,スコア表[#Headers],0)),スコア表[03],0),"-")</f>
        <v>21</v>
      </c>
      <c r="K25" s="79">
        <f>IFERROR(_xlfn.RANK.EQ(INDEX(スコア表[],MATCH($C25,スコア表['#],0),MATCH(K$5,スコア表[#Headers],0)),スコア表[04],0),"-")</f>
        <v>30</v>
      </c>
      <c r="L25" s="79">
        <f>IFERROR(_xlfn.RANK.EQ(INDEX(スコア表[],MATCH($C25,スコア表['#],0),MATCH(L$5,スコア表[#Headers],0)),スコア表[05],0),"-")</f>
        <v>25</v>
      </c>
      <c r="M25" s="79">
        <f>IFERROR(_xlfn.RANK.EQ(INDEX(スコア表[],MATCH($C25,スコア表['#],0),MATCH(M$5,スコア表[#Headers],0)),スコア表[06],0),"-")</f>
        <v>24</v>
      </c>
      <c r="N25" s="79">
        <f>IFERROR(_xlfn.RANK.EQ(INDEX(スコア表[],MATCH($C25,スコア表['#],0),MATCH(N$5,スコア表[#Headers],0)),スコア表[07],0),"-")</f>
        <v>35</v>
      </c>
      <c r="O25" s="79">
        <f>IFERROR(_xlfn.RANK.EQ(INDEX(スコア表[],MATCH($C25,スコア表['#],0),MATCH(O$5,スコア表[#Headers],0)),スコア表[08],0),"-")</f>
        <v>24</v>
      </c>
      <c r="P25" s="79">
        <f>IFERROR(_xlfn.RANK.EQ(INDEX(スコア表[],MATCH($C25,スコア表['#],0),MATCH(P$5,スコア表[#Headers],0)),スコア表[09],0),"-")</f>
        <v>40</v>
      </c>
      <c r="Q25" s="79">
        <f>IFERROR(_xlfn.RANK.EQ(INDEX(スコア表[],MATCH($C25,スコア表['#],0),MATCH(Q$5,スコア表[#Headers],0)),スコア表[10],0),"-")</f>
        <v>34</v>
      </c>
      <c r="R25" s="79">
        <f>IFERROR(_xlfn.RANK.EQ(INDEX(スコア表[],MATCH($C25,スコア表['#],0),MATCH(R$5,スコア表[#Headers],0)),スコア表[11],0),"-")</f>
        <v>34</v>
      </c>
      <c r="S25" s="79">
        <f>IFERROR(_xlfn.RANK.EQ(INDEX(スコア表[],MATCH($C25,スコア表['#],0),MATCH(S$5,スコア表[#Headers],0)),スコア表[12],0),"-")</f>
        <v>17</v>
      </c>
      <c r="T25" s="79">
        <f>IFERROR(_xlfn.RANK.EQ(INDEX(スコア表[],MATCH($C25,スコア表['#],0),MATCH(T$5,スコア表[#Headers],0)),スコア表[13],0),"-")</f>
        <v>24</v>
      </c>
      <c r="U25" s="79">
        <f>IFERROR(_xlfn.RANK.EQ(INDEX(スコア表[],MATCH($C25,スコア表['#],0),MATCH(U$5,スコア表[#Headers],0)),スコア表[14],0),"-")</f>
        <v>48</v>
      </c>
      <c r="V25" s="79">
        <f>IFERROR(_xlfn.RANK.EQ(INDEX(スコア表[],MATCH($C25,スコア表['#],0),MATCH(V$5,スコア表[#Headers],0)),スコア表[15],0),"-")</f>
        <v>36</v>
      </c>
      <c r="W25" s="79">
        <f>IFERROR(_xlfn.RANK.EQ(INDEX(スコア表[],MATCH($C25,スコア表['#],0),MATCH(W$5,スコア表[#Headers],0)),スコア表[16],0),"-")</f>
        <v>45</v>
      </c>
      <c r="X25" s="79">
        <f>IFERROR(_xlfn.RANK.EQ(INDEX(スコア表[],MATCH($C25,スコア表['#],0),MATCH(X$5,スコア表[#Headers],0)),スコア表[17],0),"-")</f>
        <v>31</v>
      </c>
      <c r="Y25" s="79">
        <f>IFERROR(_xlfn.RANK.EQ(INDEX(スコア表[],MATCH($C25,スコア表['#],0),MATCH(Y$5,スコア表[#Headers],0)),スコア表[18],0),"-")</f>
        <v>40</v>
      </c>
      <c r="Z25" s="79">
        <f>IFERROR(_xlfn.RANK.EQ(INDEX(スコア表[],MATCH($C25,スコア表['#],0),MATCH(Z$5,スコア表[#Headers],0)),スコア表[19],0),"-")</f>
        <v>33</v>
      </c>
      <c r="AA25" s="79">
        <f>IFERROR(_xlfn.RANK.EQ(INDEX(スコア表[],MATCH($C25,スコア表['#],0),MATCH(AA$5,スコア表[#Headers],0)),スコア表[20],0),"-")</f>
        <v>23</v>
      </c>
      <c r="AB25" s="79">
        <f>IFERROR(_xlfn.RANK.EQ(INDEX(スコア表[],MATCH($C25,スコア表['#],0),MATCH(AB$5,スコア表[#Headers],0)),スコア表[21],0),"-")</f>
        <v>37</v>
      </c>
      <c r="AC25" s="79">
        <f>IFERROR(_xlfn.RANK.EQ(INDEX(スコア表[],MATCH($C25,スコア表['#],0),MATCH(AC$5,スコア表[#Headers],0)),スコア表[22],0),"-")</f>
        <v>20</v>
      </c>
      <c r="AD25" s="79">
        <f>IFERROR(_xlfn.RANK.EQ(INDEX(スコア表[],MATCH($C25,スコア表['#],0),MATCH(AD$5,スコア表[#Headers],0)),スコア表[23],0),"-")</f>
        <v>13</v>
      </c>
      <c r="AE25" s="79">
        <f>IFERROR(_xlfn.RANK.EQ(INDEX(スコア表[],MATCH($C25,スコア表['#],0),MATCH(AE$5,スコア表[#Headers],0)),スコア表[24],0),"-")</f>
        <v>36</v>
      </c>
      <c r="AF25" s="79">
        <f>IFERROR(_xlfn.RANK.EQ(INDEX(スコア表[],MATCH($C25,スコア表['#],0),MATCH(AF$5,スコア表[#Headers],0)),スコア表[25],0),"-")</f>
        <v>45</v>
      </c>
      <c r="AG25" s="79">
        <f>IFERROR(_xlfn.RANK.EQ(INDEX(スコア表[],MATCH($C25,スコア表['#],0),MATCH(AG$5,スコア表[#Headers],0)),スコア表[26],0),"-")</f>
        <v>38</v>
      </c>
      <c r="AH25" s="79">
        <f>IFERROR(_xlfn.RANK.EQ(INDEX(スコア表[],MATCH($C25,スコア表['#],0),MATCH(AH$5,スコア表[#Headers],0)),スコア表[27],0),"-")</f>
        <v>38</v>
      </c>
      <c r="AI25" s="79">
        <f>IFERROR(_xlfn.RANK.EQ(INDEX(スコア表[],MATCH($C25,スコア表['#],0),MATCH(AI$5,スコア表[#Headers],0)),スコア表[28],0),"-")</f>
        <v>36</v>
      </c>
      <c r="AJ25" s="79">
        <f>IFERROR(_xlfn.RANK.EQ(INDEX(スコア表[],MATCH($C25,スコア表['#],0),MATCH(AJ$5,スコア表[#Headers],0)),スコア表[29],0),"-")</f>
        <v>45</v>
      </c>
      <c r="AK25" s="79">
        <f>IFERROR(_xlfn.RANK.EQ(INDEX(スコア表[],MATCH($C25,スコア表['#],0),MATCH(AK$5,スコア表[#Headers],0)),スコア表[30],0),"-")</f>
        <v>44</v>
      </c>
      <c r="AL25" s="79">
        <f>IFERROR(_xlfn.RANK.EQ(INDEX(スコア表[],MATCH($C25,スコア表['#],0),MATCH(AL$5,スコア表[#Headers],0)),スコア表[31],0),"-")</f>
        <v>19</v>
      </c>
      <c r="AM25" s="79">
        <f>IFERROR(_xlfn.RANK.EQ(INDEX(スコア表[],MATCH($C25,スコア表['#],0),MATCH(AM$5,スコア表[#Headers],0)),スコア表[32],0),"-")</f>
        <v>8</v>
      </c>
      <c r="AN25" s="79">
        <f>IFERROR(_xlfn.RANK.EQ(INDEX(スコア表[],MATCH($C25,スコア表['#],0),MATCH(AN$5,スコア表[#Headers],0)),スコア表[33],0),"-")</f>
        <v>9</v>
      </c>
      <c r="AO25" s="79">
        <f>IFERROR(_xlfn.RANK.EQ(INDEX(スコア表[],MATCH($C25,スコア表['#],0),MATCH(AO$5,スコア表[#Headers],0)),スコア表[34],0),"-")</f>
        <v>32</v>
      </c>
      <c r="AP25" s="79">
        <f>IFERROR(_xlfn.RANK.EQ(INDEX(スコア表[],MATCH($C25,スコア表['#],0),MATCH(AP$5,スコア表[#Headers],0)),スコア表[35],0),"-")</f>
        <v>38</v>
      </c>
      <c r="AQ25" s="79">
        <f>IFERROR(_xlfn.RANK.EQ(INDEX(スコア表[],MATCH($C25,スコア表['#],0),MATCH(AQ$5,スコア表[#Headers],0)),スコア表[36],0),"-")</f>
        <v>7</v>
      </c>
      <c r="AR25" s="79">
        <f>IFERROR(_xlfn.RANK.EQ(INDEX(スコア表[],MATCH($C25,スコア表['#],0),MATCH(AR$5,スコア表[#Headers],0)),スコア表[37],0),"-")</f>
        <v>40</v>
      </c>
      <c r="AS25" s="79">
        <f>IFERROR(_xlfn.RANK.EQ(INDEX(スコア表[],MATCH($C25,スコア表['#],0),MATCH(AS$5,スコア表[#Headers],0)),スコア表[38],0),"-")</f>
        <v>19</v>
      </c>
      <c r="AT25" s="79">
        <f>IFERROR(_xlfn.RANK.EQ(INDEX(スコア表[],MATCH($C25,スコア表['#],0),MATCH(AT$5,スコア表[#Headers],0)),スコア表[39],0),"-")</f>
        <v>39</v>
      </c>
      <c r="AU25" s="79">
        <f>IFERROR(_xlfn.RANK.EQ(INDEX(スコア表[],MATCH($C25,スコア表['#],0),MATCH(AU$5,スコア表[#Headers],0)),スコア表[40],0),"-")</f>
        <v>29</v>
      </c>
      <c r="AV25" s="79">
        <f>IFERROR(_xlfn.RANK.EQ(INDEX(スコア表[],MATCH($C25,スコア表['#],0),MATCH(AV$5,スコア表[#Headers],0)),スコア表[41],0),"-")</f>
        <v>3</v>
      </c>
      <c r="AW25" s="79">
        <f>IFERROR(_xlfn.RANK.EQ(INDEX(スコア表[],MATCH($C25,スコア表['#],0),MATCH(AW$5,スコア表[#Headers],0)),スコア表[42],0),"-")</f>
        <v>3</v>
      </c>
      <c r="AX25" s="79">
        <f>IFERROR(_xlfn.RANK.EQ(INDEX(スコア表[],MATCH($C25,スコア表['#],0),MATCH(AX$5,スコア表[#Headers],0)),スコア表[43],0),"-")</f>
        <v>18</v>
      </c>
      <c r="AY25" s="79">
        <f>IFERROR(_xlfn.RANK.EQ(INDEX(スコア表[],MATCH($C25,スコア表['#],0),MATCH(AY$5,スコア表[#Headers],0)),スコア表[44],0),"-")</f>
        <v>9</v>
      </c>
      <c r="AZ25" s="79">
        <f>IFERROR(_xlfn.RANK.EQ(INDEX(スコア表[],MATCH($C25,スコア表['#],0),MATCH(AZ$5,スコア表[#Headers],0)),スコア表[45],0),"-")</f>
        <v>43</v>
      </c>
      <c r="BA25" s="79">
        <f>IFERROR(_xlfn.RANK.EQ(INDEX(スコア表[],MATCH($C25,スコア表['#],0),MATCH(BA$5,スコア表[#Headers],0)),スコア表[46],0),"-")</f>
        <v>38</v>
      </c>
      <c r="BB25" s="79">
        <f>IFERROR(_xlfn.RANK.EQ(INDEX(スコア表[],MATCH($C25,スコア表['#],0),MATCH(BB$5,スコア表[#Headers],0)),スコア表[47],0),"-")</f>
        <v>7</v>
      </c>
      <c r="BC25" s="79">
        <f>IFERROR(_xlfn.RANK.EQ(INDEX(スコア表[],MATCH($C25,スコア表['#],0),MATCH(BC$5,スコア表[#Headers],0)),スコア表[48],0),"-")</f>
        <v>42</v>
      </c>
      <c r="BD25" s="79">
        <f>IFERROR(_xlfn.RANK.EQ(INDEX(スコア表[],MATCH($C25,スコア表['#],0),MATCH(BD$5,スコア表[#Headers],0)),スコア表[49],0),"-")</f>
        <v>35</v>
      </c>
      <c r="BE25" s="79">
        <f>IFERROR(_xlfn.RANK.EQ(INDEX(スコア表[],MATCH($C25,スコア表['#],0),MATCH(BE$5,スコア表[#Headers],0)),スコア表[50],0),"-")</f>
        <v>22</v>
      </c>
      <c r="BF25" s="79">
        <f>IFERROR(_xlfn.RANK.EQ(INDEX(スコア表[],MATCH($C25,スコア表['#],0),MATCH(BF$5,スコア表[#Headers],0)),スコア表[51],0),"-")</f>
        <v>26</v>
      </c>
      <c r="BG25" s="79">
        <f>IFERROR(_xlfn.RANK.EQ(INDEX(スコア表[],MATCH($C25,スコア表['#],0),MATCH(BG$5,スコア表[#Headers],0)),スコア表[52],0),"-")</f>
        <v>12</v>
      </c>
      <c r="BH25" s="79">
        <f>IFERROR(_xlfn.RANK.EQ(INDEX(スコア表[],MATCH($C25,スコア表['#],0),MATCH(BH$5,スコア表[#Headers],0)),スコア表[53],0),"-")</f>
        <v>42</v>
      </c>
      <c r="BI25" s="79">
        <f>IFERROR(_xlfn.RANK.EQ(INDEX(スコア表[],MATCH($C25,スコア表['#],0),MATCH(BI$5,スコア表[#Headers],0)),スコア表[54],0),"-")</f>
        <v>13</v>
      </c>
      <c r="BJ25" s="79">
        <f>IFERROR(_xlfn.RANK.EQ(INDEX(スコア表[],MATCH($C25,スコア表['#],0),MATCH(BJ$5,スコア表[#Headers],0)),スコア表[55],0),"-")</f>
        <v>44</v>
      </c>
      <c r="BK25" s="79">
        <f>IFERROR(_xlfn.RANK.EQ(INDEX(スコア表[],MATCH($C25,スコア表['#],0),MATCH(BK$5,スコア表[#Headers],0)),スコア表[56],0),"-")</f>
        <v>35</v>
      </c>
      <c r="BL25" s="79">
        <f>IFERROR(_xlfn.RANK.EQ(INDEX(スコア表[],MATCH($C25,スコア表['#],0),MATCH(BL$5,スコア表[#Headers],0)),スコア表[57],0),"-")</f>
        <v>47</v>
      </c>
      <c r="BM25" s="79">
        <f>IFERROR(_xlfn.RANK.EQ(INDEX(スコア表[],MATCH($C25,スコア表['#],0),MATCH(BM$5,スコア表[#Headers],0)),スコア表[58],0),"-")</f>
        <v>41</v>
      </c>
      <c r="BN25" s="79">
        <f>IFERROR(_xlfn.RANK.EQ(INDEX(スコア表[],MATCH($C25,スコア表['#],0),MATCH(BN$5,スコア表[#Headers],0)),スコア表[59],0),"-")</f>
        <v>28</v>
      </c>
      <c r="BO25" s="79">
        <f>IFERROR(_xlfn.RANK.EQ(INDEX(スコア表[],MATCH($C25,スコア表['#],0),MATCH(BO$5,スコア表[#Headers],0)),スコア表[60],0),"-")</f>
        <v>27</v>
      </c>
      <c r="BP25" s="79">
        <f>IFERROR(_xlfn.RANK.EQ(INDEX(スコア表[],MATCH($C25,スコア表['#],0),MATCH(BP$5,スコア表[#Headers],0)),スコア表[61],0),"-")</f>
        <v>29</v>
      </c>
      <c r="BQ25" s="79">
        <f>IFERROR(_xlfn.RANK.EQ(INDEX(スコア表[],MATCH($C25,スコア表['#],0),MATCH(BQ$5,スコア表[#Headers],0)),スコア表[62],0),"-")</f>
        <v>13</v>
      </c>
      <c r="BR25" s="79">
        <f>IFERROR(_xlfn.RANK.EQ(INDEX(スコア表[],MATCH($C25,スコア表['#],0),MATCH(BR$5,スコア表[#Headers],0)),スコア表[63],0),"-")</f>
        <v>31</v>
      </c>
      <c r="BS25" s="79">
        <f>IFERROR(_xlfn.RANK.EQ(INDEX(スコア表[],MATCH($C25,スコア表['#],0),MATCH(BS$5,スコア表[#Headers],0)),スコア表[64],0),"-")</f>
        <v>29</v>
      </c>
      <c r="BT25" s="79">
        <f>IFERROR(_xlfn.RANK.EQ(INDEX(スコア表[],MATCH($C25,スコア表['#],0),MATCH(BT$5,スコア表[#Headers],0)),スコア表[65],0),"-")</f>
        <v>28</v>
      </c>
      <c r="BU25" s="79">
        <f>IFERROR(_xlfn.RANK.EQ(INDEX(スコア表[],MATCH($C25,スコア表['#],0),MATCH(BU$5,スコア表[#Headers],0)),スコア表[66],0),"-")</f>
        <v>45</v>
      </c>
      <c r="BV25" s="79">
        <f>IFERROR(_xlfn.RANK.EQ(INDEX(スコア表[],MATCH($C25,スコア表['#],0),MATCH(BV$5,スコア表[#Headers],0)),スコア表[67],0),"-")</f>
        <v>44</v>
      </c>
      <c r="BW25" s="79">
        <f>IFERROR(_xlfn.RANK.EQ(INDEX(スコア表[],MATCH($C25,スコア表['#],0),MATCH(BW$5,スコア表[#Headers],0)),スコア表[68],0),"-")</f>
        <v>24</v>
      </c>
      <c r="BX25" s="79">
        <f>IFERROR(_xlfn.RANK.EQ(INDEX(スコア表[],MATCH($C25,スコア表['#],0),MATCH(BX$5,スコア表[#Headers],0)),スコア表[69],0),"-")</f>
        <v>7</v>
      </c>
      <c r="BY25" s="79">
        <f>IFERROR(_xlfn.RANK.EQ(INDEX(スコア表[],MATCH($C25,スコア表['#],0),MATCH(BY$5,スコア表[#Headers],0)),スコア表[70],0),"-")</f>
        <v>13</v>
      </c>
      <c r="BZ25" s="79">
        <f>IFERROR(_xlfn.RANK.EQ(INDEX(スコア表[],MATCH($C25,スコア表['#],0),MATCH(BZ$5,スコア表[#Headers],0)),スコア表[Ec1],0),"-")</f>
        <v>45</v>
      </c>
      <c r="CA25" s="79">
        <f>IFERROR(_xlfn.RANK.EQ(INDEX(スコア表[],MATCH($C25,スコア表['#],0),MATCH(CA$5,スコア表[#Headers],0)),スコア表[Ec2],0),"-")</f>
        <v>24</v>
      </c>
      <c r="CB25" s="79">
        <f>IFERROR(_xlfn.RANK.EQ(INDEX(スコア表[],MATCH($C25,スコア表['#],0),MATCH(CB$5,スコア表[#Headers],0)),スコア表[Ec3],0),"-")</f>
        <v>29</v>
      </c>
      <c r="CC25" s="79">
        <f>IFERROR(_xlfn.RANK.EQ(INDEX(スコア表[],MATCH($C25,スコア表['#],0),MATCH(CC$5,スコア表[#Headers],0)),スコア表[Ec4],0),"-")</f>
        <v>34</v>
      </c>
      <c r="CD25" s="79">
        <f>IFERROR(_xlfn.RANK.EQ(INDEX(スコア表[],MATCH($C25,スコア表['#],0),MATCH(CD$5,スコア表[#Headers],0)),スコア表[Ec5],0),"-")</f>
        <v>38</v>
      </c>
      <c r="CE25" s="79">
        <f>IFERROR(_xlfn.RANK.EQ(INDEX(スコア表[],MATCH($C25,スコア表['#],0),MATCH(CE$5,スコア表[#Headers],0)),スコア表[Ec6],0),"-")</f>
        <v>15</v>
      </c>
      <c r="CF25" s="79">
        <f>IFERROR(_xlfn.RANK.EQ(INDEX(スコア表[],MATCH($C25,スコア表['#],0),MATCH(CF$5,スコア表[#Headers],0)),スコア表[RD1],0),"-")</f>
        <v>48</v>
      </c>
      <c r="CG25" s="79">
        <f>IFERROR(_xlfn.RANK.EQ(INDEX(スコア表[],MATCH($C25,スコア表['#],0),MATCH(CG$5,スコア表[#Headers],0)),スコア表[RD2],0),"-")</f>
        <v>40</v>
      </c>
      <c r="CH25" s="79">
        <f>IFERROR(_xlfn.RANK.EQ(INDEX(スコア表[],MATCH($C25,スコア表['#],0),MATCH(CH$5,スコア表[#Headers],0)),スコア表[RD3],0),"-")</f>
        <v>45</v>
      </c>
      <c r="CI25" s="79">
        <f>IFERROR(_xlfn.RANK.EQ(INDEX(スコア表[],MATCH($C25,スコア表['#],0),MATCH(CI$5,スコア表[#Headers],0)),スコア表[CI1],0),"-")</f>
        <v>28</v>
      </c>
      <c r="CJ25" s="79">
        <f>IFERROR(_xlfn.RANK.EQ(INDEX(スコア表[],MATCH($C25,スコア表['#],0),MATCH(CJ$5,スコア表[#Headers],0)),スコア表[CI2],0),"-")</f>
        <v>43</v>
      </c>
      <c r="CK25" s="79">
        <f>IFERROR(_xlfn.RANK.EQ(INDEX(スコア表[],MATCH($C25,スコア表['#],0),MATCH(CK$5,スコア表[#Headers],0)),スコア表[CI3],0),"-")</f>
        <v>40</v>
      </c>
      <c r="CL25" s="79">
        <f>IFERROR(_xlfn.RANK.EQ(INDEX(スコア表[],MATCH($C25,スコア表['#],0),MATCH(CL$5,スコア表[#Headers],0)),スコア表[CI4],0),"-")</f>
        <v>18</v>
      </c>
      <c r="CM25" s="79">
        <f>IFERROR(_xlfn.RANK.EQ(INDEX(スコア表[],MATCH($C25,スコア表['#],0),MATCH(CM$5,スコア表[#Headers],0)),スコア表[CI5],0),"-")</f>
        <v>15</v>
      </c>
      <c r="CN25" s="79">
        <f>IFERROR(_xlfn.RANK.EQ(INDEX(スコア表[],MATCH($C25,スコア表['#],0),MATCH(CN$5,スコア表[#Headers],0)),スコア表[Li1],0),"-")</f>
        <v>37</v>
      </c>
      <c r="CO25" s="79">
        <f>IFERROR(_xlfn.RANK.EQ(INDEX(スコア表[],MATCH($C25,スコア表['#],0),MATCH(CO$5,スコア表[#Headers],0)),スコア表[Li2],0),"-")</f>
        <v>3</v>
      </c>
      <c r="CP25" s="79">
        <f>IFERROR(_xlfn.RANK.EQ(INDEX(スコア表[],MATCH($C25,スコア表['#],0),MATCH(CP$5,スコア表[#Headers],0)),スコア表[Li3],0),"-")</f>
        <v>6</v>
      </c>
      <c r="CQ25" s="79">
        <f>IFERROR(_xlfn.RANK.EQ(INDEX(スコア表[],MATCH($C25,スコア表['#],0),MATCH(CQ$5,スコア表[#Headers],0)),スコア表[Li4],0),"-")</f>
        <v>32</v>
      </c>
      <c r="CR25" s="79">
        <f>IFERROR(_xlfn.RANK.EQ(INDEX(スコア表[],MATCH($C25,スコア表['#],0),MATCH(CR$5,スコア表[#Headers],0)),スコア表[Li5],0),"-")</f>
        <v>38</v>
      </c>
      <c r="CS25" s="79">
        <f>IFERROR(_xlfn.RANK.EQ(INDEX(スコア表[],MATCH($C25,スコア表['#],0),MATCH(CS$5,スコア表[#Headers],0)),スコア表[En1],0),"-")</f>
        <v>17</v>
      </c>
      <c r="CT25" s="79">
        <f>IFERROR(_xlfn.RANK.EQ(INDEX(スコア表[],MATCH($C25,スコア表['#],0),MATCH(CT$5,スコア表[#Headers],0)),スコア表[En2],0),"-")</f>
        <v>45</v>
      </c>
      <c r="CU25" s="79">
        <f>IFERROR(_xlfn.RANK.EQ(INDEX(スコア表[],MATCH($C25,スコア表['#],0),MATCH(CU$5,スコア表[#Headers],0)),スコア表[En3],0),"-")</f>
        <v>33</v>
      </c>
      <c r="CV25" s="79">
        <f>IFERROR(_xlfn.RANK.EQ(INDEX(スコア表[],MATCH($C25,スコア表['#],0),MATCH(CV$5,スコア表[#Headers],0)),スコア表[Ac1],0),"-")</f>
        <v>23</v>
      </c>
      <c r="CW25" s="79">
        <f>IFERROR(_xlfn.RANK.EQ(INDEX(スコア表[],MATCH($C25,スコア表['#],0),MATCH(CW$5,スコア表[#Headers],0)),スコア表[Ac2],0),"-")</f>
        <v>30</v>
      </c>
      <c r="CX25" s="79">
        <f>IFERROR(_xlfn.RANK.EQ(INDEX(スコア表[],MATCH($C25,スコア表['#],0),MATCH(CX$5,スコア表[#Headers],0)),スコア表[Ac3],0),"-")</f>
        <v>47</v>
      </c>
      <c r="CY25" s="79">
        <f>IFERROR(_xlfn.RANK.EQ(INDEX(スコア表[],MATCH($C25,スコア表['#],0),MATCH(CY$5,スコア表[#Headers],0)),スコア表[Ac4],0),"-")</f>
        <v>8</v>
      </c>
      <c r="CZ25" s="79">
        <f>IFERROR(_xlfn.RANK.EQ(INDEX(スコア表[],MATCH($C25,スコア表['#],0),MATCH(CZ$5,スコア表[#Headers],0)),スコア表[Economy],0),"-")</f>
        <v>37</v>
      </c>
      <c r="DA25" s="79">
        <f>IFERROR(_xlfn.RANK.EQ(INDEX(スコア表[],MATCH($C25,スコア表['#],0),MATCH(DA$5,スコア表[#Headers],0)),スコア表[R&amp;D],0),"-")</f>
        <v>43</v>
      </c>
      <c r="DB25" s="79">
        <f>IFERROR(_xlfn.RANK.EQ(INDEX(スコア表[],MATCH($C25,スコア表['#],0),MATCH(DB$5,スコア表[#Headers],0)),スコア表[Cultural Interaction],0),"-")</f>
        <v>30</v>
      </c>
      <c r="DC25" s="79">
        <f>IFERROR(_xlfn.RANK.EQ(INDEX(スコア表[],MATCH($C25,スコア表['#],0),MATCH(DC$5,スコア表[#Headers],0)),スコア表[Livability],0),"-")</f>
        <v>16</v>
      </c>
      <c r="DD25" s="79">
        <f>IFERROR(_xlfn.RANK.EQ(INDEX(スコア表[],MATCH($C25,スコア表['#],0),MATCH(DD$5,スコア表[#Headers],0)),スコア表[Environment],0),"-")</f>
        <v>42</v>
      </c>
      <c r="DE25" s="79">
        <f>IFERROR(_xlfn.RANK.EQ(INDEX(スコア表[],MATCH($C25,スコア表['#],0),MATCH(DE$5,スコア表[#Headers],0)),スコア表[Accessibility],0),"-")</f>
        <v>36</v>
      </c>
      <c r="DF25" s="81">
        <f>IFERROR(_xlfn.RANK.EQ(INDEX(スコア表[],MATCH($C25,スコア表['#],0),MATCH(DF$5,スコア表[#Headers],0)),スコア表[Comprehensive],0),"-")</f>
        <v>41</v>
      </c>
    </row>
    <row r="26" spans="1:110">
      <c r="A26" s="2">
        <v>21</v>
      </c>
      <c r="B26" s="58">
        <f>INDEX(順位表[Comprehensive],MATCH($C26,順位表['#],0))</f>
        <v>5</v>
      </c>
      <c r="C26" s="3">
        <v>21</v>
      </c>
      <c r="D26" s="1" t="str">
        <f>INDEX(都市マスタ[City Name],MATCH($C26,都市マスタ['#],0))</f>
        <v>Singapore</v>
      </c>
      <c r="E26" s="79">
        <f>IFERROR(_xlfn.RANK.EQ(INDEX(スコア表[],MATCH($C26,スコア表['#],0),MATCH(E$5,スコア表[#Headers],0)),スコア表[00a],0),"-")</f>
        <v>16</v>
      </c>
      <c r="F26" s="79">
        <f>IFERROR(_xlfn.RANK.EQ(INDEX(スコア表[],MATCH($C26,スコア表['#],0),MATCH(F$5,スコア表[#Headers],0)),スコア表[00b],0),"-")</f>
        <v>18</v>
      </c>
      <c r="G26" s="79">
        <f>IFERROR(_xlfn.RANK.EQ(INDEX(スコア表[],MATCH($C26,スコア表['#],0),MATCH(G$5,スコア表[#Headers],0)),スコア表[00c],0),"-")</f>
        <v>26</v>
      </c>
      <c r="H26" s="79">
        <f>IFERROR(_xlfn.RANK.EQ(INDEX(スコア表[],MATCH($C26,スコア表['#],0),MATCH(H$5,スコア表[#Headers],0)),スコア表[01],0),"-")</f>
        <v>6</v>
      </c>
      <c r="I26" s="79">
        <f>IFERROR(_xlfn.RANK.EQ(INDEX(スコア表[],MATCH($C26,スコア表['#],0),MATCH(I$5,スコア表[#Headers],0)),スコア表[02],0),"-")</f>
        <v>18</v>
      </c>
      <c r="J26" s="79">
        <f>IFERROR(_xlfn.RANK.EQ(INDEX(スコア表[],MATCH($C26,スコア表['#],0),MATCH(J$5,スコア表[#Headers],0)),スコア表[03],0),"-")</f>
        <v>20</v>
      </c>
      <c r="K26" s="79">
        <f>IFERROR(_xlfn.RANK.EQ(INDEX(スコア表[],MATCH($C26,スコア表['#],0),MATCH(K$5,スコア表[#Headers],0)),スコア表[04],0),"-")</f>
        <v>1</v>
      </c>
      <c r="L26" s="79">
        <f>IFERROR(_xlfn.RANK.EQ(INDEX(スコア表[],MATCH($C26,スコア表['#],0),MATCH(L$5,スコア表[#Headers],0)),スコア表[05],0),"-")</f>
        <v>19</v>
      </c>
      <c r="M26" s="79">
        <f>IFERROR(_xlfn.RANK.EQ(INDEX(スコア表[],MATCH($C26,スコア表['#],0),MATCH(M$5,スコア表[#Headers],0)),スコア表[06],0),"-")</f>
        <v>9</v>
      </c>
      <c r="N26" s="79">
        <f>IFERROR(_xlfn.RANK.EQ(INDEX(スコア表[],MATCH($C26,スコア表['#],0),MATCH(N$5,スコア表[#Headers],0)),スコア表[07],0),"-")</f>
        <v>14</v>
      </c>
      <c r="O26" s="79">
        <f>IFERROR(_xlfn.RANK.EQ(INDEX(スコア表[],MATCH($C26,スコア表['#],0),MATCH(O$5,スコア表[#Headers],0)),スコア表[08],0),"-")</f>
        <v>38</v>
      </c>
      <c r="P26" s="79">
        <f>IFERROR(_xlfn.RANK.EQ(INDEX(スコア表[],MATCH($C26,スコア表['#],0),MATCH(P$5,スコア表[#Headers],0)),スコア表[09],0),"-")</f>
        <v>9</v>
      </c>
      <c r="Q26" s="79">
        <f>IFERROR(_xlfn.RANK.EQ(INDEX(スコア表[],MATCH($C26,スコア表['#],0),MATCH(Q$5,スコア表[#Headers],0)),スコア表[10],0),"-")</f>
        <v>16</v>
      </c>
      <c r="R26" s="79">
        <f>IFERROR(_xlfn.RANK.EQ(INDEX(スコア表[],MATCH($C26,スコア表['#],0),MATCH(R$5,スコア表[#Headers],0)),スコア表[11],0),"-")</f>
        <v>3</v>
      </c>
      <c r="S26" s="79">
        <f>IFERROR(_xlfn.RANK.EQ(INDEX(スコア表[],MATCH($C26,スコア表['#],0),MATCH(S$5,スコア表[#Headers],0)),スコア表[12],0),"-")</f>
        <v>5</v>
      </c>
      <c r="T26" s="79">
        <f>IFERROR(_xlfn.RANK.EQ(INDEX(スコア表[],MATCH($C26,スコア表['#],0),MATCH(T$5,スコア表[#Headers],0)),スコア表[13],0),"-")</f>
        <v>1</v>
      </c>
      <c r="U26" s="79">
        <f>IFERROR(_xlfn.RANK.EQ(INDEX(スコア表[],MATCH($C26,スコア表['#],0),MATCH(U$5,スコア表[#Headers],0)),スコア表[14],0),"-")</f>
        <v>7</v>
      </c>
      <c r="V26" s="79">
        <f>IFERROR(_xlfn.RANK.EQ(INDEX(スコア表[],MATCH($C26,スコア表['#],0),MATCH(V$5,スコア表[#Headers],0)),スコア表[15],0),"-")</f>
        <v>14</v>
      </c>
      <c r="W26" s="79">
        <f>IFERROR(_xlfn.RANK.EQ(INDEX(スコア表[],MATCH($C26,スコア表['#],0),MATCH(W$5,スコア表[#Headers],0)),スコア表[16],0),"-")</f>
        <v>11</v>
      </c>
      <c r="X26" s="79">
        <f>IFERROR(_xlfn.RANK.EQ(INDEX(スコア表[],MATCH($C26,スコア表['#],0),MATCH(X$5,スコア表[#Headers],0)),スコア表[17],0),"-")</f>
        <v>28</v>
      </c>
      <c r="Y26" s="79">
        <f>IFERROR(_xlfn.RANK.EQ(INDEX(スコア表[],MATCH($C26,スコア表['#],0),MATCH(Y$5,スコア表[#Headers],0)),スコア表[18],0),"-")</f>
        <v>3</v>
      </c>
      <c r="Z26" s="79">
        <f>IFERROR(_xlfn.RANK.EQ(INDEX(スコア表[],MATCH($C26,スコア表['#],0),MATCH(Z$5,スコア表[#Headers],0)),スコア表[19],0),"-")</f>
        <v>12</v>
      </c>
      <c r="AA26" s="79">
        <f>IFERROR(_xlfn.RANK.EQ(INDEX(スコア表[],MATCH($C26,スコア表['#],0),MATCH(AA$5,スコア表[#Headers],0)),スコア表[20],0),"-")</f>
        <v>23</v>
      </c>
      <c r="AB26" s="79">
        <f>IFERROR(_xlfn.RANK.EQ(INDEX(スコア表[],MATCH($C26,スコア表['#],0),MATCH(AB$5,スコア表[#Headers],0)),スコア表[21],0),"-")</f>
        <v>5</v>
      </c>
      <c r="AC26" s="79">
        <f>IFERROR(_xlfn.RANK.EQ(INDEX(スコア表[],MATCH($C26,スコア表['#],0),MATCH(AC$5,スコア表[#Headers],0)),スコア表[22],0),"-")</f>
        <v>6</v>
      </c>
      <c r="AD26" s="79">
        <f>IFERROR(_xlfn.RANK.EQ(INDEX(スコア表[],MATCH($C26,スコア表['#],0),MATCH(AD$5,スコア表[#Headers],0)),スコア表[23],0),"-")</f>
        <v>16</v>
      </c>
      <c r="AE26" s="79">
        <f>IFERROR(_xlfn.RANK.EQ(INDEX(スコア表[],MATCH($C26,スコア表['#],0),MATCH(AE$5,スコア表[#Headers],0)),スコア表[24],0),"-")</f>
        <v>3</v>
      </c>
      <c r="AF26" s="79">
        <f>IFERROR(_xlfn.RANK.EQ(INDEX(スコア表[],MATCH($C26,スコア表['#],0),MATCH(AF$5,スコア表[#Headers],0)),スコア表[25],0),"-")</f>
        <v>29</v>
      </c>
      <c r="AG26" s="79">
        <f>IFERROR(_xlfn.RANK.EQ(INDEX(スコア表[],MATCH($C26,スコア表['#],0),MATCH(AG$5,スコア表[#Headers],0)),スコア表[26],0),"-")</f>
        <v>15</v>
      </c>
      <c r="AH26" s="79">
        <f>IFERROR(_xlfn.RANK.EQ(INDEX(スコア表[],MATCH($C26,スコア表['#],0),MATCH(AH$5,スコア表[#Headers],0)),スコア表[27],0),"-")</f>
        <v>31</v>
      </c>
      <c r="AI26" s="79">
        <f>IFERROR(_xlfn.RANK.EQ(INDEX(スコア表[],MATCH($C26,スコア表['#],0),MATCH(AI$5,スコア表[#Headers],0)),スコア表[28],0),"-")</f>
        <v>38</v>
      </c>
      <c r="AJ26" s="79">
        <f>IFERROR(_xlfn.RANK.EQ(INDEX(スコア表[],MATCH($C26,スコア表['#],0),MATCH(AJ$5,スコア表[#Headers],0)),スコア表[29],0),"-")</f>
        <v>33</v>
      </c>
      <c r="AK26" s="79">
        <f>IFERROR(_xlfn.RANK.EQ(INDEX(スコア表[],MATCH($C26,スコア表['#],0),MATCH(AK$5,スコア表[#Headers],0)),スコア表[30],0),"-")</f>
        <v>45</v>
      </c>
      <c r="AL26" s="79">
        <f>IFERROR(_xlfn.RANK.EQ(INDEX(スコア表[],MATCH($C26,スコア表['#],0),MATCH(AL$5,スコア表[#Headers],0)),スコア表[31],0),"-")</f>
        <v>34</v>
      </c>
      <c r="AM26" s="79">
        <f>IFERROR(_xlfn.RANK.EQ(INDEX(スコア表[],MATCH($C26,スコア表['#],0),MATCH(AM$5,スコア表[#Headers],0)),スコア表[32],0),"-")</f>
        <v>13</v>
      </c>
      <c r="AN26" s="79">
        <f>IFERROR(_xlfn.RANK.EQ(INDEX(スコア表[],MATCH($C26,スコア表['#],0),MATCH(AN$5,スコア表[#Headers],0)),スコア表[33],0),"-")</f>
        <v>5</v>
      </c>
      <c r="AO26" s="79">
        <f>IFERROR(_xlfn.RANK.EQ(INDEX(スコア表[],MATCH($C26,スコア表['#],0),MATCH(AO$5,スコア表[#Headers],0)),スコア表[34],0),"-")</f>
        <v>15</v>
      </c>
      <c r="AP26" s="79">
        <f>IFERROR(_xlfn.RANK.EQ(INDEX(スコア表[],MATCH($C26,スコア表['#],0),MATCH(AP$5,スコア表[#Headers],0)),スコア表[35],0),"-")</f>
        <v>13</v>
      </c>
      <c r="AQ26" s="79">
        <f>IFERROR(_xlfn.RANK.EQ(INDEX(スコア表[],MATCH($C26,スコア表['#],0),MATCH(AQ$5,スコア表[#Headers],0)),スコア表[36],0),"-")</f>
        <v>2</v>
      </c>
      <c r="AR26" s="79">
        <f>IFERROR(_xlfn.RANK.EQ(INDEX(スコア表[],MATCH($C26,スコア表['#],0),MATCH(AR$5,スコア表[#Headers],0)),スコア表[37],0),"-")</f>
        <v>6</v>
      </c>
      <c r="AS26" s="79">
        <f>IFERROR(_xlfn.RANK.EQ(INDEX(スコア表[],MATCH($C26,スコア表['#],0),MATCH(AS$5,スコア表[#Headers],0)),スコア表[38],0),"-")</f>
        <v>4</v>
      </c>
      <c r="AT26" s="79">
        <f>IFERROR(_xlfn.RANK.EQ(INDEX(スコア表[],MATCH($C26,スコア表['#],0),MATCH(AT$5,スコア表[#Headers],0)),スコア表[39],0),"-")</f>
        <v>40</v>
      </c>
      <c r="AU26" s="79">
        <f>IFERROR(_xlfn.RANK.EQ(INDEX(スコア表[],MATCH($C26,スコア表['#],0),MATCH(AU$5,スコア表[#Headers],0)),スコア表[40],0),"-")</f>
        <v>13</v>
      </c>
      <c r="AV26" s="79">
        <f>IFERROR(_xlfn.RANK.EQ(INDEX(スコア表[],MATCH($C26,スコア表['#],0),MATCH(AV$5,スコア表[#Headers],0)),スコア表[41],0),"-")</f>
        <v>46</v>
      </c>
      <c r="AW26" s="79">
        <f>IFERROR(_xlfn.RANK.EQ(INDEX(スコア表[],MATCH($C26,スコア表['#],0),MATCH(AW$5,スコア表[#Headers],0)),スコア表[42],0),"-")</f>
        <v>44</v>
      </c>
      <c r="AX26" s="79">
        <f>IFERROR(_xlfn.RANK.EQ(INDEX(スコア表[],MATCH($C26,スコア表['#],0),MATCH(AX$5,スコア表[#Headers],0)),スコア表[43],0),"-")</f>
        <v>1</v>
      </c>
      <c r="AY26" s="79">
        <f>IFERROR(_xlfn.RANK.EQ(INDEX(スコア表[],MATCH($C26,スコア表['#],0),MATCH(AY$5,スコア表[#Headers],0)),スコア表[44],0),"-")</f>
        <v>29</v>
      </c>
      <c r="AZ26" s="79">
        <f>IFERROR(_xlfn.RANK.EQ(INDEX(スコア表[],MATCH($C26,スコア表['#],0),MATCH(AZ$5,スコア表[#Headers],0)),スコア表[45],0),"-")</f>
        <v>9</v>
      </c>
      <c r="BA26" s="79">
        <f>IFERROR(_xlfn.RANK.EQ(INDEX(スコア表[],MATCH($C26,スコア表['#],0),MATCH(BA$5,スコア表[#Headers],0)),スコア表[46],0),"-")</f>
        <v>34</v>
      </c>
      <c r="BB26" s="79">
        <f>IFERROR(_xlfn.RANK.EQ(INDEX(スコア表[],MATCH($C26,スコア表['#],0),MATCH(BB$5,スコア表[#Headers],0)),スコア表[47],0),"-")</f>
        <v>17</v>
      </c>
      <c r="BC26" s="79">
        <f>IFERROR(_xlfn.RANK.EQ(INDEX(スコア表[],MATCH($C26,スコア表['#],0),MATCH(BC$5,スコア表[#Headers],0)),スコア表[48],0),"-")</f>
        <v>39</v>
      </c>
      <c r="BD26" s="79">
        <f>IFERROR(_xlfn.RANK.EQ(INDEX(スコア表[],MATCH($C26,スコア表['#],0),MATCH(BD$5,スコア表[#Headers],0)),スコア表[49],0),"-")</f>
        <v>10</v>
      </c>
      <c r="BE26" s="79">
        <f>IFERROR(_xlfn.RANK.EQ(INDEX(スコア表[],MATCH($C26,スコア表['#],0),MATCH(BE$5,スコア表[#Headers],0)),スコア表[50],0),"-")</f>
        <v>10</v>
      </c>
      <c r="BF26" s="79">
        <f>IFERROR(_xlfn.RANK.EQ(INDEX(スコア表[],MATCH($C26,スコア表['#],0),MATCH(BF$5,スコア表[#Headers],0)),スコア表[51],0),"-")</f>
        <v>14</v>
      </c>
      <c r="BG26" s="79">
        <f>IFERROR(_xlfn.RANK.EQ(INDEX(スコア表[],MATCH($C26,スコア表['#],0),MATCH(BG$5,スコア表[#Headers],0)),スコア表[52],0),"-")</f>
        <v>46</v>
      </c>
      <c r="BH26" s="79">
        <f>IFERROR(_xlfn.RANK.EQ(INDEX(スコア表[],MATCH($C26,スコア表['#],0),MATCH(BH$5,スコア表[#Headers],0)),スコア表[53],0),"-")</f>
        <v>46</v>
      </c>
      <c r="BI26" s="79">
        <f>IFERROR(_xlfn.RANK.EQ(INDEX(スコア表[],MATCH($C26,スコア表['#],0),MATCH(BI$5,スコア表[#Headers],0)),スコア表[54],0),"-")</f>
        <v>2</v>
      </c>
      <c r="BJ26" s="79">
        <f>IFERROR(_xlfn.RANK.EQ(INDEX(スコア表[],MATCH($C26,スコア表['#],0),MATCH(BJ$5,スコア表[#Headers],0)),スコア表[55],0),"-")</f>
        <v>15</v>
      </c>
      <c r="BK26" s="79">
        <f>IFERROR(_xlfn.RANK.EQ(INDEX(スコア表[],MATCH($C26,スコア表['#],0),MATCH(BK$5,スコア表[#Headers],0)),スコア表[56],0),"-")</f>
        <v>31</v>
      </c>
      <c r="BL26" s="79">
        <f>IFERROR(_xlfn.RANK.EQ(INDEX(スコア表[],MATCH($C26,スコア表['#],0),MATCH(BL$5,スコア表[#Headers],0)),スコア表[57],0),"-")</f>
        <v>46</v>
      </c>
      <c r="BM26" s="79">
        <f>IFERROR(_xlfn.RANK.EQ(INDEX(スコア表[],MATCH($C26,スコア表['#],0),MATCH(BM$5,スコア表[#Headers],0)),スコア表[58],0),"-")</f>
        <v>10</v>
      </c>
      <c r="BN26" s="79">
        <f>IFERROR(_xlfn.RANK.EQ(INDEX(スコア表[],MATCH($C26,スコア表['#],0),MATCH(BN$5,スコア表[#Headers],0)),スコア表[59],0),"-")</f>
        <v>13</v>
      </c>
      <c r="BO26" s="79">
        <f>IFERROR(_xlfn.RANK.EQ(INDEX(スコア表[],MATCH($C26,スコア表['#],0),MATCH(BO$5,スコア表[#Headers],0)),スコア表[60],0),"-")</f>
        <v>2</v>
      </c>
      <c r="BP26" s="79">
        <f>IFERROR(_xlfn.RANK.EQ(INDEX(スコア表[],MATCH($C26,スコア表['#],0),MATCH(BP$5,スコア表[#Headers],0)),スコア表[61],0),"-")</f>
        <v>22</v>
      </c>
      <c r="BQ26" s="79">
        <f>IFERROR(_xlfn.RANK.EQ(INDEX(スコア表[],MATCH($C26,スコア表['#],0),MATCH(BQ$5,スコア表[#Headers],0)),スコア表[62],0),"-")</f>
        <v>3</v>
      </c>
      <c r="BR26" s="79">
        <f>IFERROR(_xlfn.RANK.EQ(INDEX(スコア表[],MATCH($C26,スコア表['#],0),MATCH(BR$5,スコア表[#Headers],0)),スコア表[63],0),"-")</f>
        <v>25</v>
      </c>
      <c r="BS26" s="79">
        <f>IFERROR(_xlfn.RANK.EQ(INDEX(スコア表[],MATCH($C26,スコア表['#],0),MATCH(BS$5,スコア表[#Headers],0)),スコア表[64],0),"-")</f>
        <v>28</v>
      </c>
      <c r="BT26" s="79">
        <f>IFERROR(_xlfn.RANK.EQ(INDEX(スコア表[],MATCH($C26,スコア表['#],0),MATCH(BT$5,スコア表[#Headers],0)),スコア表[65],0),"-")</f>
        <v>30</v>
      </c>
      <c r="BU26" s="79">
        <f>IFERROR(_xlfn.RANK.EQ(INDEX(スコア表[],MATCH($C26,スコア表['#],0),MATCH(BU$5,スコア表[#Headers],0)),スコア表[66],0),"-")</f>
        <v>7</v>
      </c>
      <c r="BV26" s="79">
        <f>IFERROR(_xlfn.RANK.EQ(INDEX(スコア表[],MATCH($C26,スコア表['#],0),MATCH(BV$5,スコア表[#Headers],0)),スコア表[67],0),"-")</f>
        <v>12</v>
      </c>
      <c r="BW26" s="79">
        <f>IFERROR(_xlfn.RANK.EQ(INDEX(スコア表[],MATCH($C26,スコア表['#],0),MATCH(BW$5,スコア表[#Headers],0)),スコア表[68],0),"-")</f>
        <v>34</v>
      </c>
      <c r="BX26" s="79">
        <f>IFERROR(_xlfn.RANK.EQ(INDEX(スコア表[],MATCH($C26,スコア表['#],0),MATCH(BX$5,スコア表[#Headers],0)),スコア表[69],0),"-")</f>
        <v>8</v>
      </c>
      <c r="BY26" s="79">
        <f>IFERROR(_xlfn.RANK.EQ(INDEX(スコア表[],MATCH($C26,スコア表['#],0),MATCH(BY$5,スコア表[#Headers],0)),スコア表[70],0),"-")</f>
        <v>6</v>
      </c>
      <c r="BZ26" s="79">
        <f>IFERROR(_xlfn.RANK.EQ(INDEX(スコア表[],MATCH($C26,スコア表['#],0),MATCH(BZ$5,スコア表[#Headers],0)),スコア表[Ec1],0),"-")</f>
        <v>11</v>
      </c>
      <c r="CA26" s="79">
        <f>IFERROR(_xlfn.RANK.EQ(INDEX(スコア表[],MATCH($C26,スコア表['#],0),MATCH(CA$5,スコア表[#Headers],0)),スコア表[Ec2],0),"-")</f>
        <v>2</v>
      </c>
      <c r="CB26" s="79">
        <f>IFERROR(_xlfn.RANK.EQ(INDEX(スコア表[],MATCH($C26,スコア表['#],0),MATCH(CB$5,スコア表[#Headers],0)),スコア表[Ec3],0),"-")</f>
        <v>14</v>
      </c>
      <c r="CC26" s="79">
        <f>IFERROR(_xlfn.RANK.EQ(INDEX(スコア表[],MATCH($C26,スコア表['#],0),MATCH(CC$5,スコア表[#Headers],0)),スコア表[Ec4],0),"-")</f>
        <v>32</v>
      </c>
      <c r="CD26" s="79">
        <f>IFERROR(_xlfn.RANK.EQ(INDEX(スコア表[],MATCH($C26,スコア表['#],0),MATCH(CD$5,スコア表[#Headers],0)),スコア表[Ec5],0),"-")</f>
        <v>7</v>
      </c>
      <c r="CE26" s="79">
        <f>IFERROR(_xlfn.RANK.EQ(INDEX(スコア表[],MATCH($C26,スコア表['#],0),MATCH(CE$5,スコア表[#Headers],0)),スコア表[Ec6],0),"-")</f>
        <v>4</v>
      </c>
      <c r="CF26" s="79">
        <f>IFERROR(_xlfn.RANK.EQ(INDEX(スコア表[],MATCH($C26,スコア表['#],0),MATCH(CF$5,スコア表[#Headers],0)),スコア表[RD1],0),"-")</f>
        <v>10</v>
      </c>
      <c r="CG26" s="79">
        <f>IFERROR(_xlfn.RANK.EQ(INDEX(スコア表[],MATCH($C26,スコア表['#],0),MATCH(CG$5,スコア表[#Headers],0)),スコア表[RD2],0),"-")</f>
        <v>13</v>
      </c>
      <c r="CH26" s="79">
        <f>IFERROR(_xlfn.RANK.EQ(INDEX(スコア表[],MATCH($C26,スコア表['#],0),MATCH(CH$5,スコア表[#Headers],0)),スコア表[RD3],0),"-")</f>
        <v>12</v>
      </c>
      <c r="CI26" s="79">
        <f>IFERROR(_xlfn.RANK.EQ(INDEX(スコア表[],MATCH($C26,スコア表['#],0),MATCH(CI$5,スコア表[#Headers],0)),スコア表[CI1],0),"-")</f>
        <v>4</v>
      </c>
      <c r="CJ26" s="79">
        <f>IFERROR(_xlfn.RANK.EQ(INDEX(スコア表[],MATCH($C26,スコア表['#],0),MATCH(CJ$5,スコア表[#Headers],0)),スコア表[CI2],0),"-")</f>
        <v>34</v>
      </c>
      <c r="CK26" s="79">
        <f>IFERROR(_xlfn.RANK.EQ(INDEX(スコア表[],MATCH($C26,スコア表['#],0),MATCH(CK$5,スコア表[#Headers],0)),スコア表[CI3],0),"-")</f>
        <v>43</v>
      </c>
      <c r="CL26" s="79">
        <f>IFERROR(_xlfn.RANK.EQ(INDEX(スコア表[],MATCH($C26,スコア表['#],0),MATCH(CL$5,スコア表[#Headers],0)),スコア表[CI4],0),"-")</f>
        <v>10</v>
      </c>
      <c r="CM26" s="79">
        <f>IFERROR(_xlfn.RANK.EQ(INDEX(スコア表[],MATCH($C26,スコア表['#],0),MATCH(CM$5,スコア表[#Headers],0)),スコア表[CI5],0),"-")</f>
        <v>4</v>
      </c>
      <c r="CN26" s="79">
        <f>IFERROR(_xlfn.RANK.EQ(INDEX(スコア表[],MATCH($C26,スコア表['#],0),MATCH(CN$5,スコア表[#Headers],0)),スコア表[Li1],0),"-")</f>
        <v>14</v>
      </c>
      <c r="CO26" s="79">
        <f>IFERROR(_xlfn.RANK.EQ(INDEX(スコア表[],MATCH($C26,スコア表['#],0),MATCH(CO$5,スコア表[#Headers],0)),スコア表[Li2],0),"-")</f>
        <v>46</v>
      </c>
      <c r="CP26" s="79">
        <f>IFERROR(_xlfn.RANK.EQ(INDEX(スコア表[],MATCH($C26,スコア表['#],0),MATCH(CP$5,スコア表[#Headers],0)),スコア表[Li3],0),"-")</f>
        <v>7</v>
      </c>
      <c r="CQ26" s="79">
        <f>IFERROR(_xlfn.RANK.EQ(INDEX(スコア表[],MATCH($C26,スコア表['#],0),MATCH(CQ$5,スコア表[#Headers],0)),スコア表[Li4],0),"-")</f>
        <v>22</v>
      </c>
      <c r="CR26" s="79">
        <f>IFERROR(_xlfn.RANK.EQ(INDEX(スコア表[],MATCH($C26,スコア表['#],0),MATCH(CR$5,スコア表[#Headers],0)),スコア表[Li5],0),"-")</f>
        <v>11</v>
      </c>
      <c r="CS26" s="79">
        <f>IFERROR(_xlfn.RANK.EQ(INDEX(スコア表[],MATCH($C26,スコア表['#],0),MATCH(CS$5,スコア表[#Headers],0)),スコア表[En1],0),"-")</f>
        <v>28</v>
      </c>
      <c r="CT26" s="79">
        <f>IFERROR(_xlfn.RANK.EQ(INDEX(スコア表[],MATCH($C26,スコア表['#],0),MATCH(CT$5,スコア表[#Headers],0)),スコア表[En2],0),"-")</f>
        <v>36</v>
      </c>
      <c r="CU26" s="79">
        <f>IFERROR(_xlfn.RANK.EQ(INDEX(スコア表[],MATCH($C26,スコア表['#],0),MATCH(CU$5,スコア表[#Headers],0)),スコア表[En3],0),"-")</f>
        <v>4</v>
      </c>
      <c r="CV26" s="79">
        <f>IFERROR(_xlfn.RANK.EQ(INDEX(スコア表[],MATCH($C26,スコア表['#],0),MATCH(CV$5,スコア表[#Headers],0)),スコア表[Ac1],0),"-")</f>
        <v>4</v>
      </c>
      <c r="CW26" s="79">
        <f>IFERROR(_xlfn.RANK.EQ(INDEX(スコア表[],MATCH($C26,スコア表['#],0),MATCH(CW$5,スコア表[#Headers],0)),スコア表[Ac2],0),"-")</f>
        <v>27</v>
      </c>
      <c r="CX26" s="79">
        <f>IFERROR(_xlfn.RANK.EQ(INDEX(スコア表[],MATCH($C26,スコア表['#],0),MATCH(CX$5,スコア表[#Headers],0)),スコア表[Ac3],0),"-")</f>
        <v>7</v>
      </c>
      <c r="CY26" s="79">
        <f>IFERROR(_xlfn.RANK.EQ(INDEX(スコア表[],MATCH($C26,スコア表['#],0),MATCH(CY$5,スコア表[#Headers],0)),スコア表[Ac4],0),"-")</f>
        <v>13</v>
      </c>
      <c r="CZ26" s="79">
        <f>IFERROR(_xlfn.RANK.EQ(INDEX(スコア表[],MATCH($C26,スコア表['#],0),MATCH(CZ$5,スコア表[#Headers],0)),スコア表[Economy],0),"-")</f>
        <v>4</v>
      </c>
      <c r="DA26" s="79">
        <f>IFERROR(_xlfn.RANK.EQ(INDEX(スコア表[],MATCH($C26,スコア表['#],0),MATCH(DA$5,スコア表[#Headers],0)),スコア表[R&amp;D],0),"-")</f>
        <v>11</v>
      </c>
      <c r="DB26" s="79">
        <f>IFERROR(_xlfn.RANK.EQ(INDEX(スコア表[],MATCH($C26,スコア表['#],0),MATCH(DB$5,スコア表[#Headers],0)),スコア表[Cultural Interaction],0),"-")</f>
        <v>9</v>
      </c>
      <c r="DC26" s="79">
        <f>IFERROR(_xlfn.RANK.EQ(INDEX(スコア表[],MATCH($C26,スコア表['#],0),MATCH(DC$5,スコア表[#Headers],0)),スコア表[Livability],0),"-")</f>
        <v>35</v>
      </c>
      <c r="DD26" s="79">
        <f>IFERROR(_xlfn.RANK.EQ(INDEX(スコア表[],MATCH($C26,スコア表['#],0),MATCH(DD$5,スコア表[#Headers],0)),スコア表[Environment],0),"-")</f>
        <v>12</v>
      </c>
      <c r="DE26" s="79">
        <f>IFERROR(_xlfn.RANK.EQ(INDEX(スコア表[],MATCH($C26,スコア表['#],0),MATCH(DE$5,スコア表[#Headers],0)),スコア表[Accessibility],0),"-")</f>
        <v>7</v>
      </c>
      <c r="DF26" s="81">
        <f>IFERROR(_xlfn.RANK.EQ(INDEX(スコア表[],MATCH($C26,スコア表['#],0),MATCH(DF$5,スコア表[#Headers],0)),スコア表[Comprehensive],0),"-")</f>
        <v>5</v>
      </c>
    </row>
    <row r="27" spans="1:110">
      <c r="A27" s="2">
        <v>22</v>
      </c>
      <c r="B27" s="58">
        <f>INDEX(順位表[Comprehensive],MATCH($C27,順位表['#],0))</f>
        <v>18</v>
      </c>
      <c r="C27" s="3">
        <v>22</v>
      </c>
      <c r="D27" s="1" t="str">
        <f>INDEX(都市マスタ[City Name],MATCH($C27,都市マスタ['#],0))</f>
        <v>Hong Kong</v>
      </c>
      <c r="E27" s="79">
        <f>IFERROR(_xlfn.RANK.EQ(INDEX(スコア表[],MATCH($C27,スコア表['#],0),MATCH(E$5,スコア表[#Headers],0)),スコア表[00a],0),"-")</f>
        <v>15</v>
      </c>
      <c r="F27" s="79">
        <f>IFERROR(_xlfn.RANK.EQ(INDEX(スコア表[],MATCH($C27,スコア表['#],0),MATCH(F$5,スコア表[#Headers],0)),スコア表[00b],0),"-")</f>
        <v>15</v>
      </c>
      <c r="G27" s="79">
        <f>IFERROR(_xlfn.RANK.EQ(INDEX(スコア表[],MATCH($C27,スコア表['#],0),MATCH(G$5,スコア表[#Headers],0)),スコア表[00c],0),"-")</f>
        <v>16</v>
      </c>
      <c r="H27" s="79">
        <f>IFERROR(_xlfn.RANK.EQ(INDEX(スコア表[],MATCH($C27,スコア表['#],0),MATCH(H$5,スコア表[#Headers],0)),スコア表[01],0),"-")</f>
        <v>9</v>
      </c>
      <c r="I27" s="79">
        <f>IFERROR(_xlfn.RANK.EQ(INDEX(スコア表[],MATCH($C27,スコア表['#],0),MATCH(I$5,スコア表[#Headers],0)),スコア表[02],0),"-")</f>
        <v>30</v>
      </c>
      <c r="J27" s="79">
        <f>IFERROR(_xlfn.RANK.EQ(INDEX(スコア表[],MATCH($C27,スコア表['#],0),MATCH(J$5,スコア表[#Headers],0)),スコア表[03],0),"-")</f>
        <v>37</v>
      </c>
      <c r="K27" s="79">
        <f>IFERROR(_xlfn.RANK.EQ(INDEX(スコア表[],MATCH($C27,スコア表['#],0),MATCH(K$5,スコア表[#Headers],0)),スコア表[04],0),"-")</f>
        <v>46</v>
      </c>
      <c r="L27" s="79">
        <f>IFERROR(_xlfn.RANK.EQ(INDEX(スコア表[],MATCH($C27,スコア表['#],0),MATCH(L$5,スコア表[#Headers],0)),スコア表[05],0),"-")</f>
        <v>4</v>
      </c>
      <c r="M27" s="79">
        <f>IFERROR(_xlfn.RANK.EQ(INDEX(スコア表[],MATCH($C27,スコア表['#],0),MATCH(M$5,スコア表[#Headers],0)),スコア表[06],0),"-")</f>
        <v>12</v>
      </c>
      <c r="N27" s="79">
        <f>IFERROR(_xlfn.RANK.EQ(INDEX(スコア表[],MATCH($C27,スコア表['#],0),MATCH(N$5,スコア表[#Headers],0)),スコア表[07],0),"-")</f>
        <v>15</v>
      </c>
      <c r="O27" s="79">
        <f>IFERROR(_xlfn.RANK.EQ(INDEX(スコア表[],MATCH($C27,スコア表['#],0),MATCH(O$5,スコア表[#Headers],0)),スコア表[08],0),"-")</f>
        <v>27</v>
      </c>
      <c r="P27" s="79">
        <f>IFERROR(_xlfn.RANK.EQ(INDEX(スコア表[],MATCH($C27,スコア表['#],0),MATCH(P$5,スコア表[#Headers],0)),スコア表[09],0),"-")</f>
        <v>27</v>
      </c>
      <c r="Q27" s="79">
        <f>IFERROR(_xlfn.RANK.EQ(INDEX(スコア表[],MATCH($C27,スコア表['#],0),MATCH(Q$5,スコア表[#Headers],0)),スコア表[10],0),"-")</f>
        <v>30</v>
      </c>
      <c r="R27" s="79">
        <f>IFERROR(_xlfn.RANK.EQ(INDEX(スコア表[],MATCH($C27,スコア表['#],0),MATCH(R$5,スコア表[#Headers],0)),スコア表[11],0),"-")</f>
        <v>5</v>
      </c>
      <c r="S27" s="79">
        <f>IFERROR(_xlfn.RANK.EQ(INDEX(スコア表[],MATCH($C27,スコア表['#],0),MATCH(S$5,スコア表[#Headers],0)),スコア表[12],0),"-")</f>
        <v>4</v>
      </c>
      <c r="T27" s="79">
        <f>IFERROR(_xlfn.RANK.EQ(INDEX(スコア表[],MATCH($C27,スコア表['#],0),MATCH(T$5,スコア表[#Headers],0)),スコア表[13],0),"-")</f>
        <v>2</v>
      </c>
      <c r="U27" s="79">
        <f>IFERROR(_xlfn.RANK.EQ(INDEX(スコア表[],MATCH($C27,スコア表['#],0),MATCH(U$5,スコア表[#Headers],0)),スコア表[14],0),"-")</f>
        <v>12</v>
      </c>
      <c r="V27" s="79">
        <f>IFERROR(_xlfn.RANK.EQ(INDEX(スコア表[],MATCH($C27,スコア表['#],0),MATCH(V$5,スコア表[#Headers],0)),スコア表[15],0),"-")</f>
        <v>2</v>
      </c>
      <c r="W27" s="79">
        <f>IFERROR(_xlfn.RANK.EQ(INDEX(スコア表[],MATCH($C27,スコア表['#],0),MATCH(W$5,スコア表[#Headers],0)),スコア表[16],0),"-")</f>
        <v>19</v>
      </c>
      <c r="X27" s="79">
        <f>IFERROR(_xlfn.RANK.EQ(INDEX(スコア表[],MATCH($C27,スコア表['#],0),MATCH(X$5,スコア表[#Headers],0)),スコア表[17],0),"-")</f>
        <v>12</v>
      </c>
      <c r="Y27" s="79">
        <f>IFERROR(_xlfn.RANK.EQ(INDEX(スコア表[],MATCH($C27,スコア表['#],0),MATCH(Y$5,スコア表[#Headers],0)),スコア表[18],0),"-")</f>
        <v>4</v>
      </c>
      <c r="Z27" s="79">
        <f>IFERROR(_xlfn.RANK.EQ(INDEX(スコア表[],MATCH($C27,スコア表['#],0),MATCH(Z$5,スコア表[#Headers],0)),スコア表[19],0),"-")</f>
        <v>7</v>
      </c>
      <c r="AA27" s="79">
        <f>IFERROR(_xlfn.RANK.EQ(INDEX(スコア表[],MATCH($C27,スコア表['#],0),MATCH(AA$5,スコア表[#Headers],0)),スコア表[20],0),"-")</f>
        <v>23</v>
      </c>
      <c r="AB27" s="79">
        <f>IFERROR(_xlfn.RANK.EQ(INDEX(スコア表[],MATCH($C27,スコア表['#],0),MATCH(AB$5,スコア表[#Headers],0)),スコア表[21],0),"-")</f>
        <v>27</v>
      </c>
      <c r="AC27" s="79">
        <f>IFERROR(_xlfn.RANK.EQ(INDEX(スコア表[],MATCH($C27,スコア表['#],0),MATCH(AC$5,スコア表[#Headers],0)),スコア表[22],0),"-")</f>
        <v>31</v>
      </c>
      <c r="AD27" s="79">
        <f>IFERROR(_xlfn.RANK.EQ(INDEX(スコア表[],MATCH($C27,スコア表['#],0),MATCH(AD$5,スコア表[#Headers],0)),スコア表[23],0),"-")</f>
        <v>36</v>
      </c>
      <c r="AE27" s="79">
        <f>IFERROR(_xlfn.RANK.EQ(INDEX(スコア表[],MATCH($C27,スコア表['#],0),MATCH(AE$5,スコア表[#Headers],0)),スコア表[24],0),"-")</f>
        <v>5</v>
      </c>
      <c r="AF27" s="79">
        <f>IFERROR(_xlfn.RANK.EQ(INDEX(スコア表[],MATCH($C27,スコア表['#],0),MATCH(AF$5,スコア表[#Headers],0)),スコア表[25],0),"-")</f>
        <v>18</v>
      </c>
      <c r="AG27" s="79">
        <f>IFERROR(_xlfn.RANK.EQ(INDEX(スコア表[],MATCH($C27,スコア表['#],0),MATCH(AG$5,スコア表[#Headers],0)),スコア表[26],0),"-")</f>
        <v>32</v>
      </c>
      <c r="AH27" s="79">
        <f>IFERROR(_xlfn.RANK.EQ(INDEX(スコア表[],MATCH($C27,スコア表['#],0),MATCH(AH$5,スコア表[#Headers],0)),スコア表[27],0),"-")</f>
        <v>31</v>
      </c>
      <c r="AI27" s="79">
        <f>IFERROR(_xlfn.RANK.EQ(INDEX(スコア表[],MATCH($C27,スコア表['#],0),MATCH(AI$5,スコア表[#Headers],0)),スコア表[28],0),"-")</f>
        <v>33</v>
      </c>
      <c r="AJ27" s="79">
        <f>IFERROR(_xlfn.RANK.EQ(INDEX(スコア表[],MATCH($C27,スコア表['#],0),MATCH(AJ$5,スコア表[#Headers],0)),スコア表[29],0),"-")</f>
        <v>40</v>
      </c>
      <c r="AK27" s="79">
        <f>IFERROR(_xlfn.RANK.EQ(INDEX(スコア表[],MATCH($C27,スコア表['#],0),MATCH(AK$5,スコア表[#Headers],0)),スコア表[30],0),"-")</f>
        <v>40</v>
      </c>
      <c r="AL27" s="79">
        <f>IFERROR(_xlfn.RANK.EQ(INDEX(スコア表[],MATCH($C27,スコア表['#],0),MATCH(AL$5,スコア表[#Headers],0)),スコア表[31],0),"-")</f>
        <v>19</v>
      </c>
      <c r="AM27" s="79">
        <f>IFERROR(_xlfn.RANK.EQ(INDEX(スコア表[],MATCH($C27,スコア表['#],0),MATCH(AM$5,スコア表[#Headers],0)),スコア表[32],0),"-")</f>
        <v>15</v>
      </c>
      <c r="AN27" s="79">
        <f>IFERROR(_xlfn.RANK.EQ(INDEX(スコア表[],MATCH($C27,スコア表['#],0),MATCH(AN$5,スコア表[#Headers],0)),スコア表[33],0),"-")</f>
        <v>8</v>
      </c>
      <c r="AO27" s="79">
        <f>IFERROR(_xlfn.RANK.EQ(INDEX(スコア表[],MATCH($C27,スコア表['#],0),MATCH(AO$5,スコア表[#Headers],0)),スコア表[34],0),"-")</f>
        <v>19</v>
      </c>
      <c r="AP27" s="79">
        <f>IFERROR(_xlfn.RANK.EQ(INDEX(スコア表[],MATCH($C27,スコア表['#],0),MATCH(AP$5,スコア表[#Headers],0)),スコア表[35],0),"-")</f>
        <v>19</v>
      </c>
      <c r="AQ27" s="79">
        <f>IFERROR(_xlfn.RANK.EQ(INDEX(スコア表[],MATCH($C27,スコア表['#],0),MATCH(AQ$5,スコア表[#Headers],0)),スコア表[36],0),"-")</f>
        <v>11</v>
      </c>
      <c r="AR27" s="79">
        <f>IFERROR(_xlfn.RANK.EQ(INDEX(スコア表[],MATCH($C27,スコア表['#],0),MATCH(AR$5,スコア表[#Headers],0)),スコア表[37],0),"-")</f>
        <v>44</v>
      </c>
      <c r="AS27" s="79">
        <f>IFERROR(_xlfn.RANK.EQ(INDEX(スコア表[],MATCH($C27,スコア表['#],0),MATCH(AS$5,スコア表[#Headers],0)),スコア表[38],0),"-")</f>
        <v>20</v>
      </c>
      <c r="AT27" s="79">
        <f>IFERROR(_xlfn.RANK.EQ(INDEX(スコア表[],MATCH($C27,スコア表['#],0),MATCH(AT$5,スコア表[#Headers],0)),スコア表[39],0),"-")</f>
        <v>23</v>
      </c>
      <c r="AU27" s="79">
        <f>IFERROR(_xlfn.RANK.EQ(INDEX(スコア表[],MATCH($C27,スコア表['#],0),MATCH(AU$5,スコア表[#Headers],0)),スコア表[40],0),"-")</f>
        <v>31</v>
      </c>
      <c r="AV27" s="79">
        <f>IFERROR(_xlfn.RANK.EQ(INDEX(スコア表[],MATCH($C27,スコア表['#],0),MATCH(AV$5,スコア表[#Headers],0)),スコア表[41],0),"-")</f>
        <v>37</v>
      </c>
      <c r="AW27" s="79">
        <f>IFERROR(_xlfn.RANK.EQ(INDEX(スコア表[],MATCH($C27,スコア表['#],0),MATCH(AW$5,スコア表[#Headers],0)),スコア表[42],0),"-")</f>
        <v>30</v>
      </c>
      <c r="AX27" s="79">
        <f>IFERROR(_xlfn.RANK.EQ(INDEX(スコア表[],MATCH($C27,スコア表['#],0),MATCH(AX$5,スコア表[#Headers],0)),スコア表[43],0),"-")</f>
        <v>6</v>
      </c>
      <c r="AY27" s="79">
        <f>IFERROR(_xlfn.RANK.EQ(INDEX(スコア表[],MATCH($C27,スコア表['#],0),MATCH(AY$5,スコア表[#Headers],0)),スコア表[44],0),"-")</f>
        <v>33</v>
      </c>
      <c r="AZ27" s="79">
        <f>IFERROR(_xlfn.RANK.EQ(INDEX(スコア表[],MATCH($C27,スコア表['#],0),MATCH(AZ$5,スコア表[#Headers],0)),スコア表[45],0),"-")</f>
        <v>1</v>
      </c>
      <c r="BA27" s="79">
        <f>IFERROR(_xlfn.RANK.EQ(INDEX(スコア表[],MATCH($C27,スコア表['#],0),MATCH(BA$5,スコア表[#Headers],0)),スコア表[46],0),"-")</f>
        <v>37</v>
      </c>
      <c r="BB27" s="79">
        <f>IFERROR(_xlfn.RANK.EQ(INDEX(スコア表[],MATCH($C27,スコア表['#],0),MATCH(BB$5,スコア表[#Headers],0)),スコア表[47],0),"-")</f>
        <v>29</v>
      </c>
      <c r="BC27" s="79">
        <f>IFERROR(_xlfn.RANK.EQ(INDEX(スコア表[],MATCH($C27,スコア表['#],0),MATCH(BC$5,スコア表[#Headers],0)),スコア表[48],0),"-")</f>
        <v>31</v>
      </c>
      <c r="BD27" s="79">
        <f>IFERROR(_xlfn.RANK.EQ(INDEX(スコア表[],MATCH($C27,スコア表['#],0),MATCH(BD$5,スコア表[#Headers],0)),スコア表[49],0),"-")</f>
        <v>34</v>
      </c>
      <c r="BE27" s="79">
        <f>IFERROR(_xlfn.RANK.EQ(INDEX(スコア表[],MATCH($C27,スコア表['#],0),MATCH(BE$5,スコア表[#Headers],0)),スコア表[50],0),"-")</f>
        <v>21</v>
      </c>
      <c r="BF27" s="79">
        <f>IFERROR(_xlfn.RANK.EQ(INDEX(スコア表[],MATCH($C27,スコア表['#],0),MATCH(BF$5,スコア表[#Headers],0)),スコア表[51],0),"-")</f>
        <v>9</v>
      </c>
      <c r="BG27" s="79">
        <f>IFERROR(_xlfn.RANK.EQ(INDEX(スコア表[],MATCH($C27,スコア表['#],0),MATCH(BG$5,スコア表[#Headers],0)),スコア表[52],0),"-")</f>
        <v>32</v>
      </c>
      <c r="BH27" s="79">
        <f>IFERROR(_xlfn.RANK.EQ(INDEX(スコア表[],MATCH($C27,スコア表['#],0),MATCH(BH$5,スコア表[#Headers],0)),スコア表[53],0),"-")</f>
        <v>47</v>
      </c>
      <c r="BI27" s="79">
        <f>IFERROR(_xlfn.RANK.EQ(INDEX(スコア表[],MATCH($C27,スコア表['#],0),MATCH(BI$5,スコア表[#Headers],0)),スコア表[54],0),"-")</f>
        <v>9</v>
      </c>
      <c r="BJ27" s="79">
        <f>IFERROR(_xlfn.RANK.EQ(INDEX(スコア表[],MATCH($C27,スコア表['#],0),MATCH(BJ$5,スコア表[#Headers],0)),スコア表[55],0),"-")</f>
        <v>7</v>
      </c>
      <c r="BK27" s="79">
        <f>IFERROR(_xlfn.RANK.EQ(INDEX(スコア表[],MATCH($C27,スコア表['#],0),MATCH(BK$5,スコア表[#Headers],0)),スコア表[56],0),"-")</f>
        <v>34</v>
      </c>
      <c r="BL27" s="79">
        <f>IFERROR(_xlfn.RANK.EQ(INDEX(スコア表[],MATCH($C27,スコア表['#],0),MATCH(BL$5,スコア表[#Headers],0)),スコア表[57],0),"-")</f>
        <v>20</v>
      </c>
      <c r="BM27" s="79">
        <f>IFERROR(_xlfn.RANK.EQ(INDEX(スコア表[],MATCH($C27,スコア表['#],0),MATCH(BM$5,スコア表[#Headers],0)),スコア表[58],0),"-")</f>
        <v>34</v>
      </c>
      <c r="BN27" s="79">
        <f>IFERROR(_xlfn.RANK.EQ(INDEX(スコア表[],MATCH($C27,スコア表['#],0),MATCH(BN$5,スコア表[#Headers],0)),スコア表[59],0),"-")</f>
        <v>15</v>
      </c>
      <c r="BO27" s="79">
        <f>IFERROR(_xlfn.RANK.EQ(INDEX(スコア表[],MATCH($C27,スコア表['#],0),MATCH(BO$5,スコア表[#Headers],0)),スコア表[60],0),"-")</f>
        <v>28</v>
      </c>
      <c r="BP27" s="79">
        <f>IFERROR(_xlfn.RANK.EQ(INDEX(スコア表[],MATCH($C27,スコア表['#],0),MATCH(BP$5,スコア表[#Headers],0)),スコア表[61],0),"-")</f>
        <v>28</v>
      </c>
      <c r="BQ27" s="79">
        <f>IFERROR(_xlfn.RANK.EQ(INDEX(スコア表[],MATCH($C27,スコア表['#],0),MATCH(BQ$5,スコア表[#Headers],0)),スコア表[62],0),"-")</f>
        <v>2</v>
      </c>
      <c r="BR27" s="79">
        <f>IFERROR(_xlfn.RANK.EQ(INDEX(スコア表[],MATCH($C27,スコア表['#],0),MATCH(BR$5,スコア表[#Headers],0)),スコア表[63],0),"-")</f>
        <v>48</v>
      </c>
      <c r="BS27" s="79">
        <f>IFERROR(_xlfn.RANK.EQ(INDEX(スコア表[],MATCH($C27,スコア表['#],0),MATCH(BS$5,スコア表[#Headers],0)),スコア表[64],0),"-")</f>
        <v>47</v>
      </c>
      <c r="BT27" s="79">
        <f>IFERROR(_xlfn.RANK.EQ(INDEX(スコア表[],MATCH($C27,スコア表['#],0),MATCH(BT$5,スコア表[#Headers],0)),スコア表[65],0),"-")</f>
        <v>24</v>
      </c>
      <c r="BU27" s="79">
        <f>IFERROR(_xlfn.RANK.EQ(INDEX(スコア表[],MATCH($C27,スコア表['#],0),MATCH(BU$5,スコア表[#Headers],0)),スコア表[66],0),"-")</f>
        <v>2</v>
      </c>
      <c r="BV27" s="79">
        <f>IFERROR(_xlfn.RANK.EQ(INDEX(スコア表[],MATCH($C27,スコア表['#],0),MATCH(BV$5,スコア表[#Headers],0)),スコア表[67],0),"-")</f>
        <v>25</v>
      </c>
      <c r="BW27" s="79">
        <f>IFERROR(_xlfn.RANK.EQ(INDEX(スコア表[],MATCH($C27,スコア表['#],0),MATCH(BW$5,スコア表[#Headers],0)),スコア表[68],0),"-")</f>
        <v>39</v>
      </c>
      <c r="BX27" s="79">
        <f>IFERROR(_xlfn.RANK.EQ(INDEX(スコア表[],MATCH($C27,スコア表['#],0),MATCH(BX$5,スコア表[#Headers],0)),スコア表[69],0),"-")</f>
        <v>8</v>
      </c>
      <c r="BY27" s="79">
        <f>IFERROR(_xlfn.RANK.EQ(INDEX(スコア表[],MATCH($C27,スコア表['#],0),MATCH(BY$5,スコア表[#Headers],0)),スコア表[70],0),"-")</f>
        <v>32</v>
      </c>
      <c r="BZ27" s="79">
        <f>IFERROR(_xlfn.RANK.EQ(INDEX(スコア表[],MATCH($C27,スコア表['#],0),MATCH(BZ$5,スコア表[#Headers],0)),スコア表[Ec1],0),"-")</f>
        <v>17</v>
      </c>
      <c r="CA27" s="79">
        <f>IFERROR(_xlfn.RANK.EQ(INDEX(スコア表[],MATCH($C27,スコア表['#],0),MATCH(CA$5,スコア表[#Headers],0)),スコア表[Ec2],0),"-")</f>
        <v>47</v>
      </c>
      <c r="CB27" s="79">
        <f>IFERROR(_xlfn.RANK.EQ(INDEX(スコア表[],MATCH($C27,スコア表['#],0),MATCH(CB$5,スコア表[#Headers],0)),スコア表[Ec3],0),"-")</f>
        <v>7</v>
      </c>
      <c r="CC27" s="79">
        <f>IFERROR(_xlfn.RANK.EQ(INDEX(スコア表[],MATCH($C27,スコア表['#],0),MATCH(CC$5,スコア表[#Headers],0)),スコア表[Ec4],0),"-")</f>
        <v>14</v>
      </c>
      <c r="CD27" s="79">
        <f>IFERROR(_xlfn.RANK.EQ(INDEX(スコア表[],MATCH($C27,スコア表['#],0),MATCH(CD$5,スコア表[#Headers],0)),スコア表[Ec5],0),"-")</f>
        <v>17</v>
      </c>
      <c r="CE27" s="79">
        <f>IFERROR(_xlfn.RANK.EQ(INDEX(スコア表[],MATCH($C27,スコア表['#],0),MATCH(CE$5,スコア表[#Headers],0)),スコア表[Ec6],0),"-")</f>
        <v>3</v>
      </c>
      <c r="CF27" s="79">
        <f>IFERROR(_xlfn.RANK.EQ(INDEX(スコア表[],MATCH($C27,スコア表['#],0),MATCH(CF$5,スコア表[#Headers],0)),スコア表[RD1],0),"-")</f>
        <v>5</v>
      </c>
      <c r="CG27" s="79">
        <f>IFERROR(_xlfn.RANK.EQ(INDEX(スコア表[],MATCH($C27,スコア表['#],0),MATCH(CG$5,スコア表[#Headers],0)),スコア表[RD2],0),"-")</f>
        <v>15</v>
      </c>
      <c r="CH27" s="79">
        <f>IFERROR(_xlfn.RANK.EQ(INDEX(スコア表[],MATCH($C27,スコア表['#],0),MATCH(CH$5,スコア表[#Headers],0)),スコア表[RD3],0),"-")</f>
        <v>15</v>
      </c>
      <c r="CI27" s="79">
        <f>IFERROR(_xlfn.RANK.EQ(INDEX(スコア表[],MATCH($C27,スコア表['#],0),MATCH(CI$5,スコア表[#Headers],0)),スコア表[CI1],0),"-")</f>
        <v>16</v>
      </c>
      <c r="CJ27" s="79">
        <f>IFERROR(_xlfn.RANK.EQ(INDEX(スコア表[],MATCH($C27,スコア表['#],0),MATCH(CJ$5,スコア表[#Headers],0)),スコア表[CI2],0),"-")</f>
        <v>37</v>
      </c>
      <c r="CK27" s="79">
        <f>IFERROR(_xlfn.RANK.EQ(INDEX(スコア表[],MATCH($C27,スコア表['#],0),MATCH(CK$5,スコア表[#Headers],0)),スコア表[CI3],0),"-")</f>
        <v>35</v>
      </c>
      <c r="CL27" s="79">
        <f>IFERROR(_xlfn.RANK.EQ(INDEX(スコア表[],MATCH($C27,スコア表['#],0),MATCH(CL$5,スコア表[#Headers],0)),スコア表[CI4],0),"-")</f>
        <v>13</v>
      </c>
      <c r="CM27" s="79">
        <f>IFERROR(_xlfn.RANK.EQ(INDEX(スコア表[],MATCH($C27,スコア表['#],0),MATCH(CM$5,スコア表[#Headers],0)),スコア表[CI5],0),"-")</f>
        <v>27</v>
      </c>
      <c r="CN27" s="79">
        <f>IFERROR(_xlfn.RANK.EQ(INDEX(スコア表[],MATCH($C27,スコア表['#],0),MATCH(CN$5,スコア表[#Headers],0)),スコア表[Li1],0),"-")</f>
        <v>30</v>
      </c>
      <c r="CO27" s="79">
        <f>IFERROR(_xlfn.RANK.EQ(INDEX(スコア表[],MATCH($C27,スコア表['#],0),MATCH(CO$5,スコア表[#Headers],0)),スコア表[Li2],0),"-")</f>
        <v>37</v>
      </c>
      <c r="CP27" s="79">
        <f>IFERROR(_xlfn.RANK.EQ(INDEX(スコア表[],MATCH($C27,スコア表['#],0),MATCH(CP$5,スコア表[#Headers],0)),スコア表[Li3],0),"-")</f>
        <v>15</v>
      </c>
      <c r="CQ27" s="79">
        <f>IFERROR(_xlfn.RANK.EQ(INDEX(スコア表[],MATCH($C27,スコア表['#],0),MATCH(CQ$5,スコア表[#Headers],0)),スコア表[Li4],0),"-")</f>
        <v>27</v>
      </c>
      <c r="CR27" s="79">
        <f>IFERROR(_xlfn.RANK.EQ(INDEX(スコア表[],MATCH($C27,スコア表['#],0),MATCH(CR$5,スコア表[#Headers],0)),スコア表[Li5],0),"-")</f>
        <v>26</v>
      </c>
      <c r="CS27" s="79">
        <f>IFERROR(_xlfn.RANK.EQ(INDEX(スコア表[],MATCH($C27,スコア表['#],0),MATCH(CS$5,スコア表[#Headers],0)),スコア表[En1],0),"-")</f>
        <v>39</v>
      </c>
      <c r="CT27" s="79">
        <f>IFERROR(_xlfn.RANK.EQ(INDEX(スコア表[],MATCH($C27,スコア表['#],0),MATCH(CT$5,スコア表[#Headers],0)),スコア表[En2],0),"-")</f>
        <v>15</v>
      </c>
      <c r="CU27" s="79">
        <f>IFERROR(_xlfn.RANK.EQ(INDEX(スコア表[],MATCH($C27,スコア表['#],0),MATCH(CU$5,スコア表[#Headers],0)),スコア表[En3],0),"-")</f>
        <v>27</v>
      </c>
      <c r="CV27" s="79">
        <f>IFERROR(_xlfn.RANK.EQ(INDEX(スコア表[],MATCH($C27,スコア表['#],0),MATCH(CV$5,スコア表[#Headers],0)),スコア表[Ac1],0),"-")</f>
        <v>7</v>
      </c>
      <c r="CW27" s="79">
        <f>IFERROR(_xlfn.RANK.EQ(INDEX(スコア表[],MATCH($C27,スコア表['#],0),MATCH(CW$5,スコア表[#Headers],0)),スコア表[Ac2],0),"-")</f>
        <v>47</v>
      </c>
      <c r="CX27" s="79">
        <f>IFERROR(_xlfn.RANK.EQ(INDEX(スコア表[],MATCH($C27,スコア表['#],0),MATCH(CX$5,スコア表[#Headers],0)),スコア表[Ac3],0),"-")</f>
        <v>8</v>
      </c>
      <c r="CY27" s="79">
        <f>IFERROR(_xlfn.RANK.EQ(INDEX(スコア表[],MATCH($C27,スコア表['#],0),MATCH(CY$5,スコア表[#Headers],0)),スコア表[Ac4],0),"-")</f>
        <v>29</v>
      </c>
      <c r="CZ27" s="79">
        <f>IFERROR(_xlfn.RANK.EQ(INDEX(スコア表[],MATCH($C27,スコア表['#],0),MATCH(CZ$5,スコア表[#Headers],0)),スコア表[Economy],0),"-")</f>
        <v>26</v>
      </c>
      <c r="DA27" s="79">
        <f>IFERROR(_xlfn.RANK.EQ(INDEX(スコア表[],MATCH($C27,スコア表['#],0),MATCH(DA$5,スコア表[#Headers],0)),スコア表[R&amp;D],0),"-")</f>
        <v>10</v>
      </c>
      <c r="DB27" s="79">
        <f>IFERROR(_xlfn.RANK.EQ(INDEX(スコア表[],MATCH($C27,スコア表['#],0),MATCH(DB$5,スコア表[#Headers],0)),スコア表[Cultural Interaction],0),"-")</f>
        <v>26</v>
      </c>
      <c r="DC27" s="79">
        <f>IFERROR(_xlfn.RANK.EQ(INDEX(スコア表[],MATCH($C27,スコア表['#],0),MATCH(DC$5,スコア表[#Headers],0)),スコア表[Livability],0),"-")</f>
        <v>27</v>
      </c>
      <c r="DD27" s="79">
        <f>IFERROR(_xlfn.RANK.EQ(INDEX(スコア表[],MATCH($C27,スコア表['#],0),MATCH(DD$5,スコア表[#Headers],0)),スコア表[Environment],0),"-")</f>
        <v>23</v>
      </c>
      <c r="DE27" s="79">
        <f>IFERROR(_xlfn.RANK.EQ(INDEX(スコア表[],MATCH($C27,スコア表['#],0),MATCH(DE$5,スコア表[#Headers],0)),スコア表[Accessibility],0),"-")</f>
        <v>16</v>
      </c>
      <c r="DF27" s="81">
        <f>IFERROR(_xlfn.RANK.EQ(INDEX(スコア表[],MATCH($C27,スコア表['#],0),MATCH(DF$5,スコア表[#Headers],0)),スコア表[Comprehensive],0),"-")</f>
        <v>18</v>
      </c>
    </row>
    <row r="28" spans="1:110">
      <c r="A28" s="2">
        <v>23</v>
      </c>
      <c r="B28" s="58">
        <f>INDEX(順位表[Comprehensive],MATCH($C28,順位表['#],0))</f>
        <v>17</v>
      </c>
      <c r="C28" s="3">
        <v>23</v>
      </c>
      <c r="D28" s="1" t="str">
        <f>INDEX(都市マスタ[City Name],MATCH($C28,都市マスタ['#],0))</f>
        <v>Beijing</v>
      </c>
      <c r="E28" s="79">
        <f>IFERROR(_xlfn.RANK.EQ(INDEX(スコア表[],MATCH($C28,スコア表['#],0),MATCH(E$5,スコア表[#Headers],0)),スコア表[00a],0),"-")</f>
        <v>2</v>
      </c>
      <c r="F28" s="79">
        <f>IFERROR(_xlfn.RANK.EQ(INDEX(スコア表[],MATCH($C28,スコア表['#],0),MATCH(F$5,スコア表[#Headers],0)),スコア表[00b],0),"-")</f>
        <v>1</v>
      </c>
      <c r="G28" s="79">
        <f>IFERROR(_xlfn.RANK.EQ(INDEX(スコア表[],MATCH($C28,スコア表['#],0),MATCH(G$5,スコア表[#Headers],0)),スコア表[00c],0),"-")</f>
        <v>18</v>
      </c>
      <c r="H28" s="79">
        <f>IFERROR(_xlfn.RANK.EQ(INDEX(スコア表[],MATCH($C28,スコア表['#],0),MATCH(H$5,スコア表[#Headers],0)),スコア表[01],0),"-")</f>
        <v>5</v>
      </c>
      <c r="I28" s="79">
        <f>IFERROR(_xlfn.RANK.EQ(INDEX(スコア表[],MATCH($C28,スコア表['#],0),MATCH(I$5,スコア表[#Headers],0)),スコア表[02],0),"-")</f>
        <v>37</v>
      </c>
      <c r="J28" s="79">
        <f>IFERROR(_xlfn.RANK.EQ(INDEX(スコア表[],MATCH($C28,スコア表['#],0),MATCH(J$5,スコア表[#Headers],0)),スコア表[03],0),"-")</f>
        <v>4</v>
      </c>
      <c r="K28" s="79">
        <f>IFERROR(_xlfn.RANK.EQ(INDEX(スコア表[],MATCH($C28,スコア表['#],0),MATCH(K$5,スコア表[#Headers],0)),スコア表[04],0),"-")</f>
        <v>46</v>
      </c>
      <c r="L28" s="79">
        <f>IFERROR(_xlfn.RANK.EQ(INDEX(スコア表[],MATCH($C28,スコア表['#],0),MATCH(L$5,スコア表[#Headers],0)),スコア表[05],0),"-")</f>
        <v>34</v>
      </c>
      <c r="M28" s="79">
        <f>IFERROR(_xlfn.RANK.EQ(INDEX(スコア表[],MATCH($C28,スコア表['#],0),MATCH(M$5,スコア表[#Headers],0)),スコア表[06],0),"-")</f>
        <v>1</v>
      </c>
      <c r="N28" s="79">
        <f>IFERROR(_xlfn.RANK.EQ(INDEX(スコア表[],MATCH($C28,スコア表['#],0),MATCH(N$5,スコア表[#Headers],0)),スコア表[07],0),"-")</f>
        <v>2</v>
      </c>
      <c r="O28" s="79">
        <f>IFERROR(_xlfn.RANK.EQ(INDEX(スコア表[],MATCH($C28,スコア表['#],0),MATCH(O$5,スコア表[#Headers],0)),スコア表[08],0),"-")</f>
        <v>6</v>
      </c>
      <c r="P28" s="79">
        <f>IFERROR(_xlfn.RANK.EQ(INDEX(スコア表[],MATCH($C28,スコア表['#],0),MATCH(P$5,スコア表[#Headers],0)),スコア表[09],0),"-")</f>
        <v>35</v>
      </c>
      <c r="Q28" s="79">
        <f>IFERROR(_xlfn.RANK.EQ(INDEX(スコア表[],MATCH($C28,スコア表['#],0),MATCH(Q$5,スコア表[#Headers],0)),スコア表[10],0),"-")</f>
        <v>36</v>
      </c>
      <c r="R28" s="79">
        <f>IFERROR(_xlfn.RANK.EQ(INDEX(スコア表[],MATCH($C28,スコア表['#],0),MATCH(R$5,スコア表[#Headers],0)),スコア表[11],0),"-")</f>
        <v>4</v>
      </c>
      <c r="S28" s="79">
        <f>IFERROR(_xlfn.RANK.EQ(INDEX(スコア表[],MATCH($C28,スコア表['#],0),MATCH(S$5,スコア表[#Headers],0)),スコア表[12],0),"-")</f>
        <v>20</v>
      </c>
      <c r="T28" s="79">
        <f>IFERROR(_xlfn.RANK.EQ(INDEX(スコア表[],MATCH($C28,スコア表['#],0),MATCH(T$5,スコア表[#Headers],0)),スコア表[13],0),"-")</f>
        <v>34</v>
      </c>
      <c r="U28" s="79">
        <f>IFERROR(_xlfn.RANK.EQ(INDEX(スコア表[],MATCH($C28,スコア表['#],0),MATCH(U$5,スコア表[#Headers],0)),スコア表[14],0),"-")</f>
        <v>10</v>
      </c>
      <c r="V28" s="79">
        <f>IFERROR(_xlfn.RANK.EQ(INDEX(スコア表[],MATCH($C28,スコア表['#],0),MATCH(V$5,スコア表[#Headers],0)),スコア表[15],0),"-")</f>
        <v>9</v>
      </c>
      <c r="W28" s="79">
        <f>IFERROR(_xlfn.RANK.EQ(INDEX(スコア表[],MATCH($C28,スコア表['#],0),MATCH(W$5,スコア表[#Headers],0)),スコア表[16],0),"-")</f>
        <v>14</v>
      </c>
      <c r="X28" s="79">
        <f>IFERROR(_xlfn.RANK.EQ(INDEX(スコア表[],MATCH($C28,スコア表['#],0),MATCH(X$5,スコア表[#Headers],0)),スコア表[17],0),"-")</f>
        <v>17</v>
      </c>
      <c r="Y28" s="79">
        <f>IFERROR(_xlfn.RANK.EQ(INDEX(スコア表[],MATCH($C28,スコア表['#],0),MATCH(Y$5,スコア表[#Headers],0)),スコア表[18],0),"-")</f>
        <v>1</v>
      </c>
      <c r="Z28" s="79">
        <f>IFERROR(_xlfn.RANK.EQ(INDEX(スコア表[],MATCH($C28,スコア表['#],0),MATCH(Z$5,スコア表[#Headers],0)),スコア表[19],0),"-")</f>
        <v>11</v>
      </c>
      <c r="AA28" s="79">
        <f>IFERROR(_xlfn.RANK.EQ(INDEX(スコア表[],MATCH($C28,スコア表['#],0),MATCH(AA$5,スコア表[#Headers],0)),スコア表[20],0),"-")</f>
        <v>17</v>
      </c>
      <c r="AB28" s="79">
        <f>IFERROR(_xlfn.RANK.EQ(INDEX(スコア表[],MATCH($C28,スコア表['#],0),MATCH(AB$5,スコア表[#Headers],0)),スコア表[21],0),"-")</f>
        <v>39</v>
      </c>
      <c r="AC28" s="79">
        <f>IFERROR(_xlfn.RANK.EQ(INDEX(スコア表[],MATCH($C28,スコア表['#],0),MATCH(AC$5,スコア表[#Headers],0)),スコア表[22],0),"-")</f>
        <v>26</v>
      </c>
      <c r="AD28" s="79">
        <f>IFERROR(_xlfn.RANK.EQ(INDEX(スコア表[],MATCH($C28,スコア表['#],0),MATCH(AD$5,スコア表[#Headers],0)),スコア表[23],0),"-")</f>
        <v>3</v>
      </c>
      <c r="AE28" s="79">
        <f>IFERROR(_xlfn.RANK.EQ(INDEX(スコア表[],MATCH($C28,スコア表['#],0),MATCH(AE$5,スコア表[#Headers],0)),スコア表[24],0),"-")</f>
        <v>24</v>
      </c>
      <c r="AF28" s="79">
        <f>IFERROR(_xlfn.RANK.EQ(INDEX(スコア表[],MATCH($C28,スコア表['#],0),MATCH(AF$5,スコア表[#Headers],0)),スコア表[25],0),"-")</f>
        <v>6</v>
      </c>
      <c r="AG28" s="79">
        <f>IFERROR(_xlfn.RANK.EQ(INDEX(スコア表[],MATCH($C28,スコア表['#],0),MATCH(AG$5,スコア表[#Headers],0)),スコア表[26],0),"-")</f>
        <v>13</v>
      </c>
      <c r="AH28" s="79">
        <f>IFERROR(_xlfn.RANK.EQ(INDEX(スコア表[],MATCH($C28,スコア表['#],0),MATCH(AH$5,スコア表[#Headers],0)),スコア表[27],0),"-")</f>
        <v>12</v>
      </c>
      <c r="AI28" s="79">
        <f>IFERROR(_xlfn.RANK.EQ(INDEX(スコア表[],MATCH($C28,スコア表['#],0),MATCH(AI$5,スコア表[#Headers],0)),スコア表[28],0),"-")</f>
        <v>29</v>
      </c>
      <c r="AJ28" s="79">
        <f>IFERROR(_xlfn.RANK.EQ(INDEX(スコア表[],MATCH($C28,スコア表['#],0),MATCH(AJ$5,スコア表[#Headers],0)),スコア表[29],0),"-")</f>
        <v>30</v>
      </c>
      <c r="AK28" s="79">
        <f>IFERROR(_xlfn.RANK.EQ(INDEX(スコア表[],MATCH($C28,スコア表['#],0),MATCH(AK$5,スコア表[#Headers],0)),スコア表[30],0),"-")</f>
        <v>16</v>
      </c>
      <c r="AL28" s="79">
        <f>IFERROR(_xlfn.RANK.EQ(INDEX(スコア表[],MATCH($C28,スコア表['#],0),MATCH(AL$5,スコア表[#Headers],0)),スコア表[31],0),"-")</f>
        <v>4</v>
      </c>
      <c r="AM28" s="79">
        <f>IFERROR(_xlfn.RANK.EQ(INDEX(スコア表[],MATCH($C28,スコア表['#],0),MATCH(AM$5,スコア表[#Headers],0)),スコア表[32],0),"-")</f>
        <v>14</v>
      </c>
      <c r="AN28" s="79">
        <f>IFERROR(_xlfn.RANK.EQ(INDEX(スコア表[],MATCH($C28,スコア表['#],0),MATCH(AN$5,スコア表[#Headers],0)),スコア表[33],0),"-")</f>
        <v>7</v>
      </c>
      <c r="AO28" s="79">
        <f>IFERROR(_xlfn.RANK.EQ(INDEX(スコア表[],MATCH($C28,スコア表['#],0),MATCH(AO$5,スコア表[#Headers],0)),スコア表[34],0),"-")</f>
        <v>25</v>
      </c>
      <c r="AP28" s="79">
        <f>IFERROR(_xlfn.RANK.EQ(INDEX(スコア表[],MATCH($C28,スコア表['#],0),MATCH(AP$5,スコア表[#Headers],0)),スコア表[35],0),"-")</f>
        <v>23</v>
      </c>
      <c r="AQ28" s="79">
        <f>IFERROR(_xlfn.RANK.EQ(INDEX(スコア表[],MATCH($C28,スコア表['#],0),MATCH(AQ$5,スコア表[#Headers],0)),スコア表[36],0),"-")</f>
        <v>42</v>
      </c>
      <c r="AR28" s="79">
        <f>IFERROR(_xlfn.RANK.EQ(INDEX(スコア表[],MATCH($C28,スコア表['#],0),MATCH(AR$5,スコア表[#Headers],0)),スコア表[37],0),"-")</f>
        <v>45</v>
      </c>
      <c r="AS28" s="79">
        <f>IFERROR(_xlfn.RANK.EQ(INDEX(スコア表[],MATCH($C28,スコア表['#],0),MATCH(AS$5,スコア表[#Headers],0)),スコア表[38],0),"-")</f>
        <v>11</v>
      </c>
      <c r="AT28" s="79">
        <f>IFERROR(_xlfn.RANK.EQ(INDEX(スコア表[],MATCH($C28,スコア表['#],0),MATCH(AT$5,スコア表[#Headers],0)),スコア表[39],0),"-")</f>
        <v>28</v>
      </c>
      <c r="AU28" s="79">
        <f>IFERROR(_xlfn.RANK.EQ(INDEX(スコア表[],MATCH($C28,スコア表['#],0),MATCH(AU$5,スコア表[#Headers],0)),スコア表[40],0),"-")</f>
        <v>16</v>
      </c>
      <c r="AV28" s="79">
        <f>IFERROR(_xlfn.RANK.EQ(INDEX(スコア表[],MATCH($C28,スコア表['#],0),MATCH(AV$5,スコア表[#Headers],0)),スコア表[41],0),"-")</f>
        <v>17</v>
      </c>
      <c r="AW28" s="79">
        <f>IFERROR(_xlfn.RANK.EQ(INDEX(スコア表[],MATCH($C28,スコア表['#],0),MATCH(AW$5,スコア表[#Headers],0)),スコア表[42],0),"-")</f>
        <v>7</v>
      </c>
      <c r="AX28" s="79">
        <f>IFERROR(_xlfn.RANK.EQ(INDEX(スコア表[],MATCH($C28,スコア表['#],0),MATCH(AX$5,スコア表[#Headers],0)),スコア表[43],0),"-")</f>
        <v>9</v>
      </c>
      <c r="AY28" s="79">
        <f>IFERROR(_xlfn.RANK.EQ(INDEX(スコア表[],MATCH($C28,スコア表['#],0),MATCH(AY$5,スコア表[#Headers],0)),スコア表[44],0),"-")</f>
        <v>36</v>
      </c>
      <c r="AZ28" s="79">
        <f>IFERROR(_xlfn.RANK.EQ(INDEX(スコア表[],MATCH($C28,スコア表['#],0),MATCH(AZ$5,スコア表[#Headers],0)),スコア表[45],0),"-")</f>
        <v>37</v>
      </c>
      <c r="BA28" s="79">
        <f>IFERROR(_xlfn.RANK.EQ(INDEX(スコア表[],MATCH($C28,スコア表['#],0),MATCH(BA$5,スコア表[#Headers],0)),スコア表[46],0),"-")</f>
        <v>46</v>
      </c>
      <c r="BB28" s="79">
        <f>IFERROR(_xlfn.RANK.EQ(INDEX(スコア表[],MATCH($C28,スコア表['#],0),MATCH(BB$5,スコア表[#Headers],0)),スコア表[47],0),"-")</f>
        <v>46</v>
      </c>
      <c r="BC28" s="79">
        <f>IFERROR(_xlfn.RANK.EQ(INDEX(スコア表[],MATCH($C28,スコア表['#],0),MATCH(BC$5,スコア表[#Headers],0)),スコア表[48],0),"-")</f>
        <v>37</v>
      </c>
      <c r="BD28" s="79">
        <f>IFERROR(_xlfn.RANK.EQ(INDEX(スコア表[],MATCH($C28,スコア表['#],0),MATCH(BD$5,スコア表[#Headers],0)),スコア表[49],0),"-")</f>
        <v>17</v>
      </c>
      <c r="BE28" s="79">
        <f>IFERROR(_xlfn.RANK.EQ(INDEX(スコア表[],MATCH($C28,スコア表['#],0),MATCH(BE$5,スコア表[#Headers],0)),スコア表[50],0),"-")</f>
        <v>27</v>
      </c>
      <c r="BF28" s="79">
        <f>IFERROR(_xlfn.RANK.EQ(INDEX(スコア表[],MATCH($C28,スコア表['#],0),MATCH(BF$5,スコア表[#Headers],0)),スコア表[51],0),"-")</f>
        <v>12</v>
      </c>
      <c r="BG28" s="79">
        <f>IFERROR(_xlfn.RANK.EQ(INDEX(スコア表[],MATCH($C28,スコア表['#],0),MATCH(BG$5,スコア表[#Headers],0)),スコア表[52],0),"-")</f>
        <v>35</v>
      </c>
      <c r="BH28" s="79">
        <f>IFERROR(_xlfn.RANK.EQ(INDEX(スコア表[],MATCH($C28,スコア表['#],0),MATCH(BH$5,スコア表[#Headers],0)),スコア表[53],0),"-")</f>
        <v>23</v>
      </c>
      <c r="BI28" s="79">
        <f>IFERROR(_xlfn.RANK.EQ(INDEX(スコア表[],MATCH($C28,スコア表['#],0),MATCH(BI$5,スコア表[#Headers],0)),スコア表[54],0),"-")</f>
        <v>7</v>
      </c>
      <c r="BJ28" s="79">
        <f>IFERROR(_xlfn.RANK.EQ(INDEX(スコア表[],MATCH($C28,スコア表['#],0),MATCH(BJ$5,スコア表[#Headers],0)),スコア表[55],0),"-")</f>
        <v>41</v>
      </c>
      <c r="BK28" s="79">
        <f>IFERROR(_xlfn.RANK.EQ(INDEX(スコア表[],MATCH($C28,スコア表['#],0),MATCH(BK$5,スコア表[#Headers],0)),スコア表[56],0),"-")</f>
        <v>44</v>
      </c>
      <c r="BL28" s="79">
        <f>IFERROR(_xlfn.RANK.EQ(INDEX(スコア表[],MATCH($C28,スコア表['#],0),MATCH(BL$5,スコア表[#Headers],0)),スコア表[57],0),"-")</f>
        <v>38</v>
      </c>
      <c r="BM28" s="79">
        <f>IFERROR(_xlfn.RANK.EQ(INDEX(スコア表[],MATCH($C28,スコア表['#],0),MATCH(BM$5,スコア表[#Headers],0)),スコア表[58],0),"-")</f>
        <v>43</v>
      </c>
      <c r="BN28" s="79">
        <f>IFERROR(_xlfn.RANK.EQ(INDEX(スコア表[],MATCH($C28,スコア表['#],0),MATCH(BN$5,スコア表[#Headers],0)),スコア表[59],0),"-")</f>
        <v>24</v>
      </c>
      <c r="BO28" s="79">
        <f>IFERROR(_xlfn.RANK.EQ(INDEX(スコア表[],MATCH($C28,スコア表['#],0),MATCH(BO$5,スコア表[#Headers],0)),スコア表[60],0),"-")</f>
        <v>9</v>
      </c>
      <c r="BP28" s="79">
        <f>IFERROR(_xlfn.RANK.EQ(INDEX(スコア表[],MATCH($C28,スコア表['#],0),MATCH(BP$5,スコア表[#Headers],0)),スコア表[61],0),"-")</f>
        <v>36</v>
      </c>
      <c r="BQ28" s="79">
        <f>IFERROR(_xlfn.RANK.EQ(INDEX(スコア表[],MATCH($C28,スコア表['#],0),MATCH(BQ$5,スコア表[#Headers],0)),スコア表[62],0),"-")</f>
        <v>24</v>
      </c>
      <c r="BR28" s="79">
        <f>IFERROR(_xlfn.RANK.EQ(INDEX(スコア表[],MATCH($C28,スコア表['#],0),MATCH(BR$5,スコア表[#Headers],0)),スコア表[63],0),"-")</f>
        <v>44</v>
      </c>
      <c r="BS28" s="79">
        <f>IFERROR(_xlfn.RANK.EQ(INDEX(スコア表[],MATCH($C28,スコア表['#],0),MATCH(BS$5,スコア表[#Headers],0)),スコア表[64],0),"-")</f>
        <v>25</v>
      </c>
      <c r="BT28" s="79">
        <f>IFERROR(_xlfn.RANK.EQ(INDEX(スコア表[],MATCH($C28,スコア表['#],0),MATCH(BT$5,スコア表[#Headers],0)),スコア表[65],0),"-")</f>
        <v>23</v>
      </c>
      <c r="BU28" s="79">
        <f>IFERROR(_xlfn.RANK.EQ(INDEX(スコア表[],MATCH($C28,スコア表['#],0),MATCH(BU$5,スコア表[#Headers],0)),スコア表[66],0),"-")</f>
        <v>25</v>
      </c>
      <c r="BV28" s="79">
        <f>IFERROR(_xlfn.RANK.EQ(INDEX(スコア表[],MATCH($C28,スコア表['#],0),MATCH(BV$5,スコア表[#Headers],0)),スコア表[67],0),"-")</f>
        <v>40</v>
      </c>
      <c r="BW28" s="79">
        <f>IFERROR(_xlfn.RANK.EQ(INDEX(スコア表[],MATCH($C28,スコア表['#],0),MATCH(BW$5,スコア表[#Headers],0)),スコア表[68],0),"-")</f>
        <v>32</v>
      </c>
      <c r="BX28" s="79">
        <f>IFERROR(_xlfn.RANK.EQ(INDEX(スコア表[],MATCH($C28,スコア表['#],0),MATCH(BX$5,スコア表[#Headers],0)),スコア表[69],0),"-")</f>
        <v>40</v>
      </c>
      <c r="BY28" s="79">
        <f>IFERROR(_xlfn.RANK.EQ(INDEX(スコア表[],MATCH($C28,スコア表['#],0),MATCH(BY$5,スコア表[#Headers],0)),スコア表[70],0),"-")</f>
        <v>3</v>
      </c>
      <c r="BZ28" s="79">
        <f>IFERROR(_xlfn.RANK.EQ(INDEX(スコア表[],MATCH($C28,スコア表['#],0),MATCH(BZ$5,スコア表[#Headers],0)),スコア表[Ec1],0),"-")</f>
        <v>10</v>
      </c>
      <c r="CA28" s="79">
        <f>IFERROR(_xlfn.RANK.EQ(INDEX(スコア表[],MATCH($C28,スコア表['#],0),MATCH(CA$5,スコア表[#Headers],0)),スコア表[Ec2],0),"-")</f>
        <v>39</v>
      </c>
      <c r="CB28" s="79">
        <f>IFERROR(_xlfn.RANK.EQ(INDEX(スコア表[],MATCH($C28,スコア表['#],0),MATCH(CB$5,スコア表[#Headers],0)),スコア表[Ec3],0),"-")</f>
        <v>2</v>
      </c>
      <c r="CC28" s="79">
        <f>IFERROR(_xlfn.RANK.EQ(INDEX(スコア表[],MATCH($C28,スコア表['#],0),MATCH(CC$5,スコア表[#Headers],0)),スコア表[Ec4],0),"-")</f>
        <v>1</v>
      </c>
      <c r="CD28" s="79">
        <f>IFERROR(_xlfn.RANK.EQ(INDEX(スコア表[],MATCH($C28,スコア表['#],0),MATCH(CD$5,スコア表[#Headers],0)),スコア表[Ec5],0),"-")</f>
        <v>26</v>
      </c>
      <c r="CE28" s="79">
        <f>IFERROR(_xlfn.RANK.EQ(INDEX(スコア表[],MATCH($C28,スコア表['#],0),MATCH(CE$5,スコア表[#Headers],0)),スコア表[Ec6],0),"-")</f>
        <v>26</v>
      </c>
      <c r="CF28" s="79">
        <f>IFERROR(_xlfn.RANK.EQ(INDEX(スコア表[],MATCH($C28,スコア表['#],0),MATCH(CF$5,スコア表[#Headers],0)),スコア表[RD1],0),"-")</f>
        <v>11</v>
      </c>
      <c r="CG28" s="79">
        <f>IFERROR(_xlfn.RANK.EQ(INDEX(スコア表[],MATCH($C28,スコア表['#],0),MATCH(CG$5,スコア表[#Headers],0)),スコア表[RD2],0),"-")</f>
        <v>7</v>
      </c>
      <c r="CH28" s="79">
        <f>IFERROR(_xlfn.RANK.EQ(INDEX(スコア表[],MATCH($C28,スコア表['#],0),MATCH(CH$5,スコア表[#Headers],0)),スコア表[RD3],0),"-")</f>
        <v>18</v>
      </c>
      <c r="CI28" s="79">
        <f>IFERROR(_xlfn.RANK.EQ(INDEX(スコア表[],MATCH($C28,スコア表['#],0),MATCH(CI$5,スコア表[#Headers],0)),スコア表[CI1],0),"-")</f>
        <v>10</v>
      </c>
      <c r="CJ28" s="79">
        <f>IFERROR(_xlfn.RANK.EQ(INDEX(スコア表[],MATCH($C28,スコア表['#],0),MATCH(CJ$5,スコア表[#Headers],0)),スコア表[CI2],0),"-")</f>
        <v>18</v>
      </c>
      <c r="CK28" s="79">
        <f>IFERROR(_xlfn.RANK.EQ(INDEX(スコア表[],MATCH($C28,スコア表['#],0),MATCH(CK$5,スコア表[#Headers],0)),スコア表[CI3],0),"-")</f>
        <v>11</v>
      </c>
      <c r="CL28" s="79">
        <f>IFERROR(_xlfn.RANK.EQ(INDEX(スコア表[],MATCH($C28,スコア表['#],0),MATCH(CL$5,スコア表[#Headers],0)),スコア表[CI4],0),"-")</f>
        <v>14</v>
      </c>
      <c r="CM28" s="79">
        <f>IFERROR(_xlfn.RANK.EQ(INDEX(スコア表[],MATCH($C28,スコア表['#],0),MATCH(CM$5,スコア表[#Headers],0)),スコア表[CI5],0),"-")</f>
        <v>46</v>
      </c>
      <c r="CN28" s="79">
        <f>IFERROR(_xlfn.RANK.EQ(INDEX(スコア表[],MATCH($C28,スコア表['#],0),MATCH(CN$5,スコア表[#Headers],0)),スコア表[Li1],0),"-")</f>
        <v>9</v>
      </c>
      <c r="CO28" s="79">
        <f>IFERROR(_xlfn.RANK.EQ(INDEX(スコア表[],MATCH($C28,スコア表['#],0),MATCH(CO$5,スコア表[#Headers],0)),スコア表[Li2],0),"-")</f>
        <v>9</v>
      </c>
      <c r="CP28" s="79">
        <f>IFERROR(_xlfn.RANK.EQ(INDEX(スコア表[],MATCH($C28,スコア表['#],0),MATCH(CP$5,スコア表[#Headers],0)),スコア表[Li3],0),"-")</f>
        <v>18</v>
      </c>
      <c r="CQ28" s="79">
        <f>IFERROR(_xlfn.RANK.EQ(INDEX(スコア表[],MATCH($C28,スコア表['#],0),MATCH(CQ$5,スコア表[#Headers],0)),スコア表[Li4],0),"-")</f>
        <v>45</v>
      </c>
      <c r="CR28" s="79">
        <f>IFERROR(_xlfn.RANK.EQ(INDEX(スコア表[],MATCH($C28,スコア表['#],0),MATCH(CR$5,スコア表[#Headers],0)),スコア表[Li5],0),"-")</f>
        <v>23</v>
      </c>
      <c r="CS28" s="79">
        <f>IFERROR(_xlfn.RANK.EQ(INDEX(スコア表[],MATCH($C28,スコア表['#],0),MATCH(CS$5,スコア表[#Headers],0)),スコア表[En1],0),"-")</f>
        <v>23</v>
      </c>
      <c r="CT28" s="79">
        <f>IFERROR(_xlfn.RANK.EQ(INDEX(スコア表[],MATCH($C28,スコア表['#],0),MATCH(CT$5,スコア表[#Headers],0)),スコア表[En2],0),"-")</f>
        <v>42</v>
      </c>
      <c r="CU28" s="79">
        <f>IFERROR(_xlfn.RANK.EQ(INDEX(スコア表[],MATCH($C28,スコア表['#],0),MATCH(CU$5,スコア表[#Headers],0)),スコア表[En3],0),"-")</f>
        <v>29</v>
      </c>
      <c r="CV28" s="79">
        <f>IFERROR(_xlfn.RANK.EQ(INDEX(スコア表[],MATCH($C28,スコア表['#],0),MATCH(CV$5,スコア表[#Headers],0)),スコア表[Ac1],0),"-")</f>
        <v>38</v>
      </c>
      <c r="CW28" s="79">
        <f>IFERROR(_xlfn.RANK.EQ(INDEX(スコア表[],MATCH($C28,スコア表['#],0),MATCH(CW$5,スコア表[#Headers],0)),スコア表[Ac2],0),"-")</f>
        <v>36</v>
      </c>
      <c r="CX28" s="79">
        <f>IFERROR(_xlfn.RANK.EQ(INDEX(スコア表[],MATCH($C28,スコア表['#],0),MATCH(CX$5,スコア表[#Headers],0)),スコア表[Ac3],0),"-")</f>
        <v>39</v>
      </c>
      <c r="CY28" s="79">
        <f>IFERROR(_xlfn.RANK.EQ(INDEX(スコア表[],MATCH($C28,スコア表['#],0),MATCH(CY$5,スコア表[#Headers],0)),スコア表[Ac4],0),"-")</f>
        <v>21</v>
      </c>
      <c r="CZ28" s="79">
        <f>IFERROR(_xlfn.RANK.EQ(INDEX(スコア表[],MATCH($C28,スコア表['#],0),MATCH(CZ$5,スコア表[#Headers],0)),スコア表[Economy],0),"-")</f>
        <v>3</v>
      </c>
      <c r="DA28" s="79">
        <f>IFERROR(_xlfn.RANK.EQ(INDEX(スコア表[],MATCH($C28,スコア表['#],0),MATCH(DA$5,スコア表[#Headers],0)),スコア表[R&amp;D],0),"-")</f>
        <v>12</v>
      </c>
      <c r="DB28" s="79">
        <f>IFERROR(_xlfn.RANK.EQ(INDEX(スコア表[],MATCH($C28,スコア表['#],0),MATCH(DB$5,スコア表[#Headers],0)),スコア表[Cultural Interaction],0),"-")</f>
        <v>19</v>
      </c>
      <c r="DC28" s="79">
        <f>IFERROR(_xlfn.RANK.EQ(INDEX(スコア表[],MATCH($C28,スコア表['#],0),MATCH(DC$5,スコア表[#Headers],0)),スコア表[Livability],0),"-")</f>
        <v>31</v>
      </c>
      <c r="DD28" s="79">
        <f>IFERROR(_xlfn.RANK.EQ(INDEX(スコア表[],MATCH($C28,スコア表['#],0),MATCH(DD$5,スコア表[#Headers],0)),スコア表[Environment],0),"-")</f>
        <v>39</v>
      </c>
      <c r="DE28" s="79">
        <f>IFERROR(_xlfn.RANK.EQ(INDEX(スコア表[],MATCH($C28,スコア表['#],0),MATCH(DE$5,スコア表[#Headers],0)),スコア表[Accessibility],0),"-")</f>
        <v>40</v>
      </c>
      <c r="DF28" s="81">
        <f>IFERROR(_xlfn.RANK.EQ(INDEX(スコア表[],MATCH($C28,スコア表['#],0),MATCH(DF$5,スコア表[#Headers],0)),スコア表[Comprehensive],0),"-")</f>
        <v>17</v>
      </c>
    </row>
    <row r="29" spans="1:110">
      <c r="A29" s="2">
        <v>24</v>
      </c>
      <c r="B29" s="58">
        <f>INDEX(順位表[Comprehensive],MATCH($C29,順位表['#],0))</f>
        <v>15</v>
      </c>
      <c r="C29" s="3">
        <v>24</v>
      </c>
      <c r="D29" s="1" t="str">
        <f>INDEX(都市マスタ[City Name],MATCH($C29,都市マスタ['#],0))</f>
        <v>Shanghai</v>
      </c>
      <c r="E29" s="79">
        <f>IFERROR(_xlfn.RANK.EQ(INDEX(スコア表[],MATCH($C29,スコア表['#],0),MATCH(E$5,スコア表[#Headers],0)),スコア表[00a],0),"-")</f>
        <v>1</v>
      </c>
      <c r="F29" s="79">
        <f>IFERROR(_xlfn.RANK.EQ(INDEX(スコア表[],MATCH($C29,スコア表['#],0),MATCH(F$5,スコア表[#Headers],0)),スコア表[00b],0),"-")</f>
        <v>4</v>
      </c>
      <c r="G29" s="79">
        <f>IFERROR(_xlfn.RANK.EQ(INDEX(スコア表[],MATCH($C29,スコア表['#],0),MATCH(G$5,スコア表[#Headers],0)),スコア表[00c],0),"-")</f>
        <v>18</v>
      </c>
      <c r="H29" s="79">
        <f>IFERROR(_xlfn.RANK.EQ(INDEX(スコア表[],MATCH($C29,スコア表['#],0),MATCH(H$5,スコア表[#Headers],0)),スコア表[01],0),"-")</f>
        <v>4</v>
      </c>
      <c r="I29" s="79">
        <f>IFERROR(_xlfn.RANK.EQ(INDEX(スコア表[],MATCH($C29,スコア表['#],0),MATCH(I$5,スコア表[#Headers],0)),スコア表[02],0),"-")</f>
        <v>38</v>
      </c>
      <c r="J29" s="79">
        <f>IFERROR(_xlfn.RANK.EQ(INDEX(スコア表[],MATCH($C29,スコア表['#],0),MATCH(J$5,スコア表[#Headers],0)),スコア表[03],0),"-")</f>
        <v>3</v>
      </c>
      <c r="K29" s="79">
        <f>IFERROR(_xlfn.RANK.EQ(INDEX(スコア表[],MATCH($C29,スコア表['#],0),MATCH(K$5,スコア表[#Headers],0)),スコア表[04],0),"-")</f>
        <v>46</v>
      </c>
      <c r="L29" s="79">
        <f>IFERROR(_xlfn.RANK.EQ(INDEX(スコア表[],MATCH($C29,スコア表['#],0),MATCH(L$5,スコア表[#Headers],0)),スコア表[05],0),"-")</f>
        <v>2</v>
      </c>
      <c r="M29" s="79">
        <f>IFERROR(_xlfn.RANK.EQ(INDEX(スコア表[],MATCH($C29,スコア表['#],0),MATCH(M$5,スコア表[#Headers],0)),スコア表[06],0),"-")</f>
        <v>8</v>
      </c>
      <c r="N29" s="79">
        <f>IFERROR(_xlfn.RANK.EQ(INDEX(スコア表[],MATCH($C29,スコア表['#],0),MATCH(N$5,スコア表[#Headers],0)),スコア表[07],0),"-")</f>
        <v>1</v>
      </c>
      <c r="O29" s="79">
        <f>IFERROR(_xlfn.RANK.EQ(INDEX(スコア表[],MATCH($C29,スコア表['#],0),MATCH(O$5,スコア表[#Headers],0)),スコア表[08],0),"-")</f>
        <v>26</v>
      </c>
      <c r="P29" s="79">
        <f>IFERROR(_xlfn.RANK.EQ(INDEX(スコア表[],MATCH($C29,スコア表['#],0),MATCH(P$5,スコア表[#Headers],0)),スコア表[09],0),"-")</f>
        <v>38</v>
      </c>
      <c r="Q29" s="79">
        <f>IFERROR(_xlfn.RANK.EQ(INDEX(スコア表[],MATCH($C29,スコア表['#],0),MATCH(Q$5,スコア表[#Headers],0)),スコア表[10],0),"-")</f>
        <v>32</v>
      </c>
      <c r="R29" s="79">
        <f>IFERROR(_xlfn.RANK.EQ(INDEX(スコア表[],MATCH($C29,スコア表['#],0),MATCH(R$5,スコア表[#Headers],0)),スコア表[11],0),"-")</f>
        <v>6</v>
      </c>
      <c r="S29" s="79">
        <f>IFERROR(_xlfn.RANK.EQ(INDEX(スコア表[],MATCH($C29,スコア表['#],0),MATCH(S$5,スコア表[#Headers],0)),スコア表[12],0),"-")</f>
        <v>20</v>
      </c>
      <c r="T29" s="79">
        <f>IFERROR(_xlfn.RANK.EQ(INDEX(スコア表[],MATCH($C29,スコア表['#],0),MATCH(T$5,スコア表[#Headers],0)),スコア表[13],0),"-")</f>
        <v>36</v>
      </c>
      <c r="U29" s="79">
        <f>IFERROR(_xlfn.RANK.EQ(INDEX(スコア表[],MATCH($C29,スコア表['#],0),MATCH(U$5,スコア表[#Headers],0)),スコア表[14],0),"-")</f>
        <v>8</v>
      </c>
      <c r="V29" s="79">
        <f>IFERROR(_xlfn.RANK.EQ(INDEX(スコア表[],MATCH($C29,スコア表['#],0),MATCH(V$5,スコア表[#Headers],0)),スコア表[15],0),"-")</f>
        <v>18</v>
      </c>
      <c r="W29" s="79">
        <f>IFERROR(_xlfn.RANK.EQ(INDEX(スコア表[],MATCH($C29,スコア表['#],0),MATCH(W$5,スコア表[#Headers],0)),スコア表[16],0),"-")</f>
        <v>12</v>
      </c>
      <c r="X29" s="79">
        <f>IFERROR(_xlfn.RANK.EQ(INDEX(スコア表[],MATCH($C29,スコア表['#],0),MATCH(X$5,スコア表[#Headers],0)),スコア表[17],0),"-")</f>
        <v>22</v>
      </c>
      <c r="Y29" s="79">
        <f>IFERROR(_xlfn.RANK.EQ(INDEX(スコア表[],MATCH($C29,スコア表['#],0),MATCH(Y$5,スコア表[#Headers],0)),スコア表[18],0),"-")</f>
        <v>1</v>
      </c>
      <c r="Z29" s="79">
        <f>IFERROR(_xlfn.RANK.EQ(INDEX(スコア表[],MATCH($C29,スコア表['#],0),MATCH(Z$5,スコア表[#Headers],0)),スコア表[19],0),"-")</f>
        <v>9</v>
      </c>
      <c r="AA29" s="79">
        <f>IFERROR(_xlfn.RANK.EQ(INDEX(スコア表[],MATCH($C29,スコア表['#],0),MATCH(AA$5,スコア表[#Headers],0)),スコア表[20],0),"-")</f>
        <v>23</v>
      </c>
      <c r="AB29" s="79">
        <f>IFERROR(_xlfn.RANK.EQ(INDEX(スコア表[],MATCH($C29,スコア表['#],0),MATCH(AB$5,スコア表[#Headers],0)),スコア表[21],0),"-")</f>
        <v>34</v>
      </c>
      <c r="AC29" s="79">
        <f>IFERROR(_xlfn.RANK.EQ(INDEX(スコア表[],MATCH($C29,スコア表['#],0),MATCH(AC$5,スコア表[#Headers],0)),スコア表[22],0),"-")</f>
        <v>29</v>
      </c>
      <c r="AD29" s="79">
        <f>IFERROR(_xlfn.RANK.EQ(INDEX(スコア表[],MATCH($C29,スコア表['#],0),MATCH(AD$5,スコア表[#Headers],0)),スコア表[23],0),"-")</f>
        <v>32</v>
      </c>
      <c r="AE29" s="79">
        <f>IFERROR(_xlfn.RANK.EQ(INDEX(スコア表[],MATCH($C29,スコア表['#],0),MATCH(AE$5,スコア表[#Headers],0)),スコア表[24],0),"-")</f>
        <v>22</v>
      </c>
      <c r="AF29" s="79">
        <f>IFERROR(_xlfn.RANK.EQ(INDEX(スコア表[],MATCH($C29,スコア表['#],0),MATCH(AF$5,スコア表[#Headers],0)),スコア表[25],0),"-")</f>
        <v>28</v>
      </c>
      <c r="AG29" s="79">
        <f>IFERROR(_xlfn.RANK.EQ(INDEX(スコア表[],MATCH($C29,スコア表['#],0),MATCH(AG$5,スコア表[#Headers],0)),スコア表[26],0),"-")</f>
        <v>21</v>
      </c>
      <c r="AH29" s="79">
        <f>IFERROR(_xlfn.RANK.EQ(INDEX(スコア表[],MATCH($C29,スコア表['#],0),MATCH(AH$5,スコア表[#Headers],0)),スコア表[27],0),"-")</f>
        <v>31</v>
      </c>
      <c r="AI29" s="79">
        <f>IFERROR(_xlfn.RANK.EQ(INDEX(スコア表[],MATCH($C29,スコア表['#],0),MATCH(AI$5,スコア表[#Headers],0)),スコア表[28],0),"-")</f>
        <v>17</v>
      </c>
      <c r="AJ29" s="79">
        <f>IFERROR(_xlfn.RANK.EQ(INDEX(スコア表[],MATCH($C29,スコア表['#],0),MATCH(AJ$5,スコア表[#Headers],0)),スコア表[29],0),"-")</f>
        <v>39</v>
      </c>
      <c r="AK29" s="79">
        <f>IFERROR(_xlfn.RANK.EQ(INDEX(スコア表[],MATCH($C29,スコア表['#],0),MATCH(AK$5,スコア表[#Headers],0)),スコア表[30],0),"-")</f>
        <v>29</v>
      </c>
      <c r="AL29" s="79">
        <f>IFERROR(_xlfn.RANK.EQ(INDEX(スコア表[],MATCH($C29,スコア表['#],0),MATCH(AL$5,スコア表[#Headers],0)),スコア表[31],0),"-")</f>
        <v>7</v>
      </c>
      <c r="AM29" s="79">
        <f>IFERROR(_xlfn.RANK.EQ(INDEX(スコア表[],MATCH($C29,スコア表['#],0),MATCH(AM$5,スコア表[#Headers],0)),スコア表[32],0),"-")</f>
        <v>10</v>
      </c>
      <c r="AN29" s="79">
        <f>IFERROR(_xlfn.RANK.EQ(INDEX(スコア表[],MATCH($C29,スコア表['#],0),MATCH(AN$5,スコア表[#Headers],0)),スコア表[33],0),"-")</f>
        <v>3</v>
      </c>
      <c r="AO29" s="79">
        <f>IFERROR(_xlfn.RANK.EQ(INDEX(スコア表[],MATCH($C29,スコア表['#],0),MATCH(AO$5,スコア表[#Headers],0)),スコア表[34],0),"-")</f>
        <v>17</v>
      </c>
      <c r="AP29" s="79">
        <f>IFERROR(_xlfn.RANK.EQ(INDEX(スコア表[],MATCH($C29,スコア表['#],0),MATCH(AP$5,スコア表[#Headers],0)),スコア表[35],0),"-")</f>
        <v>17</v>
      </c>
      <c r="AQ29" s="79">
        <f>IFERROR(_xlfn.RANK.EQ(INDEX(スコア表[],MATCH($C29,スコア表['#],0),MATCH(AQ$5,スコア表[#Headers],0)),スコア表[36],0),"-")</f>
        <v>27</v>
      </c>
      <c r="AR29" s="79">
        <f>IFERROR(_xlfn.RANK.EQ(INDEX(スコア表[],MATCH($C29,スコア表['#],0),MATCH(AR$5,スコア表[#Headers],0)),スコア表[37],0),"-")</f>
        <v>33</v>
      </c>
      <c r="AS29" s="79">
        <f>IFERROR(_xlfn.RANK.EQ(INDEX(スコア表[],MATCH($C29,スコア表['#],0),MATCH(AS$5,スコア表[#Headers],0)),スコア表[38],0),"-")</f>
        <v>8</v>
      </c>
      <c r="AT29" s="79">
        <f>IFERROR(_xlfn.RANK.EQ(INDEX(スコア表[],MATCH($C29,スコア表['#],0),MATCH(AT$5,スコア表[#Headers],0)),スコア表[39],0),"-")</f>
        <v>17</v>
      </c>
      <c r="AU29" s="79">
        <f>IFERROR(_xlfn.RANK.EQ(INDEX(スコア表[],MATCH($C29,スコア表['#],0),MATCH(AU$5,スコア表[#Headers],0)),スコア表[40],0),"-")</f>
        <v>5</v>
      </c>
      <c r="AV29" s="79">
        <f>IFERROR(_xlfn.RANK.EQ(INDEX(スコア表[],MATCH($C29,スコア表['#],0),MATCH(AV$5,スコア表[#Headers],0)),スコア表[41],0),"-")</f>
        <v>21</v>
      </c>
      <c r="AW29" s="79">
        <f>IFERROR(_xlfn.RANK.EQ(INDEX(スコア表[],MATCH($C29,スコア表['#],0),MATCH(AW$5,スコア表[#Headers],0)),スコア表[42],0),"-")</f>
        <v>10</v>
      </c>
      <c r="AX29" s="79">
        <f>IFERROR(_xlfn.RANK.EQ(INDEX(スコア表[],MATCH($C29,スコア表['#],0),MATCH(AX$5,スコア表[#Headers],0)),スコア表[43],0),"-")</f>
        <v>12</v>
      </c>
      <c r="AY29" s="79">
        <f>IFERROR(_xlfn.RANK.EQ(INDEX(スコア表[],MATCH($C29,スコア表['#],0),MATCH(AY$5,スコア表[#Headers],0)),スコア表[44],0),"-")</f>
        <v>43</v>
      </c>
      <c r="AZ29" s="79">
        <f>IFERROR(_xlfn.RANK.EQ(INDEX(スコア表[],MATCH($C29,スコア表['#],0),MATCH(AZ$5,スコア表[#Headers],0)),スコア表[45],0),"-")</f>
        <v>37</v>
      </c>
      <c r="BA29" s="79">
        <f>IFERROR(_xlfn.RANK.EQ(INDEX(スコア表[],MATCH($C29,スコア表['#],0),MATCH(BA$5,スコア表[#Headers],0)),スコア表[46],0),"-")</f>
        <v>46</v>
      </c>
      <c r="BB29" s="79">
        <f>IFERROR(_xlfn.RANK.EQ(INDEX(スコア表[],MATCH($C29,スコア表['#],0),MATCH(BB$5,スコア表[#Headers],0)),スコア表[47],0),"-")</f>
        <v>46</v>
      </c>
      <c r="BC29" s="79">
        <f>IFERROR(_xlfn.RANK.EQ(INDEX(スコア表[],MATCH($C29,スコア表['#],0),MATCH(BC$5,スコア表[#Headers],0)),スコア表[48],0),"-")</f>
        <v>38</v>
      </c>
      <c r="BD29" s="79">
        <f>IFERROR(_xlfn.RANK.EQ(INDEX(スコア表[],MATCH($C29,スコア表['#],0),MATCH(BD$5,スコア表[#Headers],0)),スコア表[49],0),"-")</f>
        <v>17</v>
      </c>
      <c r="BE29" s="79">
        <f>IFERROR(_xlfn.RANK.EQ(INDEX(スコア表[],MATCH($C29,スコア表['#],0),MATCH(BE$5,スコア表[#Headers],0)),スコア表[50],0),"-")</f>
        <v>24</v>
      </c>
      <c r="BF29" s="79">
        <f>IFERROR(_xlfn.RANK.EQ(INDEX(スコア表[],MATCH($C29,スコア表['#],0),MATCH(BF$5,スコア表[#Headers],0)),スコア表[51],0),"-")</f>
        <v>8</v>
      </c>
      <c r="BG29" s="79">
        <f>IFERROR(_xlfn.RANK.EQ(INDEX(スコア表[],MATCH($C29,スコア表['#],0),MATCH(BG$5,スコア表[#Headers],0)),スコア表[52],0),"-")</f>
        <v>39</v>
      </c>
      <c r="BH29" s="79">
        <f>IFERROR(_xlfn.RANK.EQ(INDEX(スコア表[],MATCH($C29,スコア表['#],0),MATCH(BH$5,スコア表[#Headers],0)),スコア表[53],0),"-")</f>
        <v>23</v>
      </c>
      <c r="BI29" s="79">
        <f>IFERROR(_xlfn.RANK.EQ(INDEX(スコア表[],MATCH($C29,スコア表['#],0),MATCH(BI$5,スコア表[#Headers],0)),スコア表[54],0),"-")</f>
        <v>6</v>
      </c>
      <c r="BJ29" s="79">
        <f>IFERROR(_xlfn.RANK.EQ(INDEX(スコア表[],MATCH($C29,スコア表['#],0),MATCH(BJ$5,スコア表[#Headers],0)),スコア表[55],0),"-")</f>
        <v>36</v>
      </c>
      <c r="BK29" s="79">
        <f>IFERROR(_xlfn.RANK.EQ(INDEX(スコア表[],MATCH($C29,スコア表['#],0),MATCH(BK$5,スコア表[#Headers],0)),スコア表[56],0),"-")</f>
        <v>42</v>
      </c>
      <c r="BL29" s="79">
        <f>IFERROR(_xlfn.RANK.EQ(INDEX(スコア表[],MATCH($C29,スコア表['#],0),MATCH(BL$5,スコア表[#Headers],0)),スコア表[57],0),"-")</f>
        <v>23</v>
      </c>
      <c r="BM29" s="79">
        <f>IFERROR(_xlfn.RANK.EQ(INDEX(スコア表[],MATCH($C29,スコア表['#],0),MATCH(BM$5,スコア表[#Headers],0)),スコア表[58],0),"-")</f>
        <v>40</v>
      </c>
      <c r="BN29" s="79">
        <f>IFERROR(_xlfn.RANK.EQ(INDEX(スコア表[],MATCH($C29,スコア表['#],0),MATCH(BN$5,スコア表[#Headers],0)),スコア表[59],0),"-")</f>
        <v>33</v>
      </c>
      <c r="BO29" s="79">
        <f>IFERROR(_xlfn.RANK.EQ(INDEX(スコア表[],MATCH($C29,スコア表['#],0),MATCH(BO$5,スコア表[#Headers],0)),スコア表[60],0),"-")</f>
        <v>6</v>
      </c>
      <c r="BP29" s="79">
        <f>IFERROR(_xlfn.RANK.EQ(INDEX(スコア表[],MATCH($C29,スコア表['#],0),MATCH(BP$5,スコア表[#Headers],0)),スコア表[61],0),"-")</f>
        <v>38</v>
      </c>
      <c r="BQ29" s="79">
        <f>IFERROR(_xlfn.RANK.EQ(INDEX(スコア表[],MATCH($C29,スコア表['#],0),MATCH(BQ$5,スコア表[#Headers],0)),スコア表[62],0),"-")</f>
        <v>1</v>
      </c>
      <c r="BR29" s="79">
        <f>IFERROR(_xlfn.RANK.EQ(INDEX(スコア表[],MATCH($C29,スコア表['#],0),MATCH(BR$5,スコア表[#Headers],0)),スコア表[63],0),"-")</f>
        <v>27</v>
      </c>
      <c r="BS29" s="79">
        <f>IFERROR(_xlfn.RANK.EQ(INDEX(スコア表[],MATCH($C29,スコア表['#],0),MATCH(BS$5,スコア表[#Headers],0)),スコア表[64],0),"-")</f>
        <v>8</v>
      </c>
      <c r="BT29" s="79">
        <f>IFERROR(_xlfn.RANK.EQ(INDEX(スコア表[],MATCH($C29,スコア表['#],0),MATCH(BT$5,スコア表[#Headers],0)),スコア表[65],0),"-")</f>
        <v>16</v>
      </c>
      <c r="BU29" s="79">
        <f>IFERROR(_xlfn.RANK.EQ(INDEX(スコア表[],MATCH($C29,スコア表['#],0),MATCH(BU$5,スコア表[#Headers],0)),スコア表[66],0),"-")</f>
        <v>14</v>
      </c>
      <c r="BV29" s="79">
        <f>IFERROR(_xlfn.RANK.EQ(INDEX(スコア表[],MATCH($C29,スコア表['#],0),MATCH(BV$5,スコア表[#Headers],0)),スコア表[67],0),"-")</f>
        <v>42</v>
      </c>
      <c r="BW29" s="79">
        <f>IFERROR(_xlfn.RANK.EQ(INDEX(スコア表[],MATCH($C29,スコア表['#],0),MATCH(BW$5,スコア表[#Headers],0)),スコア表[68],0),"-")</f>
        <v>35</v>
      </c>
      <c r="BX29" s="79">
        <f>IFERROR(_xlfn.RANK.EQ(INDEX(スコア表[],MATCH($C29,スコア表['#],0),MATCH(BX$5,スコア表[#Headers],0)),スコア表[69],0),"-")</f>
        <v>14</v>
      </c>
      <c r="BY29" s="79">
        <f>IFERROR(_xlfn.RANK.EQ(INDEX(スコア表[],MATCH($C29,スコア表['#],0),MATCH(BY$5,スコア表[#Headers],0)),スコア表[70],0),"-")</f>
        <v>5</v>
      </c>
      <c r="BZ29" s="79">
        <f>IFERROR(_xlfn.RANK.EQ(INDEX(スコア表[],MATCH($C29,スコア表['#],0),MATCH(BZ$5,スコア表[#Headers],0)),スコア表[Ec1],0),"-")</f>
        <v>8</v>
      </c>
      <c r="CA29" s="79">
        <f>IFERROR(_xlfn.RANK.EQ(INDEX(スコア表[],MATCH($C29,スコア表['#],0),MATCH(CA$5,スコア表[#Headers],0)),スコア表[Ec2],0),"-")</f>
        <v>38</v>
      </c>
      <c r="CB29" s="79">
        <f>IFERROR(_xlfn.RANK.EQ(INDEX(スコア表[],MATCH($C29,スコア表['#],0),MATCH(CB$5,スコア表[#Headers],0)),スコア表[Ec3],0),"-")</f>
        <v>6</v>
      </c>
      <c r="CC29" s="79">
        <f>IFERROR(_xlfn.RANK.EQ(INDEX(スコア表[],MATCH($C29,スコア表['#],0),MATCH(CC$5,スコア表[#Headers],0)),スコア表[Ec4],0),"-")</f>
        <v>2</v>
      </c>
      <c r="CD29" s="79">
        <f>IFERROR(_xlfn.RANK.EQ(INDEX(スコア表[],MATCH($C29,スコア表['#],0),MATCH(CD$5,スコア表[#Headers],0)),スコア表[Ec5],0),"-")</f>
        <v>28</v>
      </c>
      <c r="CE29" s="79">
        <f>IFERROR(_xlfn.RANK.EQ(INDEX(スコア表[],MATCH($C29,スコア表['#],0),MATCH(CE$5,スコア表[#Headers],0)),スコア表[Ec6],0),"-")</f>
        <v>27</v>
      </c>
      <c r="CF29" s="79">
        <f>IFERROR(_xlfn.RANK.EQ(INDEX(スコア表[],MATCH($C29,スコア表['#],0),MATCH(CF$5,スコア表[#Headers],0)),スコア表[RD1],0),"-")</f>
        <v>12</v>
      </c>
      <c r="CG29" s="79">
        <f>IFERROR(_xlfn.RANK.EQ(INDEX(スコア表[],MATCH($C29,スコア表['#],0),MATCH(CG$5,スコア表[#Headers],0)),スコア表[RD2],0),"-")</f>
        <v>8</v>
      </c>
      <c r="CH29" s="79">
        <f>IFERROR(_xlfn.RANK.EQ(INDEX(スコア表[],MATCH($C29,スコア表['#],0),MATCH(CH$5,スコア表[#Headers],0)),スコア表[RD3],0),"-")</f>
        <v>16</v>
      </c>
      <c r="CI29" s="79">
        <f>IFERROR(_xlfn.RANK.EQ(INDEX(スコア表[],MATCH($C29,スコア表['#],0),MATCH(CI$5,スコア表[#Headers],0)),スコア表[CI1],0),"-")</f>
        <v>32</v>
      </c>
      <c r="CJ29" s="79">
        <f>IFERROR(_xlfn.RANK.EQ(INDEX(スコア表[],MATCH($C29,スコア表['#],0),MATCH(CJ$5,スコア表[#Headers],0)),スコア表[CI2],0),"-")</f>
        <v>26</v>
      </c>
      <c r="CK29" s="79">
        <f>IFERROR(_xlfn.RANK.EQ(INDEX(スコア表[],MATCH($C29,スコア表['#],0),MATCH(CK$5,スコア表[#Headers],0)),スコア表[CI3],0),"-")</f>
        <v>18</v>
      </c>
      <c r="CL29" s="79">
        <f>IFERROR(_xlfn.RANK.EQ(INDEX(スコア表[],MATCH($C29,スコア表['#],0),MATCH(CL$5,スコア表[#Headers],0)),スコア表[CI4],0),"-")</f>
        <v>8</v>
      </c>
      <c r="CM29" s="79">
        <f>IFERROR(_xlfn.RANK.EQ(INDEX(スコア表[],MATCH($C29,スコア表['#],0),MATCH(CM$5,スコア表[#Headers],0)),スコア表[CI5],0),"-")</f>
        <v>34</v>
      </c>
      <c r="CN29" s="79">
        <f>IFERROR(_xlfn.RANK.EQ(INDEX(スコア表[],MATCH($C29,スコア表['#],0),MATCH(CN$5,スコア表[#Headers],0)),スコア表[Li1],0),"-")</f>
        <v>2</v>
      </c>
      <c r="CO29" s="79">
        <f>IFERROR(_xlfn.RANK.EQ(INDEX(スコア表[],MATCH($C29,スコア表['#],0),MATCH(CO$5,スコア表[#Headers],0)),スコア表[Li2],0),"-")</f>
        <v>15</v>
      </c>
      <c r="CP29" s="79">
        <f>IFERROR(_xlfn.RANK.EQ(INDEX(スコア表[],MATCH($C29,スコア表['#],0),MATCH(CP$5,スコア表[#Headers],0)),スコア表[Li3],0),"-")</f>
        <v>31</v>
      </c>
      <c r="CQ29" s="79">
        <f>IFERROR(_xlfn.RANK.EQ(INDEX(スコア表[],MATCH($C29,スコア表['#],0),MATCH(CQ$5,スコア表[#Headers],0)),スコア表[Li4],0),"-")</f>
        <v>45</v>
      </c>
      <c r="CR29" s="79">
        <f>IFERROR(_xlfn.RANK.EQ(INDEX(スコア表[],MATCH($C29,スコア表['#],0),MATCH(CR$5,スコア表[#Headers],0)),スコア表[Li5],0),"-")</f>
        <v>18</v>
      </c>
      <c r="CS29" s="79">
        <f>IFERROR(_xlfn.RANK.EQ(INDEX(スコア表[],MATCH($C29,スコア表['#],0),MATCH(CS$5,スコア表[#Headers],0)),スコア表[En1],0),"-")</f>
        <v>27</v>
      </c>
      <c r="CT29" s="79">
        <f>IFERROR(_xlfn.RANK.EQ(INDEX(スコア表[],MATCH($C29,スコア表['#],0),MATCH(CT$5,スコア表[#Headers],0)),スコア表[En2],0),"-")</f>
        <v>37</v>
      </c>
      <c r="CU29" s="79">
        <f>IFERROR(_xlfn.RANK.EQ(INDEX(スコア表[],MATCH($C29,スコア表['#],0),MATCH(CU$5,スコア表[#Headers],0)),スコア表[En3],0),"-")</f>
        <v>30</v>
      </c>
      <c r="CV29" s="79">
        <f>IFERROR(_xlfn.RANK.EQ(INDEX(スコア表[],MATCH($C29,スコア表['#],0),MATCH(CV$5,スコア表[#Headers],0)),スコア表[Ac1],0),"-")</f>
        <v>3</v>
      </c>
      <c r="CW29" s="79">
        <f>IFERROR(_xlfn.RANK.EQ(INDEX(スコア表[],MATCH($C29,スコア表['#],0),MATCH(CW$5,スコア表[#Headers],0)),スコア表[Ac2],0),"-")</f>
        <v>15</v>
      </c>
      <c r="CX29" s="79">
        <f>IFERROR(_xlfn.RANK.EQ(INDEX(スコア表[],MATCH($C29,スコア表['#],0),MATCH(CX$5,スコア表[#Headers],0)),スコア表[Ac3],0),"-")</f>
        <v>31</v>
      </c>
      <c r="CY29" s="79">
        <f>IFERROR(_xlfn.RANK.EQ(INDEX(スコア表[],MATCH($C29,スコア表['#],0),MATCH(CY$5,スコア表[#Headers],0)),スコア表[Ac4],0),"-")</f>
        <v>14</v>
      </c>
      <c r="CZ29" s="79">
        <f>IFERROR(_xlfn.RANK.EQ(INDEX(スコア表[],MATCH($C29,スコア表['#],0),MATCH(CZ$5,スコア表[#Headers],0)),スコア表[Economy],0),"-")</f>
        <v>11</v>
      </c>
      <c r="DA29" s="79">
        <f>IFERROR(_xlfn.RANK.EQ(INDEX(スコア表[],MATCH($C29,スコア表['#],0),MATCH(DA$5,スコア表[#Headers],0)),スコア表[R&amp;D],0),"-")</f>
        <v>13</v>
      </c>
      <c r="DB29" s="79">
        <f>IFERROR(_xlfn.RANK.EQ(INDEX(スコア表[],MATCH($C29,スコア表['#],0),MATCH(DB$5,スコア表[#Headers],0)),スコア表[Cultural Interaction],0),"-")</f>
        <v>23</v>
      </c>
      <c r="DC29" s="79">
        <f>IFERROR(_xlfn.RANK.EQ(INDEX(スコア表[],MATCH($C29,スコア表['#],0),MATCH(DC$5,スコア表[#Headers],0)),スコア表[Livability],0),"-")</f>
        <v>30</v>
      </c>
      <c r="DD29" s="79">
        <f>IFERROR(_xlfn.RANK.EQ(INDEX(スコア表[],MATCH($C29,スコア表['#],0),MATCH(DD$5,スコア表[#Headers],0)),スコア表[Environment],0),"-")</f>
        <v>33</v>
      </c>
      <c r="DE29" s="79">
        <f>IFERROR(_xlfn.RANK.EQ(INDEX(スコア表[],MATCH($C29,スコア表['#],0),MATCH(DE$5,スコア表[#Headers],0)),スコア表[Accessibility],0),"-")</f>
        <v>9</v>
      </c>
      <c r="DF29" s="81">
        <f>IFERROR(_xlfn.RANK.EQ(INDEX(スコア表[],MATCH($C29,スコア表['#],0),MATCH(DF$5,スコア表[#Headers],0)),スコア表[Comprehensive],0),"-")</f>
        <v>15</v>
      </c>
    </row>
    <row r="30" spans="1:110">
      <c r="A30" s="2">
        <v>25</v>
      </c>
      <c r="B30" s="58">
        <f>INDEX(順位表[Comprehensive],MATCH($C30,順位表['#],0))</f>
        <v>35</v>
      </c>
      <c r="C30" s="3">
        <v>25</v>
      </c>
      <c r="D30" s="1" t="str">
        <f>INDEX(都市マスタ[City Name],MATCH($C30,都市マスタ['#],0))</f>
        <v>Taipei</v>
      </c>
      <c r="E30" s="79">
        <f>IFERROR(_xlfn.RANK.EQ(INDEX(スコア表[],MATCH($C30,スコア表['#],0),MATCH(E$5,スコア表[#Headers],0)),スコア表[00a],0),"-")</f>
        <v>28</v>
      </c>
      <c r="F30" s="79">
        <f>IFERROR(_xlfn.RANK.EQ(INDEX(スコア表[],MATCH($C30,スコア表['#],0),MATCH(F$5,スコア表[#Headers],0)),スコア表[00b],0),"-")</f>
        <v>28</v>
      </c>
      <c r="G30" s="79">
        <f>IFERROR(_xlfn.RANK.EQ(INDEX(スコア表[],MATCH($C30,スコア表['#],0),MATCH(G$5,スコア表[#Headers],0)),スコア表[00c],0),"-")</f>
        <v>10</v>
      </c>
      <c r="H30" s="79">
        <f>IFERROR(_xlfn.RANK.EQ(INDEX(スコア表[],MATCH($C30,スコア表['#],0),MATCH(H$5,スコア表[#Headers],0)),スコア表[01],0),"-")</f>
        <v>36</v>
      </c>
      <c r="I30" s="79">
        <f>IFERROR(_xlfn.RANK.EQ(INDEX(スコア表[],MATCH($C30,スコア表['#],0),MATCH(I$5,スコア表[#Headers],0)),スコア表[02],0),"-")</f>
        <v>35</v>
      </c>
      <c r="J30" s="79">
        <f>IFERROR(_xlfn.RANK.EQ(INDEX(スコア表[],MATCH($C30,スコア表['#],0),MATCH(J$5,スコア表[#Headers],0)),スコア表[03],0),"-")</f>
        <v>12</v>
      </c>
      <c r="K30" s="79">
        <f>IFERROR(_xlfn.RANK.EQ(INDEX(スコア表[],MATCH($C30,スコア表['#],0),MATCH(K$5,スコア表[#Headers],0)),スコア表[04],0),"-")</f>
        <v>5</v>
      </c>
      <c r="L30" s="79">
        <f>IFERROR(_xlfn.RANK.EQ(INDEX(スコア表[],MATCH($C30,スコア表['#],0),MATCH(L$5,スコア表[#Headers],0)),スコア表[05],0),"-")</f>
        <v>13</v>
      </c>
      <c r="M30" s="79">
        <f>IFERROR(_xlfn.RANK.EQ(INDEX(スコア表[],MATCH($C30,スコア表['#],0),MATCH(M$5,スコア表[#Headers],0)),スコア表[06],0),"-")</f>
        <v>13</v>
      </c>
      <c r="N30" s="79">
        <f>IFERROR(_xlfn.RANK.EQ(INDEX(スコア表[],MATCH($C30,スコア表['#],0),MATCH(N$5,スコア表[#Headers],0)),スコア表[07],0),"-")</f>
        <v>29</v>
      </c>
      <c r="O30" s="79">
        <f>IFERROR(_xlfn.RANK.EQ(INDEX(スコア表[],MATCH($C30,スコア表['#],0),MATCH(O$5,スコア表[#Headers],0)),スコア表[08],0),"-")</f>
        <v>31</v>
      </c>
      <c r="P30" s="79">
        <f>IFERROR(_xlfn.RANK.EQ(INDEX(スコア表[],MATCH($C30,スコア表['#],0),MATCH(P$5,スコア表[#Headers],0)),スコア表[09],0),"-")</f>
        <v>33</v>
      </c>
      <c r="Q30" s="79">
        <f>IFERROR(_xlfn.RANK.EQ(INDEX(スコア表[],MATCH($C30,スコア表['#],0),MATCH(Q$5,スコア表[#Headers],0)),スコア表[10],0),"-")</f>
        <v>26</v>
      </c>
      <c r="R30" s="79">
        <f>IFERROR(_xlfn.RANK.EQ(INDEX(スコア表[],MATCH($C30,スコア表['#],0),MATCH(R$5,スコア表[#Headers],0)),スコア表[11],0),"-")</f>
        <v>23</v>
      </c>
      <c r="S30" s="79">
        <f>IFERROR(_xlfn.RANK.EQ(INDEX(スコア表[],MATCH($C30,スコア表['#],0),MATCH(S$5,スコア表[#Headers],0)),スコア表[12],0),"-")</f>
        <v>7</v>
      </c>
      <c r="T30" s="79">
        <f>IFERROR(_xlfn.RANK.EQ(INDEX(スコア表[],MATCH($C30,スコア表['#],0),MATCH(T$5,スコア表[#Headers],0)),スコア表[13],0),"-")</f>
        <v>15</v>
      </c>
      <c r="U30" s="79">
        <f>IFERROR(_xlfn.RANK.EQ(INDEX(スコア表[],MATCH($C30,スコア表['#],0),MATCH(U$5,スコア表[#Headers],0)),スコア表[14],0),"-")</f>
        <v>23</v>
      </c>
      <c r="V30" s="79">
        <f>IFERROR(_xlfn.RANK.EQ(INDEX(スコア表[],MATCH($C30,スコア表['#],0),MATCH(V$5,スコア表[#Headers],0)),スコア表[15],0),"-")</f>
        <v>32</v>
      </c>
      <c r="W30" s="79">
        <f>IFERROR(_xlfn.RANK.EQ(INDEX(スコア表[],MATCH($C30,スコア表['#],0),MATCH(W$5,スコア表[#Headers],0)),スコア表[16],0),"-")</f>
        <v>20</v>
      </c>
      <c r="X30" s="79">
        <f>IFERROR(_xlfn.RANK.EQ(INDEX(スコア表[],MATCH($C30,スコア表['#],0),MATCH(X$5,スコア表[#Headers],0)),スコア表[17],0),"-")</f>
        <v>38</v>
      </c>
      <c r="Y30" s="79">
        <f>IFERROR(_xlfn.RANK.EQ(INDEX(スコア表[],MATCH($C30,スコア表['#],0),MATCH(Y$5,スコア表[#Headers],0)),スコア表[18],0),"-")</f>
        <v>9</v>
      </c>
      <c r="Z30" s="79">
        <f>IFERROR(_xlfn.RANK.EQ(INDEX(スコア表[],MATCH($C30,スコア表['#],0),MATCH(Z$5,スコア表[#Headers],0)),スコア表[19],0),"-")</f>
        <v>8</v>
      </c>
      <c r="AA30" s="79">
        <f>IFERROR(_xlfn.RANK.EQ(INDEX(スコア表[],MATCH($C30,スコア表['#],0),MATCH(AA$5,スコア表[#Headers],0)),スコア表[20],0),"-")</f>
        <v>23</v>
      </c>
      <c r="AB30" s="79">
        <f>IFERROR(_xlfn.RANK.EQ(INDEX(スコア表[],MATCH($C30,スコア表['#],0),MATCH(AB$5,スコア表[#Headers],0)),スコア表[21],0),"-")</f>
        <v>41</v>
      </c>
      <c r="AC30" s="79">
        <f>IFERROR(_xlfn.RANK.EQ(INDEX(スコア表[],MATCH($C30,スコア表['#],0),MATCH(AC$5,スコア表[#Headers],0)),スコア表[22],0),"-")</f>
        <v>20</v>
      </c>
      <c r="AD30" s="79">
        <f>IFERROR(_xlfn.RANK.EQ(INDEX(スコア表[],MATCH($C30,スコア表['#],0),MATCH(AD$5,スコア表[#Headers],0)),スコア表[23],0),"-")</f>
        <v>48</v>
      </c>
      <c r="AE30" s="79">
        <f>IFERROR(_xlfn.RANK.EQ(INDEX(スコア表[],MATCH($C30,スコア表['#],0),MATCH(AE$5,スコア表[#Headers],0)),スコア表[24],0),"-")</f>
        <v>43</v>
      </c>
      <c r="AF30" s="79">
        <f>IFERROR(_xlfn.RANK.EQ(INDEX(スコア表[],MATCH($C30,スコア表['#],0),MATCH(AF$5,スコア表[#Headers],0)),スコア表[25],0),"-")</f>
        <v>34</v>
      </c>
      <c r="AG30" s="79">
        <f>IFERROR(_xlfn.RANK.EQ(INDEX(スコア表[],MATCH($C30,スコア表['#],0),MATCH(AG$5,スコア表[#Headers],0)),スコア表[26],0),"-")</f>
        <v>40</v>
      </c>
      <c r="AH30" s="79">
        <f>IFERROR(_xlfn.RANK.EQ(INDEX(スコア表[],MATCH($C30,スコア表['#],0),MATCH(AH$5,スコア表[#Headers],0)),スコア表[27],0),"-")</f>
        <v>38</v>
      </c>
      <c r="AI30" s="79">
        <f>IFERROR(_xlfn.RANK.EQ(INDEX(スコア表[],MATCH($C30,スコア表['#],0),MATCH(AI$5,スコア表[#Headers],0)),スコア表[28],0),"-")</f>
        <v>35</v>
      </c>
      <c r="AJ30" s="79">
        <f>IFERROR(_xlfn.RANK.EQ(INDEX(スコア表[],MATCH($C30,スコア表['#],0),MATCH(AJ$5,スコア表[#Headers],0)),スコア表[29],0),"-")</f>
        <v>36</v>
      </c>
      <c r="AK30" s="79">
        <f>IFERROR(_xlfn.RANK.EQ(INDEX(スコア表[],MATCH($C30,スコア表['#],0),MATCH(AK$5,スコア表[#Headers],0)),スコア表[30],0),"-")</f>
        <v>20</v>
      </c>
      <c r="AL30" s="79">
        <f>IFERROR(_xlfn.RANK.EQ(INDEX(スコア表[],MATCH($C30,スコア表['#],0),MATCH(AL$5,スコア表[#Headers],0)),スコア表[31],0),"-")</f>
        <v>34</v>
      </c>
      <c r="AM30" s="79">
        <f>IFERROR(_xlfn.RANK.EQ(INDEX(スコア表[],MATCH($C30,スコア表['#],0),MATCH(AM$5,スコア表[#Headers],0)),スコア表[32],0),"-")</f>
        <v>19</v>
      </c>
      <c r="AN30" s="79">
        <f>IFERROR(_xlfn.RANK.EQ(INDEX(スコア表[],MATCH($C30,スコア表['#],0),MATCH(AN$5,スコア表[#Headers],0)),スコア表[33],0),"-")</f>
        <v>27</v>
      </c>
      <c r="AO30" s="79">
        <f>IFERROR(_xlfn.RANK.EQ(INDEX(スコア表[],MATCH($C30,スコア表['#],0),MATCH(AO$5,スコア表[#Headers],0)),スコア表[34],0),"-")</f>
        <v>27</v>
      </c>
      <c r="AP30" s="79">
        <f>IFERROR(_xlfn.RANK.EQ(INDEX(スコア表[],MATCH($C30,スコア表['#],0),MATCH(AP$5,スコア表[#Headers],0)),スコア表[35],0),"-")</f>
        <v>39</v>
      </c>
      <c r="AQ30" s="79">
        <f>IFERROR(_xlfn.RANK.EQ(INDEX(スコア表[],MATCH($C30,スコア表['#],0),MATCH(AQ$5,スコア表[#Headers],0)),スコア表[36],0),"-")</f>
        <v>40</v>
      </c>
      <c r="AR30" s="79">
        <f>IFERROR(_xlfn.RANK.EQ(INDEX(スコア表[],MATCH($C30,スコア表['#],0),MATCH(AR$5,スコア表[#Headers],0)),スコア表[37],0),"-")</f>
        <v>46</v>
      </c>
      <c r="AS30" s="79">
        <f>IFERROR(_xlfn.RANK.EQ(INDEX(スコア表[],MATCH($C30,スコア表['#],0),MATCH(AS$5,スコア表[#Headers],0)),スコア表[38],0),"-")</f>
        <v>15</v>
      </c>
      <c r="AT30" s="79">
        <f>IFERROR(_xlfn.RANK.EQ(INDEX(スコア表[],MATCH($C30,スコア表['#],0),MATCH(AT$5,スコア表[#Headers],0)),スコア表[39],0),"-")</f>
        <v>36</v>
      </c>
      <c r="AU30" s="79">
        <f>IFERROR(_xlfn.RANK.EQ(INDEX(スコア表[],MATCH($C30,スコア表['#],0),MATCH(AU$5,スコア表[#Headers],0)),スコア表[40],0),"-")</f>
        <v>19</v>
      </c>
      <c r="AV30" s="79">
        <f>IFERROR(_xlfn.RANK.EQ(INDEX(スコア表[],MATCH($C30,スコア表['#],0),MATCH(AV$5,スコア表[#Headers],0)),スコア表[41],0),"-")</f>
        <v>12</v>
      </c>
      <c r="AW30" s="79">
        <f>IFERROR(_xlfn.RANK.EQ(INDEX(スコア表[],MATCH($C30,スコア表['#],0),MATCH(AW$5,スコア表[#Headers],0)),スコア表[42],0),"-")</f>
        <v>16</v>
      </c>
      <c r="AX30" s="79">
        <f>IFERROR(_xlfn.RANK.EQ(INDEX(スコア表[],MATCH($C30,スコア表['#],0),MATCH(AX$5,スコア表[#Headers],0)),スコア表[43],0),"-")</f>
        <v>19</v>
      </c>
      <c r="AY30" s="79">
        <f>IFERROR(_xlfn.RANK.EQ(INDEX(スコア表[],MATCH($C30,スコア表['#],0),MATCH(AY$5,スコア表[#Headers],0)),スコア表[44],0),"-")</f>
        <v>48</v>
      </c>
      <c r="AZ30" s="79">
        <f>IFERROR(_xlfn.RANK.EQ(INDEX(スコア表[],MATCH($C30,スコア表['#],0),MATCH(AZ$5,スコア表[#Headers],0)),スコア表[45],0),"-")</f>
        <v>5</v>
      </c>
      <c r="BA30" s="79">
        <f>IFERROR(_xlfn.RANK.EQ(INDEX(スコア表[],MATCH($C30,スコア表['#],0),MATCH(BA$5,スコア表[#Headers],0)),スコア表[46],0),"-")</f>
        <v>26</v>
      </c>
      <c r="BB30" s="79">
        <f>IFERROR(_xlfn.RANK.EQ(INDEX(スコア表[],MATCH($C30,スコア表['#],0),MATCH(BB$5,スコア表[#Headers],0)),スコア表[47],0),"-")</f>
        <v>36</v>
      </c>
      <c r="BC30" s="79">
        <f>IFERROR(_xlfn.RANK.EQ(INDEX(スコア表[],MATCH($C30,スコア表['#],0),MATCH(BC$5,スコア表[#Headers],0)),スコア表[48],0),"-")</f>
        <v>13</v>
      </c>
      <c r="BD30" s="79">
        <f>IFERROR(_xlfn.RANK.EQ(INDEX(スコア表[],MATCH($C30,スコア表['#],0),MATCH(BD$5,スコア表[#Headers],0)),スコア表[49],0),"-")</f>
        <v>31</v>
      </c>
      <c r="BE30" s="79">
        <f>IFERROR(_xlfn.RANK.EQ(INDEX(スコア表[],MATCH($C30,スコア表['#],0),MATCH(BE$5,スコア表[#Headers],0)),スコア表[50],0),"-")</f>
        <v>8</v>
      </c>
      <c r="BF30" s="79">
        <f>IFERROR(_xlfn.RANK.EQ(INDEX(スコア表[],MATCH($C30,スコア表['#],0),MATCH(BF$5,スコア表[#Headers],0)),スコア表[51],0),"-")</f>
        <v>1</v>
      </c>
      <c r="BG30" s="79">
        <f>IFERROR(_xlfn.RANK.EQ(INDEX(スコア表[],MATCH($C30,スコア表['#],0),MATCH(BG$5,スコア表[#Headers],0)),スコア表[52],0),"-")</f>
        <v>47</v>
      </c>
      <c r="BH30" s="79">
        <f>IFERROR(_xlfn.RANK.EQ(INDEX(スコア表[],MATCH($C30,スコア表['#],0),MATCH(BH$5,スコア表[#Headers],0)),スコア表[53],0),"-")</f>
        <v>45</v>
      </c>
      <c r="BI30" s="79">
        <f>IFERROR(_xlfn.RANK.EQ(INDEX(スコア表[],MATCH($C30,スコア表['#],0),MATCH(BI$5,スコア表[#Headers],0)),スコア表[54],0),"-")</f>
        <v>3</v>
      </c>
      <c r="BJ30" s="79">
        <f>IFERROR(_xlfn.RANK.EQ(INDEX(スコア表[],MATCH($C30,スコア表['#],0),MATCH(BJ$5,スコア表[#Headers],0)),スコア表[55],0),"-")</f>
        <v>29</v>
      </c>
      <c r="BK30" s="79">
        <f>IFERROR(_xlfn.RANK.EQ(INDEX(スコア表[],MATCH($C30,スコア表['#],0),MATCH(BK$5,スコア表[#Headers],0)),スコア表[56],0),"-")</f>
        <v>15</v>
      </c>
      <c r="BL30" s="79">
        <f>IFERROR(_xlfn.RANK.EQ(INDEX(スコア表[],MATCH($C30,スコア表['#],0),MATCH(BL$5,スコア表[#Headers],0)),スコア表[57],0),"-")</f>
        <v>29</v>
      </c>
      <c r="BM30" s="79">
        <f>IFERROR(_xlfn.RANK.EQ(INDEX(スコア表[],MATCH($C30,スコア表['#],0),MATCH(BM$5,スコア表[#Headers],0)),スコア表[58],0),"-")</f>
        <v>26</v>
      </c>
      <c r="BN30" s="79">
        <f>IFERROR(_xlfn.RANK.EQ(INDEX(スコア表[],MATCH($C30,スコア表['#],0),MATCH(BN$5,スコア表[#Headers],0)),スコア表[59],0),"-")</f>
        <v>20</v>
      </c>
      <c r="BO30" s="79">
        <f>IFERROR(_xlfn.RANK.EQ(INDEX(スコア表[],MATCH($C30,スコア表['#],0),MATCH(BO$5,スコア表[#Headers],0)),スコア表[60],0),"-")</f>
        <v>19</v>
      </c>
      <c r="BP30" s="79">
        <f>IFERROR(_xlfn.RANK.EQ(INDEX(スコア表[],MATCH($C30,スコア表['#],0),MATCH(BP$5,スコア表[#Headers],0)),スコア表[61],0),"-")</f>
        <v>31</v>
      </c>
      <c r="BQ30" s="79">
        <f>IFERROR(_xlfn.RANK.EQ(INDEX(スコア表[],MATCH($C30,スコア表['#],0),MATCH(BQ$5,スコア表[#Headers],0)),スコア表[62],0),"-")</f>
        <v>7</v>
      </c>
      <c r="BR30" s="79">
        <f>IFERROR(_xlfn.RANK.EQ(INDEX(スコア表[],MATCH($C30,スコア表['#],0),MATCH(BR$5,スコア表[#Headers],0)),スコア表[63],0),"-")</f>
        <v>45</v>
      </c>
      <c r="BS30" s="79">
        <f>IFERROR(_xlfn.RANK.EQ(INDEX(スコア表[],MATCH($C30,スコア表['#],0),MATCH(BS$5,スコア表[#Headers],0)),スコア表[64],0),"-")</f>
        <v>45</v>
      </c>
      <c r="BT30" s="79">
        <f>IFERROR(_xlfn.RANK.EQ(INDEX(スコア表[],MATCH($C30,スコア表['#],0),MATCH(BT$5,スコア表[#Headers],0)),スコア表[65],0),"-")</f>
        <v>27</v>
      </c>
      <c r="BU30" s="79">
        <f>IFERROR(_xlfn.RANK.EQ(INDEX(スコア表[],MATCH($C30,スコア表['#],0),MATCH(BU$5,スコア表[#Headers],0)),スコア表[66],0),"-")</f>
        <v>24</v>
      </c>
      <c r="BV30" s="79">
        <f>IFERROR(_xlfn.RANK.EQ(INDEX(スコア表[],MATCH($C30,スコア表['#],0),MATCH(BV$5,スコア表[#Headers],0)),スコア表[67],0),"-")</f>
        <v>26</v>
      </c>
      <c r="BW30" s="79">
        <f>IFERROR(_xlfn.RANK.EQ(INDEX(スコア表[],MATCH($C30,スコア表['#],0),MATCH(BW$5,スコア表[#Headers],0)),スコア表[68],0),"-")</f>
        <v>19</v>
      </c>
      <c r="BX30" s="79">
        <f>IFERROR(_xlfn.RANK.EQ(INDEX(スコア表[],MATCH($C30,スコア表['#],0),MATCH(BX$5,スコア表[#Headers],0)),スコア表[69],0),"-")</f>
        <v>25</v>
      </c>
      <c r="BY30" s="79">
        <f>IFERROR(_xlfn.RANK.EQ(INDEX(スコア表[],MATCH($C30,スコア表['#],0),MATCH(BY$5,スコア表[#Headers],0)),スコア表[70],0),"-")</f>
        <v>31</v>
      </c>
      <c r="BZ30" s="79">
        <f>IFERROR(_xlfn.RANK.EQ(INDEX(スコア表[],MATCH($C30,スコア表['#],0),MATCH(BZ$5,スコア表[#Headers],0)),スコア表[Ec1],0),"-")</f>
        <v>43</v>
      </c>
      <c r="CA30" s="79">
        <f>IFERROR(_xlfn.RANK.EQ(INDEX(スコア表[],MATCH($C30,スコア表['#],0),MATCH(CA$5,スコア表[#Headers],0)),スコア表[Ec2],0),"-")</f>
        <v>3</v>
      </c>
      <c r="CB30" s="79">
        <f>IFERROR(_xlfn.RANK.EQ(INDEX(スコア表[],MATCH($C30,スコア表['#],0),MATCH(CB$5,スコア表[#Headers],0)),スコア表[Ec3],0),"-")</f>
        <v>13</v>
      </c>
      <c r="CC30" s="79">
        <f>IFERROR(_xlfn.RANK.EQ(INDEX(スコア表[],MATCH($C30,スコア表['#],0),MATCH(CC$5,スコア表[#Headers],0)),スコア表[Ec4],0),"-")</f>
        <v>38</v>
      </c>
      <c r="CD30" s="79">
        <f>IFERROR(_xlfn.RANK.EQ(INDEX(スコア表[],MATCH($C30,スコア表['#],0),MATCH(CD$5,スコア表[#Headers],0)),スコア表[Ec5],0),"-")</f>
        <v>32</v>
      </c>
      <c r="CE30" s="79">
        <f>IFERROR(_xlfn.RANK.EQ(INDEX(スコア表[],MATCH($C30,スコア表['#],0),MATCH(CE$5,スコア表[#Headers],0)),スコア表[Ec6],0),"-")</f>
        <v>7</v>
      </c>
      <c r="CF30" s="79">
        <f>IFERROR(_xlfn.RANK.EQ(INDEX(スコア表[],MATCH($C30,スコア表['#],0),MATCH(CF$5,スコア表[#Headers],0)),スコア表[RD1],0),"-")</f>
        <v>30</v>
      </c>
      <c r="CG30" s="79">
        <f>IFERROR(_xlfn.RANK.EQ(INDEX(スコア表[],MATCH($C30,スコア表['#],0),MATCH(CG$5,スコア表[#Headers],0)),スコア表[RD2],0),"-")</f>
        <v>24</v>
      </c>
      <c r="CH30" s="79">
        <f>IFERROR(_xlfn.RANK.EQ(INDEX(スコア表[],MATCH($C30,スコア表['#],0),MATCH(CH$5,スコア表[#Headers],0)),スコア表[RD3],0),"-")</f>
        <v>20</v>
      </c>
      <c r="CI30" s="79">
        <f>IFERROR(_xlfn.RANK.EQ(INDEX(スコア表[],MATCH($C30,スコア表['#],0),MATCH(CI$5,スコア表[#Headers],0)),スコア表[CI1],0),"-")</f>
        <v>47</v>
      </c>
      <c r="CJ30" s="79">
        <f>IFERROR(_xlfn.RANK.EQ(INDEX(スコア表[],MATCH($C30,スコア表['#],0),MATCH(CJ$5,スコア表[#Headers],0)),スコア表[CI2],0),"-")</f>
        <v>46</v>
      </c>
      <c r="CK30" s="79">
        <f>IFERROR(_xlfn.RANK.EQ(INDEX(スコア表[],MATCH($C30,スコア表['#],0),MATCH(CK$5,スコア表[#Headers],0)),スコア表[CI3],0),"-")</f>
        <v>34</v>
      </c>
      <c r="CL30" s="79">
        <f>IFERROR(_xlfn.RANK.EQ(INDEX(スコア表[],MATCH($C30,スコア表['#],0),MATCH(CL$5,スコア表[#Headers],0)),スコア表[CI4],0),"-")</f>
        <v>29</v>
      </c>
      <c r="CM30" s="79">
        <f>IFERROR(_xlfn.RANK.EQ(INDEX(スコア表[],MATCH($C30,スコア表['#],0),MATCH(CM$5,スコア表[#Headers],0)),スコア表[CI5],0),"-")</f>
        <v>48</v>
      </c>
      <c r="CN30" s="79">
        <f>IFERROR(_xlfn.RANK.EQ(INDEX(スコア表[],MATCH($C30,スコア表['#],0),MATCH(CN$5,スコア表[#Headers],0)),スコア表[Li1],0),"-")</f>
        <v>26</v>
      </c>
      <c r="CO30" s="79">
        <f>IFERROR(_xlfn.RANK.EQ(INDEX(スコア表[],MATCH($C30,スコア表['#],0),MATCH(CO$5,スコア表[#Headers],0)),スコア表[Li2],0),"-")</f>
        <v>12</v>
      </c>
      <c r="CP30" s="79">
        <f>IFERROR(_xlfn.RANK.EQ(INDEX(スコア表[],MATCH($C30,スコア表['#],0),MATCH(CP$5,スコア表[#Headers],0)),スコア表[Li3],0),"-")</f>
        <v>48</v>
      </c>
      <c r="CQ30" s="79">
        <f>IFERROR(_xlfn.RANK.EQ(INDEX(スコア表[],MATCH($C30,スコア表['#],0),MATCH(CQ$5,スコア表[#Headers],0)),スコア表[Li4],0),"-")</f>
        <v>26</v>
      </c>
      <c r="CR30" s="79">
        <f>IFERROR(_xlfn.RANK.EQ(INDEX(スコア表[],MATCH($C30,スコア表['#],0),MATCH(CR$5,スコア表[#Headers],0)),スコア表[Li5],0),"-")</f>
        <v>2</v>
      </c>
      <c r="CS30" s="79">
        <f>IFERROR(_xlfn.RANK.EQ(INDEX(スコア表[],MATCH($C30,スコア表['#],0),MATCH(CS$5,スコア表[#Headers],0)),スコア表[En1],0),"-")</f>
        <v>31</v>
      </c>
      <c r="CT30" s="79">
        <f>IFERROR(_xlfn.RANK.EQ(INDEX(スコア表[],MATCH($C30,スコア表['#],0),MATCH(CT$5,スコア表[#Headers],0)),スコア表[En2],0),"-")</f>
        <v>24</v>
      </c>
      <c r="CU30" s="79">
        <f>IFERROR(_xlfn.RANK.EQ(INDEX(スコア表[],MATCH($C30,スコア表['#],0),MATCH(CU$5,スコア表[#Headers],0)),スコア表[En3],0),"-")</f>
        <v>20</v>
      </c>
      <c r="CV30" s="79">
        <f>IFERROR(_xlfn.RANK.EQ(INDEX(スコア表[],MATCH($C30,スコア表['#],0),MATCH(CV$5,スコア表[#Headers],0)),スコア表[Ac1],0),"-")</f>
        <v>15</v>
      </c>
      <c r="CW30" s="79">
        <f>IFERROR(_xlfn.RANK.EQ(INDEX(スコア表[],MATCH($C30,スコア表['#],0),MATCH(CW$5,スコア表[#Headers],0)),スコア表[Ac2],0),"-")</f>
        <v>45</v>
      </c>
      <c r="CX30" s="79">
        <f>IFERROR(_xlfn.RANK.EQ(INDEX(スコア表[],MATCH($C30,スコア表['#],0),MATCH(CX$5,スコア表[#Headers],0)),スコア表[Ac3],0),"-")</f>
        <v>29</v>
      </c>
      <c r="CY30" s="79">
        <f>IFERROR(_xlfn.RANK.EQ(INDEX(スコア表[],MATCH($C30,スコア表['#],0),MATCH(CY$5,スコア表[#Headers],0)),スコア表[Ac4],0),"-")</f>
        <v>24</v>
      </c>
      <c r="CZ30" s="79">
        <f>IFERROR(_xlfn.RANK.EQ(INDEX(スコア表[],MATCH($C30,スコア表['#],0),MATCH(CZ$5,スコア表[#Headers],0)),スコア表[Economy],0),"-")</f>
        <v>27</v>
      </c>
      <c r="DA30" s="79">
        <f>IFERROR(_xlfn.RANK.EQ(INDEX(スコア表[],MATCH($C30,スコア表['#],0),MATCH(DA$5,スコア表[#Headers],0)),スコア表[R&amp;D],0),"-")</f>
        <v>26</v>
      </c>
      <c r="DB30" s="79">
        <f>IFERROR(_xlfn.RANK.EQ(INDEX(スコア表[],MATCH($C30,スコア表['#],0),MATCH(DB$5,スコア表[#Headers],0)),スコア表[Cultural Interaction],0),"-")</f>
        <v>44</v>
      </c>
      <c r="DC30" s="79">
        <f>IFERROR(_xlfn.RANK.EQ(INDEX(スコア表[],MATCH($C30,スコア表['#],0),MATCH(DC$5,スコア表[#Headers],0)),スコア表[Livability],0),"-")</f>
        <v>22</v>
      </c>
      <c r="DD30" s="79">
        <f>IFERROR(_xlfn.RANK.EQ(INDEX(スコア表[],MATCH($C30,スコア表['#],0),MATCH(DD$5,スコア表[#Headers],0)),スコア表[Environment],0),"-")</f>
        <v>19</v>
      </c>
      <c r="DE30" s="79">
        <f>IFERROR(_xlfn.RANK.EQ(INDEX(スコア表[],MATCH($C30,スコア表['#],0),MATCH(DE$5,スコア表[#Headers],0)),スコア表[Accessibility],0),"-")</f>
        <v>31</v>
      </c>
      <c r="DF30" s="81">
        <f>IFERROR(_xlfn.RANK.EQ(INDEX(スコア表[],MATCH($C30,スコア表['#],0),MATCH(DF$5,スコア表[#Headers],0)),スコア表[Comprehensive],0),"-")</f>
        <v>35</v>
      </c>
    </row>
    <row r="31" spans="1:110">
      <c r="A31" s="2">
        <v>26</v>
      </c>
      <c r="B31" s="58">
        <f>INDEX(順位表[Comprehensive],MATCH($C31,順位表['#],0))</f>
        <v>7</v>
      </c>
      <c r="C31" s="3">
        <v>26</v>
      </c>
      <c r="D31" s="1" t="str">
        <f>INDEX(都市マスタ[City Name],MATCH($C31,都市マスタ['#],0))</f>
        <v>Seoul</v>
      </c>
      <c r="E31" s="79">
        <f>IFERROR(_xlfn.RANK.EQ(INDEX(スコア表[],MATCH($C31,スコア表['#],0),MATCH(E$5,スコア表[#Headers],0)),スコア表[00a],0),"-")</f>
        <v>10</v>
      </c>
      <c r="F31" s="79">
        <f>IFERROR(_xlfn.RANK.EQ(INDEX(スコア表[],MATCH($C31,スコア表['#],0),MATCH(F$5,スコア表[#Headers],0)),スコア表[00b],0),"-")</f>
        <v>22</v>
      </c>
      <c r="G31" s="79">
        <f>IFERROR(_xlfn.RANK.EQ(INDEX(スコア表[],MATCH($C31,スコア表['#],0),MATCH(G$5,スコア表[#Headers],0)),スコア表[00c],0),"-")</f>
        <v>2</v>
      </c>
      <c r="H31" s="79">
        <f>IFERROR(_xlfn.RANK.EQ(INDEX(スコア表[],MATCH($C31,スコア表['#],0),MATCH(H$5,スコア表[#Headers],0)),スコア表[01],0),"-")</f>
        <v>7</v>
      </c>
      <c r="I31" s="79">
        <f>IFERROR(_xlfn.RANK.EQ(INDEX(スコア表[],MATCH($C31,スコア表['#],0),MATCH(I$5,スコア表[#Headers],0)),スコア表[02],0),"-")</f>
        <v>32</v>
      </c>
      <c r="J31" s="79">
        <f>IFERROR(_xlfn.RANK.EQ(INDEX(スコア表[],MATCH($C31,スコア表['#],0),MATCH(J$5,スコア表[#Headers],0)),スコア表[03],0),"-")</f>
        <v>14</v>
      </c>
      <c r="K31" s="79">
        <f>IFERROR(_xlfn.RANK.EQ(INDEX(スコア表[],MATCH($C31,スコア表['#],0),MATCH(K$5,スコア表[#Headers],0)),スコア表[04],0),"-")</f>
        <v>14</v>
      </c>
      <c r="L31" s="79">
        <f>IFERROR(_xlfn.RANK.EQ(INDEX(スコア表[],MATCH($C31,スコア表['#],0),MATCH(L$5,スコア表[#Headers],0)),スコア表[05],0),"-")</f>
        <v>12</v>
      </c>
      <c r="M31" s="79">
        <f>IFERROR(_xlfn.RANK.EQ(INDEX(スコア表[],MATCH($C31,スコア表['#],0),MATCH(M$5,スコア表[#Headers],0)),スコア表[06],0),"-")</f>
        <v>6</v>
      </c>
      <c r="N31" s="79">
        <f>IFERROR(_xlfn.RANK.EQ(INDEX(スコア表[],MATCH($C31,スコア表['#],0),MATCH(N$5,スコア表[#Headers],0)),スコア表[07],0),"-")</f>
        <v>11</v>
      </c>
      <c r="O31" s="79">
        <f>IFERROR(_xlfn.RANK.EQ(INDEX(スコア表[],MATCH($C31,スコア表['#],0),MATCH(O$5,スコア表[#Headers],0)),スコア表[08],0),"-")</f>
        <v>29</v>
      </c>
      <c r="P31" s="79">
        <f>IFERROR(_xlfn.RANK.EQ(INDEX(スコア表[],MATCH($C31,スコア表['#],0),MATCH(P$5,スコア表[#Headers],0)),スコア表[09],0),"-")</f>
        <v>26</v>
      </c>
      <c r="Q31" s="79">
        <f>IFERROR(_xlfn.RANK.EQ(INDEX(スコア表[],MATCH($C31,スコア表['#],0),MATCH(Q$5,スコア表[#Headers],0)),スコア表[10],0),"-")</f>
        <v>29</v>
      </c>
      <c r="R31" s="79">
        <f>IFERROR(_xlfn.RANK.EQ(INDEX(スコア表[],MATCH($C31,スコア表['#],0),MATCH(R$5,スコア表[#Headers],0)),スコア表[11],0),"-")</f>
        <v>24</v>
      </c>
      <c r="S31" s="79">
        <f>IFERROR(_xlfn.RANK.EQ(INDEX(スコア表[],MATCH($C31,スコア表['#],0),MATCH(S$5,スコア表[#Headers],0)),スコア表[12],0),"-")</f>
        <v>17</v>
      </c>
      <c r="T31" s="79">
        <f>IFERROR(_xlfn.RANK.EQ(INDEX(スコア表[],MATCH($C31,スコア表['#],0),MATCH(T$5,スコア表[#Headers],0)),スコア表[13],0),"-")</f>
        <v>5</v>
      </c>
      <c r="U31" s="79">
        <f>IFERROR(_xlfn.RANK.EQ(INDEX(スコア表[],MATCH($C31,スコア表['#],0),MATCH(U$5,スコア表[#Headers],0)),スコア表[14],0),"-")</f>
        <v>3</v>
      </c>
      <c r="V31" s="79">
        <f>IFERROR(_xlfn.RANK.EQ(INDEX(スコア表[],MATCH($C31,スコア表['#],0),MATCH(V$5,スコア表[#Headers],0)),スコア表[15],0),"-")</f>
        <v>17</v>
      </c>
      <c r="W31" s="79">
        <f>IFERROR(_xlfn.RANK.EQ(INDEX(スコア表[],MATCH($C31,スコア表['#],0),MATCH(W$5,スコア表[#Headers],0)),スコア表[16],0),"-")</f>
        <v>6</v>
      </c>
      <c r="X31" s="79">
        <f>IFERROR(_xlfn.RANK.EQ(INDEX(スコア表[],MATCH($C31,スコア表['#],0),MATCH(X$5,スコア表[#Headers],0)),スコア表[17],0),"-")</f>
        <v>8</v>
      </c>
      <c r="Y31" s="79">
        <f>IFERROR(_xlfn.RANK.EQ(INDEX(スコア表[],MATCH($C31,スコア表['#],0),MATCH(Y$5,スコア表[#Headers],0)),スコア表[18],0),"-")</f>
        <v>8</v>
      </c>
      <c r="Z31" s="79">
        <f>IFERROR(_xlfn.RANK.EQ(INDEX(スコア表[],MATCH($C31,スコア表['#],0),MATCH(Z$5,スコア表[#Headers],0)),スコア表[19],0),"-")</f>
        <v>2</v>
      </c>
      <c r="AA31" s="79">
        <f>IFERROR(_xlfn.RANK.EQ(INDEX(スコア表[],MATCH($C31,スコア表['#],0),MATCH(AA$5,スコア表[#Headers],0)),スコア表[20],0),"-")</f>
        <v>23</v>
      </c>
      <c r="AB31" s="79">
        <f>IFERROR(_xlfn.RANK.EQ(INDEX(スコア表[],MATCH($C31,スコア表['#],0),MATCH(AB$5,スコア表[#Headers],0)),スコア表[21],0),"-")</f>
        <v>15</v>
      </c>
      <c r="AC31" s="79">
        <f>IFERROR(_xlfn.RANK.EQ(INDEX(スコア表[],MATCH($C31,スコア表['#],0),MATCH(AC$5,スコア表[#Headers],0)),スコア表[22],0),"-")</f>
        <v>2</v>
      </c>
      <c r="AD31" s="79">
        <f>IFERROR(_xlfn.RANK.EQ(INDEX(スコア表[],MATCH($C31,スコア表['#],0),MATCH(AD$5,スコア表[#Headers],0)),スコア表[23],0),"-")</f>
        <v>39</v>
      </c>
      <c r="AE31" s="79">
        <f>IFERROR(_xlfn.RANK.EQ(INDEX(スコア表[],MATCH($C31,スコア表['#],0),MATCH(AE$5,スコア表[#Headers],0)),スコア表[24],0),"-")</f>
        <v>8</v>
      </c>
      <c r="AF31" s="79">
        <f>IFERROR(_xlfn.RANK.EQ(INDEX(スコア表[],MATCH($C31,スコア表['#],0),MATCH(AF$5,スコア表[#Headers],0)),スコア表[25],0),"-")</f>
        <v>9</v>
      </c>
      <c r="AG31" s="79">
        <f>IFERROR(_xlfn.RANK.EQ(INDEX(スコア表[],MATCH($C31,スコア表['#],0),MATCH(AG$5,スコア表[#Headers],0)),スコア表[26],0),"-")</f>
        <v>34</v>
      </c>
      <c r="AH31" s="79">
        <f>IFERROR(_xlfn.RANK.EQ(INDEX(スコア表[],MATCH($C31,スコア表['#],0),MATCH(AH$5,スコア表[#Headers],0)),スコア表[27],0),"-")</f>
        <v>12</v>
      </c>
      <c r="AI31" s="79">
        <f>IFERROR(_xlfn.RANK.EQ(INDEX(スコア表[],MATCH($C31,スコア表['#],0),MATCH(AI$5,スコア表[#Headers],0)),スコア表[28],0),"-")</f>
        <v>15</v>
      </c>
      <c r="AJ31" s="79">
        <f>IFERROR(_xlfn.RANK.EQ(INDEX(スコア表[],MATCH($C31,スコア表['#],0),MATCH(AJ$5,スコア表[#Headers],0)),スコア表[29],0),"-")</f>
        <v>21</v>
      </c>
      <c r="AK31" s="79">
        <f>IFERROR(_xlfn.RANK.EQ(INDEX(スコア表[],MATCH($C31,スコア表['#],0),MATCH(AK$5,スコア表[#Headers],0)),スコア表[30],0),"-")</f>
        <v>17</v>
      </c>
      <c r="AL31" s="79">
        <f>IFERROR(_xlfn.RANK.EQ(INDEX(スコア表[],MATCH($C31,スコア表['#],0),MATCH(AL$5,スコア表[#Headers],0)),スコア表[31],0),"-")</f>
        <v>10</v>
      </c>
      <c r="AM31" s="79">
        <f>IFERROR(_xlfn.RANK.EQ(INDEX(スコア表[],MATCH($C31,スコア表['#],0),MATCH(AM$5,スコア表[#Headers],0)),スコア表[32],0),"-")</f>
        <v>12</v>
      </c>
      <c r="AN31" s="79">
        <f>IFERROR(_xlfn.RANK.EQ(INDEX(スコア表[],MATCH($C31,スコア表['#],0),MATCH(AN$5,スコア表[#Headers],0)),スコア表[33],0),"-")</f>
        <v>12</v>
      </c>
      <c r="AO31" s="79">
        <f>IFERROR(_xlfn.RANK.EQ(INDEX(スコア表[],MATCH($C31,スコア表['#],0),MATCH(AO$5,スコア表[#Headers],0)),スコア表[34],0),"-")</f>
        <v>14</v>
      </c>
      <c r="AP31" s="79">
        <f>IFERROR(_xlfn.RANK.EQ(INDEX(スコア表[],MATCH($C31,スコア表['#],0),MATCH(AP$5,スコア表[#Headers],0)),スコア表[35],0),"-")</f>
        <v>2</v>
      </c>
      <c r="AQ31" s="79">
        <f>IFERROR(_xlfn.RANK.EQ(INDEX(スコア表[],MATCH($C31,スコア表['#],0),MATCH(AQ$5,スコア表[#Headers],0)),スコア表[36],0),"-")</f>
        <v>25</v>
      </c>
      <c r="AR31" s="79">
        <f>IFERROR(_xlfn.RANK.EQ(INDEX(スコア表[],MATCH($C31,スコア表['#],0),MATCH(AR$5,スコア表[#Headers],0)),スコア表[37],0),"-")</f>
        <v>18</v>
      </c>
      <c r="AS31" s="79">
        <f>IFERROR(_xlfn.RANK.EQ(INDEX(スコア表[],MATCH($C31,スコア表['#],0),MATCH(AS$5,スコア表[#Headers],0)),スコア表[38],0),"-")</f>
        <v>13</v>
      </c>
      <c r="AT31" s="79">
        <f>IFERROR(_xlfn.RANK.EQ(INDEX(スコア表[],MATCH($C31,スコア表['#],0),MATCH(AT$5,スコア表[#Headers],0)),スコア表[39],0),"-")</f>
        <v>41</v>
      </c>
      <c r="AU31" s="79">
        <f>IFERROR(_xlfn.RANK.EQ(INDEX(スコア表[],MATCH($C31,スコア表['#],0),MATCH(AU$5,スコア表[#Headers],0)),スコア表[40],0),"-")</f>
        <v>45</v>
      </c>
      <c r="AV31" s="79">
        <f>IFERROR(_xlfn.RANK.EQ(INDEX(スコア表[],MATCH($C31,スコア表['#],0),MATCH(AV$5,スコア表[#Headers],0)),スコア表[41],0),"-")</f>
        <v>22</v>
      </c>
      <c r="AW31" s="79">
        <f>IFERROR(_xlfn.RANK.EQ(INDEX(スコア表[],MATCH($C31,スコア表['#],0),MATCH(AW$5,スコア表[#Headers],0)),スコア表[42],0),"-")</f>
        <v>18</v>
      </c>
      <c r="AX31" s="79">
        <f>IFERROR(_xlfn.RANK.EQ(INDEX(スコア表[],MATCH($C31,スコア表['#],0),MATCH(AX$5,スコア表[#Headers],0)),スコア表[43],0),"-")</f>
        <v>10</v>
      </c>
      <c r="AY31" s="79">
        <f>IFERROR(_xlfn.RANK.EQ(INDEX(スコア表[],MATCH($C31,スコア表['#],0),MATCH(AY$5,スコア表[#Headers],0)),スコア表[44],0),"-")</f>
        <v>46</v>
      </c>
      <c r="AZ31" s="79">
        <f>IFERROR(_xlfn.RANK.EQ(INDEX(スコア表[],MATCH($C31,スコア表['#],0),MATCH(AZ$5,スコア表[#Headers],0)),スコア表[45],0),"-")</f>
        <v>8</v>
      </c>
      <c r="BA31" s="79">
        <f>IFERROR(_xlfn.RANK.EQ(INDEX(スコア表[],MATCH($C31,スコア表['#],0),MATCH(BA$5,スコア表[#Headers],0)),スコア表[46],0),"-")</f>
        <v>33</v>
      </c>
      <c r="BB31" s="79">
        <f>IFERROR(_xlfn.RANK.EQ(INDEX(スコア表[],MATCH($C31,スコア表['#],0),MATCH(BB$5,スコア表[#Headers],0)),スコア表[47],0),"-")</f>
        <v>37</v>
      </c>
      <c r="BC31" s="79">
        <f>IFERROR(_xlfn.RANK.EQ(INDEX(スコア表[],MATCH($C31,スコア表['#],0),MATCH(BC$5,スコア表[#Headers],0)),スコア表[48],0),"-")</f>
        <v>40</v>
      </c>
      <c r="BD31" s="79">
        <f>IFERROR(_xlfn.RANK.EQ(INDEX(スコア表[],MATCH($C31,スコア表['#],0),MATCH(BD$5,スコア表[#Headers],0)),スコア表[49],0),"-")</f>
        <v>19</v>
      </c>
      <c r="BE31" s="79">
        <f>IFERROR(_xlfn.RANK.EQ(INDEX(スコア表[],MATCH($C31,スコア表['#],0),MATCH(BE$5,スコア表[#Headers],0)),スコア表[50],0),"-")</f>
        <v>18</v>
      </c>
      <c r="BF31" s="79">
        <f>IFERROR(_xlfn.RANK.EQ(INDEX(スコア表[],MATCH($C31,スコア表['#],0),MATCH(BF$5,スコア表[#Headers],0)),スコア表[51],0),"-")</f>
        <v>11</v>
      </c>
      <c r="BG31" s="79">
        <f>IFERROR(_xlfn.RANK.EQ(INDEX(スコア表[],MATCH($C31,スコア表['#],0),MATCH(BG$5,スコア表[#Headers],0)),スコア表[52],0),"-")</f>
        <v>23</v>
      </c>
      <c r="BH31" s="79">
        <f>IFERROR(_xlfn.RANK.EQ(INDEX(スコア表[],MATCH($C31,スコア表['#],0),MATCH(BH$5,スコア表[#Headers],0)),スコア表[53],0),"-")</f>
        <v>44</v>
      </c>
      <c r="BI31" s="79">
        <f>IFERROR(_xlfn.RANK.EQ(INDEX(スコア表[],MATCH($C31,スコア表['#],0),MATCH(BI$5,スコア表[#Headers],0)),スコア表[54],0),"-")</f>
        <v>1</v>
      </c>
      <c r="BJ31" s="79">
        <f>IFERROR(_xlfn.RANK.EQ(INDEX(スコア表[],MATCH($C31,スコア表['#],0),MATCH(BJ$5,スコア表[#Headers],0)),スコア表[55],0),"-")</f>
        <v>6</v>
      </c>
      <c r="BK31" s="79">
        <f>IFERROR(_xlfn.RANK.EQ(INDEX(スコア表[],MATCH($C31,スコア表['#],0),MATCH(BK$5,スコア表[#Headers],0)),スコア表[56],0),"-")</f>
        <v>38</v>
      </c>
      <c r="BL31" s="79">
        <f>IFERROR(_xlfn.RANK.EQ(INDEX(スコア表[],MATCH($C31,スコア表['#],0),MATCH(BL$5,スコア表[#Headers],0)),スコア表[57],0),"-")</f>
        <v>33</v>
      </c>
      <c r="BM31" s="79">
        <f>IFERROR(_xlfn.RANK.EQ(INDEX(スコア表[],MATCH($C31,スコア表['#],0),MATCH(BM$5,スコア表[#Headers],0)),スコア表[58],0),"-")</f>
        <v>16</v>
      </c>
      <c r="BN31" s="79">
        <f>IFERROR(_xlfn.RANK.EQ(INDEX(スコア表[],MATCH($C31,スコア表['#],0),MATCH(BN$5,スコア表[#Headers],0)),スコア表[59],0),"-")</f>
        <v>31</v>
      </c>
      <c r="BO31" s="79">
        <f>IFERROR(_xlfn.RANK.EQ(INDEX(スコア表[],MATCH($C31,スコア表['#],0),MATCH(BO$5,スコア表[#Headers],0)),スコア表[60],0),"-")</f>
        <v>14</v>
      </c>
      <c r="BP31" s="79">
        <f>IFERROR(_xlfn.RANK.EQ(INDEX(スコア表[],MATCH($C31,スコア表['#],0),MATCH(BP$5,スコア表[#Headers],0)),スコア表[61],0),"-")</f>
        <v>22</v>
      </c>
      <c r="BQ31" s="79">
        <f>IFERROR(_xlfn.RANK.EQ(INDEX(スコア表[],MATCH($C31,スコア表['#],0),MATCH(BQ$5,スコア表[#Headers],0)),スコア表[62],0),"-")</f>
        <v>5</v>
      </c>
      <c r="BR31" s="79">
        <f>IFERROR(_xlfn.RANK.EQ(INDEX(スコア表[],MATCH($C31,スコア表['#],0),MATCH(BR$5,スコア表[#Headers],0)),スコア表[63],0),"-")</f>
        <v>16</v>
      </c>
      <c r="BS31" s="79">
        <f>IFERROR(_xlfn.RANK.EQ(INDEX(スコア表[],MATCH($C31,スコア表['#],0),MATCH(BS$5,スコア表[#Headers],0)),スコア表[64],0),"-")</f>
        <v>24</v>
      </c>
      <c r="BT31" s="79">
        <f>IFERROR(_xlfn.RANK.EQ(INDEX(スコア表[],MATCH($C31,スコア表['#],0),MATCH(BT$5,スコア表[#Headers],0)),スコア表[65],0),"-")</f>
        <v>20</v>
      </c>
      <c r="BU31" s="79">
        <f>IFERROR(_xlfn.RANK.EQ(INDEX(スコア表[],MATCH($C31,スコア表['#],0),MATCH(BU$5,スコア表[#Headers],0)),スコア表[66],0),"-")</f>
        <v>9</v>
      </c>
      <c r="BV31" s="79">
        <f>IFERROR(_xlfn.RANK.EQ(INDEX(スコア表[],MATCH($C31,スコア表['#],0),MATCH(BV$5,スコア表[#Headers],0)),スコア表[67],0),"-")</f>
        <v>30</v>
      </c>
      <c r="BW31" s="79">
        <f>IFERROR(_xlfn.RANK.EQ(INDEX(スコア表[],MATCH($C31,スコア表['#],0),MATCH(BW$5,スコア表[#Headers],0)),スコア表[68],0),"-")</f>
        <v>37</v>
      </c>
      <c r="BX31" s="79">
        <f>IFERROR(_xlfn.RANK.EQ(INDEX(スコア表[],MATCH($C31,スコア表['#],0),MATCH(BX$5,スコア表[#Headers],0)),スコア表[69],0),"-")</f>
        <v>46</v>
      </c>
      <c r="BY31" s="79">
        <f>IFERROR(_xlfn.RANK.EQ(INDEX(スコア表[],MATCH($C31,スコア表['#],0),MATCH(BY$5,スコア表[#Headers],0)),スコア表[70],0),"-")</f>
        <v>19</v>
      </c>
      <c r="BZ31" s="79">
        <f>IFERROR(_xlfn.RANK.EQ(INDEX(スコア表[],MATCH($C31,スコア表['#],0),MATCH(BZ$5,スコア表[#Headers],0)),スコア表[Ec1],0),"-")</f>
        <v>16</v>
      </c>
      <c r="CA31" s="79">
        <f>IFERROR(_xlfn.RANK.EQ(INDEX(スコア表[],MATCH($C31,スコア表['#],0),MATCH(CA$5,スコア表[#Headers],0)),スコア表[Ec2],0),"-")</f>
        <v>15</v>
      </c>
      <c r="CB31" s="79">
        <f>IFERROR(_xlfn.RANK.EQ(INDEX(スコア表[],MATCH($C31,スコア表['#],0),MATCH(CB$5,スコア表[#Headers],0)),スコア表[Ec3],0),"-")</f>
        <v>8</v>
      </c>
      <c r="CC31" s="79">
        <f>IFERROR(_xlfn.RANK.EQ(INDEX(スコア表[],MATCH($C31,スコア表['#],0),MATCH(CC$5,スコア表[#Headers],0)),スコア表[Ec4],0),"-")</f>
        <v>11</v>
      </c>
      <c r="CD31" s="79">
        <f>IFERROR(_xlfn.RANK.EQ(INDEX(スコア表[],MATCH($C31,スコア表['#],0),MATCH(CD$5,スコア表[#Headers],0)),スコア表[Ec5],0),"-")</f>
        <v>30</v>
      </c>
      <c r="CE31" s="79">
        <f>IFERROR(_xlfn.RANK.EQ(INDEX(スコア表[],MATCH($C31,スコア表['#],0),MATCH(CE$5,スコア表[#Headers],0)),スコア表[Ec6],0),"-")</f>
        <v>11</v>
      </c>
      <c r="CF31" s="79">
        <f>IFERROR(_xlfn.RANK.EQ(INDEX(スコア表[],MATCH($C31,スコア表['#],0),MATCH(CF$5,スコア表[#Headers],0)),スコア表[RD1],0),"-")</f>
        <v>4</v>
      </c>
      <c r="CG31" s="79">
        <f>IFERROR(_xlfn.RANK.EQ(INDEX(スコア表[],MATCH($C31,スコア表['#],0),MATCH(CG$5,スコア表[#Headers],0)),スコア表[RD2],0),"-")</f>
        <v>4</v>
      </c>
      <c r="CH31" s="79">
        <f>IFERROR(_xlfn.RANK.EQ(INDEX(スコア表[],MATCH($C31,スコア表['#],0),MATCH(CH$5,スコア表[#Headers],0)),スコア表[RD3],0),"-")</f>
        <v>7</v>
      </c>
      <c r="CI31" s="79">
        <f>IFERROR(_xlfn.RANK.EQ(INDEX(スコア表[],MATCH($C31,スコア表['#],0),MATCH(CI$5,スコア表[#Headers],0)),スコア表[CI1],0),"-")</f>
        <v>6</v>
      </c>
      <c r="CJ31" s="79">
        <f>IFERROR(_xlfn.RANK.EQ(INDEX(スコア表[],MATCH($C31,スコア表['#],0),MATCH(CJ$5,スコア表[#Headers],0)),スコア表[CI2],0),"-")</f>
        <v>19</v>
      </c>
      <c r="CK31" s="79">
        <f>IFERROR(_xlfn.RANK.EQ(INDEX(スコア表[],MATCH($C31,スコア表['#],0),MATCH(CK$5,スコア表[#Headers],0)),スコア表[CI3],0),"-")</f>
        <v>14</v>
      </c>
      <c r="CL31" s="79">
        <f>IFERROR(_xlfn.RANK.EQ(INDEX(スコア表[],MATCH($C31,スコア表['#],0),MATCH(CL$5,スコア表[#Headers],0)),スコア表[CI4],0),"-")</f>
        <v>9</v>
      </c>
      <c r="CM31" s="79">
        <f>IFERROR(_xlfn.RANK.EQ(INDEX(スコア表[],MATCH($C31,スコア表['#],0),MATCH(CM$5,スコア表[#Headers],0)),スコア表[CI5],0),"-")</f>
        <v>24</v>
      </c>
      <c r="CN31" s="79">
        <f>IFERROR(_xlfn.RANK.EQ(INDEX(スコア表[],MATCH($C31,スコア表['#],0),MATCH(CN$5,スコア表[#Headers],0)),スコア表[Li1],0),"-")</f>
        <v>46</v>
      </c>
      <c r="CO31" s="79">
        <f>IFERROR(_xlfn.RANK.EQ(INDEX(スコア表[],MATCH($C31,スコア表['#],0),MATCH(CO$5,スコア表[#Headers],0)),スコア表[Li2],0),"-")</f>
        <v>19</v>
      </c>
      <c r="CP31" s="79">
        <f>IFERROR(_xlfn.RANK.EQ(INDEX(スコア表[],MATCH($C31,スコア表['#],0),MATCH(CP$5,スコア表[#Headers],0)),スコア表[Li3],0),"-")</f>
        <v>37</v>
      </c>
      <c r="CQ31" s="79">
        <f>IFERROR(_xlfn.RANK.EQ(INDEX(スコア表[],MATCH($C31,スコア表['#],0),MATCH(CQ$5,スコア表[#Headers],0)),スコア表[Li4],0),"-")</f>
        <v>29</v>
      </c>
      <c r="CR31" s="79">
        <f>IFERROR(_xlfn.RANK.EQ(INDEX(スコア表[],MATCH($C31,スコア表['#],0),MATCH(CR$5,スコア表[#Headers],0)),スコア表[Li5],0),"-")</f>
        <v>14</v>
      </c>
      <c r="CS31" s="79">
        <f>IFERROR(_xlfn.RANK.EQ(INDEX(スコア表[],MATCH($C31,スコア表['#],0),MATCH(CS$5,スコア表[#Headers],0)),スコア表[En1],0),"-")</f>
        <v>8</v>
      </c>
      <c r="CT31" s="79">
        <f>IFERROR(_xlfn.RANK.EQ(INDEX(スコア表[],MATCH($C31,スコア表['#],0),MATCH(CT$5,スコア表[#Headers],0)),スコア表[En2],0),"-")</f>
        <v>29</v>
      </c>
      <c r="CU31" s="79">
        <f>IFERROR(_xlfn.RANK.EQ(INDEX(スコア表[],MATCH($C31,スコア表['#],0),MATCH(CU$5,スコア表[#Headers],0)),スコア表[En3],0),"-")</f>
        <v>22</v>
      </c>
      <c r="CV31" s="79">
        <f>IFERROR(_xlfn.RANK.EQ(INDEX(スコア表[],MATCH($C31,スコア表['#],0),MATCH(CV$5,スコア表[#Headers],0)),スコア表[Ac1],0),"-")</f>
        <v>10</v>
      </c>
      <c r="CW31" s="79">
        <f>IFERROR(_xlfn.RANK.EQ(INDEX(スコア表[],MATCH($C31,スコア表['#],0),MATCH(CW$5,スコア表[#Headers],0)),スコア表[Ac2],0),"-")</f>
        <v>22</v>
      </c>
      <c r="CX31" s="79">
        <f>IFERROR(_xlfn.RANK.EQ(INDEX(スコア表[],MATCH($C31,スコア表['#],0),MATCH(CX$5,スコア表[#Headers],0)),スコア表[Ac3],0),"-")</f>
        <v>17</v>
      </c>
      <c r="CY31" s="79">
        <f>IFERROR(_xlfn.RANK.EQ(INDEX(スコア表[],MATCH($C31,スコア表['#],0),MATCH(CY$5,スコア表[#Headers],0)),スコア表[Ac4],0),"-")</f>
        <v>43</v>
      </c>
      <c r="CZ31" s="79">
        <f>IFERROR(_xlfn.RANK.EQ(INDEX(スコア表[],MATCH($C31,スコア表['#],0),MATCH(CZ$5,スコア表[#Headers],0)),スコア表[Economy],0),"-")</f>
        <v>15</v>
      </c>
      <c r="DA31" s="79">
        <f>IFERROR(_xlfn.RANK.EQ(INDEX(スコア表[],MATCH($C31,スコア表['#],0),MATCH(DA$5,スコア表[#Headers],0)),スコア表[R&amp;D],0),"-")</f>
        <v>6</v>
      </c>
      <c r="DB31" s="79">
        <f>IFERROR(_xlfn.RANK.EQ(INDEX(スコア表[],MATCH($C31,スコア表['#],0),MATCH(DB$5,スコア表[#Headers],0)),スコア表[Cultural Interaction],0),"-")</f>
        <v>11</v>
      </c>
      <c r="DC31" s="79">
        <f>IFERROR(_xlfn.RANK.EQ(INDEX(スコア表[],MATCH($C31,スコア表['#],0),MATCH(DC$5,スコア表[#Headers],0)),スコア表[Livability],0),"-")</f>
        <v>36</v>
      </c>
      <c r="DD31" s="79">
        <f>IFERROR(_xlfn.RANK.EQ(INDEX(スコア表[],MATCH($C31,スコア表['#],0),MATCH(DD$5,スコア表[#Headers],0)),スコア表[Environment],0),"-")</f>
        <v>14</v>
      </c>
      <c r="DE31" s="79">
        <f>IFERROR(_xlfn.RANK.EQ(INDEX(スコア表[],MATCH($C31,スコア表['#],0),MATCH(DE$5,スコア表[#Headers],0)),スコア表[Accessibility],0),"-")</f>
        <v>20</v>
      </c>
      <c r="DF31" s="81">
        <f>IFERROR(_xlfn.RANK.EQ(INDEX(スコア表[],MATCH($C31,スコア表['#],0),MATCH(DF$5,スコア表[#Headers],0)),スコア表[Comprehensive],0),"-")</f>
        <v>7</v>
      </c>
    </row>
    <row r="32" spans="1:110">
      <c r="A32" s="2">
        <v>27</v>
      </c>
      <c r="B32" s="58">
        <f>INDEX(順位表[Comprehensive],MATCH($C32,順位表['#],0))</f>
        <v>42</v>
      </c>
      <c r="C32" s="3">
        <v>27</v>
      </c>
      <c r="D32" s="1" t="str">
        <f>INDEX(都市マスタ[City Name],MATCH($C32,都市マスタ['#],0))</f>
        <v>Fukuoka</v>
      </c>
      <c r="E32" s="79">
        <f>IFERROR(_xlfn.RANK.EQ(INDEX(スコア表[],MATCH($C32,スコア表['#],0),MATCH(E$5,スコア表[#Headers],0)),スコア表[00a],0),"-")</f>
        <v>33</v>
      </c>
      <c r="F32" s="79">
        <f>IFERROR(_xlfn.RANK.EQ(INDEX(スコア表[],MATCH($C32,スコア表['#],0),MATCH(F$5,スコア表[#Headers],0)),スコア表[00b],0),"-")</f>
        <v>27</v>
      </c>
      <c r="G32" s="79">
        <f>IFERROR(_xlfn.RANK.EQ(INDEX(スコア表[],MATCH($C32,スコア表['#],0),MATCH(G$5,スコア表[#Headers],0)),スコア表[00c],0),"-")</f>
        <v>3</v>
      </c>
      <c r="H32" s="79">
        <f>IFERROR(_xlfn.RANK.EQ(INDEX(スコア表[],MATCH($C32,スコア表['#],0),MATCH(H$5,スコア表[#Headers],0)),スコア表[01],0),"-")</f>
        <v>41</v>
      </c>
      <c r="I32" s="79">
        <f>IFERROR(_xlfn.RANK.EQ(INDEX(スコア表[],MATCH($C32,スコア表['#],0),MATCH(I$5,スコア表[#Headers],0)),スコア表[02],0),"-")</f>
        <v>31</v>
      </c>
      <c r="J32" s="79">
        <f>IFERROR(_xlfn.RANK.EQ(INDEX(スコア表[],MATCH($C32,スコア表['#],0),MATCH(J$5,スコア表[#Headers],0)),スコア表[03],0),"-")</f>
        <v>48</v>
      </c>
      <c r="K32" s="79">
        <f>IFERROR(_xlfn.RANK.EQ(INDEX(スコア表[],MATCH($C32,スコア表['#],0),MATCH(K$5,スコア表[#Headers],0)),スコア表[04],0),"-")</f>
        <v>26</v>
      </c>
      <c r="L32" s="79">
        <f>IFERROR(_xlfn.RANK.EQ(INDEX(スコア表[],MATCH($C32,スコア表['#],0),MATCH(L$5,スコア表[#Headers],0)),スコア表[05],0),"-")</f>
        <v>36</v>
      </c>
      <c r="M32" s="79">
        <f>IFERROR(_xlfn.RANK.EQ(INDEX(スコア表[],MATCH($C32,スコア表['#],0),MATCH(M$5,スコア表[#Headers],0)),スコア表[06],0),"-")</f>
        <v>35</v>
      </c>
      <c r="N32" s="79">
        <f>IFERROR(_xlfn.RANK.EQ(INDEX(スコア表[],MATCH($C32,スコア表['#],0),MATCH(N$5,スコア表[#Headers],0)),スコア表[07],0),"-")</f>
        <v>32</v>
      </c>
      <c r="O32" s="79">
        <f>IFERROR(_xlfn.RANK.EQ(INDEX(スコア表[],MATCH($C32,スコア表['#],0),MATCH(O$5,スコア表[#Headers],0)),スコア表[08],0),"-")</f>
        <v>20</v>
      </c>
      <c r="P32" s="79">
        <f>IFERROR(_xlfn.RANK.EQ(INDEX(スコア表[],MATCH($C32,スコア表['#],0),MATCH(P$5,スコア表[#Headers],0)),スコア表[09],0),"-")</f>
        <v>36</v>
      </c>
      <c r="Q32" s="79">
        <f>IFERROR(_xlfn.RANK.EQ(INDEX(スコア表[],MATCH($C32,スコア表['#],0),MATCH(Q$5,スコア表[#Headers],0)),スコア表[10],0),"-")</f>
        <v>47</v>
      </c>
      <c r="R32" s="79">
        <f>IFERROR(_xlfn.RANK.EQ(INDEX(スコア表[],MATCH($C32,スコア表['#],0),MATCH(R$5,スコア表[#Headers],0)),スコア表[11],0),"-")</f>
        <v>38</v>
      </c>
      <c r="S32" s="79">
        <f>IFERROR(_xlfn.RANK.EQ(INDEX(スコア表[],MATCH($C32,スコア表['#],0),MATCH(S$5,スコア表[#Headers],0)),スコア表[12],0),"-")</f>
        <v>41</v>
      </c>
      <c r="T32" s="79">
        <f>IFERROR(_xlfn.RANK.EQ(INDEX(スコア表[],MATCH($C32,スコア表['#],0),MATCH(T$5,スコア表[#Headers],0)),スコア表[13],0),"-")</f>
        <v>26</v>
      </c>
      <c r="U32" s="79">
        <f>IFERROR(_xlfn.RANK.EQ(INDEX(スコア表[],MATCH($C32,スコア表['#],0),MATCH(U$5,スコア表[#Headers],0)),スコア表[14],0),"-")</f>
        <v>29</v>
      </c>
      <c r="V32" s="79">
        <f>IFERROR(_xlfn.RANK.EQ(INDEX(スコア表[],MATCH($C32,スコア表['#],0),MATCH(V$5,スコア表[#Headers],0)),スコア表[15],0),"-")</f>
        <v>37</v>
      </c>
      <c r="W32" s="79">
        <f>IFERROR(_xlfn.RANK.EQ(INDEX(スコア表[],MATCH($C32,スコア表['#],0),MATCH(W$5,スコア表[#Headers],0)),スコア表[16],0),"-")</f>
        <v>24</v>
      </c>
      <c r="X32" s="79">
        <f>IFERROR(_xlfn.RANK.EQ(INDEX(スコア表[],MATCH($C32,スコア表['#],0),MATCH(X$5,スコア表[#Headers],0)),スコア表[17],0),"-")</f>
        <v>43</v>
      </c>
      <c r="Y32" s="79">
        <f>IFERROR(_xlfn.RANK.EQ(INDEX(スコア表[],MATCH($C32,スコア表['#],0),MATCH(Y$5,スコア表[#Headers],0)),スコア表[18],0),"-")</f>
        <v>5</v>
      </c>
      <c r="Z32" s="79">
        <f>IFERROR(_xlfn.RANK.EQ(INDEX(スコア表[],MATCH($C32,スコア表['#],0),MATCH(Z$5,スコア表[#Headers],0)),スコア表[19],0),"-")</f>
        <v>18</v>
      </c>
      <c r="AA32" s="79">
        <f>IFERROR(_xlfn.RANK.EQ(INDEX(スコア表[],MATCH($C32,スコア表['#],0),MATCH(AA$5,スコア表[#Headers],0)),スコア表[20],0),"-")</f>
        <v>23</v>
      </c>
      <c r="AB32" s="79">
        <f>IFERROR(_xlfn.RANK.EQ(INDEX(スコア表[],MATCH($C32,スコア表['#],0),MATCH(AB$5,スコア表[#Headers],0)),スコア表[21],0),"-")</f>
        <v>48</v>
      </c>
      <c r="AC32" s="79">
        <f>IFERROR(_xlfn.RANK.EQ(INDEX(スコア表[],MATCH($C32,スコア表['#],0),MATCH(AC$5,スコア表[#Headers],0)),スコア表[22],0),"-")</f>
        <v>48</v>
      </c>
      <c r="AD32" s="79">
        <f>IFERROR(_xlfn.RANK.EQ(INDEX(スコア表[],MATCH($C32,スコア表['#],0),MATCH(AD$5,スコア表[#Headers],0)),スコア表[23],0),"-")</f>
        <v>47</v>
      </c>
      <c r="AE32" s="79">
        <f>IFERROR(_xlfn.RANK.EQ(INDEX(スコア表[],MATCH($C32,スコア表['#],0),MATCH(AE$5,スコア表[#Headers],0)),スコア表[24],0),"-")</f>
        <v>42</v>
      </c>
      <c r="AF32" s="79">
        <f>IFERROR(_xlfn.RANK.EQ(INDEX(スコア表[],MATCH($C32,スコア表['#],0),MATCH(AF$5,スコア表[#Headers],0)),スコア表[25],0),"-")</f>
        <v>47</v>
      </c>
      <c r="AG32" s="79">
        <f>IFERROR(_xlfn.RANK.EQ(INDEX(スコア表[],MATCH($C32,スコア表['#],0),MATCH(AG$5,スコア表[#Headers],0)),スコア表[26],0),"-")</f>
        <v>48</v>
      </c>
      <c r="AH32" s="79">
        <f>IFERROR(_xlfn.RANK.EQ(INDEX(スコア表[],MATCH($C32,スコア表['#],0),MATCH(AH$5,スコア表[#Headers],0)),スコア表[27],0),"-")</f>
        <v>15</v>
      </c>
      <c r="AI32" s="79">
        <f>IFERROR(_xlfn.RANK.EQ(INDEX(スコア表[],MATCH($C32,スコア表['#],0),MATCH(AI$5,スコア表[#Headers],0)),スコア表[28],0),"-")</f>
        <v>32</v>
      </c>
      <c r="AJ32" s="79">
        <f>IFERROR(_xlfn.RANK.EQ(INDEX(スコア表[],MATCH($C32,スコア表['#],0),MATCH(AJ$5,スコア表[#Headers],0)),スコア表[29],0),"-")</f>
        <v>43</v>
      </c>
      <c r="AK32" s="79">
        <f>IFERROR(_xlfn.RANK.EQ(INDEX(スコア表[],MATCH($C32,スコア表['#],0),MATCH(AK$5,スコア表[#Headers],0)),スコア表[30],0),"-")</f>
        <v>47</v>
      </c>
      <c r="AL32" s="79">
        <f>IFERROR(_xlfn.RANK.EQ(INDEX(スコア表[],MATCH($C32,スコア表['#],0),MATCH(AL$5,スコア表[#Headers],0)),スコア表[31],0),"-")</f>
        <v>44</v>
      </c>
      <c r="AM32" s="79">
        <f>IFERROR(_xlfn.RANK.EQ(INDEX(スコア表[],MATCH($C32,スコア表['#],0),MATCH(AM$5,スコア表[#Headers],0)),スコア表[32],0),"-")</f>
        <v>29</v>
      </c>
      <c r="AN32" s="79">
        <f>IFERROR(_xlfn.RANK.EQ(INDEX(スコア表[],MATCH($C32,スコア表['#],0),MATCH(AN$5,スコア表[#Headers],0)),スコア表[33],0),"-")</f>
        <v>48</v>
      </c>
      <c r="AO32" s="79">
        <f>IFERROR(_xlfn.RANK.EQ(INDEX(スコア表[],MATCH($C32,スコア表['#],0),MATCH(AO$5,スコア表[#Headers],0)),スコア表[34],0),"-")</f>
        <v>30</v>
      </c>
      <c r="AP32" s="79">
        <f>IFERROR(_xlfn.RANK.EQ(INDEX(スコア表[],MATCH($C32,スコア表['#],0),MATCH(AP$5,スコア表[#Headers],0)),スコア表[35],0),"-")</f>
        <v>16</v>
      </c>
      <c r="AQ32" s="79">
        <f>IFERROR(_xlfn.RANK.EQ(INDEX(スコア表[],MATCH($C32,スコア表['#],0),MATCH(AQ$5,スコア表[#Headers],0)),スコア表[36],0),"-")</f>
        <v>47</v>
      </c>
      <c r="AR32" s="79">
        <f>IFERROR(_xlfn.RANK.EQ(INDEX(スコア表[],MATCH($C32,スコア表['#],0),MATCH(AR$5,スコア表[#Headers],0)),スコア表[37],0),"-")</f>
        <v>42</v>
      </c>
      <c r="AS32" s="79">
        <f>IFERROR(_xlfn.RANK.EQ(INDEX(スコア表[],MATCH($C32,スコア表['#],0),MATCH(AS$5,スコア表[#Headers],0)),スコア表[38],0),"-")</f>
        <v>9</v>
      </c>
      <c r="AT32" s="79">
        <f>IFERROR(_xlfn.RANK.EQ(INDEX(スコア表[],MATCH($C32,スコア表['#],0),MATCH(AT$5,スコア表[#Headers],0)),スコア表[39],0),"-")</f>
        <v>24</v>
      </c>
      <c r="AU32" s="79">
        <f>IFERROR(_xlfn.RANK.EQ(INDEX(スコア表[],MATCH($C32,スコア表['#],0),MATCH(AU$5,スコア表[#Headers],0)),スコア表[40],0),"-")</f>
        <v>40</v>
      </c>
      <c r="AV32" s="79">
        <f>IFERROR(_xlfn.RANK.EQ(INDEX(スコア表[],MATCH($C32,スコア表['#],0),MATCH(AV$5,スコア表[#Headers],0)),スコア表[41],0),"-")</f>
        <v>6</v>
      </c>
      <c r="AW32" s="79">
        <f>IFERROR(_xlfn.RANK.EQ(INDEX(スコア表[],MATCH($C32,スコア表['#],0),MATCH(AW$5,スコア表[#Headers],0)),スコア表[42],0),"-")</f>
        <v>17</v>
      </c>
      <c r="AX32" s="79">
        <f>IFERROR(_xlfn.RANK.EQ(INDEX(スコア表[],MATCH($C32,スコア表['#],0),MATCH(AX$5,スコア表[#Headers],0)),スコア表[43],0),"-")</f>
        <v>13</v>
      </c>
      <c r="AY32" s="79">
        <f>IFERROR(_xlfn.RANK.EQ(INDEX(スコア表[],MATCH($C32,スコア表['#],0),MATCH(AY$5,スコア表[#Headers],0)),スコア表[44],0),"-")</f>
        <v>42</v>
      </c>
      <c r="AZ32" s="79">
        <f>IFERROR(_xlfn.RANK.EQ(INDEX(スコア表[],MATCH($C32,スコア表['#],0),MATCH(AZ$5,スコア表[#Headers],0)),スコア表[45],0),"-")</f>
        <v>2</v>
      </c>
      <c r="BA32" s="79">
        <f>IFERROR(_xlfn.RANK.EQ(INDEX(スコア表[],MATCH($C32,スコア表['#],0),MATCH(BA$5,スコア表[#Headers],0)),スコア表[46],0),"-")</f>
        <v>29</v>
      </c>
      <c r="BB32" s="79">
        <f>IFERROR(_xlfn.RANK.EQ(INDEX(スコア表[],MATCH($C32,スコア表['#],0),MATCH(BB$5,スコア表[#Headers],0)),スコア表[47],0),"-")</f>
        <v>32</v>
      </c>
      <c r="BC32" s="79">
        <f>IFERROR(_xlfn.RANK.EQ(INDEX(スコア表[],MATCH($C32,スコア表['#],0),MATCH(BC$5,スコア表[#Headers],0)),スコア表[48],0),"-")</f>
        <v>32</v>
      </c>
      <c r="BD32" s="79">
        <f>IFERROR(_xlfn.RANK.EQ(INDEX(スコア表[],MATCH($C32,スコア表['#],0),MATCH(BD$5,スコア表[#Headers],0)),スコア表[49],0),"-")</f>
        <v>28</v>
      </c>
      <c r="BE32" s="79">
        <f>IFERROR(_xlfn.RANK.EQ(INDEX(スコア表[],MATCH($C32,スコア表['#],0),MATCH(BE$5,スコア表[#Headers],0)),スコア表[50],0),"-")</f>
        <v>45</v>
      </c>
      <c r="BF32" s="79">
        <f>IFERROR(_xlfn.RANK.EQ(INDEX(スコア表[],MATCH($C32,スコア表['#],0),MATCH(BF$5,スコア表[#Headers],0)),スコア表[51],0),"-")</f>
        <v>48</v>
      </c>
      <c r="BG32" s="79">
        <f>IFERROR(_xlfn.RANK.EQ(INDEX(スコア表[],MATCH($C32,スコア表['#],0),MATCH(BG$5,スコア表[#Headers],0)),スコア表[52],0),"-")</f>
        <v>33</v>
      </c>
      <c r="BH32" s="79">
        <f>IFERROR(_xlfn.RANK.EQ(INDEX(スコア表[],MATCH($C32,スコア表['#],0),MATCH(BH$5,スコア表[#Headers],0)),スコア表[53],0),"-")</f>
        <v>36</v>
      </c>
      <c r="BI32" s="79">
        <f>IFERROR(_xlfn.RANK.EQ(INDEX(スコア表[],MATCH($C32,スコア表['#],0),MATCH(BI$5,スコア表[#Headers],0)),スコア表[54],0),"-")</f>
        <v>38</v>
      </c>
      <c r="BJ32" s="79">
        <f>IFERROR(_xlfn.RANK.EQ(INDEX(スコア表[],MATCH($C32,スコア表['#],0),MATCH(BJ$5,スコア表[#Headers],0)),スコア表[55],0),"-")</f>
        <v>22</v>
      </c>
      <c r="BK32" s="79">
        <f>IFERROR(_xlfn.RANK.EQ(INDEX(スコア表[],MATCH($C32,スコア表['#],0),MATCH(BK$5,スコア表[#Headers],0)),スコア表[56],0),"-")</f>
        <v>20</v>
      </c>
      <c r="BL32" s="79">
        <f>IFERROR(_xlfn.RANK.EQ(INDEX(スコア表[],MATCH($C32,スコア表['#],0),MATCH(BL$5,スコア表[#Headers],0)),スコア表[57],0),"-")</f>
        <v>16</v>
      </c>
      <c r="BM32" s="79">
        <f>IFERROR(_xlfn.RANK.EQ(INDEX(スコア表[],MATCH($C32,スコア表['#],0),MATCH(BM$5,スコア表[#Headers],0)),スコア表[58],0),"-")</f>
        <v>24</v>
      </c>
      <c r="BN32" s="79">
        <f>IFERROR(_xlfn.RANK.EQ(INDEX(スコア表[],MATCH($C32,スコア表['#],0),MATCH(BN$5,スコア表[#Headers],0)),スコア表[59],0),"-")</f>
        <v>23</v>
      </c>
      <c r="BO32" s="79">
        <f>IFERROR(_xlfn.RANK.EQ(INDEX(スコア表[],MATCH($C32,スコア表['#],0),MATCH(BO$5,スコア表[#Headers],0)),スコア表[60],0),"-")</f>
        <v>13</v>
      </c>
      <c r="BP32" s="79">
        <f>IFERROR(_xlfn.RANK.EQ(INDEX(スコア表[],MATCH($C32,スコア表['#],0),MATCH(BP$5,スコア表[#Headers],0)),スコア表[61],0),"-")</f>
        <v>48</v>
      </c>
      <c r="BQ32" s="79">
        <f>IFERROR(_xlfn.RANK.EQ(INDEX(スコア表[],MATCH($C32,スコア表['#],0),MATCH(BQ$5,スコア表[#Headers],0)),スコア表[62],0),"-")</f>
        <v>45</v>
      </c>
      <c r="BR32" s="79">
        <f>IFERROR(_xlfn.RANK.EQ(INDEX(スコア表[],MATCH($C32,スコア表['#],0),MATCH(BR$5,スコア表[#Headers],0)),スコア表[63],0),"-")</f>
        <v>42</v>
      </c>
      <c r="BS32" s="79">
        <f>IFERROR(_xlfn.RANK.EQ(INDEX(スコア表[],MATCH($C32,スコア表['#],0),MATCH(BS$5,スコア表[#Headers],0)),スコア表[64],0),"-")</f>
        <v>40</v>
      </c>
      <c r="BT32" s="79">
        <f>IFERROR(_xlfn.RANK.EQ(INDEX(スコア表[],MATCH($C32,スコア表['#],0),MATCH(BT$5,スコア表[#Headers],0)),スコア表[65],0),"-")</f>
        <v>38</v>
      </c>
      <c r="BU32" s="79">
        <f>IFERROR(_xlfn.RANK.EQ(INDEX(スコア表[],MATCH($C32,スコア表['#],0),MATCH(BU$5,スコア表[#Headers],0)),スコア表[66],0),"-")</f>
        <v>26</v>
      </c>
      <c r="BV32" s="79">
        <f>IFERROR(_xlfn.RANK.EQ(INDEX(スコア表[],MATCH($C32,スコア表['#],0),MATCH(BV$5,スコア表[#Headers],0)),スコア表[67],0),"-")</f>
        <v>1</v>
      </c>
      <c r="BW32" s="79">
        <f>IFERROR(_xlfn.RANK.EQ(INDEX(スコア表[],MATCH($C32,スコア表['#],0),MATCH(BW$5,スコア表[#Headers],0)),スコア表[68],0),"-")</f>
        <v>5</v>
      </c>
      <c r="BX32" s="79">
        <f>IFERROR(_xlfn.RANK.EQ(INDEX(スコア表[],MATCH($C32,スコア表['#],0),MATCH(BX$5,スコア表[#Headers],0)),スコア表[69],0),"-")</f>
        <v>36</v>
      </c>
      <c r="BY32" s="79">
        <f>IFERROR(_xlfn.RANK.EQ(INDEX(スコア表[],MATCH($C32,スコア表['#],0),MATCH(BY$5,スコア表[#Headers],0)),スコア表[70],0),"-")</f>
        <v>18</v>
      </c>
      <c r="BZ32" s="79">
        <f>IFERROR(_xlfn.RANK.EQ(INDEX(スコア表[],MATCH($C32,スコア表['#],0),MATCH(BZ$5,スコア表[#Headers],0)),スコア表[Ec1],0),"-")</f>
        <v>41</v>
      </c>
      <c r="CA32" s="79">
        <f>IFERROR(_xlfn.RANK.EQ(INDEX(スコア表[],MATCH($C32,スコア表['#],0),MATCH(CA$5,スコア表[#Headers],0)),スコア表[Ec2],0),"-")</f>
        <v>42</v>
      </c>
      <c r="CB32" s="79">
        <f>IFERROR(_xlfn.RANK.EQ(INDEX(スコア表[],MATCH($C32,スコア表['#],0),MATCH(CB$5,スコア表[#Headers],0)),スコア表[Ec3],0),"-")</f>
        <v>44</v>
      </c>
      <c r="CC32" s="79">
        <f>IFERROR(_xlfn.RANK.EQ(INDEX(スコア表[],MATCH($C32,スコア表['#],0),MATCH(CC$5,スコア表[#Headers],0)),スコア表[Ec4],0),"-")</f>
        <v>29</v>
      </c>
      <c r="CD32" s="79">
        <f>IFERROR(_xlfn.RANK.EQ(INDEX(スコア表[],MATCH($C32,スコア表['#],0),MATCH(CD$5,スコア表[#Headers],0)),スコア表[Ec5],0),"-")</f>
        <v>43</v>
      </c>
      <c r="CE32" s="79">
        <f>IFERROR(_xlfn.RANK.EQ(INDEX(スコア表[],MATCH($C32,スコア表['#],0),MATCH(CE$5,スコア表[#Headers],0)),スコア表[Ec6],0),"-")</f>
        <v>37</v>
      </c>
      <c r="CF32" s="79">
        <f>IFERROR(_xlfn.RANK.EQ(INDEX(スコア表[],MATCH($C32,スコア表['#],0),MATCH(CF$5,スコア表[#Headers],0)),スコア表[RD1],0),"-")</f>
        <v>36</v>
      </c>
      <c r="CG32" s="79">
        <f>IFERROR(_xlfn.RANK.EQ(INDEX(スコア表[],MATCH($C32,スコア表['#],0),MATCH(CG$5,スコア表[#Headers],0)),スコア表[RD2],0),"-")</f>
        <v>26</v>
      </c>
      <c r="CH32" s="79">
        <f>IFERROR(_xlfn.RANK.EQ(INDEX(スコア表[],MATCH($C32,スコア表['#],0),MATCH(CH$5,スコア表[#Headers],0)),スコア表[RD3],0),"-")</f>
        <v>32</v>
      </c>
      <c r="CI32" s="79">
        <f>IFERROR(_xlfn.RANK.EQ(INDEX(スコア表[],MATCH($C32,スコア表['#],0),MATCH(CI$5,スコア表[#Headers],0)),スコア表[CI1],0),"-")</f>
        <v>48</v>
      </c>
      <c r="CJ32" s="79">
        <f>IFERROR(_xlfn.RANK.EQ(INDEX(スコア表[],MATCH($C32,スコア表['#],0),MATCH(CJ$5,スコア表[#Headers],0)),スコア表[CI2],0),"-")</f>
        <v>41</v>
      </c>
      <c r="CK32" s="79">
        <f>IFERROR(_xlfn.RANK.EQ(INDEX(スコア表[],MATCH($C32,スコア表['#],0),MATCH(CK$5,スコア表[#Headers],0)),スコア表[CI3],0),"-")</f>
        <v>48</v>
      </c>
      <c r="CL32" s="79">
        <f>IFERROR(_xlfn.RANK.EQ(INDEX(スコア表[],MATCH($C32,スコア表['#],0),MATCH(CL$5,スコア表[#Headers],0)),スコア表[CI4],0),"-")</f>
        <v>30</v>
      </c>
      <c r="CM32" s="79">
        <f>IFERROR(_xlfn.RANK.EQ(INDEX(スコア表[],MATCH($C32,スコア表['#],0),MATCH(CM$5,スコア表[#Headers],0)),スコア表[CI5],0),"-")</f>
        <v>45</v>
      </c>
      <c r="CN32" s="79">
        <f>IFERROR(_xlfn.RANK.EQ(INDEX(スコア表[],MATCH($C32,スコア表['#],0),MATCH(CN$5,スコア表[#Headers],0)),スコア表[Li1],0),"-")</f>
        <v>33</v>
      </c>
      <c r="CO32" s="79">
        <f>IFERROR(_xlfn.RANK.EQ(INDEX(スコア表[],MATCH($C32,スコア表['#],0),MATCH(CO$5,スコア表[#Headers],0)),スコア表[Li2],0),"-")</f>
        <v>10</v>
      </c>
      <c r="CP32" s="79">
        <f>IFERROR(_xlfn.RANK.EQ(INDEX(スコア表[],MATCH($C32,スコア表['#],0),MATCH(CP$5,スコア表[#Headers],0)),スコア表[Li3],0),"-")</f>
        <v>30</v>
      </c>
      <c r="CQ32" s="79">
        <f>IFERROR(_xlfn.RANK.EQ(INDEX(スコア表[],MATCH($C32,スコア表['#],0),MATCH(CQ$5,スコア表[#Headers],0)),スコア表[Li4],0),"-")</f>
        <v>23</v>
      </c>
      <c r="CR32" s="79">
        <f>IFERROR(_xlfn.RANK.EQ(INDEX(スコア表[],MATCH($C32,スコア表['#],0),MATCH(CR$5,スコア表[#Headers],0)),スコア表[Li5],0),"-")</f>
        <v>44</v>
      </c>
      <c r="CS32" s="79">
        <f>IFERROR(_xlfn.RANK.EQ(INDEX(スコア表[],MATCH($C32,スコア表['#],0),MATCH(CS$5,スコア表[#Headers],0)),スコア表[En1],0),"-")</f>
        <v>44</v>
      </c>
      <c r="CT32" s="79">
        <f>IFERROR(_xlfn.RANK.EQ(INDEX(スコア表[],MATCH($C32,スコア表['#],0),MATCH(CT$5,スコア表[#Headers],0)),スコア表[En2],0),"-")</f>
        <v>12</v>
      </c>
      <c r="CU32" s="79">
        <f>IFERROR(_xlfn.RANK.EQ(INDEX(スコア表[],MATCH($C32,スコア表['#],0),MATCH(CU$5,スコア表[#Headers],0)),スコア表[En3],0),"-")</f>
        <v>19</v>
      </c>
      <c r="CV32" s="79">
        <f>IFERROR(_xlfn.RANK.EQ(INDEX(スコア表[],MATCH($C32,スコア表['#],0),MATCH(CV$5,スコア表[#Headers],0)),スコア表[Ac1],0),"-")</f>
        <v>48</v>
      </c>
      <c r="CW32" s="79">
        <f>IFERROR(_xlfn.RANK.EQ(INDEX(スコア表[],MATCH($C32,スコア表['#],0),MATCH(CW$5,スコア表[#Headers],0)),スコア表[Ac2],0),"-")</f>
        <v>42</v>
      </c>
      <c r="CX32" s="79">
        <f>IFERROR(_xlfn.RANK.EQ(INDEX(スコア表[],MATCH($C32,スコア表['#],0),MATCH(CX$5,スコア表[#Headers],0)),スコア表[Ac3],0),"-")</f>
        <v>15</v>
      </c>
      <c r="CY32" s="79">
        <f>IFERROR(_xlfn.RANK.EQ(INDEX(スコア表[],MATCH($C32,スコア表['#],0),MATCH(CY$5,スコア表[#Headers],0)),スコア表[Ac4],0),"-")</f>
        <v>10</v>
      </c>
      <c r="CZ32" s="79">
        <f>IFERROR(_xlfn.RANK.EQ(INDEX(スコア表[],MATCH($C32,スコア表['#],0),MATCH(CZ$5,スコア表[#Headers],0)),スコア表[Economy],0),"-")</f>
        <v>42</v>
      </c>
      <c r="DA32" s="79">
        <f>IFERROR(_xlfn.RANK.EQ(INDEX(スコア表[],MATCH($C32,スコア表['#],0),MATCH(DA$5,スコア表[#Headers],0)),スコア表[R&amp;D],0),"-")</f>
        <v>32</v>
      </c>
      <c r="DB32" s="79">
        <f>IFERROR(_xlfn.RANK.EQ(INDEX(スコア表[],MATCH($C32,スコア表['#],0),MATCH(DB$5,スコア表[#Headers],0)),スコア表[Cultural Interaction],0),"-")</f>
        <v>47</v>
      </c>
      <c r="DC32" s="79">
        <f>IFERROR(_xlfn.RANK.EQ(INDEX(スコア表[],MATCH($C32,スコア表['#],0),MATCH(DC$5,スコア表[#Headers],0)),スコア表[Livability],0),"-")</f>
        <v>23</v>
      </c>
      <c r="DD32" s="79">
        <f>IFERROR(_xlfn.RANK.EQ(INDEX(スコア表[],MATCH($C32,スコア表['#],0),MATCH(DD$5,スコア表[#Headers],0)),スコア表[Environment],0),"-")</f>
        <v>20</v>
      </c>
      <c r="DE32" s="79">
        <f>IFERROR(_xlfn.RANK.EQ(INDEX(スコア表[],MATCH($C32,スコア表['#],0),MATCH(DE$5,スコア表[#Headers],0)),スコア表[Accessibility],0),"-")</f>
        <v>32</v>
      </c>
      <c r="DF32" s="81">
        <f>IFERROR(_xlfn.RANK.EQ(INDEX(スコア表[],MATCH($C32,スコア表['#],0),MATCH(DF$5,スコア表[#Headers],0)),スコア表[Comprehensive],0),"-")</f>
        <v>42</v>
      </c>
    </row>
    <row r="33" spans="1:110">
      <c r="A33" s="2">
        <v>28</v>
      </c>
      <c r="B33" s="58">
        <f>INDEX(順位表[Comprehensive],MATCH($C33,順位表['#],0))</f>
        <v>37</v>
      </c>
      <c r="C33" s="3">
        <v>28</v>
      </c>
      <c r="D33" s="1" t="str">
        <f>INDEX(都市マスタ[City Name],MATCH($C33,都市マスタ['#],0))</f>
        <v>Osaka</v>
      </c>
      <c r="E33" s="79">
        <f>IFERROR(_xlfn.RANK.EQ(INDEX(スコア表[],MATCH($C33,スコア表['#],0),MATCH(E$5,スコア表[#Headers],0)),スコア表[00a],0),"-")</f>
        <v>26</v>
      </c>
      <c r="F33" s="79">
        <f>IFERROR(_xlfn.RANK.EQ(INDEX(スコア表[],MATCH($C33,スコア表['#],0),MATCH(F$5,スコア表[#Headers],0)),スコア表[00b],0),"-")</f>
        <v>31</v>
      </c>
      <c r="G33" s="79">
        <f>IFERROR(_xlfn.RANK.EQ(INDEX(スコア表[],MATCH($C33,スコア表['#],0),MATCH(G$5,スコア表[#Headers],0)),スコア表[00c],0),"-")</f>
        <v>3</v>
      </c>
      <c r="H33" s="79">
        <f>IFERROR(_xlfn.RANK.EQ(INDEX(スコア表[],MATCH($C33,スコア表['#],0),MATCH(H$5,スコア表[#Headers],0)),スコア表[01],0),"-")</f>
        <v>18</v>
      </c>
      <c r="I33" s="79">
        <f>IFERROR(_xlfn.RANK.EQ(INDEX(スコア表[],MATCH($C33,スコア表['#],0),MATCH(I$5,スコア表[#Headers],0)),スコア表[02],0),"-")</f>
        <v>21</v>
      </c>
      <c r="J33" s="79">
        <f>IFERROR(_xlfn.RANK.EQ(INDEX(スコア表[],MATCH($C33,スコア表['#],0),MATCH(J$5,スコア表[#Headers],0)),スコア表[03],0),"-")</f>
        <v>46</v>
      </c>
      <c r="K33" s="79">
        <f>IFERROR(_xlfn.RANK.EQ(INDEX(スコア表[],MATCH($C33,スコア表['#],0),MATCH(K$5,スコア表[#Headers],0)),スコア表[04],0),"-")</f>
        <v>26</v>
      </c>
      <c r="L33" s="79">
        <f>IFERROR(_xlfn.RANK.EQ(INDEX(スコア表[],MATCH($C33,スコア表['#],0),MATCH(L$5,スコア表[#Headers],0)),スコア表[05],0),"-")</f>
        <v>36</v>
      </c>
      <c r="M33" s="79">
        <f>IFERROR(_xlfn.RANK.EQ(INDEX(スコア表[],MATCH($C33,スコア表['#],0),MATCH(M$5,スコア表[#Headers],0)),スコア表[06],0),"-")</f>
        <v>15</v>
      </c>
      <c r="N33" s="79">
        <f>IFERROR(_xlfn.RANK.EQ(INDEX(スコア表[],MATCH($C33,スコア表['#],0),MATCH(N$5,スコア表[#Headers],0)),スコア表[07],0),"-")</f>
        <v>20</v>
      </c>
      <c r="O33" s="79">
        <f>IFERROR(_xlfn.RANK.EQ(INDEX(スコア表[],MATCH($C33,スコア表['#],0),MATCH(O$5,スコア表[#Headers],0)),スコア表[08],0),"-")</f>
        <v>18</v>
      </c>
      <c r="P33" s="79">
        <f>IFERROR(_xlfn.RANK.EQ(INDEX(スコア表[],MATCH($C33,スコア表['#],0),MATCH(P$5,スコア表[#Headers],0)),スコア表[09],0),"-")</f>
        <v>31</v>
      </c>
      <c r="Q33" s="79">
        <f>IFERROR(_xlfn.RANK.EQ(INDEX(スコア表[],MATCH($C33,スコア表['#],0),MATCH(Q$5,スコア表[#Headers],0)),スコア表[10],0),"-")</f>
        <v>45</v>
      </c>
      <c r="R33" s="79">
        <f>IFERROR(_xlfn.RANK.EQ(INDEX(スコア表[],MATCH($C33,スコア表['#],0),MATCH(R$5,スコア表[#Headers],0)),スコア表[11],0),"-")</f>
        <v>30</v>
      </c>
      <c r="S33" s="79">
        <f>IFERROR(_xlfn.RANK.EQ(INDEX(スコア表[],MATCH($C33,スコア表['#],0),MATCH(S$5,スコア表[#Headers],0)),スコア表[12],0),"-")</f>
        <v>41</v>
      </c>
      <c r="T33" s="79">
        <f>IFERROR(_xlfn.RANK.EQ(INDEX(スコア表[],MATCH($C33,スコア表['#],0),MATCH(T$5,スコア表[#Headers],0)),スコア表[13],0),"-")</f>
        <v>25</v>
      </c>
      <c r="U33" s="79">
        <f>IFERROR(_xlfn.RANK.EQ(INDEX(スコア表[],MATCH($C33,スコア表['#],0),MATCH(U$5,スコア表[#Headers],0)),スコア表[14],0),"-")</f>
        <v>16</v>
      </c>
      <c r="V33" s="79">
        <f>IFERROR(_xlfn.RANK.EQ(INDEX(スコア表[],MATCH($C33,スコア表['#],0),MATCH(V$5,スコア表[#Headers],0)),スコア表[15],0),"-")</f>
        <v>25</v>
      </c>
      <c r="W33" s="79">
        <f>IFERROR(_xlfn.RANK.EQ(INDEX(スコア表[],MATCH($C33,スコア表['#],0),MATCH(W$5,スコア表[#Headers],0)),スコア表[16],0),"-")</f>
        <v>13</v>
      </c>
      <c r="X33" s="79">
        <f>IFERROR(_xlfn.RANK.EQ(INDEX(スコア表[],MATCH($C33,スコア表['#],0),MATCH(X$5,スコア表[#Headers],0)),スコア表[17],0),"-")</f>
        <v>37</v>
      </c>
      <c r="Y33" s="79">
        <f>IFERROR(_xlfn.RANK.EQ(INDEX(スコア表[],MATCH($C33,スコア表['#],0),MATCH(Y$5,スコア表[#Headers],0)),スコア表[18],0),"-")</f>
        <v>5</v>
      </c>
      <c r="Z33" s="79">
        <f>IFERROR(_xlfn.RANK.EQ(INDEX(スコア表[],MATCH($C33,スコア表['#],0),MATCH(Z$5,スコア表[#Headers],0)),スコア表[19],0),"-")</f>
        <v>6</v>
      </c>
      <c r="AA33" s="79">
        <f>IFERROR(_xlfn.RANK.EQ(INDEX(スコア表[],MATCH($C33,スコア表['#],0),MATCH(AA$5,スコア表[#Headers],0)),スコア表[20],0),"-")</f>
        <v>10</v>
      </c>
      <c r="AB33" s="79">
        <f>IFERROR(_xlfn.RANK.EQ(INDEX(スコア表[],MATCH($C33,スコア表['#],0),MATCH(AB$5,スコア表[#Headers],0)),スコア表[21],0),"-")</f>
        <v>47</v>
      </c>
      <c r="AC33" s="79">
        <f>IFERROR(_xlfn.RANK.EQ(INDEX(スコア表[],MATCH($C33,スコア表['#],0),MATCH(AC$5,スコア表[#Headers],0)),スコア表[22],0),"-")</f>
        <v>43</v>
      </c>
      <c r="AD33" s="79">
        <f>IFERROR(_xlfn.RANK.EQ(INDEX(スコア表[],MATCH($C33,スコア表['#],0),MATCH(AD$5,スコア表[#Headers],0)),スコア表[23],0),"-")</f>
        <v>27</v>
      </c>
      <c r="AE33" s="79">
        <f>IFERROR(_xlfn.RANK.EQ(INDEX(スコア表[],MATCH($C33,スコア表['#],0),MATCH(AE$5,スコア表[#Headers],0)),スコア表[24],0),"-")</f>
        <v>33</v>
      </c>
      <c r="AF33" s="79">
        <f>IFERROR(_xlfn.RANK.EQ(INDEX(スコア表[],MATCH($C33,スコア表['#],0),MATCH(AF$5,スコア表[#Headers],0)),スコア表[25],0),"-")</f>
        <v>44</v>
      </c>
      <c r="AG33" s="79">
        <f>IFERROR(_xlfn.RANK.EQ(INDEX(スコア表[],MATCH($C33,スコア表['#],0),MATCH(AG$5,スコア表[#Headers],0)),スコア表[26],0),"-")</f>
        <v>43</v>
      </c>
      <c r="AH33" s="79">
        <f>IFERROR(_xlfn.RANK.EQ(INDEX(スコア表[],MATCH($C33,スコア表['#],0),MATCH(AH$5,スコア表[#Headers],0)),スコア表[27],0),"-")</f>
        <v>7</v>
      </c>
      <c r="AI33" s="79">
        <f>IFERROR(_xlfn.RANK.EQ(INDEX(スコア表[],MATCH($C33,スコア表['#],0),MATCH(AI$5,スコア表[#Headers],0)),スコア表[28],0),"-")</f>
        <v>40</v>
      </c>
      <c r="AJ33" s="79">
        <f>IFERROR(_xlfn.RANK.EQ(INDEX(スコア表[],MATCH($C33,スコア表['#],0),MATCH(AJ$5,スコア表[#Headers],0)),スコア表[29],0),"-")</f>
        <v>11</v>
      </c>
      <c r="AK33" s="79">
        <f>IFERROR(_xlfn.RANK.EQ(INDEX(スコア表[],MATCH($C33,スコア表['#],0),MATCH(AK$5,スコア表[#Headers],0)),スコア表[30],0),"-")</f>
        <v>35</v>
      </c>
      <c r="AL33" s="79">
        <f>IFERROR(_xlfn.RANK.EQ(INDEX(スコア表[],MATCH($C33,スコア表['#],0),MATCH(AL$5,スコア表[#Headers],0)),スコア表[31],0),"-")</f>
        <v>19</v>
      </c>
      <c r="AM33" s="79">
        <f>IFERROR(_xlfn.RANK.EQ(INDEX(スコア表[],MATCH($C33,スコア表['#],0),MATCH(AM$5,スコア表[#Headers],0)),スコア表[32],0),"-")</f>
        <v>6</v>
      </c>
      <c r="AN33" s="79">
        <f>IFERROR(_xlfn.RANK.EQ(INDEX(スコア表[],MATCH($C33,スコア表['#],0),MATCH(AN$5,スコア表[#Headers],0)),スコア表[33],0),"-")</f>
        <v>36</v>
      </c>
      <c r="AO33" s="79">
        <f>IFERROR(_xlfn.RANK.EQ(INDEX(スコア表[],MATCH($C33,スコア表['#],0),MATCH(AO$5,スコア表[#Headers],0)),スコア表[34],0),"-")</f>
        <v>20</v>
      </c>
      <c r="AP33" s="79">
        <f>IFERROR(_xlfn.RANK.EQ(INDEX(スコア表[],MATCH($C33,スコア表['#],0),MATCH(AP$5,スコア表[#Headers],0)),スコア表[35],0),"-")</f>
        <v>11</v>
      </c>
      <c r="AQ33" s="79">
        <f>IFERROR(_xlfn.RANK.EQ(INDEX(スコア表[],MATCH($C33,スコア表['#],0),MATCH(AQ$5,スコア表[#Headers],0)),スコア表[36],0),"-")</f>
        <v>29</v>
      </c>
      <c r="AR33" s="79">
        <f>IFERROR(_xlfn.RANK.EQ(INDEX(スコア表[],MATCH($C33,スコア表['#],0),MATCH(AR$5,スコア表[#Headers],0)),スコア表[37],0),"-")</f>
        <v>20</v>
      </c>
      <c r="AS33" s="79">
        <f>IFERROR(_xlfn.RANK.EQ(INDEX(スコア表[],MATCH($C33,スコア表['#],0),MATCH(AS$5,スコア表[#Headers],0)),スコア表[38],0),"-")</f>
        <v>10</v>
      </c>
      <c r="AT33" s="79">
        <f>IFERROR(_xlfn.RANK.EQ(INDEX(スコア表[],MATCH($C33,スコア表['#],0),MATCH(AT$5,スコア表[#Headers],0)),スコア表[39],0),"-")</f>
        <v>18</v>
      </c>
      <c r="AU33" s="79">
        <f>IFERROR(_xlfn.RANK.EQ(INDEX(スコア表[],MATCH($C33,スコア表['#],0),MATCH(AU$5,スコア表[#Headers],0)),スコア表[40],0),"-")</f>
        <v>41</v>
      </c>
      <c r="AV33" s="79">
        <f>IFERROR(_xlfn.RANK.EQ(INDEX(スコア表[],MATCH($C33,スコア表['#],0),MATCH(AV$5,スコア表[#Headers],0)),スコア表[41],0),"-")</f>
        <v>10</v>
      </c>
      <c r="AW33" s="79">
        <f>IFERROR(_xlfn.RANK.EQ(INDEX(スコア表[],MATCH($C33,スコア表['#],0),MATCH(AW$5,スコア表[#Headers],0)),スコア表[42],0),"-")</f>
        <v>21</v>
      </c>
      <c r="AX33" s="79">
        <f>IFERROR(_xlfn.RANK.EQ(INDEX(スコア表[],MATCH($C33,スコア表['#],0),MATCH(AX$5,スコア表[#Headers],0)),スコア表[43],0),"-")</f>
        <v>31</v>
      </c>
      <c r="AY33" s="79">
        <f>IFERROR(_xlfn.RANK.EQ(INDEX(スコア表[],MATCH($C33,スコア表['#],0),MATCH(AY$5,スコア表[#Headers],0)),スコア表[44],0),"-")</f>
        <v>44</v>
      </c>
      <c r="AZ33" s="79">
        <f>IFERROR(_xlfn.RANK.EQ(INDEX(スコア表[],MATCH($C33,スコア表['#],0),MATCH(AZ$5,スコア表[#Headers],0)),スコア表[45],0),"-")</f>
        <v>2</v>
      </c>
      <c r="BA33" s="79">
        <f>IFERROR(_xlfn.RANK.EQ(INDEX(スコア表[],MATCH($C33,スコア表['#],0),MATCH(BA$5,スコア表[#Headers],0)),スコア表[46],0),"-")</f>
        <v>29</v>
      </c>
      <c r="BB33" s="79">
        <f>IFERROR(_xlfn.RANK.EQ(INDEX(スコア表[],MATCH($C33,スコア表['#],0),MATCH(BB$5,スコア表[#Headers],0)),スコア表[47],0),"-")</f>
        <v>32</v>
      </c>
      <c r="BC33" s="79">
        <f>IFERROR(_xlfn.RANK.EQ(INDEX(スコア表[],MATCH($C33,スコア表['#],0),MATCH(BC$5,スコア表[#Headers],0)),スコア表[48],0),"-")</f>
        <v>19</v>
      </c>
      <c r="BD33" s="79">
        <f>IFERROR(_xlfn.RANK.EQ(INDEX(スコア表[],MATCH($C33,スコア表['#],0),MATCH(BD$5,スコア表[#Headers],0)),スコア表[49],0),"-")</f>
        <v>28</v>
      </c>
      <c r="BE33" s="79">
        <f>IFERROR(_xlfn.RANK.EQ(INDEX(スコア表[],MATCH($C33,スコア表['#],0),MATCH(BE$5,スコア表[#Headers],0)),スコア表[50],0),"-")</f>
        <v>13</v>
      </c>
      <c r="BF33" s="79">
        <f>IFERROR(_xlfn.RANK.EQ(INDEX(スコア表[],MATCH($C33,スコア表['#],0),MATCH(BF$5,スコア表[#Headers],0)),スコア表[51],0),"-")</f>
        <v>13</v>
      </c>
      <c r="BG33" s="79">
        <f>IFERROR(_xlfn.RANK.EQ(INDEX(スコア表[],MATCH($C33,スコア表['#],0),MATCH(BG$5,スコア表[#Headers],0)),スコア表[52],0),"-")</f>
        <v>41</v>
      </c>
      <c r="BH33" s="79">
        <f>IFERROR(_xlfn.RANK.EQ(INDEX(スコア表[],MATCH($C33,スコア表['#],0),MATCH(BH$5,スコア表[#Headers],0)),スコア表[53],0),"-")</f>
        <v>36</v>
      </c>
      <c r="BI33" s="79">
        <f>IFERROR(_xlfn.RANK.EQ(INDEX(スコア表[],MATCH($C33,スコア表['#],0),MATCH(BI$5,スコア表[#Headers],0)),スコア表[54],0),"-")</f>
        <v>38</v>
      </c>
      <c r="BJ33" s="79">
        <f>IFERROR(_xlfn.RANK.EQ(INDEX(スコア表[],MATCH($C33,スコア表['#],0),MATCH(BJ$5,スコア表[#Headers],0)),スコア表[55],0),"-")</f>
        <v>32</v>
      </c>
      <c r="BK33" s="79">
        <f>IFERROR(_xlfn.RANK.EQ(INDEX(スコア表[],MATCH($C33,スコア表['#],0),MATCH(BK$5,スコア表[#Headers],0)),スコア表[56],0),"-")</f>
        <v>19</v>
      </c>
      <c r="BL33" s="79">
        <f>IFERROR(_xlfn.RANK.EQ(INDEX(スコア表[],MATCH($C33,スコア表['#],0),MATCH(BL$5,スコア表[#Headers],0)),スコア表[57],0),"-")</f>
        <v>27</v>
      </c>
      <c r="BM33" s="79">
        <f>IFERROR(_xlfn.RANK.EQ(INDEX(スコア表[],MATCH($C33,スコア表['#],0),MATCH(BM$5,スコア表[#Headers],0)),スコア表[58],0),"-")</f>
        <v>33</v>
      </c>
      <c r="BN33" s="79">
        <f>IFERROR(_xlfn.RANK.EQ(INDEX(スコア表[],MATCH($C33,スコア表['#],0),MATCH(BN$5,スコア表[#Headers],0)),スコア表[59],0),"-")</f>
        <v>46</v>
      </c>
      <c r="BO33" s="79">
        <f>IFERROR(_xlfn.RANK.EQ(INDEX(スコア表[],MATCH($C33,スコア表['#],0),MATCH(BO$5,スコア表[#Headers],0)),スコア表[60],0),"-")</f>
        <v>25</v>
      </c>
      <c r="BP33" s="79">
        <f>IFERROR(_xlfn.RANK.EQ(INDEX(スコア表[],MATCH($C33,スコア表['#],0),MATCH(BP$5,スコア表[#Headers],0)),スコア表[61],0),"-")</f>
        <v>47</v>
      </c>
      <c r="BQ33" s="79">
        <f>IFERROR(_xlfn.RANK.EQ(INDEX(スコア表[],MATCH($C33,スコア表['#],0),MATCH(BQ$5,スコア表[#Headers],0)),スコア表[62],0),"-")</f>
        <v>18</v>
      </c>
      <c r="BR33" s="79">
        <f>IFERROR(_xlfn.RANK.EQ(INDEX(スコア表[],MATCH($C33,スコア表['#],0),MATCH(BR$5,スコア表[#Headers],0)),スコア表[63],0),"-")</f>
        <v>46</v>
      </c>
      <c r="BS33" s="79">
        <f>IFERROR(_xlfn.RANK.EQ(INDEX(スコア表[],MATCH($C33,スコア表['#],0),MATCH(BS$5,スコア表[#Headers],0)),スコア表[64],0),"-")</f>
        <v>46</v>
      </c>
      <c r="BT33" s="79">
        <f>IFERROR(_xlfn.RANK.EQ(INDEX(スコア表[],MATCH($C33,スコア表['#],0),MATCH(BT$5,スコア表[#Headers],0)),スコア表[65],0),"-")</f>
        <v>10</v>
      </c>
      <c r="BU33" s="79">
        <f>IFERROR(_xlfn.RANK.EQ(INDEX(スコア表[],MATCH($C33,スコア表['#],0),MATCH(BU$5,スコア表[#Headers],0)),スコア表[66],0),"-")</f>
        <v>4</v>
      </c>
      <c r="BV33" s="79">
        <f>IFERROR(_xlfn.RANK.EQ(INDEX(スコア表[],MATCH($C33,スコア表['#],0),MATCH(BV$5,スコア表[#Headers],0)),スコア表[67],0),"-")</f>
        <v>44</v>
      </c>
      <c r="BW33" s="79">
        <f>IFERROR(_xlfn.RANK.EQ(INDEX(スコア表[],MATCH($C33,スコア表['#],0),MATCH(BW$5,スコア表[#Headers],0)),スコア表[68],0),"-")</f>
        <v>13</v>
      </c>
      <c r="BX33" s="79">
        <f>IFERROR(_xlfn.RANK.EQ(INDEX(スコア表[],MATCH($C33,スコア表['#],0),MATCH(BX$5,スコア表[#Headers],0)),スコア表[69],0),"-")</f>
        <v>25</v>
      </c>
      <c r="BY33" s="79">
        <f>IFERROR(_xlfn.RANK.EQ(INDEX(スコア表[],MATCH($C33,スコア表['#],0),MATCH(BY$5,スコア表[#Headers],0)),スコア表[70],0),"-")</f>
        <v>26</v>
      </c>
      <c r="BZ33" s="79">
        <f>IFERROR(_xlfn.RANK.EQ(INDEX(スコア表[],MATCH($C33,スコア表['#],0),MATCH(BZ$5,スコア表[#Headers],0)),スコア表[Ec1],0),"-")</f>
        <v>23</v>
      </c>
      <c r="CA33" s="79">
        <f>IFERROR(_xlfn.RANK.EQ(INDEX(スコア表[],MATCH($C33,スコア表['#],0),MATCH(CA$5,スコア表[#Headers],0)),スコア表[Ec2],0),"-")</f>
        <v>40</v>
      </c>
      <c r="CB33" s="79">
        <f>IFERROR(_xlfn.RANK.EQ(INDEX(スコア表[],MATCH($C33,スコア表['#],0),MATCH(CB$5,スコア表[#Headers],0)),スコア表[Ec3],0),"-")</f>
        <v>19</v>
      </c>
      <c r="CC33" s="79">
        <f>IFERROR(_xlfn.RANK.EQ(INDEX(スコア表[],MATCH($C33,スコア表['#],0),MATCH(CC$5,スコア表[#Headers],0)),スコア表[Ec4],0),"-")</f>
        <v>13</v>
      </c>
      <c r="CD33" s="79">
        <f>IFERROR(_xlfn.RANK.EQ(INDEX(スコア表[],MATCH($C33,スコア表['#],0),MATCH(CD$5,スコア表[#Headers],0)),スコア表[Ec5],0),"-")</f>
        <v>39</v>
      </c>
      <c r="CE33" s="79">
        <f>IFERROR(_xlfn.RANK.EQ(INDEX(スコア表[],MATCH($C33,スコア表['#],0),MATCH(CE$5,スコア表[#Headers],0)),スコア表[Ec6],0),"-")</f>
        <v>35</v>
      </c>
      <c r="CF33" s="79">
        <f>IFERROR(_xlfn.RANK.EQ(INDEX(スコア表[],MATCH($C33,スコア表['#],0),MATCH(CF$5,スコア表[#Headers],0)),スコア表[RD1],0),"-")</f>
        <v>22</v>
      </c>
      <c r="CG33" s="79">
        <f>IFERROR(_xlfn.RANK.EQ(INDEX(スコア表[],MATCH($C33,スコア表['#],0),MATCH(CG$5,スコア表[#Headers],0)),スコア表[RD2],0),"-")</f>
        <v>21</v>
      </c>
      <c r="CH33" s="79">
        <f>IFERROR(_xlfn.RANK.EQ(INDEX(スコア表[],MATCH($C33,スコア表['#],0),MATCH(CH$5,スコア表[#Headers],0)),スコア表[RD3],0),"-")</f>
        <v>11</v>
      </c>
      <c r="CI33" s="79">
        <f>IFERROR(_xlfn.RANK.EQ(INDEX(スコア表[],MATCH($C33,スコア表['#],0),MATCH(CI$5,スコア表[#Headers],0)),スコア表[CI1],0),"-")</f>
        <v>41</v>
      </c>
      <c r="CJ33" s="79">
        <f>IFERROR(_xlfn.RANK.EQ(INDEX(スコア表[],MATCH($C33,スコア表['#],0),MATCH(CJ$5,スコア表[#Headers],0)),スコア表[CI2],0),"-")</f>
        <v>30</v>
      </c>
      <c r="CK33" s="79">
        <f>IFERROR(_xlfn.RANK.EQ(INDEX(スコア表[],MATCH($C33,スコア表['#],0),MATCH(CK$5,スコア表[#Headers],0)),スコア表[CI3],0),"-")</f>
        <v>20</v>
      </c>
      <c r="CL33" s="79">
        <f>IFERROR(_xlfn.RANK.EQ(INDEX(スコア表[],MATCH($C33,スコア表['#],0),MATCH(CL$5,スコア表[#Headers],0)),スコア表[CI4],0),"-")</f>
        <v>15</v>
      </c>
      <c r="CM33" s="79">
        <f>IFERROR(_xlfn.RANK.EQ(INDEX(スコア表[],MATCH($C33,スコア表['#],0),MATCH(CM$5,スコア表[#Headers],0)),スコア表[CI5],0),"-")</f>
        <v>30</v>
      </c>
      <c r="CN33" s="79">
        <f>IFERROR(_xlfn.RANK.EQ(INDEX(スコア表[],MATCH($C33,スコア表['#],0),MATCH(CN$5,スコア表[#Headers],0)),スコア表[Li1],0),"-")</f>
        <v>36</v>
      </c>
      <c r="CO33" s="79">
        <f>IFERROR(_xlfn.RANK.EQ(INDEX(スコア表[],MATCH($C33,スコア表['#],0),MATCH(CO$5,スコア表[#Headers],0)),スコア表[Li2],0),"-")</f>
        <v>13</v>
      </c>
      <c r="CP33" s="79">
        <f>IFERROR(_xlfn.RANK.EQ(INDEX(スコア表[],MATCH($C33,スコア表['#],0),MATCH(CP$5,スコア表[#Headers],0)),スコア表[Li3],0),"-")</f>
        <v>39</v>
      </c>
      <c r="CQ33" s="79">
        <f>IFERROR(_xlfn.RANK.EQ(INDEX(スコア表[],MATCH($C33,スコア表['#],0),MATCH(CQ$5,スコア表[#Headers],0)),スコア表[Li4],0),"-")</f>
        <v>23</v>
      </c>
      <c r="CR33" s="79">
        <f>IFERROR(_xlfn.RANK.EQ(INDEX(スコア表[],MATCH($C33,スコア表['#],0),MATCH(CR$5,スコア表[#Headers],0)),スコア表[Li5],0),"-")</f>
        <v>12</v>
      </c>
      <c r="CS33" s="79">
        <f>IFERROR(_xlfn.RANK.EQ(INDEX(スコア表[],MATCH($C33,スコア表['#],0),MATCH(CS$5,スコア表[#Headers],0)),スコア表[En1],0),"-")</f>
        <v>46</v>
      </c>
      <c r="CT33" s="79">
        <f>IFERROR(_xlfn.RANK.EQ(INDEX(スコア表[],MATCH($C33,スコア表['#],0),MATCH(CT$5,スコア表[#Headers],0)),スコア表[En2],0),"-")</f>
        <v>28</v>
      </c>
      <c r="CU33" s="79">
        <f>IFERROR(_xlfn.RANK.EQ(INDEX(スコア表[],MATCH($C33,スコア表['#],0),MATCH(CU$5,スコア表[#Headers],0)),スコア表[En3],0),"-")</f>
        <v>35</v>
      </c>
      <c r="CV33" s="79">
        <f>IFERROR(_xlfn.RANK.EQ(INDEX(スコア表[],MATCH($C33,スコア表['#],0),MATCH(CV$5,スコア表[#Headers],0)),スコア表[Ac1],0),"-")</f>
        <v>36</v>
      </c>
      <c r="CW33" s="79">
        <f>IFERROR(_xlfn.RANK.EQ(INDEX(スコア表[],MATCH($C33,スコア表['#],0),MATCH(CW$5,スコア表[#Headers],0)),スコア表[Ac2],0),"-")</f>
        <v>46</v>
      </c>
      <c r="CX33" s="79">
        <f>IFERROR(_xlfn.RANK.EQ(INDEX(スコア表[],MATCH($C33,スコア表['#],0),MATCH(CX$5,スコア表[#Headers],0)),スコア表[Ac3],0),"-")</f>
        <v>23</v>
      </c>
      <c r="CY33" s="79">
        <f>IFERROR(_xlfn.RANK.EQ(INDEX(スコア表[],MATCH($C33,スコア表['#],0),MATCH(CY$5,スコア表[#Headers],0)),スコア表[Ac4],0),"-")</f>
        <v>19</v>
      </c>
      <c r="CZ33" s="79">
        <f>IFERROR(_xlfn.RANK.EQ(INDEX(スコア表[],MATCH($C33,スコア表['#],0),MATCH(CZ$5,スコア表[#Headers],0)),スコア表[Economy],0),"-")</f>
        <v>38</v>
      </c>
      <c r="DA33" s="79">
        <f>IFERROR(_xlfn.RANK.EQ(INDEX(スコア表[],MATCH($C33,スコア表['#],0),MATCH(DA$5,スコア表[#Headers],0)),スコア表[R&amp;D],0),"-")</f>
        <v>18</v>
      </c>
      <c r="DB33" s="79">
        <f>IFERROR(_xlfn.RANK.EQ(INDEX(スコア表[],MATCH($C33,スコア表['#],0),MATCH(DB$5,スコア表[#Headers],0)),スコア表[Cultural Interaction],0),"-")</f>
        <v>25</v>
      </c>
      <c r="DC33" s="79">
        <f>IFERROR(_xlfn.RANK.EQ(INDEX(スコア表[],MATCH($C33,スコア表['#],0),MATCH(DC$5,スコア表[#Headers],0)),スコア表[Livability],0),"-")</f>
        <v>12</v>
      </c>
      <c r="DD33" s="79">
        <f>IFERROR(_xlfn.RANK.EQ(INDEX(スコア表[],MATCH($C33,スコア表['#],0),MATCH(DD$5,スコア表[#Headers],0)),スコア表[Environment],0),"-")</f>
        <v>41</v>
      </c>
      <c r="DE33" s="79">
        <f>IFERROR(_xlfn.RANK.EQ(INDEX(スコア表[],MATCH($C33,スコア表['#],0),MATCH(DE$5,スコア表[#Headers],0)),スコア表[Accessibility],0),"-")</f>
        <v>37</v>
      </c>
      <c r="DF33" s="81">
        <f>IFERROR(_xlfn.RANK.EQ(INDEX(スコア表[],MATCH($C33,スコア表['#],0),MATCH(DF$5,スコア表[#Headers],0)),スコア表[Comprehensive],0),"-")</f>
        <v>37</v>
      </c>
    </row>
    <row r="34" spans="1:110">
      <c r="A34" s="2">
        <v>29</v>
      </c>
      <c r="B34" s="58">
        <f>INDEX(順位表[Comprehensive],MATCH($C34,順位表['#],0))</f>
        <v>3</v>
      </c>
      <c r="C34" s="3">
        <v>29</v>
      </c>
      <c r="D34" s="1" t="str">
        <f>INDEX(都市マスタ[City Name],MATCH($C34,都市マスタ['#],0))</f>
        <v>Tokyo</v>
      </c>
      <c r="E34" s="79">
        <f>IFERROR(_xlfn.RANK.EQ(INDEX(スコア表[],MATCH($C34,スコア表['#],0),MATCH(E$5,スコア表[#Headers],0)),スコア表[00a],0),"-")</f>
        <v>9</v>
      </c>
      <c r="F34" s="79">
        <f>IFERROR(_xlfn.RANK.EQ(INDEX(スコア表[],MATCH($C34,スコア表['#],0),MATCH(F$5,スコア表[#Headers],0)),スコア表[00b],0),"-")</f>
        <v>21</v>
      </c>
      <c r="G34" s="79">
        <f>IFERROR(_xlfn.RANK.EQ(INDEX(スコア表[],MATCH($C34,スコア表['#],0),MATCH(G$5,スコア表[#Headers],0)),スコア表[00c],0),"-")</f>
        <v>3</v>
      </c>
      <c r="H34" s="79">
        <f>IFERROR(_xlfn.RANK.EQ(INDEX(スコア表[],MATCH($C34,スコア表['#],0),MATCH(H$5,スコア表[#Headers],0)),スコア表[01],0),"-")</f>
        <v>2</v>
      </c>
      <c r="I34" s="79">
        <f>IFERROR(_xlfn.RANK.EQ(INDEX(スコア表[],MATCH($C34,スコア表['#],0),MATCH(I$5,スコア表[#Headers],0)),スコア表[02],0),"-")</f>
        <v>14</v>
      </c>
      <c r="J34" s="79">
        <f>IFERROR(_xlfn.RANK.EQ(INDEX(スコア表[],MATCH($C34,スコア表['#],0),MATCH(J$5,スコア表[#Headers],0)),スコア表[03],0),"-")</f>
        <v>47</v>
      </c>
      <c r="K34" s="79">
        <f>IFERROR(_xlfn.RANK.EQ(INDEX(スコア表[],MATCH($C34,スコア表['#],0),MATCH(K$5,スコア表[#Headers],0)),スコア表[04],0),"-")</f>
        <v>26</v>
      </c>
      <c r="L34" s="79">
        <f>IFERROR(_xlfn.RANK.EQ(INDEX(スコア表[],MATCH($C34,スコア表['#],0),MATCH(L$5,スコア表[#Headers],0)),スコア表[05],0),"-")</f>
        <v>3</v>
      </c>
      <c r="M34" s="79">
        <f>IFERROR(_xlfn.RANK.EQ(INDEX(スコア表[],MATCH($C34,スコア表['#],0),MATCH(M$5,スコア表[#Headers],0)),スコア表[06],0),"-")</f>
        <v>2</v>
      </c>
      <c r="N34" s="79">
        <f>IFERROR(_xlfn.RANK.EQ(INDEX(スコア表[],MATCH($C34,スコア表['#],0),MATCH(N$5,スコア表[#Headers],0)),スコア表[07],0),"-")</f>
        <v>3</v>
      </c>
      <c r="O34" s="79">
        <f>IFERROR(_xlfn.RANK.EQ(INDEX(スコア表[],MATCH($C34,スコア表['#],0),MATCH(O$5,スコア表[#Headers],0)),スコア表[08],0),"-")</f>
        <v>15</v>
      </c>
      <c r="P34" s="79">
        <f>IFERROR(_xlfn.RANK.EQ(INDEX(スコア表[],MATCH($C34,スコア表['#],0),MATCH(P$5,スコア表[#Headers],0)),スコア表[09],0),"-")</f>
        <v>29</v>
      </c>
      <c r="Q34" s="79">
        <f>IFERROR(_xlfn.RANK.EQ(INDEX(スコア表[],MATCH($C34,スコア表['#],0),MATCH(Q$5,スコア表[#Headers],0)),スコア表[10],0),"-")</f>
        <v>40</v>
      </c>
      <c r="R34" s="79">
        <f>IFERROR(_xlfn.RANK.EQ(INDEX(スコア表[],MATCH($C34,スコア表['#],0),MATCH(R$5,スコア表[#Headers],0)),スコア表[11],0),"-")</f>
        <v>22</v>
      </c>
      <c r="S34" s="79">
        <f>IFERROR(_xlfn.RANK.EQ(INDEX(スコア表[],MATCH($C34,スコア表['#],0),MATCH(S$5,スコア表[#Headers],0)),スコア表[12],0),"-")</f>
        <v>43</v>
      </c>
      <c r="T34" s="79">
        <f>IFERROR(_xlfn.RANK.EQ(INDEX(スコア表[],MATCH($C34,スコア表['#],0),MATCH(T$5,スコア表[#Headers],0)),スコア表[13],0),"-")</f>
        <v>27</v>
      </c>
      <c r="U34" s="79">
        <f>IFERROR(_xlfn.RANK.EQ(INDEX(スコア表[],MATCH($C34,スコア表['#],0),MATCH(U$5,スコア表[#Headers],0)),スコア表[14],0),"-")</f>
        <v>2</v>
      </c>
      <c r="V34" s="79">
        <f>IFERROR(_xlfn.RANK.EQ(INDEX(スコア表[],MATCH($C34,スコア表['#],0),MATCH(V$5,スコア表[#Headers],0)),スコア表[15],0),"-")</f>
        <v>22</v>
      </c>
      <c r="W34" s="79">
        <f>IFERROR(_xlfn.RANK.EQ(INDEX(スコア表[],MATCH($C34,スコア表['#],0),MATCH(W$5,スコア表[#Headers],0)),スコア表[16],0),"-")</f>
        <v>3</v>
      </c>
      <c r="X34" s="79">
        <f>IFERROR(_xlfn.RANK.EQ(INDEX(スコア表[],MATCH($C34,スコア表['#],0),MATCH(X$5,スコア表[#Headers],0)),スコア表[17],0),"-")</f>
        <v>34</v>
      </c>
      <c r="Y34" s="79">
        <f>IFERROR(_xlfn.RANK.EQ(INDEX(スコア表[],MATCH($C34,スコア表['#],0),MATCH(Y$5,スコア表[#Headers],0)),スコア表[18],0),"-")</f>
        <v>5</v>
      </c>
      <c r="Z34" s="79">
        <f>IFERROR(_xlfn.RANK.EQ(INDEX(スコア表[],MATCH($C34,スコア表['#],0),MATCH(Z$5,スコア表[#Headers],0)),スコア表[19],0),"-")</f>
        <v>1</v>
      </c>
      <c r="AA34" s="79">
        <f>IFERROR(_xlfn.RANK.EQ(INDEX(スコア表[],MATCH($C34,スコア表['#],0),MATCH(AA$5,スコア表[#Headers],0)),スコア表[20],0),"-")</f>
        <v>12</v>
      </c>
      <c r="AB34" s="79">
        <f>IFERROR(_xlfn.RANK.EQ(INDEX(スコア表[],MATCH($C34,スコア表['#],0),MATCH(AB$5,スコア表[#Headers],0)),スコア表[21],0),"-")</f>
        <v>9</v>
      </c>
      <c r="AC34" s="79">
        <f>IFERROR(_xlfn.RANK.EQ(INDEX(スコア表[],MATCH($C34,スコア表['#],0),MATCH(AC$5,スコア表[#Headers],0)),スコア表[22],0),"-")</f>
        <v>3</v>
      </c>
      <c r="AD34" s="79">
        <f>IFERROR(_xlfn.RANK.EQ(INDEX(スコア表[],MATCH($C34,スコア表['#],0),MATCH(AD$5,スコア表[#Headers],0)),スコア表[23],0),"-")</f>
        <v>1</v>
      </c>
      <c r="AE34" s="79">
        <f>IFERROR(_xlfn.RANK.EQ(INDEX(スコア表[],MATCH($C34,スコア表['#],0),MATCH(AE$5,スコア表[#Headers],0)),スコア表[24],0),"-")</f>
        <v>13</v>
      </c>
      <c r="AF34" s="79">
        <f>IFERROR(_xlfn.RANK.EQ(INDEX(スコア表[],MATCH($C34,スコア表['#],0),MATCH(AF$5,スコア表[#Headers],0)),スコア表[25],0),"-")</f>
        <v>7</v>
      </c>
      <c r="AG34" s="79">
        <f>IFERROR(_xlfn.RANK.EQ(INDEX(スコア表[],MATCH($C34,スコア表['#],0),MATCH(AG$5,スコア表[#Headers],0)),スコア表[26],0),"-")</f>
        <v>17</v>
      </c>
      <c r="AH34" s="79">
        <f>IFERROR(_xlfn.RANK.EQ(INDEX(スコア表[],MATCH($C34,スコア表['#],0),MATCH(AH$5,スコア表[#Headers],0)),スコア表[27],0),"-")</f>
        <v>19</v>
      </c>
      <c r="AI34" s="79">
        <f>IFERROR(_xlfn.RANK.EQ(INDEX(スコア表[],MATCH($C34,スコア表['#],0),MATCH(AI$5,スコア表[#Headers],0)),スコア表[28],0),"-")</f>
        <v>30</v>
      </c>
      <c r="AJ34" s="79">
        <f>IFERROR(_xlfn.RANK.EQ(INDEX(スコア表[],MATCH($C34,スコア表['#],0),MATCH(AJ$5,スコア表[#Headers],0)),スコア表[29],0),"-")</f>
        <v>5</v>
      </c>
      <c r="AK34" s="79">
        <f>IFERROR(_xlfn.RANK.EQ(INDEX(スコア表[],MATCH($C34,スコア表['#],0),MATCH(AK$5,スコア表[#Headers],0)),スコア表[30],0),"-")</f>
        <v>7</v>
      </c>
      <c r="AL34" s="79">
        <f>IFERROR(_xlfn.RANK.EQ(INDEX(スコア表[],MATCH($C34,スコア表['#],0),MATCH(AL$5,スコア表[#Headers],0)),スコア表[31],0),"-")</f>
        <v>7</v>
      </c>
      <c r="AM34" s="79">
        <f>IFERROR(_xlfn.RANK.EQ(INDEX(スコア表[],MATCH($C34,スコア表['#],0),MATCH(AM$5,スコア表[#Headers],0)),スコア表[32],0),"-")</f>
        <v>1</v>
      </c>
      <c r="AN34" s="79">
        <f>IFERROR(_xlfn.RANK.EQ(INDEX(スコア表[],MATCH($C34,スコア表['#],0),MATCH(AN$5,スコア表[#Headers],0)),スコア表[33],0),"-")</f>
        <v>20</v>
      </c>
      <c r="AO34" s="79">
        <f>IFERROR(_xlfn.RANK.EQ(INDEX(スコア表[],MATCH($C34,スコア表['#],0),MATCH(AO$5,スコア表[#Headers],0)),スコア表[34],0),"-")</f>
        <v>1</v>
      </c>
      <c r="AP34" s="79">
        <f>IFERROR(_xlfn.RANK.EQ(INDEX(スコア表[],MATCH($C34,スコア表['#],0),MATCH(AP$5,スコア表[#Headers],0)),スコア表[35],0),"-")</f>
        <v>1</v>
      </c>
      <c r="AQ34" s="79">
        <f>IFERROR(_xlfn.RANK.EQ(INDEX(スコア表[],MATCH($C34,スコア表['#],0),MATCH(AQ$5,スコア表[#Headers],0)),スコア表[36],0),"-")</f>
        <v>16</v>
      </c>
      <c r="AR34" s="79">
        <f>IFERROR(_xlfn.RANK.EQ(INDEX(スコア表[],MATCH($C34,スコア表['#],0),MATCH(AR$5,スコア表[#Headers],0)),スコア表[37],0),"-")</f>
        <v>14</v>
      </c>
      <c r="AS34" s="79">
        <f>IFERROR(_xlfn.RANK.EQ(INDEX(スコア表[],MATCH($C34,スコア表['#],0),MATCH(AS$5,スコア表[#Headers],0)),スコア表[38],0),"-")</f>
        <v>6</v>
      </c>
      <c r="AT34" s="79">
        <f>IFERROR(_xlfn.RANK.EQ(INDEX(スコア表[],MATCH($C34,スコア表['#],0),MATCH(AT$5,スコア表[#Headers],0)),スコア表[39],0),"-")</f>
        <v>19</v>
      </c>
      <c r="AU34" s="79">
        <f>IFERROR(_xlfn.RANK.EQ(INDEX(スコア表[],MATCH($C34,スコア表['#],0),MATCH(AU$5,スコア表[#Headers],0)),スコア表[40],0),"-")</f>
        <v>30</v>
      </c>
      <c r="AV34" s="79">
        <f>IFERROR(_xlfn.RANK.EQ(INDEX(スコア表[],MATCH($C34,スコア表['#],0),MATCH(AV$5,スコア表[#Headers],0)),スコア表[41],0),"-")</f>
        <v>20</v>
      </c>
      <c r="AW34" s="79">
        <f>IFERROR(_xlfn.RANK.EQ(INDEX(スコア表[],MATCH($C34,スコア表['#],0),MATCH(AW$5,スコア表[#Headers],0)),スコア表[42],0),"-")</f>
        <v>24</v>
      </c>
      <c r="AX34" s="79">
        <f>IFERROR(_xlfn.RANK.EQ(INDEX(スコア表[],MATCH($C34,スコア表['#],0),MATCH(AX$5,スコア表[#Headers],0)),スコア表[43],0),"-")</f>
        <v>16</v>
      </c>
      <c r="AY34" s="79">
        <f>IFERROR(_xlfn.RANK.EQ(INDEX(スコア表[],MATCH($C34,スコア表['#],0),MATCH(AY$5,スコア表[#Headers],0)),スコア表[44],0),"-")</f>
        <v>41</v>
      </c>
      <c r="AZ34" s="79">
        <f>IFERROR(_xlfn.RANK.EQ(INDEX(スコア表[],MATCH($C34,スコア表['#],0),MATCH(AZ$5,スコア表[#Headers],0)),スコア表[45],0),"-")</f>
        <v>2</v>
      </c>
      <c r="BA34" s="79">
        <f>IFERROR(_xlfn.RANK.EQ(INDEX(スコア表[],MATCH($C34,スコア表['#],0),MATCH(BA$5,スコア表[#Headers],0)),スコア表[46],0),"-")</f>
        <v>29</v>
      </c>
      <c r="BB34" s="79">
        <f>IFERROR(_xlfn.RANK.EQ(INDEX(スコア表[],MATCH($C34,スコア表['#],0),MATCH(BB$5,スコア表[#Headers],0)),スコア表[47],0),"-")</f>
        <v>32</v>
      </c>
      <c r="BC34" s="79">
        <f>IFERROR(_xlfn.RANK.EQ(INDEX(スコア表[],MATCH($C34,スコア表['#],0),MATCH(BC$5,スコア表[#Headers],0)),スコア表[48],0),"-")</f>
        <v>20</v>
      </c>
      <c r="BD34" s="79">
        <f>IFERROR(_xlfn.RANK.EQ(INDEX(スコア表[],MATCH($C34,スコア表['#],0),MATCH(BD$5,スコア表[#Headers],0)),スコア表[49],0),"-")</f>
        <v>28</v>
      </c>
      <c r="BE34" s="79">
        <f>IFERROR(_xlfn.RANK.EQ(INDEX(スコア表[],MATCH($C34,スコア表['#],0),MATCH(BE$5,スコア表[#Headers],0)),スコア表[50],0),"-")</f>
        <v>4</v>
      </c>
      <c r="BF34" s="79">
        <f>IFERROR(_xlfn.RANK.EQ(INDEX(スコア表[],MATCH($C34,スコア表['#],0),MATCH(BF$5,スコア表[#Headers],0)),スコア表[51],0),"-")</f>
        <v>5</v>
      </c>
      <c r="BG34" s="79">
        <f>IFERROR(_xlfn.RANK.EQ(INDEX(スコア表[],MATCH($C34,スコア表['#],0),MATCH(BG$5,スコア表[#Headers],0)),スコア表[52],0),"-")</f>
        <v>15</v>
      </c>
      <c r="BH34" s="79">
        <f>IFERROR(_xlfn.RANK.EQ(INDEX(スコア表[],MATCH($C34,スコア表['#],0),MATCH(BH$5,スコア表[#Headers],0)),スコア表[53],0),"-")</f>
        <v>36</v>
      </c>
      <c r="BI34" s="79">
        <f>IFERROR(_xlfn.RANK.EQ(INDEX(スコア表[],MATCH($C34,スコア表['#],0),MATCH(BI$5,スコア表[#Headers],0)),スコア表[54],0),"-")</f>
        <v>24</v>
      </c>
      <c r="BJ34" s="79">
        <f>IFERROR(_xlfn.RANK.EQ(INDEX(スコア表[],MATCH($C34,スコア表['#],0),MATCH(BJ$5,スコア表[#Headers],0)),スコア表[55],0),"-")</f>
        <v>5</v>
      </c>
      <c r="BK34" s="79">
        <f>IFERROR(_xlfn.RANK.EQ(INDEX(スコア表[],MATCH($C34,スコア表['#],0),MATCH(BK$5,スコア表[#Headers],0)),スコア表[56],0),"-")</f>
        <v>11</v>
      </c>
      <c r="BL34" s="79">
        <f>IFERROR(_xlfn.RANK.EQ(INDEX(スコア表[],MATCH($C34,スコア表['#],0),MATCH(BL$5,スコア表[#Headers],0)),スコア表[57],0),"-")</f>
        <v>15</v>
      </c>
      <c r="BM34" s="79">
        <f>IFERROR(_xlfn.RANK.EQ(INDEX(スコア表[],MATCH($C34,スコア表['#],0),MATCH(BM$5,スコア表[#Headers],0)),スコア表[58],0),"-")</f>
        <v>17</v>
      </c>
      <c r="BN34" s="79">
        <f>IFERROR(_xlfn.RANK.EQ(INDEX(スコア表[],MATCH($C34,スコア表['#],0),MATCH(BN$5,スコア表[#Headers],0)),スコア表[59],0),"-")</f>
        <v>40</v>
      </c>
      <c r="BO34" s="79">
        <f>IFERROR(_xlfn.RANK.EQ(INDEX(スコア表[],MATCH($C34,スコア表['#],0),MATCH(BO$5,スコア表[#Headers],0)),スコア表[60],0),"-")</f>
        <v>10</v>
      </c>
      <c r="BP34" s="79">
        <f>IFERROR(_xlfn.RANK.EQ(INDEX(スコア表[],MATCH($C34,スコア表['#],0),MATCH(BP$5,スコア表[#Headers],0)),スコア表[61],0),"-")</f>
        <v>27</v>
      </c>
      <c r="BQ34" s="79">
        <f>IFERROR(_xlfn.RANK.EQ(INDEX(スコア表[],MATCH($C34,スコア表['#],0),MATCH(BQ$5,スコア表[#Headers],0)),スコア表[62],0),"-")</f>
        <v>6</v>
      </c>
      <c r="BR34" s="79">
        <f>IFERROR(_xlfn.RANK.EQ(INDEX(スコア表[],MATCH($C34,スコア表['#],0),MATCH(BR$5,スコア表[#Headers],0)),スコア表[63],0),"-")</f>
        <v>9</v>
      </c>
      <c r="BS34" s="79">
        <f>IFERROR(_xlfn.RANK.EQ(INDEX(スコア表[],MATCH($C34,スコア表['#],0),MATCH(BS$5,スコア表[#Headers],0)),スコア表[64],0),"-")</f>
        <v>6</v>
      </c>
      <c r="BT34" s="79">
        <f>IFERROR(_xlfn.RANK.EQ(INDEX(スコア表[],MATCH($C34,スコア表['#],0),MATCH(BT$5,スコア表[#Headers],0)),スコア表[65],0),"-")</f>
        <v>5</v>
      </c>
      <c r="BU34" s="79">
        <f>IFERROR(_xlfn.RANK.EQ(INDEX(スコア表[],MATCH($C34,スコア表['#],0),MATCH(BU$5,スコア表[#Headers],0)),スコア表[66],0),"-")</f>
        <v>1</v>
      </c>
      <c r="BV34" s="79">
        <f>IFERROR(_xlfn.RANK.EQ(INDEX(スコア表[],MATCH($C34,スコア表['#],0),MATCH(BV$5,スコア表[#Headers],0)),スコア表[67],0),"-")</f>
        <v>29</v>
      </c>
      <c r="BW34" s="79">
        <f>IFERROR(_xlfn.RANK.EQ(INDEX(スコア表[],MATCH($C34,スコア表['#],0),MATCH(BW$5,スコア表[#Headers],0)),スコア表[68],0),"-")</f>
        <v>36</v>
      </c>
      <c r="BX34" s="79">
        <f>IFERROR(_xlfn.RANK.EQ(INDEX(スコア表[],MATCH($C34,スコア表['#],0),MATCH(BX$5,スコア表[#Headers],0)),スコア表[69],0),"-")</f>
        <v>37</v>
      </c>
      <c r="BY34" s="79">
        <f>IFERROR(_xlfn.RANK.EQ(INDEX(スコア表[],MATCH($C34,スコア表['#],0),MATCH(BY$5,スコア表[#Headers],0)),スコア表[70],0),"-")</f>
        <v>20</v>
      </c>
      <c r="BZ34" s="79">
        <f>IFERROR(_xlfn.RANK.EQ(INDEX(スコア表[],MATCH($C34,スコア表['#],0),MATCH(BZ$5,スコア表[#Headers],0)),スコア表[Ec1],0),"-")</f>
        <v>2</v>
      </c>
      <c r="CA34" s="79">
        <f>IFERROR(_xlfn.RANK.EQ(INDEX(スコア表[],MATCH($C34,スコア表['#],0),MATCH(CA$5,スコア表[#Headers],0)),スコア表[Ec2],0),"-")</f>
        <v>41</v>
      </c>
      <c r="CB34" s="79">
        <f>IFERROR(_xlfn.RANK.EQ(INDEX(スコア表[],MATCH($C34,スコア表['#],0),MATCH(CB$5,スコア表[#Headers],0)),スコア表[Ec3],0),"-")</f>
        <v>3</v>
      </c>
      <c r="CC34" s="79">
        <f>IFERROR(_xlfn.RANK.EQ(INDEX(スコア表[],MATCH($C34,スコア表['#],0),MATCH(CC$5,スコア表[#Headers],0)),スコア表[Ec4],0),"-")</f>
        <v>4</v>
      </c>
      <c r="CD34" s="79">
        <f>IFERROR(_xlfn.RANK.EQ(INDEX(スコア表[],MATCH($C34,スコア表['#],0),MATCH(CD$5,スコア表[#Headers],0)),スコア表[Ec5],0),"-")</f>
        <v>34</v>
      </c>
      <c r="CE34" s="79">
        <f>IFERROR(_xlfn.RANK.EQ(INDEX(スコア表[],MATCH($C34,スコア表['#],0),MATCH(CE$5,スコア表[#Headers],0)),スコア表[Ec6],0),"-")</f>
        <v>38</v>
      </c>
      <c r="CF34" s="79">
        <f>IFERROR(_xlfn.RANK.EQ(INDEX(スコア表[],MATCH($C34,スコア表['#],0),MATCH(CF$5,スコア表[#Headers],0)),スコア表[RD1],0),"-")</f>
        <v>6</v>
      </c>
      <c r="CG34" s="79">
        <f>IFERROR(_xlfn.RANK.EQ(INDEX(スコア表[],MATCH($C34,スコア表['#],0),MATCH(CG$5,スコア表[#Headers],0)),スコア表[RD2],0),"-")</f>
        <v>5</v>
      </c>
      <c r="CH34" s="79">
        <f>IFERROR(_xlfn.RANK.EQ(INDEX(スコア表[],MATCH($C34,スコア表['#],0),MATCH(CH$5,スコア表[#Headers],0)),スコア表[RD3],0),"-")</f>
        <v>4</v>
      </c>
      <c r="CI34" s="79">
        <f>IFERROR(_xlfn.RANK.EQ(INDEX(スコア表[],MATCH($C34,スコア表['#],0),MATCH(CI$5,スコア表[#Headers],0)),スコア表[CI1],0),"-")</f>
        <v>3</v>
      </c>
      <c r="CJ34" s="79">
        <f>IFERROR(_xlfn.RANK.EQ(INDEX(スコア表[],MATCH($C34,スコア表['#],0),MATCH(CJ$5,スコア表[#Headers],0)),スコア表[CI2],0),"-")</f>
        <v>23</v>
      </c>
      <c r="CK34" s="79">
        <f>IFERROR(_xlfn.RANK.EQ(INDEX(スコア表[],MATCH($C34,スコア表['#],0),MATCH(CK$5,スコア表[#Headers],0)),スコア表[CI3],0),"-")</f>
        <v>6</v>
      </c>
      <c r="CL34" s="79">
        <f>IFERROR(_xlfn.RANK.EQ(INDEX(スコア表[],MATCH($C34,スコア表['#],0),MATCH(CL$5,スコア表[#Headers],0)),スコア表[CI4],0),"-")</f>
        <v>1</v>
      </c>
      <c r="CM34" s="79">
        <f>IFERROR(_xlfn.RANK.EQ(INDEX(スコア表[],MATCH($C34,スコア表['#],0),MATCH(CM$5,スコア表[#Headers],0)),スコア表[CI5],0),"-")</f>
        <v>16</v>
      </c>
      <c r="CN34" s="79">
        <f>IFERROR(_xlfn.RANK.EQ(INDEX(スコア表[],MATCH($C34,スコア表['#],0),MATCH(CN$5,スコア表[#Headers],0)),スコア表[Li1],0),"-")</f>
        <v>23</v>
      </c>
      <c r="CO34" s="79">
        <f>IFERROR(_xlfn.RANK.EQ(INDEX(スコア表[],MATCH($C34,スコア表['#],0),MATCH(CO$5,スコア表[#Headers],0)),スコア表[Li2],0),"-")</f>
        <v>23</v>
      </c>
      <c r="CP34" s="79">
        <f>IFERROR(_xlfn.RANK.EQ(INDEX(スコア表[],MATCH($C34,スコア表['#],0),MATCH(CP$5,スコア表[#Headers],0)),スコア表[Li3],0),"-")</f>
        <v>29</v>
      </c>
      <c r="CQ34" s="79">
        <f>IFERROR(_xlfn.RANK.EQ(INDEX(スコア表[],MATCH($C34,スコア表['#],0),MATCH(CQ$5,スコア表[#Headers],0)),スコア表[Li4],0),"-")</f>
        <v>23</v>
      </c>
      <c r="CR34" s="79">
        <f>IFERROR(_xlfn.RANK.EQ(INDEX(スコア表[],MATCH($C34,スコア表['#],0),MATCH(CR$5,スコア表[#Headers],0)),スコア表[Li5],0),"-")</f>
        <v>6</v>
      </c>
      <c r="CS34" s="79">
        <f>IFERROR(_xlfn.RANK.EQ(INDEX(スコア表[],MATCH($C34,スコア表['#],0),MATCH(CS$5,スコア表[#Headers],0)),スコア表[En1],0),"-")</f>
        <v>26</v>
      </c>
      <c r="CT34" s="79">
        <f>IFERROR(_xlfn.RANK.EQ(INDEX(スコア表[],MATCH($C34,スコア表['#],0),MATCH(CT$5,スコア表[#Headers],0)),スコア表[En2],0),"-")</f>
        <v>3</v>
      </c>
      <c r="CU34" s="79">
        <f>IFERROR(_xlfn.RANK.EQ(INDEX(スコア表[],MATCH($C34,スコア表['#],0),MATCH(CU$5,スコア表[#Headers],0)),スコア表[En3],0),"-")</f>
        <v>25</v>
      </c>
      <c r="CV34" s="79">
        <f>IFERROR(_xlfn.RANK.EQ(INDEX(スコア表[],MATCH($C34,スコア表['#],0),MATCH(CV$5,スコア表[#Headers],0)),スコア表[Ac1],0),"-")</f>
        <v>12</v>
      </c>
      <c r="CW34" s="79">
        <f>IFERROR(_xlfn.RANK.EQ(INDEX(スコア表[],MATCH($C34,スコア表['#],0),MATCH(CW$5,スコア表[#Headers],0)),スコア表[Ac2],0),"-")</f>
        <v>6</v>
      </c>
      <c r="CX34" s="79">
        <f>IFERROR(_xlfn.RANK.EQ(INDEX(スコア表[],MATCH($C34,スコア表['#],0),MATCH(CX$5,スコア表[#Headers],0)),スコア表[Ac3],0),"-")</f>
        <v>4</v>
      </c>
      <c r="CY34" s="79">
        <f>IFERROR(_xlfn.RANK.EQ(INDEX(スコア表[],MATCH($C34,スコア表['#],0),MATCH(CY$5,スコア表[#Headers],0)),スコア表[Ac4],0),"-")</f>
        <v>37</v>
      </c>
      <c r="CZ34" s="79">
        <f>IFERROR(_xlfn.RANK.EQ(INDEX(スコア表[],MATCH($C34,スコア表['#],0),MATCH(CZ$5,スコア表[#Headers],0)),スコア表[Economy],0),"-")</f>
        <v>10</v>
      </c>
      <c r="DA34" s="79">
        <f>IFERROR(_xlfn.RANK.EQ(INDEX(スコア表[],MATCH($C34,スコア表['#],0),MATCH(DA$5,スコア表[#Headers],0)),スコア表[R&amp;D],0),"-")</f>
        <v>4</v>
      </c>
      <c r="DB34" s="79">
        <f>IFERROR(_xlfn.RANK.EQ(INDEX(スコア表[],MATCH($C34,スコア表['#],0),MATCH(DB$5,スコア表[#Headers],0)),スコア表[Cultural Interaction],0),"-")</f>
        <v>5</v>
      </c>
      <c r="DC34" s="79">
        <f>IFERROR(_xlfn.RANK.EQ(INDEX(スコア表[],MATCH($C34,スコア表['#],0),MATCH(DC$5,スコア表[#Headers],0)),スコア表[Livability],0),"-")</f>
        <v>3</v>
      </c>
      <c r="DD34" s="79">
        <f>IFERROR(_xlfn.RANK.EQ(INDEX(スコア表[],MATCH($C34,スコア表['#],0),MATCH(DD$5,スコア表[#Headers],0)),スコア表[Environment],0),"-")</f>
        <v>16</v>
      </c>
      <c r="DE34" s="79">
        <f>IFERROR(_xlfn.RANK.EQ(INDEX(スコア表[],MATCH($C34,スコア表['#],0),MATCH(DE$5,スコア表[#Headers],0)),スコア表[Accessibility],0),"-")</f>
        <v>8</v>
      </c>
      <c r="DF34" s="81">
        <f>IFERROR(_xlfn.RANK.EQ(INDEX(スコア表[],MATCH($C34,スコア表['#],0),MATCH(DF$5,スコア表[#Headers],0)),スコア表[Comprehensive],0),"-")</f>
        <v>3</v>
      </c>
    </row>
    <row r="35" spans="1:110">
      <c r="A35" s="2">
        <v>30</v>
      </c>
      <c r="B35" s="58">
        <f>INDEX(順位表[Comprehensive],MATCH($C35,順位表['#],0))</f>
        <v>12</v>
      </c>
      <c r="C35" s="3">
        <v>30</v>
      </c>
      <c r="D35" s="1" t="str">
        <f>INDEX(都市マスタ[City Name],MATCH($C35,都市マスタ['#],0))</f>
        <v>Sydney</v>
      </c>
      <c r="E35" s="79">
        <f>IFERROR(_xlfn.RANK.EQ(INDEX(スコア表[],MATCH($C35,スコア表['#],0),MATCH(E$5,スコア表[#Headers],0)),スコア表[00a],0),"-")</f>
        <v>17</v>
      </c>
      <c r="F35" s="79">
        <f>IFERROR(_xlfn.RANK.EQ(INDEX(スコア表[],MATCH($C35,スコア表['#],0),MATCH(F$5,スコア表[#Headers],0)),スコア表[00b],0),"-")</f>
        <v>2</v>
      </c>
      <c r="G35" s="79">
        <f>IFERROR(_xlfn.RANK.EQ(INDEX(スコア表[],MATCH($C35,スコア表['#],0),MATCH(G$5,スコア表[#Headers],0)),スコア表[00c],0),"-")</f>
        <v>24</v>
      </c>
      <c r="H35" s="79">
        <f>IFERROR(_xlfn.RANK.EQ(INDEX(スコア表[],MATCH($C35,スコア表['#],0),MATCH(H$5,スコア表[#Headers],0)),スコア表[01],0),"-")</f>
        <v>8</v>
      </c>
      <c r="I35" s="79">
        <f>IFERROR(_xlfn.RANK.EQ(INDEX(スコア表[],MATCH($C35,スコア表['#],0),MATCH(I$5,スコア表[#Headers],0)),スコア表[02],0),"-")</f>
        <v>19</v>
      </c>
      <c r="J35" s="79">
        <f>IFERROR(_xlfn.RANK.EQ(INDEX(スコア表[],MATCH($C35,スコア表['#],0),MATCH(J$5,スコア表[#Headers],0)),スコア表[03],0),"-")</f>
        <v>9</v>
      </c>
      <c r="K35" s="79">
        <f>IFERROR(_xlfn.RANK.EQ(INDEX(スコア表[],MATCH($C35,スコア表['#],0),MATCH(K$5,スコア表[#Headers],0)),スコア表[04],0),"-")</f>
        <v>10</v>
      </c>
      <c r="L35" s="79">
        <f>IFERROR(_xlfn.RANK.EQ(INDEX(スコア表[],MATCH($C35,スコア表['#],0),MATCH(L$5,スコア表[#Headers],0)),スコア表[05],0),"-")</f>
        <v>11</v>
      </c>
      <c r="M35" s="79">
        <f>IFERROR(_xlfn.RANK.EQ(INDEX(スコア表[],MATCH($C35,スコア表['#],0),MATCH(M$5,スコア表[#Headers],0)),スコア表[06],0),"-")</f>
        <v>35</v>
      </c>
      <c r="N35" s="79">
        <f>IFERROR(_xlfn.RANK.EQ(INDEX(スコア表[],MATCH($C35,スコア表['#],0),MATCH(N$5,スコア表[#Headers],0)),スコア表[07],0),"-")</f>
        <v>19</v>
      </c>
      <c r="O35" s="79">
        <f>IFERROR(_xlfn.RANK.EQ(INDEX(スコア表[],MATCH($C35,スコア表['#],0),MATCH(O$5,スコア表[#Headers],0)),スコア表[08],0),"-")</f>
        <v>9</v>
      </c>
      <c r="P35" s="79">
        <f>IFERROR(_xlfn.RANK.EQ(INDEX(スコア表[],MATCH($C35,スコア表['#],0),MATCH(P$5,スコア表[#Headers],0)),スコア表[09],0),"-")</f>
        <v>11</v>
      </c>
      <c r="Q35" s="79">
        <f>IFERROR(_xlfn.RANK.EQ(INDEX(スコア表[],MATCH($C35,スコア表['#],0),MATCH(Q$5,スコア表[#Headers],0)),スコア表[10],0),"-")</f>
        <v>6</v>
      </c>
      <c r="R35" s="79">
        <f>IFERROR(_xlfn.RANK.EQ(INDEX(スコア表[],MATCH($C35,スコア表['#],0),MATCH(R$5,スコア表[#Headers],0)),スコア表[11],0),"-")</f>
        <v>44</v>
      </c>
      <c r="S35" s="79">
        <f>IFERROR(_xlfn.RANK.EQ(INDEX(スコア表[],MATCH($C35,スコア表['#],0),MATCH(S$5,スコア表[#Headers],0)),スコア表[12],0),"-")</f>
        <v>37</v>
      </c>
      <c r="T35" s="79">
        <f>IFERROR(_xlfn.RANK.EQ(INDEX(スコア表[],MATCH($C35,スコア表['#],0),MATCH(T$5,スコア表[#Headers],0)),スコア表[13],0),"-")</f>
        <v>13</v>
      </c>
      <c r="U35" s="79">
        <f>IFERROR(_xlfn.RANK.EQ(INDEX(スコア表[],MATCH($C35,スコア表['#],0),MATCH(U$5,スコア表[#Headers],0)),スコア表[14],0),"-")</f>
        <v>18</v>
      </c>
      <c r="V35" s="79">
        <f>IFERROR(_xlfn.RANK.EQ(INDEX(スコア表[],MATCH($C35,スコア表['#],0),MATCH(V$5,スコア表[#Headers],0)),スコア表[15],0),"-")</f>
        <v>10</v>
      </c>
      <c r="W35" s="79">
        <f>IFERROR(_xlfn.RANK.EQ(INDEX(スコア表[],MATCH($C35,スコア表['#],0),MATCH(W$5,スコア表[#Headers],0)),スコア表[16],0),"-")</f>
        <v>17</v>
      </c>
      <c r="X35" s="79">
        <f>IFERROR(_xlfn.RANK.EQ(INDEX(スコア表[],MATCH($C35,スコア表['#],0),MATCH(X$5,スコア表[#Headers],0)),スコア表[17],0),"-")</f>
        <v>3</v>
      </c>
      <c r="Y35" s="79">
        <f>IFERROR(_xlfn.RANK.EQ(INDEX(スコア表[],MATCH($C35,スコア表['#],0),MATCH(Y$5,スコア表[#Headers],0)),スコア表[18],0),"-")</f>
        <v>21</v>
      </c>
      <c r="Z35" s="79">
        <f>IFERROR(_xlfn.RANK.EQ(INDEX(スコア表[],MATCH($C35,スコア表['#],0),MATCH(Z$5,スコア表[#Headers],0)),スコア表[19],0),"-")</f>
        <v>16</v>
      </c>
      <c r="AA35" s="79">
        <f>IFERROR(_xlfn.RANK.EQ(INDEX(スコア表[],MATCH($C35,スコア表['#],0),MATCH(AA$5,スコア表[#Headers],0)),スコア表[20],0),"-")</f>
        <v>23</v>
      </c>
      <c r="AB35" s="79">
        <f>IFERROR(_xlfn.RANK.EQ(INDEX(スコア表[],MATCH($C35,スコア表['#],0),MATCH(AB$5,スコア表[#Headers],0)),スコア表[21],0),"-")</f>
        <v>13</v>
      </c>
      <c r="AC35" s="79">
        <f>IFERROR(_xlfn.RANK.EQ(INDEX(スコア表[],MATCH($C35,スコア表['#],0),MATCH(AC$5,スコア表[#Headers],0)),スコア表[22],0),"-")</f>
        <v>20</v>
      </c>
      <c r="AD35" s="79">
        <f>IFERROR(_xlfn.RANK.EQ(INDEX(スコア表[],MATCH($C35,スコア表['#],0),MATCH(AD$5,スコア表[#Headers],0)),スコア表[23],0),"-")</f>
        <v>27</v>
      </c>
      <c r="AE35" s="79">
        <f>IFERROR(_xlfn.RANK.EQ(INDEX(スコア表[],MATCH($C35,スコア表['#],0),MATCH(AE$5,スコア表[#Headers],0)),スコア表[24],0),"-")</f>
        <v>23</v>
      </c>
      <c r="AF35" s="79">
        <f>IFERROR(_xlfn.RANK.EQ(INDEX(スコア表[],MATCH($C35,スコア表['#],0),MATCH(AF$5,スコア表[#Headers],0)),スコア表[25],0),"-")</f>
        <v>37</v>
      </c>
      <c r="AG35" s="79">
        <f>IFERROR(_xlfn.RANK.EQ(INDEX(スコア表[],MATCH($C35,スコア表['#],0),MATCH(AG$5,スコア表[#Headers],0)),スコア表[26],0),"-")</f>
        <v>14</v>
      </c>
      <c r="AH35" s="79">
        <f>IFERROR(_xlfn.RANK.EQ(INDEX(スコア表[],MATCH($C35,スコア表['#],0),MATCH(AH$5,スコア表[#Headers],0)),スコア表[27],0),"-")</f>
        <v>20</v>
      </c>
      <c r="AI35" s="79">
        <f>IFERROR(_xlfn.RANK.EQ(INDEX(スコア表[],MATCH($C35,スコア表['#],0),MATCH(AI$5,スコア表[#Headers],0)),スコア表[28],0),"-")</f>
        <v>23</v>
      </c>
      <c r="AJ35" s="79">
        <f>IFERROR(_xlfn.RANK.EQ(INDEX(スコア表[],MATCH($C35,スコア表['#],0),MATCH(AJ$5,スコア表[#Headers],0)),スコア表[29],0),"-")</f>
        <v>27</v>
      </c>
      <c r="AK35" s="79">
        <f>IFERROR(_xlfn.RANK.EQ(INDEX(スコア表[],MATCH($C35,スコア表['#],0),MATCH(AK$5,スコア表[#Headers],0)),スコア表[30],0),"-")</f>
        <v>40</v>
      </c>
      <c r="AL35" s="79">
        <f>IFERROR(_xlfn.RANK.EQ(INDEX(スコア表[],MATCH($C35,スコア表['#],0),MATCH(AL$5,スコア表[#Headers],0)),スコア表[31],0),"-")</f>
        <v>4</v>
      </c>
      <c r="AM35" s="79">
        <f>IFERROR(_xlfn.RANK.EQ(INDEX(スコア表[],MATCH($C35,スコア表['#],0),MATCH(AM$5,スコア表[#Headers],0)),スコア表[32],0),"-")</f>
        <v>25</v>
      </c>
      <c r="AN35" s="79">
        <f>IFERROR(_xlfn.RANK.EQ(INDEX(スコア表[],MATCH($C35,スコア表['#],0),MATCH(AN$5,スコア表[#Headers],0)),スコア表[33],0),"-")</f>
        <v>10</v>
      </c>
      <c r="AO35" s="79">
        <f>IFERROR(_xlfn.RANK.EQ(INDEX(スコア表[],MATCH($C35,スコア表['#],0),MATCH(AO$5,スコア表[#Headers],0)),スコア表[34],0),"-")</f>
        <v>29</v>
      </c>
      <c r="AP35" s="79">
        <f>IFERROR(_xlfn.RANK.EQ(INDEX(スコア表[],MATCH($C35,スコア表['#],0),MATCH(AP$5,スコア表[#Headers],0)),スコア表[35],0),"-")</f>
        <v>28</v>
      </c>
      <c r="AQ35" s="79">
        <f>IFERROR(_xlfn.RANK.EQ(INDEX(スコア表[],MATCH($C35,スコア表['#],0),MATCH(AQ$5,スコア表[#Headers],0)),スコア表[36],0),"-")</f>
        <v>6</v>
      </c>
      <c r="AR35" s="79">
        <f>IFERROR(_xlfn.RANK.EQ(INDEX(スコア表[],MATCH($C35,スコア表['#],0),MATCH(AR$5,スコア表[#Headers],0)),スコア表[37],0),"-")</f>
        <v>24</v>
      </c>
      <c r="AS35" s="79">
        <f>IFERROR(_xlfn.RANK.EQ(INDEX(スコア表[],MATCH($C35,スコア表['#],0),MATCH(AS$5,スコア表[#Headers],0)),スコア表[38],0),"-")</f>
        <v>33</v>
      </c>
      <c r="AT35" s="79">
        <f>IFERROR(_xlfn.RANK.EQ(INDEX(スコア表[],MATCH($C35,スコア表['#],0),MATCH(AT$5,スコア表[#Headers],0)),スコア表[39],0),"-")</f>
        <v>27</v>
      </c>
      <c r="AU35" s="79">
        <f>IFERROR(_xlfn.RANK.EQ(INDEX(スコア表[],MATCH($C35,スコア表['#],0),MATCH(AU$5,スコア表[#Headers],0)),スコア表[40],0),"-")</f>
        <v>20</v>
      </c>
      <c r="AV35" s="79">
        <f>IFERROR(_xlfn.RANK.EQ(INDEX(スコア表[],MATCH($C35,スコア表['#],0),MATCH(AV$5,スコア表[#Headers],0)),スコア表[41],0),"-")</f>
        <v>39</v>
      </c>
      <c r="AW35" s="79">
        <f>IFERROR(_xlfn.RANK.EQ(INDEX(スコア表[],MATCH($C35,スコア表['#],0),MATCH(AW$5,スコア表[#Headers],0)),スコア表[42],0),"-")</f>
        <v>33</v>
      </c>
      <c r="AX35" s="79">
        <f>IFERROR(_xlfn.RANK.EQ(INDEX(スコア表[],MATCH($C35,スコア表['#],0),MATCH(AX$5,スコア表[#Headers],0)),スコア表[43],0),"-")</f>
        <v>15</v>
      </c>
      <c r="AY35" s="79">
        <f>IFERROR(_xlfn.RANK.EQ(INDEX(スコア表[],MATCH($C35,スコア表['#],0),MATCH(AY$5,スコア表[#Headers],0)),スコア表[44],0),"-")</f>
        <v>9</v>
      </c>
      <c r="AZ35" s="79">
        <f>IFERROR(_xlfn.RANK.EQ(INDEX(スコア表[],MATCH($C35,スコア表['#],0),MATCH(AZ$5,スコア表[#Headers],0)),スコア表[45],0),"-")</f>
        <v>12</v>
      </c>
      <c r="BA35" s="79">
        <f>IFERROR(_xlfn.RANK.EQ(INDEX(スコア表[],MATCH($C35,スコア表['#],0),MATCH(BA$5,スコア表[#Headers],0)),スコア表[46],0),"-")</f>
        <v>14</v>
      </c>
      <c r="BB35" s="79">
        <f>IFERROR(_xlfn.RANK.EQ(INDEX(スコア表[],MATCH($C35,スコア表['#],0),MATCH(BB$5,スコア表[#Headers],0)),スコア表[47],0),"-")</f>
        <v>27</v>
      </c>
      <c r="BC35" s="79">
        <f>IFERROR(_xlfn.RANK.EQ(INDEX(スコア表[],MATCH($C35,スコア表['#],0),MATCH(BC$5,スコア表[#Headers],0)),スコア表[48],0),"-")</f>
        <v>27</v>
      </c>
      <c r="BD35" s="79">
        <f>IFERROR(_xlfn.RANK.EQ(INDEX(スコア表[],MATCH($C35,スコア表['#],0),MATCH(BD$5,スコア表[#Headers],0)),スコア表[49],0),"-")</f>
        <v>13</v>
      </c>
      <c r="BE35" s="79">
        <f>IFERROR(_xlfn.RANK.EQ(INDEX(スコア表[],MATCH($C35,スコア表['#],0),MATCH(BE$5,スコア表[#Headers],0)),スコア表[50],0),"-")</f>
        <v>37</v>
      </c>
      <c r="BF35" s="79">
        <f>IFERROR(_xlfn.RANK.EQ(INDEX(スコア表[],MATCH($C35,スコア表['#],0),MATCH(BF$5,スコア表[#Headers],0)),スコア表[51],0),"-")</f>
        <v>38</v>
      </c>
      <c r="BG35" s="79">
        <f>IFERROR(_xlfn.RANK.EQ(INDEX(スコア表[],MATCH($C35,スコア表['#],0),MATCH(BG$5,スコア表[#Headers],0)),スコア表[52],0),"-")</f>
        <v>6</v>
      </c>
      <c r="BH35" s="79">
        <f>IFERROR(_xlfn.RANK.EQ(INDEX(スコア表[],MATCH($C35,スコア表['#],0),MATCH(BH$5,スコア表[#Headers],0)),スコア表[53],0),"-")</f>
        <v>27</v>
      </c>
      <c r="BI35" s="79">
        <f>IFERROR(_xlfn.RANK.EQ(INDEX(スコア表[],MATCH($C35,スコア表['#],0),MATCH(BI$5,スコア表[#Headers],0)),スコア表[54],0),"-")</f>
        <v>22</v>
      </c>
      <c r="BJ35" s="79">
        <f>IFERROR(_xlfn.RANK.EQ(INDEX(スコア表[],MATCH($C35,スコア表['#],0),MATCH(BJ$5,スコア表[#Headers],0)),スコア表[55],0),"-")</f>
        <v>43</v>
      </c>
      <c r="BK35" s="79">
        <f>IFERROR(_xlfn.RANK.EQ(INDEX(スコア表[],MATCH($C35,スコア表['#],0),MATCH(BK$5,スコア表[#Headers],0)),スコア表[56],0),"-")</f>
        <v>1</v>
      </c>
      <c r="BL35" s="79">
        <f>IFERROR(_xlfn.RANK.EQ(INDEX(スコア表[],MATCH($C35,スコア表['#],0),MATCH(BL$5,スコア表[#Headers],0)),スコア表[57],0),"-")</f>
        <v>4</v>
      </c>
      <c r="BM35" s="79">
        <f>IFERROR(_xlfn.RANK.EQ(INDEX(スコア表[],MATCH($C35,スコア表['#],0),MATCH(BM$5,スコア表[#Headers],0)),スコア表[58],0),"-")</f>
        <v>13</v>
      </c>
      <c r="BN35" s="79">
        <f>IFERROR(_xlfn.RANK.EQ(INDEX(スコア表[],MATCH($C35,スコア表['#],0),MATCH(BN$5,スコア表[#Headers],0)),スコア表[59],0),"-")</f>
        <v>8</v>
      </c>
      <c r="BO35" s="79">
        <f>IFERROR(_xlfn.RANK.EQ(INDEX(スコア表[],MATCH($C35,スコア表['#],0),MATCH(BO$5,スコア表[#Headers],0)),スコア表[60],0),"-")</f>
        <v>8</v>
      </c>
      <c r="BP35" s="79">
        <f>IFERROR(_xlfn.RANK.EQ(INDEX(スコア表[],MATCH($C35,スコア表['#],0),MATCH(BP$5,スコア表[#Headers],0)),スコア表[61],0),"-")</f>
        <v>42</v>
      </c>
      <c r="BQ35" s="79">
        <f>IFERROR(_xlfn.RANK.EQ(INDEX(スコア表[],MATCH($C35,スコア表['#],0),MATCH(BQ$5,スコア表[#Headers],0)),スコア表[62],0),"-")</f>
        <v>22</v>
      </c>
      <c r="BR35" s="79">
        <f>IFERROR(_xlfn.RANK.EQ(INDEX(スコア表[],MATCH($C35,スコア表['#],0),MATCH(BR$5,スコア表[#Headers],0)),スコア表[63],0),"-")</f>
        <v>26</v>
      </c>
      <c r="BS35" s="79">
        <f>IFERROR(_xlfn.RANK.EQ(INDEX(スコア表[],MATCH($C35,スコア表['#],0),MATCH(BS$5,スコア表[#Headers],0)),スコア表[64],0),"-")</f>
        <v>23</v>
      </c>
      <c r="BT35" s="79">
        <f>IFERROR(_xlfn.RANK.EQ(INDEX(スコア表[],MATCH($C35,スコア表['#],0),MATCH(BT$5,スコア表[#Headers],0)),スコア表[65],0),"-")</f>
        <v>35</v>
      </c>
      <c r="BU35" s="79">
        <f>IFERROR(_xlfn.RANK.EQ(INDEX(スコア表[],MATCH($C35,スコア表['#],0),MATCH(BU$5,スコア表[#Headers],0)),スコア表[66],0),"-")</f>
        <v>30</v>
      </c>
      <c r="BV35" s="79">
        <f>IFERROR(_xlfn.RANK.EQ(INDEX(スコア表[],MATCH($C35,スコア表['#],0),MATCH(BV$5,スコア表[#Headers],0)),スコア表[67],0),"-")</f>
        <v>8</v>
      </c>
      <c r="BW35" s="79">
        <f>IFERROR(_xlfn.RANK.EQ(INDEX(スコア表[],MATCH($C35,スコア表['#],0),MATCH(BW$5,スコア表[#Headers],0)),スコア表[68],0),"-")</f>
        <v>26</v>
      </c>
      <c r="BX35" s="79">
        <f>IFERROR(_xlfn.RANK.EQ(INDEX(スコア表[],MATCH($C35,スコア表['#],0),MATCH(BX$5,スコア表[#Headers],0)),スコア表[69],0),"-")</f>
        <v>29</v>
      </c>
      <c r="BY35" s="79">
        <f>IFERROR(_xlfn.RANK.EQ(INDEX(スコア表[],MATCH($C35,スコア表['#],0),MATCH(BY$5,スコア表[#Headers],0)),スコア表[70],0),"-")</f>
        <v>16</v>
      </c>
      <c r="BZ35" s="79">
        <f>IFERROR(_xlfn.RANK.EQ(INDEX(スコア表[],MATCH($C35,スコア表['#],0),MATCH(BZ$5,スコア表[#Headers],0)),スコア表[Ec1],0),"-")</f>
        <v>14</v>
      </c>
      <c r="CA35" s="79">
        <f>IFERROR(_xlfn.RANK.EQ(INDEX(スコア表[],MATCH($C35,スコア表['#],0),MATCH(CA$5,スコア表[#Headers],0)),スコア表[Ec2],0),"-")</f>
        <v>8</v>
      </c>
      <c r="CB35" s="79">
        <f>IFERROR(_xlfn.RANK.EQ(INDEX(スコア表[],MATCH($C35,スコア表['#],0),MATCH(CB$5,スコア表[#Headers],0)),スコア表[Ec3],0),"-")</f>
        <v>20</v>
      </c>
      <c r="CC35" s="79">
        <f>IFERROR(_xlfn.RANK.EQ(INDEX(スコア表[],MATCH($C35,スコア表['#],0),MATCH(CC$5,スコア表[#Headers],0)),スコア表[Ec4],0),"-")</f>
        <v>10</v>
      </c>
      <c r="CD35" s="79">
        <f>IFERROR(_xlfn.RANK.EQ(INDEX(スコア表[],MATCH($C35,スコア表['#],0),MATCH(CD$5,スコア表[#Headers],0)),スコア表[Ec5],0),"-")</f>
        <v>15</v>
      </c>
      <c r="CE35" s="79">
        <f>IFERROR(_xlfn.RANK.EQ(INDEX(スコア表[],MATCH($C35,スコア表['#],0),MATCH(CE$5,スコア表[#Headers],0)),スコア表[Ec6],0),"-")</f>
        <v>31</v>
      </c>
      <c r="CF35" s="79">
        <f>IFERROR(_xlfn.RANK.EQ(INDEX(スコア表[],MATCH($C35,スコア表['#],0),MATCH(CF$5,スコア表[#Headers],0)),スコア表[RD1],0),"-")</f>
        <v>14</v>
      </c>
      <c r="CG35" s="79">
        <f>IFERROR(_xlfn.RANK.EQ(INDEX(スコア表[],MATCH($C35,スコア表['#],0),MATCH(CG$5,スコア表[#Headers],0)),スコア表[RD2],0),"-")</f>
        <v>11</v>
      </c>
      <c r="CH35" s="79">
        <f>IFERROR(_xlfn.RANK.EQ(INDEX(スコア表[],MATCH($C35,スコア表['#],0),MATCH(CH$5,スコア表[#Headers],0)),スコア表[RD3],0),"-")</f>
        <v>19</v>
      </c>
      <c r="CI35" s="79">
        <f>IFERROR(_xlfn.RANK.EQ(INDEX(スコア表[],MATCH($C35,スコア表['#],0),MATCH(CI$5,スコア表[#Headers],0)),スコア表[CI1],0),"-")</f>
        <v>30</v>
      </c>
      <c r="CJ35" s="79">
        <f>IFERROR(_xlfn.RANK.EQ(INDEX(スコア表[],MATCH($C35,スコア表['#],0),MATCH(CJ$5,スコア表[#Headers],0)),スコア表[CI2],0),"-")</f>
        <v>22</v>
      </c>
      <c r="CK35" s="79">
        <f>IFERROR(_xlfn.RANK.EQ(INDEX(スコア表[],MATCH($C35,スコア表['#],0),MATCH(CK$5,スコア表[#Headers],0)),スコア表[CI3],0),"-")</f>
        <v>16</v>
      </c>
      <c r="CL35" s="79">
        <f>IFERROR(_xlfn.RANK.EQ(INDEX(スコア表[],MATCH($C35,スコア表['#],0),MATCH(CL$5,スコア表[#Headers],0)),スコア表[CI4],0),"-")</f>
        <v>21</v>
      </c>
      <c r="CM35" s="79">
        <f>IFERROR(_xlfn.RANK.EQ(INDEX(スコア表[],MATCH($C35,スコア表['#],0),MATCH(CM$5,スコア表[#Headers],0)),スコア表[CI5],0),"-")</f>
        <v>9</v>
      </c>
      <c r="CN35" s="79">
        <f>IFERROR(_xlfn.RANK.EQ(INDEX(スコア表[],MATCH($C35,スコア表['#],0),MATCH(CN$5,スコア表[#Headers],0)),スコア表[Li1],0),"-")</f>
        <v>24</v>
      </c>
      <c r="CO35" s="79">
        <f>IFERROR(_xlfn.RANK.EQ(INDEX(スコア表[],MATCH($C35,スコア表['#],0),MATCH(CO$5,スコア表[#Headers],0)),スコア表[Li2],0),"-")</f>
        <v>39</v>
      </c>
      <c r="CP35" s="79">
        <f>IFERROR(_xlfn.RANK.EQ(INDEX(スコア表[],MATCH($C35,スコア表['#],0),MATCH(CP$5,スコア表[#Headers],0)),スコア表[Li3],0),"-")</f>
        <v>4</v>
      </c>
      <c r="CQ35" s="79">
        <f>IFERROR(_xlfn.RANK.EQ(INDEX(スコア表[],MATCH($C35,スコア表['#],0),MATCH(CQ$5,スコア表[#Headers],0)),スコア表[Li4],0),"-")</f>
        <v>16</v>
      </c>
      <c r="CR35" s="79">
        <f>IFERROR(_xlfn.RANK.EQ(INDEX(スコア表[],MATCH($C35,スコア表['#],0),MATCH(CR$5,スコア表[#Headers],0)),スコア表[Li5],0),"-")</f>
        <v>36</v>
      </c>
      <c r="CS35" s="79">
        <f>IFERROR(_xlfn.RANK.EQ(INDEX(スコア表[],MATCH($C35,スコア表['#],0),MATCH(CS$5,スコア表[#Headers],0)),スコア表[En1],0),"-")</f>
        <v>13</v>
      </c>
      <c r="CT35" s="79">
        <f>IFERROR(_xlfn.RANK.EQ(INDEX(スコア表[],MATCH($C35,スコア表['#],0),MATCH(CT$5,スコア表[#Headers],0)),スコア表[En2],0),"-")</f>
        <v>2</v>
      </c>
      <c r="CU35" s="79">
        <f>IFERROR(_xlfn.RANK.EQ(INDEX(スコア表[],MATCH($C35,スコア表['#],0),MATCH(CU$5,スコア表[#Headers],0)),スコア表[En3],0),"-")</f>
        <v>9</v>
      </c>
      <c r="CV35" s="79">
        <f>IFERROR(_xlfn.RANK.EQ(INDEX(スコア表[],MATCH($C35,スコア表['#],0),MATCH(CV$5,スコア表[#Headers],0)),スコア表[Ac1],0),"-")</f>
        <v>39</v>
      </c>
      <c r="CW35" s="79">
        <f>IFERROR(_xlfn.RANK.EQ(INDEX(スコア表[],MATCH($C35,スコア表['#],0),MATCH(CW$5,スコア表[#Headers],0)),スコア表[Ac2],0),"-")</f>
        <v>26</v>
      </c>
      <c r="CX35" s="79">
        <f>IFERROR(_xlfn.RANK.EQ(INDEX(スコア表[],MATCH($C35,スコア表['#],0),MATCH(CX$5,スコア表[#Headers],0)),スコア表[Ac3],0),"-")</f>
        <v>25</v>
      </c>
      <c r="CY35" s="79">
        <f>IFERROR(_xlfn.RANK.EQ(INDEX(スコア表[],MATCH($C35,スコア表['#],0),MATCH(CY$5,スコア表[#Headers],0)),スコア表[Ac4],0),"-")</f>
        <v>25</v>
      </c>
      <c r="CZ35" s="79">
        <f>IFERROR(_xlfn.RANK.EQ(INDEX(スコア表[],MATCH($C35,スコア表['#],0),MATCH(CZ$5,スコア表[#Headers],0)),スコア表[Economy],0),"-")</f>
        <v>14</v>
      </c>
      <c r="DA35" s="79">
        <f>IFERROR(_xlfn.RANK.EQ(INDEX(スコア表[],MATCH($C35,スコア表['#],0),MATCH(DA$5,スコア表[#Headers],0)),スコア表[R&amp;D],0),"-")</f>
        <v>15</v>
      </c>
      <c r="DB35" s="79">
        <f>IFERROR(_xlfn.RANK.EQ(INDEX(スコア表[],MATCH($C35,スコア表['#],0),MATCH(DB$5,スコア表[#Headers],0)),スコア表[Cultural Interaction],0),"-")</f>
        <v>20</v>
      </c>
      <c r="DC35" s="79">
        <f>IFERROR(_xlfn.RANK.EQ(INDEX(スコア表[],MATCH($C35,スコア表['#],0),MATCH(DC$5,スコア表[#Headers],0)),スコア表[Livability],0),"-")</f>
        <v>24</v>
      </c>
      <c r="DD35" s="79">
        <f>IFERROR(_xlfn.RANK.EQ(INDEX(スコア表[],MATCH($C35,スコア表['#],0),MATCH(DD$5,スコア表[#Headers],0)),スコア表[Environment],0),"-")</f>
        <v>7</v>
      </c>
      <c r="DE35" s="79">
        <f>IFERROR(_xlfn.RANK.EQ(INDEX(スコア表[],MATCH($C35,スコア表['#],0),MATCH(DE$5,スコア表[#Headers],0)),スコア表[Accessibility],0),"-")</f>
        <v>29</v>
      </c>
      <c r="DF35" s="81">
        <f>IFERROR(_xlfn.RANK.EQ(INDEX(スコア表[],MATCH($C35,スコア表['#],0),MATCH(DF$5,スコア表[#Headers],0)),スコア表[Comprehensive],0),"-")</f>
        <v>12</v>
      </c>
    </row>
    <row r="36" spans="1:110">
      <c r="A36" s="2">
        <v>31</v>
      </c>
      <c r="B36" s="58">
        <f>INDEX(順位表[Comprehensive],MATCH($C36,順位表['#],0))</f>
        <v>32</v>
      </c>
      <c r="C36" s="3">
        <v>31</v>
      </c>
      <c r="D36" s="1" t="str">
        <f>INDEX(都市マスタ[City Name],MATCH($C36,都市マスタ['#],0))</f>
        <v>Vancouver</v>
      </c>
      <c r="E36" s="79">
        <f>IFERROR(_xlfn.RANK.EQ(INDEX(スコア表[],MATCH($C36,スコア表['#],0),MATCH(E$5,スコア表[#Headers],0)),スコア表[00a],0),"-")</f>
        <v>42</v>
      </c>
      <c r="F36" s="79">
        <f>IFERROR(_xlfn.RANK.EQ(INDEX(スコア表[],MATCH($C36,スコア表['#],0),MATCH(F$5,スコア表[#Headers],0)),スコア表[00b],0),"-")</f>
        <v>44</v>
      </c>
      <c r="G36" s="79">
        <f>IFERROR(_xlfn.RANK.EQ(INDEX(スコア表[],MATCH($C36,スコア表['#],0),MATCH(G$5,スコア表[#Headers],0)),スコア表[00c],0),"-")</f>
        <v>27</v>
      </c>
      <c r="H36" s="79">
        <f>IFERROR(_xlfn.RANK.EQ(INDEX(スコア表[],MATCH($C36,スコア表['#],0),MATCH(H$5,スコア表[#Headers],0)),スコア表[01],0),"-")</f>
        <v>46</v>
      </c>
      <c r="I36" s="79">
        <f>IFERROR(_xlfn.RANK.EQ(INDEX(スコア表[],MATCH($C36,スコア表['#],0),MATCH(I$5,スコア表[#Headers],0)),スコア表[02],0),"-")</f>
        <v>27</v>
      </c>
      <c r="J36" s="79">
        <f>IFERROR(_xlfn.RANK.EQ(INDEX(スコア表[],MATCH($C36,スコア表['#],0),MATCH(J$5,スコア表[#Headers],0)),スコア表[03],0),"-")</f>
        <v>5</v>
      </c>
      <c r="K36" s="79">
        <f>IFERROR(_xlfn.RANK.EQ(INDEX(スコア表[],MATCH($C36,スコア表['#],0),MATCH(K$5,スコア表[#Headers],0)),スコア表[04],0),"-")</f>
        <v>15</v>
      </c>
      <c r="L36" s="79">
        <f>IFERROR(_xlfn.RANK.EQ(INDEX(スコア表[],MATCH($C36,スコア表['#],0),MATCH(L$5,スコア表[#Headers],0)),スコア表[05],0),"-")</f>
        <v>36</v>
      </c>
      <c r="M36" s="79">
        <f>IFERROR(_xlfn.RANK.EQ(INDEX(スコア表[],MATCH($C36,スコア表['#],0),MATCH(M$5,スコア表[#Headers],0)),スコア表[06],0),"-")</f>
        <v>35</v>
      </c>
      <c r="N36" s="79">
        <f>IFERROR(_xlfn.RANK.EQ(INDEX(スコア表[],MATCH($C36,スコア表['#],0),MATCH(N$5,スコア表[#Headers],0)),スコア表[07],0),"-")</f>
        <v>45</v>
      </c>
      <c r="O36" s="79">
        <f>IFERROR(_xlfn.RANK.EQ(INDEX(スコア表[],MATCH($C36,スコア表['#],0),MATCH(O$5,スコア表[#Headers],0)),スコア表[08],0),"-")</f>
        <v>10</v>
      </c>
      <c r="P36" s="79">
        <f>IFERROR(_xlfn.RANK.EQ(INDEX(スコア表[],MATCH($C36,スコア表['#],0),MATCH(P$5,スコア表[#Headers],0)),スコア表[09],0),"-")</f>
        <v>15</v>
      </c>
      <c r="Q36" s="79">
        <f>IFERROR(_xlfn.RANK.EQ(INDEX(スコア表[],MATCH($C36,スコア表['#],0),MATCH(Q$5,スコア表[#Headers],0)),スコア表[10],0),"-")</f>
        <v>3</v>
      </c>
      <c r="R36" s="79">
        <f>IFERROR(_xlfn.RANK.EQ(INDEX(スコア表[],MATCH($C36,スコア表['#],0),MATCH(R$5,スコア表[#Headers],0)),スコア表[11],0),"-")</f>
        <v>20</v>
      </c>
      <c r="S36" s="79">
        <f>IFERROR(_xlfn.RANK.EQ(INDEX(スコア表[],MATCH($C36,スコア表['#],0),MATCH(S$5,スコア表[#Headers],0)),スコア表[12],0),"-")</f>
        <v>29</v>
      </c>
      <c r="T36" s="79">
        <f>IFERROR(_xlfn.RANK.EQ(INDEX(スコア表[],MATCH($C36,スコア表['#],0),MATCH(T$5,スコア表[#Headers],0)),スコア表[13],0),"-")</f>
        <v>20</v>
      </c>
      <c r="U36" s="79">
        <f>IFERROR(_xlfn.RANK.EQ(INDEX(スコア表[],MATCH($C36,スコア表['#],0),MATCH(U$5,スコア表[#Headers],0)),スコア表[14],0),"-")</f>
        <v>44</v>
      </c>
      <c r="V36" s="79">
        <f>IFERROR(_xlfn.RANK.EQ(INDEX(スコア表[],MATCH($C36,スコア表['#],0),MATCH(V$5,スコア表[#Headers],0)),スコア表[15],0),"-")</f>
        <v>24</v>
      </c>
      <c r="W36" s="79">
        <f>IFERROR(_xlfn.RANK.EQ(INDEX(スコア表[],MATCH($C36,スコア表['#],0),MATCH(W$5,スコア表[#Headers],0)),スコア表[16],0),"-")</f>
        <v>41</v>
      </c>
      <c r="X36" s="79">
        <f>IFERROR(_xlfn.RANK.EQ(INDEX(スコア表[],MATCH($C36,スコア表['#],0),MATCH(X$5,スコア表[#Headers],0)),スコア表[17],0),"-")</f>
        <v>13</v>
      </c>
      <c r="Y36" s="79">
        <f>IFERROR(_xlfn.RANK.EQ(INDEX(スコア表[],MATCH($C36,スコア表['#],0),MATCH(Y$5,スコア表[#Headers],0)),スコア表[18],0),"-")</f>
        <v>9</v>
      </c>
      <c r="Z36" s="79">
        <f>IFERROR(_xlfn.RANK.EQ(INDEX(スコア表[],MATCH($C36,スコア表['#],0),MATCH(Z$5,スコア表[#Headers],0)),スコア表[19],0),"-")</f>
        <v>27</v>
      </c>
      <c r="AA36" s="79">
        <f>IFERROR(_xlfn.RANK.EQ(INDEX(スコア表[],MATCH($C36,スコア表['#],0),MATCH(AA$5,スコア表[#Headers],0)),スコア表[20],0),"-")</f>
        <v>23</v>
      </c>
      <c r="AB36" s="79">
        <f>IFERROR(_xlfn.RANK.EQ(INDEX(スコア表[],MATCH($C36,スコア表['#],0),MATCH(AB$5,スコア表[#Headers],0)),スコア表[21],0),"-")</f>
        <v>21</v>
      </c>
      <c r="AC36" s="79">
        <f>IFERROR(_xlfn.RANK.EQ(INDEX(スコア表[],MATCH($C36,スコア表['#],0),MATCH(AC$5,スコア表[#Headers],0)),スコア表[22],0),"-")</f>
        <v>28</v>
      </c>
      <c r="AD36" s="79">
        <f>IFERROR(_xlfn.RANK.EQ(INDEX(スコア表[],MATCH($C36,スコア表['#],0),MATCH(AD$5,スコア表[#Headers],0)),スコア表[23],0),"-")</f>
        <v>4</v>
      </c>
      <c r="AE36" s="79">
        <f>IFERROR(_xlfn.RANK.EQ(INDEX(スコア表[],MATCH($C36,スコア表['#],0),MATCH(AE$5,スコア表[#Headers],0)),スコア表[24],0),"-")</f>
        <v>29</v>
      </c>
      <c r="AF36" s="79">
        <f>IFERROR(_xlfn.RANK.EQ(INDEX(スコア表[],MATCH($C36,スコア表['#],0),MATCH(AF$5,スコア表[#Headers],0)),スコア表[25],0),"-")</f>
        <v>35</v>
      </c>
      <c r="AG36" s="79">
        <f>IFERROR(_xlfn.RANK.EQ(INDEX(スコア表[],MATCH($C36,スコア表['#],0),MATCH(AG$5,スコア表[#Headers],0)),スコア表[26],0),"-")</f>
        <v>23</v>
      </c>
      <c r="AH36" s="79">
        <f>IFERROR(_xlfn.RANK.EQ(INDEX(スコア表[],MATCH($C36,スコア表['#],0),MATCH(AH$5,スコア表[#Headers],0)),スコア表[27],0),"-")</f>
        <v>38</v>
      </c>
      <c r="AI36" s="79">
        <f>IFERROR(_xlfn.RANK.EQ(INDEX(スコア表[],MATCH($C36,スコア表['#],0),MATCH(AI$5,スコア表[#Headers],0)),スコア表[28],0),"-")</f>
        <v>46</v>
      </c>
      <c r="AJ36" s="79">
        <f>IFERROR(_xlfn.RANK.EQ(INDEX(スコア表[],MATCH($C36,スコア表['#],0),MATCH(AJ$5,スコア表[#Headers],0)),スコア表[29],0),"-")</f>
        <v>29</v>
      </c>
      <c r="AK36" s="79">
        <f>IFERROR(_xlfn.RANK.EQ(INDEX(スコア表[],MATCH($C36,スコア表['#],0),MATCH(AK$5,スコア表[#Headers],0)),スコア表[30],0),"-")</f>
        <v>37</v>
      </c>
      <c r="AL36" s="79">
        <f>IFERROR(_xlfn.RANK.EQ(INDEX(スコア表[],MATCH($C36,スコア表['#],0),MATCH(AL$5,スコア表[#Headers],0)),スコア表[31],0),"-")</f>
        <v>34</v>
      </c>
      <c r="AM36" s="79">
        <f>IFERROR(_xlfn.RANK.EQ(INDEX(スコア表[],MATCH($C36,スコア表['#],0),MATCH(AM$5,スコア表[#Headers],0)),スコア表[32],0),"-")</f>
        <v>42</v>
      </c>
      <c r="AN36" s="79">
        <f>IFERROR(_xlfn.RANK.EQ(INDEX(スコア表[],MATCH($C36,スコア表['#],0),MATCH(AN$5,スコア表[#Headers],0)),スコア表[33],0),"-")</f>
        <v>43</v>
      </c>
      <c r="AO36" s="79">
        <f>IFERROR(_xlfn.RANK.EQ(INDEX(スコア表[],MATCH($C36,スコア表['#],0),MATCH(AO$5,スコア表[#Headers],0)),スコア表[34],0),"-")</f>
        <v>42</v>
      </c>
      <c r="AP36" s="79">
        <f>IFERROR(_xlfn.RANK.EQ(INDEX(スコア表[],MATCH($C36,スコア表['#],0),MATCH(AP$5,スコア表[#Headers],0)),スコア表[35],0),"-")</f>
        <v>33</v>
      </c>
      <c r="AQ36" s="79">
        <f>IFERROR(_xlfn.RANK.EQ(INDEX(スコア表[],MATCH($C36,スコア表['#],0),MATCH(AQ$5,スコア表[#Headers],0)),スコア表[36],0),"-")</f>
        <v>32</v>
      </c>
      <c r="AR36" s="79">
        <f>IFERROR(_xlfn.RANK.EQ(INDEX(スコア表[],MATCH($C36,スコア表['#],0),MATCH(AR$5,スコア表[#Headers],0)),スコア表[37],0),"-")</f>
        <v>17</v>
      </c>
      <c r="AS36" s="79">
        <f>IFERROR(_xlfn.RANK.EQ(INDEX(スコア表[],MATCH($C36,スコア表['#],0),MATCH(AS$5,スコア表[#Headers],0)),スコア表[38],0),"-")</f>
        <v>26</v>
      </c>
      <c r="AT36" s="79">
        <f>IFERROR(_xlfn.RANK.EQ(INDEX(スコア表[],MATCH($C36,スコア表['#],0),MATCH(AT$5,スコア表[#Headers],0)),スコア表[39],0),"-")</f>
        <v>45</v>
      </c>
      <c r="AU36" s="79">
        <f>IFERROR(_xlfn.RANK.EQ(INDEX(スコア表[],MATCH($C36,スコア表['#],0),MATCH(AU$5,スコア表[#Headers],0)),スコア表[40],0),"-")</f>
        <v>15</v>
      </c>
      <c r="AV36" s="79">
        <f>IFERROR(_xlfn.RANK.EQ(INDEX(スコア表[],MATCH($C36,スコア表['#],0),MATCH(AV$5,スコア表[#Headers],0)),スコア表[41],0),"-")</f>
        <v>35</v>
      </c>
      <c r="AW36" s="79">
        <f>IFERROR(_xlfn.RANK.EQ(INDEX(スコア表[],MATCH($C36,スコア表['#],0),MATCH(AW$5,スコア表[#Headers],0)),スコア表[42],0),"-")</f>
        <v>31</v>
      </c>
      <c r="AX36" s="79">
        <f>IFERROR(_xlfn.RANK.EQ(INDEX(スコア表[],MATCH($C36,スコア表['#],0),MATCH(AX$5,スコア表[#Headers],0)),スコア表[43],0),"-")</f>
        <v>30</v>
      </c>
      <c r="AY36" s="79">
        <f>IFERROR(_xlfn.RANK.EQ(INDEX(スコア表[],MATCH($C36,スコア表['#],0),MATCH(AY$5,スコア表[#Headers],0)),スコア表[44],0),"-")</f>
        <v>12</v>
      </c>
      <c r="AZ36" s="79">
        <f>IFERROR(_xlfn.RANK.EQ(INDEX(スコア表[],MATCH($C36,スコア表['#],0),MATCH(AZ$5,スコア表[#Headers],0)),スコア表[45],0),"-")</f>
        <v>18</v>
      </c>
      <c r="BA36" s="79">
        <f>IFERROR(_xlfn.RANK.EQ(INDEX(スコア表[],MATCH($C36,スコア表['#],0),MATCH(BA$5,スコア表[#Headers],0)),スコア表[46],0),"-")</f>
        <v>10</v>
      </c>
      <c r="BB36" s="79">
        <f>IFERROR(_xlfn.RANK.EQ(INDEX(スコア表[],MATCH($C36,スコア表['#],0),MATCH(BB$5,スコア表[#Headers],0)),スコア表[47],0),"-")</f>
        <v>24</v>
      </c>
      <c r="BC36" s="79">
        <f>IFERROR(_xlfn.RANK.EQ(INDEX(スコア表[],MATCH($C36,スコア表['#],0),MATCH(BC$5,スコア表[#Headers],0)),スコア表[48],0),"-")</f>
        <v>33</v>
      </c>
      <c r="BD36" s="79">
        <f>IFERROR(_xlfn.RANK.EQ(INDEX(スコア表[],MATCH($C36,スコア表['#],0),MATCH(BD$5,スコア表[#Headers],0)),スコア表[49],0),"-")</f>
        <v>11</v>
      </c>
      <c r="BE36" s="79">
        <f>IFERROR(_xlfn.RANK.EQ(INDEX(スコア表[],MATCH($C36,スコア表['#],0),MATCH(BE$5,スコア表[#Headers],0)),スコア表[50],0),"-")</f>
        <v>34</v>
      </c>
      <c r="BF36" s="79">
        <f>IFERROR(_xlfn.RANK.EQ(INDEX(スコア表[],MATCH($C36,スコア表['#],0),MATCH(BF$5,スコア表[#Headers],0)),スコア表[51],0),"-")</f>
        <v>25</v>
      </c>
      <c r="BG36" s="79">
        <f>IFERROR(_xlfn.RANK.EQ(INDEX(スコア表[],MATCH($C36,スコア表['#],0),MATCH(BG$5,スコア表[#Headers],0)),スコア表[52],0),"-")</f>
        <v>5</v>
      </c>
      <c r="BH36" s="79">
        <f>IFERROR(_xlfn.RANK.EQ(INDEX(スコア表[],MATCH($C36,スコア表['#],0),MATCH(BH$5,スコア表[#Headers],0)),スコア表[53],0),"-")</f>
        <v>14</v>
      </c>
      <c r="BI36" s="79">
        <f>IFERROR(_xlfn.RANK.EQ(INDEX(スコア表[],MATCH($C36,スコア表['#],0),MATCH(BI$5,スコア表[#Headers],0)),スコア表[54],0),"-")</f>
        <v>36</v>
      </c>
      <c r="BJ36" s="79">
        <f>IFERROR(_xlfn.RANK.EQ(INDEX(スコア表[],MATCH($C36,スコア表['#],0),MATCH(BJ$5,スコア表[#Headers],0)),スコア表[55],0),"-")</f>
        <v>34</v>
      </c>
      <c r="BK36" s="79">
        <f>IFERROR(_xlfn.RANK.EQ(INDEX(スコア表[],MATCH($C36,スコア表['#],0),MATCH(BK$5,スコア表[#Headers],0)),スコア表[56],0),"-")</f>
        <v>7</v>
      </c>
      <c r="BL36" s="79">
        <f>IFERROR(_xlfn.RANK.EQ(INDEX(スコア表[],MATCH($C36,スコア表['#],0),MATCH(BL$5,スコア表[#Headers],0)),スコア表[57],0),"-")</f>
        <v>25</v>
      </c>
      <c r="BM36" s="79">
        <f>IFERROR(_xlfn.RANK.EQ(INDEX(スコア表[],MATCH($C36,スコア表['#],0),MATCH(BM$5,スコア表[#Headers],0)),スコア表[58],0),"-")</f>
        <v>14</v>
      </c>
      <c r="BN36" s="79">
        <f>IFERROR(_xlfn.RANK.EQ(INDEX(スコア表[],MATCH($C36,スコア表['#],0),MATCH(BN$5,スコア表[#Headers],0)),スコア表[59],0),"-")</f>
        <v>10</v>
      </c>
      <c r="BO36" s="79">
        <f>IFERROR(_xlfn.RANK.EQ(INDEX(スコア表[],MATCH($C36,スコア表['#],0),MATCH(BO$5,スコア表[#Headers],0)),スコア表[60],0),"-")</f>
        <v>17</v>
      </c>
      <c r="BP36" s="79">
        <f>IFERROR(_xlfn.RANK.EQ(INDEX(スコア表[],MATCH($C36,スコア表['#],0),MATCH(BP$5,スコア表[#Headers],0)),スコア表[61],0),"-")</f>
        <v>33</v>
      </c>
      <c r="BQ36" s="79">
        <f>IFERROR(_xlfn.RANK.EQ(INDEX(スコア表[],MATCH($C36,スコア表['#],0),MATCH(BQ$5,スコア表[#Headers],0)),スコア表[62],0),"-")</f>
        <v>31</v>
      </c>
      <c r="BR36" s="79">
        <f>IFERROR(_xlfn.RANK.EQ(INDEX(スコア表[],MATCH($C36,スコア表['#],0),MATCH(BR$5,スコア表[#Headers],0)),スコア表[63],0),"-")</f>
        <v>38</v>
      </c>
      <c r="BS36" s="79">
        <f>IFERROR(_xlfn.RANK.EQ(INDEX(スコア表[],MATCH($C36,スコア表['#],0),MATCH(BS$5,スコア表[#Headers],0)),スコア表[64],0),"-")</f>
        <v>32</v>
      </c>
      <c r="BT36" s="79">
        <f>IFERROR(_xlfn.RANK.EQ(INDEX(スコア表[],MATCH($C36,スコア表['#],0),MATCH(BT$5,スコア表[#Headers],0)),スコア表[65],0),"-")</f>
        <v>45</v>
      </c>
      <c r="BU36" s="79">
        <f>IFERROR(_xlfn.RANK.EQ(INDEX(スコア表[],MATCH($C36,スコア表['#],0),MATCH(BU$5,スコア表[#Headers],0)),スコア表[66],0),"-")</f>
        <v>34</v>
      </c>
      <c r="BV36" s="79">
        <f>IFERROR(_xlfn.RANK.EQ(INDEX(スコア表[],MATCH($C36,スコア表['#],0),MATCH(BV$5,スコア表[#Headers],0)),スコア表[67],0),"-")</f>
        <v>17</v>
      </c>
      <c r="BW36" s="79">
        <f>IFERROR(_xlfn.RANK.EQ(INDEX(スコア表[],MATCH($C36,スコア表['#],0),MATCH(BW$5,スコア表[#Headers],0)),スコア表[68],0),"-")</f>
        <v>11</v>
      </c>
      <c r="BX36" s="79">
        <f>IFERROR(_xlfn.RANK.EQ(INDEX(スコア表[],MATCH($C36,スコア表['#],0),MATCH(BX$5,スコア表[#Headers],0)),スコア表[69],0),"-")</f>
        <v>33</v>
      </c>
      <c r="BY36" s="79">
        <f>IFERROR(_xlfn.RANK.EQ(INDEX(スコア表[],MATCH($C36,スコア表['#],0),MATCH(BY$5,スコア表[#Headers],0)),スコア表[70],0),"-")</f>
        <v>23</v>
      </c>
      <c r="BZ36" s="79">
        <f>IFERROR(_xlfn.RANK.EQ(INDEX(スコア表[],MATCH($C36,スコア表['#],0),MATCH(BZ$5,スコア表[#Headers],0)),スコア表[Ec1],0),"-")</f>
        <v>39</v>
      </c>
      <c r="CA36" s="79">
        <f>IFERROR(_xlfn.RANK.EQ(INDEX(スコア表[],MATCH($C36,スコア表['#],0),MATCH(CA$5,スコア表[#Headers],0)),スコア表[Ec2],0),"-")</f>
        <v>6</v>
      </c>
      <c r="CB36" s="79">
        <f>IFERROR(_xlfn.RANK.EQ(INDEX(スコア表[],MATCH($C36,スコア表['#],0),MATCH(CB$5,スコア表[#Headers],0)),スコア表[Ec3],0),"-")</f>
        <v>44</v>
      </c>
      <c r="CC36" s="79">
        <f>IFERROR(_xlfn.RANK.EQ(INDEX(スコア表[],MATCH($C36,スコア表['#],0),MATCH(CC$5,スコア表[#Headers],0)),スコア表[Ec4],0),"-")</f>
        <v>20</v>
      </c>
      <c r="CD36" s="79">
        <f>IFERROR(_xlfn.RANK.EQ(INDEX(スコア表[],MATCH($C36,スコア表['#],0),MATCH(CD$5,スコア表[#Headers],0)),スコア表[Ec5],0),"-")</f>
        <v>10</v>
      </c>
      <c r="CE36" s="79">
        <f>IFERROR(_xlfn.RANK.EQ(INDEX(スコア表[],MATCH($C36,スコア表['#],0),MATCH(CE$5,スコア表[#Headers],0)),スコア表[Ec6],0),"-")</f>
        <v>28</v>
      </c>
      <c r="CF36" s="79">
        <f>IFERROR(_xlfn.RANK.EQ(INDEX(スコア表[],MATCH($C36,スコア表['#],0),MATCH(CF$5,スコア表[#Headers],0)),スコア表[RD1],0),"-")</f>
        <v>27</v>
      </c>
      <c r="CG36" s="79">
        <f>IFERROR(_xlfn.RANK.EQ(INDEX(スコア表[],MATCH($C36,スコア表['#],0),MATCH(CG$5,スコア表[#Headers],0)),スコア表[RD2],0),"-")</f>
        <v>19</v>
      </c>
      <c r="CH36" s="79">
        <f>IFERROR(_xlfn.RANK.EQ(INDEX(スコア表[],MATCH($C36,スコア表['#],0),MATCH(CH$5,スコア表[#Headers],0)),スコア表[RD3],0),"-")</f>
        <v>33</v>
      </c>
      <c r="CI36" s="79">
        <f>IFERROR(_xlfn.RANK.EQ(INDEX(スコア表[],MATCH($C36,スコア表['#],0),MATCH(CI$5,スコア表[#Headers],0)),スコア表[CI1],0),"-")</f>
        <v>19</v>
      </c>
      <c r="CJ36" s="79">
        <f>IFERROR(_xlfn.RANK.EQ(INDEX(スコア表[],MATCH($C36,スコア表['#],0),MATCH(CJ$5,スコア表[#Headers],0)),スコア表[CI2],0),"-")</f>
        <v>40</v>
      </c>
      <c r="CK36" s="79">
        <f>IFERROR(_xlfn.RANK.EQ(INDEX(スコア表[],MATCH($C36,スコア表['#],0),MATCH(CK$5,スコア表[#Headers],0)),スコア表[CI3],0),"-")</f>
        <v>41</v>
      </c>
      <c r="CL36" s="79">
        <f>IFERROR(_xlfn.RANK.EQ(INDEX(スコア表[],MATCH($C36,スコア表['#],0),MATCH(CL$5,スコア表[#Headers],0)),スコア表[CI4],0),"-")</f>
        <v>40</v>
      </c>
      <c r="CM36" s="79">
        <f>IFERROR(_xlfn.RANK.EQ(INDEX(スコア表[],MATCH($C36,スコア表['#],0),MATCH(CM$5,スコア表[#Headers],0)),スコア表[CI5],0),"-")</f>
        <v>28</v>
      </c>
      <c r="CN36" s="79">
        <f>IFERROR(_xlfn.RANK.EQ(INDEX(スコア表[],MATCH($C36,スコア表['#],0),MATCH(CN$5,スコア表[#Headers],0)),スコア表[Li1],0),"-")</f>
        <v>34</v>
      </c>
      <c r="CO36" s="79">
        <f>IFERROR(_xlfn.RANK.EQ(INDEX(スコア表[],MATCH($C36,スコア表['#],0),MATCH(CO$5,スコア表[#Headers],0)),スコア表[Li2],0),"-")</f>
        <v>33</v>
      </c>
      <c r="CP36" s="79">
        <f>IFERROR(_xlfn.RANK.EQ(INDEX(スコア表[],MATCH($C36,スコア表['#],0),MATCH(CP$5,スコア表[#Headers],0)),スコア表[Li3],0),"-")</f>
        <v>20</v>
      </c>
      <c r="CQ36" s="79">
        <f>IFERROR(_xlfn.RANK.EQ(INDEX(スコア表[],MATCH($C36,スコア表['#],0),MATCH(CQ$5,スコア表[#Headers],0)),スコア表[Li4],0),"-")</f>
        <v>14</v>
      </c>
      <c r="CR36" s="79">
        <f>IFERROR(_xlfn.RANK.EQ(INDEX(スコア表[],MATCH($C36,スコア表['#],0),MATCH(CR$5,スコア表[#Headers],0)),スコア表[Li5],0),"-")</f>
        <v>35</v>
      </c>
      <c r="CS36" s="79">
        <f>IFERROR(_xlfn.RANK.EQ(INDEX(スコア表[],MATCH($C36,スコア表['#],0),MATCH(CS$5,スコア表[#Headers],0)),スコア表[En1],0),"-")</f>
        <v>9</v>
      </c>
      <c r="CT36" s="79">
        <f>IFERROR(_xlfn.RANK.EQ(INDEX(スコア表[],MATCH($C36,スコア表['#],0),MATCH(CT$5,スコア表[#Headers],0)),スコア表[En2],0),"-")</f>
        <v>25</v>
      </c>
      <c r="CU36" s="79">
        <f>IFERROR(_xlfn.RANK.EQ(INDEX(スコア表[],MATCH($C36,スコア表['#],0),MATCH(CU$5,スコア表[#Headers],0)),スコア表[En3],0),"-")</f>
        <v>12</v>
      </c>
      <c r="CV36" s="79">
        <f>IFERROR(_xlfn.RANK.EQ(INDEX(スコア表[],MATCH($C36,スコア表['#],0),MATCH(CV$5,スコア表[#Headers],0)),スコア表[Ac1],0),"-")</f>
        <v>35</v>
      </c>
      <c r="CW36" s="79">
        <f>IFERROR(_xlfn.RANK.EQ(INDEX(スコア表[],MATCH($C36,スコア表['#],0),MATCH(CW$5,スコア表[#Headers],0)),スコア表[Ac2],0),"-")</f>
        <v>35</v>
      </c>
      <c r="CX36" s="79">
        <f>IFERROR(_xlfn.RANK.EQ(INDEX(スコア表[],MATCH($C36,スコア表['#],0),MATCH(CX$5,スコア表[#Headers],0)),スコア表[Ac3],0),"-")</f>
        <v>35</v>
      </c>
      <c r="CY36" s="79">
        <f>IFERROR(_xlfn.RANK.EQ(INDEX(スコア表[],MATCH($C36,スコア表['#],0),MATCH(CY$5,スコア表[#Headers],0)),スコア表[Ac4],0),"-")</f>
        <v>17</v>
      </c>
      <c r="CZ36" s="79">
        <f>IFERROR(_xlfn.RANK.EQ(INDEX(スコア表[],MATCH($C36,スコア表['#],0),MATCH(CZ$5,スコア表[#Headers],0)),スコア表[Economy],0),"-")</f>
        <v>21</v>
      </c>
      <c r="DA36" s="79">
        <f>IFERROR(_xlfn.RANK.EQ(INDEX(スコア表[],MATCH($C36,スコア表['#],0),MATCH(DA$5,スコア表[#Headers],0)),スコア表[R&amp;D],0),"-")</f>
        <v>27</v>
      </c>
      <c r="DB36" s="79">
        <f>IFERROR(_xlfn.RANK.EQ(INDEX(スコア表[],MATCH($C36,スコア表['#],0),MATCH(DB$5,スコア表[#Headers],0)),スコア表[Cultural Interaction],0),"-")</f>
        <v>39</v>
      </c>
      <c r="DC36" s="79">
        <f>IFERROR(_xlfn.RANK.EQ(INDEX(スコア表[],MATCH($C36,スコア表['#],0),MATCH(DC$5,スコア表[#Headers],0)),スコア表[Livability],0),"-")</f>
        <v>28</v>
      </c>
      <c r="DD36" s="79">
        <f>IFERROR(_xlfn.RANK.EQ(INDEX(スコア表[],MATCH($C36,スコア表['#],0),MATCH(DD$5,スコア表[#Headers],0)),スコア表[Environment],0),"-")</f>
        <v>10</v>
      </c>
      <c r="DE36" s="79">
        <f>IFERROR(_xlfn.RANK.EQ(INDEX(スコア表[],MATCH($C36,スコア表['#],0),MATCH(DE$5,スコア表[#Headers],0)),スコア表[Accessibility],0),"-")</f>
        <v>38</v>
      </c>
      <c r="DF36" s="81">
        <f>IFERROR(_xlfn.RANK.EQ(INDEX(スコア表[],MATCH($C36,スコア表['#],0),MATCH(DF$5,スコア表[#Headers],0)),スコア表[Comprehensive],0),"-")</f>
        <v>32</v>
      </c>
    </row>
    <row r="37" spans="1:110">
      <c r="A37" s="2">
        <v>32</v>
      </c>
      <c r="B37" s="58">
        <f>INDEX(順位表[Comprehensive],MATCH($C37,順位表['#],0))</f>
        <v>27</v>
      </c>
      <c r="C37" s="3">
        <v>32</v>
      </c>
      <c r="D37" s="1" t="str">
        <f>INDEX(都市マスタ[City Name],MATCH($C37,都市マスタ['#],0))</f>
        <v>San Francisco</v>
      </c>
      <c r="E37" s="79">
        <f>IFERROR(_xlfn.RANK.EQ(INDEX(スコア表[],MATCH($C37,スコア表['#],0),MATCH(E$5,スコア表[#Headers],0)),スコア表[00a],0),"-")</f>
        <v>40</v>
      </c>
      <c r="F37" s="79">
        <f>IFERROR(_xlfn.RANK.EQ(INDEX(スコア表[],MATCH($C37,スコア表['#],0),MATCH(F$5,スコア表[#Headers],0)),スコア表[00b],0),"-")</f>
        <v>42</v>
      </c>
      <c r="G37" s="79">
        <f>IFERROR(_xlfn.RANK.EQ(INDEX(スコア表[],MATCH($C37,スコア表['#],0),MATCH(G$5,スコア表[#Headers],0)),スコア表[00c],0),"-")</f>
        <v>29</v>
      </c>
      <c r="H37" s="79">
        <f>IFERROR(_xlfn.RANK.EQ(INDEX(スコア表[],MATCH($C37,スコア表['#],0),MATCH(H$5,スコア表[#Headers],0)),スコア表[01],0),"-")</f>
        <v>19</v>
      </c>
      <c r="I37" s="79">
        <f>IFERROR(_xlfn.RANK.EQ(INDEX(スコア表[],MATCH($C37,スコア表['#],0),MATCH(I$5,スコア表[#Headers],0)),スコア表[02],0),"-")</f>
        <v>2</v>
      </c>
      <c r="J37" s="79">
        <f>IFERROR(_xlfn.RANK.EQ(INDEX(スコア表[],MATCH($C37,スコア表['#],0),MATCH(J$5,スコア表[#Headers],0)),スコア表[03],0),"-")</f>
        <v>7</v>
      </c>
      <c r="K37" s="79">
        <f>IFERROR(_xlfn.RANK.EQ(INDEX(スコア表[],MATCH($C37,スコア表['#],0),MATCH(K$5,スコア表[#Headers],0)),スコア表[04],0),"-")</f>
        <v>19</v>
      </c>
      <c r="L37" s="79">
        <f>IFERROR(_xlfn.RANK.EQ(INDEX(スコア表[],MATCH($C37,スコア表['#],0),MATCH(L$5,スコア表[#Headers],0)),スコア表[05],0),"-")</f>
        <v>36</v>
      </c>
      <c r="M37" s="79">
        <f>IFERROR(_xlfn.RANK.EQ(INDEX(スコア表[],MATCH($C37,スコア表['#],0),MATCH(M$5,スコア表[#Headers],0)),スコア表[06],0),"-")</f>
        <v>21</v>
      </c>
      <c r="N37" s="79">
        <f>IFERROR(_xlfn.RANK.EQ(INDEX(スコア表[],MATCH($C37,スコア表['#],0),MATCH(N$5,スコア表[#Headers],0)),スコア表[07],0),"-")</f>
        <v>33</v>
      </c>
      <c r="O37" s="79">
        <f>IFERROR(_xlfn.RANK.EQ(INDEX(スコア表[],MATCH($C37,スコア表['#],0),MATCH(O$5,スコア表[#Headers],0)),スコア表[08],0),"-")</f>
        <v>35</v>
      </c>
      <c r="P37" s="79">
        <f>IFERROR(_xlfn.RANK.EQ(INDEX(スコア表[],MATCH($C37,スコア表['#],0),MATCH(P$5,スコア表[#Headers],0)),スコア表[09],0),"-")</f>
        <v>3</v>
      </c>
      <c r="Q37" s="79">
        <f>IFERROR(_xlfn.RANK.EQ(INDEX(スコア表[],MATCH($C37,スコア表['#],0),MATCH(Q$5,スコア表[#Headers],0)),スコア表[10],0),"-")</f>
        <v>4</v>
      </c>
      <c r="R37" s="79">
        <f>IFERROR(_xlfn.RANK.EQ(INDEX(スコア表[],MATCH($C37,スコア表['#],0),MATCH(R$5,スコア表[#Headers],0)),スコア表[11],0),"-")</f>
        <v>13</v>
      </c>
      <c r="S37" s="79">
        <f>IFERROR(_xlfn.RANK.EQ(INDEX(スコア表[],MATCH($C37,スコア表['#],0),MATCH(S$5,スコア表[#Headers],0)),スコア表[12],0),"-")</f>
        <v>34</v>
      </c>
      <c r="T37" s="79">
        <f>IFERROR(_xlfn.RANK.EQ(INDEX(スコア表[],MATCH($C37,スコア表['#],0),MATCH(T$5,スコア表[#Headers],0)),スコア表[13],0),"-")</f>
        <v>6</v>
      </c>
      <c r="U37" s="79">
        <f>IFERROR(_xlfn.RANK.EQ(INDEX(スコア表[],MATCH($C37,スコア表['#],0),MATCH(U$5,スコア表[#Headers],0)),スコア表[14],0),"-")</f>
        <v>15</v>
      </c>
      <c r="V37" s="79">
        <f>IFERROR(_xlfn.RANK.EQ(INDEX(スコア表[],MATCH($C37,スコア表['#],0),MATCH(V$5,スコア表[#Headers],0)),スコア表[15],0),"-")</f>
        <v>8</v>
      </c>
      <c r="W37" s="79">
        <f>IFERROR(_xlfn.RANK.EQ(INDEX(スコア表[],MATCH($C37,スコア表['#],0),MATCH(W$5,スコア表[#Headers],0)),スコア表[16],0),"-")</f>
        <v>8</v>
      </c>
      <c r="X37" s="79">
        <f>IFERROR(_xlfn.RANK.EQ(INDEX(スコア表[],MATCH($C37,スコア表['#],0),MATCH(X$5,スコア表[#Headers],0)),スコア表[17],0),"-")</f>
        <v>29</v>
      </c>
      <c r="Y37" s="79">
        <f>IFERROR(_xlfn.RANK.EQ(INDEX(スコア表[],MATCH($C37,スコア表['#],0),MATCH(Y$5,スコア表[#Headers],0)),スコア表[18],0),"-")</f>
        <v>25</v>
      </c>
      <c r="Z37" s="79">
        <f>IFERROR(_xlfn.RANK.EQ(INDEX(スコア表[],MATCH($C37,スコア表['#],0),MATCH(Z$5,スコア表[#Headers],0)),スコア表[19],0),"-")</f>
        <v>14</v>
      </c>
      <c r="AA37" s="79">
        <f>IFERROR(_xlfn.RANK.EQ(INDEX(スコア表[],MATCH($C37,スコア表['#],0),MATCH(AA$5,スコア表[#Headers],0)),スコア表[20],0),"-")</f>
        <v>2</v>
      </c>
      <c r="AB37" s="79">
        <f>IFERROR(_xlfn.RANK.EQ(INDEX(スコア表[],MATCH($C37,スコア表['#],0),MATCH(AB$5,スコア表[#Headers],0)),スコア表[21],0),"-")</f>
        <v>3</v>
      </c>
      <c r="AC37" s="79">
        <f>IFERROR(_xlfn.RANK.EQ(INDEX(スコア表[],MATCH($C37,スコア表['#],0),MATCH(AC$5,スコア表[#Headers],0)),スコア表[22],0),"-")</f>
        <v>38</v>
      </c>
      <c r="AD37" s="79">
        <f>IFERROR(_xlfn.RANK.EQ(INDEX(スコア表[],MATCH($C37,スコア表['#],0),MATCH(AD$5,スコア表[#Headers],0)),スコア表[23],0),"-")</f>
        <v>27</v>
      </c>
      <c r="AE37" s="79">
        <f>IFERROR(_xlfn.RANK.EQ(INDEX(スコア表[],MATCH($C37,スコア表['#],0),MATCH(AE$5,スコア表[#Headers],0)),スコア表[24],0),"-")</f>
        <v>10</v>
      </c>
      <c r="AF37" s="79">
        <f>IFERROR(_xlfn.RANK.EQ(INDEX(スコア表[],MATCH($C37,スコア表['#],0),MATCH(AF$5,スコア表[#Headers],0)),スコア表[25],0),"-")</f>
        <v>8</v>
      </c>
      <c r="AG37" s="79">
        <f>IFERROR(_xlfn.RANK.EQ(INDEX(スコア表[],MATCH($C37,スコア表['#],0),MATCH(AG$5,スコア表[#Headers],0)),スコア表[26],0),"-")</f>
        <v>35</v>
      </c>
      <c r="AH37" s="79">
        <f>IFERROR(_xlfn.RANK.EQ(INDEX(スコア表[],MATCH($C37,スコア表['#],0),MATCH(AH$5,スコア表[#Headers],0)),スコア表[27],0),"-")</f>
        <v>38</v>
      </c>
      <c r="AI37" s="79">
        <f>IFERROR(_xlfn.RANK.EQ(INDEX(スコア表[],MATCH($C37,スコア表['#],0),MATCH(AI$5,スコア表[#Headers],0)),スコア表[28],0),"-")</f>
        <v>37</v>
      </c>
      <c r="AJ37" s="79">
        <f>IFERROR(_xlfn.RANK.EQ(INDEX(スコア表[],MATCH($C37,スコア表['#],0),MATCH(AJ$5,スコア表[#Headers],0)),スコア表[29],0),"-")</f>
        <v>19</v>
      </c>
      <c r="AK37" s="79">
        <f>IFERROR(_xlfn.RANK.EQ(INDEX(スコア表[],MATCH($C37,スコア表['#],0),MATCH(AK$5,スコア表[#Headers],0)),スコア表[30],0),"-")</f>
        <v>32</v>
      </c>
      <c r="AL37" s="79">
        <f>IFERROR(_xlfn.RANK.EQ(INDEX(スコア表[],MATCH($C37,スコア表['#],0),MATCH(AL$5,スコア表[#Headers],0)),スコア表[31],0),"-")</f>
        <v>34</v>
      </c>
      <c r="AM37" s="79">
        <f>IFERROR(_xlfn.RANK.EQ(INDEX(スコア表[],MATCH($C37,スコア表['#],0),MATCH(AM$5,スコア表[#Headers],0)),スコア表[32],0),"-")</f>
        <v>32</v>
      </c>
      <c r="AN37" s="79">
        <f>IFERROR(_xlfn.RANK.EQ(INDEX(スコア表[],MATCH($C37,スコア表['#],0),MATCH(AN$5,スコア表[#Headers],0)),スコア表[33],0),"-")</f>
        <v>29</v>
      </c>
      <c r="AO37" s="79">
        <f>IFERROR(_xlfn.RANK.EQ(INDEX(スコア表[],MATCH($C37,スコア表['#],0),MATCH(AO$5,スコア表[#Headers],0)),スコア表[34],0),"-")</f>
        <v>40</v>
      </c>
      <c r="AP37" s="79">
        <f>IFERROR(_xlfn.RANK.EQ(INDEX(スコア表[],MATCH($C37,スコア表['#],0),MATCH(AP$5,スコア表[#Headers],0)),スコア表[35],0),"-")</f>
        <v>12</v>
      </c>
      <c r="AQ37" s="79">
        <f>IFERROR(_xlfn.RANK.EQ(INDEX(スコア表[],MATCH($C37,スコア表['#],0),MATCH(AQ$5,スコア表[#Headers],0)),スコア表[36],0),"-")</f>
        <v>33</v>
      </c>
      <c r="AR37" s="79">
        <f>IFERROR(_xlfn.RANK.EQ(INDEX(スコア表[],MATCH($C37,スコア表['#],0),MATCH(AR$5,スコア表[#Headers],0)),スコア表[37],0),"-")</f>
        <v>30</v>
      </c>
      <c r="AS37" s="79">
        <f>IFERROR(_xlfn.RANK.EQ(INDEX(スコア表[],MATCH($C37,スコア表['#],0),MATCH(AS$5,スコア表[#Headers],0)),スコア表[38],0),"-")</f>
        <v>5</v>
      </c>
      <c r="AT37" s="79">
        <f>IFERROR(_xlfn.RANK.EQ(INDEX(スコア表[],MATCH($C37,スコア表['#],0),MATCH(AT$5,スコア表[#Headers],0)),スコア表[39],0),"-")</f>
        <v>20</v>
      </c>
      <c r="AU37" s="79">
        <f>IFERROR(_xlfn.RANK.EQ(INDEX(スコア表[],MATCH($C37,スコア表['#],0),MATCH(AU$5,スコア表[#Headers],0)),スコア表[40],0),"-")</f>
        <v>10</v>
      </c>
      <c r="AV37" s="79">
        <f>IFERROR(_xlfn.RANK.EQ(INDEX(スコア表[],MATCH($C37,スコア表['#],0),MATCH(AV$5,スコア表[#Headers],0)),スコア表[41],0),"-")</f>
        <v>47</v>
      </c>
      <c r="AW37" s="79">
        <f>IFERROR(_xlfn.RANK.EQ(INDEX(スコア表[],MATCH($C37,スコア表['#],0),MATCH(AW$5,スコア表[#Headers],0)),スコア表[42],0),"-")</f>
        <v>42</v>
      </c>
      <c r="AX37" s="79">
        <f>IFERROR(_xlfn.RANK.EQ(INDEX(スコア表[],MATCH($C37,スコア表['#],0),MATCH(AX$5,スコア表[#Headers],0)),スコア表[43],0),"-")</f>
        <v>40</v>
      </c>
      <c r="AY37" s="79">
        <f>IFERROR(_xlfn.RANK.EQ(INDEX(スコア表[],MATCH($C37,スコア表['#],0),MATCH(AY$5,スコア表[#Headers],0)),スコア表[44],0),"-")</f>
        <v>37</v>
      </c>
      <c r="AZ37" s="79">
        <f>IFERROR(_xlfn.RANK.EQ(INDEX(スコア表[],MATCH($C37,スコア表['#],0),MATCH(AZ$5,スコア表[#Headers],0)),スコア表[45],0),"-")</f>
        <v>30</v>
      </c>
      <c r="BA37" s="79">
        <f>IFERROR(_xlfn.RANK.EQ(INDEX(スコア表[],MATCH($C37,スコア表['#],0),MATCH(BA$5,スコア表[#Headers],0)),スコア表[46],0),"-")</f>
        <v>20</v>
      </c>
      <c r="BB37" s="79">
        <f>IFERROR(_xlfn.RANK.EQ(INDEX(スコア表[],MATCH($C37,スコア表['#],0),MATCH(BB$5,スコア表[#Headers],0)),スコア表[47],0),"-")</f>
        <v>40</v>
      </c>
      <c r="BC37" s="79">
        <f>IFERROR(_xlfn.RANK.EQ(INDEX(スコア表[],MATCH($C37,スコア表['#],0),MATCH(BC$5,スコア表[#Headers],0)),スコア表[48],0),"-")</f>
        <v>10</v>
      </c>
      <c r="BD37" s="79">
        <f>IFERROR(_xlfn.RANK.EQ(INDEX(スコア表[],MATCH($C37,スコア表['#],0),MATCH(BD$5,スコア表[#Headers],0)),スコア表[49],0),"-")</f>
        <v>1</v>
      </c>
      <c r="BE37" s="79">
        <f>IFERROR(_xlfn.RANK.EQ(INDEX(スコア表[],MATCH($C37,スコア表['#],0),MATCH(BE$5,スコア表[#Headers],0)),スコア表[50],0),"-")</f>
        <v>44</v>
      </c>
      <c r="BF37" s="79">
        <f>IFERROR(_xlfn.RANK.EQ(INDEX(スコア表[],MATCH($C37,スコア表['#],0),MATCH(BF$5,スコア表[#Headers],0)),スコア表[51],0),"-")</f>
        <v>28</v>
      </c>
      <c r="BG37" s="79">
        <f>IFERROR(_xlfn.RANK.EQ(INDEX(スコア表[],MATCH($C37,スコア表['#],0),MATCH(BG$5,スコア表[#Headers],0)),スコア表[52],0),"-")</f>
        <v>10</v>
      </c>
      <c r="BH37" s="79">
        <f>IFERROR(_xlfn.RANK.EQ(INDEX(スコア表[],MATCH($C37,スコア表['#],0),MATCH(BH$5,スコア表[#Headers],0)),スコア表[53],0),"-")</f>
        <v>30</v>
      </c>
      <c r="BI37" s="79">
        <f>IFERROR(_xlfn.RANK.EQ(INDEX(スコア表[],MATCH($C37,スコア表['#],0),MATCH(BI$5,スコア表[#Headers],0)),スコア表[54],0),"-")</f>
        <v>26</v>
      </c>
      <c r="BJ37" s="79">
        <f>IFERROR(_xlfn.RANK.EQ(INDEX(スコア表[],MATCH($C37,スコア表['#],0),MATCH(BJ$5,スコア表[#Headers],0)),スコア表[55],0),"-")</f>
        <v>47</v>
      </c>
      <c r="BK37" s="79">
        <f>IFERROR(_xlfn.RANK.EQ(INDEX(スコア表[],MATCH($C37,スコア表['#],0),MATCH(BK$5,スコア表[#Headers],0)),スコア表[56],0),"-")</f>
        <v>8</v>
      </c>
      <c r="BL37" s="79">
        <f>IFERROR(_xlfn.RANK.EQ(INDEX(スコア表[],MATCH($C37,スコア表['#],0),MATCH(BL$5,スコア表[#Headers],0)),スコア表[57],0),"-")</f>
        <v>12</v>
      </c>
      <c r="BM37" s="79">
        <f>IFERROR(_xlfn.RANK.EQ(INDEX(スコア表[],MATCH($C37,スコア表['#],0),MATCH(BM$5,スコア表[#Headers],0)),スコア表[58],0),"-")</f>
        <v>28</v>
      </c>
      <c r="BN37" s="79">
        <f>IFERROR(_xlfn.RANK.EQ(INDEX(スコア表[],MATCH($C37,スコア表['#],0),MATCH(BN$5,スコア表[#Headers],0)),スコア表[59],0),"-")</f>
        <v>36</v>
      </c>
      <c r="BO37" s="79">
        <f>IFERROR(_xlfn.RANK.EQ(INDEX(スコア表[],MATCH($C37,スコア表['#],0),MATCH(BO$5,スコア表[#Headers],0)),スコア表[60],0),"-")</f>
        <v>45</v>
      </c>
      <c r="BP37" s="79">
        <f>IFERROR(_xlfn.RANK.EQ(INDEX(スコア表[],MATCH($C37,スコア表['#],0),MATCH(BP$5,スコア表[#Headers],0)),スコア表[61],0),"-")</f>
        <v>40</v>
      </c>
      <c r="BQ37" s="79">
        <f>IFERROR(_xlfn.RANK.EQ(INDEX(スコア表[],MATCH($C37,スコア表['#],0),MATCH(BQ$5,スコア表[#Headers],0)),スコア表[62],0),"-")</f>
        <v>35</v>
      </c>
      <c r="BR37" s="79">
        <f>IFERROR(_xlfn.RANK.EQ(INDEX(スコア表[],MATCH($C37,スコア表['#],0),MATCH(BR$5,スコア表[#Headers],0)),スコア表[63],0),"-")</f>
        <v>17</v>
      </c>
      <c r="BS37" s="79">
        <f>IFERROR(_xlfn.RANK.EQ(INDEX(スコア表[],MATCH($C37,スコア表['#],0),MATCH(BS$5,スコア表[#Headers],0)),スコア表[64],0),"-")</f>
        <v>19</v>
      </c>
      <c r="BT37" s="79">
        <f>IFERROR(_xlfn.RANK.EQ(INDEX(スコア表[],MATCH($C37,スコア表['#],0),MATCH(BT$5,スコア表[#Headers],0)),スコア表[65],0),"-")</f>
        <v>18</v>
      </c>
      <c r="BU37" s="79">
        <f>IFERROR(_xlfn.RANK.EQ(INDEX(スコア表[],MATCH($C37,スコア表['#],0),MATCH(BU$5,スコア表[#Headers],0)),スコア表[66],0),"-")</f>
        <v>37</v>
      </c>
      <c r="BV37" s="79">
        <f>IFERROR(_xlfn.RANK.EQ(INDEX(スコア表[],MATCH($C37,スコア表['#],0),MATCH(BV$5,スコア表[#Headers],0)),スコア表[67],0),"-")</f>
        <v>9</v>
      </c>
      <c r="BW37" s="79">
        <f>IFERROR(_xlfn.RANK.EQ(INDEX(スコア表[],MATCH($C37,スコア表['#],0),MATCH(BW$5,スコア表[#Headers],0)),スコア表[68],0),"-")</f>
        <v>25</v>
      </c>
      <c r="BX37" s="79">
        <f>IFERROR(_xlfn.RANK.EQ(INDEX(スコア表[],MATCH($C37,スコア表['#],0),MATCH(BX$5,スコア表[#Headers],0)),スコア表[69],0),"-")</f>
        <v>19</v>
      </c>
      <c r="BY37" s="79">
        <f>IFERROR(_xlfn.RANK.EQ(INDEX(スコア表[],MATCH($C37,スコア表['#],0),MATCH(BY$5,スコア表[#Headers],0)),スコア表[70],0),"-")</f>
        <v>39</v>
      </c>
      <c r="BZ37" s="79">
        <f>IFERROR(_xlfn.RANK.EQ(INDEX(スコア表[],MATCH($C37,スコア表['#],0),MATCH(BZ$5,スコア表[#Headers],0)),スコア表[Ec1],0),"-")</f>
        <v>3</v>
      </c>
      <c r="CA37" s="79">
        <f>IFERROR(_xlfn.RANK.EQ(INDEX(スコア表[],MATCH($C37,スコア表['#],0),MATCH(CA$5,スコア表[#Headers],0)),スコア表[Ec2],0),"-")</f>
        <v>12</v>
      </c>
      <c r="CB37" s="79">
        <f>IFERROR(_xlfn.RANK.EQ(INDEX(スコア表[],MATCH($C37,スコア表['#],0),MATCH(CB$5,スコア表[#Headers],0)),スコア表[Ec3],0),"-")</f>
        <v>27</v>
      </c>
      <c r="CC37" s="79">
        <f>IFERROR(_xlfn.RANK.EQ(INDEX(スコア表[],MATCH($C37,スコア表['#],0),MATCH(CC$5,スコア表[#Headers],0)),スコア表[Ec4],0),"-")</f>
        <v>42</v>
      </c>
      <c r="CD37" s="79">
        <f>IFERROR(_xlfn.RANK.EQ(INDEX(スコア表[],MATCH($C37,スコア表['#],0),MATCH(CD$5,スコア表[#Headers],0)),スコア表[Ec5],0),"-")</f>
        <v>3</v>
      </c>
      <c r="CE37" s="79">
        <f>IFERROR(_xlfn.RANK.EQ(INDEX(スコア表[],MATCH($C37,スコア表['#],0),MATCH(CE$5,スコア表[#Headers],0)),スコア表[Ec6],0),"-")</f>
        <v>19</v>
      </c>
      <c r="CF37" s="79">
        <f>IFERROR(_xlfn.RANK.EQ(INDEX(スコア表[],MATCH($C37,スコア表['#],0),MATCH(CF$5,スコア表[#Headers],0)),スコア表[RD1],0),"-")</f>
        <v>13</v>
      </c>
      <c r="CG37" s="79">
        <f>IFERROR(_xlfn.RANK.EQ(INDEX(スコア表[],MATCH($C37,スコア表['#],0),MATCH(CG$5,スコア表[#Headers],0)),スコア表[RD2],0),"-")</f>
        <v>17</v>
      </c>
      <c r="CH37" s="79">
        <f>IFERROR(_xlfn.RANK.EQ(INDEX(スコア表[],MATCH($C37,スコア表['#],0),MATCH(CH$5,スコア表[#Headers],0)),スコア表[RD3],0),"-")</f>
        <v>2</v>
      </c>
      <c r="CI37" s="79">
        <f>IFERROR(_xlfn.RANK.EQ(INDEX(スコア表[],MATCH($C37,スコア表['#],0),MATCH(CI$5,スコア表[#Headers],0)),スコア表[CI1],0),"-")</f>
        <v>25</v>
      </c>
      <c r="CJ37" s="79">
        <f>IFERROR(_xlfn.RANK.EQ(INDEX(スコア表[],MATCH($C37,スコア表['#],0),MATCH(CJ$5,スコア表[#Headers],0)),スコア表[CI2],0),"-")</f>
        <v>39</v>
      </c>
      <c r="CK37" s="79">
        <f>IFERROR(_xlfn.RANK.EQ(INDEX(スコア表[],MATCH($C37,スコア表['#],0),MATCH(CK$5,スコア表[#Headers],0)),スコア表[CI3],0),"-")</f>
        <v>31</v>
      </c>
      <c r="CL37" s="79">
        <f>IFERROR(_xlfn.RANK.EQ(INDEX(スコア表[],MATCH($C37,スコア表['#],0),MATCH(CL$5,スコア表[#Headers],0)),スコア表[CI4],0),"-")</f>
        <v>27</v>
      </c>
      <c r="CM37" s="79">
        <f>IFERROR(_xlfn.RANK.EQ(INDEX(スコア表[],MATCH($C37,スコア表['#],0),MATCH(CM$5,スコア表[#Headers],0)),スコア表[CI5],0),"-")</f>
        <v>36</v>
      </c>
      <c r="CN37" s="79">
        <f>IFERROR(_xlfn.RANK.EQ(INDEX(スコア表[],MATCH($C37,スコア表['#],0),MATCH(CN$5,スコア表[#Headers],0)),スコア表[Li1],0),"-")</f>
        <v>3</v>
      </c>
      <c r="CO37" s="79">
        <f>IFERROR(_xlfn.RANK.EQ(INDEX(スコア表[],MATCH($C37,スコア表['#],0),MATCH(CO$5,スコア表[#Headers],0)),スコア表[Li2],0),"-")</f>
        <v>45</v>
      </c>
      <c r="CP37" s="79">
        <f>IFERROR(_xlfn.RANK.EQ(INDEX(スコア表[],MATCH($C37,スコア表['#],0),MATCH(CP$5,スコア表[#Headers],0)),スコア表[Li3],0),"-")</f>
        <v>38</v>
      </c>
      <c r="CQ37" s="79">
        <f>IFERROR(_xlfn.RANK.EQ(INDEX(スコア表[],MATCH($C37,スコア表['#],0),MATCH(CQ$5,スコア表[#Headers],0)),スコア表[Li4],0),"-")</f>
        <v>36</v>
      </c>
      <c r="CR37" s="79">
        <f>IFERROR(_xlfn.RANK.EQ(INDEX(スコア表[],MATCH($C37,スコア表['#],0),MATCH(CR$5,スコア表[#Headers],0)),スコア表[Li5],0),"-")</f>
        <v>15</v>
      </c>
      <c r="CS37" s="79">
        <f>IFERROR(_xlfn.RANK.EQ(INDEX(スコア表[],MATCH($C37,スコア表['#],0),MATCH(CS$5,スコア表[#Headers],0)),スコア表[En1],0),"-")</f>
        <v>19</v>
      </c>
      <c r="CT37" s="79">
        <f>IFERROR(_xlfn.RANK.EQ(INDEX(スコア表[],MATCH($C37,スコア表['#],0),MATCH(CT$5,スコア表[#Headers],0)),スコア表[En2],0),"-")</f>
        <v>41</v>
      </c>
      <c r="CU37" s="79">
        <f>IFERROR(_xlfn.RANK.EQ(INDEX(スコア表[],MATCH($C37,スコア表['#],0),MATCH(CU$5,スコア表[#Headers],0)),スコア表[En3],0),"-")</f>
        <v>39</v>
      </c>
      <c r="CV37" s="79">
        <f>IFERROR(_xlfn.RANK.EQ(INDEX(スコア表[],MATCH($C37,スコア表['#],0),MATCH(CV$5,スコア表[#Headers],0)),スコア表[Ac1],0),"-")</f>
        <v>44</v>
      </c>
      <c r="CW37" s="79">
        <f>IFERROR(_xlfn.RANK.EQ(INDEX(スコア表[],MATCH($C37,スコア表['#],0),MATCH(CW$5,スコア表[#Headers],0)),スコア表[Ac2],0),"-")</f>
        <v>17</v>
      </c>
      <c r="CX37" s="79">
        <f>IFERROR(_xlfn.RANK.EQ(INDEX(スコア表[],MATCH($C37,スコア表['#],0),MATCH(CX$5,スコア表[#Headers],0)),スコア表[Ac3],0),"-")</f>
        <v>22</v>
      </c>
      <c r="CY37" s="79">
        <f>IFERROR(_xlfn.RANK.EQ(INDEX(スコア表[],MATCH($C37,スコア表['#],0),MATCH(CY$5,スコア表[#Headers],0)),スコア表[Ac4],0),"-")</f>
        <v>28</v>
      </c>
      <c r="CZ37" s="79">
        <f>IFERROR(_xlfn.RANK.EQ(INDEX(スコア表[],MATCH($C37,スコア表['#],0),MATCH(CZ$5,スコア表[#Headers],0)),スコア表[Economy],0),"-")</f>
        <v>7</v>
      </c>
      <c r="DA37" s="79">
        <f>IFERROR(_xlfn.RANK.EQ(INDEX(スコア表[],MATCH($C37,スコア表['#],0),MATCH(DA$5,スコア表[#Headers],0)),スコア表[R&amp;D],0),"-")</f>
        <v>7</v>
      </c>
      <c r="DB37" s="79">
        <f>IFERROR(_xlfn.RANK.EQ(INDEX(スコア表[],MATCH($C37,スコア表['#],0),MATCH(DB$5,スコア表[#Headers],0)),スコア表[Cultural Interaction],0),"-")</f>
        <v>38</v>
      </c>
      <c r="DC37" s="79">
        <f>IFERROR(_xlfn.RANK.EQ(INDEX(スコア表[],MATCH($C37,スコア表['#],0),MATCH(DC$5,スコア表[#Headers],0)),スコア表[Livability],0),"-")</f>
        <v>39</v>
      </c>
      <c r="DD37" s="79">
        <f>IFERROR(_xlfn.RANK.EQ(INDEX(スコア表[],MATCH($C37,スコア表['#],0),MATCH(DD$5,スコア表[#Headers],0)),スコア表[Environment],0),"-")</f>
        <v>43</v>
      </c>
      <c r="DE37" s="79">
        <f>IFERROR(_xlfn.RANK.EQ(INDEX(スコア表[],MATCH($C37,スコア表['#],0),MATCH(DE$5,スコア表[#Headers],0)),スコア表[Accessibility],0),"-")</f>
        <v>30</v>
      </c>
      <c r="DF37" s="81">
        <f>IFERROR(_xlfn.RANK.EQ(INDEX(スコア表[],MATCH($C37,スコア表['#],0),MATCH(DF$5,スコア表[#Headers],0)),スコア表[Comprehensive],0),"-")</f>
        <v>27</v>
      </c>
    </row>
    <row r="38" spans="1:110">
      <c r="A38" s="2">
        <v>33</v>
      </c>
      <c r="B38" s="58">
        <f>INDEX(順位表[Comprehensive],MATCH($C38,順位表['#],0))</f>
        <v>21</v>
      </c>
      <c r="C38" s="3">
        <v>33</v>
      </c>
      <c r="D38" s="1" t="str">
        <f>INDEX(都市マスタ[City Name],MATCH($C38,都市マスタ['#],0))</f>
        <v>Los Angeles</v>
      </c>
      <c r="E38" s="79">
        <f>IFERROR(_xlfn.RANK.EQ(INDEX(スコア表[],MATCH($C38,スコア表['#],0),MATCH(E$5,スコア表[#Headers],0)),スコア表[00a],0),"-")</f>
        <v>20</v>
      </c>
      <c r="F38" s="79">
        <f>IFERROR(_xlfn.RANK.EQ(INDEX(スコア表[],MATCH($C38,スコア表['#],0),MATCH(F$5,スコア表[#Headers],0)),スコア表[00b],0),"-")</f>
        <v>14</v>
      </c>
      <c r="G38" s="79">
        <f>IFERROR(_xlfn.RANK.EQ(INDEX(スコア表[],MATCH($C38,スコア表['#],0),MATCH(G$5,スコア表[#Headers],0)),スコア表[00c],0),"-")</f>
        <v>29</v>
      </c>
      <c r="H38" s="79">
        <f>IFERROR(_xlfn.RANK.EQ(INDEX(スコア表[],MATCH($C38,スコア表['#],0),MATCH(H$5,スコア表[#Headers],0)),スコア表[01],0),"-")</f>
        <v>10</v>
      </c>
      <c r="I38" s="79">
        <f>IFERROR(_xlfn.RANK.EQ(INDEX(スコア表[],MATCH($C38,スコア表['#],0),MATCH(I$5,スコア表[#Headers],0)),スコア表[02],0),"-")</f>
        <v>15</v>
      </c>
      <c r="J38" s="79">
        <f>IFERROR(_xlfn.RANK.EQ(INDEX(スコア表[],MATCH($C38,スコア表['#],0),MATCH(J$5,スコア表[#Headers],0)),スコア表[03],0),"-")</f>
        <v>24</v>
      </c>
      <c r="K38" s="79">
        <f>IFERROR(_xlfn.RANK.EQ(INDEX(スコア表[],MATCH($C38,スコア表['#],0),MATCH(K$5,スコア表[#Headers],0)),スコア表[04],0),"-")</f>
        <v>19</v>
      </c>
      <c r="L38" s="79">
        <f>IFERROR(_xlfn.RANK.EQ(INDEX(スコア表[],MATCH($C38,スコア表['#],0),MATCH(L$5,スコア表[#Headers],0)),スコア表[05],0),"-")</f>
        <v>36</v>
      </c>
      <c r="M38" s="79">
        <f>IFERROR(_xlfn.RANK.EQ(INDEX(スコア表[],MATCH($C38,スコア表['#],0),MATCH(M$5,スコア表[#Headers],0)),スコア表[06],0),"-")</f>
        <v>27</v>
      </c>
      <c r="N38" s="79">
        <f>IFERROR(_xlfn.RANK.EQ(INDEX(スコア表[],MATCH($C38,スコア表['#],0),MATCH(N$5,スコア表[#Headers],0)),スコア表[07],0),"-")</f>
        <v>17</v>
      </c>
      <c r="O38" s="79">
        <f>IFERROR(_xlfn.RANK.EQ(INDEX(スコア表[],MATCH($C38,スコア表['#],0),MATCH(O$5,スコア表[#Headers],0)),スコア表[08],0),"-")</f>
        <v>39</v>
      </c>
      <c r="P38" s="79">
        <f>IFERROR(_xlfn.RANK.EQ(INDEX(スコア表[],MATCH($C38,スコア表['#],0),MATCH(P$5,スコア表[#Headers],0)),スコア表[09],0),"-")</f>
        <v>7</v>
      </c>
      <c r="Q38" s="79">
        <f>IFERROR(_xlfn.RANK.EQ(INDEX(スコア表[],MATCH($C38,スコア表['#],0),MATCH(Q$5,スコア表[#Headers],0)),スコア表[10],0),"-")</f>
        <v>9</v>
      </c>
      <c r="R38" s="79">
        <f>IFERROR(_xlfn.RANK.EQ(INDEX(スコア表[],MATCH($C38,スコア表['#],0),MATCH(R$5,スコア表[#Headers],0)),スコア表[11],0),"-")</f>
        <v>10</v>
      </c>
      <c r="S38" s="79">
        <f>IFERROR(_xlfn.RANK.EQ(INDEX(スコア表[],MATCH($C38,スコア表['#],0),MATCH(S$5,スコア表[#Headers],0)),スコア表[12],0),"-")</f>
        <v>34</v>
      </c>
      <c r="T38" s="79">
        <f>IFERROR(_xlfn.RANK.EQ(INDEX(スコア表[],MATCH($C38,スコア表['#],0),MATCH(T$5,スコア表[#Headers],0)),スコア表[13],0),"-")</f>
        <v>11</v>
      </c>
      <c r="U38" s="79">
        <f>IFERROR(_xlfn.RANK.EQ(INDEX(スコア表[],MATCH($C38,スコア表['#],0),MATCH(U$5,スコア表[#Headers],0)),スコア表[14],0),"-")</f>
        <v>4</v>
      </c>
      <c r="V38" s="79">
        <f>IFERROR(_xlfn.RANK.EQ(INDEX(スコア表[],MATCH($C38,スコア表['#],0),MATCH(V$5,スコア表[#Headers],0)),スコア表[15],0),"-")</f>
        <v>5</v>
      </c>
      <c r="W38" s="79">
        <f>IFERROR(_xlfn.RANK.EQ(INDEX(スコア表[],MATCH($C38,スコア表['#],0),MATCH(W$5,スコア表[#Headers],0)),スコア表[16],0),"-")</f>
        <v>2</v>
      </c>
      <c r="X38" s="79">
        <f>IFERROR(_xlfn.RANK.EQ(INDEX(スコア表[],MATCH($C38,スコア表['#],0),MATCH(X$5,スコア表[#Headers],0)),スコア表[17],0),"-")</f>
        <v>21</v>
      </c>
      <c r="Y38" s="79">
        <f>IFERROR(_xlfn.RANK.EQ(INDEX(スコア表[],MATCH($C38,スコア表['#],0),MATCH(Y$5,スコア表[#Headers],0)),スコア表[18],0),"-")</f>
        <v>25</v>
      </c>
      <c r="Z38" s="79">
        <f>IFERROR(_xlfn.RANK.EQ(INDEX(スコア表[],MATCH($C38,スコア表['#],0),MATCH(Z$5,スコア表[#Headers],0)),スコア表[19],0),"-")</f>
        <v>4</v>
      </c>
      <c r="AA38" s="79">
        <f>IFERROR(_xlfn.RANK.EQ(INDEX(スコア表[],MATCH($C38,スコア表['#],0),MATCH(AA$5,スコア表[#Headers],0)),スコア表[20],0),"-")</f>
        <v>5</v>
      </c>
      <c r="AB38" s="79">
        <f>IFERROR(_xlfn.RANK.EQ(INDEX(スコア表[],MATCH($C38,スコア表['#],0),MATCH(AB$5,スコア表[#Headers],0)),スコア表[21],0),"-")</f>
        <v>4</v>
      </c>
      <c r="AC38" s="79">
        <f>IFERROR(_xlfn.RANK.EQ(INDEX(スコア表[],MATCH($C38,スコア表['#],0),MATCH(AC$5,スコア表[#Headers],0)),スコア表[22],0),"-")</f>
        <v>45</v>
      </c>
      <c r="AD38" s="79">
        <f>IFERROR(_xlfn.RANK.EQ(INDEX(スコア表[],MATCH($C38,スコア表['#],0),MATCH(AD$5,スコア表[#Headers],0)),スコア表[23],0),"-")</f>
        <v>33</v>
      </c>
      <c r="AE38" s="79">
        <f>IFERROR(_xlfn.RANK.EQ(INDEX(スコア表[],MATCH($C38,スコア表['#],0),MATCH(AE$5,スコア表[#Headers],0)),スコア表[24],0),"-")</f>
        <v>6</v>
      </c>
      <c r="AF38" s="79">
        <f>IFERROR(_xlfn.RANK.EQ(INDEX(スコア表[],MATCH($C38,スコア表['#],0),MATCH(AF$5,スコア表[#Headers],0)),スコア表[25],0),"-")</f>
        <v>4</v>
      </c>
      <c r="AG38" s="79">
        <f>IFERROR(_xlfn.RANK.EQ(INDEX(スコア表[],MATCH($C38,スコア表['#],0),MATCH(AG$5,スコア表[#Headers],0)),スコア表[26],0),"-")</f>
        <v>18</v>
      </c>
      <c r="AH38" s="79">
        <f>IFERROR(_xlfn.RANK.EQ(INDEX(スコア表[],MATCH($C38,スコア表['#],0),MATCH(AH$5,スコア表[#Headers],0)),スコア表[27],0),"-")</f>
        <v>37</v>
      </c>
      <c r="AI38" s="79">
        <f>IFERROR(_xlfn.RANK.EQ(INDEX(スコア表[],MATCH($C38,スコア表['#],0),MATCH(AI$5,スコア表[#Headers],0)),スコア表[28],0),"-")</f>
        <v>25</v>
      </c>
      <c r="AJ38" s="79">
        <f>IFERROR(_xlfn.RANK.EQ(INDEX(スコア表[],MATCH($C38,スコア表['#],0),MATCH(AJ$5,スコア表[#Headers],0)),スコア表[29],0),"-")</f>
        <v>12</v>
      </c>
      <c r="AK38" s="79">
        <f>IFERROR(_xlfn.RANK.EQ(INDEX(スコア表[],MATCH($C38,スコア表['#],0),MATCH(AK$5,スコア表[#Headers],0)),スコア表[30],0),"-")</f>
        <v>24</v>
      </c>
      <c r="AL38" s="79">
        <f>IFERROR(_xlfn.RANK.EQ(INDEX(スコア表[],MATCH($C38,スコア表['#],0),MATCH(AL$5,スコア表[#Headers],0)),スコア表[31],0),"-")</f>
        <v>27</v>
      </c>
      <c r="AM38" s="79">
        <f>IFERROR(_xlfn.RANK.EQ(INDEX(スコア表[],MATCH($C38,スコア表['#],0),MATCH(AM$5,スコア表[#Headers],0)),スコア表[32],0),"-")</f>
        <v>40</v>
      </c>
      <c r="AN38" s="79">
        <f>IFERROR(_xlfn.RANK.EQ(INDEX(スコア表[],MATCH($C38,スコア表['#],0),MATCH(AN$5,スコア表[#Headers],0)),スコア表[33],0),"-")</f>
        <v>47</v>
      </c>
      <c r="AO38" s="79">
        <f>IFERROR(_xlfn.RANK.EQ(INDEX(スコア表[],MATCH($C38,スコア表['#],0),MATCH(AO$5,スコア表[#Headers],0)),スコア表[34],0),"-")</f>
        <v>23</v>
      </c>
      <c r="AP38" s="79">
        <f>IFERROR(_xlfn.RANK.EQ(INDEX(スコア表[],MATCH($C38,スコア表['#],0),MATCH(AP$5,スコア表[#Headers],0)),スコア表[35],0),"-")</f>
        <v>31</v>
      </c>
      <c r="AQ38" s="79">
        <f>IFERROR(_xlfn.RANK.EQ(INDEX(スコア表[],MATCH($C38,スコア表['#],0),MATCH(AQ$5,スコア表[#Headers],0)),スコア表[36],0),"-")</f>
        <v>10</v>
      </c>
      <c r="AR38" s="79">
        <f>IFERROR(_xlfn.RANK.EQ(INDEX(スコア表[],MATCH($C38,スコア表['#],0),MATCH(AR$5,スコア表[#Headers],0)),スコア表[37],0),"-")</f>
        <v>25</v>
      </c>
      <c r="AS38" s="79">
        <f>IFERROR(_xlfn.RANK.EQ(INDEX(スコア表[],MATCH($C38,スコア表['#],0),MATCH(AS$5,スコア表[#Headers],0)),スコア表[38],0),"-")</f>
        <v>24</v>
      </c>
      <c r="AT38" s="79">
        <f>IFERROR(_xlfn.RANK.EQ(INDEX(スコア表[],MATCH($C38,スコア表['#],0),MATCH(AT$5,スコア表[#Headers],0)),スコア表[39],0),"-")</f>
        <v>25</v>
      </c>
      <c r="AU38" s="79">
        <f>IFERROR(_xlfn.RANK.EQ(INDEX(スコア表[],MATCH($C38,スコア表['#],0),MATCH(AU$5,スコア表[#Headers],0)),スコア表[40],0),"-")</f>
        <v>27</v>
      </c>
      <c r="AV38" s="79">
        <f>IFERROR(_xlfn.RANK.EQ(INDEX(スコア表[],MATCH($C38,スコア表['#],0),MATCH(AV$5,スコア表[#Headers],0)),スコア表[41],0),"-")</f>
        <v>42</v>
      </c>
      <c r="AW38" s="79">
        <f>IFERROR(_xlfn.RANK.EQ(INDEX(スコア表[],MATCH($C38,スコア表['#],0),MATCH(AW$5,スコア表[#Headers],0)),スコア表[42],0),"-")</f>
        <v>41</v>
      </c>
      <c r="AX38" s="79">
        <f>IFERROR(_xlfn.RANK.EQ(INDEX(スコア表[],MATCH($C38,スコア表['#],0),MATCH(AX$5,スコア表[#Headers],0)),スコア表[43],0),"-")</f>
        <v>43</v>
      </c>
      <c r="AY38" s="79">
        <f>IFERROR(_xlfn.RANK.EQ(INDEX(スコア表[],MATCH($C38,スコア表['#],0),MATCH(AY$5,スコア表[#Headers],0)),スコア表[44],0),"-")</f>
        <v>39</v>
      </c>
      <c r="AZ38" s="79">
        <f>IFERROR(_xlfn.RANK.EQ(INDEX(スコア表[],MATCH($C38,スコア表['#],0),MATCH(AZ$5,スコア表[#Headers],0)),スコア表[45],0),"-")</f>
        <v>30</v>
      </c>
      <c r="BA38" s="79">
        <f>IFERROR(_xlfn.RANK.EQ(INDEX(スコア表[],MATCH($C38,スコア表['#],0),MATCH(BA$5,スコア表[#Headers],0)),スコア表[46],0),"-")</f>
        <v>20</v>
      </c>
      <c r="BB38" s="79">
        <f>IFERROR(_xlfn.RANK.EQ(INDEX(スコア表[],MATCH($C38,スコア表['#],0),MATCH(BB$5,スコア表[#Headers],0)),スコア表[47],0),"-")</f>
        <v>40</v>
      </c>
      <c r="BC38" s="79">
        <f>IFERROR(_xlfn.RANK.EQ(INDEX(スコア表[],MATCH($C38,スコア表['#],0),MATCH(BC$5,スコア表[#Headers],0)),スコア表[48],0),"-")</f>
        <v>30</v>
      </c>
      <c r="BD38" s="79">
        <f>IFERROR(_xlfn.RANK.EQ(INDEX(スコア表[],MATCH($C38,スコア表['#],0),MATCH(BD$5,スコア表[#Headers],0)),スコア表[49],0),"-")</f>
        <v>1</v>
      </c>
      <c r="BE38" s="79">
        <f>IFERROR(_xlfn.RANK.EQ(INDEX(スコア表[],MATCH($C38,スコア表['#],0),MATCH(BE$5,スコア表[#Headers],0)),スコア表[50],0),"-")</f>
        <v>39</v>
      </c>
      <c r="BF38" s="79">
        <f>IFERROR(_xlfn.RANK.EQ(INDEX(スコア表[],MATCH($C38,スコア表['#],0),MATCH(BF$5,スコア表[#Headers],0)),スコア表[51],0),"-")</f>
        <v>22</v>
      </c>
      <c r="BG38" s="79">
        <f>IFERROR(_xlfn.RANK.EQ(INDEX(スコア表[],MATCH($C38,スコア表['#],0),MATCH(BG$5,スコア表[#Headers],0)),スコア表[52],0),"-")</f>
        <v>14</v>
      </c>
      <c r="BH38" s="79">
        <f>IFERROR(_xlfn.RANK.EQ(INDEX(スコア表[],MATCH($C38,スコア表['#],0),MATCH(BH$5,スコア表[#Headers],0)),スコア表[53],0),"-")</f>
        <v>30</v>
      </c>
      <c r="BI38" s="79">
        <f>IFERROR(_xlfn.RANK.EQ(INDEX(スコア表[],MATCH($C38,スコア表['#],0),MATCH(BI$5,スコア表[#Headers],0)),スコア表[54],0),"-")</f>
        <v>26</v>
      </c>
      <c r="BJ38" s="79">
        <f>IFERROR(_xlfn.RANK.EQ(INDEX(スコア表[],MATCH($C38,スコア表['#],0),MATCH(BJ$5,スコア表[#Headers],0)),スコア表[55],0),"-")</f>
        <v>39</v>
      </c>
      <c r="BK38" s="79">
        <f>IFERROR(_xlfn.RANK.EQ(INDEX(スコア表[],MATCH($C38,スコア表['#],0),MATCH(BK$5,スコア表[#Headers],0)),スコア表[56],0),"-")</f>
        <v>22</v>
      </c>
      <c r="BL38" s="79">
        <f>IFERROR(_xlfn.RANK.EQ(INDEX(スコア表[],MATCH($C38,スコア表['#],0),MATCH(BL$5,スコア表[#Headers],0)),スコア表[57],0),"-")</f>
        <v>2</v>
      </c>
      <c r="BM38" s="79">
        <f>IFERROR(_xlfn.RANK.EQ(INDEX(スコア表[],MATCH($C38,スコア表['#],0),MATCH(BM$5,スコア表[#Headers],0)),スコア表[58],0),"-")</f>
        <v>39</v>
      </c>
      <c r="BN38" s="79">
        <f>IFERROR(_xlfn.RANK.EQ(INDEX(スコア表[],MATCH($C38,スコア表['#],0),MATCH(BN$5,スコア表[#Headers],0)),スコア表[59],0),"-")</f>
        <v>43</v>
      </c>
      <c r="BO38" s="79">
        <f>IFERROR(_xlfn.RANK.EQ(INDEX(スコア表[],MATCH($C38,スコア表['#],0),MATCH(BO$5,スコア表[#Headers],0)),スコア表[60],0),"-")</f>
        <v>43</v>
      </c>
      <c r="BP38" s="79">
        <f>IFERROR(_xlfn.RANK.EQ(INDEX(スコア表[],MATCH($C38,スコア表['#],0),MATCH(BP$5,スコア表[#Headers],0)),スコア表[61],0),"-")</f>
        <v>30</v>
      </c>
      <c r="BQ38" s="79">
        <f>IFERROR(_xlfn.RANK.EQ(INDEX(スコア表[],MATCH($C38,スコア表['#],0),MATCH(BQ$5,スコア表[#Headers],0)),スコア表[62],0),"-")</f>
        <v>8</v>
      </c>
      <c r="BR38" s="79">
        <f>IFERROR(_xlfn.RANK.EQ(INDEX(スコア表[],MATCH($C38,スコア表['#],0),MATCH(BR$5,スコア表[#Headers],0)),スコア表[63],0),"-")</f>
        <v>8</v>
      </c>
      <c r="BS38" s="79">
        <f>IFERROR(_xlfn.RANK.EQ(INDEX(スコア表[],MATCH($C38,スコア表['#],0),MATCH(BS$5,スコア表[#Headers],0)),スコア表[64],0),"-")</f>
        <v>7</v>
      </c>
      <c r="BT38" s="79">
        <f>IFERROR(_xlfn.RANK.EQ(INDEX(スコア表[],MATCH($C38,スコア表['#],0),MATCH(BT$5,スコア表[#Headers],0)),スコア表[65],0),"-")</f>
        <v>43</v>
      </c>
      <c r="BU38" s="79">
        <f>IFERROR(_xlfn.RANK.EQ(INDEX(スコア表[],MATCH($C38,スコア表['#],0),MATCH(BU$5,スコア表[#Headers],0)),スコア表[66],0),"-")</f>
        <v>47</v>
      </c>
      <c r="BV38" s="79">
        <f>IFERROR(_xlfn.RANK.EQ(INDEX(スコア表[],MATCH($C38,スコア表['#],0),MATCH(BV$5,スコア表[#Headers],0)),スコア表[67],0),"-")</f>
        <v>33</v>
      </c>
      <c r="BW38" s="79">
        <f>IFERROR(_xlfn.RANK.EQ(INDEX(スコア表[],MATCH($C38,スコア表['#],0),MATCH(BW$5,スコア表[#Headers],0)),スコア表[68],0),"-")</f>
        <v>41</v>
      </c>
      <c r="BX38" s="79">
        <f>IFERROR(_xlfn.RANK.EQ(INDEX(スコア表[],MATCH($C38,スコア表['#],0),MATCH(BX$5,スコア表[#Headers],0)),スコア表[69],0),"-")</f>
        <v>4</v>
      </c>
      <c r="BY38" s="79">
        <f>IFERROR(_xlfn.RANK.EQ(INDEX(スコア表[],MATCH($C38,スコア表['#],0),MATCH(BY$5,スコア表[#Headers],0)),スコア表[70],0),"-")</f>
        <v>40</v>
      </c>
      <c r="BZ38" s="79">
        <f>IFERROR(_xlfn.RANK.EQ(INDEX(スコア表[],MATCH($C38,スコア表['#],0),MATCH(BZ$5,スコア表[#Headers],0)),スコア表[Ec1],0),"-")</f>
        <v>13</v>
      </c>
      <c r="CA38" s="79">
        <f>IFERROR(_xlfn.RANK.EQ(INDEX(スコア表[],MATCH($C38,スコア表['#],0),MATCH(CA$5,スコア表[#Headers],0)),スコア表[Ec2],0),"-")</f>
        <v>22</v>
      </c>
      <c r="CB38" s="79">
        <f>IFERROR(_xlfn.RANK.EQ(INDEX(スコア表[],MATCH($C38,スコア表['#],0),MATCH(CB$5,スコア表[#Headers],0)),スコア表[Ec3],0),"-")</f>
        <v>34</v>
      </c>
      <c r="CC38" s="79">
        <f>IFERROR(_xlfn.RANK.EQ(INDEX(スコア表[],MATCH($C38,スコア表['#],0),MATCH(CC$5,スコア表[#Headers],0)),スコア表[Ec4],0),"-")</f>
        <v>39</v>
      </c>
      <c r="CD38" s="79">
        <f>IFERROR(_xlfn.RANK.EQ(INDEX(スコア表[],MATCH($C38,スコア表['#],0),MATCH(CD$5,スコア表[#Headers],0)),スコア表[Ec5],0),"-")</f>
        <v>6</v>
      </c>
      <c r="CE38" s="79">
        <f>IFERROR(_xlfn.RANK.EQ(INDEX(スコア表[],MATCH($C38,スコア表['#],0),MATCH(CE$5,スコア表[#Headers],0)),スコア表[Ec6],0),"-")</f>
        <v>25</v>
      </c>
      <c r="CF38" s="79">
        <f>IFERROR(_xlfn.RANK.EQ(INDEX(スコア表[],MATCH($C38,スコア表['#],0),MATCH(CF$5,スコア表[#Headers],0)),スコア表[RD1],0),"-")</f>
        <v>3</v>
      </c>
      <c r="CG38" s="79">
        <f>IFERROR(_xlfn.RANK.EQ(INDEX(スコア表[],MATCH($C38,スコア表['#],0),MATCH(CG$5,スコア表[#Headers],0)),スコア表[RD2],0),"-")</f>
        <v>3</v>
      </c>
      <c r="CH38" s="79">
        <f>IFERROR(_xlfn.RANK.EQ(INDEX(スコア表[],MATCH($C38,スコア表['#],0),MATCH(CH$5,スコア表[#Headers],0)),スコア表[RD3],0),"-")</f>
        <v>6</v>
      </c>
      <c r="CI38" s="79">
        <f>IFERROR(_xlfn.RANK.EQ(INDEX(スコア表[],MATCH($C38,スコア表['#],0),MATCH(CI$5,スコア表[#Headers],0)),スコア表[CI1],0),"-")</f>
        <v>12</v>
      </c>
      <c r="CJ38" s="79">
        <f>IFERROR(_xlfn.RANK.EQ(INDEX(スコア表[],MATCH($C38,スコア表['#],0),MATCH(CJ$5,スコア表[#Headers],0)),スコア表[CI2],0),"-")</f>
        <v>31</v>
      </c>
      <c r="CK38" s="79">
        <f>IFERROR(_xlfn.RANK.EQ(INDEX(スコア表[],MATCH($C38,スコア表['#],0),MATCH(CK$5,スコア表[#Headers],0)),スコア表[CI3],0),"-")</f>
        <v>22</v>
      </c>
      <c r="CL38" s="79">
        <f>IFERROR(_xlfn.RANK.EQ(INDEX(スコア表[],MATCH($C38,スコア表['#],0),MATCH(CL$5,スコア表[#Headers],0)),スコア表[CI4],0),"-")</f>
        <v>36</v>
      </c>
      <c r="CM38" s="79">
        <f>IFERROR(_xlfn.RANK.EQ(INDEX(スコア表[],MATCH($C38,スコア表['#],0),MATCH(CM$5,スコア表[#Headers],0)),スコア表[CI5],0),"-")</f>
        <v>19</v>
      </c>
      <c r="CN38" s="79">
        <f>IFERROR(_xlfn.RANK.EQ(INDEX(スコア表[],MATCH($C38,スコア表['#],0),MATCH(CN$5,スコア表[#Headers],0)),スコア表[Li1],0),"-")</f>
        <v>31</v>
      </c>
      <c r="CO38" s="79">
        <f>IFERROR(_xlfn.RANK.EQ(INDEX(スコア表[],MATCH($C38,スコア表['#],0),MATCH(CO$5,スコア表[#Headers],0)),スコア表[Li2],0),"-")</f>
        <v>42</v>
      </c>
      <c r="CP38" s="79">
        <f>IFERROR(_xlfn.RANK.EQ(INDEX(スコア表[],MATCH($C38,スコア表['#],0),MATCH(CP$5,スコア表[#Headers],0)),スコア表[Li3],0),"-")</f>
        <v>43</v>
      </c>
      <c r="CQ38" s="79">
        <f>IFERROR(_xlfn.RANK.EQ(INDEX(スコア表[],MATCH($C38,スコア表['#],0),MATCH(CQ$5,スコア表[#Headers],0)),スコア表[Li4],0),"-")</f>
        <v>36</v>
      </c>
      <c r="CR38" s="79">
        <f>IFERROR(_xlfn.RANK.EQ(INDEX(スコア表[],MATCH($C38,スコア表['#],0),MATCH(CR$5,スコア表[#Headers],0)),スコア表[Li5],0),"-")</f>
        <v>24</v>
      </c>
      <c r="CS38" s="79">
        <f>IFERROR(_xlfn.RANK.EQ(INDEX(スコア表[],MATCH($C38,スコア表['#],0),MATCH(CS$5,スコア表[#Headers],0)),スコア表[En1],0),"-")</f>
        <v>25</v>
      </c>
      <c r="CT38" s="79">
        <f>IFERROR(_xlfn.RANK.EQ(INDEX(スコア表[],MATCH($C38,スコア表['#],0),MATCH(CT$5,スコア表[#Headers],0)),スコア表[En2],0),"-")</f>
        <v>7</v>
      </c>
      <c r="CU38" s="79">
        <f>IFERROR(_xlfn.RANK.EQ(INDEX(スコア表[],MATCH($C38,スコア表['#],0),MATCH(CU$5,スコア表[#Headers],0)),スコア表[En3],0),"-")</f>
        <v>44</v>
      </c>
      <c r="CV38" s="79">
        <f>IFERROR(_xlfn.RANK.EQ(INDEX(スコア表[],MATCH($C38,スコア表['#],0),MATCH(CV$5,スコア表[#Headers],0)),スコア表[Ac1],0),"-")</f>
        <v>18</v>
      </c>
      <c r="CW38" s="79">
        <f>IFERROR(_xlfn.RANK.EQ(INDEX(スコア表[],MATCH($C38,スコア表['#],0),MATCH(CW$5,スコア表[#Headers],0)),スコア表[Ac2],0),"-")</f>
        <v>7</v>
      </c>
      <c r="CX38" s="79">
        <f>IFERROR(_xlfn.RANK.EQ(INDEX(スコア表[],MATCH($C38,スコア表['#],0),MATCH(CX$5,スコア表[#Headers],0)),スコア表[Ac3],0),"-")</f>
        <v>46</v>
      </c>
      <c r="CY38" s="79">
        <f>IFERROR(_xlfn.RANK.EQ(INDEX(スコア表[],MATCH($C38,スコア表['#],0),MATCH(CY$5,スコア表[#Headers],0)),スコア表[Ac4],0),"-")</f>
        <v>27</v>
      </c>
      <c r="CZ38" s="79">
        <f>IFERROR(_xlfn.RANK.EQ(INDEX(スコア表[],MATCH($C38,スコア表['#],0),MATCH(CZ$5,スコア表[#Headers],0)),スコア表[Economy],0),"-")</f>
        <v>17</v>
      </c>
      <c r="DA38" s="79">
        <f>IFERROR(_xlfn.RANK.EQ(INDEX(スコア表[],MATCH($C38,スコア表['#],0),MATCH(DA$5,スコア表[#Headers],0)),スコア表[R&amp;D],0),"-")</f>
        <v>3</v>
      </c>
      <c r="DB38" s="79">
        <f>IFERROR(_xlfn.RANK.EQ(INDEX(スコア表[],MATCH($C38,スコア表['#],0),MATCH(DB$5,スコア表[#Headers],0)),スコア表[Cultural Interaction],0),"-")</f>
        <v>27</v>
      </c>
      <c r="DC38" s="79">
        <f>IFERROR(_xlfn.RANK.EQ(INDEX(スコア表[],MATCH($C38,スコア表['#],0),MATCH(DC$5,スコア表[#Headers],0)),スコア表[Livability],0),"-")</f>
        <v>44</v>
      </c>
      <c r="DD38" s="79">
        <f>IFERROR(_xlfn.RANK.EQ(INDEX(スコア表[],MATCH($C38,スコア表['#],0),MATCH(DD$5,スコア表[#Headers],0)),スコア表[Environment],0),"-")</f>
        <v>36</v>
      </c>
      <c r="DE38" s="79">
        <f>IFERROR(_xlfn.RANK.EQ(INDEX(スコア表[],MATCH($C38,スコア表['#],0),MATCH(DE$5,スコア表[#Headers],0)),スコア表[Accessibility],0),"-")</f>
        <v>26</v>
      </c>
      <c r="DF38" s="81">
        <f>IFERROR(_xlfn.RANK.EQ(INDEX(スコア表[],MATCH($C38,スコア表['#],0),MATCH(DF$5,スコア表[#Headers],0)),スコア表[Comprehensive],0),"-")</f>
        <v>21</v>
      </c>
    </row>
    <row r="39" spans="1:110">
      <c r="A39" s="2">
        <v>34</v>
      </c>
      <c r="B39" s="58">
        <f>INDEX(順位表[Comprehensive],MATCH($C39,順位表['#],0))</f>
        <v>43</v>
      </c>
      <c r="C39" s="3">
        <v>34</v>
      </c>
      <c r="D39" s="1" t="str">
        <f>INDEX(都市マスタ[City Name],MATCH($C39,都市マスタ['#],0))</f>
        <v>Mexico City</v>
      </c>
      <c r="E39" s="79">
        <f>IFERROR(_xlfn.RANK.EQ(INDEX(スコア表[],MATCH($C39,スコア表['#],0),MATCH(E$5,スコア表[#Headers],0)),スコア表[00a],0),"-")</f>
        <v>11</v>
      </c>
      <c r="F39" s="79">
        <f>IFERROR(_xlfn.RANK.EQ(INDEX(スコア表[],MATCH($C39,スコア表['#],0),MATCH(F$5,スコア表[#Headers],0)),スコア表[00b],0),"-")</f>
        <v>13</v>
      </c>
      <c r="G39" s="79">
        <f>IFERROR(_xlfn.RANK.EQ(INDEX(スコア表[],MATCH($C39,スコア表['#],0),MATCH(G$5,スコア表[#Headers],0)),スコア表[00c],0),"-")</f>
        <v>11</v>
      </c>
      <c r="H39" s="79">
        <f>IFERROR(_xlfn.RANK.EQ(INDEX(スコア表[],MATCH($C39,スコア表['#],0),MATCH(H$5,スコア表[#Headers],0)),スコア表[01],0),"-")</f>
        <v>20</v>
      </c>
      <c r="I39" s="79">
        <f>IFERROR(_xlfn.RANK.EQ(INDEX(スコア表[],MATCH($C39,スコア表['#],0),MATCH(I$5,スコア表[#Headers],0)),スコア表[02],0),"-")</f>
        <v>41</v>
      </c>
      <c r="J39" s="79">
        <f>IFERROR(_xlfn.RANK.EQ(INDEX(スコア表[],MATCH($C39,スコア表['#],0),MATCH(J$5,スコア表[#Headers],0)),スコア表[03],0),"-")</f>
        <v>29</v>
      </c>
      <c r="K39" s="79">
        <f>IFERROR(_xlfn.RANK.EQ(INDEX(スコア表[],MATCH($C39,スコア表['#],0),MATCH(K$5,スコア表[#Headers],0)),スコア表[04],0),"-")</f>
        <v>36</v>
      </c>
      <c r="L39" s="79">
        <f>IFERROR(_xlfn.RANK.EQ(INDEX(スコア表[],MATCH($C39,スコア表['#],0),MATCH(L$5,スコア表[#Headers],0)),スコア表[05],0),"-")</f>
        <v>24</v>
      </c>
      <c r="M39" s="79">
        <f>IFERROR(_xlfn.RANK.EQ(INDEX(スコア表[],MATCH($C39,スコア表['#],0),MATCH(M$5,スコア表[#Headers],0)),スコア表[06],0),"-")</f>
        <v>34</v>
      </c>
      <c r="N39" s="79">
        <f>IFERROR(_xlfn.RANK.EQ(INDEX(スコア表[],MATCH($C39,スコア表['#],0),MATCH(N$5,スコア表[#Headers],0)),スコア表[07],0),"-")</f>
        <v>13</v>
      </c>
      <c r="O39" s="79">
        <f>IFERROR(_xlfn.RANK.EQ(INDEX(スコア表[],MATCH($C39,スコア表['#],0),MATCH(O$5,スコア表[#Headers],0)),スコア表[08],0),"-")</f>
        <v>47</v>
      </c>
      <c r="P39" s="79">
        <f>IFERROR(_xlfn.RANK.EQ(INDEX(スコア表[],MATCH($C39,スコア表['#],0),MATCH(P$5,スコア表[#Headers],0)),スコア表[09],0),"-")</f>
        <v>43</v>
      </c>
      <c r="Q39" s="79">
        <f>IFERROR(_xlfn.RANK.EQ(INDEX(スコア表[],MATCH($C39,スコア表['#],0),MATCH(Q$5,スコア表[#Headers],0)),スコア表[10],0),"-")</f>
        <v>42</v>
      </c>
      <c r="R39" s="79">
        <f>IFERROR(_xlfn.RANK.EQ(INDEX(スコア表[],MATCH($C39,スコア表['#],0),MATCH(R$5,スコア表[#Headers],0)),スコア表[11],0),"-")</f>
        <v>33</v>
      </c>
      <c r="S39" s="79">
        <f>IFERROR(_xlfn.RANK.EQ(INDEX(スコア表[],MATCH($C39,スコア表['#],0),MATCH(S$5,スコア表[#Headers],0)),スコア表[12],0),"-")</f>
        <v>37</v>
      </c>
      <c r="T39" s="79">
        <f>IFERROR(_xlfn.RANK.EQ(INDEX(スコア表[],MATCH($C39,スコア表['#],0),MATCH(T$5,スコア表[#Headers],0)),スコア表[13],0),"-")</f>
        <v>40</v>
      </c>
      <c r="U39" s="79">
        <f>IFERROR(_xlfn.RANK.EQ(INDEX(スコア表[],MATCH($C39,スコア表['#],0),MATCH(U$5,スコア表[#Headers],0)),スコア表[14],0),"-")</f>
        <v>43</v>
      </c>
      <c r="V39" s="79">
        <f>IFERROR(_xlfn.RANK.EQ(INDEX(スコア表[],MATCH($C39,スコア表['#],0),MATCH(V$5,スコア表[#Headers],0)),スコア表[15],0),"-")</f>
        <v>46</v>
      </c>
      <c r="W39" s="79">
        <f>IFERROR(_xlfn.RANK.EQ(INDEX(スコア表[],MATCH($C39,スコア表['#],0),MATCH(W$5,スコア表[#Headers],0)),スコア表[16],0),"-")</f>
        <v>44</v>
      </c>
      <c r="X39" s="79">
        <f>IFERROR(_xlfn.RANK.EQ(INDEX(スコア表[],MATCH($C39,スコア表['#],0),MATCH(X$5,スコア表[#Headers],0)),スコア表[17],0),"-")</f>
        <v>45</v>
      </c>
      <c r="Y39" s="79">
        <f>IFERROR(_xlfn.RANK.EQ(INDEX(スコア表[],MATCH($C39,スコア表['#],0),MATCH(Y$5,スコア表[#Headers],0)),スコア表[18],0),"-")</f>
        <v>41</v>
      </c>
      <c r="Z39" s="79">
        <f>IFERROR(_xlfn.RANK.EQ(INDEX(スコア表[],MATCH($C39,スコア表['#],0),MATCH(Z$5,スコア表[#Headers],0)),スコア表[19],0),"-")</f>
        <v>24</v>
      </c>
      <c r="AA39" s="79">
        <f>IFERROR(_xlfn.RANK.EQ(INDEX(スコア表[],MATCH($C39,スコア表['#],0),MATCH(AA$5,スコア表[#Headers],0)),スコア表[20],0),"-")</f>
        <v>23</v>
      </c>
      <c r="AB39" s="79">
        <f>IFERROR(_xlfn.RANK.EQ(INDEX(スコア表[],MATCH($C39,スコア表['#],0),MATCH(AB$5,スコア表[#Headers],0)),スコア表[21],0),"-")</f>
        <v>32</v>
      </c>
      <c r="AC39" s="79">
        <f>IFERROR(_xlfn.RANK.EQ(INDEX(スコア表[],MATCH($C39,スコア表['#],0),MATCH(AC$5,スコア表[#Headers],0)),スコア表[22],0),"-")</f>
        <v>37</v>
      </c>
      <c r="AD39" s="79">
        <f>IFERROR(_xlfn.RANK.EQ(INDEX(スコア表[],MATCH($C39,スコア表['#],0),MATCH(AD$5,スコア表[#Headers],0)),スコア表[23],0),"-")</f>
        <v>46</v>
      </c>
      <c r="AE39" s="79">
        <f>IFERROR(_xlfn.RANK.EQ(INDEX(スコア表[],MATCH($C39,スコア表['#],0),MATCH(AE$5,スコア表[#Headers],0)),スコア表[24],0),"-")</f>
        <v>34</v>
      </c>
      <c r="AF39" s="79">
        <f>IFERROR(_xlfn.RANK.EQ(INDEX(スコア表[],MATCH($C39,スコア表['#],0),MATCH(AF$5,スコア表[#Headers],0)),スコア表[25],0),"-")</f>
        <v>12</v>
      </c>
      <c r="AG39" s="79">
        <f>IFERROR(_xlfn.RANK.EQ(INDEX(スコア表[],MATCH($C39,スコア表['#],0),MATCH(AG$5,スコア表[#Headers],0)),スコア表[26],0),"-")</f>
        <v>9</v>
      </c>
      <c r="AH39" s="79">
        <f>IFERROR(_xlfn.RANK.EQ(INDEX(スコア表[],MATCH($C39,スコア表['#],0),MATCH(AH$5,スコア表[#Headers],0)),スコア表[27],0),"-")</f>
        <v>6</v>
      </c>
      <c r="AI39" s="79">
        <f>IFERROR(_xlfn.RANK.EQ(INDEX(スコア表[],MATCH($C39,スコア表['#],0),MATCH(AI$5,スコア表[#Headers],0)),スコア表[28],0),"-")</f>
        <v>11</v>
      </c>
      <c r="AJ39" s="79">
        <f>IFERROR(_xlfn.RANK.EQ(INDEX(スコア表[],MATCH($C39,スコア表['#],0),MATCH(AJ$5,スコア表[#Headers],0)),スコア表[29],0),"-")</f>
        <v>18</v>
      </c>
      <c r="AK39" s="79">
        <f>IFERROR(_xlfn.RANK.EQ(INDEX(スコア表[],MATCH($C39,スコア表['#],0),MATCH(AK$5,スコア表[#Headers],0)),スコア表[30],0),"-")</f>
        <v>9</v>
      </c>
      <c r="AL39" s="79">
        <f>IFERROR(_xlfn.RANK.EQ(INDEX(スコア表[],MATCH($C39,スコア表['#],0),MATCH(AL$5,スコア表[#Headers],0)),スコア表[31],0),"-")</f>
        <v>10</v>
      </c>
      <c r="AM39" s="79">
        <f>IFERROR(_xlfn.RANK.EQ(INDEX(スコア表[],MATCH($C39,スコア表['#],0),MATCH(AM$5,スコア表[#Headers],0)),スコア表[32],0),"-")</f>
        <v>30</v>
      </c>
      <c r="AN39" s="79">
        <f>IFERROR(_xlfn.RANK.EQ(INDEX(スコア表[],MATCH($C39,スコア表['#],0),MATCH(AN$5,スコア表[#Headers],0)),スコア表[33],0),"-")</f>
        <v>32</v>
      </c>
      <c r="AO39" s="79">
        <f>IFERROR(_xlfn.RANK.EQ(INDEX(スコア表[],MATCH($C39,スコア表['#],0),MATCH(AO$5,スコア表[#Headers],0)),スコア表[34],0),"-")</f>
        <v>13</v>
      </c>
      <c r="AP39" s="79">
        <f>IFERROR(_xlfn.RANK.EQ(INDEX(スコア表[],MATCH($C39,スコア表['#],0),MATCH(AP$5,スコア表[#Headers],0)),スコア表[35],0),"-")</f>
        <v>3</v>
      </c>
      <c r="AQ39" s="79">
        <f>IFERROR(_xlfn.RANK.EQ(INDEX(スコア表[],MATCH($C39,スコア表['#],0),MATCH(AQ$5,スコア表[#Headers],0)),スコア表[36],0),"-")</f>
        <v>35</v>
      </c>
      <c r="AR39" s="79">
        <f>IFERROR(_xlfn.RANK.EQ(INDEX(スコア表[],MATCH($C39,スコア表['#],0),MATCH(AR$5,スコア表[#Headers],0)),スコア表[37],0),"-")</f>
        <v>15</v>
      </c>
      <c r="AS39" s="79">
        <f>IFERROR(_xlfn.RANK.EQ(INDEX(スコア表[],MATCH($C39,スコア表['#],0),MATCH(AS$5,スコア表[#Headers],0)),スコア表[38],0),"-")</f>
        <v>27</v>
      </c>
      <c r="AT39" s="79">
        <f>IFERROR(_xlfn.RANK.EQ(INDEX(スコア表[],MATCH($C39,スコア表['#],0),MATCH(AT$5,スコア表[#Headers],0)),スコア表[39],0),"-")</f>
        <v>48</v>
      </c>
      <c r="AU39" s="79">
        <f>IFERROR(_xlfn.RANK.EQ(INDEX(スコア表[],MATCH($C39,スコア表['#],0),MATCH(AU$5,スコア表[#Headers],0)),スコア表[40],0),"-")</f>
        <v>22</v>
      </c>
      <c r="AV39" s="79">
        <f>IFERROR(_xlfn.RANK.EQ(INDEX(スコア表[],MATCH($C39,スコア表['#],0),MATCH(AV$5,スコア表[#Headers],0)),スコア表[41],0),"-")</f>
        <v>8</v>
      </c>
      <c r="AW39" s="79">
        <f>IFERROR(_xlfn.RANK.EQ(INDEX(スコア表[],MATCH($C39,スコア表['#],0),MATCH(AW$5,スコア表[#Headers],0)),スコア表[42],0),"-")</f>
        <v>4</v>
      </c>
      <c r="AX39" s="79">
        <f>IFERROR(_xlfn.RANK.EQ(INDEX(スコア表[],MATCH($C39,スコア表['#],0),MATCH(AX$5,スコア表[#Headers],0)),スコア表[43],0),"-")</f>
        <v>45</v>
      </c>
      <c r="AY39" s="79">
        <f>IFERROR(_xlfn.RANK.EQ(INDEX(スコア表[],MATCH($C39,スコア表['#],0),MATCH(AY$5,スコア表[#Headers],0)),スコア表[44],0),"-")</f>
        <v>47</v>
      </c>
      <c r="AZ39" s="79">
        <f>IFERROR(_xlfn.RANK.EQ(INDEX(スコア表[],MATCH($C39,スコア表['#],0),MATCH(AZ$5,スコア表[#Headers],0)),スコア表[45],0),"-")</f>
        <v>41</v>
      </c>
      <c r="BA39" s="79">
        <f>IFERROR(_xlfn.RANK.EQ(INDEX(スコア表[],MATCH($C39,スコア表['#],0),MATCH(BA$5,スコア表[#Headers],0)),スコア表[46],0),"-")</f>
        <v>39</v>
      </c>
      <c r="BB39" s="79">
        <f>IFERROR(_xlfn.RANK.EQ(INDEX(スコア表[],MATCH($C39,スコア表['#],0),MATCH(BB$5,スコア表[#Headers],0)),スコア表[47],0),"-")</f>
        <v>10</v>
      </c>
      <c r="BC39" s="79">
        <f>IFERROR(_xlfn.RANK.EQ(INDEX(スコア表[],MATCH($C39,スコア表['#],0),MATCH(BC$5,スコア表[#Headers],0)),スコア表[48],0),"-")</f>
        <v>36</v>
      </c>
      <c r="BD39" s="79">
        <f>IFERROR(_xlfn.RANK.EQ(INDEX(スコア表[],MATCH($C39,スコア表['#],0),MATCH(BD$5,スコア表[#Headers],0)),スコア表[49],0),"-")</f>
        <v>46</v>
      </c>
      <c r="BE39" s="79">
        <f>IFERROR(_xlfn.RANK.EQ(INDEX(スコア表[],MATCH($C39,スコア表['#],0),MATCH(BE$5,スコア表[#Headers],0)),スコア表[50],0),"-")</f>
        <v>17</v>
      </c>
      <c r="BF39" s="79">
        <f>IFERROR(_xlfn.RANK.EQ(INDEX(スコア表[],MATCH($C39,スコア表['#],0),MATCH(BF$5,スコア表[#Headers],0)),スコア表[51],0),"-")</f>
        <v>35</v>
      </c>
      <c r="BG39" s="79">
        <f>IFERROR(_xlfn.RANK.EQ(INDEX(スコア表[],MATCH($C39,スコア表['#],0),MATCH(BG$5,スコア表[#Headers],0)),スコア表[52],0),"-")</f>
        <v>16</v>
      </c>
      <c r="BH39" s="79">
        <f>IFERROR(_xlfn.RANK.EQ(INDEX(スコア表[],MATCH($C39,スコア表['#],0),MATCH(BH$5,スコア表[#Headers],0)),スコア表[53],0),"-")</f>
        <v>25</v>
      </c>
      <c r="BI39" s="79">
        <f>IFERROR(_xlfn.RANK.EQ(INDEX(スコア表[],MATCH($C39,スコア表['#],0),MATCH(BI$5,スコア表[#Headers],0)),スコア表[54],0),"-")</f>
        <v>43</v>
      </c>
      <c r="BJ39" s="79">
        <f>IFERROR(_xlfn.RANK.EQ(INDEX(スコア表[],MATCH($C39,スコア表['#],0),MATCH(BJ$5,スコア表[#Headers],0)),スコア表[55],0),"-")</f>
        <v>12</v>
      </c>
      <c r="BK39" s="79">
        <f>IFERROR(_xlfn.RANK.EQ(INDEX(スコア表[],MATCH($C39,スコア表['#],0),MATCH(BK$5,スコア表[#Headers],0)),スコア表[56],0),"-")</f>
        <v>41</v>
      </c>
      <c r="BL39" s="79">
        <f>IFERROR(_xlfn.RANK.EQ(INDEX(スコア表[],MATCH($C39,スコア表['#],0),MATCH(BL$5,スコア表[#Headers],0)),スコア表[57],0),"-")</f>
        <v>3</v>
      </c>
      <c r="BM39" s="79">
        <f>IFERROR(_xlfn.RANK.EQ(INDEX(スコア表[],MATCH($C39,スコア表['#],0),MATCH(BM$5,スコア表[#Headers],0)),スコア表[58],0),"-")</f>
        <v>42</v>
      </c>
      <c r="BN39" s="79">
        <f>IFERROR(_xlfn.RANK.EQ(INDEX(スコア表[],MATCH($C39,スコア表['#],0),MATCH(BN$5,スコア表[#Headers],0)),スコア表[59],0),"-")</f>
        <v>25</v>
      </c>
      <c r="BO39" s="79">
        <f>IFERROR(_xlfn.RANK.EQ(INDEX(スコア表[],MATCH($C39,スコア表['#],0),MATCH(BO$5,スコア表[#Headers],0)),スコア表[60],0),"-")</f>
        <v>40</v>
      </c>
      <c r="BP39" s="79">
        <f>IFERROR(_xlfn.RANK.EQ(INDEX(スコア表[],MATCH($C39,スコア表['#],0),MATCH(BP$5,スコア表[#Headers],0)),スコア表[61],0),"-")</f>
        <v>37</v>
      </c>
      <c r="BQ39" s="79">
        <f>IFERROR(_xlfn.RANK.EQ(INDEX(スコア表[],MATCH($C39,スコア表['#],0),MATCH(BQ$5,スコア表[#Headers],0)),スコア表[62],0),"-")</f>
        <v>29</v>
      </c>
      <c r="BR39" s="79">
        <f>IFERROR(_xlfn.RANK.EQ(INDEX(スコア表[],MATCH($C39,スコア表['#],0),MATCH(BR$5,スコア表[#Headers],0)),スコア表[63],0),"-")</f>
        <v>13</v>
      </c>
      <c r="BS39" s="79">
        <f>IFERROR(_xlfn.RANK.EQ(INDEX(スコア表[],MATCH($C39,スコア表['#],0),MATCH(BS$5,スコア表[#Headers],0)),スコア表[64],0),"-")</f>
        <v>15</v>
      </c>
      <c r="BT39" s="79">
        <f>IFERROR(_xlfn.RANK.EQ(INDEX(スコア表[],MATCH($C39,スコア表['#],0),MATCH(BT$5,スコア表[#Headers],0)),スコア表[65],0),"-")</f>
        <v>25</v>
      </c>
      <c r="BU39" s="79">
        <f>IFERROR(_xlfn.RANK.EQ(INDEX(スコア表[],MATCH($C39,スコア表['#],0),MATCH(BU$5,スコア表[#Headers],0)),スコア表[66],0),"-")</f>
        <v>43</v>
      </c>
      <c r="BV39" s="79">
        <f>IFERROR(_xlfn.RANK.EQ(INDEX(スコア表[],MATCH($C39,スコア表['#],0),MATCH(BV$5,スコア表[#Headers],0)),スコア表[67],0),"-")</f>
        <v>15</v>
      </c>
      <c r="BW39" s="79">
        <f>IFERROR(_xlfn.RANK.EQ(INDEX(スコア表[],MATCH($C39,スコア表['#],0),MATCH(BW$5,スコア表[#Headers],0)),スコア表[68],0),"-")</f>
        <v>46</v>
      </c>
      <c r="BX39" s="79">
        <f>IFERROR(_xlfn.RANK.EQ(INDEX(スコア表[],MATCH($C39,スコア表['#],0),MATCH(BX$5,スコア表[#Headers],0)),スコア表[69],0),"-")</f>
        <v>42</v>
      </c>
      <c r="BY39" s="79">
        <f>IFERROR(_xlfn.RANK.EQ(INDEX(スコア表[],MATCH($C39,スコア表['#],0),MATCH(BY$5,スコア表[#Headers],0)),スコア表[70],0),"-")</f>
        <v>14</v>
      </c>
      <c r="BZ39" s="79">
        <f>IFERROR(_xlfn.RANK.EQ(INDEX(スコア表[],MATCH($C39,スコア表['#],0),MATCH(BZ$5,スコア表[#Headers],0)),スコア表[Ec1],0),"-")</f>
        <v>38</v>
      </c>
      <c r="CA39" s="79">
        <f>IFERROR(_xlfn.RANK.EQ(INDEX(スコア表[],MATCH($C39,スコア表['#],0),MATCH(CA$5,スコア表[#Headers],0)),スコア表[Ec2],0),"-")</f>
        <v>31</v>
      </c>
      <c r="CB39" s="79">
        <f>IFERROR(_xlfn.RANK.EQ(INDEX(スコア表[],MATCH($C39,スコア表['#],0),MATCH(CB$5,スコア表[#Headers],0)),スコア表[Ec3],0),"-")</f>
        <v>32</v>
      </c>
      <c r="CC39" s="79">
        <f>IFERROR(_xlfn.RANK.EQ(INDEX(スコア表[],MATCH($C39,スコア表['#],0),MATCH(CC$5,スコア表[#Headers],0)),スコア表[Ec4],0),"-")</f>
        <v>44</v>
      </c>
      <c r="CD39" s="79">
        <f>IFERROR(_xlfn.RANK.EQ(INDEX(スコア表[],MATCH($C39,スコア表['#],0),MATCH(CD$5,スコア表[#Headers],0)),スコア表[Ec5],0),"-")</f>
        <v>44</v>
      </c>
      <c r="CE39" s="79">
        <f>IFERROR(_xlfn.RANK.EQ(INDEX(スコア表[],MATCH($C39,スコア表['#],0),MATCH(CE$5,スコア表[#Headers],0)),スコア表[Ec6],0),"-")</f>
        <v>43</v>
      </c>
      <c r="CF39" s="79">
        <f>IFERROR(_xlfn.RANK.EQ(INDEX(スコア表[],MATCH($C39,スコア表['#],0),MATCH(CF$5,スコア表[#Headers],0)),スコア表[RD1],0),"-")</f>
        <v>47</v>
      </c>
      <c r="CG39" s="79">
        <f>IFERROR(_xlfn.RANK.EQ(INDEX(スコア表[],MATCH($C39,スコア表['#],0),MATCH(CG$5,スコア表[#Headers],0)),スコア表[RD2],0),"-")</f>
        <v>43</v>
      </c>
      <c r="CH39" s="79">
        <f>IFERROR(_xlfn.RANK.EQ(INDEX(スコア表[],MATCH($C39,スコア表['#],0),MATCH(CH$5,スコア表[#Headers],0)),スコア表[RD3],0),"-")</f>
        <v>40</v>
      </c>
      <c r="CI39" s="79">
        <f>IFERROR(_xlfn.RANK.EQ(INDEX(スコア表[],MATCH($C39,スコア表['#],0),MATCH(CI$5,スコア表[#Headers],0)),スコア表[CI1],0),"-")</f>
        <v>45</v>
      </c>
      <c r="CJ39" s="79">
        <f>IFERROR(_xlfn.RANK.EQ(INDEX(スコア表[],MATCH($C39,スコア表['#],0),MATCH(CJ$5,スコア表[#Headers],0)),スコア表[CI2],0),"-")</f>
        <v>4</v>
      </c>
      <c r="CK39" s="79">
        <f>IFERROR(_xlfn.RANK.EQ(INDEX(スコア表[],MATCH($C39,スコア表['#],0),MATCH(CK$5,スコア表[#Headers],0)),スコア表[CI3],0),"-")</f>
        <v>9</v>
      </c>
      <c r="CL39" s="79">
        <f>IFERROR(_xlfn.RANK.EQ(INDEX(スコア表[],MATCH($C39,スコア表['#],0),MATCH(CL$5,スコア表[#Headers],0)),スコア表[CI4],0),"-")</f>
        <v>16</v>
      </c>
      <c r="CM39" s="79">
        <f>IFERROR(_xlfn.RANK.EQ(INDEX(スコア表[],MATCH($C39,スコア表['#],0),MATCH(CM$5,スコア表[#Headers],0)),スコア表[CI5],0),"-")</f>
        <v>25</v>
      </c>
      <c r="CN39" s="79">
        <f>IFERROR(_xlfn.RANK.EQ(INDEX(スコア表[],MATCH($C39,スコア表['#],0),MATCH(CN$5,スコア表[#Headers],0)),スコア表[Li1],0),"-")</f>
        <v>44</v>
      </c>
      <c r="CO39" s="79">
        <f>IFERROR(_xlfn.RANK.EQ(INDEX(スコア表[],MATCH($C39,スコア表['#],0),MATCH(CO$5,スコア表[#Headers],0)),スコア表[Li2],0),"-")</f>
        <v>6</v>
      </c>
      <c r="CP39" s="79">
        <f>IFERROR(_xlfn.RANK.EQ(INDEX(スコア表[],MATCH($C39,スコア表['#],0),MATCH(CP$5,スコア表[#Headers],0)),スコア表[Li3],0),"-")</f>
        <v>44</v>
      </c>
      <c r="CQ39" s="79">
        <f>IFERROR(_xlfn.RANK.EQ(INDEX(スコア表[],MATCH($C39,スコア表['#],0),MATCH(CQ$5,スコア表[#Headers],0)),スコア表[Li4],0),"-")</f>
        <v>31</v>
      </c>
      <c r="CR39" s="79">
        <f>IFERROR(_xlfn.RANK.EQ(INDEX(スコア表[],MATCH($C39,スコア表['#],0),MATCH(CR$5,スコア表[#Headers],0)),スコア表[Li5],0),"-")</f>
        <v>43</v>
      </c>
      <c r="CS39" s="79">
        <f>IFERROR(_xlfn.RANK.EQ(INDEX(スコア表[],MATCH($C39,スコア表['#],0),MATCH(CS$5,スコア表[#Headers],0)),スコア表[En1],0),"-")</f>
        <v>40</v>
      </c>
      <c r="CT39" s="79">
        <f>IFERROR(_xlfn.RANK.EQ(INDEX(スコア表[],MATCH($C39,スコア表['#],0),MATCH(CT$5,スコア表[#Headers],0)),スコア表[En2],0),"-")</f>
        <v>8</v>
      </c>
      <c r="CU39" s="79">
        <f>IFERROR(_xlfn.RANK.EQ(INDEX(スコア表[],MATCH($C39,スコア表['#],0),MATCH(CU$5,スコア表[#Headers],0)),スコア表[En3],0),"-")</f>
        <v>42</v>
      </c>
      <c r="CV39" s="79">
        <f>IFERROR(_xlfn.RANK.EQ(INDEX(スコア表[],MATCH($C39,スコア表['#],0),MATCH(CV$5,スコア表[#Headers],0)),スコア表[Ac1],0),"-")</f>
        <v>40</v>
      </c>
      <c r="CW39" s="79">
        <f>IFERROR(_xlfn.RANK.EQ(INDEX(スコア表[],MATCH($C39,スコア表['#],0),MATCH(CW$5,スコア表[#Headers],0)),スコア表[Ac2],0),"-")</f>
        <v>13</v>
      </c>
      <c r="CX39" s="79">
        <f>IFERROR(_xlfn.RANK.EQ(INDEX(スコア表[],MATCH($C39,スコア表['#],0),MATCH(CX$5,スコア表[#Headers],0)),スコア表[Ac3],0),"-")</f>
        <v>34</v>
      </c>
      <c r="CY39" s="79">
        <f>IFERROR(_xlfn.RANK.EQ(INDEX(スコア表[],MATCH($C39,スコア表['#],0),MATCH(CY$5,スコア表[#Headers],0)),スコア表[Ac4],0),"-")</f>
        <v>46</v>
      </c>
      <c r="CZ39" s="79">
        <f>IFERROR(_xlfn.RANK.EQ(INDEX(スコア表[],MATCH($C39,スコア表['#],0),MATCH(CZ$5,スコア表[#Headers],0)),スコア表[Economy],0),"-")</f>
        <v>44</v>
      </c>
      <c r="DA39" s="79">
        <f>IFERROR(_xlfn.RANK.EQ(INDEX(スコア表[],MATCH($C39,スコア表['#],0),MATCH(DA$5,スコア表[#Headers],0)),スコア表[R&amp;D],0),"-")</f>
        <v>44</v>
      </c>
      <c r="DB39" s="79">
        <f>IFERROR(_xlfn.RANK.EQ(INDEX(スコア表[],MATCH($C39,スコア表['#],0),MATCH(DB$5,スコア表[#Headers],0)),スコア表[Cultural Interaction],0),"-")</f>
        <v>16</v>
      </c>
      <c r="DC39" s="79">
        <f>IFERROR(_xlfn.RANK.EQ(INDEX(スコア表[],MATCH($C39,スコア表['#],0),MATCH(DC$5,スコア表[#Headers],0)),スコア表[Livability],0),"-")</f>
        <v>41</v>
      </c>
      <c r="DD39" s="79">
        <f>IFERROR(_xlfn.RANK.EQ(INDEX(スコア表[],MATCH($C39,スコア表['#],0),MATCH(DD$5,スコア表[#Headers],0)),スコア表[Environment],0),"-")</f>
        <v>38</v>
      </c>
      <c r="DE39" s="79">
        <f>IFERROR(_xlfn.RANK.EQ(INDEX(スコア表[],MATCH($C39,スコア表['#],0),MATCH(DE$5,スコア表[#Headers],0)),スコア表[Accessibility],0),"-")</f>
        <v>41</v>
      </c>
      <c r="DF39" s="81">
        <f>IFERROR(_xlfn.RANK.EQ(INDEX(スコア表[],MATCH($C39,スコア表['#],0),MATCH(DF$5,スコア表[#Headers],0)),スコア表[Comprehensive],0),"-")</f>
        <v>43</v>
      </c>
    </row>
    <row r="40" spans="1:110">
      <c r="A40" s="2">
        <v>35</v>
      </c>
      <c r="B40" s="58">
        <f>INDEX(順位表[Comprehensive],MATCH($C40,順位表['#],0))</f>
        <v>25</v>
      </c>
      <c r="C40" s="3">
        <v>35</v>
      </c>
      <c r="D40" s="1" t="str">
        <f>INDEX(都市マスタ[City Name],MATCH($C40,都市マスタ['#],0))</f>
        <v>Chicago</v>
      </c>
      <c r="E40" s="79">
        <f>IFERROR(_xlfn.RANK.EQ(INDEX(スコア表[],MATCH($C40,スコア表['#],0),MATCH(E$5,スコア表[#Headers],0)),スコア表[00a],0),"-")</f>
        <v>27</v>
      </c>
      <c r="F40" s="79">
        <f>IFERROR(_xlfn.RANK.EQ(INDEX(スコア表[],MATCH($C40,スコア表['#],0),MATCH(F$5,スコア表[#Headers],0)),スコア表[00b],0),"-")</f>
        <v>25</v>
      </c>
      <c r="G40" s="79">
        <f>IFERROR(_xlfn.RANK.EQ(INDEX(スコア表[],MATCH($C40,スコア表['#],0),MATCH(G$5,スコア表[#Headers],0)),スコア表[00c],0),"-")</f>
        <v>29</v>
      </c>
      <c r="H40" s="79">
        <f>IFERROR(_xlfn.RANK.EQ(INDEX(スコア表[],MATCH($C40,スコア表['#],0),MATCH(H$5,スコア表[#Headers],0)),スコア表[01],0),"-")</f>
        <v>15</v>
      </c>
      <c r="I40" s="79">
        <f>IFERROR(_xlfn.RANK.EQ(INDEX(スコア表[],MATCH($C40,スコア表['#],0),MATCH(I$5,スコア表[#Headers],0)),スコア表[02],0),"-")</f>
        <v>16</v>
      </c>
      <c r="J40" s="79">
        <f>IFERROR(_xlfn.RANK.EQ(INDEX(スコア表[],MATCH($C40,スコア表['#],0),MATCH(J$5,スコア表[#Headers],0)),スコア表[03],0),"-")</f>
        <v>36</v>
      </c>
      <c r="K40" s="79">
        <f>IFERROR(_xlfn.RANK.EQ(INDEX(スコア表[],MATCH($C40,スコア表['#],0),MATCH(K$5,スコア表[#Headers],0)),スコア表[04],0),"-")</f>
        <v>19</v>
      </c>
      <c r="L40" s="79">
        <f>IFERROR(_xlfn.RANK.EQ(INDEX(スコア表[],MATCH($C40,スコア表['#],0),MATCH(L$5,スコア表[#Headers],0)),スコア表[05],0),"-")</f>
        <v>36</v>
      </c>
      <c r="M40" s="79">
        <f>IFERROR(_xlfn.RANK.EQ(INDEX(スコア表[],MATCH($C40,スコア表['#],0),MATCH(M$5,スコア表[#Headers],0)),スコア表[06],0),"-")</f>
        <v>19</v>
      </c>
      <c r="N40" s="79">
        <f>IFERROR(_xlfn.RANK.EQ(INDEX(スコア表[],MATCH($C40,スコア表['#],0),MATCH(N$5,スコア表[#Headers],0)),スコア表[07],0),"-")</f>
        <v>25</v>
      </c>
      <c r="O40" s="79">
        <f>IFERROR(_xlfn.RANK.EQ(INDEX(スコア表[],MATCH($C40,スコア表['#],0),MATCH(O$5,スコア表[#Headers],0)),スコア表[08],0),"-")</f>
        <v>32</v>
      </c>
      <c r="P40" s="79">
        <f>IFERROR(_xlfn.RANK.EQ(INDEX(スコア表[],MATCH($C40,スコア表['#],0),MATCH(P$5,スコア表[#Headers],0)),スコア表[09],0),"-")</f>
        <v>5</v>
      </c>
      <c r="Q40" s="79">
        <f>IFERROR(_xlfn.RANK.EQ(INDEX(スコア表[],MATCH($C40,スコア表['#],0),MATCH(Q$5,スコア表[#Headers],0)),スコア表[10],0),"-")</f>
        <v>8</v>
      </c>
      <c r="R40" s="79">
        <f>IFERROR(_xlfn.RANK.EQ(INDEX(スコア表[],MATCH($C40,スコア表['#],0),MATCH(R$5,スコア表[#Headers],0)),スコア表[11],0),"-")</f>
        <v>25</v>
      </c>
      <c r="S40" s="79">
        <f>IFERROR(_xlfn.RANK.EQ(INDEX(スコア表[],MATCH($C40,スコア表['#],0),MATCH(S$5,スコア表[#Headers],0)),スコア表[12],0),"-")</f>
        <v>36</v>
      </c>
      <c r="T40" s="79">
        <f>IFERROR(_xlfn.RANK.EQ(INDEX(スコア表[],MATCH($C40,スコア表['#],0),MATCH(T$5,スコア表[#Headers],0)),スコア表[13],0),"-")</f>
        <v>6</v>
      </c>
      <c r="U40" s="79">
        <f>IFERROR(_xlfn.RANK.EQ(INDEX(スコア表[],MATCH($C40,スコア表['#],0),MATCH(U$5,スコア表[#Headers],0)),スコア表[14],0),"-")</f>
        <v>6</v>
      </c>
      <c r="V40" s="79">
        <f>IFERROR(_xlfn.RANK.EQ(INDEX(スコア表[],MATCH($C40,スコア表['#],0),MATCH(V$5,スコア表[#Headers],0)),スコア表[15],0),"-")</f>
        <v>12</v>
      </c>
      <c r="W40" s="79">
        <f>IFERROR(_xlfn.RANK.EQ(INDEX(スコア表[],MATCH($C40,スコア表['#],0),MATCH(W$5,スコア表[#Headers],0)),スコア表[16],0),"-")</f>
        <v>4</v>
      </c>
      <c r="X40" s="79">
        <f>IFERROR(_xlfn.RANK.EQ(INDEX(スコア表[],MATCH($C40,スコア表['#],0),MATCH(X$5,スコア表[#Headers],0)),スコア表[17],0),"-")</f>
        <v>20</v>
      </c>
      <c r="Y40" s="79">
        <f>IFERROR(_xlfn.RANK.EQ(INDEX(スコア表[],MATCH($C40,スコア表['#],0),MATCH(Y$5,スコア表[#Headers],0)),スコア表[18],0),"-")</f>
        <v>25</v>
      </c>
      <c r="Z40" s="79">
        <f>IFERROR(_xlfn.RANK.EQ(INDEX(スコア表[],MATCH($C40,スコア表['#],0),MATCH(Z$5,スコア表[#Headers],0)),スコア表[19],0),"-")</f>
        <v>5</v>
      </c>
      <c r="AA40" s="79">
        <f>IFERROR(_xlfn.RANK.EQ(INDEX(スコア表[],MATCH($C40,スコア表['#],0),MATCH(AA$5,スコア表[#Headers],0)),スコア表[20],0),"-")</f>
        <v>8</v>
      </c>
      <c r="AB40" s="79">
        <f>IFERROR(_xlfn.RANK.EQ(INDEX(スコア表[],MATCH($C40,スコア表['#],0),MATCH(AB$5,スコア表[#Headers],0)),スコア表[21],0),"-")</f>
        <v>12</v>
      </c>
      <c r="AC40" s="79">
        <f>IFERROR(_xlfn.RANK.EQ(INDEX(スコア表[],MATCH($C40,スコア表['#],0),MATCH(AC$5,スコア表[#Headers],0)),スコア表[22],0),"-")</f>
        <v>23</v>
      </c>
      <c r="AD40" s="79">
        <f>IFERROR(_xlfn.RANK.EQ(INDEX(スコア表[],MATCH($C40,スコア表['#],0),MATCH(AD$5,スコア表[#Headers],0)),スコア表[23],0),"-")</f>
        <v>42</v>
      </c>
      <c r="AE40" s="79">
        <f>IFERROR(_xlfn.RANK.EQ(INDEX(スコア表[],MATCH($C40,スコア表['#],0),MATCH(AE$5,スコア表[#Headers],0)),スコア表[24],0),"-")</f>
        <v>7</v>
      </c>
      <c r="AF40" s="79">
        <f>IFERROR(_xlfn.RANK.EQ(INDEX(スコア表[],MATCH($C40,スコア表['#],0),MATCH(AF$5,スコア表[#Headers],0)),スコア表[25],0),"-")</f>
        <v>10</v>
      </c>
      <c r="AG40" s="79">
        <f>IFERROR(_xlfn.RANK.EQ(INDEX(スコア表[],MATCH($C40,スコア表['#],0),MATCH(AG$5,スコア表[#Headers],0)),スコア表[26],0),"-")</f>
        <v>25</v>
      </c>
      <c r="AH40" s="79">
        <f>IFERROR(_xlfn.RANK.EQ(INDEX(スコア表[],MATCH($C40,スコア表['#],0),MATCH(AH$5,スコア表[#Headers],0)),スコア表[27],0),"-")</f>
        <v>36</v>
      </c>
      <c r="AI40" s="79">
        <f>IFERROR(_xlfn.RANK.EQ(INDEX(スコア表[],MATCH($C40,スコア表['#],0),MATCH(AI$5,スコア表[#Headers],0)),スコア表[28],0),"-")</f>
        <v>19</v>
      </c>
      <c r="AJ40" s="79">
        <f>IFERROR(_xlfn.RANK.EQ(INDEX(スコア表[],MATCH($C40,スコア表['#],0),MATCH(AJ$5,スコア表[#Headers],0)),スコア表[29],0),"-")</f>
        <v>10</v>
      </c>
      <c r="AK40" s="79">
        <f>IFERROR(_xlfn.RANK.EQ(INDEX(スコア表[],MATCH($C40,スコア表['#],0),MATCH(AK$5,スコア表[#Headers],0)),スコア表[30],0),"-")</f>
        <v>17</v>
      </c>
      <c r="AL40" s="79">
        <f>IFERROR(_xlfn.RANK.EQ(INDEX(スコア表[],MATCH($C40,スコア表['#],0),MATCH(AL$5,スコア表[#Headers],0)),スコア表[31],0),"-")</f>
        <v>27</v>
      </c>
      <c r="AM40" s="79">
        <f>IFERROR(_xlfn.RANK.EQ(INDEX(スコア表[],MATCH($C40,スコア表['#],0),MATCH(AM$5,スコア表[#Headers],0)),スコア表[32],0),"-")</f>
        <v>20</v>
      </c>
      <c r="AN40" s="79">
        <f>IFERROR(_xlfn.RANK.EQ(INDEX(スコア表[],MATCH($C40,スコア表['#],0),MATCH(AN$5,スコア表[#Headers],0)),スコア表[33],0),"-")</f>
        <v>30</v>
      </c>
      <c r="AO40" s="79">
        <f>IFERROR(_xlfn.RANK.EQ(INDEX(スコア表[],MATCH($C40,スコア表['#],0),MATCH(AO$5,スコア表[#Headers],0)),スコア表[34],0),"-")</f>
        <v>18</v>
      </c>
      <c r="AP40" s="79">
        <f>IFERROR(_xlfn.RANK.EQ(INDEX(スコア表[],MATCH($C40,スコア表['#],0),MATCH(AP$5,スコア表[#Headers],0)),スコア表[35],0),"-")</f>
        <v>14</v>
      </c>
      <c r="AQ40" s="79">
        <f>IFERROR(_xlfn.RANK.EQ(INDEX(スコア表[],MATCH($C40,スコア表['#],0),MATCH(AQ$5,スコア表[#Headers],0)),スコア表[36],0),"-")</f>
        <v>23</v>
      </c>
      <c r="AR40" s="79">
        <f>IFERROR(_xlfn.RANK.EQ(INDEX(スコア表[],MATCH($C40,スコア表['#],0),MATCH(AR$5,スコア表[#Headers],0)),スコア表[37],0),"-")</f>
        <v>36</v>
      </c>
      <c r="AS40" s="79">
        <f>IFERROR(_xlfn.RANK.EQ(INDEX(スコア表[],MATCH($C40,スコア表['#],0),MATCH(AS$5,スコア表[#Headers],0)),スコア表[38],0),"-")</f>
        <v>28</v>
      </c>
      <c r="AT40" s="79">
        <f>IFERROR(_xlfn.RANK.EQ(INDEX(スコア表[],MATCH($C40,スコア表['#],0),MATCH(AT$5,スコア表[#Headers],0)),スコア表[39],0),"-")</f>
        <v>37</v>
      </c>
      <c r="AU40" s="79">
        <f>IFERROR(_xlfn.RANK.EQ(INDEX(スコア表[],MATCH($C40,スコア表['#],0),MATCH(AU$5,スコア表[#Headers],0)),スコア表[40],0),"-")</f>
        <v>13</v>
      </c>
      <c r="AV40" s="79">
        <f>IFERROR(_xlfn.RANK.EQ(INDEX(スコア表[],MATCH($C40,スコア表['#],0),MATCH(AV$5,スコア表[#Headers],0)),スコア表[41],0),"-")</f>
        <v>36</v>
      </c>
      <c r="AW40" s="79">
        <f>IFERROR(_xlfn.RANK.EQ(INDEX(スコア表[],MATCH($C40,スコア表['#],0),MATCH(AW$5,スコア表[#Headers],0)),スコア表[42],0),"-")</f>
        <v>35</v>
      </c>
      <c r="AX40" s="79">
        <f>IFERROR(_xlfn.RANK.EQ(INDEX(スコア表[],MATCH($C40,スコア表['#],0),MATCH(AX$5,スコア表[#Headers],0)),スコア表[43],0),"-")</f>
        <v>47</v>
      </c>
      <c r="AY40" s="79">
        <f>IFERROR(_xlfn.RANK.EQ(INDEX(スコア表[],MATCH($C40,スコア表['#],0),MATCH(AY$5,スコア表[#Headers],0)),スコア表[44],0),"-")</f>
        <v>24</v>
      </c>
      <c r="AZ40" s="79">
        <f>IFERROR(_xlfn.RANK.EQ(INDEX(スコア表[],MATCH($C40,スコア表['#],0),MATCH(AZ$5,スコア表[#Headers],0)),スコア表[45],0),"-")</f>
        <v>30</v>
      </c>
      <c r="BA40" s="79">
        <f>IFERROR(_xlfn.RANK.EQ(INDEX(スコア表[],MATCH($C40,スコア表['#],0),MATCH(BA$5,スコア表[#Headers],0)),スコア表[46],0),"-")</f>
        <v>20</v>
      </c>
      <c r="BB40" s="79">
        <f>IFERROR(_xlfn.RANK.EQ(INDEX(スコア表[],MATCH($C40,スコア表['#],0),MATCH(BB$5,スコア表[#Headers],0)),スコア表[47],0),"-")</f>
        <v>40</v>
      </c>
      <c r="BC40" s="79">
        <f>IFERROR(_xlfn.RANK.EQ(INDEX(スコア表[],MATCH($C40,スコア表['#],0),MATCH(BC$5,スコア表[#Headers],0)),スコア表[48],0),"-")</f>
        <v>29</v>
      </c>
      <c r="BD40" s="79">
        <f>IFERROR(_xlfn.RANK.EQ(INDEX(スコア表[],MATCH($C40,スコア表['#],0),MATCH(BD$5,スコア表[#Headers],0)),スコア表[49],0),"-")</f>
        <v>1</v>
      </c>
      <c r="BE40" s="79">
        <f>IFERROR(_xlfn.RANK.EQ(INDEX(スコア表[],MATCH($C40,スコア表['#],0),MATCH(BE$5,スコア表[#Headers],0)),スコア表[50],0),"-")</f>
        <v>38</v>
      </c>
      <c r="BF40" s="79">
        <f>IFERROR(_xlfn.RANK.EQ(INDEX(スコア表[],MATCH($C40,スコア表['#],0),MATCH(BF$5,スコア表[#Headers],0)),スコア表[51],0),"-")</f>
        <v>23</v>
      </c>
      <c r="BG40" s="79">
        <f>IFERROR(_xlfn.RANK.EQ(INDEX(スコア表[],MATCH($C40,スコア表['#],0),MATCH(BG$5,スコア表[#Headers],0)),スコア表[52],0),"-")</f>
        <v>22</v>
      </c>
      <c r="BH40" s="79">
        <f>IFERROR(_xlfn.RANK.EQ(INDEX(スコア表[],MATCH($C40,スコア表['#],0),MATCH(BH$5,スコア表[#Headers],0)),スコア表[53],0),"-")</f>
        <v>30</v>
      </c>
      <c r="BI40" s="79">
        <f>IFERROR(_xlfn.RANK.EQ(INDEX(スコア表[],MATCH($C40,スコア表['#],0),MATCH(BI$5,スコア表[#Headers],0)),スコア表[54],0),"-")</f>
        <v>26</v>
      </c>
      <c r="BJ40" s="79">
        <f>IFERROR(_xlfn.RANK.EQ(INDEX(スコア表[],MATCH($C40,スコア表['#],0),MATCH(BJ$5,スコア表[#Headers],0)),スコア表[55],0),"-")</f>
        <v>38</v>
      </c>
      <c r="BK40" s="79">
        <f>IFERROR(_xlfn.RANK.EQ(INDEX(スコア表[],MATCH($C40,スコア表['#],0),MATCH(BK$5,スコア表[#Headers],0)),スコア表[56],0),"-")</f>
        <v>27</v>
      </c>
      <c r="BL40" s="79">
        <f>IFERROR(_xlfn.RANK.EQ(INDEX(スコア表[],MATCH($C40,スコア表['#],0),MATCH(BL$5,スコア表[#Headers],0)),スコア表[57],0),"-")</f>
        <v>36</v>
      </c>
      <c r="BM40" s="79">
        <f>IFERROR(_xlfn.RANK.EQ(INDEX(スコア表[],MATCH($C40,スコア表['#],0),MATCH(BM$5,スコア表[#Headers],0)),スコア表[58],0),"-")</f>
        <v>35</v>
      </c>
      <c r="BN40" s="79">
        <f>IFERROR(_xlfn.RANK.EQ(INDEX(スコア表[],MATCH($C40,スコア表['#],0),MATCH(BN$5,スコア表[#Headers],0)),スコア表[59],0),"-")</f>
        <v>27</v>
      </c>
      <c r="BO40" s="79">
        <f>IFERROR(_xlfn.RANK.EQ(INDEX(スコア表[],MATCH($C40,スコア表['#],0),MATCH(BO$5,スコア表[#Headers],0)),スコア表[60],0),"-")</f>
        <v>29</v>
      </c>
      <c r="BP40" s="79">
        <f>IFERROR(_xlfn.RANK.EQ(INDEX(スコア表[],MATCH($C40,スコア表['#],0),MATCH(BP$5,スコア表[#Headers],0)),スコア表[61],0),"-")</f>
        <v>31</v>
      </c>
      <c r="BQ40" s="79">
        <f>IFERROR(_xlfn.RANK.EQ(INDEX(スコア表[],MATCH($C40,スコア表['#],0),MATCH(BQ$5,スコア表[#Headers],0)),スコア表[62],0),"-")</f>
        <v>14</v>
      </c>
      <c r="BR40" s="79">
        <f>IFERROR(_xlfn.RANK.EQ(INDEX(スコア表[],MATCH($C40,スコア表['#],0),MATCH(BR$5,スコア表[#Headers],0)),スコア表[63],0),"-")</f>
        <v>5</v>
      </c>
      <c r="BS40" s="79">
        <f>IFERROR(_xlfn.RANK.EQ(INDEX(スコア表[],MATCH($C40,スコア表['#],0),MATCH(BS$5,スコア表[#Headers],0)),スコア表[64],0),"-")</f>
        <v>3</v>
      </c>
      <c r="BT40" s="79">
        <f>IFERROR(_xlfn.RANK.EQ(INDEX(スコア表[],MATCH($C40,スコア表['#],0),MATCH(BT$5,スコア表[#Headers],0)),スコア表[65],0),"-")</f>
        <v>31</v>
      </c>
      <c r="BU40" s="79">
        <f>IFERROR(_xlfn.RANK.EQ(INDEX(スコア表[],MATCH($C40,スコア表['#],0),MATCH(BU$5,スコア表[#Headers],0)),スコア表[66],0),"-")</f>
        <v>35</v>
      </c>
      <c r="BV40" s="79">
        <f>IFERROR(_xlfn.RANK.EQ(INDEX(スコア表[],MATCH($C40,スコア表['#],0),MATCH(BV$5,スコア表[#Headers],0)),スコア表[67],0),"-")</f>
        <v>12</v>
      </c>
      <c r="BW40" s="79">
        <f>IFERROR(_xlfn.RANK.EQ(INDEX(スコア表[],MATCH($C40,スコア表['#],0),MATCH(BW$5,スコア表[#Headers],0)),スコア表[68],0),"-")</f>
        <v>30</v>
      </c>
      <c r="BX40" s="79">
        <f>IFERROR(_xlfn.RANK.EQ(INDEX(スコア表[],MATCH($C40,スコア表['#],0),MATCH(BX$5,スコア表[#Headers],0)),スコア表[69],0),"-")</f>
        <v>11</v>
      </c>
      <c r="BY40" s="79">
        <f>IFERROR(_xlfn.RANK.EQ(INDEX(スコア表[],MATCH($C40,スコア表['#],0),MATCH(BY$5,スコア表[#Headers],0)),スコア表[70],0),"-")</f>
        <v>35</v>
      </c>
      <c r="BZ40" s="79">
        <f>IFERROR(_xlfn.RANK.EQ(INDEX(スコア表[],MATCH($C40,スコア表['#],0),MATCH(BZ$5,スコア表[#Headers],0)),スコア表[Ec1],0),"-")</f>
        <v>18</v>
      </c>
      <c r="CA40" s="79">
        <f>IFERROR(_xlfn.RANK.EQ(INDEX(スコア表[],MATCH($C40,スコア表['#],0),MATCH(CA$5,スコア表[#Headers],0)),スコア表[Ec2],0),"-")</f>
        <v>26</v>
      </c>
      <c r="CB40" s="79">
        <f>IFERROR(_xlfn.RANK.EQ(INDEX(スコア表[],MATCH($C40,スコア表['#],0),MATCH(CB$5,スコア表[#Headers],0)),スコア表[Ec3],0),"-")</f>
        <v>21</v>
      </c>
      <c r="CC40" s="79">
        <f>IFERROR(_xlfn.RANK.EQ(INDEX(スコア表[],MATCH($C40,スコア表['#],0),MATCH(CC$5,スコア表[#Headers],0)),スコア表[Ec4],0),"-")</f>
        <v>36</v>
      </c>
      <c r="CD40" s="79">
        <f>IFERROR(_xlfn.RANK.EQ(INDEX(スコア表[],MATCH($C40,スコア表['#],0),MATCH(CD$5,スコア表[#Headers],0)),スコア表[Ec5],0),"-")</f>
        <v>9</v>
      </c>
      <c r="CE40" s="79">
        <f>IFERROR(_xlfn.RANK.EQ(INDEX(スコア表[],MATCH($C40,スコア表['#],0),MATCH(CE$5,スコア表[#Headers],0)),スコア表[Ec6],0),"-")</f>
        <v>20</v>
      </c>
      <c r="CF40" s="79">
        <f>IFERROR(_xlfn.RANK.EQ(INDEX(スコア表[],MATCH($C40,スコア表['#],0),MATCH(CF$5,スコア表[#Headers],0)),スコア表[RD1],0),"-")</f>
        <v>9</v>
      </c>
      <c r="CG40" s="79">
        <f>IFERROR(_xlfn.RANK.EQ(INDEX(スコア表[],MATCH($C40,スコア表['#],0),MATCH(CG$5,スコア表[#Headers],0)),スコア表[RD2],0),"-")</f>
        <v>9</v>
      </c>
      <c r="CH40" s="79">
        <f>IFERROR(_xlfn.RANK.EQ(INDEX(スコア表[],MATCH($C40,スコア表['#],0),MATCH(CH$5,スコア表[#Headers],0)),スコア表[RD3],0),"-")</f>
        <v>8</v>
      </c>
      <c r="CI40" s="79">
        <f>IFERROR(_xlfn.RANK.EQ(INDEX(スコア表[],MATCH($C40,スコア表['#],0),MATCH(CI$5,スコア表[#Headers],0)),スコア表[CI1],0),"-")</f>
        <v>26</v>
      </c>
      <c r="CJ40" s="79">
        <f>IFERROR(_xlfn.RANK.EQ(INDEX(スコア表[],MATCH($C40,スコア表['#],0),MATCH(CJ$5,スコア表[#Headers],0)),スコア表[CI2],0),"-")</f>
        <v>28</v>
      </c>
      <c r="CK40" s="79">
        <f>IFERROR(_xlfn.RANK.EQ(INDEX(スコア表[],MATCH($C40,スコア表['#],0),MATCH(CK$5,スコア表[#Headers],0)),スコア表[CI3],0),"-")</f>
        <v>19</v>
      </c>
      <c r="CL40" s="79">
        <f>IFERROR(_xlfn.RANK.EQ(INDEX(スコア表[],MATCH($C40,スコア表['#],0),MATCH(CL$5,スコア表[#Headers],0)),スコア表[CI4],0),"-")</f>
        <v>23</v>
      </c>
      <c r="CM40" s="79">
        <f>IFERROR(_xlfn.RANK.EQ(INDEX(スコア表[],MATCH($C40,スコア表['#],0),MATCH(CM$5,スコア表[#Headers],0)),スコア表[CI5],0),"-")</f>
        <v>31</v>
      </c>
      <c r="CN40" s="79">
        <f>IFERROR(_xlfn.RANK.EQ(INDEX(スコア表[],MATCH($C40,スコア表['#],0),MATCH(CN$5,スコア表[#Headers],0)),スコア表[Li1],0),"-")</f>
        <v>16</v>
      </c>
      <c r="CO40" s="79">
        <f>IFERROR(_xlfn.RANK.EQ(INDEX(スコア表[],MATCH($C40,スコア表['#],0),MATCH(CO$5,スコア表[#Headers],0)),スコア表[Li2],0),"-")</f>
        <v>36</v>
      </c>
      <c r="CP40" s="79">
        <f>IFERROR(_xlfn.RANK.EQ(INDEX(スコア表[],MATCH($C40,スコア表['#],0),MATCH(CP$5,スコア表[#Headers],0)),スコア表[Li3],0),"-")</f>
        <v>46</v>
      </c>
      <c r="CQ40" s="79">
        <f>IFERROR(_xlfn.RANK.EQ(INDEX(スコア表[],MATCH($C40,スコア表['#],0),MATCH(CQ$5,スコア表[#Headers],0)),スコア表[Li4],0),"-")</f>
        <v>36</v>
      </c>
      <c r="CR40" s="79">
        <f>IFERROR(_xlfn.RANK.EQ(INDEX(スコア表[],MATCH($C40,スコア表['#],0),MATCH(CR$5,スコア表[#Headers],0)),スコア表[Li5],0),"-")</f>
        <v>22</v>
      </c>
      <c r="CS40" s="79">
        <f>IFERROR(_xlfn.RANK.EQ(INDEX(スコア表[],MATCH($C40,スコア表['#],0),MATCH(CS$5,スコア表[#Headers],0)),スコア表[En1],0),"-")</f>
        <v>35</v>
      </c>
      <c r="CT40" s="79">
        <f>IFERROR(_xlfn.RANK.EQ(INDEX(スコア表[],MATCH($C40,スコア表['#],0),MATCH(CT$5,スコア表[#Headers],0)),スコア表[En2],0),"-")</f>
        <v>35</v>
      </c>
      <c r="CU40" s="79">
        <f>IFERROR(_xlfn.RANK.EQ(INDEX(スコア表[],MATCH($C40,スコア表['#],0),MATCH(CU$5,スコア表[#Headers],0)),スコア表[En3],0),"-")</f>
        <v>32</v>
      </c>
      <c r="CV40" s="79">
        <f>IFERROR(_xlfn.RANK.EQ(INDEX(スコア表[],MATCH($C40,スコア表['#],0),MATCH(CV$5,スコア表[#Headers],0)),スコア表[Ac1],0),"-")</f>
        <v>28</v>
      </c>
      <c r="CW40" s="79">
        <f>IFERROR(_xlfn.RANK.EQ(INDEX(スコア表[],MATCH($C40,スコア表['#],0),MATCH(CW$5,スコア表[#Headers],0)),スコア表[Ac2],0),"-")</f>
        <v>5</v>
      </c>
      <c r="CX40" s="79">
        <f>IFERROR(_xlfn.RANK.EQ(INDEX(スコア表[],MATCH($C40,スコア表['#],0),MATCH(CX$5,スコア表[#Headers],0)),スコア表[Ac3],0),"-")</f>
        <v>32</v>
      </c>
      <c r="CY40" s="79">
        <f>IFERROR(_xlfn.RANK.EQ(INDEX(スコア表[],MATCH($C40,スコア表['#],0),MATCH(CY$5,スコア表[#Headers],0)),スコア表[Ac4],0),"-")</f>
        <v>26</v>
      </c>
      <c r="CZ40" s="79">
        <f>IFERROR(_xlfn.RANK.EQ(INDEX(スコア表[],MATCH($C40,スコア表['#],0),MATCH(CZ$5,スコア表[#Headers],0)),スコア表[Economy],0),"-")</f>
        <v>22</v>
      </c>
      <c r="DA40" s="79">
        <f>IFERROR(_xlfn.RANK.EQ(INDEX(スコア表[],MATCH($C40,スコア表['#],0),MATCH(DA$5,スコア表[#Headers],0)),スコア表[R&amp;D],0),"-")</f>
        <v>8</v>
      </c>
      <c r="DB40" s="79">
        <f>IFERROR(_xlfn.RANK.EQ(INDEX(スコア表[],MATCH($C40,スコア表['#],0),MATCH(DB$5,スコア表[#Headers],0)),スコア表[Cultural Interaction],0),"-")</f>
        <v>28</v>
      </c>
      <c r="DC40" s="79">
        <f>IFERROR(_xlfn.RANK.EQ(INDEX(スコア表[],MATCH($C40,スコア表['#],0),MATCH(DC$5,スコア表[#Headers],0)),スコア表[Livability],0),"-")</f>
        <v>46</v>
      </c>
      <c r="DD40" s="79">
        <f>IFERROR(_xlfn.RANK.EQ(INDEX(スコア表[],MATCH($C40,スコア表['#],0),MATCH(DD$5,スコア表[#Headers],0)),スコア表[Environment],0),"-")</f>
        <v>34</v>
      </c>
      <c r="DE40" s="79">
        <f>IFERROR(_xlfn.RANK.EQ(INDEX(スコア表[],MATCH($C40,スコア表['#],0),MATCH(DE$5,スコア表[#Headers],0)),スコア表[Accessibility],0),"-")</f>
        <v>15</v>
      </c>
      <c r="DF40" s="81">
        <f>IFERROR(_xlfn.RANK.EQ(INDEX(スコア表[],MATCH($C40,スコア表['#],0),MATCH(DF$5,スコア表[#Headers],0)),スコア表[Comprehensive],0),"-")</f>
        <v>25</v>
      </c>
    </row>
    <row r="41" spans="1:110">
      <c r="A41" s="2">
        <v>36</v>
      </c>
      <c r="B41" s="58">
        <f>INDEX(順位表[Comprehensive],MATCH($C41,順位表['#],0))</f>
        <v>23</v>
      </c>
      <c r="C41" s="3">
        <v>36</v>
      </c>
      <c r="D41" s="1" t="str">
        <f>INDEX(都市マスタ[City Name],MATCH($C41,都市マスタ['#],0))</f>
        <v>Toronto</v>
      </c>
      <c r="E41" s="79">
        <f>IFERROR(_xlfn.RANK.EQ(INDEX(スコア表[],MATCH($C41,スコア表['#],0),MATCH(E$5,スコア表[#Headers],0)),スコア表[00a],0),"-")</f>
        <v>25</v>
      </c>
      <c r="F41" s="79">
        <f>IFERROR(_xlfn.RANK.EQ(INDEX(スコア表[],MATCH($C41,スコア表['#],0),MATCH(F$5,スコア表[#Headers],0)),スコア表[00b],0),"-")</f>
        <v>20</v>
      </c>
      <c r="G41" s="79">
        <f>IFERROR(_xlfn.RANK.EQ(INDEX(スコア表[],MATCH($C41,スコア表['#],0),MATCH(G$5,スコア表[#Headers],0)),スコア表[00c],0),"-")</f>
        <v>27</v>
      </c>
      <c r="H41" s="79">
        <f>IFERROR(_xlfn.RANK.EQ(INDEX(スコア表[],MATCH($C41,スコア表['#],0),MATCH(H$5,スコア表[#Headers],0)),スコア表[01],0),"-")</f>
        <v>24</v>
      </c>
      <c r="I41" s="79">
        <f>IFERROR(_xlfn.RANK.EQ(INDEX(スコア表[],MATCH($C41,スコア表['#],0),MATCH(I$5,スコア表[#Headers],0)),スコア表[02],0),"-")</f>
        <v>28</v>
      </c>
      <c r="J41" s="79">
        <f>IFERROR(_xlfn.RANK.EQ(INDEX(スコア表[],MATCH($C41,スコア表['#],0),MATCH(J$5,スコア表[#Headers],0)),スコア表[03],0),"-")</f>
        <v>10</v>
      </c>
      <c r="K41" s="79">
        <f>IFERROR(_xlfn.RANK.EQ(INDEX(スコア表[],MATCH($C41,スコア表['#],0),MATCH(K$5,スコア表[#Headers],0)),スコア表[04],0),"-")</f>
        <v>15</v>
      </c>
      <c r="L41" s="79">
        <f>IFERROR(_xlfn.RANK.EQ(INDEX(スコア表[],MATCH($C41,スコア表['#],0),MATCH(L$5,スコア表[#Headers],0)),スコア表[05],0),"-")</f>
        <v>8</v>
      </c>
      <c r="M41" s="79">
        <f>IFERROR(_xlfn.RANK.EQ(INDEX(スコア表[],MATCH($C41,スコア表['#],0),MATCH(M$5,スコア表[#Headers],0)),スコア表[06],0),"-")</f>
        <v>14</v>
      </c>
      <c r="N41" s="79">
        <f>IFERROR(_xlfn.RANK.EQ(INDEX(スコア表[],MATCH($C41,スコア表['#],0),MATCH(N$5,スコア表[#Headers],0)),スコア表[07],0),"-")</f>
        <v>27</v>
      </c>
      <c r="O41" s="79">
        <f>IFERROR(_xlfn.RANK.EQ(INDEX(スコア表[],MATCH($C41,スコア表['#],0),MATCH(O$5,スコア表[#Headers],0)),スコア表[08],0),"-")</f>
        <v>13</v>
      </c>
      <c r="P41" s="79">
        <f>IFERROR(_xlfn.RANK.EQ(INDEX(スコア表[],MATCH($C41,スコア表['#],0),MATCH(P$5,スコア表[#Headers],0)),スコア表[09],0),"-")</f>
        <v>18</v>
      </c>
      <c r="Q41" s="79">
        <f>IFERROR(_xlfn.RANK.EQ(INDEX(スコア表[],MATCH($C41,スコア表['#],0),MATCH(Q$5,スコア表[#Headers],0)),スコア表[10],0),"-")</f>
        <v>5</v>
      </c>
      <c r="R41" s="79">
        <f>IFERROR(_xlfn.RANK.EQ(INDEX(スコア表[],MATCH($C41,スコア表['#],0),MATCH(R$5,スコア表[#Headers],0)),スコア表[11],0),"-")</f>
        <v>18</v>
      </c>
      <c r="S41" s="79">
        <f>IFERROR(_xlfn.RANK.EQ(INDEX(スコア表[],MATCH($C41,スコア表['#],0),MATCH(S$5,スコア表[#Headers],0)),スコア表[12],0),"-")</f>
        <v>28</v>
      </c>
      <c r="T41" s="79">
        <f>IFERROR(_xlfn.RANK.EQ(INDEX(スコア表[],MATCH($C41,スコア表['#],0),MATCH(T$5,スコア表[#Headers],0)),スコア表[13],0),"-")</f>
        <v>20</v>
      </c>
      <c r="U41" s="79">
        <f>IFERROR(_xlfn.RANK.EQ(INDEX(スコア表[],MATCH($C41,スコア表['#],0),MATCH(U$5,スコア表[#Headers],0)),スコア表[14],0),"-")</f>
        <v>24</v>
      </c>
      <c r="V41" s="79">
        <f>IFERROR(_xlfn.RANK.EQ(INDEX(スコア表[],MATCH($C41,スコア表['#],0),MATCH(V$5,スコア表[#Headers],0)),スコア表[15],0),"-")</f>
        <v>21</v>
      </c>
      <c r="W41" s="79">
        <f>IFERROR(_xlfn.RANK.EQ(INDEX(スコア表[],MATCH($C41,スコア表['#],0),MATCH(W$5,スコア表[#Headers],0)),スコア表[16],0),"-")</f>
        <v>26</v>
      </c>
      <c r="X41" s="79">
        <f>IFERROR(_xlfn.RANK.EQ(INDEX(スコア表[],MATCH($C41,スコア表['#],0),MATCH(X$5,スコア表[#Headers],0)),スコア表[17],0),"-")</f>
        <v>10</v>
      </c>
      <c r="Y41" s="79">
        <f>IFERROR(_xlfn.RANK.EQ(INDEX(スコア表[],MATCH($C41,スコア表['#],0),MATCH(Y$5,スコア表[#Headers],0)),スコア表[18],0),"-")</f>
        <v>9</v>
      </c>
      <c r="Z41" s="79">
        <f>IFERROR(_xlfn.RANK.EQ(INDEX(スコア表[],MATCH($C41,スコア表['#],0),MATCH(Z$5,スコア表[#Headers],0)),スコア表[19],0),"-")</f>
        <v>19</v>
      </c>
      <c r="AA41" s="79">
        <f>IFERROR(_xlfn.RANK.EQ(INDEX(スコア表[],MATCH($C41,スコア表['#],0),MATCH(AA$5,スコア表[#Headers],0)),スコア表[20],0),"-")</f>
        <v>23</v>
      </c>
      <c r="AB41" s="79">
        <f>IFERROR(_xlfn.RANK.EQ(INDEX(スコア表[],MATCH($C41,スコア表['#],0),MATCH(AB$5,スコア表[#Headers],0)),スコア表[21],0),"-")</f>
        <v>7</v>
      </c>
      <c r="AC41" s="79">
        <f>IFERROR(_xlfn.RANK.EQ(INDEX(スコア表[],MATCH($C41,スコア表['#],0),MATCH(AC$5,スコア表[#Headers],0)),スコア表[22],0),"-")</f>
        <v>26</v>
      </c>
      <c r="AD41" s="79">
        <f>IFERROR(_xlfn.RANK.EQ(INDEX(スコア表[],MATCH($C41,スコア表['#],0),MATCH(AD$5,スコア表[#Headers],0)),スコア表[23],0),"-")</f>
        <v>10</v>
      </c>
      <c r="AE41" s="79">
        <f>IFERROR(_xlfn.RANK.EQ(INDEX(スコア表[],MATCH($C41,スコア表['#],0),MATCH(AE$5,スコア表[#Headers],0)),スコア表[24],0),"-")</f>
        <v>9</v>
      </c>
      <c r="AF41" s="79">
        <f>IFERROR(_xlfn.RANK.EQ(INDEX(スコア表[],MATCH($C41,スコア表['#],0),MATCH(AF$5,スコア表[#Headers],0)),スコア表[25],0),"-")</f>
        <v>14</v>
      </c>
      <c r="AG41" s="79">
        <f>IFERROR(_xlfn.RANK.EQ(INDEX(スコア表[],MATCH($C41,スコア表['#],0),MATCH(AG$5,スコア表[#Headers],0)),スコア表[26],0),"-")</f>
        <v>22</v>
      </c>
      <c r="AH41" s="79">
        <f>IFERROR(_xlfn.RANK.EQ(INDEX(スコア表[],MATCH($C41,スコア表['#],0),MATCH(AH$5,スコア表[#Headers],0)),スコア表[27],0),"-")</f>
        <v>38</v>
      </c>
      <c r="AI41" s="79">
        <f>IFERROR(_xlfn.RANK.EQ(INDEX(スコア表[],MATCH($C41,スコア表['#],0),MATCH(AI$5,スコア表[#Headers],0)),スコア表[28],0),"-")</f>
        <v>24</v>
      </c>
      <c r="AJ41" s="79">
        <f>IFERROR(_xlfn.RANK.EQ(INDEX(スコア表[],MATCH($C41,スコア表['#],0),MATCH(AJ$5,スコア表[#Headers],0)),スコア表[29],0),"-")</f>
        <v>20</v>
      </c>
      <c r="AK41" s="79">
        <f>IFERROR(_xlfn.RANK.EQ(INDEX(スコア表[],MATCH($C41,スコア表['#],0),MATCH(AK$5,スコア表[#Headers],0)),スコア表[30],0),"-")</f>
        <v>19</v>
      </c>
      <c r="AL41" s="79">
        <f>IFERROR(_xlfn.RANK.EQ(INDEX(スコア表[],MATCH($C41,スコア表['#],0),MATCH(AL$5,スコア表[#Headers],0)),スコア表[31],0),"-")</f>
        <v>27</v>
      </c>
      <c r="AM41" s="79">
        <f>IFERROR(_xlfn.RANK.EQ(INDEX(スコア表[],MATCH($C41,スコア表['#],0),MATCH(AM$5,スコア表[#Headers],0)),スコア表[32],0),"-")</f>
        <v>39</v>
      </c>
      <c r="AN41" s="79">
        <f>IFERROR(_xlfn.RANK.EQ(INDEX(スコア表[],MATCH($C41,スコア表['#],0),MATCH(AN$5,スコア表[#Headers],0)),スコア表[33],0),"-")</f>
        <v>42</v>
      </c>
      <c r="AO41" s="79">
        <f>IFERROR(_xlfn.RANK.EQ(INDEX(スコア表[],MATCH($C41,スコア表['#],0),MATCH(AO$5,スコア表[#Headers],0)),スコア表[34],0),"-")</f>
        <v>26</v>
      </c>
      <c r="AP41" s="79">
        <f>IFERROR(_xlfn.RANK.EQ(INDEX(スコア表[],MATCH($C41,スコア表['#],0),MATCH(AP$5,スコア表[#Headers],0)),スコア表[35],0),"-")</f>
        <v>20</v>
      </c>
      <c r="AQ41" s="79">
        <f>IFERROR(_xlfn.RANK.EQ(INDEX(スコア表[],MATCH($C41,スコア表['#],0),MATCH(AQ$5,スコア表[#Headers],0)),スコア表[36],0),"-")</f>
        <v>17</v>
      </c>
      <c r="AR41" s="79">
        <f>IFERROR(_xlfn.RANK.EQ(INDEX(スコア表[],MATCH($C41,スコア表['#],0),MATCH(AR$5,スコア表[#Headers],0)),スコア表[37],0),"-")</f>
        <v>22</v>
      </c>
      <c r="AS41" s="79">
        <f>IFERROR(_xlfn.RANK.EQ(INDEX(スコア表[],MATCH($C41,スコア表['#],0),MATCH(AS$5,スコア表[#Headers],0)),スコア表[38],0),"-")</f>
        <v>34</v>
      </c>
      <c r="AT41" s="79">
        <f>IFERROR(_xlfn.RANK.EQ(INDEX(スコア表[],MATCH($C41,スコア表['#],0),MATCH(AT$5,スコア表[#Headers],0)),スコア表[39],0),"-")</f>
        <v>22</v>
      </c>
      <c r="AU41" s="79">
        <f>IFERROR(_xlfn.RANK.EQ(INDEX(スコア表[],MATCH($C41,スコア表['#],0),MATCH(AU$5,スコア表[#Headers],0)),スコア表[40],0),"-")</f>
        <v>17</v>
      </c>
      <c r="AV41" s="79">
        <f>IFERROR(_xlfn.RANK.EQ(INDEX(スコア表[],MATCH($C41,スコア表['#],0),MATCH(AV$5,スコア表[#Headers],0)),スコア表[41],0),"-")</f>
        <v>34</v>
      </c>
      <c r="AW41" s="79">
        <f>IFERROR(_xlfn.RANK.EQ(INDEX(スコア表[],MATCH($C41,スコア表['#],0),MATCH(AW$5,スコア表[#Headers],0)),スコア表[42],0),"-")</f>
        <v>38</v>
      </c>
      <c r="AX41" s="79">
        <f>IFERROR(_xlfn.RANK.EQ(INDEX(スコア表[],MATCH($C41,スコア表['#],0),MATCH(AX$5,スコア表[#Headers],0)),スコア表[43],0),"-")</f>
        <v>33</v>
      </c>
      <c r="AY41" s="79">
        <f>IFERROR(_xlfn.RANK.EQ(INDEX(スコア表[],MATCH($C41,スコア表['#],0),MATCH(AY$5,スコア表[#Headers],0)),スコア表[44],0),"-")</f>
        <v>4</v>
      </c>
      <c r="AZ41" s="79">
        <f>IFERROR(_xlfn.RANK.EQ(INDEX(スコア表[],MATCH($C41,スコア表['#],0),MATCH(AZ$5,スコア表[#Headers],0)),スコア表[45],0),"-")</f>
        <v>18</v>
      </c>
      <c r="BA41" s="79">
        <f>IFERROR(_xlfn.RANK.EQ(INDEX(スコア表[],MATCH($C41,スコア表['#],0),MATCH(BA$5,スコア表[#Headers],0)),スコア表[46],0),"-")</f>
        <v>10</v>
      </c>
      <c r="BB41" s="79">
        <f>IFERROR(_xlfn.RANK.EQ(INDEX(スコア表[],MATCH($C41,スコア表['#],0),MATCH(BB$5,スコア表[#Headers],0)),スコア表[47],0),"-")</f>
        <v>24</v>
      </c>
      <c r="BC41" s="79">
        <f>IFERROR(_xlfn.RANK.EQ(INDEX(スコア表[],MATCH($C41,スコア表['#],0),MATCH(BC$5,スコア表[#Headers],0)),スコア表[48],0),"-")</f>
        <v>34</v>
      </c>
      <c r="BD41" s="79">
        <f>IFERROR(_xlfn.RANK.EQ(INDEX(スコア表[],MATCH($C41,スコア表['#],0),MATCH(BD$5,スコア表[#Headers],0)),スコア表[49],0),"-")</f>
        <v>11</v>
      </c>
      <c r="BE41" s="79">
        <f>IFERROR(_xlfn.RANK.EQ(INDEX(スコア表[],MATCH($C41,スコア表['#],0),MATCH(BE$5,スコア表[#Headers],0)),スコア表[50],0),"-")</f>
        <v>23</v>
      </c>
      <c r="BF41" s="79">
        <f>IFERROR(_xlfn.RANK.EQ(INDEX(スコア表[],MATCH($C41,スコア表['#],0),MATCH(BF$5,スコア表[#Headers],0)),スコア表[51],0),"-")</f>
        <v>17</v>
      </c>
      <c r="BG41" s="79">
        <f>IFERROR(_xlfn.RANK.EQ(INDEX(スコア表[],MATCH($C41,スコア表['#],0),MATCH(BG$5,スコア表[#Headers],0)),スコア表[52],0),"-")</f>
        <v>19</v>
      </c>
      <c r="BH41" s="79">
        <f>IFERROR(_xlfn.RANK.EQ(INDEX(スコア表[],MATCH($C41,スコア表['#],0),MATCH(BH$5,スコア表[#Headers],0)),スコア表[53],0),"-")</f>
        <v>14</v>
      </c>
      <c r="BI41" s="79">
        <f>IFERROR(_xlfn.RANK.EQ(INDEX(スコア表[],MATCH($C41,スコア表['#],0),MATCH(BI$5,スコア表[#Headers],0)),スコア表[54],0),"-")</f>
        <v>36</v>
      </c>
      <c r="BJ41" s="79">
        <f>IFERROR(_xlfn.RANK.EQ(INDEX(スコア表[],MATCH($C41,スコア表['#],0),MATCH(BJ$5,スコア表[#Headers],0)),スコア表[55],0),"-")</f>
        <v>33</v>
      </c>
      <c r="BK41" s="79">
        <f>IFERROR(_xlfn.RANK.EQ(INDEX(スコア表[],MATCH($C41,スコア表['#],0),MATCH(BK$5,スコア表[#Headers],0)),スコア表[56],0),"-")</f>
        <v>9</v>
      </c>
      <c r="BL41" s="79">
        <f>IFERROR(_xlfn.RANK.EQ(INDEX(スコア表[],MATCH($C41,スコア表['#],0),MATCH(BL$5,スコア表[#Headers],0)),スコア表[57],0),"-")</f>
        <v>39</v>
      </c>
      <c r="BM41" s="79">
        <f>IFERROR(_xlfn.RANK.EQ(INDEX(スコア表[],MATCH($C41,スコア表['#],0),MATCH(BM$5,スコア表[#Headers],0)),スコア表[58],0),"-")</f>
        <v>18</v>
      </c>
      <c r="BN41" s="79">
        <f>IFERROR(_xlfn.RANK.EQ(INDEX(スコア表[],MATCH($C41,スコア表['#],0),MATCH(BN$5,スコア表[#Headers],0)),スコア表[59],0),"-")</f>
        <v>22</v>
      </c>
      <c r="BO41" s="79">
        <f>IFERROR(_xlfn.RANK.EQ(INDEX(スコア表[],MATCH($C41,スコア表['#],0),MATCH(BO$5,スコア表[#Headers],0)),スコア表[60],0),"-")</f>
        <v>18</v>
      </c>
      <c r="BP41" s="79">
        <f>IFERROR(_xlfn.RANK.EQ(INDEX(スコア表[],MATCH($C41,スコア表['#],0),MATCH(BP$5,スコア表[#Headers],0)),スコア表[61],0),"-")</f>
        <v>17</v>
      </c>
      <c r="BQ41" s="79">
        <f>IFERROR(_xlfn.RANK.EQ(INDEX(スコア表[],MATCH($C41,スコア表['#],0),MATCH(BQ$5,スコア表[#Headers],0)),スコア表[62],0),"-")</f>
        <v>32</v>
      </c>
      <c r="BR41" s="79">
        <f>IFERROR(_xlfn.RANK.EQ(INDEX(スコア表[],MATCH($C41,スコア表['#],0),MATCH(BR$5,スコア表[#Headers],0)),スコア表[63],0),"-")</f>
        <v>23</v>
      </c>
      <c r="BS41" s="79">
        <f>IFERROR(_xlfn.RANK.EQ(INDEX(スコア表[],MATCH($C41,スコア表['#],0),MATCH(BS$5,スコア表[#Headers],0)),スコア表[64],0),"-")</f>
        <v>18</v>
      </c>
      <c r="BT41" s="79">
        <f>IFERROR(_xlfn.RANK.EQ(INDEX(スコア表[],MATCH($C41,スコア表['#],0),MATCH(BT$5,スコア表[#Headers],0)),スコア表[65],0),"-")</f>
        <v>11</v>
      </c>
      <c r="BU41" s="79">
        <f>IFERROR(_xlfn.RANK.EQ(INDEX(スコア表[],MATCH($C41,スコア表['#],0),MATCH(BU$5,スコア表[#Headers],0)),スコア表[66],0),"-")</f>
        <v>31</v>
      </c>
      <c r="BV41" s="79">
        <f>IFERROR(_xlfn.RANK.EQ(INDEX(スコア表[],MATCH($C41,スコア表['#],0),MATCH(BV$5,スコア表[#Headers],0)),スコア表[67],0),"-")</f>
        <v>21</v>
      </c>
      <c r="BW41" s="79">
        <f>IFERROR(_xlfn.RANK.EQ(INDEX(スコア表[],MATCH($C41,スコア表['#],0),MATCH(BW$5,スコア表[#Headers],0)),スコア表[68],0),"-")</f>
        <v>29</v>
      </c>
      <c r="BX41" s="79">
        <f>IFERROR(_xlfn.RANK.EQ(INDEX(スコア表[],MATCH($C41,スコア表['#],0),MATCH(BX$5,スコア表[#Headers],0)),スコア表[69],0),"-")</f>
        <v>33</v>
      </c>
      <c r="BY41" s="79">
        <f>IFERROR(_xlfn.RANK.EQ(INDEX(スコア表[],MATCH($C41,スコア表['#],0),MATCH(BY$5,スコア表[#Headers],0)),スコア表[70],0),"-")</f>
        <v>9</v>
      </c>
      <c r="BZ41" s="79">
        <f>IFERROR(_xlfn.RANK.EQ(INDEX(スコア表[],MATCH($C41,スコア表['#],0),MATCH(BZ$5,スコア表[#Headers],0)),スコア表[Ec1],0),"-")</f>
        <v>29</v>
      </c>
      <c r="CA41" s="79">
        <f>IFERROR(_xlfn.RANK.EQ(INDEX(スコア表[],MATCH($C41,スコア表['#],0),MATCH(CA$5,スコア表[#Headers],0)),スコア表[Ec2],0),"-")</f>
        <v>10</v>
      </c>
      <c r="CB41" s="79">
        <f>IFERROR(_xlfn.RANK.EQ(INDEX(スコア表[],MATCH($C41,スコア表['#],0),MATCH(CB$5,スコア表[#Headers],0)),スコア表[Ec3],0),"-")</f>
        <v>10</v>
      </c>
      <c r="CC41" s="79">
        <f>IFERROR(_xlfn.RANK.EQ(INDEX(スコア表[],MATCH($C41,スコア表['#],0),MATCH(CC$5,スコア表[#Headers],0)),スコア表[Ec4],0),"-")</f>
        <v>15</v>
      </c>
      <c r="CD41" s="79">
        <f>IFERROR(_xlfn.RANK.EQ(INDEX(スコア表[],MATCH($C41,スコア表['#],0),MATCH(CD$5,スコア表[#Headers],0)),スコア表[Ec5],0),"-")</f>
        <v>13</v>
      </c>
      <c r="CE41" s="79">
        <f>IFERROR(_xlfn.RANK.EQ(INDEX(スコア表[],MATCH($C41,スコア表['#],0),MATCH(CE$5,スコア表[#Headers],0)),スコア表[Ec6],0),"-")</f>
        <v>22</v>
      </c>
      <c r="CF41" s="79">
        <f>IFERROR(_xlfn.RANK.EQ(INDEX(スコア表[],MATCH($C41,スコア表['#],0),MATCH(CF$5,スコア表[#Headers],0)),スコア表[RD1],0),"-")</f>
        <v>24</v>
      </c>
      <c r="CG41" s="79">
        <f>IFERROR(_xlfn.RANK.EQ(INDEX(スコア表[],MATCH($C41,スコア表['#],0),MATCH(CG$5,スコア表[#Headers],0)),スコア表[RD2],0),"-")</f>
        <v>16</v>
      </c>
      <c r="CH41" s="79">
        <f>IFERROR(_xlfn.RANK.EQ(INDEX(スコア表[],MATCH($C41,スコア表['#],0),MATCH(CH$5,スコア表[#Headers],0)),スコア表[RD3],0),"-")</f>
        <v>17</v>
      </c>
      <c r="CI41" s="79">
        <f>IFERROR(_xlfn.RANK.EQ(INDEX(スコア表[],MATCH($C41,スコア表['#],0),MATCH(CI$5,スコア表[#Headers],0)),スコア表[CI1],0),"-")</f>
        <v>17</v>
      </c>
      <c r="CJ41" s="79">
        <f>IFERROR(_xlfn.RANK.EQ(INDEX(スコア表[],MATCH($C41,スコア表['#],0),MATCH(CJ$5,スコア表[#Headers],0)),スコア表[CI2],0),"-")</f>
        <v>35</v>
      </c>
      <c r="CK41" s="79">
        <f>IFERROR(_xlfn.RANK.EQ(INDEX(スコア表[],MATCH($C41,スコア表['#],0),MATCH(CK$5,スコア表[#Headers],0)),スコア表[CI3],0),"-")</f>
        <v>24</v>
      </c>
      <c r="CL41" s="79">
        <f>IFERROR(_xlfn.RANK.EQ(INDEX(スコア表[],MATCH($C41,スコア表['#],0),MATCH(CL$5,スコア表[#Headers],0)),スコア表[CI4],0),"-")</f>
        <v>32</v>
      </c>
      <c r="CM41" s="79">
        <f>IFERROR(_xlfn.RANK.EQ(INDEX(スコア表[],MATCH($C41,スコア表['#],0),MATCH(CM$5,スコア表[#Headers],0)),スコア表[CI5],0),"-")</f>
        <v>20</v>
      </c>
      <c r="CN41" s="79">
        <f>IFERROR(_xlfn.RANK.EQ(INDEX(スコア表[],MATCH($C41,スコア表['#],0),MATCH(CN$5,スコア表[#Headers],0)),スコア表[Li1],0),"-")</f>
        <v>18</v>
      </c>
      <c r="CO41" s="79">
        <f>IFERROR(_xlfn.RANK.EQ(INDEX(スコア表[],MATCH($C41,スコア表['#],0),MATCH(CO$5,スコア表[#Headers],0)),スコア表[Li2],0),"-")</f>
        <v>35</v>
      </c>
      <c r="CP41" s="79">
        <f>IFERROR(_xlfn.RANK.EQ(INDEX(スコア表[],MATCH($C41,スコア表['#],0),MATCH(CP$5,スコア表[#Headers],0)),スコア表[Li3],0),"-")</f>
        <v>19</v>
      </c>
      <c r="CQ41" s="79">
        <f>IFERROR(_xlfn.RANK.EQ(INDEX(スコア表[],MATCH($C41,スコア表['#],0),MATCH(CQ$5,スコア表[#Headers],0)),スコア表[Li4],0),"-")</f>
        <v>14</v>
      </c>
      <c r="CR41" s="79">
        <f>IFERROR(_xlfn.RANK.EQ(INDEX(スコア表[],MATCH($C41,スコア表['#],0),MATCH(CR$5,スコア表[#Headers],0)),スコア表[Li5],0),"-")</f>
        <v>25</v>
      </c>
      <c r="CS41" s="79">
        <f>IFERROR(_xlfn.RANK.EQ(INDEX(スコア表[],MATCH($C41,スコア表['#],0),MATCH(CS$5,スコア表[#Headers],0)),スコア表[En1],0),"-")</f>
        <v>22</v>
      </c>
      <c r="CT41" s="79">
        <f>IFERROR(_xlfn.RANK.EQ(INDEX(スコア表[],MATCH($C41,スコア表['#],0),MATCH(CT$5,スコア表[#Headers],0)),スコア表[En2],0),"-")</f>
        <v>33</v>
      </c>
      <c r="CU41" s="79">
        <f>IFERROR(_xlfn.RANK.EQ(INDEX(スコア表[],MATCH($C41,スコア表['#],0),MATCH(CU$5,スコア表[#Headers],0)),スコア表[En3],0),"-")</f>
        <v>18</v>
      </c>
      <c r="CV41" s="79">
        <f>IFERROR(_xlfn.RANK.EQ(INDEX(スコア表[],MATCH($C41,スコア表['#],0),MATCH(CV$5,スコア表[#Headers],0)),スコア表[Ac1],0),"-")</f>
        <v>26</v>
      </c>
      <c r="CW41" s="79">
        <f>IFERROR(_xlfn.RANK.EQ(INDEX(スコア表[],MATCH($C41,スコア表['#],0),MATCH(CW$5,スコア表[#Headers],0)),スコア表[Ac2],0),"-")</f>
        <v>21</v>
      </c>
      <c r="CX41" s="79">
        <f>IFERROR(_xlfn.RANK.EQ(INDEX(スコア表[],MATCH($C41,スコア表['#],0),MATCH(CX$5,スコア表[#Headers],0)),スコア表[Ac3],0),"-")</f>
        <v>27</v>
      </c>
      <c r="CY41" s="79">
        <f>IFERROR(_xlfn.RANK.EQ(INDEX(スコア表[],MATCH($C41,スコア表['#],0),MATCH(CY$5,スコア表[#Headers],0)),スコア表[Ac4],0),"-")</f>
        <v>23</v>
      </c>
      <c r="CZ41" s="79">
        <f>IFERROR(_xlfn.RANK.EQ(INDEX(スコア表[],MATCH($C41,スコア表['#],0),MATCH(CZ$5,スコア表[#Headers],0)),スコア表[Economy],0),"-")</f>
        <v>18</v>
      </c>
      <c r="DA41" s="79">
        <f>IFERROR(_xlfn.RANK.EQ(INDEX(スコア表[],MATCH($C41,スコア表['#],0),MATCH(DA$5,スコア表[#Headers],0)),スコア表[R&amp;D],0),"-")</f>
        <v>20</v>
      </c>
      <c r="DB41" s="79">
        <f>IFERROR(_xlfn.RANK.EQ(INDEX(スコア表[],MATCH($C41,スコア表['#],0),MATCH(DB$5,スコア表[#Headers],0)),スコア表[Cultural Interaction],0),"-")</f>
        <v>29</v>
      </c>
      <c r="DC41" s="79">
        <f>IFERROR(_xlfn.RANK.EQ(INDEX(スコア表[],MATCH($C41,スコア表['#],0),MATCH(DC$5,スコア表[#Headers],0)),スコア表[Livability],0),"-")</f>
        <v>18</v>
      </c>
      <c r="DD41" s="79">
        <f>IFERROR(_xlfn.RANK.EQ(INDEX(スコア表[],MATCH($C41,スコア表['#],0),MATCH(DD$5,スコア表[#Headers],0)),スコア表[Environment],0),"-")</f>
        <v>18</v>
      </c>
      <c r="DE41" s="79">
        <f>IFERROR(_xlfn.RANK.EQ(INDEX(スコア表[],MATCH($C41,スコア表['#],0),MATCH(DE$5,スコア表[#Headers],0)),スコア表[Accessibility],0),"-")</f>
        <v>24</v>
      </c>
      <c r="DF41" s="81">
        <f>IFERROR(_xlfn.RANK.EQ(INDEX(スコア表[],MATCH($C41,スコア表['#],0),MATCH(DF$5,スコア表[#Headers],0)),スコア表[Comprehensive],0),"-")</f>
        <v>23</v>
      </c>
    </row>
    <row r="42" spans="1:110">
      <c r="A42" s="2">
        <v>37</v>
      </c>
      <c r="B42" s="58">
        <f>INDEX(順位表[Comprehensive],MATCH($C42,順位表['#],0))</f>
        <v>36</v>
      </c>
      <c r="C42" s="3">
        <v>37</v>
      </c>
      <c r="D42" s="1" t="str">
        <f>INDEX(都市マスタ[City Name],MATCH($C42,都市マスタ['#],0))</f>
        <v>Washington, DC</v>
      </c>
      <c r="E42" s="79">
        <f>IFERROR(_xlfn.RANK.EQ(INDEX(スコア表[],MATCH($C42,スコア表['#],0),MATCH(E$5,スコア表[#Headers],0)),スコア表[00a],0),"-")</f>
        <v>43</v>
      </c>
      <c r="F42" s="79">
        <f>IFERROR(_xlfn.RANK.EQ(INDEX(スコア表[],MATCH($C42,スコア表['#],0),MATCH(F$5,スコア表[#Headers],0)),スコア表[00b],0),"-")</f>
        <v>40</v>
      </c>
      <c r="G42" s="79">
        <f>IFERROR(_xlfn.RANK.EQ(INDEX(スコア表[],MATCH($C42,スコア表['#],0),MATCH(G$5,スコア表[#Headers],0)),スコア表[00c],0),"-")</f>
        <v>29</v>
      </c>
      <c r="H42" s="79">
        <f>IFERROR(_xlfn.RANK.EQ(INDEX(スコア表[],MATCH($C42,スコア表['#],0),MATCH(H$5,スコア表[#Headers],0)),スコア表[01],0),"-")</f>
        <v>23</v>
      </c>
      <c r="I42" s="79">
        <f>IFERROR(_xlfn.RANK.EQ(INDEX(スコア表[],MATCH($C42,スコア表['#],0),MATCH(I$5,スコア表[#Headers],0)),スコア表[02],0),"-")</f>
        <v>1</v>
      </c>
      <c r="J42" s="79">
        <f>IFERROR(_xlfn.RANK.EQ(INDEX(スコア表[],MATCH($C42,スコア表['#],0),MATCH(J$5,スコア表[#Headers],0)),スコア表[03],0),"-")</f>
        <v>31</v>
      </c>
      <c r="K42" s="79">
        <f>IFERROR(_xlfn.RANK.EQ(INDEX(スコア表[],MATCH($C42,スコア表['#],0),MATCH(K$5,スコア表[#Headers],0)),スコア表[04],0),"-")</f>
        <v>19</v>
      </c>
      <c r="L42" s="79">
        <f>IFERROR(_xlfn.RANK.EQ(INDEX(スコア表[],MATCH($C42,スコア表['#],0),MATCH(L$5,スコア表[#Headers],0)),スコア表[05],0),"-")</f>
        <v>36</v>
      </c>
      <c r="M42" s="79">
        <f>IFERROR(_xlfn.RANK.EQ(INDEX(スコア表[],MATCH($C42,スコア表['#],0),MATCH(M$5,スコア表[#Headers],0)),スコア表[06],0),"-")</f>
        <v>7</v>
      </c>
      <c r="N42" s="79">
        <f>IFERROR(_xlfn.RANK.EQ(INDEX(スコア表[],MATCH($C42,スコア表['#],0),MATCH(N$5,スコア表[#Headers],0)),スコア表[07],0),"-")</f>
        <v>34</v>
      </c>
      <c r="O42" s="79">
        <f>IFERROR(_xlfn.RANK.EQ(INDEX(スコア表[],MATCH($C42,スコア表['#],0),MATCH(O$5,スコア表[#Headers],0)),スコア表[08],0),"-")</f>
        <v>43</v>
      </c>
      <c r="P42" s="79">
        <f>IFERROR(_xlfn.RANK.EQ(INDEX(スコア表[],MATCH($C42,スコア表['#],0),MATCH(P$5,スコア表[#Headers],0)),スコア表[09],0),"-")</f>
        <v>4</v>
      </c>
      <c r="Q42" s="79">
        <f>IFERROR(_xlfn.RANK.EQ(INDEX(スコア表[],MATCH($C42,スコア表['#],0),MATCH(Q$5,スコア表[#Headers],0)),スコア表[10],0),"-")</f>
        <v>2</v>
      </c>
      <c r="R42" s="79">
        <f>IFERROR(_xlfn.RANK.EQ(INDEX(スコア表[],MATCH($C42,スコア表['#],0),MATCH(R$5,スコア表[#Headers],0)),スコア表[11],0),"-")</f>
        <v>16</v>
      </c>
      <c r="S42" s="79">
        <f>IFERROR(_xlfn.RANK.EQ(INDEX(スコア表[],MATCH($C42,スコア表['#],0),MATCH(S$5,スコア表[#Headers],0)),スコア表[12],0),"-")</f>
        <v>32</v>
      </c>
      <c r="T42" s="79">
        <f>IFERROR(_xlfn.RANK.EQ(INDEX(スコア表[],MATCH($C42,スコア表['#],0),MATCH(T$5,スコア表[#Headers],0)),スコア表[13],0),"-")</f>
        <v>6</v>
      </c>
      <c r="U42" s="79">
        <f>IFERROR(_xlfn.RANK.EQ(INDEX(スコア表[],MATCH($C42,スコア表['#],0),MATCH(U$5,スコア表[#Headers],0)),スコア表[14],0),"-")</f>
        <v>11</v>
      </c>
      <c r="V42" s="79">
        <f>IFERROR(_xlfn.RANK.EQ(INDEX(スコア表[],MATCH($C42,スコア表['#],0),MATCH(V$5,スコア表[#Headers],0)),スコア表[15],0),"-")</f>
        <v>22</v>
      </c>
      <c r="W42" s="79">
        <f>IFERROR(_xlfn.RANK.EQ(INDEX(スコア表[],MATCH($C42,スコア表['#],0),MATCH(W$5,スコア表[#Headers],0)),スコア表[16],0),"-")</f>
        <v>5</v>
      </c>
      <c r="X42" s="79">
        <f>IFERROR(_xlfn.RANK.EQ(INDEX(スコア表[],MATCH($C42,スコア表['#],0),MATCH(X$5,スコア表[#Headers],0)),スコア表[17],0),"-")</f>
        <v>23</v>
      </c>
      <c r="Y42" s="79">
        <f>IFERROR(_xlfn.RANK.EQ(INDEX(スコア表[],MATCH($C42,スコア表['#],0),MATCH(Y$5,スコア表[#Headers],0)),スコア表[18],0),"-")</f>
        <v>25</v>
      </c>
      <c r="Z42" s="79">
        <f>IFERROR(_xlfn.RANK.EQ(INDEX(スコア表[],MATCH($C42,スコア表['#],0),MATCH(Z$5,スコア表[#Headers],0)),スコア表[19],0),"-")</f>
        <v>10</v>
      </c>
      <c r="AA42" s="79">
        <f>IFERROR(_xlfn.RANK.EQ(INDEX(スコア表[],MATCH($C42,スコア表['#],0),MATCH(AA$5,スコア表[#Headers],0)),スコア表[20],0),"-")</f>
        <v>6</v>
      </c>
      <c r="AB42" s="79">
        <f>IFERROR(_xlfn.RANK.EQ(INDEX(スコア表[],MATCH($C42,スコア表['#],0),MATCH(AB$5,スコア表[#Headers],0)),スコア表[21],0),"-")</f>
        <v>25</v>
      </c>
      <c r="AC42" s="79">
        <f>IFERROR(_xlfn.RANK.EQ(INDEX(スコア表[],MATCH($C42,スコア表['#],0),MATCH(AC$5,スコア表[#Headers],0)),スコア表[22],0),"-")</f>
        <v>16</v>
      </c>
      <c r="AD42" s="79">
        <f>IFERROR(_xlfn.RANK.EQ(INDEX(スコア表[],MATCH($C42,スコア表['#],0),MATCH(AD$5,スコア表[#Headers],0)),スコア表[23],0),"-")</f>
        <v>43</v>
      </c>
      <c r="AE42" s="79">
        <f>IFERROR(_xlfn.RANK.EQ(INDEX(スコア表[],MATCH($C42,スコア表['#],0),MATCH(AE$5,スコア表[#Headers],0)),スコア表[24],0),"-")</f>
        <v>15</v>
      </c>
      <c r="AF42" s="79">
        <f>IFERROR(_xlfn.RANK.EQ(INDEX(スコア表[],MATCH($C42,スコア表['#],0),MATCH(AF$5,スコア表[#Headers],0)),スコア表[25],0),"-")</f>
        <v>21</v>
      </c>
      <c r="AG42" s="79">
        <f>IFERROR(_xlfn.RANK.EQ(INDEX(スコア表[],MATCH($C42,スコア表['#],0),MATCH(AG$5,スコア表[#Headers],0)),スコア表[26],0),"-")</f>
        <v>31</v>
      </c>
      <c r="AH42" s="79">
        <f>IFERROR(_xlfn.RANK.EQ(INDEX(スコア表[],MATCH($C42,スコア表['#],0),MATCH(AH$5,スコア表[#Headers],0)),スコア表[27],0),"-")</f>
        <v>38</v>
      </c>
      <c r="AI42" s="79">
        <f>IFERROR(_xlfn.RANK.EQ(INDEX(スコア表[],MATCH($C42,スコア表['#],0),MATCH(AI$5,スコア表[#Headers],0)),スコア表[28],0),"-")</f>
        <v>42</v>
      </c>
      <c r="AJ42" s="79">
        <f>IFERROR(_xlfn.RANK.EQ(INDEX(スコア表[],MATCH($C42,スコア表['#],0),MATCH(AJ$5,スコア表[#Headers],0)),スコア表[29],0),"-")</f>
        <v>25</v>
      </c>
      <c r="AK42" s="79">
        <f>IFERROR(_xlfn.RANK.EQ(INDEX(スコア表[],MATCH($C42,スコア表['#],0),MATCH(AK$5,スコア表[#Headers],0)),スコア表[30],0),"-")</f>
        <v>10</v>
      </c>
      <c r="AL42" s="79">
        <f>IFERROR(_xlfn.RANK.EQ(INDEX(スコア表[],MATCH($C42,スコア表['#],0),MATCH(AL$5,スコア表[#Headers],0)),スコア表[31],0),"-")</f>
        <v>23</v>
      </c>
      <c r="AM42" s="79">
        <f>IFERROR(_xlfn.RANK.EQ(INDEX(スコア表[],MATCH($C42,スコア表['#],0),MATCH(AM$5,スコア表[#Headers],0)),スコア表[32],0),"-")</f>
        <v>21</v>
      </c>
      <c r="AN42" s="79">
        <f>IFERROR(_xlfn.RANK.EQ(INDEX(スコア表[],MATCH($C42,スコア表['#],0),MATCH(AN$5,スコア表[#Headers],0)),スコア表[33],0),"-")</f>
        <v>24</v>
      </c>
      <c r="AO42" s="79">
        <f>IFERROR(_xlfn.RANK.EQ(INDEX(スコア表[],MATCH($C42,スコア表['#],0),MATCH(AO$5,スコア表[#Headers],0)),スコア表[34],0),"-")</f>
        <v>48</v>
      </c>
      <c r="AP42" s="79">
        <f>IFERROR(_xlfn.RANK.EQ(INDEX(スコア表[],MATCH($C42,スコア表['#],0),MATCH(AP$5,スコア表[#Headers],0)),スコア表[35],0),"-")</f>
        <v>43</v>
      </c>
      <c r="AQ42" s="79">
        <f>IFERROR(_xlfn.RANK.EQ(INDEX(スコア表[],MATCH($C42,スコア表['#],0),MATCH(AQ$5,スコア表[#Headers],0)),スコア表[36],0),"-")</f>
        <v>46</v>
      </c>
      <c r="AR42" s="79">
        <f>IFERROR(_xlfn.RANK.EQ(INDEX(スコア表[],MATCH($C42,スコア表['#],0),MATCH(AR$5,スコア表[#Headers],0)),スコア表[37],0),"-")</f>
        <v>39</v>
      </c>
      <c r="AS42" s="79">
        <f>IFERROR(_xlfn.RANK.EQ(INDEX(スコア表[],MATCH($C42,スコア表['#],0),MATCH(AS$5,スコア表[#Headers],0)),スコア表[38],0),"-")</f>
        <v>23</v>
      </c>
      <c r="AT42" s="79">
        <f>IFERROR(_xlfn.RANK.EQ(INDEX(スコア表[],MATCH($C42,スコア表['#],0),MATCH(AT$5,スコア表[#Headers],0)),スコア表[39],0),"-")</f>
        <v>38</v>
      </c>
      <c r="AU42" s="79">
        <f>IFERROR(_xlfn.RANK.EQ(INDEX(スコア表[],MATCH($C42,スコア表['#],0),MATCH(AU$5,スコア表[#Headers],0)),スコア表[40],0),"-")</f>
        <v>9</v>
      </c>
      <c r="AV42" s="79">
        <f>IFERROR(_xlfn.RANK.EQ(INDEX(スコア表[],MATCH($C42,スコア表['#],0),MATCH(AV$5,スコア表[#Headers],0)),スコア表[41],0),"-")</f>
        <v>45</v>
      </c>
      <c r="AW42" s="79">
        <f>IFERROR(_xlfn.RANK.EQ(INDEX(スコア表[],MATCH($C42,スコア表['#],0),MATCH(AW$5,スコア表[#Headers],0)),スコア表[42],0),"-")</f>
        <v>37</v>
      </c>
      <c r="AX42" s="79">
        <f>IFERROR(_xlfn.RANK.EQ(INDEX(スコア表[],MATCH($C42,スコア表['#],0),MATCH(AX$5,スコア表[#Headers],0)),スコア表[43],0),"-")</f>
        <v>46</v>
      </c>
      <c r="AY42" s="79">
        <f>IFERROR(_xlfn.RANK.EQ(INDEX(スコア表[],MATCH($C42,スコア表['#],0),MATCH(AY$5,スコア表[#Headers],0)),スコア表[44],0),"-")</f>
        <v>8</v>
      </c>
      <c r="AZ42" s="79">
        <f>IFERROR(_xlfn.RANK.EQ(INDEX(スコア表[],MATCH($C42,スコア表['#],0),MATCH(AZ$5,スコア表[#Headers],0)),スコア表[45],0),"-")</f>
        <v>30</v>
      </c>
      <c r="BA42" s="79">
        <f>IFERROR(_xlfn.RANK.EQ(INDEX(スコア表[],MATCH($C42,スコア表['#],0),MATCH(BA$5,スコア表[#Headers],0)),スコア表[46],0),"-")</f>
        <v>20</v>
      </c>
      <c r="BB42" s="79">
        <f>IFERROR(_xlfn.RANK.EQ(INDEX(スコア表[],MATCH($C42,スコア表['#],0),MATCH(BB$5,スコア表[#Headers],0)),スコア表[47],0),"-")</f>
        <v>40</v>
      </c>
      <c r="BC42" s="79">
        <f>IFERROR(_xlfn.RANK.EQ(INDEX(スコア表[],MATCH($C42,スコア表['#],0),MATCH(BC$5,スコア表[#Headers],0)),スコア表[48],0),"-")</f>
        <v>7</v>
      </c>
      <c r="BD42" s="79">
        <f>IFERROR(_xlfn.RANK.EQ(INDEX(スコア表[],MATCH($C42,スコア表['#],0),MATCH(BD$5,スコア表[#Headers],0)),スコア表[49],0),"-")</f>
        <v>1</v>
      </c>
      <c r="BE42" s="79">
        <f>IFERROR(_xlfn.RANK.EQ(INDEX(スコア表[],MATCH($C42,スコア表['#],0),MATCH(BE$5,スコア表[#Headers],0)),スコア表[50],0),"-")</f>
        <v>41</v>
      </c>
      <c r="BF42" s="79">
        <f>IFERROR(_xlfn.RANK.EQ(INDEX(スコア表[],MATCH($C42,スコア表['#],0),MATCH(BF$5,スコア表[#Headers],0)),スコア表[51],0),"-")</f>
        <v>29</v>
      </c>
      <c r="BG42" s="79">
        <f>IFERROR(_xlfn.RANK.EQ(INDEX(スコア表[],MATCH($C42,スコア表['#],0),MATCH(BG$5,スコア表[#Headers],0)),スコア表[52],0),"-")</f>
        <v>18</v>
      </c>
      <c r="BH42" s="79">
        <f>IFERROR(_xlfn.RANK.EQ(INDEX(スコア表[],MATCH($C42,スコア表['#],0),MATCH(BH$5,スコア表[#Headers],0)),スコア表[53],0),"-")</f>
        <v>30</v>
      </c>
      <c r="BI42" s="79">
        <f>IFERROR(_xlfn.RANK.EQ(INDEX(スコア表[],MATCH($C42,スコア表['#],0),MATCH(BI$5,スコア表[#Headers],0)),スコア表[54],0),"-")</f>
        <v>26</v>
      </c>
      <c r="BJ42" s="79">
        <f>IFERROR(_xlfn.RANK.EQ(INDEX(スコア表[],MATCH($C42,スコア表['#],0),MATCH(BJ$5,スコア表[#Headers],0)),スコア表[55],0),"-")</f>
        <v>48</v>
      </c>
      <c r="BK42" s="79">
        <f>IFERROR(_xlfn.RANK.EQ(INDEX(スコア表[],MATCH($C42,スコア表['#],0),MATCH(BK$5,スコア表[#Headers],0)),スコア表[56],0),"-")</f>
        <v>14</v>
      </c>
      <c r="BL42" s="79">
        <f>IFERROR(_xlfn.RANK.EQ(INDEX(スコア表[],MATCH($C42,スコア表['#],0),MATCH(BL$5,スコア表[#Headers],0)),スコア表[57],0),"-")</f>
        <v>26</v>
      </c>
      <c r="BM42" s="79">
        <f>IFERROR(_xlfn.RANK.EQ(INDEX(スコア表[],MATCH($C42,スコア表['#],0),MATCH(BM$5,スコア表[#Headers],0)),スコア表[58],0),"-")</f>
        <v>29</v>
      </c>
      <c r="BN42" s="79">
        <f>IFERROR(_xlfn.RANK.EQ(INDEX(スコア表[],MATCH($C42,スコア表['#],0),MATCH(BN$5,スコア表[#Headers],0)),スコア表[59],0),"-")</f>
        <v>14</v>
      </c>
      <c r="BO42" s="79">
        <f>IFERROR(_xlfn.RANK.EQ(INDEX(スコア表[],MATCH($C42,スコア表['#],0),MATCH(BO$5,スコア表[#Headers],0)),スコア表[60],0),"-")</f>
        <v>24</v>
      </c>
      <c r="BP42" s="79">
        <f>IFERROR(_xlfn.RANK.EQ(INDEX(スコア表[],MATCH($C42,スコア表['#],0),MATCH(BP$5,スコア表[#Headers],0)),スコア表[61],0),"-")</f>
        <v>34</v>
      </c>
      <c r="BQ42" s="79">
        <f>IFERROR(_xlfn.RANK.EQ(INDEX(スコア表[],MATCH($C42,スコア表['#],0),MATCH(BQ$5,スコア表[#Headers],0)),スコア表[62],0),"-")</f>
        <v>41</v>
      </c>
      <c r="BR42" s="79">
        <f>IFERROR(_xlfn.RANK.EQ(INDEX(スコア表[],MATCH($C42,スコア表['#],0),MATCH(BR$5,スコア表[#Headers],0)),スコア表[63],0),"-")</f>
        <v>15</v>
      </c>
      <c r="BS42" s="79">
        <f>IFERROR(_xlfn.RANK.EQ(INDEX(スコア表[],MATCH($C42,スコア表['#],0),MATCH(BS$5,スコア表[#Headers],0)),スコア表[64],0),"-")</f>
        <v>26</v>
      </c>
      <c r="BT42" s="79">
        <f>IFERROR(_xlfn.RANK.EQ(INDEX(スコア表[],MATCH($C42,スコア表['#],0),MATCH(BT$5,スコア表[#Headers],0)),スコア表[65],0),"-")</f>
        <v>37</v>
      </c>
      <c r="BU42" s="79">
        <f>IFERROR(_xlfn.RANK.EQ(INDEX(スコア表[],MATCH($C42,スコア表['#],0),MATCH(BU$5,スコア表[#Headers],0)),スコア表[66],0),"-")</f>
        <v>44</v>
      </c>
      <c r="BV42" s="79">
        <f>IFERROR(_xlfn.RANK.EQ(INDEX(スコア表[],MATCH($C42,スコア表['#],0),MATCH(BV$5,スコア表[#Headers],0)),スコア表[67],0),"-")</f>
        <v>38</v>
      </c>
      <c r="BW42" s="79">
        <f>IFERROR(_xlfn.RANK.EQ(INDEX(スコア表[],MATCH($C42,スコア表['#],0),MATCH(BW$5,スコア表[#Headers],0)),スコア表[68],0),"-")</f>
        <v>15</v>
      </c>
      <c r="BX42" s="79">
        <f>IFERROR(_xlfn.RANK.EQ(INDEX(スコア表[],MATCH($C42,スコア表['#],0),MATCH(BX$5,スコア表[#Headers],0)),スコア表[69],0),"-")</f>
        <v>21</v>
      </c>
      <c r="BY42" s="79">
        <f>IFERROR(_xlfn.RANK.EQ(INDEX(スコア表[],MATCH($C42,スコア表['#],0),MATCH(BY$5,スコア表[#Headers],0)),スコア表[70],0),"-")</f>
        <v>30</v>
      </c>
      <c r="BZ42" s="79">
        <f>IFERROR(_xlfn.RANK.EQ(INDEX(スコア表[],MATCH($C42,スコア表['#],0),MATCH(BZ$5,スコア表[#Headers],0)),スコア表[Ec1],0),"-")</f>
        <v>5</v>
      </c>
      <c r="CA42" s="79">
        <f>IFERROR(_xlfn.RANK.EQ(INDEX(スコア表[],MATCH($C42,スコア表['#],0),MATCH(CA$5,スコア表[#Headers],0)),スコア表[Ec2],0),"-")</f>
        <v>23</v>
      </c>
      <c r="CB42" s="79">
        <f>IFERROR(_xlfn.RANK.EQ(INDEX(スコア表[],MATCH($C42,スコア表['#],0),MATCH(CB$5,スコア表[#Headers],0)),スコア表[Ec3],0),"-")</f>
        <v>11</v>
      </c>
      <c r="CC42" s="79">
        <f>IFERROR(_xlfn.RANK.EQ(INDEX(スコア表[],MATCH($C42,スコア表['#],0),MATCH(CC$5,スコア表[#Headers],0)),スコア表[Ec4],0),"-")</f>
        <v>48</v>
      </c>
      <c r="CD42" s="79">
        <f>IFERROR(_xlfn.RANK.EQ(INDEX(スコア表[],MATCH($C42,スコア表['#],0),MATCH(CD$5,スコア表[#Headers],0)),スコア表[Ec5],0),"-")</f>
        <v>4</v>
      </c>
      <c r="CE42" s="79">
        <f>IFERROR(_xlfn.RANK.EQ(INDEX(スコア表[],MATCH($C42,スコア表['#],0),MATCH(CE$5,スコア表[#Headers],0)),スコア表[Ec6],0),"-")</f>
        <v>18</v>
      </c>
      <c r="CF42" s="79">
        <f>IFERROR(_xlfn.RANK.EQ(INDEX(スコア表[],MATCH($C42,スコア表['#],0),MATCH(CF$5,スコア表[#Headers],0)),スコア表[RD1],0),"-")</f>
        <v>18</v>
      </c>
      <c r="CG42" s="79">
        <f>IFERROR(_xlfn.RANK.EQ(INDEX(スコア表[],MATCH($C42,スコア表['#],0),MATCH(CG$5,スコア表[#Headers],0)),スコア表[RD2],0),"-")</f>
        <v>14</v>
      </c>
      <c r="CH42" s="79">
        <f>IFERROR(_xlfn.RANK.EQ(INDEX(スコア表[],MATCH($C42,スコア表['#],0),MATCH(CH$5,スコア表[#Headers],0)),スコア表[RD3],0),"-")</f>
        <v>9</v>
      </c>
      <c r="CI42" s="79">
        <f>IFERROR(_xlfn.RANK.EQ(INDEX(スコア表[],MATCH($C42,スコア表['#],0),MATCH(CI$5,スコア表[#Headers],0)),スコア表[CI1],0),"-")</f>
        <v>35</v>
      </c>
      <c r="CJ42" s="79">
        <f>IFERROR(_xlfn.RANK.EQ(INDEX(スコア表[],MATCH($C42,スコア表['#],0),MATCH(CJ$5,スコア表[#Headers],0)),スコア表[CI2],0),"-")</f>
        <v>42</v>
      </c>
      <c r="CK42" s="79">
        <f>IFERROR(_xlfn.RANK.EQ(INDEX(スコア表[],MATCH($C42,スコア表['#],0),MATCH(CK$5,スコア表[#Headers],0)),スコア表[CI3],0),"-")</f>
        <v>17</v>
      </c>
      <c r="CL42" s="79">
        <f>IFERROR(_xlfn.RANK.EQ(INDEX(スコア表[],MATCH($C42,スコア表['#],0),MATCH(CL$5,スコア表[#Headers],0)),スコア表[CI4],0),"-")</f>
        <v>43</v>
      </c>
      <c r="CM42" s="79">
        <f>IFERROR(_xlfn.RANK.EQ(INDEX(スコア表[],MATCH($C42,スコア表['#],0),MATCH(CM$5,スコア表[#Headers],0)),スコア表[CI5],0),"-")</f>
        <v>44</v>
      </c>
      <c r="CN42" s="79">
        <f>IFERROR(_xlfn.RANK.EQ(INDEX(スコア表[],MATCH($C42,スコア表['#],0),MATCH(CN$5,スコア表[#Headers],0)),スコア表[Li1],0),"-")</f>
        <v>11</v>
      </c>
      <c r="CO42" s="79">
        <f>IFERROR(_xlfn.RANK.EQ(INDEX(スコア表[],MATCH($C42,スコア表['#],0),MATCH(CO$5,スコア表[#Headers],0)),スコア表[Li2],0),"-")</f>
        <v>41</v>
      </c>
      <c r="CP42" s="79">
        <f>IFERROR(_xlfn.RANK.EQ(INDEX(スコア表[],MATCH($C42,スコア表['#],0),MATCH(CP$5,スコア表[#Headers],0)),スコア表[Li3],0),"-")</f>
        <v>45</v>
      </c>
      <c r="CQ42" s="79">
        <f>IFERROR(_xlfn.RANK.EQ(INDEX(スコア表[],MATCH($C42,スコア表['#],0),MATCH(CQ$5,スコア表[#Headers],0)),スコア表[Li4],0),"-")</f>
        <v>36</v>
      </c>
      <c r="CR42" s="79">
        <f>IFERROR(_xlfn.RANK.EQ(INDEX(スコア表[],MATCH($C42,スコア表['#],0),MATCH(CR$5,スコア表[#Headers],0)),スコア表[Li5],0),"-")</f>
        <v>10</v>
      </c>
      <c r="CS42" s="79">
        <f>IFERROR(_xlfn.RANK.EQ(INDEX(スコア表[],MATCH($C42,スコア表['#],0),MATCH(CS$5,スコア表[#Headers],0)),スコア表[En1],0),"-")</f>
        <v>30</v>
      </c>
      <c r="CT42" s="79">
        <f>IFERROR(_xlfn.RANK.EQ(INDEX(スコア表[],MATCH($C42,スコア表['#],0),MATCH(CT$5,スコア表[#Headers],0)),スコア表[En2],0),"-")</f>
        <v>44</v>
      </c>
      <c r="CU42" s="79">
        <f>IFERROR(_xlfn.RANK.EQ(INDEX(スコア表[],MATCH($C42,スコア表['#],0),MATCH(CU$5,スコア表[#Headers],0)),スコア表[En3],0),"-")</f>
        <v>24</v>
      </c>
      <c r="CV42" s="79">
        <f>IFERROR(_xlfn.RANK.EQ(INDEX(スコア表[],MATCH($C42,スコア表['#],0),MATCH(CV$5,スコア表[#Headers],0)),スコア表[Ac1],0),"-")</f>
        <v>43</v>
      </c>
      <c r="CW42" s="79">
        <f>IFERROR(_xlfn.RANK.EQ(INDEX(スコア表[],MATCH($C42,スコア表['#],0),MATCH(CW$5,スコア表[#Headers],0)),スコア表[Ac2],0),"-")</f>
        <v>24</v>
      </c>
      <c r="CX42" s="79">
        <f>IFERROR(_xlfn.RANK.EQ(INDEX(スコア表[],MATCH($C42,スコア表['#],0),MATCH(CX$5,スコア表[#Headers],0)),スコア表[Ac3],0),"-")</f>
        <v>45</v>
      </c>
      <c r="CY42" s="79">
        <f>IFERROR(_xlfn.RANK.EQ(INDEX(スコア表[],MATCH($C42,スコア表['#],0),MATCH(CY$5,スコア表[#Headers],0)),スコア表[Ac4],0),"-")</f>
        <v>22</v>
      </c>
      <c r="CZ42" s="79">
        <f>IFERROR(_xlfn.RANK.EQ(INDEX(スコア表[],MATCH($C42,スコア表['#],0),MATCH(CZ$5,スコア表[#Headers],0)),スコア表[Economy],0),"-")</f>
        <v>9</v>
      </c>
      <c r="DA42" s="79">
        <f>IFERROR(_xlfn.RANK.EQ(INDEX(スコア表[],MATCH($C42,スコア表['#],0),MATCH(DA$5,スコア表[#Headers],0)),スコア表[R&amp;D],0),"-")</f>
        <v>14</v>
      </c>
      <c r="DB42" s="79">
        <f>IFERROR(_xlfn.RANK.EQ(INDEX(スコア表[],MATCH($C42,スコア表['#],0),MATCH(DB$5,スコア表[#Headers],0)),スコア表[Cultural Interaction],0),"-")</f>
        <v>42</v>
      </c>
      <c r="DC42" s="79">
        <f>IFERROR(_xlfn.RANK.EQ(INDEX(スコア表[],MATCH($C42,スコア表['#],0),MATCH(DC$5,スコア表[#Headers],0)),スコア表[Livability],0),"-")</f>
        <v>47</v>
      </c>
      <c r="DD42" s="79">
        <f>IFERROR(_xlfn.RANK.EQ(INDEX(スコア表[],MATCH($C42,スコア表['#],0),MATCH(DD$5,スコア表[#Headers],0)),スコア表[Environment],0),"-")</f>
        <v>37</v>
      </c>
      <c r="DE42" s="79">
        <f>IFERROR(_xlfn.RANK.EQ(INDEX(スコア表[],MATCH($C42,スコア表['#],0),MATCH(DE$5,スコア表[#Headers],0)),スコア表[Accessibility],0),"-")</f>
        <v>43</v>
      </c>
      <c r="DF42" s="81">
        <f>IFERROR(_xlfn.RANK.EQ(INDEX(スコア表[],MATCH($C42,スコア表['#],0),MATCH(DF$5,スコア表[#Headers],0)),スコア表[Comprehensive],0),"-")</f>
        <v>36</v>
      </c>
    </row>
    <row r="43" spans="1:110">
      <c r="A43" s="2">
        <v>38</v>
      </c>
      <c r="B43" s="58">
        <f>INDEX(順位表[Comprehensive],MATCH($C43,順位表['#],0))</f>
        <v>2</v>
      </c>
      <c r="C43" s="3">
        <v>38</v>
      </c>
      <c r="D43" s="1" t="str">
        <f>INDEX(都市マスタ[City Name],MATCH($C43,都市マスタ['#],0))</f>
        <v>New York</v>
      </c>
      <c r="E43" s="79">
        <f>IFERROR(_xlfn.RANK.EQ(INDEX(スコア表[],MATCH($C43,スコア表['#],0),MATCH(E$5,スコア表[#Headers],0)),スコア表[00a],0),"-")</f>
        <v>14</v>
      </c>
      <c r="F43" s="79">
        <f>IFERROR(_xlfn.RANK.EQ(INDEX(スコア表[],MATCH($C43,スコア表['#],0),MATCH(F$5,スコア表[#Headers],0)),スコア表[00b],0),"-")</f>
        <v>17</v>
      </c>
      <c r="G43" s="79">
        <f>IFERROR(_xlfn.RANK.EQ(INDEX(スコア表[],MATCH($C43,スコア表['#],0),MATCH(G$5,スコア表[#Headers],0)),スコア表[00c],0),"-")</f>
        <v>29</v>
      </c>
      <c r="H43" s="79">
        <f>IFERROR(_xlfn.RANK.EQ(INDEX(スコア表[],MATCH($C43,スコア表['#],0),MATCH(H$5,スコア表[#Headers],0)),スコア表[01],0),"-")</f>
        <v>1</v>
      </c>
      <c r="I43" s="79">
        <f>IFERROR(_xlfn.RANK.EQ(INDEX(スコア表[],MATCH($C43,スコア表['#],0),MATCH(I$5,スコア表[#Headers],0)),スコア表[02],0),"-")</f>
        <v>10</v>
      </c>
      <c r="J43" s="79">
        <f>IFERROR(_xlfn.RANK.EQ(INDEX(スコア表[],MATCH($C43,スコア表['#],0),MATCH(J$5,スコア表[#Headers],0)),スコア表[03],0),"-")</f>
        <v>17</v>
      </c>
      <c r="K43" s="79">
        <f>IFERROR(_xlfn.RANK.EQ(INDEX(スコア表[],MATCH($C43,スコア表['#],0),MATCH(K$5,スコア表[#Headers],0)),スコア表[04],0),"-")</f>
        <v>19</v>
      </c>
      <c r="L43" s="79">
        <f>IFERROR(_xlfn.RANK.EQ(INDEX(スコア表[],MATCH($C43,スコア表['#],0),MATCH(L$5,スコア表[#Headers],0)),スコア表[05],0),"-")</f>
        <v>1</v>
      </c>
      <c r="M43" s="79">
        <f>IFERROR(_xlfn.RANK.EQ(INDEX(スコア表[],MATCH($C43,スコア表['#],0),MATCH(M$5,スコア表[#Headers],0)),スコア表[06],0),"-")</f>
        <v>4</v>
      </c>
      <c r="N43" s="79">
        <f>IFERROR(_xlfn.RANK.EQ(INDEX(スコア表[],MATCH($C43,スコア表['#],0),MATCH(N$5,スコア表[#Headers],0)),スコア表[07],0),"-")</f>
        <v>8</v>
      </c>
      <c r="O43" s="79">
        <f>IFERROR(_xlfn.RANK.EQ(INDEX(スコア表[],MATCH($C43,スコア表['#],0),MATCH(O$5,スコア表[#Headers],0)),スコア表[08],0),"-")</f>
        <v>37</v>
      </c>
      <c r="P43" s="79">
        <f>IFERROR(_xlfn.RANK.EQ(INDEX(スコア表[],MATCH($C43,スコア表['#],0),MATCH(P$5,スコア表[#Headers],0)),スコア表[09],0),"-")</f>
        <v>1</v>
      </c>
      <c r="Q43" s="79">
        <f>IFERROR(_xlfn.RANK.EQ(INDEX(スコア表[],MATCH($C43,スコア表['#],0),MATCH(Q$5,スコア表[#Headers],0)),スコア表[10],0),"-")</f>
        <v>7</v>
      </c>
      <c r="R43" s="79">
        <f>IFERROR(_xlfn.RANK.EQ(INDEX(スコア表[],MATCH($C43,スコア表['#],0),MATCH(R$5,スコア表[#Headers],0)),スコア表[11],0),"-")</f>
        <v>2</v>
      </c>
      <c r="S43" s="79">
        <f>IFERROR(_xlfn.RANK.EQ(INDEX(スコア表[],MATCH($C43,スコア表['#],0),MATCH(S$5,スコア表[#Headers],0)),スコア表[12],0),"-")</f>
        <v>46</v>
      </c>
      <c r="T43" s="79">
        <f>IFERROR(_xlfn.RANK.EQ(INDEX(スコア表[],MATCH($C43,スコア表['#],0),MATCH(T$5,スコア表[#Headers],0)),スコア表[13],0),"-")</f>
        <v>4</v>
      </c>
      <c r="U43" s="79">
        <f>IFERROR(_xlfn.RANK.EQ(INDEX(スコア表[],MATCH($C43,スコア表['#],0),MATCH(U$5,スコア表[#Headers],0)),スコア表[14],0),"-")</f>
        <v>1</v>
      </c>
      <c r="V43" s="79">
        <f>IFERROR(_xlfn.RANK.EQ(INDEX(スコア表[],MATCH($C43,スコア表['#],0),MATCH(V$5,スコア表[#Headers],0)),スコア表[15],0),"-")</f>
        <v>11</v>
      </c>
      <c r="W43" s="79">
        <f>IFERROR(_xlfn.RANK.EQ(INDEX(スコア表[],MATCH($C43,スコア表['#],0),MATCH(W$5,スコア表[#Headers],0)),スコア表[16],0),"-")</f>
        <v>1</v>
      </c>
      <c r="X43" s="79">
        <f>IFERROR(_xlfn.RANK.EQ(INDEX(スコア表[],MATCH($C43,スコア表['#],0),MATCH(X$5,スコア表[#Headers],0)),スコア表[17],0),"-")</f>
        <v>5</v>
      </c>
      <c r="Y43" s="79">
        <f>IFERROR(_xlfn.RANK.EQ(INDEX(スコア表[],MATCH($C43,スコア表['#],0),MATCH(Y$5,スコア表[#Headers],0)),スコア表[18],0),"-")</f>
        <v>25</v>
      </c>
      <c r="Z43" s="79">
        <f>IFERROR(_xlfn.RANK.EQ(INDEX(スコア表[],MATCH($C43,スコア表['#],0),MATCH(Z$5,スコア表[#Headers],0)),スコア表[19],0),"-")</f>
        <v>3</v>
      </c>
      <c r="AA43" s="79">
        <f>IFERROR(_xlfn.RANK.EQ(INDEX(スコア表[],MATCH($C43,スコア表['#],0),MATCH(AA$5,スコア表[#Headers],0)),スコア表[20],0),"-")</f>
        <v>3</v>
      </c>
      <c r="AB43" s="79">
        <f>IFERROR(_xlfn.RANK.EQ(INDEX(スコア表[],MATCH($C43,スコア表['#],0),MATCH(AB$5,スコア表[#Headers],0)),スコア表[21],0),"-")</f>
        <v>2</v>
      </c>
      <c r="AC43" s="79">
        <f>IFERROR(_xlfn.RANK.EQ(INDEX(スコア表[],MATCH($C43,スコア表['#],0),MATCH(AC$5,スコア表[#Headers],0)),スコア表[22],0),"-")</f>
        <v>18</v>
      </c>
      <c r="AD43" s="79">
        <f>IFERROR(_xlfn.RANK.EQ(INDEX(スコア表[],MATCH($C43,スコア表['#],0),MATCH(AD$5,スコア表[#Headers],0)),スコア表[23],0),"-")</f>
        <v>18</v>
      </c>
      <c r="AE43" s="79">
        <f>IFERROR(_xlfn.RANK.EQ(INDEX(スコア表[],MATCH($C43,スコア表['#],0),MATCH(AE$5,スコア表[#Headers],0)),スコア表[24],0),"-")</f>
        <v>2</v>
      </c>
      <c r="AF43" s="79">
        <f>IFERROR(_xlfn.RANK.EQ(INDEX(スコア表[],MATCH($C43,スコア表['#],0),MATCH(AF$5,スコア表[#Headers],0)),スコア表[25],0),"-")</f>
        <v>1</v>
      </c>
      <c r="AG43" s="79">
        <f>IFERROR(_xlfn.RANK.EQ(INDEX(スコア表[],MATCH($C43,スコア表['#],0),MATCH(AG$5,スコア表[#Headers],0)),スコア表[26],0),"-")</f>
        <v>3</v>
      </c>
      <c r="AH43" s="79">
        <f>IFERROR(_xlfn.RANK.EQ(INDEX(スコア表[],MATCH($C43,スコア表['#],0),MATCH(AH$5,スコア表[#Headers],0)),スコア表[27],0),"-")</f>
        <v>29</v>
      </c>
      <c r="AI43" s="79">
        <f>IFERROR(_xlfn.RANK.EQ(INDEX(スコア表[],MATCH($C43,スコア表['#],0),MATCH(AI$5,スコア表[#Headers],0)),スコア表[28],0),"-")</f>
        <v>5</v>
      </c>
      <c r="AJ43" s="79">
        <f>IFERROR(_xlfn.RANK.EQ(INDEX(スコア表[],MATCH($C43,スコア表['#],0),MATCH(AJ$5,スコア表[#Headers],0)),スコア表[29],0),"-")</f>
        <v>4</v>
      </c>
      <c r="AK43" s="79">
        <f>IFERROR(_xlfn.RANK.EQ(INDEX(スコア表[],MATCH($C43,スコア表['#],0),MATCH(AK$5,スコア表[#Headers],0)),スコア表[30],0),"-")</f>
        <v>5</v>
      </c>
      <c r="AL43" s="79">
        <f>IFERROR(_xlfn.RANK.EQ(INDEX(スコア表[],MATCH($C43,スコア表['#],0),MATCH(AL$5,スコア表[#Headers],0)),スコア表[31],0),"-")</f>
        <v>19</v>
      </c>
      <c r="AM43" s="79">
        <f>IFERROR(_xlfn.RANK.EQ(INDEX(スコア表[],MATCH($C43,スコア表['#],0),MATCH(AM$5,スコア表[#Headers],0)),スコア表[32],0),"-")</f>
        <v>4</v>
      </c>
      <c r="AN43" s="79">
        <f>IFERROR(_xlfn.RANK.EQ(INDEX(スコア表[],MATCH($C43,スコア表['#],0),MATCH(AN$5,スコア表[#Headers],0)),スコア表[33],0),"-")</f>
        <v>11</v>
      </c>
      <c r="AO43" s="79">
        <f>IFERROR(_xlfn.RANK.EQ(INDEX(スコア表[],MATCH($C43,スコア表['#],0),MATCH(AO$5,スコア表[#Headers],0)),スコア表[34],0),"-")</f>
        <v>5</v>
      </c>
      <c r="AP43" s="79">
        <f>IFERROR(_xlfn.RANK.EQ(INDEX(スコア表[],MATCH($C43,スコア表['#],0),MATCH(AP$5,スコア表[#Headers],0)),スコア表[35],0),"-")</f>
        <v>4</v>
      </c>
      <c r="AQ43" s="79">
        <f>IFERROR(_xlfn.RANK.EQ(INDEX(スコア表[],MATCH($C43,スコア表['#],0),MATCH(AQ$5,スコア表[#Headers],0)),スコア表[36],0),"-")</f>
        <v>5</v>
      </c>
      <c r="AR43" s="79">
        <f>IFERROR(_xlfn.RANK.EQ(INDEX(スコア表[],MATCH($C43,スコア表['#],0),MATCH(AR$5,スコア表[#Headers],0)),スコア表[37],0),"-")</f>
        <v>16</v>
      </c>
      <c r="AS43" s="79">
        <f>IFERROR(_xlfn.RANK.EQ(INDEX(スコア表[],MATCH($C43,スコア表['#],0),MATCH(AS$5,スコア表[#Headers],0)),スコア表[38],0),"-")</f>
        <v>30</v>
      </c>
      <c r="AT43" s="79">
        <f>IFERROR(_xlfn.RANK.EQ(INDEX(スコア表[],MATCH($C43,スコア表['#],0),MATCH(AT$5,スコア表[#Headers],0)),スコア表[39],0),"-")</f>
        <v>29</v>
      </c>
      <c r="AU43" s="79">
        <f>IFERROR(_xlfn.RANK.EQ(INDEX(スコア表[],MATCH($C43,スコア表['#],0),MATCH(AU$5,スコア表[#Headers],0)),スコア表[40],0),"-")</f>
        <v>3</v>
      </c>
      <c r="AV43" s="79">
        <f>IFERROR(_xlfn.RANK.EQ(INDEX(スコア表[],MATCH($C43,スコア表['#],0),MATCH(AV$5,スコア表[#Headers],0)),スコア表[41],0),"-")</f>
        <v>48</v>
      </c>
      <c r="AW43" s="79">
        <f>IFERROR(_xlfn.RANK.EQ(INDEX(スコア表[],MATCH($C43,スコア表['#],0),MATCH(AW$5,スコア表[#Headers],0)),スコア表[42],0),"-")</f>
        <v>45</v>
      </c>
      <c r="AX43" s="79">
        <f>IFERROR(_xlfn.RANK.EQ(INDEX(スコア表[],MATCH($C43,スコア表['#],0),MATCH(AX$5,スコア表[#Headers],0)),スコア表[43],0),"-")</f>
        <v>41</v>
      </c>
      <c r="AY43" s="79">
        <f>IFERROR(_xlfn.RANK.EQ(INDEX(スコア表[],MATCH($C43,スコア表['#],0),MATCH(AY$5,スコア表[#Headers],0)),スコア表[44],0),"-")</f>
        <v>25</v>
      </c>
      <c r="AZ43" s="79">
        <f>IFERROR(_xlfn.RANK.EQ(INDEX(スコア表[],MATCH($C43,スコア表['#],0),MATCH(AZ$5,スコア表[#Headers],0)),スコア表[45],0),"-")</f>
        <v>30</v>
      </c>
      <c r="BA43" s="79">
        <f>IFERROR(_xlfn.RANK.EQ(INDEX(スコア表[],MATCH($C43,スコア表['#],0),MATCH(BA$5,スコア表[#Headers],0)),スコア表[46],0),"-")</f>
        <v>20</v>
      </c>
      <c r="BB43" s="79">
        <f>IFERROR(_xlfn.RANK.EQ(INDEX(スコア表[],MATCH($C43,スコア表['#],0),MATCH(BB$5,スコア表[#Headers],0)),スコア表[47],0),"-")</f>
        <v>40</v>
      </c>
      <c r="BC43" s="79">
        <f>IFERROR(_xlfn.RANK.EQ(INDEX(スコア表[],MATCH($C43,スコア表['#],0),MATCH(BC$5,スコア表[#Headers],0)),スコア表[48],0),"-")</f>
        <v>28</v>
      </c>
      <c r="BD43" s="79">
        <f>IFERROR(_xlfn.RANK.EQ(INDEX(スコア表[],MATCH($C43,スコア表['#],0),MATCH(BD$5,スコア表[#Headers],0)),スコア表[49],0),"-")</f>
        <v>1</v>
      </c>
      <c r="BE43" s="79">
        <f>IFERROR(_xlfn.RANK.EQ(INDEX(スコア表[],MATCH($C43,スコア表['#],0),MATCH(BE$5,スコア表[#Headers],0)),スコア表[50],0),"-")</f>
        <v>11</v>
      </c>
      <c r="BF43" s="79">
        <f>IFERROR(_xlfn.RANK.EQ(INDEX(スコア表[],MATCH($C43,スコア表['#],0),MATCH(BF$5,スコア表[#Headers],0)),スコア表[51],0),"-")</f>
        <v>7</v>
      </c>
      <c r="BG43" s="79">
        <f>IFERROR(_xlfn.RANK.EQ(INDEX(スコア表[],MATCH($C43,スコア表['#],0),MATCH(BG$5,スコア表[#Headers],0)),スコア表[52],0),"-")</f>
        <v>11</v>
      </c>
      <c r="BH43" s="79">
        <f>IFERROR(_xlfn.RANK.EQ(INDEX(スコア表[],MATCH($C43,スコア表['#],0),MATCH(BH$5,スコア表[#Headers],0)),スコア表[53],0),"-")</f>
        <v>30</v>
      </c>
      <c r="BI43" s="79">
        <f>IFERROR(_xlfn.RANK.EQ(INDEX(スコア表[],MATCH($C43,スコア表['#],0),MATCH(BI$5,スコア表[#Headers],0)),スコア表[54],0),"-")</f>
        <v>26</v>
      </c>
      <c r="BJ43" s="79">
        <f>IFERROR(_xlfn.RANK.EQ(INDEX(スコア表[],MATCH($C43,スコア表['#],0),MATCH(BJ$5,スコア表[#Headers],0)),スコア表[55],0),"-")</f>
        <v>10</v>
      </c>
      <c r="BK43" s="79">
        <f>IFERROR(_xlfn.RANK.EQ(INDEX(スコア表[],MATCH($C43,スコア表['#],0),MATCH(BK$5,スコア表[#Headers],0)),スコア表[56],0),"-")</f>
        <v>15</v>
      </c>
      <c r="BL43" s="79">
        <f>IFERROR(_xlfn.RANK.EQ(INDEX(スコア表[],MATCH($C43,スコア表['#],0),MATCH(BL$5,スコア表[#Headers],0)),スコア表[57],0),"-")</f>
        <v>30</v>
      </c>
      <c r="BM43" s="79">
        <f>IFERROR(_xlfn.RANK.EQ(INDEX(スコア表[],MATCH($C43,スコア表['#],0),MATCH(BM$5,スコア表[#Headers],0)),スコア表[58],0),"-")</f>
        <v>31</v>
      </c>
      <c r="BN43" s="79">
        <f>IFERROR(_xlfn.RANK.EQ(INDEX(スコア表[],MATCH($C43,スコア表['#],0),MATCH(BN$5,スコア表[#Headers],0)),スコア表[59],0),"-")</f>
        <v>30</v>
      </c>
      <c r="BO43" s="79">
        <f>IFERROR(_xlfn.RANK.EQ(INDEX(スコア表[],MATCH($C43,スコア表['#],0),MATCH(BO$5,スコア表[#Headers],0)),スコア表[60],0),"-")</f>
        <v>42</v>
      </c>
      <c r="BP43" s="79">
        <f>IFERROR(_xlfn.RANK.EQ(INDEX(スコア表[],MATCH($C43,スコア表['#],0),MATCH(BP$5,スコア表[#Headers],0)),スコア表[61],0),"-")</f>
        <v>20</v>
      </c>
      <c r="BQ43" s="79">
        <f>IFERROR(_xlfn.RANK.EQ(INDEX(スコア表[],MATCH($C43,スコア表['#],0),MATCH(BQ$5,スコア表[#Headers],0)),スコア表[62],0),"-")</f>
        <v>10</v>
      </c>
      <c r="BR43" s="79">
        <f>IFERROR(_xlfn.RANK.EQ(INDEX(スコア表[],MATCH($C43,スコア表['#],0),MATCH(BR$5,スコア表[#Headers],0)),スコア表[63],0),"-")</f>
        <v>2</v>
      </c>
      <c r="BS43" s="79">
        <f>IFERROR(_xlfn.RANK.EQ(INDEX(スコア表[],MATCH($C43,スコア表['#],0),MATCH(BS$5,スコア表[#Headers],0)),スコア表[64],0),"-")</f>
        <v>1</v>
      </c>
      <c r="BT43" s="79">
        <f>IFERROR(_xlfn.RANK.EQ(INDEX(スコア表[],MATCH($C43,スコア表['#],0),MATCH(BT$5,スコア表[#Headers],0)),スコア表[65],0),"-")</f>
        <v>9</v>
      </c>
      <c r="BU43" s="79">
        <f>IFERROR(_xlfn.RANK.EQ(INDEX(スコア表[],MATCH($C43,スコア表['#],0),MATCH(BU$5,スコア表[#Headers],0)),スコア表[66],0),"-")</f>
        <v>11</v>
      </c>
      <c r="BV43" s="79">
        <f>IFERROR(_xlfn.RANK.EQ(INDEX(スコア表[],MATCH($C43,スコア表['#],0),MATCH(BV$5,スコア表[#Headers],0)),スコア表[67],0),"-")</f>
        <v>31</v>
      </c>
      <c r="BW43" s="79">
        <f>IFERROR(_xlfn.RANK.EQ(INDEX(スコア表[],MATCH($C43,スコア表['#],0),MATCH(BW$5,スコア表[#Headers],0)),スコア表[68],0),"-")</f>
        <v>22</v>
      </c>
      <c r="BX43" s="79">
        <f>IFERROR(_xlfn.RANK.EQ(INDEX(スコア表[],MATCH($C43,スコア表['#],0),MATCH(BX$5,スコア表[#Headers],0)),スコア表[69],0),"-")</f>
        <v>38</v>
      </c>
      <c r="BY43" s="79">
        <f>IFERROR(_xlfn.RANK.EQ(INDEX(スコア表[],MATCH($C43,スコア表['#],0),MATCH(BY$5,スコア表[#Headers],0)),スコア表[70],0),"-")</f>
        <v>43</v>
      </c>
      <c r="BZ43" s="79">
        <f>IFERROR(_xlfn.RANK.EQ(INDEX(スコア表[],MATCH($C43,スコア表['#],0),MATCH(BZ$5,スコア表[#Headers],0)),スコア表[Ec1],0),"-")</f>
        <v>1</v>
      </c>
      <c r="CA43" s="79">
        <f>IFERROR(_xlfn.RANK.EQ(INDEX(スコア表[],MATCH($C43,スコア表['#],0),MATCH(CA$5,スコア表[#Headers],0)),スコア表[Ec2],0),"-")</f>
        <v>18</v>
      </c>
      <c r="CB43" s="79">
        <f>IFERROR(_xlfn.RANK.EQ(INDEX(スコア表[],MATCH($C43,スコア表['#],0),MATCH(CB$5,スコア表[#Headers],0)),スコア表[Ec3],0),"-")</f>
        <v>1</v>
      </c>
      <c r="CC43" s="79">
        <f>IFERROR(_xlfn.RANK.EQ(INDEX(スコア表[],MATCH($C43,スコア表['#],0),MATCH(CC$5,スコア表[#Headers],0)),スコア表[Ec4],0),"-")</f>
        <v>16</v>
      </c>
      <c r="CD43" s="79">
        <f>IFERROR(_xlfn.RANK.EQ(INDEX(スコア表[],MATCH($C43,スコア表['#],0),MATCH(CD$5,スコア表[#Headers],0)),スコア表[Ec5],0),"-")</f>
        <v>1</v>
      </c>
      <c r="CE43" s="79">
        <f>IFERROR(_xlfn.RANK.EQ(INDEX(スコア表[],MATCH($C43,スコア表['#],0),MATCH(CE$5,スコア表[#Headers],0)),スコア表[Ec6],0),"-")</f>
        <v>36</v>
      </c>
      <c r="CF43" s="79">
        <f>IFERROR(_xlfn.RANK.EQ(INDEX(スコア表[],MATCH($C43,スコア表['#],0),MATCH(CF$5,スコア表[#Headers],0)),スコア表[RD1],0),"-")</f>
        <v>2</v>
      </c>
      <c r="CG43" s="79">
        <f>IFERROR(_xlfn.RANK.EQ(INDEX(スコア表[],MATCH($C43,スコア表['#],0),MATCH(CG$5,スコア表[#Headers],0)),スコア表[RD2],0),"-")</f>
        <v>1</v>
      </c>
      <c r="CH43" s="79">
        <f>IFERROR(_xlfn.RANK.EQ(INDEX(スコア表[],MATCH($C43,スコア表['#],0),MATCH(CH$5,スコア表[#Headers],0)),スコア表[RD3],0),"-")</f>
        <v>1</v>
      </c>
      <c r="CI43" s="79">
        <f>IFERROR(_xlfn.RANK.EQ(INDEX(スコア表[],MATCH($C43,スコア表['#],0),MATCH(CI$5,スコア表[#Headers],0)),スコア表[CI1],0),"-")</f>
        <v>1</v>
      </c>
      <c r="CJ43" s="79">
        <f>IFERROR(_xlfn.RANK.EQ(INDEX(スコア表[],MATCH($C43,スコア表['#],0),MATCH(CJ$5,スコア表[#Headers],0)),スコア表[CI2],0),"-")</f>
        <v>8</v>
      </c>
      <c r="CK43" s="79">
        <f>IFERROR(_xlfn.RANK.EQ(INDEX(スコア表[],MATCH($C43,スコア表['#],0),MATCH(CK$5,スコア表[#Headers],0)),スコア表[CI3],0),"-")</f>
        <v>7</v>
      </c>
      <c r="CL43" s="79">
        <f>IFERROR(_xlfn.RANK.EQ(INDEX(スコア表[],MATCH($C43,スコア表['#],0),MATCH(CL$5,スコア表[#Headers],0)),スコア表[CI4],0),"-")</f>
        <v>4</v>
      </c>
      <c r="CM43" s="79">
        <f>IFERROR(_xlfn.RANK.EQ(INDEX(スコア表[],MATCH($C43,スコア表['#],0),MATCH(CM$5,スコア表[#Headers],0)),スコア表[CI5],0),"-")</f>
        <v>7</v>
      </c>
      <c r="CN43" s="79">
        <f>IFERROR(_xlfn.RANK.EQ(INDEX(スコア表[],MATCH($C43,スコア表['#],0),MATCH(CN$5,スコア表[#Headers],0)),スコア表[Li1],0),"-")</f>
        <v>4</v>
      </c>
      <c r="CO43" s="79">
        <f>IFERROR(_xlfn.RANK.EQ(INDEX(スコア表[],MATCH($C43,スコア表['#],0),MATCH(CO$5,スコア表[#Headers],0)),スコア表[Li2],0),"-")</f>
        <v>48</v>
      </c>
      <c r="CP43" s="79">
        <f>IFERROR(_xlfn.RANK.EQ(INDEX(スコア表[],MATCH($C43,スコア表['#],0),MATCH(CP$5,スコア表[#Headers],0)),スコア表[Li3],0),"-")</f>
        <v>36</v>
      </c>
      <c r="CQ43" s="79">
        <f>IFERROR(_xlfn.RANK.EQ(INDEX(スコア表[],MATCH($C43,スコア表['#],0),MATCH(CQ$5,スコア表[#Headers],0)),スコア表[Li4],0),"-")</f>
        <v>36</v>
      </c>
      <c r="CR43" s="79">
        <f>IFERROR(_xlfn.RANK.EQ(INDEX(スコア表[],MATCH($C43,スコア表['#],0),MATCH(CR$5,スコア表[#Headers],0)),スコア表[Li5],0),"-")</f>
        <v>5</v>
      </c>
      <c r="CS43" s="79">
        <f>IFERROR(_xlfn.RANK.EQ(INDEX(スコア表[],MATCH($C43,スコア表['#],0),MATCH(CS$5,スコア表[#Headers],0)),スコア表[En1],0),"-")</f>
        <v>21</v>
      </c>
      <c r="CT43" s="79">
        <f>IFERROR(_xlfn.RANK.EQ(INDEX(スコア表[],MATCH($C43,スコア表['#],0),MATCH(CT$5,スコア表[#Headers],0)),スコア表[En2],0),"-")</f>
        <v>13</v>
      </c>
      <c r="CU43" s="79">
        <f>IFERROR(_xlfn.RANK.EQ(INDEX(スコア表[],MATCH($C43,スコア表['#],0),MATCH(CU$5,スコア表[#Headers],0)),スコア表[En3],0),"-")</f>
        <v>36</v>
      </c>
      <c r="CV43" s="79">
        <f>IFERROR(_xlfn.RANK.EQ(INDEX(スコア表[],MATCH($C43,スコア表['#],0),MATCH(CV$5,スコア表[#Headers],0)),スコア表[Ac1],0),"-")</f>
        <v>14</v>
      </c>
      <c r="CW43" s="79">
        <f>IFERROR(_xlfn.RANK.EQ(INDEX(スコア表[],MATCH($C43,スコア表['#],0),MATCH(CW$5,スコア表[#Headers],0)),スコア表[Ac2],0),"-")</f>
        <v>1</v>
      </c>
      <c r="CX43" s="79">
        <f>IFERROR(_xlfn.RANK.EQ(INDEX(スコア表[],MATCH($C43,スコア表['#],0),MATCH(CX$5,スコア表[#Headers],0)),スコア表[Ac3],0),"-")</f>
        <v>14</v>
      </c>
      <c r="CY43" s="79">
        <f>IFERROR(_xlfn.RANK.EQ(INDEX(スコア表[],MATCH($C43,スコア表['#],0),MATCH(CY$5,スコア表[#Headers],0)),スコア表[Ac4],0),"-")</f>
        <v>39</v>
      </c>
      <c r="CZ43" s="79">
        <f>IFERROR(_xlfn.RANK.EQ(INDEX(スコア表[],MATCH($C43,スコア表['#],0),MATCH(CZ$5,スコア表[#Headers],0)),スコア表[Economy],0),"-")</f>
        <v>1</v>
      </c>
      <c r="DA43" s="79">
        <f>IFERROR(_xlfn.RANK.EQ(INDEX(スコア表[],MATCH($C43,スコア表['#],0),MATCH(DA$5,スコア表[#Headers],0)),スコア表[R&amp;D],0),"-")</f>
        <v>1</v>
      </c>
      <c r="DB43" s="79">
        <f>IFERROR(_xlfn.RANK.EQ(INDEX(スコア表[],MATCH($C43,スコア表['#],0),MATCH(DB$5,スコア表[#Headers],0)),スコア表[Cultural Interaction],0),"-")</f>
        <v>2</v>
      </c>
      <c r="DC43" s="79">
        <f>IFERROR(_xlfn.RANK.EQ(INDEX(スコア表[],MATCH($C43,スコア表['#],0),MATCH(DC$5,スコア表[#Headers],0)),スコア表[Livability],0),"-")</f>
        <v>38</v>
      </c>
      <c r="DD43" s="79">
        <f>IFERROR(_xlfn.RANK.EQ(INDEX(スコア表[],MATCH($C43,スコア表['#],0),MATCH(DD$5,スコア表[#Headers],0)),スコア表[Environment],0),"-")</f>
        <v>28</v>
      </c>
      <c r="DE43" s="79">
        <f>IFERROR(_xlfn.RANK.EQ(INDEX(スコア表[],MATCH($C43,スコア表['#],0),MATCH(DE$5,スコア表[#Headers],0)),スコア表[Accessibility],0),"-")</f>
        <v>3</v>
      </c>
      <c r="DF43" s="81">
        <f>IFERROR(_xlfn.RANK.EQ(INDEX(スコア表[],MATCH($C43,スコア表['#],0),MATCH(DF$5,スコア表[#Headers],0)),スコア表[Comprehensive],0),"-")</f>
        <v>2</v>
      </c>
    </row>
    <row r="44" spans="1:110">
      <c r="A44" s="2">
        <v>39</v>
      </c>
      <c r="B44" s="58">
        <f>INDEX(順位表[Comprehensive],MATCH($C44,順位表['#],0))</f>
        <v>29</v>
      </c>
      <c r="C44" s="3">
        <v>39</v>
      </c>
      <c r="D44" s="1" t="str">
        <f>INDEX(都市マスタ[City Name],MATCH($C44,都市マスタ['#],0))</f>
        <v>Boston</v>
      </c>
      <c r="E44" s="79">
        <f>IFERROR(_xlfn.RANK.EQ(INDEX(スコア表[],MATCH($C44,スコア表['#],0),MATCH(E$5,スコア表[#Headers],0)),スコア表[00a],0),"-")</f>
        <v>45</v>
      </c>
      <c r="F44" s="79">
        <f>IFERROR(_xlfn.RANK.EQ(INDEX(スコア表[],MATCH($C44,スコア表['#],0),MATCH(F$5,スコア表[#Headers],0)),スコア表[00b],0),"-")</f>
        <v>41</v>
      </c>
      <c r="G44" s="79">
        <f>IFERROR(_xlfn.RANK.EQ(INDEX(スコア表[],MATCH($C44,スコア表['#],0),MATCH(G$5,スコア表[#Headers],0)),スコア表[00c],0),"-")</f>
        <v>29</v>
      </c>
      <c r="H44" s="79">
        <f>IFERROR(_xlfn.RANK.EQ(INDEX(スコア表[],MATCH($C44,スコア表['#],0),MATCH(H$5,スコア表[#Headers],0)),スコア表[01],0),"-")</f>
        <v>29</v>
      </c>
      <c r="I44" s="79">
        <f>IFERROR(_xlfn.RANK.EQ(INDEX(スコア表[],MATCH($C44,スコア表['#],0),MATCH(I$5,スコア表[#Headers],0)),スコア表[02],0),"-")</f>
        <v>4</v>
      </c>
      <c r="J44" s="79">
        <f>IFERROR(_xlfn.RANK.EQ(INDEX(スコア表[],MATCH($C44,スコア表['#],0),MATCH(J$5,スコア表[#Headers],0)),スコア表[03],0),"-")</f>
        <v>19</v>
      </c>
      <c r="K44" s="79">
        <f>IFERROR(_xlfn.RANK.EQ(INDEX(スコア表[],MATCH($C44,スコア表['#],0),MATCH(K$5,スコア表[#Headers],0)),スコア表[04],0),"-")</f>
        <v>19</v>
      </c>
      <c r="L44" s="79">
        <f>IFERROR(_xlfn.RANK.EQ(INDEX(スコア表[],MATCH($C44,スコア表['#],0),MATCH(L$5,スコア表[#Headers],0)),スコア表[05],0),"-")</f>
        <v>36</v>
      </c>
      <c r="M44" s="79">
        <f>IFERROR(_xlfn.RANK.EQ(INDEX(スコア表[],MATCH($C44,スコア表['#],0),MATCH(M$5,スコア表[#Headers],0)),スコア表[06],0),"-")</f>
        <v>20</v>
      </c>
      <c r="N44" s="79">
        <f>IFERROR(_xlfn.RANK.EQ(INDEX(スコア表[],MATCH($C44,スコア表['#],0),MATCH(N$5,スコア表[#Headers],0)),スコア表[07],0),"-")</f>
        <v>38</v>
      </c>
      <c r="O44" s="79">
        <f>IFERROR(_xlfn.RANK.EQ(INDEX(スコア表[],MATCH($C44,スコア表['#],0),MATCH(O$5,スコア表[#Headers],0)),スコア表[08],0),"-")</f>
        <v>41</v>
      </c>
      <c r="P44" s="79">
        <f>IFERROR(_xlfn.RANK.EQ(INDEX(スコア表[],MATCH($C44,スコア表['#],0),MATCH(P$5,スコア表[#Headers],0)),スコア表[09],0),"-")</f>
        <v>6</v>
      </c>
      <c r="Q44" s="79">
        <f>IFERROR(_xlfn.RANK.EQ(INDEX(スコア表[],MATCH($C44,スコア表['#],0),MATCH(Q$5,スコア表[#Headers],0)),スコア表[10],0),"-")</f>
        <v>1</v>
      </c>
      <c r="R44" s="79">
        <f>IFERROR(_xlfn.RANK.EQ(INDEX(スコア表[],MATCH($C44,スコア表['#],0),MATCH(R$5,スコア表[#Headers],0)),スコア表[11],0),"-")</f>
        <v>11</v>
      </c>
      <c r="S44" s="79">
        <f>IFERROR(_xlfn.RANK.EQ(INDEX(スコア表[],MATCH($C44,スコア表['#],0),MATCH(S$5,スコア表[#Headers],0)),スコア表[12],0),"-")</f>
        <v>31</v>
      </c>
      <c r="T44" s="79">
        <f>IFERROR(_xlfn.RANK.EQ(INDEX(スコア表[],MATCH($C44,スコア表['#],0),MATCH(T$5,スコア表[#Headers],0)),スコア表[13],0),"-")</f>
        <v>6</v>
      </c>
      <c r="U44" s="79">
        <f>IFERROR(_xlfn.RANK.EQ(INDEX(スコア表[],MATCH($C44,スコア表['#],0),MATCH(U$5,スコア表[#Headers],0)),スコア表[14],0),"-")</f>
        <v>14</v>
      </c>
      <c r="V44" s="79">
        <f>IFERROR(_xlfn.RANK.EQ(INDEX(スコア表[],MATCH($C44,スコア表['#],0),MATCH(V$5,スコア表[#Headers],0)),スコア表[15],0),"-")</f>
        <v>3</v>
      </c>
      <c r="W44" s="79">
        <f>IFERROR(_xlfn.RANK.EQ(INDEX(スコア表[],MATCH($C44,スコア表['#],0),MATCH(W$5,スコア表[#Headers],0)),スコア表[16],0),"-")</f>
        <v>7</v>
      </c>
      <c r="X44" s="79">
        <f>IFERROR(_xlfn.RANK.EQ(INDEX(スコア表[],MATCH($C44,スコア表['#],0),MATCH(X$5,スコア表[#Headers],0)),スコア表[17],0),"-")</f>
        <v>6</v>
      </c>
      <c r="Y44" s="79">
        <f>IFERROR(_xlfn.RANK.EQ(INDEX(スコア表[],MATCH($C44,スコア表['#],0),MATCH(Y$5,スコア表[#Headers],0)),スコア表[18],0),"-")</f>
        <v>25</v>
      </c>
      <c r="Z44" s="79">
        <f>IFERROR(_xlfn.RANK.EQ(INDEX(スコア表[],MATCH($C44,スコア表['#],0),MATCH(Z$5,スコア表[#Headers],0)),スコア表[19],0),"-")</f>
        <v>13</v>
      </c>
      <c r="AA44" s="79">
        <f>IFERROR(_xlfn.RANK.EQ(INDEX(スコア表[],MATCH($C44,スコア表['#],0),MATCH(AA$5,スコア表[#Headers],0)),スコア表[20],0),"-")</f>
        <v>1</v>
      </c>
      <c r="AB44" s="79">
        <f>IFERROR(_xlfn.RANK.EQ(INDEX(スコア表[],MATCH($C44,スコア表['#],0),MATCH(AB$5,スコア表[#Headers],0)),スコア表[21],0),"-")</f>
        <v>14</v>
      </c>
      <c r="AC44" s="79">
        <f>IFERROR(_xlfn.RANK.EQ(INDEX(スコア表[],MATCH($C44,スコア表['#],0),MATCH(AC$5,スコア表[#Headers],0)),スコア表[22],0),"-")</f>
        <v>32</v>
      </c>
      <c r="AD44" s="79">
        <f>IFERROR(_xlfn.RANK.EQ(INDEX(スコア表[],MATCH($C44,スコア表['#],0),MATCH(AD$5,スコア表[#Headers],0)),スコア表[23],0),"-")</f>
        <v>37</v>
      </c>
      <c r="AE44" s="79">
        <f>IFERROR(_xlfn.RANK.EQ(INDEX(スコア表[],MATCH($C44,スコア表['#],0),MATCH(AE$5,スコア表[#Headers],0)),スコア表[24],0),"-")</f>
        <v>19</v>
      </c>
      <c r="AF44" s="79">
        <f>IFERROR(_xlfn.RANK.EQ(INDEX(スコア表[],MATCH($C44,スコア表['#],0),MATCH(AF$5,スコア表[#Headers],0)),スコア表[25],0),"-")</f>
        <v>13</v>
      </c>
      <c r="AG44" s="79">
        <f>IFERROR(_xlfn.RANK.EQ(INDEX(スコア表[],MATCH($C44,スコア表['#],0),MATCH(AG$5,スコア表[#Headers],0)),スコア表[26],0),"-")</f>
        <v>33</v>
      </c>
      <c r="AH44" s="79">
        <f>IFERROR(_xlfn.RANK.EQ(INDEX(スコア表[],MATCH($C44,スコア表['#],0),MATCH(AH$5,スコア表[#Headers],0)),スコア表[27],0),"-")</f>
        <v>38</v>
      </c>
      <c r="AI44" s="79">
        <f>IFERROR(_xlfn.RANK.EQ(INDEX(スコア表[],MATCH($C44,スコア表['#],0),MATCH(AI$5,スコア表[#Headers],0)),スコア表[28],0),"-")</f>
        <v>43</v>
      </c>
      <c r="AJ44" s="79">
        <f>IFERROR(_xlfn.RANK.EQ(INDEX(スコア表[],MATCH($C44,スコア表['#],0),MATCH(AJ$5,スコア表[#Headers],0)),スコア表[29],0),"-")</f>
        <v>22</v>
      </c>
      <c r="AK44" s="79">
        <f>IFERROR(_xlfn.RANK.EQ(INDEX(スコア表[],MATCH($C44,スコア表['#],0),MATCH(AK$5,スコア表[#Headers],0)),スコア表[30],0),"-")</f>
        <v>30</v>
      </c>
      <c r="AL44" s="79">
        <f>IFERROR(_xlfn.RANK.EQ(INDEX(スコア表[],MATCH($C44,スコア表['#],0),MATCH(AL$5,スコア表[#Headers],0)),スコア表[31],0),"-")</f>
        <v>44</v>
      </c>
      <c r="AM44" s="79">
        <f>IFERROR(_xlfn.RANK.EQ(INDEX(スコア表[],MATCH($C44,スコア表['#],0),MATCH(AM$5,スコア表[#Headers],0)),スコア表[32],0),"-")</f>
        <v>33</v>
      </c>
      <c r="AN44" s="79">
        <f>IFERROR(_xlfn.RANK.EQ(INDEX(スコア表[],MATCH($C44,スコア表['#],0),MATCH(AN$5,スコア表[#Headers],0)),スコア表[33],0),"-")</f>
        <v>26</v>
      </c>
      <c r="AO44" s="79">
        <f>IFERROR(_xlfn.RANK.EQ(INDEX(スコア表[],MATCH($C44,スコア表['#],0),MATCH(AO$5,スコア表[#Headers],0)),スコア表[34],0),"-")</f>
        <v>45</v>
      </c>
      <c r="AP44" s="79">
        <f>IFERROR(_xlfn.RANK.EQ(INDEX(スコア表[],MATCH($C44,スコア表['#],0),MATCH(AP$5,スコア表[#Headers],0)),スコア表[35],0),"-")</f>
        <v>30</v>
      </c>
      <c r="AQ44" s="79">
        <f>IFERROR(_xlfn.RANK.EQ(INDEX(スコア表[],MATCH($C44,スコア表['#],0),MATCH(AQ$5,スコア表[#Headers],0)),スコア表[36],0),"-")</f>
        <v>38</v>
      </c>
      <c r="AR44" s="79">
        <f>IFERROR(_xlfn.RANK.EQ(INDEX(スコア表[],MATCH($C44,スコア表['#],0),MATCH(AR$5,スコア表[#Headers],0)),スコア表[37],0),"-")</f>
        <v>41</v>
      </c>
      <c r="AS44" s="79">
        <f>IFERROR(_xlfn.RANK.EQ(INDEX(スコア表[],MATCH($C44,スコア表['#],0),MATCH(AS$5,スコア表[#Headers],0)),スコア表[38],0),"-")</f>
        <v>14</v>
      </c>
      <c r="AT44" s="79">
        <f>IFERROR(_xlfn.RANK.EQ(INDEX(スコア表[],MATCH($C44,スコア表['#],0),MATCH(AT$5,スコア表[#Headers],0)),スコア表[39],0),"-")</f>
        <v>31</v>
      </c>
      <c r="AU44" s="79">
        <f>IFERROR(_xlfn.RANK.EQ(INDEX(スコア表[],MATCH($C44,スコア表['#],0),MATCH(AU$5,スコア表[#Headers],0)),スコア表[40],0),"-")</f>
        <v>18</v>
      </c>
      <c r="AV44" s="79">
        <f>IFERROR(_xlfn.RANK.EQ(INDEX(スコア表[],MATCH($C44,スコア表['#],0),MATCH(AV$5,スコア表[#Headers],0)),スコア表[41],0),"-")</f>
        <v>43</v>
      </c>
      <c r="AW44" s="79">
        <f>IFERROR(_xlfn.RANK.EQ(INDEX(スコア表[],MATCH($C44,スコア表['#],0),MATCH(AW$5,スコア表[#Headers],0)),スコア表[42],0),"-")</f>
        <v>43</v>
      </c>
      <c r="AX44" s="79">
        <f>IFERROR(_xlfn.RANK.EQ(INDEX(スコア表[],MATCH($C44,スコア表['#],0),MATCH(AX$5,スコア表[#Headers],0)),スコア表[43],0),"-")</f>
        <v>42</v>
      </c>
      <c r="AY44" s="79">
        <f>IFERROR(_xlfn.RANK.EQ(INDEX(スコア表[],MATCH($C44,スコア表['#],0),MATCH(AY$5,スコア表[#Headers],0)),スコア表[44],0),"-")</f>
        <v>7</v>
      </c>
      <c r="AZ44" s="79">
        <f>IFERROR(_xlfn.RANK.EQ(INDEX(スコア表[],MATCH($C44,スコア表['#],0),MATCH(AZ$5,スコア表[#Headers],0)),スコア表[45],0),"-")</f>
        <v>30</v>
      </c>
      <c r="BA44" s="79">
        <f>IFERROR(_xlfn.RANK.EQ(INDEX(スコア表[],MATCH($C44,スコア表['#],0),MATCH(BA$5,スコア表[#Headers],0)),スコア表[46],0),"-")</f>
        <v>20</v>
      </c>
      <c r="BB44" s="79">
        <f>IFERROR(_xlfn.RANK.EQ(INDEX(スコア表[],MATCH($C44,スコア表['#],0),MATCH(BB$5,スコア表[#Headers],0)),スコア表[47],0),"-")</f>
        <v>40</v>
      </c>
      <c r="BC44" s="79">
        <f>IFERROR(_xlfn.RANK.EQ(INDEX(スコア表[],MATCH($C44,スコア表['#],0),MATCH(BC$5,スコア表[#Headers],0)),スコア表[48],0),"-")</f>
        <v>11</v>
      </c>
      <c r="BD44" s="79">
        <f>IFERROR(_xlfn.RANK.EQ(INDEX(スコア表[],MATCH($C44,スコア表['#],0),MATCH(BD$5,スコア表[#Headers],0)),スコア表[49],0),"-")</f>
        <v>1</v>
      </c>
      <c r="BE44" s="79">
        <f>IFERROR(_xlfn.RANK.EQ(INDEX(スコア表[],MATCH($C44,スコア表['#],0),MATCH(BE$5,スコア表[#Headers],0)),スコア表[50],0),"-")</f>
        <v>43</v>
      </c>
      <c r="BF44" s="79">
        <f>IFERROR(_xlfn.RANK.EQ(INDEX(スコア表[],MATCH($C44,スコア表['#],0),MATCH(BF$5,スコア表[#Headers],0)),スコア表[51],0),"-")</f>
        <v>24</v>
      </c>
      <c r="BG44" s="79">
        <f>IFERROR(_xlfn.RANK.EQ(INDEX(スコア表[],MATCH($C44,スコア表['#],0),MATCH(BG$5,スコア表[#Headers],0)),スコア表[52],0),"-")</f>
        <v>26</v>
      </c>
      <c r="BH44" s="79">
        <f>IFERROR(_xlfn.RANK.EQ(INDEX(スコア表[],MATCH($C44,スコア表['#],0),MATCH(BH$5,スコア表[#Headers],0)),スコア表[53],0),"-")</f>
        <v>30</v>
      </c>
      <c r="BI44" s="79">
        <f>IFERROR(_xlfn.RANK.EQ(INDEX(スコア表[],MATCH($C44,スコア表['#],0),MATCH(BI$5,スコア表[#Headers],0)),スコア表[54],0),"-")</f>
        <v>26</v>
      </c>
      <c r="BJ44" s="79">
        <f>IFERROR(_xlfn.RANK.EQ(INDEX(スコア表[],MATCH($C44,スコア表['#],0),MATCH(BJ$5,スコア表[#Headers],0)),スコア表[55],0),"-")</f>
        <v>46</v>
      </c>
      <c r="BK44" s="79">
        <f>IFERROR(_xlfn.RANK.EQ(INDEX(スコア表[],MATCH($C44,スコア表['#],0),MATCH(BK$5,スコア表[#Headers],0)),スコア表[56],0),"-")</f>
        <v>5</v>
      </c>
      <c r="BL44" s="79">
        <f>IFERROR(_xlfn.RANK.EQ(INDEX(スコア表[],MATCH($C44,スコア表['#],0),MATCH(BL$5,スコア表[#Headers],0)),スコア表[57],0),"-")</f>
        <v>32</v>
      </c>
      <c r="BM44" s="79">
        <f>IFERROR(_xlfn.RANK.EQ(INDEX(スコア表[],MATCH($C44,スコア表['#],0),MATCH(BM$5,スコア表[#Headers],0)),スコア表[58],0),"-")</f>
        <v>19</v>
      </c>
      <c r="BN44" s="79">
        <f>IFERROR(_xlfn.RANK.EQ(INDEX(スコア表[],MATCH($C44,スコア表['#],0),MATCH(BN$5,スコア表[#Headers],0)),スコア表[59],0),"-")</f>
        <v>17</v>
      </c>
      <c r="BO44" s="79">
        <f>IFERROR(_xlfn.RANK.EQ(INDEX(スコア表[],MATCH($C44,スコア表['#],0),MATCH(BO$5,スコア表[#Headers],0)),スコア表[60],0),"-")</f>
        <v>21</v>
      </c>
      <c r="BP44" s="79">
        <f>IFERROR(_xlfn.RANK.EQ(INDEX(スコア表[],MATCH($C44,スコア表['#],0),MATCH(BP$5,スコア表[#Headers],0)),スコア表[61],0),"-")</f>
        <v>40</v>
      </c>
      <c r="BQ44" s="79">
        <f>IFERROR(_xlfn.RANK.EQ(INDEX(スコア表[],MATCH($C44,スコア表['#],0),MATCH(BQ$5,スコア表[#Headers],0)),スコア表[62],0),"-")</f>
        <v>44</v>
      </c>
      <c r="BR44" s="79">
        <f>IFERROR(_xlfn.RANK.EQ(INDEX(スコア表[],MATCH($C44,スコア表['#],0),MATCH(BR$5,スコア表[#Headers],0)),スコア表[63],0),"-")</f>
        <v>22</v>
      </c>
      <c r="BS44" s="79">
        <f>IFERROR(_xlfn.RANK.EQ(INDEX(スコア表[],MATCH($C44,スコア表['#],0),MATCH(BS$5,スコア表[#Headers],0)),スコア表[64],0),"-")</f>
        <v>14</v>
      </c>
      <c r="BT44" s="79">
        <f>IFERROR(_xlfn.RANK.EQ(INDEX(スコア表[],MATCH($C44,スコア表['#],0),MATCH(BT$5,スコア表[#Headers],0)),スコア表[65],0),"-")</f>
        <v>32</v>
      </c>
      <c r="BU44" s="79">
        <f>IFERROR(_xlfn.RANK.EQ(INDEX(スコア表[],MATCH($C44,スコア表['#],0),MATCH(BU$5,スコア表[#Headers],0)),スコア表[66],0),"-")</f>
        <v>40</v>
      </c>
      <c r="BV44" s="79">
        <f>IFERROR(_xlfn.RANK.EQ(INDEX(スコア表[],MATCH($C44,スコア表['#],0),MATCH(BV$5,スコア表[#Headers],0)),スコア表[67],0),"-")</f>
        <v>3</v>
      </c>
      <c r="BW44" s="79">
        <f>IFERROR(_xlfn.RANK.EQ(INDEX(スコア表[],MATCH($C44,スコア表['#],0),MATCH(BW$5,スコア表[#Headers],0)),スコア表[68],0),"-")</f>
        <v>23</v>
      </c>
      <c r="BX44" s="79">
        <f>IFERROR(_xlfn.RANK.EQ(INDEX(スコア表[],MATCH($C44,スコア表['#],0),MATCH(BX$5,スコア表[#Headers],0)),スコア表[69],0),"-")</f>
        <v>15</v>
      </c>
      <c r="BY44" s="79">
        <f>IFERROR(_xlfn.RANK.EQ(INDEX(スコア表[],MATCH($C44,スコア表['#],0),MATCH(BY$5,スコア表[#Headers],0)),スコア表[70],0),"-")</f>
        <v>45</v>
      </c>
      <c r="BZ44" s="79">
        <f>IFERROR(_xlfn.RANK.EQ(INDEX(スコア表[],MATCH($C44,スコア表['#],0),MATCH(BZ$5,スコア表[#Headers],0)),スコア表[Ec1],0),"-")</f>
        <v>9</v>
      </c>
      <c r="CA44" s="79">
        <f>IFERROR(_xlfn.RANK.EQ(INDEX(スコア表[],MATCH($C44,スコア表['#],0),MATCH(CA$5,スコア表[#Headers],0)),スコア表[Ec2],0),"-")</f>
        <v>20</v>
      </c>
      <c r="CB44" s="79">
        <f>IFERROR(_xlfn.RANK.EQ(INDEX(スコア表[],MATCH($C44,スコア表['#],0),MATCH(CB$5,スコア表[#Headers],0)),スコア表[Ec3],0),"-")</f>
        <v>23</v>
      </c>
      <c r="CC44" s="79">
        <f>IFERROR(_xlfn.RANK.EQ(INDEX(スコア表[],MATCH($C44,スコア表['#],0),MATCH(CC$5,スコア表[#Headers],0)),スコア表[Ec4],0),"-")</f>
        <v>47</v>
      </c>
      <c r="CD44" s="79">
        <f>IFERROR(_xlfn.RANK.EQ(INDEX(スコア表[],MATCH($C44,スコア表['#],0),MATCH(CD$5,スコア表[#Headers],0)),スコア表[Ec5],0),"-")</f>
        <v>2</v>
      </c>
      <c r="CE44" s="79">
        <f>IFERROR(_xlfn.RANK.EQ(INDEX(スコア表[],MATCH($C44,スコア表['#],0),MATCH(CE$5,スコア表[#Headers],0)),スコア表[Ec6],0),"-")</f>
        <v>17</v>
      </c>
      <c r="CF44" s="79">
        <f>IFERROR(_xlfn.RANK.EQ(INDEX(スコア表[],MATCH($C44,スコア表['#],0),MATCH(CF$5,スコア表[#Headers],0)),スコア表[RD1],0),"-")</f>
        <v>7</v>
      </c>
      <c r="CG44" s="79">
        <f>IFERROR(_xlfn.RANK.EQ(INDEX(スコア表[],MATCH($C44,スコア表['#],0),MATCH(CG$5,スコア表[#Headers],0)),スコア表[RD2],0),"-")</f>
        <v>10</v>
      </c>
      <c r="CH44" s="79">
        <f>IFERROR(_xlfn.RANK.EQ(INDEX(スコア表[],MATCH($C44,スコア表['#],0),MATCH(CH$5,スコア表[#Headers],0)),スコア表[RD3],0),"-")</f>
        <v>3</v>
      </c>
      <c r="CI44" s="79">
        <f>IFERROR(_xlfn.RANK.EQ(INDEX(スコア表[],MATCH($C44,スコア表['#],0),MATCH(CI$5,スコア表[#Headers],0)),スコア表[CI1],0),"-")</f>
        <v>37</v>
      </c>
      <c r="CJ44" s="79">
        <f>IFERROR(_xlfn.RANK.EQ(INDEX(スコア表[],MATCH($C44,スコア表['#],0),MATCH(CJ$5,スコア表[#Headers],0)),スコア表[CI2],0),"-")</f>
        <v>44</v>
      </c>
      <c r="CK44" s="79">
        <f>IFERROR(_xlfn.RANK.EQ(INDEX(スコア表[],MATCH($C44,スコア表['#],0),MATCH(CK$5,スコア表[#Headers],0)),スコア表[CI3],0),"-")</f>
        <v>38</v>
      </c>
      <c r="CL44" s="79">
        <f>IFERROR(_xlfn.RANK.EQ(INDEX(スコア表[],MATCH($C44,スコア表['#],0),MATCH(CL$5,スコア表[#Headers],0)),スコア表[CI4],0),"-")</f>
        <v>39</v>
      </c>
      <c r="CM44" s="79">
        <f>IFERROR(_xlfn.RANK.EQ(INDEX(スコア表[],MATCH($C44,スコア表['#],0),MATCH(CM$5,スコア表[#Headers],0)),スコア表[CI5],0),"-")</f>
        <v>43</v>
      </c>
      <c r="CN44" s="79">
        <f>IFERROR(_xlfn.RANK.EQ(INDEX(スコア表[],MATCH($C44,スコア表['#],0),MATCH(CN$5,スコア表[#Headers],0)),スコア表[Li1],0),"-")</f>
        <v>15</v>
      </c>
      <c r="CO44" s="79">
        <f>IFERROR(_xlfn.RANK.EQ(INDEX(スコア表[],MATCH($C44,スコア表['#],0),MATCH(CO$5,スコア表[#Headers],0)),スコア表[Li2],0),"-")</f>
        <v>43</v>
      </c>
      <c r="CP44" s="79">
        <f>IFERROR(_xlfn.RANK.EQ(INDEX(スコア表[],MATCH($C44,スコア表['#],0),MATCH(CP$5,スコア表[#Headers],0)),スコア表[Li3],0),"-")</f>
        <v>41</v>
      </c>
      <c r="CQ44" s="79">
        <f>IFERROR(_xlfn.RANK.EQ(INDEX(スコア表[],MATCH($C44,スコア表['#],0),MATCH(CQ$5,スコア表[#Headers],0)),スコア表[Li4],0),"-")</f>
        <v>36</v>
      </c>
      <c r="CR44" s="79">
        <f>IFERROR(_xlfn.RANK.EQ(INDEX(スコア表[],MATCH($C44,スコア表['#],0),MATCH(CR$5,スコア表[#Headers],0)),スコア表[Li5],0),"-")</f>
        <v>13</v>
      </c>
      <c r="CS44" s="79">
        <f>IFERROR(_xlfn.RANK.EQ(INDEX(スコア表[],MATCH($C44,スコア表['#],0),MATCH(CS$5,スコア表[#Headers],0)),スコア表[En1],0),"-")</f>
        <v>36</v>
      </c>
      <c r="CT44" s="79">
        <f>IFERROR(_xlfn.RANK.EQ(INDEX(スコア表[],MATCH($C44,スコア表['#],0),MATCH(CT$5,スコア表[#Headers],0)),スコア表[En2],0),"-")</f>
        <v>39</v>
      </c>
      <c r="CU44" s="79">
        <f>IFERROR(_xlfn.RANK.EQ(INDEX(スコア表[],MATCH($C44,スコア表['#],0),MATCH(CU$5,スコア表[#Headers],0)),スコア表[En3],0),"-")</f>
        <v>17</v>
      </c>
      <c r="CV44" s="79">
        <f>IFERROR(_xlfn.RANK.EQ(INDEX(スコア表[],MATCH($C44,スコア表['#],0),MATCH(CV$5,スコア表[#Headers],0)),スコア表[Ac1],0),"-")</f>
        <v>46</v>
      </c>
      <c r="CW44" s="79">
        <f>IFERROR(_xlfn.RANK.EQ(INDEX(スコア表[],MATCH($C44,スコア表['#],0),MATCH(CW$5,スコア表[#Headers],0)),スコア表[Ac2],0),"-")</f>
        <v>19</v>
      </c>
      <c r="CX44" s="79">
        <f>IFERROR(_xlfn.RANK.EQ(INDEX(スコア表[],MATCH($C44,スコア表['#],0),MATCH(CX$5,スコア表[#Headers],0)),スコア表[Ac3],0),"-")</f>
        <v>26</v>
      </c>
      <c r="CY44" s="79">
        <f>IFERROR(_xlfn.RANK.EQ(INDEX(スコア表[],MATCH($C44,スコア表['#],0),MATCH(CY$5,スコア表[#Headers],0)),スコア表[Ac4],0),"-")</f>
        <v>32</v>
      </c>
      <c r="CZ44" s="79">
        <f>IFERROR(_xlfn.RANK.EQ(INDEX(スコア表[],MATCH($C44,スコア表['#],0),MATCH(CZ$5,スコア表[#Headers],0)),スコア表[Economy],0),"-")</f>
        <v>13</v>
      </c>
      <c r="DA44" s="79">
        <f>IFERROR(_xlfn.RANK.EQ(INDEX(スコア表[],MATCH($C44,スコア表['#],0),MATCH(DA$5,スコア表[#Headers],0)),スコア表[R&amp;D],0),"-")</f>
        <v>5</v>
      </c>
      <c r="DB44" s="79">
        <f>IFERROR(_xlfn.RANK.EQ(INDEX(スコア表[],MATCH($C44,スコア表['#],0),MATCH(DB$5,スコア表[#Headers],0)),スコア表[Cultural Interaction],0),"-")</f>
        <v>43</v>
      </c>
      <c r="DC44" s="79">
        <f>IFERROR(_xlfn.RANK.EQ(INDEX(スコア表[],MATCH($C44,スコア表['#],0),MATCH(DC$5,スコア表[#Headers],0)),スコア表[Livability],0),"-")</f>
        <v>40</v>
      </c>
      <c r="DD44" s="79">
        <f>IFERROR(_xlfn.RANK.EQ(INDEX(スコア表[],MATCH($C44,スコア表['#],0),MATCH(DD$5,スコア表[#Headers],0)),スコア表[Environment],0),"-")</f>
        <v>26</v>
      </c>
      <c r="DE44" s="79">
        <f>IFERROR(_xlfn.RANK.EQ(INDEX(スコア表[],MATCH($C44,スコア表['#],0),MATCH(DE$5,スコア表[#Headers],0)),スコア表[Accessibility],0),"-")</f>
        <v>34</v>
      </c>
      <c r="DF44" s="81">
        <f>IFERROR(_xlfn.RANK.EQ(INDEX(スコア表[],MATCH($C44,スコア表['#],0),MATCH(DF$5,スコア表[#Headers],0)),スコア表[Comprehensive],0),"-")</f>
        <v>29</v>
      </c>
    </row>
    <row r="45" spans="1:110">
      <c r="A45" s="2">
        <v>40</v>
      </c>
      <c r="B45" s="58">
        <f>INDEX(順位表[Comprehensive],MATCH($C45,順位表['#],0))</f>
        <v>39</v>
      </c>
      <c r="C45" s="3">
        <v>40</v>
      </c>
      <c r="D45" s="1" t="str">
        <f>INDEX(都市マスタ[City Name],MATCH($C45,都市マスタ['#],0))</f>
        <v>Sao Paulo</v>
      </c>
      <c r="E45" s="79">
        <f>IFERROR(_xlfn.RANK.EQ(INDEX(スコア表[],MATCH($C45,スコア表['#],0),MATCH(E$5,スコア表[#Headers],0)),スコア表[00a],0),"-")</f>
        <v>6</v>
      </c>
      <c r="F45" s="79">
        <f>IFERROR(_xlfn.RANK.EQ(INDEX(スコア表[],MATCH($C45,スコア表['#],0),MATCH(F$5,スコア表[#Headers],0)),スコア表[00b],0),"-")</f>
        <v>12</v>
      </c>
      <c r="G45" s="79">
        <f>IFERROR(_xlfn.RANK.EQ(INDEX(スコア表[],MATCH($C45,スコア表['#],0),MATCH(G$5,スコア表[#Headers],0)),スコア表[00c],0),"-")</f>
        <v>20</v>
      </c>
      <c r="H45" s="79">
        <f>IFERROR(_xlfn.RANK.EQ(INDEX(スコア表[],MATCH($C45,スコア表['#],0),MATCH(H$5,スコア表[#Headers],0)),スコア表[01],0),"-")</f>
        <v>22</v>
      </c>
      <c r="I45" s="79">
        <f>IFERROR(_xlfn.RANK.EQ(INDEX(スコア表[],MATCH($C45,スコア表['#],0),MATCH(I$5,スコア表[#Headers],0)),スコア表[02],0),"-")</f>
        <v>45</v>
      </c>
      <c r="J45" s="79">
        <f>IFERROR(_xlfn.RANK.EQ(INDEX(スコア表[],MATCH($C45,スコア表['#],0),MATCH(J$5,スコア表[#Headers],0)),スコア表[03],0),"-")</f>
        <v>39</v>
      </c>
      <c r="K45" s="79">
        <f>IFERROR(_xlfn.RANK.EQ(INDEX(スコア表[],MATCH($C45,スコア表['#],0),MATCH(K$5,スコア表[#Headers],0)),スコア表[04],0),"-")</f>
        <v>42</v>
      </c>
      <c r="L45" s="79">
        <f>IFERROR(_xlfn.RANK.EQ(INDEX(スコア表[],MATCH($C45,スコア表['#],0),MATCH(L$5,スコア表[#Headers],0)),スコア表[05],0),"-")</f>
        <v>17</v>
      </c>
      <c r="M45" s="79">
        <f>IFERROR(_xlfn.RANK.EQ(INDEX(スコア表[],MATCH($C45,スコア表['#],0),MATCH(M$5,スコア表[#Headers],0)),スコア表[06],0),"-")</f>
        <v>17</v>
      </c>
      <c r="N45" s="79">
        <f>IFERROR(_xlfn.RANK.EQ(INDEX(スコア表[],MATCH($C45,スコア表['#],0),MATCH(N$5,スコア表[#Headers],0)),スコア表[07],0),"-")</f>
        <v>7</v>
      </c>
      <c r="O45" s="79">
        <f>IFERROR(_xlfn.RANK.EQ(INDEX(スコア表[],MATCH($C45,スコア表['#],0),MATCH(O$5,スコア表[#Headers],0)),スコア表[08],0),"-")</f>
        <v>8</v>
      </c>
      <c r="P45" s="79">
        <f>IFERROR(_xlfn.RANK.EQ(INDEX(スコア表[],MATCH($C45,スコア表['#],0),MATCH(P$5,スコア表[#Headers],0)),スコア表[09],0),"-")</f>
        <v>45</v>
      </c>
      <c r="Q45" s="79">
        <f>IFERROR(_xlfn.RANK.EQ(INDEX(スコア表[],MATCH($C45,スコア表['#],0),MATCH(Q$5,スコア表[#Headers],0)),スコア表[10],0),"-")</f>
        <v>39</v>
      </c>
      <c r="R45" s="79">
        <f>IFERROR(_xlfn.RANK.EQ(INDEX(スコア表[],MATCH($C45,スコア表['#],0),MATCH(R$5,スコア表[#Headers],0)),スコア表[11],0),"-")</f>
        <v>21</v>
      </c>
      <c r="S45" s="79">
        <f>IFERROR(_xlfn.RANK.EQ(INDEX(スコア表[],MATCH($C45,スコア表['#],0),MATCH(S$5,スコア表[#Headers],0)),スコア表[12],0),"-")</f>
        <v>45</v>
      </c>
      <c r="T45" s="79">
        <f>IFERROR(_xlfn.RANK.EQ(INDEX(スコア表[],MATCH($C45,スコア表['#],0),MATCH(T$5,スコア表[#Headers],0)),スコア表[13],0),"-")</f>
        <v>46</v>
      </c>
      <c r="U45" s="79">
        <f>IFERROR(_xlfn.RANK.EQ(INDEX(スコア表[],MATCH($C45,スコア表['#],0),MATCH(U$5,スコア表[#Headers],0)),スコア表[14],0),"-")</f>
        <v>22</v>
      </c>
      <c r="V45" s="79">
        <f>IFERROR(_xlfn.RANK.EQ(INDEX(スコア表[],MATCH($C45,スコア表['#],0),MATCH(V$5,スコア表[#Headers],0)),スコア表[15],0),"-")</f>
        <v>42</v>
      </c>
      <c r="W45" s="79">
        <f>IFERROR(_xlfn.RANK.EQ(INDEX(スコア表[],MATCH($C45,スコア表['#],0),MATCH(W$5,スコア表[#Headers],0)),スコア表[16],0),"-")</f>
        <v>35</v>
      </c>
      <c r="X45" s="79">
        <f>IFERROR(_xlfn.RANK.EQ(INDEX(スコア表[],MATCH($C45,スコア表['#],0),MATCH(X$5,スコア表[#Headers],0)),スコア表[17],0),"-")</f>
        <v>41</v>
      </c>
      <c r="Y45" s="79">
        <f>IFERROR(_xlfn.RANK.EQ(INDEX(スコア表[],MATCH($C45,スコア表['#],0),MATCH(Y$5,スコア表[#Headers],0)),スコア表[18],0),"-")</f>
        <v>43</v>
      </c>
      <c r="Z45" s="79">
        <f>IFERROR(_xlfn.RANK.EQ(INDEX(スコア表[],MATCH($C45,スコア表['#],0),MATCH(Z$5,スコア表[#Headers],0)),スコア表[19],0),"-")</f>
        <v>25</v>
      </c>
      <c r="AA45" s="79">
        <f>IFERROR(_xlfn.RANK.EQ(INDEX(スコア表[],MATCH($C45,スコア表['#],0),MATCH(AA$5,スコア表[#Headers],0)),スコア表[20],0),"-")</f>
        <v>23</v>
      </c>
      <c r="AB45" s="79">
        <f>IFERROR(_xlfn.RANK.EQ(INDEX(スコア表[],MATCH($C45,スコア表['#],0),MATCH(AB$5,スコア表[#Headers],0)),スコア表[21],0),"-")</f>
        <v>18</v>
      </c>
      <c r="AC45" s="79">
        <f>IFERROR(_xlfn.RANK.EQ(INDEX(スコア表[],MATCH($C45,スコア表['#],0),MATCH(AC$5,スコア表[#Headers],0)),スコア表[22],0),"-")</f>
        <v>38</v>
      </c>
      <c r="AD45" s="79">
        <f>IFERROR(_xlfn.RANK.EQ(INDEX(スコア表[],MATCH($C45,スコア表['#],0),MATCH(AD$5,スコア表[#Headers],0)),スコア表[23],0),"-")</f>
        <v>6</v>
      </c>
      <c r="AE45" s="79">
        <f>IFERROR(_xlfn.RANK.EQ(INDEX(スコア表[],MATCH($C45,スコア表['#],0),MATCH(AE$5,スコア表[#Headers],0)),スコア表[24],0),"-")</f>
        <v>40</v>
      </c>
      <c r="AF45" s="79">
        <f>IFERROR(_xlfn.RANK.EQ(INDEX(スコア表[],MATCH($C45,スコア表['#],0),MATCH(AF$5,スコア表[#Headers],0)),スコア表[25],0),"-")</f>
        <v>24</v>
      </c>
      <c r="AG45" s="79">
        <f>IFERROR(_xlfn.RANK.EQ(INDEX(スコア表[],MATCH($C45,スコア表['#],0),MATCH(AG$5,スコア表[#Headers],0)),スコア表[26],0),"-")</f>
        <v>11</v>
      </c>
      <c r="AH45" s="79">
        <f>IFERROR(_xlfn.RANK.EQ(INDEX(スコア表[],MATCH($C45,スコア表['#],0),MATCH(AH$5,スコア表[#Headers],0)),スコア表[27],0),"-")</f>
        <v>38</v>
      </c>
      <c r="AI45" s="79">
        <f>IFERROR(_xlfn.RANK.EQ(INDEX(スコア表[],MATCH($C45,スコア表['#],0),MATCH(AI$5,スコア表[#Headers],0)),スコア表[28],0),"-")</f>
        <v>3</v>
      </c>
      <c r="AJ45" s="79">
        <f>IFERROR(_xlfn.RANK.EQ(INDEX(スコア表[],MATCH($C45,スコア表['#],0),MATCH(AJ$5,スコア表[#Headers],0)),スコア表[29],0),"-")</f>
        <v>7</v>
      </c>
      <c r="AK45" s="79">
        <f>IFERROR(_xlfn.RANK.EQ(INDEX(スコア表[],MATCH($C45,スコア表['#],0),MATCH(AK$5,スコア表[#Headers],0)),スコア表[30],0),"-")</f>
        <v>23</v>
      </c>
      <c r="AL45" s="79">
        <f>IFERROR(_xlfn.RANK.EQ(INDEX(スコア表[],MATCH($C45,スコア表['#],0),MATCH(AL$5,スコア表[#Headers],0)),スコア表[31],0),"-")</f>
        <v>10</v>
      </c>
      <c r="AM45" s="79">
        <f>IFERROR(_xlfn.RANK.EQ(INDEX(スコア表[],MATCH($C45,スコア表['#],0),MATCH(AM$5,スコア表[#Headers],0)),スコア表[32],0),"-")</f>
        <v>28</v>
      </c>
      <c r="AN45" s="79">
        <f>IFERROR(_xlfn.RANK.EQ(INDEX(スコア表[],MATCH($C45,スコア表['#],0),MATCH(AN$5,スコア表[#Headers],0)),スコア表[33],0),"-")</f>
        <v>41</v>
      </c>
      <c r="AO45" s="79">
        <f>IFERROR(_xlfn.RANK.EQ(INDEX(スコア表[],MATCH($C45,スコア表['#],0),MATCH(AO$5,スコア表[#Headers],0)),スコア表[34],0),"-")</f>
        <v>10</v>
      </c>
      <c r="AP45" s="79">
        <f>IFERROR(_xlfn.RANK.EQ(INDEX(スコア表[],MATCH($C45,スコア表['#],0),MATCH(AP$5,スコア表[#Headers],0)),スコア表[35],0),"-")</f>
        <v>7</v>
      </c>
      <c r="AQ45" s="79">
        <f>IFERROR(_xlfn.RANK.EQ(INDEX(スコア表[],MATCH($C45,スコア表['#],0),MATCH(AQ$5,スコア表[#Headers],0)),スコア表[36],0),"-")</f>
        <v>14</v>
      </c>
      <c r="AR45" s="79">
        <f>IFERROR(_xlfn.RANK.EQ(INDEX(スコア表[],MATCH($C45,スコア表['#],0),MATCH(AR$5,スコア表[#Headers],0)),スコア表[37],0),"-")</f>
        <v>26</v>
      </c>
      <c r="AS45" s="79">
        <f>IFERROR(_xlfn.RANK.EQ(INDEX(スコア表[],MATCH($C45,スコア表['#],0),MATCH(AS$5,スコア表[#Headers],0)),スコア表[38],0),"-")</f>
        <v>47</v>
      </c>
      <c r="AT45" s="79">
        <f>IFERROR(_xlfn.RANK.EQ(INDEX(スコア表[],MATCH($C45,スコア表['#],0),MATCH(AT$5,スコア表[#Headers],0)),スコア表[39],0),"-")</f>
        <v>33</v>
      </c>
      <c r="AU45" s="79">
        <f>IFERROR(_xlfn.RANK.EQ(INDEX(スコア表[],MATCH($C45,スコア表['#],0),MATCH(AU$5,スコア表[#Headers],0)),スコア表[40],0),"-")</f>
        <v>4</v>
      </c>
      <c r="AV45" s="79">
        <f>IFERROR(_xlfn.RANK.EQ(INDEX(スコア表[],MATCH($C45,スコア表['#],0),MATCH(AV$5,スコア表[#Headers],0)),スコア表[41],0),"-")</f>
        <v>4</v>
      </c>
      <c r="AW45" s="79">
        <f>IFERROR(_xlfn.RANK.EQ(INDEX(スコア表[],MATCH($C45,スコア表['#],0),MATCH(AW$5,スコア表[#Headers],0)),スコア表[42],0),"-")</f>
        <v>6</v>
      </c>
      <c r="AX45" s="79">
        <f>IFERROR(_xlfn.RANK.EQ(INDEX(スコア表[],MATCH($C45,スコア表['#],0),MATCH(AX$5,スコア表[#Headers],0)),スコア表[43],0),"-")</f>
        <v>36</v>
      </c>
      <c r="AY45" s="79">
        <f>IFERROR(_xlfn.RANK.EQ(INDEX(スコア表[],MATCH($C45,スコア表['#],0),MATCH(AY$5,スコア表[#Headers],0)),スコア表[44],0),"-")</f>
        <v>25</v>
      </c>
      <c r="AZ45" s="79">
        <f>IFERROR(_xlfn.RANK.EQ(INDEX(スコア表[],MATCH($C45,スコア表['#],0),MATCH(AZ$5,スコア表[#Headers],0)),スコア表[45],0),"-")</f>
        <v>42</v>
      </c>
      <c r="BA45" s="79">
        <f>IFERROR(_xlfn.RANK.EQ(INDEX(スコア表[],MATCH($C45,スコア表['#],0),MATCH(BA$5,スコア表[#Headers],0)),スコア表[46],0),"-")</f>
        <v>36</v>
      </c>
      <c r="BB45" s="79">
        <f>IFERROR(_xlfn.RANK.EQ(INDEX(スコア表[],MATCH($C45,スコア表['#],0),MATCH(BB$5,スコア表[#Headers],0)),スコア表[47],0),"-")</f>
        <v>26</v>
      </c>
      <c r="BC45" s="79">
        <f>IFERROR(_xlfn.RANK.EQ(INDEX(スコア表[],MATCH($C45,スコア表['#],0),MATCH(BC$5,スコア表[#Headers],0)),スコア表[48],0),"-")</f>
        <v>41</v>
      </c>
      <c r="BD45" s="79">
        <f>IFERROR(_xlfn.RANK.EQ(INDEX(スコア表[],MATCH($C45,スコア表['#],0),MATCH(BD$5,スコア表[#Headers],0)),スコア表[49],0),"-")</f>
        <v>44</v>
      </c>
      <c r="BE45" s="79">
        <f>IFERROR(_xlfn.RANK.EQ(INDEX(スコア表[],MATCH($C45,スコア表['#],0),MATCH(BE$5,スコア表[#Headers],0)),スコア表[50],0),"-")</f>
        <v>15</v>
      </c>
      <c r="BF45" s="79">
        <f>IFERROR(_xlfn.RANK.EQ(INDEX(スコア表[],MATCH($C45,スコア表['#],0),MATCH(BF$5,スコア表[#Headers],0)),スコア表[51],0),"-")</f>
        <v>18</v>
      </c>
      <c r="BG45" s="79">
        <f>IFERROR(_xlfn.RANK.EQ(INDEX(スコア表[],MATCH($C45,スコア表['#],0),MATCH(BG$5,スコア表[#Headers],0)),スコア表[52],0),"-")</f>
        <v>17</v>
      </c>
      <c r="BH45" s="79">
        <f>IFERROR(_xlfn.RANK.EQ(INDEX(スコア表[],MATCH($C45,スコア表['#],0),MATCH(BH$5,スコア表[#Headers],0)),スコア表[53],0),"-")</f>
        <v>2</v>
      </c>
      <c r="BI45" s="79">
        <f>IFERROR(_xlfn.RANK.EQ(INDEX(スコア表[],MATCH($C45,スコア表['#],0),MATCH(BI$5,スコア表[#Headers],0)),スコア表[54],0),"-")</f>
        <v>47</v>
      </c>
      <c r="BJ45" s="79">
        <f>IFERROR(_xlfn.RANK.EQ(INDEX(スコア表[],MATCH($C45,スコア表['#],0),MATCH(BJ$5,スコア表[#Headers],0)),スコア表[55],0),"-")</f>
        <v>4</v>
      </c>
      <c r="BK45" s="79">
        <f>IFERROR(_xlfn.RANK.EQ(INDEX(スコア表[],MATCH($C45,スコア表['#],0),MATCH(BK$5,スコア表[#Headers],0)),スコア表[56],0),"-")</f>
        <v>32</v>
      </c>
      <c r="BL45" s="79">
        <f>IFERROR(_xlfn.RANK.EQ(INDEX(スコア表[],MATCH($C45,スコア表['#],0),MATCH(BL$5,スコア表[#Headers],0)),スコア表[57],0),"-")</f>
        <v>1</v>
      </c>
      <c r="BM45" s="79">
        <f>IFERROR(_xlfn.RANK.EQ(INDEX(スコア表[],MATCH($C45,スコア表['#],0),MATCH(BM$5,スコア表[#Headers],0)),スコア表[58],0),"-")</f>
        <v>45</v>
      </c>
      <c r="BN45" s="79">
        <f>IFERROR(_xlfn.RANK.EQ(INDEX(スコア表[],MATCH($C45,スコア表['#],0),MATCH(BN$5,スコア表[#Headers],0)),スコア表[59],0),"-")</f>
        <v>35</v>
      </c>
      <c r="BO45" s="79">
        <f>IFERROR(_xlfn.RANK.EQ(INDEX(スコア表[],MATCH($C45,スコア表['#],0),MATCH(BO$5,スコア表[#Headers],0)),スコア表[60],0),"-")</f>
        <v>44</v>
      </c>
      <c r="BP45" s="79">
        <f>IFERROR(_xlfn.RANK.EQ(INDEX(スコア表[],MATCH($C45,スコア表['#],0),MATCH(BP$5,スコア表[#Headers],0)),スコア表[61],0),"-")</f>
        <v>42</v>
      </c>
      <c r="BQ45" s="79">
        <f>IFERROR(_xlfn.RANK.EQ(INDEX(スコア表[],MATCH($C45,スコア表['#],0),MATCH(BQ$5,スコア表[#Headers],0)),スコア表[62],0),"-")</f>
        <v>21</v>
      </c>
      <c r="BR45" s="79">
        <f>IFERROR(_xlfn.RANK.EQ(INDEX(スコア表[],MATCH($C45,スコア表['#],0),MATCH(BR$5,スコア表[#Headers],0)),スコア表[63],0),"-")</f>
        <v>24</v>
      </c>
      <c r="BS45" s="79">
        <f>IFERROR(_xlfn.RANK.EQ(INDEX(スコア表[],MATCH($C45,スコア表['#],0),MATCH(BS$5,スコア表[#Headers],0)),スコア表[64],0),"-")</f>
        <v>27</v>
      </c>
      <c r="BT45" s="79">
        <f>IFERROR(_xlfn.RANK.EQ(INDEX(スコア表[],MATCH($C45,スコア表['#],0),MATCH(BT$5,スコア表[#Headers],0)),スコア表[65],0),"-")</f>
        <v>38</v>
      </c>
      <c r="BU45" s="79">
        <f>IFERROR(_xlfn.RANK.EQ(INDEX(スコア表[],MATCH($C45,スコア表['#],0),MATCH(BU$5,スコア表[#Headers],0)),スコア表[66],0),"-")</f>
        <v>29</v>
      </c>
      <c r="BV45" s="79">
        <f>IFERROR(_xlfn.RANK.EQ(INDEX(スコア表[],MATCH($C45,スコア表['#],0),MATCH(BV$5,スコア表[#Headers],0)),スコア表[67],0),"-")</f>
        <v>28</v>
      </c>
      <c r="BW45" s="79">
        <f>IFERROR(_xlfn.RANK.EQ(INDEX(スコア表[],MATCH($C45,スコア表['#],0),MATCH(BW$5,スコア表[#Headers],0)),スコア表[68],0),"-")</f>
        <v>45</v>
      </c>
      <c r="BX45" s="79">
        <f>IFERROR(_xlfn.RANK.EQ(INDEX(スコア表[],MATCH($C45,スコア表['#],0),MATCH(BX$5,スコア表[#Headers],0)),スコア表[69],0),"-")</f>
        <v>31</v>
      </c>
      <c r="BY45" s="79">
        <f>IFERROR(_xlfn.RANK.EQ(INDEX(スコア表[],MATCH($C45,スコア表['#],0),MATCH(BY$5,スコア表[#Headers],0)),スコア表[70],0),"-")</f>
        <v>28</v>
      </c>
      <c r="BZ45" s="79">
        <f>IFERROR(_xlfn.RANK.EQ(INDEX(スコア表[],MATCH($C45,スコア表['#],0),MATCH(BZ$5,スコア表[#Headers],0)),スコア表[Ec1],0),"-")</f>
        <v>42</v>
      </c>
      <c r="CA45" s="79">
        <f>IFERROR(_xlfn.RANK.EQ(INDEX(スコア表[],MATCH($C45,スコア表['#],0),MATCH(CA$5,スコア表[#Headers],0)),スコア表[Ec2],0),"-")</f>
        <v>46</v>
      </c>
      <c r="CB45" s="79">
        <f>IFERROR(_xlfn.RANK.EQ(INDEX(スコア表[],MATCH($C45,スコア表['#],0),MATCH(CB$5,スコア表[#Headers],0)),スコア表[Ec3],0),"-")</f>
        <v>17</v>
      </c>
      <c r="CC45" s="79">
        <f>IFERROR(_xlfn.RANK.EQ(INDEX(スコア表[],MATCH($C45,スコア表['#],0),MATCH(CC$5,スコア表[#Headers],0)),スコア表[Ec4],0),"-")</f>
        <v>5</v>
      </c>
      <c r="CD45" s="79">
        <f>IFERROR(_xlfn.RANK.EQ(INDEX(スコア表[],MATCH($C45,スコア表['#],0),MATCH(CD$5,スコア表[#Headers],0)),スコア表[Ec5],0),"-")</f>
        <v>40</v>
      </c>
      <c r="CE45" s="79">
        <f>IFERROR(_xlfn.RANK.EQ(INDEX(スコア表[],MATCH($C45,スコア表['#],0),MATCH(CE$5,スコア表[#Headers],0)),スコア表[Ec6],0),"-")</f>
        <v>47</v>
      </c>
      <c r="CF45" s="79">
        <f>IFERROR(_xlfn.RANK.EQ(INDEX(スコア表[],MATCH($C45,スコア表['#],0),MATCH(CF$5,スコア表[#Headers],0)),スコア表[RD1],0),"-")</f>
        <v>32</v>
      </c>
      <c r="CG45" s="79">
        <f>IFERROR(_xlfn.RANK.EQ(INDEX(スコア表[],MATCH($C45,スコア表['#],0),MATCH(CG$5,スコア表[#Headers],0)),スコア表[RD2],0),"-")</f>
        <v>44</v>
      </c>
      <c r="CH45" s="79">
        <f>IFERROR(_xlfn.RANK.EQ(INDEX(スコア表[],MATCH($C45,スコア表['#],0),MATCH(CH$5,スコア表[#Headers],0)),スコア表[RD3],0),"-")</f>
        <v>30</v>
      </c>
      <c r="CI45" s="79">
        <f>IFERROR(_xlfn.RANK.EQ(INDEX(スコア表[],MATCH($C45,スコア表['#],0),MATCH(CI$5,スコア表[#Headers],0)),スコア表[CI1],0),"-")</f>
        <v>24</v>
      </c>
      <c r="CJ45" s="79">
        <f>IFERROR(_xlfn.RANK.EQ(INDEX(スコア表[],MATCH($C45,スコア表['#],0),MATCH(CJ$5,スコア表[#Headers],0)),スコア表[CI2],0),"-")</f>
        <v>12</v>
      </c>
      <c r="CK45" s="79">
        <f>IFERROR(_xlfn.RANK.EQ(INDEX(スコア表[],MATCH($C45,スコア表['#],0),MATCH(CK$5,スコア表[#Headers],0)),スコア表[CI3],0),"-")</f>
        <v>8</v>
      </c>
      <c r="CL45" s="79">
        <f>IFERROR(_xlfn.RANK.EQ(INDEX(スコア表[],MATCH($C45,スコア表['#],0),MATCH(CL$5,スコア表[#Headers],0)),スコア表[CI4],0),"-")</f>
        <v>17</v>
      </c>
      <c r="CM45" s="79">
        <f>IFERROR(_xlfn.RANK.EQ(INDEX(スコア表[],MATCH($C45,スコア表['#],0),MATCH(CM$5,スコア表[#Headers],0)),スコア表[CI5],0),"-")</f>
        <v>22</v>
      </c>
      <c r="CN45" s="79">
        <f>IFERROR(_xlfn.RANK.EQ(INDEX(スコア表[],MATCH($C45,スコア表['#],0),MATCH(CN$5,スコア表[#Headers],0)),スコア表[Li1],0),"-")</f>
        <v>29</v>
      </c>
      <c r="CO45" s="79">
        <f>IFERROR(_xlfn.RANK.EQ(INDEX(スコア表[],MATCH($C45,スコア表['#],0),MATCH(CO$5,スコア表[#Headers],0)),スコア表[Li2],0),"-")</f>
        <v>5</v>
      </c>
      <c r="CP45" s="79">
        <f>IFERROR(_xlfn.RANK.EQ(INDEX(スコア表[],MATCH($C45,スコア表['#],0),MATCH(CP$5,スコア表[#Headers],0)),スコア表[Li3],0),"-")</f>
        <v>35</v>
      </c>
      <c r="CQ45" s="79">
        <f>IFERROR(_xlfn.RANK.EQ(INDEX(スコア表[],MATCH($C45,スコア表['#],0),MATCH(CQ$5,スコア表[#Headers],0)),スコア表[Li4],0),"-")</f>
        <v>35</v>
      </c>
      <c r="CR45" s="79">
        <f>IFERROR(_xlfn.RANK.EQ(INDEX(スコア表[],MATCH($C45,スコア表['#],0),MATCH(CR$5,スコア表[#Headers],0)),スコア表[Li5],0),"-")</f>
        <v>40</v>
      </c>
      <c r="CS45" s="79">
        <f>IFERROR(_xlfn.RANK.EQ(INDEX(スコア表[],MATCH($C45,スコア表['#],0),MATCH(CS$5,スコア表[#Headers],0)),スコア表[En1],0),"-")</f>
        <v>6</v>
      </c>
      <c r="CT45" s="79">
        <f>IFERROR(_xlfn.RANK.EQ(INDEX(スコア表[],MATCH($C45,スコア表['#],0),MATCH(CT$5,スコア表[#Headers],0)),スコア表[En2],0),"-")</f>
        <v>1</v>
      </c>
      <c r="CU45" s="79">
        <f>IFERROR(_xlfn.RANK.EQ(INDEX(スコア表[],MATCH($C45,スコア表['#],0),MATCH(CU$5,スコア表[#Headers],0)),スコア表[En3],0),"-")</f>
        <v>45</v>
      </c>
      <c r="CV45" s="79">
        <f>IFERROR(_xlfn.RANK.EQ(INDEX(スコア表[],MATCH($C45,スコア表['#],0),MATCH(CV$5,スコア表[#Headers],0)),スコア表[Ac1],0),"-")</f>
        <v>37</v>
      </c>
      <c r="CW45" s="79">
        <f>IFERROR(_xlfn.RANK.EQ(INDEX(スコア表[],MATCH($C45,スコア表['#],0),MATCH(CW$5,スコア表[#Headers],0)),スコア表[Ac2],0),"-")</f>
        <v>25</v>
      </c>
      <c r="CX45" s="79">
        <f>IFERROR(_xlfn.RANK.EQ(INDEX(スコア表[],MATCH($C45,スコア表['#],0),MATCH(CX$5,スコア表[#Headers],0)),スコア表[Ac3],0),"-")</f>
        <v>36</v>
      </c>
      <c r="CY45" s="79">
        <f>IFERROR(_xlfn.RANK.EQ(INDEX(スコア表[],MATCH($C45,スコア表['#],0),MATCH(CY$5,スコア表[#Headers],0)),スコア表[Ac4],0),"-")</f>
        <v>45</v>
      </c>
      <c r="CZ45" s="79">
        <f>IFERROR(_xlfn.RANK.EQ(INDEX(スコア表[],MATCH($C45,スコア表['#],0),MATCH(CZ$5,スコア表[#Headers],0)),スコア表[Economy],0),"-")</f>
        <v>43</v>
      </c>
      <c r="DA45" s="79">
        <f>IFERROR(_xlfn.RANK.EQ(INDEX(スコア表[],MATCH($C45,スコア表['#],0),MATCH(DA$5,スコア表[#Headers],0)),スコア表[R&amp;D],0),"-")</f>
        <v>40</v>
      </c>
      <c r="DB45" s="79">
        <f>IFERROR(_xlfn.RANK.EQ(INDEX(スコア表[],MATCH($C45,スコア表['#],0),MATCH(DB$5,スコア表[#Headers],0)),スコア表[Cultural Interaction],0),"-")</f>
        <v>17</v>
      </c>
      <c r="DC45" s="79">
        <f>IFERROR(_xlfn.RANK.EQ(INDEX(スコア表[],MATCH($C45,スコア表['#],0),MATCH(DC$5,スコア表[#Headers],0)),スコア表[Livability],0),"-")</f>
        <v>21</v>
      </c>
      <c r="DD45" s="79">
        <f>IFERROR(_xlfn.RANK.EQ(INDEX(スコア表[],MATCH($C45,スコア表['#],0),MATCH(DD$5,スコア表[#Headers],0)),スコア表[Environment],0),"-")</f>
        <v>21</v>
      </c>
      <c r="DE45" s="79">
        <f>IFERROR(_xlfn.RANK.EQ(INDEX(スコア表[],MATCH($C45,スコア表['#],0),MATCH(DE$5,スコア表[#Headers],0)),スコア表[Accessibility],0),"-")</f>
        <v>46</v>
      </c>
      <c r="DF45" s="81">
        <f>IFERROR(_xlfn.RANK.EQ(INDEX(スコア表[],MATCH($C45,スコア表['#],0),MATCH(DF$5,スコア表[#Headers],0)),スコア表[Comprehensive],0),"-")</f>
        <v>39</v>
      </c>
    </row>
    <row r="46" spans="1:110">
      <c r="A46" s="2">
        <v>41</v>
      </c>
      <c r="B46" s="58">
        <f>INDEX(順位表[Comprehensive],MATCH($C46,順位表['#],0))</f>
        <v>46</v>
      </c>
      <c r="C46" s="3">
        <v>41</v>
      </c>
      <c r="D46" s="1" t="str">
        <f>INDEX(都市マスタ[City Name],MATCH($C46,都市マスタ['#],0))</f>
        <v>Johannesburg</v>
      </c>
      <c r="E46" s="79">
        <f>IFERROR(_xlfn.RANK.EQ(INDEX(スコア表[],MATCH($C46,スコア表['#],0),MATCH(E$5,スコア表[#Headers],0)),スコア表[00a],0),"-")</f>
        <v>19</v>
      </c>
      <c r="F46" s="79">
        <f>IFERROR(_xlfn.RANK.EQ(INDEX(スコア表[],MATCH($C46,スコア表['#],0),MATCH(F$5,スコア表[#Headers],0)),スコア表[00b],0),"-")</f>
        <v>9</v>
      </c>
      <c r="G46" s="79">
        <f>IFERROR(_xlfn.RANK.EQ(INDEX(スコア表[],MATCH($C46,スコア表['#],0),MATCH(G$5,スコア表[#Headers],0)),スコア表[00c],0),"-")</f>
        <v>14</v>
      </c>
      <c r="H46" s="79">
        <f>IFERROR(_xlfn.RANK.EQ(INDEX(スコア表[],MATCH($C46,スコア表['#],0),MATCH(H$5,スコア表[#Headers],0)),スコア表[01],0),"-")</f>
        <v>43</v>
      </c>
      <c r="I46" s="79">
        <f>IFERROR(_xlfn.RANK.EQ(INDEX(スコア表[],MATCH($C46,スコア表['#],0),MATCH(I$5,スコア表[#Headers],0)),スコア表[02],0),"-")</f>
        <v>46</v>
      </c>
      <c r="J46" s="79">
        <f>IFERROR(_xlfn.RANK.EQ(INDEX(スコア表[],MATCH($C46,スコア表['#],0),MATCH(J$5,スコア表[#Headers],0)),スコア表[03],0),"-")</f>
        <v>42</v>
      </c>
      <c r="K46" s="79">
        <f>IFERROR(_xlfn.RANK.EQ(INDEX(スコア表[],MATCH($C46,スコア表['#],0),MATCH(K$5,スコア表[#Headers],0)),スコア表[04],0),"-")</f>
        <v>40</v>
      </c>
      <c r="L46" s="79">
        <f>IFERROR(_xlfn.RANK.EQ(INDEX(スコア表[],MATCH($C46,スコア表['#],0),MATCH(L$5,スコア表[#Headers],0)),スコア表[05],0),"-")</f>
        <v>15</v>
      </c>
      <c r="M46" s="79">
        <f>IFERROR(_xlfn.RANK.EQ(INDEX(スコア表[],MATCH($C46,スコア表['#],0),MATCH(M$5,スコア表[#Headers],0)),スコア表[06],0),"-")</f>
        <v>35</v>
      </c>
      <c r="N46" s="79">
        <f>IFERROR(_xlfn.RANK.EQ(INDEX(スコア表[],MATCH($C46,スコア表['#],0),MATCH(N$5,スコア表[#Headers],0)),スコア表[07],0),"-")</f>
        <v>24</v>
      </c>
      <c r="O46" s="79">
        <f>IFERROR(_xlfn.RANK.EQ(INDEX(スコア表[],MATCH($C46,スコア表['#],0),MATCH(O$5,スコア表[#Headers],0)),スコア表[08],0),"-")</f>
        <v>23</v>
      </c>
      <c r="P46" s="79">
        <f>IFERROR(_xlfn.RANK.EQ(INDEX(スコア表[],MATCH($C46,スコア表['#],0),MATCH(P$5,スコア表[#Headers],0)),スコア表[09],0),"-")</f>
        <v>37</v>
      </c>
      <c r="Q46" s="79">
        <f>IFERROR(_xlfn.RANK.EQ(INDEX(スコア表[],MATCH($C46,スコア表['#],0),MATCH(Q$5,スコア表[#Headers],0)),スコア表[10],0),"-")</f>
        <v>38</v>
      </c>
      <c r="R46" s="79">
        <f>IFERROR(_xlfn.RANK.EQ(INDEX(スコア表[],MATCH($C46,スコア表['#],0),MATCH(R$5,スコア表[#Headers],0)),スコア表[11],0),"-")</f>
        <v>46</v>
      </c>
      <c r="S46" s="79">
        <f>IFERROR(_xlfn.RANK.EQ(INDEX(スコア表[],MATCH($C46,スコア表['#],0),MATCH(S$5,スコア表[#Headers],0)),スコア表[12],0),"-")</f>
        <v>29</v>
      </c>
      <c r="T46" s="79">
        <f>IFERROR(_xlfn.RANK.EQ(INDEX(スコア表[],MATCH($C46,スコア表['#],0),MATCH(T$5,スコア表[#Headers],0)),スコア表[13],0),"-")</f>
        <v>44</v>
      </c>
      <c r="U46" s="79">
        <f>IFERROR(_xlfn.RANK.EQ(INDEX(スコア表[],MATCH($C46,スコア表['#],0),MATCH(U$5,スコア表[#Headers],0)),スコア表[14],0),"-")</f>
        <v>45</v>
      </c>
      <c r="V46" s="79">
        <f>IFERROR(_xlfn.RANK.EQ(INDEX(スコア表[],MATCH($C46,スコア表['#],0),MATCH(V$5,スコア表[#Headers],0)),スコア表[15],0),"-")</f>
        <v>42</v>
      </c>
      <c r="W46" s="79">
        <f>IFERROR(_xlfn.RANK.EQ(INDEX(スコア表[],MATCH($C46,スコア表['#],0),MATCH(W$5,スコア表[#Headers],0)),スコア表[16],0),"-")</f>
        <v>43</v>
      </c>
      <c r="X46" s="79">
        <f>IFERROR(_xlfn.RANK.EQ(INDEX(スコア表[],MATCH($C46,スコア表['#],0),MATCH(X$5,スコア表[#Headers],0)),スコア表[17],0),"-")</f>
        <v>39</v>
      </c>
      <c r="Y46" s="79">
        <f>IFERROR(_xlfn.RANK.EQ(INDEX(スコア表[],MATCH($C46,スコア表['#],0),MATCH(Y$5,スコア表[#Headers],0)),スコア表[18],0),"-")</f>
        <v>48</v>
      </c>
      <c r="Z46" s="79">
        <f>IFERROR(_xlfn.RANK.EQ(INDEX(スコア表[],MATCH($C46,スコア表['#],0),MATCH(Z$5,スコア表[#Headers],0)),スコア表[19],0),"-")</f>
        <v>26</v>
      </c>
      <c r="AA46" s="79">
        <f>IFERROR(_xlfn.RANK.EQ(INDEX(スコア表[],MATCH($C46,スコア表['#],0),MATCH(AA$5,スコア表[#Headers],0)),スコア表[20],0),"-")</f>
        <v>23</v>
      </c>
      <c r="AB46" s="79">
        <f>IFERROR(_xlfn.RANK.EQ(INDEX(スコア表[],MATCH($C46,スコア表['#],0),MATCH(AB$5,スコア表[#Headers],0)),スコア表[21],0),"-")</f>
        <v>43</v>
      </c>
      <c r="AC46" s="79">
        <f>IFERROR(_xlfn.RANK.EQ(INDEX(スコア表[],MATCH($C46,スコア表['#],0),MATCH(AC$5,スコア表[#Headers],0)),スコア表[22],0),"-")</f>
        <v>42</v>
      </c>
      <c r="AD46" s="79">
        <f>IFERROR(_xlfn.RANK.EQ(INDEX(スコア表[],MATCH($C46,スコア表['#],0),MATCH(AD$5,スコア表[#Headers],0)),スコア表[23],0),"-")</f>
        <v>31</v>
      </c>
      <c r="AE46" s="79">
        <f>IFERROR(_xlfn.RANK.EQ(INDEX(スコア表[],MATCH($C46,スコア表['#],0),MATCH(AE$5,スコア表[#Headers],0)),スコア表[24],0),"-")</f>
        <v>38</v>
      </c>
      <c r="AF46" s="79">
        <f>IFERROR(_xlfn.RANK.EQ(INDEX(スコア表[],MATCH($C46,スコア表['#],0),MATCH(AF$5,スコア表[#Headers],0)),スコア表[25],0),"-")</f>
        <v>33</v>
      </c>
      <c r="AG46" s="79">
        <f>IFERROR(_xlfn.RANK.EQ(INDEX(スコア表[],MATCH($C46,スコア表['#],0),MATCH(AG$5,スコア表[#Headers],0)),スコア表[26],0),"-")</f>
        <v>24</v>
      </c>
      <c r="AH46" s="79">
        <f>IFERROR(_xlfn.RANK.EQ(INDEX(スコア表[],MATCH($C46,スコア表['#],0),MATCH(AH$5,スコア表[#Headers],0)),スコア表[27],0),"-")</f>
        <v>38</v>
      </c>
      <c r="AI46" s="79">
        <f>IFERROR(_xlfn.RANK.EQ(INDEX(スコア表[],MATCH($C46,スコア表['#],0),MATCH(AI$5,スコア表[#Headers],0)),スコア表[28],0),"-")</f>
        <v>22</v>
      </c>
      <c r="AJ46" s="79">
        <f>IFERROR(_xlfn.RANK.EQ(INDEX(スコア表[],MATCH($C46,スコア表['#],0),MATCH(AJ$5,スコア表[#Headers],0)),スコア表[29],0),"-")</f>
        <v>44</v>
      </c>
      <c r="AK46" s="79">
        <f>IFERROR(_xlfn.RANK.EQ(INDEX(スコア表[],MATCH($C46,スコア表['#],0),MATCH(AK$5,スコア表[#Headers],0)),スコア表[30],0),"-")</f>
        <v>43</v>
      </c>
      <c r="AL46" s="79">
        <f>IFERROR(_xlfn.RANK.EQ(INDEX(スコア表[],MATCH($C46,スコア表['#],0),MATCH(AL$5,スコア表[#Headers],0)),スコア表[31],0),"-")</f>
        <v>7</v>
      </c>
      <c r="AM46" s="79">
        <f>IFERROR(_xlfn.RANK.EQ(INDEX(スコア表[],MATCH($C46,スコア表['#],0),MATCH(AM$5,スコア表[#Headers],0)),スコア表[32],0),"-")</f>
        <v>48</v>
      </c>
      <c r="AN46" s="79">
        <f>IFERROR(_xlfn.RANK.EQ(INDEX(スコア表[],MATCH($C46,スコア表['#],0),MATCH(AN$5,スコア表[#Headers],0)),スコア表[33],0),"-")</f>
        <v>45</v>
      </c>
      <c r="AO46" s="79">
        <f>IFERROR(_xlfn.RANK.EQ(INDEX(スコア表[],MATCH($C46,スコア表['#],0),MATCH(AO$5,スコア表[#Headers],0)),スコア表[34],0),"-")</f>
        <v>39</v>
      </c>
      <c r="AP46" s="79">
        <f>IFERROR(_xlfn.RANK.EQ(INDEX(スコア表[],MATCH($C46,スコア表['#],0),MATCH(AP$5,スコア表[#Headers],0)),スコア表[35],0),"-")</f>
        <v>22</v>
      </c>
      <c r="AQ46" s="79">
        <f>IFERROR(_xlfn.RANK.EQ(INDEX(スコア表[],MATCH($C46,スコア表['#],0),MATCH(AQ$5,スコア表[#Headers],0)),スコア表[36],0),"-")</f>
        <v>13</v>
      </c>
      <c r="AR46" s="79">
        <f>IFERROR(_xlfn.RANK.EQ(INDEX(スコア表[],MATCH($C46,スコア表['#],0),MATCH(AR$5,スコア表[#Headers],0)),スコア表[37],0),"-")</f>
        <v>31</v>
      </c>
      <c r="AS46" s="79">
        <f>IFERROR(_xlfn.RANK.EQ(INDEX(スコア表[],MATCH($C46,スコア表['#],0),MATCH(AS$5,スコア表[#Headers],0)),スコア表[38],0),"-")</f>
        <v>48</v>
      </c>
      <c r="AT46" s="79">
        <f>IFERROR(_xlfn.RANK.EQ(INDEX(スコア表[],MATCH($C46,スコア表['#],0),MATCH(AT$5,スコア表[#Headers],0)),スコア表[39],0),"-")</f>
        <v>34</v>
      </c>
      <c r="AU46" s="79">
        <f>IFERROR(_xlfn.RANK.EQ(INDEX(スコア表[],MATCH($C46,スコア表['#],0),MATCH(AU$5,スコア表[#Headers],0)),スコア表[40],0),"-")</f>
        <v>6</v>
      </c>
      <c r="AV46" s="79">
        <f>IFERROR(_xlfn.RANK.EQ(INDEX(スコア表[],MATCH($C46,スコア表['#],0),MATCH(AV$5,スコア表[#Headers],0)),スコア表[41],0),"-")</f>
        <v>5</v>
      </c>
      <c r="AW46" s="79">
        <f>IFERROR(_xlfn.RANK.EQ(INDEX(スコア表[],MATCH($C46,スコア表['#],0),MATCH(AW$5,スコア表[#Headers],0)),スコア表[42],0),"-")</f>
        <v>5</v>
      </c>
      <c r="AX46" s="79">
        <f>IFERROR(_xlfn.RANK.EQ(INDEX(スコア表[],MATCH($C46,スコア表['#],0),MATCH(AX$5,スコア表[#Headers],0)),スコア表[43],0),"-")</f>
        <v>48</v>
      </c>
      <c r="AY46" s="79">
        <f>IFERROR(_xlfn.RANK.EQ(INDEX(スコア表[],MATCH($C46,スコア表['#],0),MATCH(AY$5,スコア表[#Headers],0)),スコア表[44],0),"-")</f>
        <v>4</v>
      </c>
      <c r="AZ46" s="79">
        <f>IFERROR(_xlfn.RANK.EQ(INDEX(スコア表[],MATCH($C46,スコア表['#],0),MATCH(AZ$5,スコア表[#Headers],0)),スコア表[45],0),"-")</f>
        <v>48</v>
      </c>
      <c r="BA46" s="79">
        <f>IFERROR(_xlfn.RANK.EQ(INDEX(スコア表[],MATCH($C46,スコア表['#],0),MATCH(BA$5,スコア表[#Headers],0)),スコア表[46],0),"-")</f>
        <v>27</v>
      </c>
      <c r="BB46" s="79">
        <f>IFERROR(_xlfn.RANK.EQ(INDEX(スコア表[],MATCH($C46,スコア表['#],0),MATCH(BB$5,スコア表[#Headers],0)),スコア表[47],0),"-")</f>
        <v>39</v>
      </c>
      <c r="BC46" s="79">
        <f>IFERROR(_xlfn.RANK.EQ(INDEX(スコア表[],MATCH($C46,スコア表['#],0),MATCH(BC$5,スコア表[#Headers],0)),スコア表[48],0),"-")</f>
        <v>44</v>
      </c>
      <c r="BD46" s="79">
        <f>IFERROR(_xlfn.RANK.EQ(INDEX(スコア表[],MATCH($C46,スコア表['#],0),MATCH(BD$5,スコア表[#Headers],0)),スコア表[49],0),"-")</f>
        <v>47</v>
      </c>
      <c r="BE46" s="79">
        <f>IFERROR(_xlfn.RANK.EQ(INDEX(スコア表[],MATCH($C46,スコア表['#],0),MATCH(BE$5,スコア表[#Headers],0)),スコア表[50],0),"-")</f>
        <v>31</v>
      </c>
      <c r="BF46" s="79">
        <f>IFERROR(_xlfn.RANK.EQ(INDEX(スコア表[],MATCH($C46,スコア表['#],0),MATCH(BF$5,スコア表[#Headers],0)),スコア表[51],0),"-")</f>
        <v>45</v>
      </c>
      <c r="BG46" s="79">
        <f>IFERROR(_xlfn.RANK.EQ(INDEX(スコア表[],MATCH($C46,スコア表['#],0),MATCH(BG$5,スコア表[#Headers],0)),スコア表[52],0),"-")</f>
        <v>30</v>
      </c>
      <c r="BH46" s="79">
        <f>IFERROR(_xlfn.RANK.EQ(INDEX(スコア表[],MATCH($C46,スコア表['#],0),MATCH(BH$5,スコア表[#Headers],0)),スコア表[53],0),"-")</f>
        <v>39</v>
      </c>
      <c r="BI46" s="79">
        <f>IFERROR(_xlfn.RANK.EQ(INDEX(スコア表[],MATCH($C46,スコア表['#],0),MATCH(BI$5,スコア表[#Headers],0)),スコア表[54],0),"-")</f>
        <v>10</v>
      </c>
      <c r="BJ46" s="79">
        <f>IFERROR(_xlfn.RANK.EQ(INDEX(スコア表[],MATCH($C46,スコア表['#],0),MATCH(BJ$5,スコア表[#Headers],0)),スコア表[55],0),"-")</f>
        <v>19</v>
      </c>
      <c r="BK46" s="79">
        <f>IFERROR(_xlfn.RANK.EQ(INDEX(スコア表[],MATCH($C46,スコア表['#],0),MATCH(BK$5,スコア表[#Headers],0)),スコア表[56],0),"-")</f>
        <v>40</v>
      </c>
      <c r="BL46" s="79">
        <f>IFERROR(_xlfn.RANK.EQ(INDEX(スコア表[],MATCH($C46,スコア表['#],0),MATCH(BL$5,スコア表[#Headers],0)),スコア表[57],0),"-")</f>
        <v>6</v>
      </c>
      <c r="BM46" s="79">
        <f>IFERROR(_xlfn.RANK.EQ(INDEX(スコア表[],MATCH($C46,スコア表['#],0),MATCH(BM$5,スコア表[#Headers],0)),スコア表[58],0),"-")</f>
        <v>38</v>
      </c>
      <c r="BN46" s="79">
        <f>IFERROR(_xlfn.RANK.EQ(INDEX(スコア表[],MATCH($C46,スコア表['#],0),MATCH(BN$5,スコア表[#Headers],0)),スコア表[59],0),"-")</f>
        <v>41</v>
      </c>
      <c r="BO46" s="79">
        <f>IFERROR(_xlfn.RANK.EQ(INDEX(スコア表[],MATCH($C46,スコア表['#],0),MATCH(BO$5,スコア表[#Headers],0)),スコア表[60],0),"-")</f>
        <v>46</v>
      </c>
      <c r="BP46" s="79">
        <f>IFERROR(_xlfn.RANK.EQ(INDEX(スコア表[],MATCH($C46,スコア表['#],0),MATCH(BP$5,スコア表[#Headers],0)),スコア表[61],0),"-")</f>
        <v>35</v>
      </c>
      <c r="BQ46" s="79">
        <f>IFERROR(_xlfn.RANK.EQ(INDEX(スコア表[],MATCH($C46,スコア表['#],0),MATCH(BQ$5,スコア表[#Headers],0)),スコア表[62],0),"-")</f>
        <v>34</v>
      </c>
      <c r="BR46" s="79">
        <f>IFERROR(_xlfn.RANK.EQ(INDEX(スコア表[],MATCH($C46,スコア表['#],0),MATCH(BR$5,スコア表[#Headers],0)),スコア表[63],0),"-")</f>
        <v>40</v>
      </c>
      <c r="BS46" s="79">
        <f>IFERROR(_xlfn.RANK.EQ(INDEX(スコア表[],MATCH($C46,スコア表['#],0),MATCH(BS$5,スコア表[#Headers],0)),スコア表[64],0),"-")</f>
        <v>38</v>
      </c>
      <c r="BT46" s="79">
        <f>IFERROR(_xlfn.RANK.EQ(INDEX(スコア表[],MATCH($C46,スコア表['#],0),MATCH(BT$5,スコア表[#Headers],0)),スコア表[65],0),"-")</f>
        <v>46</v>
      </c>
      <c r="BU46" s="79">
        <f>IFERROR(_xlfn.RANK.EQ(INDEX(スコア表[],MATCH($C46,スコア表['#],0),MATCH(BU$5,スコア表[#Headers],0)),スコア表[66],0),"-")</f>
        <v>48</v>
      </c>
      <c r="BV46" s="79">
        <f>IFERROR(_xlfn.RANK.EQ(INDEX(スコア表[],MATCH($C46,スコア表['#],0),MATCH(BV$5,スコア表[#Headers],0)),スコア表[67],0),"-")</f>
        <v>21</v>
      </c>
      <c r="BW46" s="79">
        <f>IFERROR(_xlfn.RANK.EQ(INDEX(スコア表[],MATCH($C46,スコア表['#],0),MATCH(BW$5,スコア表[#Headers],0)),スコア表[68],0),"-")</f>
        <v>33</v>
      </c>
      <c r="BX46" s="79">
        <f>IFERROR(_xlfn.RANK.EQ(INDEX(スコア表[],MATCH($C46,スコア表['#],0),MATCH(BX$5,スコア表[#Headers],0)),スコア表[69],0),"-")</f>
        <v>3</v>
      </c>
      <c r="BY46" s="79">
        <f>IFERROR(_xlfn.RANK.EQ(INDEX(スコア表[],MATCH($C46,スコア表['#],0),MATCH(BY$5,スコア表[#Headers],0)),スコア表[70],0),"-")</f>
        <v>36</v>
      </c>
      <c r="BZ46" s="79">
        <f>IFERROR(_xlfn.RANK.EQ(INDEX(スコア表[],MATCH($C46,スコア表['#],0),MATCH(BZ$5,スコア表[#Headers],0)),スコア表[Ec1],0),"-")</f>
        <v>46</v>
      </c>
      <c r="CA46" s="79">
        <f>IFERROR(_xlfn.RANK.EQ(INDEX(スコア表[],MATCH($C46,スコア表['#],0),MATCH(CA$5,スコア表[#Headers],0)),スコア表[Ec2],0),"-")</f>
        <v>45</v>
      </c>
      <c r="CB46" s="79">
        <f>IFERROR(_xlfn.RANK.EQ(INDEX(スコア表[],MATCH($C46,スコア表['#],0),MATCH(CB$5,スコア表[#Headers],0)),スコア表[Ec3],0),"-")</f>
        <v>26</v>
      </c>
      <c r="CC46" s="79">
        <f>IFERROR(_xlfn.RANK.EQ(INDEX(スコア表[],MATCH($C46,スコア表['#],0),MATCH(CC$5,スコア表[#Headers],0)),スコア表[Ec4],0),"-")</f>
        <v>24</v>
      </c>
      <c r="CD46" s="79">
        <f>IFERROR(_xlfn.RANK.EQ(INDEX(スコア表[],MATCH($C46,スコア表['#],0),MATCH(CD$5,スコア表[#Headers],0)),スコア表[Ec5],0),"-")</f>
        <v>42</v>
      </c>
      <c r="CE46" s="79">
        <f>IFERROR(_xlfn.RANK.EQ(INDEX(スコア表[],MATCH($C46,スコア表['#],0),MATCH(CE$5,スコア表[#Headers],0)),スコア表[Ec6],0),"-")</f>
        <v>44</v>
      </c>
      <c r="CF46" s="79">
        <f>IFERROR(_xlfn.RANK.EQ(INDEX(スコア表[],MATCH($C46,スコア表['#],0),MATCH(CF$5,スコア表[#Headers],0)),スコア表[RD1],0),"-")</f>
        <v>46</v>
      </c>
      <c r="CG46" s="79">
        <f>IFERROR(_xlfn.RANK.EQ(INDEX(スコア表[],MATCH($C46,スコア表['#],0),MATCH(CG$5,スコア表[#Headers],0)),スコア表[RD2],0),"-")</f>
        <v>47</v>
      </c>
      <c r="CH46" s="79">
        <f>IFERROR(_xlfn.RANK.EQ(INDEX(スコア表[],MATCH($C46,スコア表['#],0),MATCH(CH$5,スコア表[#Headers],0)),スコア表[RD3],0),"-")</f>
        <v>44</v>
      </c>
      <c r="CI46" s="79">
        <f>IFERROR(_xlfn.RANK.EQ(INDEX(スコア表[],MATCH($C46,スコア表['#],0),MATCH(CI$5,スコア表[#Headers],0)),スコア表[CI1],0),"-")</f>
        <v>42</v>
      </c>
      <c r="CJ46" s="79">
        <f>IFERROR(_xlfn.RANK.EQ(INDEX(スコア表[],MATCH($C46,スコア表['#],0),MATCH(CJ$5,スコア表[#Headers],0)),スコア表[CI2],0),"-")</f>
        <v>32</v>
      </c>
      <c r="CK46" s="79">
        <f>IFERROR(_xlfn.RANK.EQ(INDEX(スコア表[],MATCH($C46,スコア表['#],0),MATCH(CK$5,スコア表[#Headers],0)),スコア表[CI3],0),"-")</f>
        <v>25</v>
      </c>
      <c r="CL46" s="79">
        <f>IFERROR(_xlfn.RANK.EQ(INDEX(スコア表[],MATCH($C46,スコア表['#],0),MATCH(CL$5,スコア表[#Headers],0)),スコア表[CI4],0),"-")</f>
        <v>41</v>
      </c>
      <c r="CM46" s="79">
        <f>IFERROR(_xlfn.RANK.EQ(INDEX(スコア表[],MATCH($C46,スコア表['#],0),MATCH(CM$5,スコア表[#Headers],0)),スコア表[CI5],0),"-")</f>
        <v>26</v>
      </c>
      <c r="CN46" s="79">
        <f>IFERROR(_xlfn.RANK.EQ(INDEX(スコア表[],MATCH($C46,スコア表['#],0),MATCH(CN$5,スコア表[#Headers],0)),スコア表[Li1],0),"-")</f>
        <v>45</v>
      </c>
      <c r="CO46" s="79">
        <f>IFERROR(_xlfn.RANK.EQ(INDEX(スコア表[],MATCH($C46,スコア表['#],0),MATCH(CO$5,スコア表[#Headers],0)),スコア表[Li2],0),"-")</f>
        <v>4</v>
      </c>
      <c r="CP46" s="79">
        <f>IFERROR(_xlfn.RANK.EQ(INDEX(スコア表[],MATCH($C46,スコア表['#],0),MATCH(CP$5,スコア表[#Headers],0)),スコア表[Li3],0),"-")</f>
        <v>47</v>
      </c>
      <c r="CQ46" s="79">
        <f>IFERROR(_xlfn.RANK.EQ(INDEX(スコア表[],MATCH($C46,スコア表['#],0),MATCH(CQ$5,スコア表[#Headers],0)),スコア表[Li4],0),"-")</f>
        <v>44</v>
      </c>
      <c r="CR46" s="79">
        <f>IFERROR(_xlfn.RANK.EQ(INDEX(スコア表[],MATCH($C46,スコア表['#],0),MATCH(CR$5,スコア表[#Headers],0)),スコア表[Li5],0),"-")</f>
        <v>48</v>
      </c>
      <c r="CS46" s="79">
        <f>IFERROR(_xlfn.RANK.EQ(INDEX(スコア表[],MATCH($C46,スコア表['#],0),MATCH(CS$5,スコア表[#Headers],0)),スコア表[En1],0),"-")</f>
        <v>32</v>
      </c>
      <c r="CT46" s="79">
        <f>IFERROR(_xlfn.RANK.EQ(INDEX(スコア表[],MATCH($C46,スコア表['#],0),MATCH(CT$5,スコア表[#Headers],0)),スコア表[En2],0),"-")</f>
        <v>18</v>
      </c>
      <c r="CU46" s="79">
        <f>IFERROR(_xlfn.RANK.EQ(INDEX(スコア表[],MATCH($C46,スコア表['#],0),MATCH(CU$5,スコア表[#Headers],0)),スコア表[En3],0),"-")</f>
        <v>43</v>
      </c>
      <c r="CV46" s="79">
        <f>IFERROR(_xlfn.RANK.EQ(INDEX(スコア表[],MATCH($C46,スコア表['#],0),MATCH(CV$5,スコア表[#Headers],0)),スコア表[Ac1],0),"-")</f>
        <v>42</v>
      </c>
      <c r="CW46" s="79">
        <f>IFERROR(_xlfn.RANK.EQ(INDEX(スコア表[],MATCH($C46,スコア表['#],0),MATCH(CW$5,スコア表[#Headers],0)),スコア表[Ac2],0),"-")</f>
        <v>41</v>
      </c>
      <c r="CX46" s="79">
        <f>IFERROR(_xlfn.RANK.EQ(INDEX(スコア表[],MATCH($C46,スコア表['#],0),MATCH(CX$5,スコア表[#Headers],0)),スコア表[Ac3],0),"-")</f>
        <v>43</v>
      </c>
      <c r="CY46" s="79">
        <f>IFERROR(_xlfn.RANK.EQ(INDEX(スコア表[],MATCH($C46,スコア表['#],0),MATCH(CY$5,スコア表[#Headers],0)),スコア表[Ac4],0),"-")</f>
        <v>16</v>
      </c>
      <c r="CZ46" s="79">
        <f>IFERROR(_xlfn.RANK.EQ(INDEX(スコア表[],MATCH($C46,スコア表['#],0),MATCH(CZ$5,スコア表[#Headers],0)),スコア表[Economy],0),"-")</f>
        <v>45</v>
      </c>
      <c r="DA46" s="79">
        <f>IFERROR(_xlfn.RANK.EQ(INDEX(スコア表[],MATCH($C46,スコア表['#],0),MATCH(DA$5,スコア表[#Headers],0)),スコア表[R&amp;D],0),"-")</f>
        <v>48</v>
      </c>
      <c r="DB46" s="79">
        <f>IFERROR(_xlfn.RANK.EQ(INDEX(スコア表[],MATCH($C46,スコア表['#],0),MATCH(DB$5,スコア表[#Headers],0)),スコア表[Cultural Interaction],0),"-")</f>
        <v>35</v>
      </c>
      <c r="DC46" s="79">
        <f>IFERROR(_xlfn.RANK.EQ(INDEX(スコア表[],MATCH($C46,スコア表['#],0),MATCH(DC$5,スコア表[#Headers],0)),スコア表[Livability],0),"-")</f>
        <v>48</v>
      </c>
      <c r="DD46" s="79">
        <f>IFERROR(_xlfn.RANK.EQ(INDEX(スコア表[],MATCH($C46,スコア表['#],0),MATCH(DD$5,スコア表[#Headers],0)),スコア表[Environment],0),"-")</f>
        <v>40</v>
      </c>
      <c r="DE46" s="79">
        <f>IFERROR(_xlfn.RANK.EQ(INDEX(スコア表[],MATCH($C46,スコア表['#],0),MATCH(DE$5,スコア表[#Headers],0)),スコア表[Accessibility],0),"-")</f>
        <v>45</v>
      </c>
      <c r="DF46" s="81">
        <f>IFERROR(_xlfn.RANK.EQ(INDEX(スコア表[],MATCH($C46,スコア表['#],0),MATCH(DF$5,スコア表[#Headers],0)),スコア表[Comprehensive],0),"-")</f>
        <v>46</v>
      </c>
    </row>
    <row r="47" spans="1:110">
      <c r="A47" s="2">
        <v>42</v>
      </c>
      <c r="B47" s="58">
        <f>INDEX(順位表[Comprehensive],MATCH($C47,順位表['#],0))</f>
        <v>45</v>
      </c>
      <c r="C47" s="3">
        <v>42</v>
      </c>
      <c r="D47" s="1" t="str">
        <f>INDEX(都市マスタ[City Name],MATCH($C47,都市マスタ['#],0))</f>
        <v>Jakarta</v>
      </c>
      <c r="E47" s="79">
        <f>IFERROR(_xlfn.RANK.EQ(INDEX(スコア表[],MATCH($C47,スコア表['#],0),MATCH(E$5,スコア表[#Headers],0)),スコア表[00a],0),"-")</f>
        <v>7</v>
      </c>
      <c r="F47" s="79">
        <f>IFERROR(_xlfn.RANK.EQ(INDEX(スコア表[],MATCH($C47,スコア表['#],0),MATCH(F$5,スコア表[#Headers],0)),スコア表[00b],0),"-")</f>
        <v>19</v>
      </c>
      <c r="G47" s="79">
        <f>IFERROR(_xlfn.RANK.EQ(INDEX(スコア表[],MATCH($C47,スコア表['#],0),MATCH(G$5,スコア表[#Headers],0)),スコア表[00c],0),"-")</f>
        <v>1</v>
      </c>
      <c r="H47" s="79">
        <f>IFERROR(_xlfn.RANK.EQ(INDEX(スコア表[],MATCH($C47,スコア表['#],0),MATCH(H$5,スコア表[#Headers],0)),スコア表[01],0),"-")</f>
        <v>16</v>
      </c>
      <c r="I47" s="79">
        <f>IFERROR(_xlfn.RANK.EQ(INDEX(スコア表[],MATCH($C47,スコア表['#],0),MATCH(I$5,スコア表[#Headers],0)),スコア表[02],0),"-")</f>
        <v>43</v>
      </c>
      <c r="J47" s="79">
        <f>IFERROR(_xlfn.RANK.EQ(INDEX(スコア表[],MATCH($C47,スコア表['#],0),MATCH(J$5,スコア表[#Headers],0)),スコア表[03],0),"-")</f>
        <v>11</v>
      </c>
      <c r="K47" s="79">
        <f>IFERROR(_xlfn.RANK.EQ(INDEX(スコア表[],MATCH($C47,スコア表['#],0),MATCH(K$5,スコア表[#Headers],0)),スコア表[04],0),"-")</f>
        <v>35</v>
      </c>
      <c r="L47" s="79">
        <f>IFERROR(_xlfn.RANK.EQ(INDEX(スコア表[],MATCH($C47,スコア表['#],0),MATCH(L$5,スコア表[#Headers],0)),スコア表[05],0),"-")</f>
        <v>20</v>
      </c>
      <c r="M47" s="79">
        <f>IFERROR(_xlfn.RANK.EQ(INDEX(スコア表[],MATCH($C47,スコア表['#],0),MATCH(M$5,スコア表[#Headers],0)),スコア表[06],0),"-")</f>
        <v>26</v>
      </c>
      <c r="N47" s="79">
        <f>IFERROR(_xlfn.RANK.EQ(INDEX(スコア表[],MATCH($C47,スコア表['#],0),MATCH(N$5,スコア表[#Headers],0)),スコア表[07],0),"-")</f>
        <v>12</v>
      </c>
      <c r="O47" s="79">
        <f>IFERROR(_xlfn.RANK.EQ(INDEX(スコア表[],MATCH($C47,スコア表['#],0),MATCH(O$5,スコア表[#Headers],0)),スコア表[08],0),"-")</f>
        <v>40</v>
      </c>
      <c r="P47" s="79">
        <f>IFERROR(_xlfn.RANK.EQ(INDEX(スコア表[],MATCH($C47,スコア表['#],0),MATCH(P$5,スコア表[#Headers],0)),スコア表[09],0),"-")</f>
        <v>46</v>
      </c>
      <c r="Q47" s="79">
        <f>IFERROR(_xlfn.RANK.EQ(INDEX(スコア表[],MATCH($C47,スコア表['#],0),MATCH(Q$5,スコア表[#Headers],0)),スコア表[10],0),"-")</f>
        <v>43</v>
      </c>
      <c r="R47" s="79">
        <f>IFERROR(_xlfn.RANK.EQ(INDEX(スコア表[],MATCH($C47,スコア表['#],0),MATCH(R$5,スコア表[#Headers],0)),スコア表[11],0),"-")</f>
        <v>45</v>
      </c>
      <c r="S47" s="79">
        <f>IFERROR(_xlfn.RANK.EQ(INDEX(スコア表[],MATCH($C47,スコア表['#],0),MATCH(S$5,スコア表[#Headers],0)),スコア表[12],0),"-")</f>
        <v>13</v>
      </c>
      <c r="T47" s="79">
        <f>IFERROR(_xlfn.RANK.EQ(INDEX(スコア表[],MATCH($C47,スコア表['#],0),MATCH(T$5,スコア表[#Headers],0)),スコア表[13],0),"-")</f>
        <v>42</v>
      </c>
      <c r="U47" s="79">
        <f>IFERROR(_xlfn.RANK.EQ(INDEX(スコア表[],MATCH($C47,スコア表['#],0),MATCH(U$5,スコア表[#Headers],0)),スコア表[14],0),"-")</f>
        <v>41</v>
      </c>
      <c r="V47" s="79">
        <f>IFERROR(_xlfn.RANK.EQ(INDEX(スコア表[],MATCH($C47,スコア表['#],0),MATCH(V$5,スコア表[#Headers],0)),スコア表[15],0),"-")</f>
        <v>46</v>
      </c>
      <c r="W47" s="79">
        <f>IFERROR(_xlfn.RANK.EQ(INDEX(スコア表[],MATCH($C47,スコア表['#],0),MATCH(W$5,スコア表[#Headers],0)),スコア表[16],0),"-")</f>
        <v>48</v>
      </c>
      <c r="X47" s="79">
        <f>IFERROR(_xlfn.RANK.EQ(INDEX(スコア表[],MATCH($C47,スコア表['#],0),MATCH(X$5,スコア表[#Headers],0)),スコア表[17],0),"-")</f>
        <v>45</v>
      </c>
      <c r="Y47" s="79">
        <f>IFERROR(_xlfn.RANK.EQ(INDEX(スコア表[],MATCH($C47,スコア表['#],0),MATCH(Y$5,スコア表[#Headers],0)),スコア表[18],0),"-")</f>
        <v>45</v>
      </c>
      <c r="Z47" s="79">
        <f>IFERROR(_xlfn.RANK.EQ(INDEX(スコア表[],MATCH($C47,スコア表['#],0),MATCH(Z$5,スコア表[#Headers],0)),スコア表[19],0),"-")</f>
        <v>34</v>
      </c>
      <c r="AA47" s="79">
        <f>IFERROR(_xlfn.RANK.EQ(INDEX(スコア表[],MATCH($C47,スコア表['#],0),MATCH(AA$5,スコア表[#Headers],0)),スコア表[20],0),"-")</f>
        <v>23</v>
      </c>
      <c r="AB47" s="79">
        <f>IFERROR(_xlfn.RANK.EQ(INDEX(スコア表[],MATCH($C47,スコア表['#],0),MATCH(AB$5,スコア表[#Headers],0)),スコア表[21],0),"-")</f>
        <v>29</v>
      </c>
      <c r="AC47" s="79">
        <f>IFERROR(_xlfn.RANK.EQ(INDEX(スコア表[],MATCH($C47,スコア表['#],0),MATCH(AC$5,スコア表[#Headers],0)),スコア表[22],0),"-")</f>
        <v>38</v>
      </c>
      <c r="AD47" s="79">
        <f>IFERROR(_xlfn.RANK.EQ(INDEX(スコア表[],MATCH($C47,スコア表['#],0),MATCH(AD$5,スコア表[#Headers],0)),スコア表[23],0),"-")</f>
        <v>18</v>
      </c>
      <c r="AE47" s="79">
        <f>IFERROR(_xlfn.RANK.EQ(INDEX(スコア表[],MATCH($C47,スコア表['#],0),MATCH(AE$5,スコア表[#Headers],0)),スコア表[24],0),"-")</f>
        <v>44</v>
      </c>
      <c r="AF47" s="79">
        <f>IFERROR(_xlfn.RANK.EQ(INDEX(スコア表[],MATCH($C47,スコア表['#],0),MATCH(AF$5,スコア表[#Headers],0)),スコア表[25],0),"-")</f>
        <v>43</v>
      </c>
      <c r="AG47" s="79">
        <f>IFERROR(_xlfn.RANK.EQ(INDEX(スコア表[],MATCH($C47,スコア表['#],0),MATCH(AG$5,スコア表[#Headers],0)),スコア表[26],0),"-")</f>
        <v>42</v>
      </c>
      <c r="AH47" s="79">
        <f>IFERROR(_xlfn.RANK.EQ(INDEX(スコア表[],MATCH($C47,スコア表['#],0),MATCH(AH$5,スコア表[#Headers],0)),スコア表[27],0),"-")</f>
        <v>38</v>
      </c>
      <c r="AI47" s="79">
        <f>IFERROR(_xlfn.RANK.EQ(INDEX(スコア表[],MATCH($C47,スコア表['#],0),MATCH(AI$5,スコア表[#Headers],0)),スコア表[28],0),"-")</f>
        <v>27</v>
      </c>
      <c r="AJ47" s="79">
        <f>IFERROR(_xlfn.RANK.EQ(INDEX(スコア表[],MATCH($C47,スコア表['#],0),MATCH(AJ$5,スコア表[#Headers],0)),スコア表[29],0),"-")</f>
        <v>47</v>
      </c>
      <c r="AK47" s="79">
        <f>IFERROR(_xlfn.RANK.EQ(INDEX(スコア表[],MATCH($C47,スコア表['#],0),MATCH(AK$5,スコア表[#Headers],0)),スコア表[30],0),"-")</f>
        <v>38</v>
      </c>
      <c r="AL47" s="79">
        <f>IFERROR(_xlfn.RANK.EQ(INDEX(スコア表[],MATCH($C47,スコア表['#],0),MATCH(AL$5,スコア表[#Headers],0)),スコア表[31],0),"-")</f>
        <v>34</v>
      </c>
      <c r="AM47" s="79">
        <f>IFERROR(_xlfn.RANK.EQ(INDEX(スコア表[],MATCH($C47,スコア表['#],0),MATCH(AM$5,スコア表[#Headers],0)),スコア表[32],0),"-")</f>
        <v>11</v>
      </c>
      <c r="AN47" s="79">
        <f>IFERROR(_xlfn.RANK.EQ(INDEX(スコア表[],MATCH($C47,スコア表['#],0),MATCH(AN$5,スコア表[#Headers],0)),スコア表[33],0),"-")</f>
        <v>15</v>
      </c>
      <c r="AO47" s="79">
        <f>IFERROR(_xlfn.RANK.EQ(INDEX(スコア表[],MATCH($C47,スコア表['#],0),MATCH(AO$5,スコア表[#Headers],0)),スコア表[34],0),"-")</f>
        <v>22</v>
      </c>
      <c r="AP47" s="79">
        <f>IFERROR(_xlfn.RANK.EQ(INDEX(スコア表[],MATCH($C47,スコア表['#],0),MATCH(AP$5,スコア表[#Headers],0)),スコア表[35],0),"-")</f>
        <v>29</v>
      </c>
      <c r="AQ47" s="79">
        <f>IFERROR(_xlfn.RANK.EQ(INDEX(スコア表[],MATCH($C47,スコア表['#],0),MATCH(AQ$5,スコア表[#Headers],0)),スコア表[36],0),"-")</f>
        <v>48</v>
      </c>
      <c r="AR47" s="79">
        <f>IFERROR(_xlfn.RANK.EQ(INDEX(スコア表[],MATCH($C47,スコア表['#],0),MATCH(AR$5,スコア表[#Headers],0)),スコア表[37],0),"-")</f>
        <v>32</v>
      </c>
      <c r="AS47" s="79">
        <f>IFERROR(_xlfn.RANK.EQ(INDEX(スコア表[],MATCH($C47,スコア表['#],0),MATCH(AS$5,スコア表[#Headers],0)),スコア表[38],0),"-")</f>
        <v>36</v>
      </c>
      <c r="AT47" s="79">
        <f>IFERROR(_xlfn.RANK.EQ(INDEX(スコア表[],MATCH($C47,スコア表['#],0),MATCH(AT$5,スコア表[#Headers],0)),スコア表[39],0),"-")</f>
        <v>44</v>
      </c>
      <c r="AU47" s="79">
        <f>IFERROR(_xlfn.RANK.EQ(INDEX(スコア表[],MATCH($C47,スコア表['#],0),MATCH(AU$5,スコア表[#Headers],0)),スコア表[40],0),"-")</f>
        <v>2</v>
      </c>
      <c r="AV47" s="79">
        <f>IFERROR(_xlfn.RANK.EQ(INDEX(スコア表[],MATCH($C47,スコア表['#],0),MATCH(AV$5,スコア表[#Headers],0)),スコア表[41],0),"-")</f>
        <v>7</v>
      </c>
      <c r="AW47" s="79">
        <f>IFERROR(_xlfn.RANK.EQ(INDEX(スコア表[],MATCH($C47,スコア表['#],0),MATCH(AW$5,スコア表[#Headers],0)),スコア表[42],0),"-")</f>
        <v>2</v>
      </c>
      <c r="AX47" s="79">
        <f>IFERROR(_xlfn.RANK.EQ(INDEX(スコア表[],MATCH($C47,スコア表['#],0),MATCH(AX$5,スコア表[#Headers],0)),スコア表[43],0),"-")</f>
        <v>3</v>
      </c>
      <c r="AY47" s="79">
        <f>IFERROR(_xlfn.RANK.EQ(INDEX(スコア表[],MATCH($C47,スコア表['#],0),MATCH(AY$5,スコア表[#Headers],0)),スコア表[44],0),"-")</f>
        <v>40</v>
      </c>
      <c r="AZ47" s="79">
        <f>IFERROR(_xlfn.RANK.EQ(INDEX(スコア表[],MATCH($C47,スコア表['#],0),MATCH(AZ$5,スコア表[#Headers],0)),スコア表[45],0),"-")</f>
        <v>46</v>
      </c>
      <c r="BA47" s="79">
        <f>IFERROR(_xlfn.RANK.EQ(INDEX(スコア表[],MATCH($C47,スコア表['#],0),MATCH(BA$5,スコア表[#Headers],0)),スコア表[46],0),"-")</f>
        <v>40</v>
      </c>
      <c r="BB47" s="79">
        <f>IFERROR(_xlfn.RANK.EQ(INDEX(スコア表[],MATCH($C47,スコア表['#],0),MATCH(BB$5,スコア表[#Headers],0)),スコア表[47],0),"-")</f>
        <v>5</v>
      </c>
      <c r="BC47" s="79">
        <f>IFERROR(_xlfn.RANK.EQ(INDEX(スコア表[],MATCH($C47,スコア表['#],0),MATCH(BC$5,スコア表[#Headers],0)),スコア表[48],0),"-")</f>
        <v>48</v>
      </c>
      <c r="BD47" s="79">
        <f>IFERROR(_xlfn.RANK.EQ(INDEX(スコア表[],MATCH($C47,スコア表['#],0),MATCH(BD$5,スコア表[#Headers],0)),スコア表[49],0),"-")</f>
        <v>42</v>
      </c>
      <c r="BE47" s="79">
        <f>IFERROR(_xlfn.RANK.EQ(INDEX(スコア表[],MATCH($C47,スコア表['#],0),MATCH(BE$5,スコア表[#Headers],0)),スコア表[50],0),"-")</f>
        <v>19</v>
      </c>
      <c r="BF47" s="79">
        <f>IFERROR(_xlfn.RANK.EQ(INDEX(スコア表[],MATCH($C47,スコア表['#],0),MATCH(BF$5,スコア表[#Headers],0)),スコア表[51],0),"-")</f>
        <v>39</v>
      </c>
      <c r="BG47" s="79">
        <f>IFERROR(_xlfn.RANK.EQ(INDEX(スコア表[],MATCH($C47,スコア表['#],0),MATCH(BG$5,スコア表[#Headers],0)),スコア表[52],0),"-")</f>
        <v>38</v>
      </c>
      <c r="BH47" s="79">
        <f>IFERROR(_xlfn.RANK.EQ(INDEX(スコア表[],MATCH($C47,スコア表['#],0),MATCH(BH$5,スコア表[#Headers],0)),スコア表[53],0),"-")</f>
        <v>6</v>
      </c>
      <c r="BI47" s="79">
        <f>IFERROR(_xlfn.RANK.EQ(INDEX(スコア表[],MATCH($C47,スコア表['#],0),MATCH(BI$5,スコア表[#Headers],0)),スコア表[54],0),"-")</f>
        <v>44</v>
      </c>
      <c r="BJ47" s="79">
        <f>IFERROR(_xlfn.RANK.EQ(INDEX(スコア表[],MATCH($C47,スコア表['#],0),MATCH(BJ$5,スコア表[#Headers],0)),スコア表[55],0),"-")</f>
        <v>25</v>
      </c>
      <c r="BK47" s="79">
        <f>IFERROR(_xlfn.RANK.EQ(INDEX(スコア表[],MATCH($C47,スコア表['#],0),MATCH(BK$5,スコア表[#Headers],0)),スコア表[56],0),"-")</f>
        <v>45</v>
      </c>
      <c r="BL47" s="79">
        <f>IFERROR(_xlfn.RANK.EQ(INDEX(スコア表[],MATCH($C47,スコア表['#],0),MATCH(BL$5,スコア表[#Headers],0)),スコア表[57],0),"-")</f>
        <v>43</v>
      </c>
      <c r="BM47" s="79">
        <f>IFERROR(_xlfn.RANK.EQ(INDEX(スコア表[],MATCH($C47,スコア表['#],0),MATCH(BM$5,スコア表[#Headers],0)),スコア表[58],0),"-")</f>
        <v>48</v>
      </c>
      <c r="BN47" s="79">
        <f>IFERROR(_xlfn.RANK.EQ(INDEX(スコア表[],MATCH($C47,スコア表['#],0),MATCH(BN$5,スコア表[#Headers],0)),スコア表[59],0),"-")</f>
        <v>47</v>
      </c>
      <c r="BO47" s="79">
        <f>IFERROR(_xlfn.RANK.EQ(INDEX(スコア表[],MATCH($C47,スコア表['#],0),MATCH(BO$5,スコア表[#Headers],0)),スコア表[60],0),"-")</f>
        <v>37</v>
      </c>
      <c r="BP47" s="79">
        <f>IFERROR(_xlfn.RANK.EQ(INDEX(スコア表[],MATCH($C47,スコア表['#],0),MATCH(BP$5,スコア表[#Headers],0)),スコア表[61],0),"-")</f>
        <v>44</v>
      </c>
      <c r="BQ47" s="79">
        <f>IFERROR(_xlfn.RANK.EQ(INDEX(スコア表[],MATCH($C47,スコア表['#],0),MATCH(BQ$5,スコア表[#Headers],0)),スコア表[62],0),"-")</f>
        <v>19</v>
      </c>
      <c r="BR47" s="79">
        <f>IFERROR(_xlfn.RANK.EQ(INDEX(スコア表[],MATCH($C47,スコア表['#],0),MATCH(BR$5,スコア表[#Headers],0)),スコア表[63],0),"-")</f>
        <v>20</v>
      </c>
      <c r="BS47" s="79">
        <f>IFERROR(_xlfn.RANK.EQ(INDEX(スコア表[],MATCH($C47,スコア表['#],0),MATCH(BS$5,スコア表[#Headers],0)),スコア表[64],0),"-")</f>
        <v>12</v>
      </c>
      <c r="BT47" s="79">
        <f>IFERROR(_xlfn.RANK.EQ(INDEX(スコア表[],MATCH($C47,スコア表['#],0),MATCH(BT$5,スコア表[#Headers],0)),スコア表[65],0),"-")</f>
        <v>40</v>
      </c>
      <c r="BU47" s="79">
        <f>IFERROR(_xlfn.RANK.EQ(INDEX(スコア表[],MATCH($C47,スコア表['#],0),MATCH(BU$5,スコア表[#Headers],0)),スコア表[66],0),"-")</f>
        <v>41</v>
      </c>
      <c r="BV47" s="79">
        <f>IFERROR(_xlfn.RANK.EQ(INDEX(スコア表[],MATCH($C47,スコア表['#],0),MATCH(BV$5,スコア表[#Headers],0)),スコア表[67],0),"-")</f>
        <v>48</v>
      </c>
      <c r="BW47" s="79">
        <f>IFERROR(_xlfn.RANK.EQ(INDEX(スコア表[],MATCH($C47,スコア表['#],0),MATCH(BW$5,スコア表[#Headers],0)),スコア表[68],0),"-")</f>
        <v>47</v>
      </c>
      <c r="BX47" s="79">
        <f>IFERROR(_xlfn.RANK.EQ(INDEX(スコア表[],MATCH($C47,スコア表['#],0),MATCH(BX$5,スコア表[#Headers],0)),スコア表[69],0),"-")</f>
        <v>35</v>
      </c>
      <c r="BY47" s="79">
        <f>IFERROR(_xlfn.RANK.EQ(INDEX(スコア表[],MATCH($C47,スコア表['#],0),MATCH(BY$5,スコア表[#Headers],0)),スコア表[70],0),"-")</f>
        <v>17</v>
      </c>
      <c r="BZ47" s="79">
        <f>IFERROR(_xlfn.RANK.EQ(INDEX(スコア表[],MATCH($C47,スコア表['#],0),MATCH(BZ$5,スコア表[#Headers],0)),スコア表[Ec1],0),"-")</f>
        <v>36</v>
      </c>
      <c r="CA47" s="79">
        <f>IFERROR(_xlfn.RANK.EQ(INDEX(スコア表[],MATCH($C47,スコア表['#],0),MATCH(CA$5,スコア表[#Headers],0)),スコア表[Ec2],0),"-")</f>
        <v>27</v>
      </c>
      <c r="CB47" s="79">
        <f>IFERROR(_xlfn.RANK.EQ(INDEX(スコア表[],MATCH($C47,スコア表['#],0),MATCH(CB$5,スコア表[#Headers],0)),スコア表[Ec3],0),"-")</f>
        <v>24</v>
      </c>
      <c r="CC47" s="79">
        <f>IFERROR(_xlfn.RANK.EQ(INDEX(スコア表[],MATCH($C47,スコア表['#],0),MATCH(CC$5,スコア表[#Headers],0)),スコア表[Ec4],0),"-")</f>
        <v>25</v>
      </c>
      <c r="CD47" s="79">
        <f>IFERROR(_xlfn.RANK.EQ(INDEX(スコア表[],MATCH($C47,スコア表['#],0),MATCH(CD$5,スコア表[#Headers],0)),スコア表[Ec5],0),"-")</f>
        <v>46</v>
      </c>
      <c r="CE47" s="79">
        <f>IFERROR(_xlfn.RANK.EQ(INDEX(スコア表[],MATCH($C47,スコア表['#],0),MATCH(CE$5,スコア表[#Headers],0)),スコア表[Ec6],0),"-")</f>
        <v>34</v>
      </c>
      <c r="CF47" s="79">
        <f>IFERROR(_xlfn.RANK.EQ(INDEX(スコア表[],MATCH($C47,スコア表['#],0),MATCH(CF$5,スコア表[#Headers],0)),スコア表[RD1],0),"-")</f>
        <v>44</v>
      </c>
      <c r="CG47" s="79">
        <f>IFERROR(_xlfn.RANK.EQ(INDEX(スコア表[],MATCH($C47,スコア表['#],0),MATCH(CG$5,スコア表[#Headers],0)),スコア表[RD2],0),"-")</f>
        <v>46</v>
      </c>
      <c r="CH47" s="79">
        <f>IFERROR(_xlfn.RANK.EQ(INDEX(スコア表[],MATCH($C47,スコア表['#],0),MATCH(CH$5,スコア表[#Headers],0)),スコア表[RD3],0),"-")</f>
        <v>38</v>
      </c>
      <c r="CI47" s="79">
        <f>IFERROR(_xlfn.RANK.EQ(INDEX(スコア表[],MATCH($C47,スコア表['#],0),MATCH(CI$5,スコア表[#Headers],0)),スコア表[CI1],0),"-")</f>
        <v>39</v>
      </c>
      <c r="CJ47" s="79">
        <f>IFERROR(_xlfn.RANK.EQ(INDEX(スコア表[],MATCH($C47,スコア表['#],0),MATCH(CJ$5,スコア表[#Headers],0)),スコア表[CI2],0),"-")</f>
        <v>45</v>
      </c>
      <c r="CK47" s="79">
        <f>IFERROR(_xlfn.RANK.EQ(INDEX(スコア表[],MATCH($C47,スコア表['#],0),MATCH(CK$5,スコア表[#Headers],0)),スコア表[CI3],0),"-")</f>
        <v>45</v>
      </c>
      <c r="CL47" s="79">
        <f>IFERROR(_xlfn.RANK.EQ(INDEX(スコア表[],MATCH($C47,スコア表['#],0),MATCH(CL$5,スコア表[#Headers],0)),スコア表[CI4],0),"-")</f>
        <v>20</v>
      </c>
      <c r="CM47" s="79">
        <f>IFERROR(_xlfn.RANK.EQ(INDEX(スコア表[],MATCH($C47,スコア表['#],0),MATCH(CM$5,スコア表[#Headers],0)),スコア表[CI5],0),"-")</f>
        <v>42</v>
      </c>
      <c r="CN47" s="79">
        <f>IFERROR(_xlfn.RANK.EQ(INDEX(スコア表[],MATCH($C47,スコア表['#],0),MATCH(CN$5,スコア表[#Headers],0)),スコア表[Li1],0),"-")</f>
        <v>28</v>
      </c>
      <c r="CO47" s="79">
        <f>IFERROR(_xlfn.RANK.EQ(INDEX(スコア表[],MATCH($C47,スコア表['#],0),MATCH(CO$5,スコア表[#Headers],0)),スコア表[Li2],0),"-")</f>
        <v>2</v>
      </c>
      <c r="CP47" s="79">
        <f>IFERROR(_xlfn.RANK.EQ(INDEX(スコア表[],MATCH($C47,スコア表['#],0),MATCH(CP$5,スコア表[#Headers],0)),スコア表[Li3],0),"-")</f>
        <v>27</v>
      </c>
      <c r="CQ47" s="79">
        <f>IFERROR(_xlfn.RANK.EQ(INDEX(スコア表[],MATCH($C47,スコア表['#],0),MATCH(CQ$5,スコア表[#Headers],0)),スコア表[Li4],0),"-")</f>
        <v>42</v>
      </c>
      <c r="CR47" s="79">
        <f>IFERROR(_xlfn.RANK.EQ(INDEX(スコア表[],MATCH($C47,スコア表['#],0),MATCH(CR$5,スコア表[#Headers],0)),スコア表[Li5],0),"-")</f>
        <v>46</v>
      </c>
      <c r="CS47" s="79">
        <f>IFERROR(_xlfn.RANK.EQ(INDEX(スコア表[],MATCH($C47,スコア表['#],0),MATCH(CS$5,スコア表[#Headers],0)),スコア表[En1],0),"-")</f>
        <v>38</v>
      </c>
      <c r="CT47" s="79">
        <f>IFERROR(_xlfn.RANK.EQ(INDEX(スコア表[],MATCH($C47,スコア表['#],0),MATCH(CT$5,スコア表[#Headers],0)),スコア表[En2],0),"-")</f>
        <v>46</v>
      </c>
      <c r="CU47" s="79">
        <f>IFERROR(_xlfn.RANK.EQ(INDEX(スコア表[],MATCH($C47,スコア表['#],0),MATCH(CU$5,スコア表[#Headers],0)),スコア表[En3],0),"-")</f>
        <v>46</v>
      </c>
      <c r="CV47" s="79">
        <f>IFERROR(_xlfn.RANK.EQ(INDEX(スコア表[],MATCH($C47,スコア表['#],0),MATCH(CV$5,スコア表[#Headers],0)),スコア表[Ac1],0),"-")</f>
        <v>34</v>
      </c>
      <c r="CW47" s="79">
        <f>IFERROR(_xlfn.RANK.EQ(INDEX(スコア表[],MATCH($C47,スコア表['#],0),MATCH(CW$5,スコア表[#Headers],0)),スコア表[Ac2],0),"-")</f>
        <v>16</v>
      </c>
      <c r="CX47" s="79">
        <f>IFERROR(_xlfn.RANK.EQ(INDEX(スコア表[],MATCH($C47,スコア表['#],0),MATCH(CX$5,スコア表[#Headers],0)),スコア表[Ac3],0),"-")</f>
        <v>48</v>
      </c>
      <c r="CY47" s="79">
        <f>IFERROR(_xlfn.RANK.EQ(INDEX(スコア表[],MATCH($C47,スコア表['#],0),MATCH(CY$5,スコア表[#Headers],0)),スコア表[Ac4],0),"-")</f>
        <v>44</v>
      </c>
      <c r="CZ47" s="79">
        <f>IFERROR(_xlfn.RANK.EQ(INDEX(スコア表[],MATCH($C47,スコア表['#],0),MATCH(CZ$5,スコア表[#Headers],0)),スコア表[Economy],0),"-")</f>
        <v>40</v>
      </c>
      <c r="DA47" s="79">
        <f>IFERROR(_xlfn.RANK.EQ(INDEX(スコア表[],MATCH($C47,スコア表['#],0),MATCH(DA$5,スコア表[#Headers],0)),スコア表[R&amp;D],0),"-")</f>
        <v>46</v>
      </c>
      <c r="DB47" s="79">
        <f>IFERROR(_xlfn.RANK.EQ(INDEX(スコア表[],MATCH($C47,スコア表['#],0),MATCH(DB$5,スコア表[#Headers],0)),スコア表[Cultural Interaction],0),"-")</f>
        <v>40</v>
      </c>
      <c r="DC47" s="79">
        <f>IFERROR(_xlfn.RANK.EQ(INDEX(スコア表[],MATCH($C47,スコア表['#],0),MATCH(DC$5,スコア表[#Headers],0)),スコア表[Livability],0),"-")</f>
        <v>25</v>
      </c>
      <c r="DD47" s="79">
        <f>IFERROR(_xlfn.RANK.EQ(INDEX(スコア表[],MATCH($C47,スコア表['#],0),MATCH(DD$5,スコア表[#Headers],0)),スコア表[Environment],0),"-")</f>
        <v>47</v>
      </c>
      <c r="DE47" s="79">
        <f>IFERROR(_xlfn.RANK.EQ(INDEX(スコア表[],MATCH($C47,スコア表['#],0),MATCH(DE$5,スコア表[#Headers],0)),スコア表[Accessibility],0),"-")</f>
        <v>47</v>
      </c>
      <c r="DF47" s="81">
        <f>IFERROR(_xlfn.RANK.EQ(INDEX(スコア表[],MATCH($C47,スコア表['#],0),MATCH(DF$5,スコア表[#Headers],0)),スコア表[Comprehensive],0),"-")</f>
        <v>45</v>
      </c>
    </row>
    <row r="48" spans="1:110">
      <c r="A48" s="2">
        <v>43</v>
      </c>
      <c r="B48" s="58">
        <f>INDEX(順位表[Comprehensive],MATCH($C48,順位表['#],0))</f>
        <v>44</v>
      </c>
      <c r="C48" s="3">
        <v>43</v>
      </c>
      <c r="D48" s="1" t="str">
        <f>INDEX(都市マスタ[City Name],MATCH($C48,都市マスタ['#],0))</f>
        <v>Buenos Aires</v>
      </c>
      <c r="E48" s="79">
        <f>IFERROR(_xlfn.RANK.EQ(INDEX(スコア表[],MATCH($C48,スコア表['#],0),MATCH(E$5,スコア表[#Headers],0)),スコア表[00a],0),"-")</f>
        <v>24</v>
      </c>
      <c r="F48" s="79">
        <f>IFERROR(_xlfn.RANK.EQ(INDEX(スコア表[],MATCH($C48,スコア表['#],0),MATCH(F$5,スコア表[#Headers],0)),スコア表[00b],0),"-")</f>
        <v>33</v>
      </c>
      <c r="G48" s="79">
        <f>IFERROR(_xlfn.RANK.EQ(INDEX(スコア表[],MATCH($C48,スコア表['#],0),MATCH(G$5,スコア表[#Headers],0)),スコア表[00c],0),"-")</f>
        <v>6</v>
      </c>
      <c r="H48" s="79">
        <f>IFERROR(_xlfn.RANK.EQ(INDEX(スコア表[],MATCH($C48,スコア表['#],0),MATCH(H$5,スコア表[#Headers],0)),スコア表[01],0),"-")</f>
        <v>40</v>
      </c>
      <c r="I48" s="79">
        <f>IFERROR(_xlfn.RANK.EQ(INDEX(スコア表[],MATCH($C48,スコア表['#],0),MATCH(I$5,スコア表[#Headers],0)),スコア表[02],0),"-")</f>
        <v>39</v>
      </c>
      <c r="J48" s="79">
        <f>IFERROR(_xlfn.RANK.EQ(INDEX(スコア表[],MATCH($C48,スコア表['#],0),MATCH(J$5,スコア表[#Headers],0)),スコア表[03],0),"-")</f>
        <v>45</v>
      </c>
      <c r="K48" s="79">
        <f>IFERROR(_xlfn.RANK.EQ(INDEX(スコア表[],MATCH($C48,スコア表['#],0),MATCH(K$5,スコア表[#Headers],0)),スコア表[04],0),"-")</f>
        <v>44</v>
      </c>
      <c r="L48" s="79">
        <f>IFERROR(_xlfn.RANK.EQ(INDEX(スコア表[],MATCH($C48,スコア表['#],0),MATCH(L$5,スコア表[#Headers],0)),スコア表[05],0),"-")</f>
        <v>33</v>
      </c>
      <c r="M48" s="79">
        <f>IFERROR(_xlfn.RANK.EQ(INDEX(スコア表[],MATCH($C48,スコア表['#],0),MATCH(M$5,スコア表[#Headers],0)),スコア表[06],0),"-")</f>
        <v>35</v>
      </c>
      <c r="N48" s="79">
        <f>IFERROR(_xlfn.RANK.EQ(INDEX(スコア表[],MATCH($C48,スコア表['#],0),MATCH(N$5,スコア表[#Headers],0)),スコア表[07],0),"-")</f>
        <v>28</v>
      </c>
      <c r="O48" s="79">
        <f>IFERROR(_xlfn.RANK.EQ(INDEX(スコア表[],MATCH($C48,スコア表['#],0),MATCH(O$5,スコア表[#Headers],0)),スコア表[08],0),"-")</f>
        <v>5</v>
      </c>
      <c r="P48" s="79">
        <f>IFERROR(_xlfn.RANK.EQ(INDEX(スコア表[],MATCH($C48,スコア表['#],0),MATCH(P$5,スコア表[#Headers],0)),スコア表[09],0),"-")</f>
        <v>47</v>
      </c>
      <c r="Q48" s="79">
        <f>IFERROR(_xlfn.RANK.EQ(INDEX(スコア表[],MATCH($C48,スコア表['#],0),MATCH(Q$5,スコア表[#Headers],0)),スコア表[10],0),"-")</f>
        <v>22</v>
      </c>
      <c r="R48" s="79">
        <f>IFERROR(_xlfn.RANK.EQ(INDEX(スコア表[],MATCH($C48,スコア表['#],0),MATCH(R$5,スコア表[#Headers],0)),スコア表[11],0),"-")</f>
        <v>32</v>
      </c>
      <c r="S48" s="79">
        <f>IFERROR(_xlfn.RANK.EQ(INDEX(スコア表[],MATCH($C48,スコア表['#],0),MATCH(S$5,スコア表[#Headers],0)),スコア表[12],0),"-")</f>
        <v>48</v>
      </c>
      <c r="T48" s="79">
        <f>IFERROR(_xlfn.RANK.EQ(INDEX(スコア表[],MATCH($C48,スコア表['#],0),MATCH(T$5,スコア表[#Headers],0)),スコア表[13],0),"-")</f>
        <v>48</v>
      </c>
      <c r="U48" s="79">
        <f>IFERROR(_xlfn.RANK.EQ(INDEX(スコア表[],MATCH($C48,スコア表['#],0),MATCH(U$5,スコア表[#Headers],0)),スコア表[14],0),"-")</f>
        <v>39</v>
      </c>
      <c r="V48" s="79">
        <f>IFERROR(_xlfn.RANK.EQ(INDEX(スコア表[],MATCH($C48,スコア表['#],0),MATCH(V$5,スコア表[#Headers],0)),スコア表[15],0),"-")</f>
        <v>46</v>
      </c>
      <c r="W48" s="79">
        <f>IFERROR(_xlfn.RANK.EQ(INDEX(スコア表[],MATCH($C48,スコア表['#],0),MATCH(W$5,スコア表[#Headers],0)),スコア表[16],0),"-")</f>
        <v>47</v>
      </c>
      <c r="X48" s="79">
        <f>IFERROR(_xlfn.RANK.EQ(INDEX(スコア表[],MATCH($C48,スコア表['#],0),MATCH(X$5,スコア表[#Headers],0)),スコア表[17],0),"-")</f>
        <v>45</v>
      </c>
      <c r="Y48" s="79">
        <f>IFERROR(_xlfn.RANK.EQ(INDEX(スコア表[],MATCH($C48,スコア表['#],0),MATCH(Y$5,スコア表[#Headers],0)),スコア表[18],0),"-")</f>
        <v>44</v>
      </c>
      <c r="Z48" s="79">
        <f>IFERROR(_xlfn.RANK.EQ(INDEX(スコア表[],MATCH($C48,スコア表['#],0),MATCH(Z$5,スコア表[#Headers],0)),スコア表[19],0),"-")</f>
        <v>37</v>
      </c>
      <c r="AA48" s="79">
        <f>IFERROR(_xlfn.RANK.EQ(INDEX(スコア表[],MATCH($C48,スコア表['#],0),MATCH(AA$5,スコア表[#Headers],0)),スコア表[20],0),"-")</f>
        <v>23</v>
      </c>
      <c r="AB48" s="79">
        <f>IFERROR(_xlfn.RANK.EQ(INDEX(スコア表[],MATCH($C48,スコア表['#],0),MATCH(AB$5,スコア表[#Headers],0)),スコア表[21],0),"-")</f>
        <v>40</v>
      </c>
      <c r="AC48" s="79">
        <f>IFERROR(_xlfn.RANK.EQ(INDEX(スコア表[],MATCH($C48,スコア表['#],0),MATCH(AC$5,スコア表[#Headers],0)),スコア表[22],0),"-")</f>
        <v>32</v>
      </c>
      <c r="AD48" s="79">
        <f>IFERROR(_xlfn.RANK.EQ(INDEX(スコア表[],MATCH($C48,スコア表['#],0),MATCH(AD$5,スコア表[#Headers],0)),スコア表[23],0),"-")</f>
        <v>25</v>
      </c>
      <c r="AE48" s="79">
        <f>IFERROR(_xlfn.RANK.EQ(INDEX(スコア表[],MATCH($C48,スコア表['#],0),MATCH(AE$5,スコア表[#Headers],0)),スコア表[24],0),"-")</f>
        <v>35</v>
      </c>
      <c r="AF48" s="79">
        <f>IFERROR(_xlfn.RANK.EQ(INDEX(スコア表[],MATCH($C48,スコア表['#],0),MATCH(AF$5,スコア表[#Headers],0)),スコア表[25],0),"-")</f>
        <v>27</v>
      </c>
      <c r="AG48" s="79">
        <f>IFERROR(_xlfn.RANK.EQ(INDEX(スコア表[],MATCH($C48,スコア表['#],0),MATCH(AG$5,スコア表[#Headers],0)),スコア表[26],0),"-")</f>
        <v>7</v>
      </c>
      <c r="AH48" s="79">
        <f>IFERROR(_xlfn.RANK.EQ(INDEX(スコア表[],MATCH($C48,スコア表['#],0),MATCH(AH$5,スコア表[#Headers],0)),スコア表[27],0),"-")</f>
        <v>30</v>
      </c>
      <c r="AI48" s="79">
        <f>IFERROR(_xlfn.RANK.EQ(INDEX(スコア表[],MATCH($C48,スコア表['#],0),MATCH(AI$5,スコア表[#Headers],0)),スコア表[28],0),"-")</f>
        <v>6</v>
      </c>
      <c r="AJ48" s="79">
        <f>IFERROR(_xlfn.RANK.EQ(INDEX(スコア表[],MATCH($C48,スコア表['#],0),MATCH(AJ$5,スコア表[#Headers],0)),スコア表[29],0),"-")</f>
        <v>9</v>
      </c>
      <c r="AK48" s="79">
        <f>IFERROR(_xlfn.RANK.EQ(INDEX(スコア表[],MATCH($C48,スコア表['#],0),MATCH(AK$5,スコア表[#Headers],0)),スコア表[30],0),"-")</f>
        <v>8</v>
      </c>
      <c r="AL48" s="79">
        <f>IFERROR(_xlfn.RANK.EQ(INDEX(スコア表[],MATCH($C48,スコア表['#],0),MATCH(AL$5,スコア表[#Headers],0)),スコア表[31],0),"-")</f>
        <v>1</v>
      </c>
      <c r="AM48" s="79">
        <f>IFERROR(_xlfn.RANK.EQ(INDEX(スコア表[],MATCH($C48,スコア表['#],0),MATCH(AM$5,スコア表[#Headers],0)),スコア表[32],0),"-")</f>
        <v>35</v>
      </c>
      <c r="AN48" s="79">
        <f>IFERROR(_xlfn.RANK.EQ(INDEX(スコア表[],MATCH($C48,スコア表['#],0),MATCH(AN$5,スコア表[#Headers],0)),スコア表[33],0),"-")</f>
        <v>36</v>
      </c>
      <c r="AO48" s="79">
        <f>IFERROR(_xlfn.RANK.EQ(INDEX(スコア表[],MATCH($C48,スコア表['#],0),MATCH(AO$5,スコア表[#Headers],0)),スコア表[34],0),"-")</f>
        <v>8</v>
      </c>
      <c r="AP48" s="79">
        <f>IFERROR(_xlfn.RANK.EQ(INDEX(スコア表[],MATCH($C48,スコア表['#],0),MATCH(AP$5,スコア表[#Headers],0)),スコア表[35],0),"-")</f>
        <v>9</v>
      </c>
      <c r="AQ48" s="79">
        <f>IFERROR(_xlfn.RANK.EQ(INDEX(スコア表[],MATCH($C48,スコア表['#],0),MATCH(AQ$5,スコア表[#Headers],0)),スコア表[36],0),"-")</f>
        <v>19</v>
      </c>
      <c r="AR48" s="79">
        <f>IFERROR(_xlfn.RANK.EQ(INDEX(スコア表[],MATCH($C48,スコア表['#],0),MATCH(AR$5,スコア表[#Headers],0)),スコア表[37],0),"-")</f>
        <v>47</v>
      </c>
      <c r="AS48" s="79">
        <f>IFERROR(_xlfn.RANK.EQ(INDEX(スコア表[],MATCH($C48,スコア表['#],0),MATCH(AS$5,スコア表[#Headers],0)),スコア表[38],0),"-")</f>
        <v>40</v>
      </c>
      <c r="AT48" s="79">
        <f>IFERROR(_xlfn.RANK.EQ(INDEX(スコア表[],MATCH($C48,スコア表['#],0),MATCH(AT$5,スコア表[#Headers],0)),スコア表[39],0),"-")</f>
        <v>12</v>
      </c>
      <c r="AU48" s="79">
        <f>IFERROR(_xlfn.RANK.EQ(INDEX(スコア表[],MATCH($C48,スコア表['#],0),MATCH(AU$5,スコア表[#Headers],0)),スコア表[40],0),"-")</f>
        <v>36</v>
      </c>
      <c r="AV48" s="79">
        <f>IFERROR(_xlfn.RANK.EQ(INDEX(スコア表[],MATCH($C48,スコア表['#],0),MATCH(AV$5,スコア表[#Headers],0)),スコア表[41],0),"-")</f>
        <v>2</v>
      </c>
      <c r="AW48" s="79">
        <f>IFERROR(_xlfn.RANK.EQ(INDEX(スコア表[],MATCH($C48,スコア表['#],0),MATCH(AW$5,スコア表[#Headers],0)),スコア表[42],0),"-")</f>
        <v>47</v>
      </c>
      <c r="AX48" s="79">
        <f>IFERROR(_xlfn.RANK.EQ(INDEX(スコア表[],MATCH($C48,スコア表['#],0),MATCH(AX$5,スコア表[#Headers],0)),スコア表[43],0),"-")</f>
        <v>38</v>
      </c>
      <c r="AY48" s="79">
        <f>IFERROR(_xlfn.RANK.EQ(INDEX(スコア表[],MATCH($C48,スコア表['#],0),MATCH(AY$5,スコア表[#Headers],0)),スコア表[44],0),"-")</f>
        <v>15</v>
      </c>
      <c r="AZ48" s="79">
        <f>IFERROR(_xlfn.RANK.EQ(INDEX(スコア表[],MATCH($C48,スコア表['#],0),MATCH(AZ$5,スコア表[#Headers],0)),スコア表[45],0),"-")</f>
        <v>39</v>
      </c>
      <c r="BA48" s="79">
        <f>IFERROR(_xlfn.RANK.EQ(INDEX(スコア表[],MATCH($C48,スコア表['#],0),MATCH(BA$5,スコア表[#Headers],0)),スコア表[46],0),"-")</f>
        <v>32</v>
      </c>
      <c r="BB48" s="79">
        <f>IFERROR(_xlfn.RANK.EQ(INDEX(スコア表[],MATCH($C48,スコア表['#],0),MATCH(BB$5,スコア表[#Headers],0)),スコア表[47],0),"-")</f>
        <v>13</v>
      </c>
      <c r="BC48" s="79">
        <f>IFERROR(_xlfn.RANK.EQ(INDEX(スコア表[],MATCH($C48,スコア表['#],0),MATCH(BC$5,スコア表[#Headers],0)),スコア表[48],0),"-")</f>
        <v>14</v>
      </c>
      <c r="BD48" s="79">
        <f>IFERROR(_xlfn.RANK.EQ(INDEX(スコア表[],MATCH($C48,スコア表['#],0),MATCH(BD$5,スコア表[#Headers],0)),スコア表[49],0),"-")</f>
        <v>45</v>
      </c>
      <c r="BE48" s="79">
        <f>IFERROR(_xlfn.RANK.EQ(INDEX(スコア表[],MATCH($C48,スコア表['#],0),MATCH(BE$5,スコア表[#Headers],0)),スコア表[50],0),"-")</f>
        <v>5</v>
      </c>
      <c r="BF48" s="79">
        <f>IFERROR(_xlfn.RANK.EQ(INDEX(スコア表[],MATCH($C48,スコア表['#],0),MATCH(BF$5,スコア表[#Headers],0)),スコア表[51],0),"-")</f>
        <v>19</v>
      </c>
      <c r="BG48" s="79">
        <f>IFERROR(_xlfn.RANK.EQ(INDEX(スコア表[],MATCH($C48,スコア表['#],0),MATCH(BG$5,スコア表[#Headers],0)),スコア表[52],0),"-")</f>
        <v>13</v>
      </c>
      <c r="BH48" s="79">
        <f>IFERROR(_xlfn.RANK.EQ(INDEX(スコア表[],MATCH($C48,スコア表['#],0),MATCH(BH$5,スコア表[#Headers],0)),スコア表[53],0),"-")</f>
        <v>29</v>
      </c>
      <c r="BI48" s="79">
        <f>IFERROR(_xlfn.RANK.EQ(INDEX(スコア表[],MATCH($C48,スコア表['#],0),MATCH(BI$5,スコア表[#Headers],0)),スコア表[54],0),"-")</f>
        <v>46</v>
      </c>
      <c r="BJ48" s="79">
        <f>IFERROR(_xlfn.RANK.EQ(INDEX(スコア表[],MATCH($C48,スコア表['#],0),MATCH(BJ$5,スコア表[#Headers],0)),スコア表[55],0),"-")</f>
        <v>24</v>
      </c>
      <c r="BK48" s="79">
        <f>IFERROR(_xlfn.RANK.EQ(INDEX(スコア表[],MATCH($C48,スコア表['#],0),MATCH(BK$5,スコア表[#Headers],0)),スコア表[56],0),"-")</f>
        <v>33</v>
      </c>
      <c r="BL48" s="79">
        <f>IFERROR(_xlfn.RANK.EQ(INDEX(スコア表[],MATCH($C48,スコア表['#],0),MATCH(BL$5,スコア表[#Headers],0)),スコア表[57],0),"-")</f>
        <v>5</v>
      </c>
      <c r="BM48" s="79">
        <f>IFERROR(_xlfn.RANK.EQ(INDEX(スコア表[],MATCH($C48,スコア表['#],0),MATCH(BM$5,スコア表[#Headers],0)),スコア表[58],0),"-")</f>
        <v>36</v>
      </c>
      <c r="BN48" s="79">
        <f>IFERROR(_xlfn.RANK.EQ(INDEX(スコア表[],MATCH($C48,スコア表['#],0),MATCH(BN$5,スコア表[#Headers],0)),スコア表[59],0),"-")</f>
        <v>37</v>
      </c>
      <c r="BO48" s="79">
        <f>IFERROR(_xlfn.RANK.EQ(INDEX(スコア表[],MATCH($C48,スコア表['#],0),MATCH(BO$5,スコア表[#Headers],0)),スコア表[60],0),"-")</f>
        <v>34</v>
      </c>
      <c r="BP48" s="79">
        <f>IFERROR(_xlfn.RANK.EQ(INDEX(スコア表[],MATCH($C48,スコア表['#],0),MATCH(BP$5,スコア表[#Headers],0)),スコア表[61],0),"-")</f>
        <v>45</v>
      </c>
      <c r="BQ48" s="79">
        <f>IFERROR(_xlfn.RANK.EQ(INDEX(スコア表[],MATCH($C48,スコア表['#],0),MATCH(BQ$5,スコア表[#Headers],0)),スコア表[62],0),"-")</f>
        <v>36</v>
      </c>
      <c r="BR48" s="79">
        <f>IFERROR(_xlfn.RANK.EQ(INDEX(スコア表[],MATCH($C48,スコア表['#],0),MATCH(BR$5,スコア表[#Headers],0)),スコア表[63],0),"-")</f>
        <v>47</v>
      </c>
      <c r="BS48" s="79">
        <f>IFERROR(_xlfn.RANK.EQ(INDEX(スコア表[],MATCH($C48,スコア表['#],0),MATCH(BS$5,スコア表[#Headers],0)),スコア表[64],0),"-")</f>
        <v>48</v>
      </c>
      <c r="BT48" s="79">
        <f>IFERROR(_xlfn.RANK.EQ(INDEX(スコア表[],MATCH($C48,スコア表['#],0),MATCH(BT$5,スコア表[#Headers],0)),スコア表[65],0),"-")</f>
        <v>29</v>
      </c>
      <c r="BU48" s="79">
        <f>IFERROR(_xlfn.RANK.EQ(INDEX(スコア表[],MATCH($C48,スコア表['#],0),MATCH(BU$5,スコア表[#Headers],0)),スコア表[66],0),"-")</f>
        <v>13</v>
      </c>
      <c r="BV48" s="79">
        <f>IFERROR(_xlfn.RANK.EQ(INDEX(スコア表[],MATCH($C48,スコア表['#],0),MATCH(BV$5,スコア表[#Headers],0)),スコア表[67],0),"-")</f>
        <v>40</v>
      </c>
      <c r="BW48" s="79">
        <f>IFERROR(_xlfn.RANK.EQ(INDEX(スコア表[],MATCH($C48,スコア表['#],0),MATCH(BW$5,スコア表[#Headers],0)),スコア表[68],0),"-")</f>
        <v>40</v>
      </c>
      <c r="BX48" s="79">
        <f>IFERROR(_xlfn.RANK.EQ(INDEX(スコア表[],MATCH($C48,スコア表['#],0),MATCH(BX$5,スコア表[#Headers],0)),スコア表[69],0),"-")</f>
        <v>39</v>
      </c>
      <c r="BY48" s="79">
        <f>IFERROR(_xlfn.RANK.EQ(INDEX(スコア表[],MATCH($C48,スコア表['#],0),MATCH(BY$5,スコア表[#Headers],0)),スコア表[70],0),"-")</f>
        <v>15</v>
      </c>
      <c r="BZ48" s="79">
        <f>IFERROR(_xlfn.RANK.EQ(INDEX(スコア表[],MATCH($C48,スコア表['#],0),MATCH(BZ$5,スコア表[#Headers],0)),スコア表[Ec1],0),"-")</f>
        <v>44</v>
      </c>
      <c r="CA48" s="79">
        <f>IFERROR(_xlfn.RANK.EQ(INDEX(スコア表[],MATCH($C48,スコア表['#],0),MATCH(CA$5,スコア表[#Headers],0)),スコア表[Ec2],0),"-")</f>
        <v>48</v>
      </c>
      <c r="CB48" s="79">
        <f>IFERROR(_xlfn.RANK.EQ(INDEX(スコア表[],MATCH($C48,スコア表['#],0),MATCH(CB$5,スコア表[#Headers],0)),スコア表[Ec3],0),"-")</f>
        <v>42</v>
      </c>
      <c r="CC48" s="79">
        <f>IFERROR(_xlfn.RANK.EQ(INDEX(スコア表[],MATCH($C48,スコア表['#],0),MATCH(CC$5,スコア表[#Headers],0)),スコア表[Ec4],0),"-")</f>
        <v>9</v>
      </c>
      <c r="CD48" s="79">
        <f>IFERROR(_xlfn.RANK.EQ(INDEX(スコア表[],MATCH($C48,スコア表['#],0),MATCH(CD$5,スコア表[#Headers],0)),スコア表[Ec5],0),"-")</f>
        <v>37</v>
      </c>
      <c r="CE48" s="79">
        <f>IFERROR(_xlfn.RANK.EQ(INDEX(スコア表[],MATCH($C48,スコア表['#],0),MATCH(CE$5,スコア表[#Headers],0)),スコア表[Ec6],0),"-")</f>
        <v>48</v>
      </c>
      <c r="CF48" s="79">
        <f>IFERROR(_xlfn.RANK.EQ(INDEX(スコア表[],MATCH($C48,スコア表['#],0),MATCH(CF$5,スコア表[#Headers],0)),スコア表[RD1],0),"-")</f>
        <v>43</v>
      </c>
      <c r="CG48" s="79">
        <f>IFERROR(_xlfn.RANK.EQ(INDEX(スコア表[],MATCH($C48,スコア表['#],0),MATCH(CG$5,スコア表[#Headers],0)),スコア表[RD2],0),"-")</f>
        <v>45</v>
      </c>
      <c r="CH48" s="79">
        <f>IFERROR(_xlfn.RANK.EQ(INDEX(スコア表[],MATCH($C48,スコア表['#],0),MATCH(CH$5,スコア表[#Headers],0)),スコア表[RD3],0),"-")</f>
        <v>47</v>
      </c>
      <c r="CI48" s="79">
        <f>IFERROR(_xlfn.RANK.EQ(INDEX(スコア表[],MATCH($C48,スコア表['#],0),MATCH(CI$5,スコア表[#Headers],0)),スコア表[CI1],0),"-")</f>
        <v>33</v>
      </c>
      <c r="CJ48" s="79">
        <f>IFERROR(_xlfn.RANK.EQ(INDEX(スコア表[],MATCH($C48,スコア表['#],0),MATCH(CJ$5,スコア表[#Headers],0)),スコア表[CI2],0),"-")</f>
        <v>10</v>
      </c>
      <c r="CK48" s="79">
        <f>IFERROR(_xlfn.RANK.EQ(INDEX(スコア表[],MATCH($C48,スコア表['#],0),MATCH(CK$5,スコア表[#Headers],0)),スコア表[CI3],0),"-")</f>
        <v>4</v>
      </c>
      <c r="CL48" s="79">
        <f>IFERROR(_xlfn.RANK.EQ(INDEX(スコア表[],MATCH($C48,スコア表['#],0),MATCH(CL$5,スコア表[#Headers],0)),スコア表[CI4],0),"-")</f>
        <v>19</v>
      </c>
      <c r="CM48" s="79">
        <f>IFERROR(_xlfn.RANK.EQ(INDEX(スコア表[],MATCH($C48,スコア表['#],0),MATCH(CM$5,スコア表[#Headers],0)),スコア表[CI5],0),"-")</f>
        <v>32</v>
      </c>
      <c r="CN48" s="79">
        <f>IFERROR(_xlfn.RANK.EQ(INDEX(スコア表[],MATCH($C48,スコア表['#],0),MATCH(CN$5,スコア表[#Headers],0)),スコア表[Li1],0),"-")</f>
        <v>32</v>
      </c>
      <c r="CO48" s="79">
        <f>IFERROR(_xlfn.RANK.EQ(INDEX(スコア表[],MATCH($C48,スコア表['#],0),MATCH(CO$5,スコア表[#Headers],0)),スコア表[Li2],0),"-")</f>
        <v>30</v>
      </c>
      <c r="CP48" s="79">
        <f>IFERROR(_xlfn.RANK.EQ(INDEX(スコア表[],MATCH($C48,スコア表['#],0),MATCH(CP$5,スコア表[#Headers],0)),スコア表[Li3],0),"-")</f>
        <v>33</v>
      </c>
      <c r="CQ48" s="79">
        <f>IFERROR(_xlfn.RANK.EQ(INDEX(スコア表[],MATCH($C48,スコア表['#],0),MATCH(CQ$5,スコア表[#Headers],0)),スコア表[Li4],0),"-")</f>
        <v>28</v>
      </c>
      <c r="CR48" s="79">
        <f>IFERROR(_xlfn.RANK.EQ(INDEX(スコア表[],MATCH($C48,スコア表['#],0),MATCH(CR$5,スコア表[#Headers],0)),スコア表[Li5],0),"-")</f>
        <v>31</v>
      </c>
      <c r="CS48" s="79">
        <f>IFERROR(_xlfn.RANK.EQ(INDEX(スコア表[],MATCH($C48,スコア表['#],0),MATCH(CS$5,スコア表[#Headers],0)),スコア表[En1],0),"-")</f>
        <v>42</v>
      </c>
      <c r="CT48" s="79">
        <f>IFERROR(_xlfn.RANK.EQ(INDEX(スコア表[],MATCH($C48,スコア表['#],0),MATCH(CT$5,スコア表[#Headers],0)),スコア表[En2],0),"-")</f>
        <v>6</v>
      </c>
      <c r="CU48" s="79">
        <f>IFERROR(_xlfn.RANK.EQ(INDEX(スコア表[],MATCH($C48,スコア表['#],0),MATCH(CU$5,スコア表[#Headers],0)),スコア表[En3],0),"-")</f>
        <v>34</v>
      </c>
      <c r="CV48" s="79">
        <f>IFERROR(_xlfn.RANK.EQ(INDEX(スコア表[],MATCH($C48,スコア表['#],0),MATCH(CV$5,スコア表[#Headers],0)),スコア表[Ac1],0),"-")</f>
        <v>47</v>
      </c>
      <c r="CW48" s="79">
        <f>IFERROR(_xlfn.RANK.EQ(INDEX(スコア表[],MATCH($C48,スコア表['#],0),MATCH(CW$5,スコア表[#Headers],0)),スコア表[Ac2],0),"-")</f>
        <v>48</v>
      </c>
      <c r="CX48" s="79">
        <f>IFERROR(_xlfn.RANK.EQ(INDEX(スコア表[],MATCH($C48,スコア表['#],0),MATCH(CX$5,スコア表[#Headers],0)),スコア表[Ac3],0),"-")</f>
        <v>33</v>
      </c>
      <c r="CY48" s="79">
        <f>IFERROR(_xlfn.RANK.EQ(INDEX(スコア表[],MATCH($C48,スコア表['#],0),MATCH(CY$5,スコア表[#Headers],0)),スコア表[Ac4],0),"-")</f>
        <v>41</v>
      </c>
      <c r="CZ48" s="79">
        <f>IFERROR(_xlfn.RANK.EQ(INDEX(スコア表[],MATCH($C48,スコア表['#],0),MATCH(CZ$5,スコア表[#Headers],0)),スコア表[Economy],0),"-")</f>
        <v>46</v>
      </c>
      <c r="DA48" s="79">
        <f>IFERROR(_xlfn.RANK.EQ(INDEX(スコア表[],MATCH($C48,スコア表['#],0),MATCH(DA$5,スコア表[#Headers],0)),スコア表[R&amp;D],0),"-")</f>
        <v>45</v>
      </c>
      <c r="DB48" s="79">
        <f>IFERROR(_xlfn.RANK.EQ(INDEX(スコア表[],MATCH($C48,スコア表['#],0),MATCH(DB$5,スコア表[#Headers],0)),スコア表[Cultural Interaction],0),"-")</f>
        <v>14</v>
      </c>
      <c r="DC48" s="79">
        <f>IFERROR(_xlfn.RANK.EQ(INDEX(スコア表[],MATCH($C48,スコア表['#],0),MATCH(DC$5,スコア表[#Headers],0)),スコア表[Livability],0),"-")</f>
        <v>34</v>
      </c>
      <c r="DD48" s="79">
        <f>IFERROR(_xlfn.RANK.EQ(INDEX(スコア表[],MATCH($C48,スコア表['#],0),MATCH(DD$5,スコア表[#Headers],0)),スコア表[Environment],0),"-")</f>
        <v>31</v>
      </c>
      <c r="DE48" s="79">
        <f>IFERROR(_xlfn.RANK.EQ(INDEX(スコア表[],MATCH($C48,スコア表['#],0),MATCH(DE$5,スコア表[#Headers],0)),スコア表[Accessibility],0),"-")</f>
        <v>48</v>
      </c>
      <c r="DF48" s="81">
        <f>IFERROR(_xlfn.RANK.EQ(INDEX(スコア表[],MATCH($C48,スコア表['#],0),MATCH(DF$5,スコア表[#Headers],0)),スコア表[Comprehensive],0),"-")</f>
        <v>44</v>
      </c>
    </row>
    <row r="49" spans="1:110">
      <c r="A49" s="2">
        <v>44</v>
      </c>
      <c r="B49" s="58">
        <f>INDEX(順位表[Comprehensive],MATCH($C49,順位表['#],0))</f>
        <v>8</v>
      </c>
      <c r="C49" s="3">
        <v>44</v>
      </c>
      <c r="D49" s="1" t="str">
        <f>INDEX(都市マスタ[City Name],MATCH($C49,都市マスタ['#],0))</f>
        <v>Dubai</v>
      </c>
      <c r="E49" s="79">
        <f>IFERROR(_xlfn.RANK.EQ(INDEX(スコア表[],MATCH($C49,スコア表['#],0),MATCH(E$5,スコア表[#Headers],0)),スコア表[00a],0),"-")</f>
        <v>22</v>
      </c>
      <c r="F49" s="79">
        <f>IFERROR(_xlfn.RANK.EQ(INDEX(スコア表[],MATCH($C49,スコア表['#],0),MATCH(F$5,スコア表[#Headers],0)),スコア表[00b],0),"-")</f>
        <v>6</v>
      </c>
      <c r="G49" s="79">
        <f>IFERROR(_xlfn.RANK.EQ(INDEX(スコア表[],MATCH($C49,スコア表['#],0),MATCH(G$5,スコア表[#Headers],0)),スコア表[00c],0),"-")</f>
        <v>22</v>
      </c>
      <c r="H49" s="79">
        <f>IFERROR(_xlfn.RANK.EQ(INDEX(スコア表[],MATCH($C49,スコア表['#],0),MATCH(H$5,スコア表[#Headers],0)),スコア表[01],0),"-")</f>
        <v>26</v>
      </c>
      <c r="I49" s="79">
        <f>IFERROR(_xlfn.RANK.EQ(INDEX(スコア表[],MATCH($C49,スコア表['#],0),MATCH(I$5,スコア表[#Headers],0)),スコア表[02],0),"-")</f>
        <v>34</v>
      </c>
      <c r="J49" s="79">
        <f>IFERROR(_xlfn.RANK.EQ(INDEX(スコア表[],MATCH($C49,スコア表['#],0),MATCH(J$5,スコア表[#Headers],0)),スコア表[03],0),"-")</f>
        <v>43</v>
      </c>
      <c r="K49" s="79">
        <f>IFERROR(_xlfn.RANK.EQ(INDEX(スコア表[],MATCH($C49,スコア表['#],0),MATCH(K$5,スコア表[#Headers],0)),スコア表[04],0),"-")</f>
        <v>18</v>
      </c>
      <c r="L49" s="79">
        <f>IFERROR(_xlfn.RANK.EQ(INDEX(スコア表[],MATCH($C49,スコア表['#],0),MATCH(L$5,スコア表[#Headers],0)),スコア表[05],0),"-")</f>
        <v>30</v>
      </c>
      <c r="M49" s="79">
        <f>IFERROR(_xlfn.RANK.EQ(INDEX(スコア表[],MATCH($C49,スコア表['#],0),MATCH(M$5,スコア表[#Headers],0)),スコア表[06],0),"-")</f>
        <v>35</v>
      </c>
      <c r="N49" s="79">
        <f>IFERROR(_xlfn.RANK.EQ(INDEX(スコア表[],MATCH($C49,スコア表['#],0),MATCH(N$5,スコア表[#Headers],0)),スコア表[07],0),"-")</f>
        <v>21</v>
      </c>
      <c r="O49" s="79">
        <f>IFERROR(_xlfn.RANK.EQ(INDEX(スコア表[],MATCH($C49,スコア表['#],0),MATCH(O$5,スコア表[#Headers],0)),スコア表[08],0),"-")</f>
        <v>33</v>
      </c>
      <c r="P49" s="79">
        <f>IFERROR(_xlfn.RANK.EQ(INDEX(スコア表[],MATCH($C49,スコア表['#],0),MATCH(P$5,スコア表[#Headers],0)),スコア表[09],0),"-")</f>
        <v>10</v>
      </c>
      <c r="Q49" s="79">
        <f>IFERROR(_xlfn.RANK.EQ(INDEX(スコア表[],MATCH($C49,スコア表['#],0),MATCH(Q$5,スコア表[#Headers],0)),スコア表[10],0),"-")</f>
        <v>33</v>
      </c>
      <c r="R49" s="79">
        <f>IFERROR(_xlfn.RANK.EQ(INDEX(スコア表[],MATCH($C49,スコア表['#],0),MATCH(R$5,スコア表[#Headers],0)),スコア表[11],0),"-")</f>
        <v>12</v>
      </c>
      <c r="S49" s="79">
        <f>IFERROR(_xlfn.RANK.EQ(INDEX(スコア表[],MATCH($C49,スコア表['#],0),MATCH(S$5,スコア表[#Headers],0)),スコア表[12],0),"-")</f>
        <v>1</v>
      </c>
      <c r="T49" s="79">
        <f>IFERROR(_xlfn.RANK.EQ(INDEX(スコア表[],MATCH($C49,スコア表['#],0),MATCH(T$5,スコア表[#Headers],0)),スコア表[13],0),"-")</f>
        <v>16</v>
      </c>
      <c r="U49" s="79">
        <f>IFERROR(_xlfn.RANK.EQ(INDEX(スコア表[],MATCH($C49,スコア表['#],0),MATCH(U$5,スコア表[#Headers],0)),スコア表[14],0),"-")</f>
        <v>31</v>
      </c>
      <c r="V49" s="79">
        <f>IFERROR(_xlfn.RANK.EQ(INDEX(スコア表[],MATCH($C49,スコア表['#],0),MATCH(V$5,スコア表[#Headers],0)),スコア表[15],0),"-")</f>
        <v>37</v>
      </c>
      <c r="W49" s="79">
        <f>IFERROR(_xlfn.RANK.EQ(INDEX(スコア表[],MATCH($C49,スコア表['#],0),MATCH(W$5,スコア表[#Headers],0)),スコア表[16],0),"-")</f>
        <v>25</v>
      </c>
      <c r="X49" s="79">
        <f>IFERROR(_xlfn.RANK.EQ(INDEX(スコア表[],MATCH($C49,スコア表['#],0),MATCH(X$5,スコア表[#Headers],0)),スコア表[17],0),"-")</f>
        <v>33</v>
      </c>
      <c r="Y49" s="79">
        <f>IFERROR(_xlfn.RANK.EQ(INDEX(スコア表[],MATCH($C49,スコア表['#],0),MATCH(Y$5,スコア表[#Headers],0)),スコア表[18],0),"-")</f>
        <v>39</v>
      </c>
      <c r="Z49" s="79">
        <f>IFERROR(_xlfn.RANK.EQ(INDEX(スコア表[],MATCH($C49,スコア表['#],0),MATCH(Z$5,スコア表[#Headers],0)),スコア表[19],0),"-")</f>
        <v>38</v>
      </c>
      <c r="AA49" s="79">
        <f>IFERROR(_xlfn.RANK.EQ(INDEX(スコア表[],MATCH($C49,スコア表['#],0),MATCH(AA$5,スコア表[#Headers],0)),スコア表[20],0),"-")</f>
        <v>23</v>
      </c>
      <c r="AB49" s="79">
        <f>IFERROR(_xlfn.RANK.EQ(INDEX(スコア表[],MATCH($C49,スコア表['#],0),MATCH(AB$5,スコア表[#Headers],0)),スコア表[21],0),"-")</f>
        <v>10</v>
      </c>
      <c r="AC49" s="79">
        <f>IFERROR(_xlfn.RANK.EQ(INDEX(スコア表[],MATCH($C49,スコア表['#],0),MATCH(AC$5,スコア表[#Headers],0)),スコア表[22],0),"-")</f>
        <v>9</v>
      </c>
      <c r="AD49" s="79">
        <f>IFERROR(_xlfn.RANK.EQ(INDEX(スコア表[],MATCH($C49,スコア表['#],0),MATCH(AD$5,スコア表[#Headers],0)),スコア表[23],0),"-")</f>
        <v>5</v>
      </c>
      <c r="AE49" s="79">
        <f>IFERROR(_xlfn.RANK.EQ(INDEX(スコア表[],MATCH($C49,スコア表['#],0),MATCH(AE$5,スコア表[#Headers],0)),スコア表[24],0),"-")</f>
        <v>18</v>
      </c>
      <c r="AF49" s="79">
        <f>IFERROR(_xlfn.RANK.EQ(INDEX(スコア表[],MATCH($C49,スコア表['#],0),MATCH(AF$5,スコア表[#Headers],0)),スコア表[25],0),"-")</f>
        <v>36</v>
      </c>
      <c r="AG49" s="79">
        <f>IFERROR(_xlfn.RANK.EQ(INDEX(スコア表[],MATCH($C49,スコア表['#],0),MATCH(AG$5,スコア表[#Headers],0)),スコア表[26],0),"-")</f>
        <v>5</v>
      </c>
      <c r="AH49" s="79">
        <f>IFERROR(_xlfn.RANK.EQ(INDEX(スコア表[],MATCH($C49,スコア表['#],0),MATCH(AH$5,スコア表[#Headers],0)),スコア表[27],0),"-")</f>
        <v>38</v>
      </c>
      <c r="AI49" s="79">
        <f>IFERROR(_xlfn.RANK.EQ(INDEX(スコア表[],MATCH($C49,スコア表['#],0),MATCH(AI$5,スコア表[#Headers],0)),スコア表[28],0),"-")</f>
        <v>10</v>
      </c>
      <c r="AJ49" s="79">
        <f>IFERROR(_xlfn.RANK.EQ(INDEX(スコア表[],MATCH($C49,スコア表['#],0),MATCH(AJ$5,スコア表[#Headers],0)),スコア表[29],0),"-")</f>
        <v>46</v>
      </c>
      <c r="AK49" s="79">
        <f>IFERROR(_xlfn.RANK.EQ(INDEX(スコア表[],MATCH($C49,スコア表['#],0),MATCH(AK$5,スコア表[#Headers],0)),スコア表[30],0),"-")</f>
        <v>48</v>
      </c>
      <c r="AL49" s="79">
        <f>IFERROR(_xlfn.RANK.EQ(INDEX(スコア表[],MATCH($C49,スコア表['#],0),MATCH(AL$5,スコア表[#Headers],0)),スコア表[31],0),"-")</f>
        <v>16</v>
      </c>
      <c r="AM49" s="79">
        <f>IFERROR(_xlfn.RANK.EQ(INDEX(スコア表[],MATCH($C49,スコア表['#],0),MATCH(AM$5,スコア表[#Headers],0)),スコア表[32],0),"-")</f>
        <v>9</v>
      </c>
      <c r="AN49" s="79">
        <f>IFERROR(_xlfn.RANK.EQ(INDEX(スコア表[],MATCH($C49,スコア表['#],0),MATCH(AN$5,スコア表[#Headers],0)),スコア表[33],0),"-")</f>
        <v>2</v>
      </c>
      <c r="AO49" s="79">
        <f>IFERROR(_xlfn.RANK.EQ(INDEX(スコア表[],MATCH($C49,スコア表['#],0),MATCH(AO$5,スコア表[#Headers],0)),スコア表[34],0),"-")</f>
        <v>11</v>
      </c>
      <c r="AP49" s="79">
        <f>IFERROR(_xlfn.RANK.EQ(INDEX(スコア表[],MATCH($C49,スコア表['#],0),MATCH(AP$5,スコア表[#Headers],0)),スコア表[35],0),"-")</f>
        <v>15</v>
      </c>
      <c r="AQ49" s="79">
        <f>IFERROR(_xlfn.RANK.EQ(INDEX(スコア表[],MATCH($C49,スコア表['#],0),MATCH(AQ$5,スコア表[#Headers],0)),スコア表[36],0),"-")</f>
        <v>1</v>
      </c>
      <c r="AR49" s="79">
        <f>IFERROR(_xlfn.RANK.EQ(INDEX(スコア表[],MATCH($C49,スコア表['#],0),MATCH(AR$5,スコア表[#Headers],0)),スコア表[37],0),"-")</f>
        <v>3</v>
      </c>
      <c r="AS49" s="79">
        <f>IFERROR(_xlfn.RANK.EQ(INDEX(スコア表[],MATCH($C49,スコア表['#],0),MATCH(AS$5,スコア表[#Headers],0)),スコア表[38],0),"-")</f>
        <v>1</v>
      </c>
      <c r="AT49" s="79">
        <f>IFERROR(_xlfn.RANK.EQ(INDEX(スコア表[],MATCH($C49,スコア表['#],0),MATCH(AT$5,スコア表[#Headers],0)),スコア表[39],0),"-")</f>
        <v>42</v>
      </c>
      <c r="AU49" s="79">
        <f>IFERROR(_xlfn.RANK.EQ(INDEX(スコア表[],MATCH($C49,スコア表['#],0),MATCH(AU$5,スコア表[#Headers],0)),スコア表[40],0),"-")</f>
        <v>1</v>
      </c>
      <c r="AV49" s="79">
        <f>IFERROR(_xlfn.RANK.EQ(INDEX(スコア表[],MATCH($C49,スコア表['#],0),MATCH(AV$5,スコア表[#Headers],0)),スコア表[41],0),"-")</f>
        <v>32</v>
      </c>
      <c r="AW49" s="79">
        <f>IFERROR(_xlfn.RANK.EQ(INDEX(スコア表[],MATCH($C49,スコア表['#],0),MATCH(AW$5,スコア表[#Headers],0)),スコア表[42],0),"-")</f>
        <v>15</v>
      </c>
      <c r="AX49" s="79">
        <f>IFERROR(_xlfn.RANK.EQ(INDEX(スコア表[],MATCH($C49,スコア表['#],0),MATCH(AX$5,スコア表[#Headers],0)),スコア表[43],0),"-")</f>
        <v>8</v>
      </c>
      <c r="AY49" s="79">
        <f>IFERROR(_xlfn.RANK.EQ(INDEX(スコア表[],MATCH($C49,スコア表['#],0),MATCH(AY$5,スコア表[#Headers],0)),スコア表[44],0),"-")</f>
        <v>38</v>
      </c>
      <c r="AZ49" s="79">
        <f>IFERROR(_xlfn.RANK.EQ(INDEX(スコア表[],MATCH($C49,スコア表['#],0),MATCH(AZ$5,スコア表[#Headers],0)),スコア表[45],0),"-")</f>
        <v>40</v>
      </c>
      <c r="BA49" s="79">
        <f>IFERROR(_xlfn.RANK.EQ(INDEX(スコア表[],MATCH($C49,スコア表['#],0),MATCH(BA$5,スコア表[#Headers],0)),スコア表[46],0),"-")</f>
        <v>41</v>
      </c>
      <c r="BB49" s="79">
        <f>IFERROR(_xlfn.RANK.EQ(INDEX(スコア表[],MATCH($C49,スコア表['#],0),MATCH(BB$5,スコア表[#Headers],0)),スコア表[47],0),"-")</f>
        <v>4</v>
      </c>
      <c r="BC49" s="79">
        <f>IFERROR(_xlfn.RANK.EQ(INDEX(スコア表[],MATCH($C49,スコア表['#],0),MATCH(BC$5,スコア表[#Headers],0)),スコア表[48],0),"-")</f>
        <v>35</v>
      </c>
      <c r="BD49" s="79">
        <f>IFERROR(_xlfn.RANK.EQ(INDEX(スコア表[],MATCH($C49,スコア表['#],0),MATCH(BD$5,スコア表[#Headers],0)),スコア表[49],0),"-")</f>
        <v>27</v>
      </c>
      <c r="BE49" s="79">
        <f>IFERROR(_xlfn.RANK.EQ(INDEX(スコア表[],MATCH($C49,スコア表['#],0),MATCH(BE$5,スコア表[#Headers],0)),スコア表[50],0),"-")</f>
        <v>16</v>
      </c>
      <c r="BF49" s="79">
        <f>IFERROR(_xlfn.RANK.EQ(INDEX(スコア表[],MATCH($C49,スコア表['#],0),MATCH(BF$5,スコア表[#Headers],0)),スコア表[51],0),"-")</f>
        <v>10</v>
      </c>
      <c r="BG49" s="79">
        <f>IFERROR(_xlfn.RANK.EQ(INDEX(スコア表[],MATCH($C49,スコア表['#],0),MATCH(BG$5,スコア表[#Headers],0)),スコア表[52],0),"-")</f>
        <v>20</v>
      </c>
      <c r="BH49" s="79">
        <f>IFERROR(_xlfn.RANK.EQ(INDEX(スコア表[],MATCH($C49,スコア表['#],0),MATCH(BH$5,スコア表[#Headers],0)),スコア表[53],0),"-")</f>
        <v>48</v>
      </c>
      <c r="BI49" s="79">
        <f>IFERROR(_xlfn.RANK.EQ(INDEX(スコア表[],MATCH($C49,スコア表['#],0),MATCH(BI$5,スコア表[#Headers],0)),スコア表[54],0),"-")</f>
        <v>33</v>
      </c>
      <c r="BJ49" s="79">
        <f>IFERROR(_xlfn.RANK.EQ(INDEX(スコア表[],MATCH($C49,スコア表['#],0),MATCH(BJ$5,スコア表[#Headers],0)),スコア表[55],0),"-")</f>
        <v>37</v>
      </c>
      <c r="BK49" s="79">
        <f>IFERROR(_xlfn.RANK.EQ(INDEX(スコア表[],MATCH($C49,スコア表['#],0),MATCH(BK$5,スコア表[#Headers],0)),スコア表[56],0),"-")</f>
        <v>46</v>
      </c>
      <c r="BL49" s="79">
        <f>IFERROR(_xlfn.RANK.EQ(INDEX(スコア表[],MATCH($C49,スコア表['#],0),MATCH(BL$5,スコア表[#Headers],0)),スコア表[57],0),"-")</f>
        <v>44</v>
      </c>
      <c r="BM49" s="79">
        <f>IFERROR(_xlfn.RANK.EQ(INDEX(スコア表[],MATCH($C49,スコア表['#],0),MATCH(BM$5,スコア表[#Headers],0)),スコア表[58],0),"-")</f>
        <v>20</v>
      </c>
      <c r="BN49" s="79">
        <f>IFERROR(_xlfn.RANK.EQ(INDEX(スコア表[],MATCH($C49,スコア表['#],0),MATCH(BN$5,スコア表[#Headers],0)),スコア表[59],0),"-")</f>
        <v>44</v>
      </c>
      <c r="BO49" s="79">
        <f>IFERROR(_xlfn.RANK.EQ(INDEX(スコア表[],MATCH($C49,スコア表['#],0),MATCH(BO$5,スコア表[#Headers],0)),スコア表[60],0),"-")</f>
        <v>1</v>
      </c>
      <c r="BP49" s="79">
        <f>IFERROR(_xlfn.RANK.EQ(INDEX(スコア表[],MATCH($C49,スコア表['#],0),MATCH(BP$5,スコア表[#Headers],0)),スコア表[61],0),"-")</f>
        <v>5</v>
      </c>
      <c r="BQ49" s="79">
        <f>IFERROR(_xlfn.RANK.EQ(INDEX(スコア表[],MATCH($C49,スコア表['#],0),MATCH(BQ$5,スコア表[#Headers],0)),スコア表[62],0),"-")</f>
        <v>4</v>
      </c>
      <c r="BR49" s="79">
        <f>IFERROR(_xlfn.RANK.EQ(INDEX(スコア表[],MATCH($C49,スコア表['#],0),MATCH(BR$5,スコア表[#Headers],0)),スコア表[63],0),"-")</f>
        <v>6</v>
      </c>
      <c r="BS49" s="79">
        <f>IFERROR(_xlfn.RANK.EQ(INDEX(スコア表[],MATCH($C49,スコア表['#],0),MATCH(BS$5,スコア表[#Headers],0)),スコア表[64],0),"-")</f>
        <v>16</v>
      </c>
      <c r="BT49" s="79">
        <f>IFERROR(_xlfn.RANK.EQ(INDEX(スコア表[],MATCH($C49,スコア表['#],0),MATCH(BT$5,スコア表[#Headers],0)),スコア表[65],0),"-")</f>
        <v>47</v>
      </c>
      <c r="BU49" s="79">
        <f>IFERROR(_xlfn.RANK.EQ(INDEX(スコア表[],MATCH($C49,スコア表['#],0),MATCH(BU$5,スコア表[#Headers],0)),スコア表[66],0),"-")</f>
        <v>46</v>
      </c>
      <c r="BV49" s="79">
        <f>IFERROR(_xlfn.RANK.EQ(INDEX(スコア表[],MATCH($C49,スコア表['#],0),MATCH(BV$5,スコア表[#Headers],0)),スコア表[67],0),"-")</f>
        <v>10</v>
      </c>
      <c r="BW49" s="79">
        <f>IFERROR(_xlfn.RANK.EQ(INDEX(スコア表[],MATCH($C49,スコア表['#],0),MATCH(BW$5,スコア表[#Headers],0)),スコア表[68],0),"-")</f>
        <v>27</v>
      </c>
      <c r="BX49" s="79">
        <f>IFERROR(_xlfn.RANK.EQ(INDEX(スコア表[],MATCH($C49,スコア表['#],0),MATCH(BX$5,スコア表[#Headers],0)),スコア表[69],0),"-")</f>
        <v>1</v>
      </c>
      <c r="BY49" s="79">
        <f>IFERROR(_xlfn.RANK.EQ(INDEX(スコア表[],MATCH($C49,スコア表['#],0),MATCH(BY$5,スコア表[#Headers],0)),スコア表[70],0),"-")</f>
        <v>37</v>
      </c>
      <c r="BZ49" s="79">
        <f>IFERROR(_xlfn.RANK.EQ(INDEX(スコア表[],MATCH($C49,スコア表['#],0),MATCH(BZ$5,スコア表[#Headers],0)),スコア表[Ec1],0),"-")</f>
        <v>37</v>
      </c>
      <c r="CA49" s="79">
        <f>IFERROR(_xlfn.RANK.EQ(INDEX(スコア表[],MATCH($C49,スコア表['#],0),MATCH(CA$5,スコア表[#Headers],0)),スコア表[Ec2],0),"-")</f>
        <v>29</v>
      </c>
      <c r="CB49" s="79">
        <f>IFERROR(_xlfn.RANK.EQ(INDEX(スコア表[],MATCH($C49,スコア表['#],0),MATCH(CB$5,スコア表[#Headers],0)),スコア表[Ec3],0),"-")</f>
        <v>41</v>
      </c>
      <c r="CC49" s="79">
        <f>IFERROR(_xlfn.RANK.EQ(INDEX(スコア表[],MATCH($C49,スコア表['#],0),MATCH(CC$5,スコア表[#Headers],0)),スコア表[Ec4],0),"-")</f>
        <v>33</v>
      </c>
      <c r="CD49" s="79">
        <f>IFERROR(_xlfn.RANK.EQ(INDEX(スコア表[],MATCH($C49,スコア表['#],0),MATCH(CD$5,スコア表[#Headers],0)),スコア表[Ec5],0),"-")</f>
        <v>16</v>
      </c>
      <c r="CE49" s="79">
        <f>IFERROR(_xlfn.RANK.EQ(INDEX(スコア表[],MATCH($C49,スコア表['#],0),MATCH(CE$5,スコア表[#Headers],0)),スコア表[Ec6],0),"-")</f>
        <v>1</v>
      </c>
      <c r="CF49" s="79">
        <f>IFERROR(_xlfn.RANK.EQ(INDEX(スコア表[],MATCH($C49,スコア表['#],0),MATCH(CF$5,スコア表[#Headers],0)),スコア表[RD1],0),"-")</f>
        <v>38</v>
      </c>
      <c r="CG49" s="79">
        <f>IFERROR(_xlfn.RANK.EQ(INDEX(スコア表[],MATCH($C49,スコア表['#],0),MATCH(CG$5,スコア表[#Headers],0)),スコア表[RD2],0),"-")</f>
        <v>39</v>
      </c>
      <c r="CH49" s="79">
        <f>IFERROR(_xlfn.RANK.EQ(INDEX(スコア表[],MATCH($C49,スコア表['#],0),MATCH(CH$5,スコア表[#Headers],0)),スコア表[RD3],0),"-")</f>
        <v>22</v>
      </c>
      <c r="CI49" s="79">
        <f>IFERROR(_xlfn.RANK.EQ(INDEX(スコア表[],MATCH($C49,スコア表['#],0),MATCH(CI$5,スコア表[#Headers],0)),スコア表[CI1],0),"-")</f>
        <v>13</v>
      </c>
      <c r="CJ49" s="79">
        <f>IFERROR(_xlfn.RANK.EQ(INDEX(スコア表[],MATCH($C49,スコア表['#],0),MATCH(CJ$5,スコア表[#Headers],0)),スコア表[CI2],0),"-")</f>
        <v>15</v>
      </c>
      <c r="CK49" s="79">
        <f>IFERROR(_xlfn.RANK.EQ(INDEX(スコア表[],MATCH($C49,スコア表['#],0),MATCH(CK$5,スコア表[#Headers],0)),スコア表[CI3],0),"-")</f>
        <v>36</v>
      </c>
      <c r="CL49" s="79">
        <f>IFERROR(_xlfn.RANK.EQ(INDEX(スコア表[],MATCH($C49,スコア表['#],0),MATCH(CL$5,スコア表[#Headers],0)),スコア表[CI4],0),"-")</f>
        <v>6</v>
      </c>
      <c r="CM49" s="79">
        <f>IFERROR(_xlfn.RANK.EQ(INDEX(スコア表[],MATCH($C49,スコア表['#],0),MATCH(CM$5,スコア表[#Headers],0)),スコア表[CI5],0),"-")</f>
        <v>1</v>
      </c>
      <c r="CN49" s="79">
        <f>IFERROR(_xlfn.RANK.EQ(INDEX(スコア表[],MATCH($C49,スコア表['#],0),MATCH(CN$5,スコア表[#Headers],0)),スコア表[Li1],0),"-")</f>
        <v>6</v>
      </c>
      <c r="CO49" s="79">
        <f>IFERROR(_xlfn.RANK.EQ(INDEX(スコア表[],MATCH($C49,スコア表['#],0),MATCH(CO$5,スコア表[#Headers],0)),スコア表[Li2],0),"-")</f>
        <v>25</v>
      </c>
      <c r="CP49" s="79">
        <f>IFERROR(_xlfn.RANK.EQ(INDEX(スコア表[],MATCH($C49,スコア表['#],0),MATCH(CP$5,スコア表[#Headers],0)),スコア表[Li3],0),"-")</f>
        <v>26</v>
      </c>
      <c r="CQ49" s="79">
        <f>IFERROR(_xlfn.RANK.EQ(INDEX(スコア表[],MATCH($C49,スコア表['#],0),MATCH(CQ$5,スコア表[#Headers],0)),スコア表[Li4],0),"-")</f>
        <v>30</v>
      </c>
      <c r="CR49" s="79">
        <f>IFERROR(_xlfn.RANK.EQ(INDEX(スコア表[],MATCH($C49,スコア表['#],0),MATCH(CR$5,スコア表[#Headers],0)),スコア表[Li5],0),"-")</f>
        <v>19</v>
      </c>
      <c r="CS49" s="79">
        <f>IFERROR(_xlfn.RANK.EQ(INDEX(スコア表[],MATCH($C49,スコア表['#],0),MATCH(CS$5,スコア表[#Headers],0)),スコア表[En1],0),"-")</f>
        <v>43</v>
      </c>
      <c r="CT49" s="79">
        <f>IFERROR(_xlfn.RANK.EQ(INDEX(スコア表[],MATCH($C49,スコア表['#],0),MATCH(CT$5,スコア表[#Headers],0)),スコア表[En2],0),"-")</f>
        <v>48</v>
      </c>
      <c r="CU49" s="79">
        <f>IFERROR(_xlfn.RANK.EQ(INDEX(スコア表[],MATCH($C49,スコア表['#],0),MATCH(CU$5,スコア表[#Headers],0)),スコア表[En3],0),"-")</f>
        <v>16</v>
      </c>
      <c r="CV49" s="79">
        <f>IFERROR(_xlfn.RANK.EQ(INDEX(スコア表[],MATCH($C49,スコア表['#],0),MATCH(CV$5,スコア表[#Headers],0)),スコア表[Ac1],0),"-")</f>
        <v>2</v>
      </c>
      <c r="CW49" s="79">
        <f>IFERROR(_xlfn.RANK.EQ(INDEX(スコア表[],MATCH($C49,スコア表['#],0),MATCH(CW$5,スコア表[#Headers],0)),スコア表[Ac2],0),"-")</f>
        <v>9</v>
      </c>
      <c r="CX49" s="79">
        <f>IFERROR(_xlfn.RANK.EQ(INDEX(スコア表[],MATCH($C49,スコア表['#],0),MATCH(CX$5,スコア表[#Headers],0)),スコア表[Ac3],0),"-")</f>
        <v>38</v>
      </c>
      <c r="CY49" s="79">
        <f>IFERROR(_xlfn.RANK.EQ(INDEX(スコア表[],MATCH($C49,スコア表['#],0),MATCH(CY$5,スコア表[#Headers],0)),スコア表[Ac4],0),"-")</f>
        <v>5</v>
      </c>
      <c r="CZ49" s="79">
        <f>IFERROR(_xlfn.RANK.EQ(INDEX(スコア表[],MATCH($C49,スコア表['#],0),MATCH(CZ$5,スコア表[#Headers],0)),スコア表[Economy],0),"-")</f>
        <v>24</v>
      </c>
      <c r="DA49" s="79">
        <f>IFERROR(_xlfn.RANK.EQ(INDEX(スコア表[],MATCH($C49,スコア表['#],0),MATCH(DA$5,スコア表[#Headers],0)),スコア表[R&amp;D],0),"-")</f>
        <v>39</v>
      </c>
      <c r="DB49" s="79">
        <f>IFERROR(_xlfn.RANK.EQ(INDEX(スコア表[],MATCH($C49,スコア表['#],0),MATCH(DB$5,スコア表[#Headers],0)),スコア表[Cultural Interaction],0),"-")</f>
        <v>4</v>
      </c>
      <c r="DC49" s="79">
        <f>IFERROR(_xlfn.RANK.EQ(INDEX(スコア表[],MATCH($C49,スコア表['#],0),MATCH(DC$5,スコア表[#Headers],0)),スコア表[Livability],0),"-")</f>
        <v>19</v>
      </c>
      <c r="DD49" s="79">
        <f>IFERROR(_xlfn.RANK.EQ(INDEX(スコア表[],MATCH($C49,スコア表['#],0),MATCH(DD$5,スコア表[#Headers],0)),スコア表[Environment],0),"-")</f>
        <v>44</v>
      </c>
      <c r="DE49" s="79">
        <f>IFERROR(_xlfn.RANK.EQ(INDEX(スコア表[],MATCH($C49,スコア表['#],0),MATCH(DE$5,スコア表[#Headers],0)),スコア表[Accessibility],0),"-")</f>
        <v>6</v>
      </c>
      <c r="DF49" s="81">
        <f>IFERROR(_xlfn.RANK.EQ(INDEX(スコア表[],MATCH($C49,スコア表['#],0),MATCH(DF$5,スコア表[#Headers],0)),スコア表[Comprehensive],0),"-")</f>
        <v>8</v>
      </c>
    </row>
    <row r="50" spans="1:110">
      <c r="A50" s="2">
        <v>45</v>
      </c>
      <c r="B50" s="58">
        <f>INDEX(順位表[Comprehensive],MATCH($C50,順位表['#],0))</f>
        <v>28</v>
      </c>
      <c r="C50" s="3">
        <v>45</v>
      </c>
      <c r="D50" s="1" t="str">
        <f>INDEX(都市マスタ[City Name],MATCH($C50,都市マスタ['#],0))</f>
        <v>Dublin</v>
      </c>
      <c r="E50" s="79">
        <f>IFERROR(_xlfn.RANK.EQ(INDEX(スコア表[],MATCH($C50,スコア表['#],0),MATCH(E$5,スコア表[#Headers],0)),スコア表[00a],0),"-")</f>
        <v>46</v>
      </c>
      <c r="F50" s="79">
        <f>IFERROR(_xlfn.RANK.EQ(INDEX(スコア表[],MATCH($C50,スコア表['#],0),MATCH(F$5,スコア表[#Headers],0)),スコア表[00b],0),"-")</f>
        <v>43</v>
      </c>
      <c r="G50" s="79">
        <f>IFERROR(_xlfn.RANK.EQ(INDEX(スコア表[],MATCH($C50,スコア表['#],0),MATCH(G$5,スコア表[#Headers],0)),スコア表[00c],0),"-")</f>
        <v>37</v>
      </c>
      <c r="H50" s="79">
        <f>IFERROR(_xlfn.RANK.EQ(INDEX(スコア表[],MATCH($C50,スコア表['#],0),MATCH(H$5,スコア表[#Headers],0)),スコア表[01],0),"-")</f>
        <v>38</v>
      </c>
      <c r="I50" s="79">
        <f>IFERROR(_xlfn.RANK.EQ(INDEX(スコア表[],MATCH($C50,スコア表['#],0),MATCH(I$5,スコア表[#Headers],0)),スコア表[02],0),"-")</f>
        <v>5</v>
      </c>
      <c r="J50" s="79">
        <f>IFERROR(_xlfn.RANK.EQ(INDEX(スコア表[],MATCH($C50,スコア表['#],0),MATCH(J$5,スコア表[#Headers],0)),スコア表[03],0),"-")</f>
        <v>1</v>
      </c>
      <c r="K50" s="79">
        <f>IFERROR(_xlfn.RANK.EQ(INDEX(スコア表[],MATCH($C50,スコア表['#],0),MATCH(K$5,スコア表[#Headers],0)),スコア表[04],0),"-")</f>
        <v>4</v>
      </c>
      <c r="L50" s="79">
        <f>IFERROR(_xlfn.RANK.EQ(INDEX(スコア表[],MATCH($C50,スコア表['#],0),MATCH(L$5,スコア表[#Headers],0)),スコア表[05],0),"-")</f>
        <v>31</v>
      </c>
      <c r="M50" s="79">
        <f>IFERROR(_xlfn.RANK.EQ(INDEX(スコア表[],MATCH($C50,スコア表['#],0),MATCH(M$5,スコア表[#Headers],0)),スコア表[06],0),"-")</f>
        <v>22</v>
      </c>
      <c r="N50" s="79">
        <f>IFERROR(_xlfn.RANK.EQ(INDEX(スコア表[],MATCH($C50,スコア表['#],0),MATCH(N$5,スコア表[#Headers],0)),スコア表[07],0),"-")</f>
        <v>47</v>
      </c>
      <c r="O50" s="79">
        <f>IFERROR(_xlfn.RANK.EQ(INDEX(スコア表[],MATCH($C50,スコア表['#],0),MATCH(O$5,スコア表[#Headers],0)),スコア表[08],0),"-")</f>
        <v>30</v>
      </c>
      <c r="P50" s="79">
        <f>IFERROR(_xlfn.RANK.EQ(INDEX(スコア表[],MATCH($C50,スコア表['#],0),MATCH(P$5,スコア表[#Headers],0)),スコア表[09],0),"-")</f>
        <v>23</v>
      </c>
      <c r="Q50" s="79">
        <f>IFERROR(_xlfn.RANK.EQ(INDEX(スコア表[],MATCH($C50,スコア表['#],0),MATCH(Q$5,スコア表[#Headers],0)),スコア表[10],0),"-")</f>
        <v>13</v>
      </c>
      <c r="R50" s="79">
        <f>IFERROR(_xlfn.RANK.EQ(INDEX(スコア表[],MATCH($C50,スコア表['#],0),MATCH(R$5,スコア表[#Headers],0)),スコア表[11],0),"-")</f>
        <v>35</v>
      </c>
      <c r="S50" s="79">
        <f>IFERROR(_xlfn.RANK.EQ(INDEX(スコア表[],MATCH($C50,スコア表['#],0),MATCH(S$5,スコア表[#Headers],0)),スコア表[12],0),"-")</f>
        <v>2</v>
      </c>
      <c r="T50" s="79">
        <f>IFERROR(_xlfn.RANK.EQ(INDEX(スコア表[],MATCH($C50,スコア表['#],0),MATCH(T$5,スコア表[#Headers],0)),スコア表[13],0),"-")</f>
        <v>22</v>
      </c>
      <c r="U50" s="79">
        <f>IFERROR(_xlfn.RANK.EQ(INDEX(スコア表[],MATCH($C50,スコア表['#],0),MATCH(U$5,スコア表[#Headers],0)),スコア表[14],0),"-")</f>
        <v>46</v>
      </c>
      <c r="V50" s="79">
        <f>IFERROR(_xlfn.RANK.EQ(INDEX(スコア表[],MATCH($C50,スコア表['#],0),MATCH(V$5,スコア表[#Headers],0)),スコア表[15],0),"-")</f>
        <v>31</v>
      </c>
      <c r="W50" s="79">
        <f>IFERROR(_xlfn.RANK.EQ(INDEX(スコア表[],MATCH($C50,スコア表['#],0),MATCH(W$5,スコア表[#Headers],0)),スコア表[16],0),"-")</f>
        <v>39</v>
      </c>
      <c r="X50" s="79">
        <f>IFERROR(_xlfn.RANK.EQ(INDEX(スコア表[],MATCH($C50,スコア表['#],0),MATCH(X$5,スコア表[#Headers],0)),スコア表[17],0),"-")</f>
        <v>18</v>
      </c>
      <c r="Y50" s="79">
        <f>IFERROR(_xlfn.RANK.EQ(INDEX(スコア表[],MATCH($C50,スコア表['#],0),MATCH(Y$5,スコア表[#Headers],0)),スコア表[18],0),"-")</f>
        <v>13</v>
      </c>
      <c r="Z50" s="79">
        <f>IFERROR(_xlfn.RANK.EQ(INDEX(スコア表[],MATCH($C50,スコア表['#],0),MATCH(Z$5,スコア表[#Headers],0)),スコア表[19],0),"-")</f>
        <v>48</v>
      </c>
      <c r="AA50" s="79">
        <f>IFERROR(_xlfn.RANK.EQ(INDEX(スコア表[],MATCH($C50,スコア表['#],0),MATCH(AA$5,スコア表[#Headers],0)),スコア表[20],0),"-")</f>
        <v>23</v>
      </c>
      <c r="AB50" s="79">
        <f>IFERROR(_xlfn.RANK.EQ(INDEX(スコア表[],MATCH($C50,スコア表['#],0),MATCH(AB$5,スコア表[#Headers],0)),スコア表[21],0),"-")</f>
        <v>31</v>
      </c>
      <c r="AC50" s="79">
        <f>IFERROR(_xlfn.RANK.EQ(INDEX(スコア表[],MATCH($C50,スコア表['#],0),MATCH(AC$5,スコア表[#Headers],0)),スコア表[22],0),"-")</f>
        <v>25</v>
      </c>
      <c r="AD50" s="79">
        <f>IFERROR(_xlfn.RANK.EQ(INDEX(スコア表[],MATCH($C50,スコア表['#],0),MATCH(AD$5,スコア表[#Headers],0)),スコア表[23],0),"-")</f>
        <v>18</v>
      </c>
      <c r="AE50" s="79">
        <f>IFERROR(_xlfn.RANK.EQ(INDEX(スコア表[],MATCH($C50,スコア表['#],0),MATCH(AE$5,スコア表[#Headers],0)),スコア表[24],0),"-")</f>
        <v>26</v>
      </c>
      <c r="AF50" s="79">
        <f>IFERROR(_xlfn.RANK.EQ(INDEX(スコア表[],MATCH($C50,スコア表['#],0),MATCH(AF$5,スコア表[#Headers],0)),スコア表[25],0),"-")</f>
        <v>41</v>
      </c>
      <c r="AG50" s="79">
        <f>IFERROR(_xlfn.RANK.EQ(INDEX(スコア表[],MATCH($C50,スコア表['#],0),MATCH(AG$5,スコア表[#Headers],0)),スコア表[26],0),"-")</f>
        <v>28</v>
      </c>
      <c r="AH50" s="79">
        <f>IFERROR(_xlfn.RANK.EQ(INDEX(スコア表[],MATCH($C50,スコア表['#],0),MATCH(AH$5,スコア表[#Headers],0)),スコア表[27],0),"-")</f>
        <v>28</v>
      </c>
      <c r="AI50" s="79">
        <f>IFERROR(_xlfn.RANK.EQ(INDEX(スコア表[],MATCH($C50,スコア表['#],0),MATCH(AI$5,スコア表[#Headers],0)),スコア表[28],0),"-")</f>
        <v>18</v>
      </c>
      <c r="AJ50" s="79">
        <f>IFERROR(_xlfn.RANK.EQ(INDEX(スコア表[],MATCH($C50,スコア表['#],0),MATCH(AJ$5,スコア表[#Headers],0)),スコア表[29],0),"-")</f>
        <v>35</v>
      </c>
      <c r="AK50" s="79">
        <f>IFERROR(_xlfn.RANK.EQ(INDEX(スコア表[],MATCH($C50,スコア表['#],0),MATCH(AK$5,スコア表[#Headers],0)),スコア表[30],0),"-")</f>
        <v>14</v>
      </c>
      <c r="AL50" s="79">
        <f>IFERROR(_xlfn.RANK.EQ(INDEX(スコア表[],MATCH($C50,スコア表['#],0),MATCH(AL$5,スコア表[#Headers],0)),スコア表[31],0),"-")</f>
        <v>23</v>
      </c>
      <c r="AM50" s="79">
        <f>IFERROR(_xlfn.RANK.EQ(INDEX(スコア表[],MATCH($C50,スコア表['#],0),MATCH(AM$5,スコア表[#Headers],0)),スコア表[32],0),"-")</f>
        <v>34</v>
      </c>
      <c r="AN50" s="79">
        <f>IFERROR(_xlfn.RANK.EQ(INDEX(スコア表[],MATCH($C50,スコア表['#],0),MATCH(AN$5,スコア表[#Headers],0)),スコア表[33],0),"-")</f>
        <v>38</v>
      </c>
      <c r="AO50" s="79">
        <f>IFERROR(_xlfn.RANK.EQ(INDEX(スコア表[],MATCH($C50,スコア表['#],0),MATCH(AO$5,スコア表[#Headers],0)),スコア表[34],0),"-")</f>
        <v>46</v>
      </c>
      <c r="AP50" s="79">
        <f>IFERROR(_xlfn.RANK.EQ(INDEX(スコア表[],MATCH($C50,スコア表['#],0),MATCH(AP$5,スコア表[#Headers],0)),スコア表[35],0),"-")</f>
        <v>41</v>
      </c>
      <c r="AQ50" s="79">
        <f>IFERROR(_xlfn.RANK.EQ(INDEX(スコア表[],MATCH($C50,スコア表['#],0),MATCH(AQ$5,スコア表[#Headers],0)),スコア表[36],0),"-")</f>
        <v>37</v>
      </c>
      <c r="AR50" s="79">
        <f>IFERROR(_xlfn.RANK.EQ(INDEX(スコア表[],MATCH($C50,スコア表['#],0),MATCH(AR$5,スコア表[#Headers],0)),スコア表[37],0),"-")</f>
        <v>27</v>
      </c>
      <c r="AS50" s="79">
        <f>IFERROR(_xlfn.RANK.EQ(INDEX(スコア表[],MATCH($C50,スコア表['#],0),MATCH(AS$5,スコア表[#Headers],0)),スコア表[38],0),"-")</f>
        <v>25</v>
      </c>
      <c r="AT50" s="79">
        <f>IFERROR(_xlfn.RANK.EQ(INDEX(スコア表[],MATCH($C50,スコア表['#],0),MATCH(AT$5,スコア表[#Headers],0)),スコア表[39],0),"-")</f>
        <v>26</v>
      </c>
      <c r="AU50" s="79">
        <f>IFERROR(_xlfn.RANK.EQ(INDEX(スコア表[],MATCH($C50,スコア表['#],0),MATCH(AU$5,スコア表[#Headers],0)),スコア表[40],0),"-")</f>
        <v>39</v>
      </c>
      <c r="AV50" s="79">
        <f>IFERROR(_xlfn.RANK.EQ(INDEX(スコア表[],MATCH($C50,スコア表['#],0),MATCH(AV$5,スコア表[#Headers],0)),スコア表[41],0),"-")</f>
        <v>38</v>
      </c>
      <c r="AW50" s="79">
        <f>IFERROR(_xlfn.RANK.EQ(INDEX(スコア表[],MATCH($C50,スコア表['#],0),MATCH(AW$5,スコア表[#Headers],0)),スコア表[42],0),"-")</f>
        <v>32</v>
      </c>
      <c r="AX50" s="79">
        <f>IFERROR(_xlfn.RANK.EQ(INDEX(スコア表[],MATCH($C50,スコア表['#],0),MATCH(AX$5,スコア表[#Headers],0)),スコア表[43],0),"-")</f>
        <v>27</v>
      </c>
      <c r="AY50" s="79">
        <f>IFERROR(_xlfn.RANK.EQ(INDEX(スコア表[],MATCH($C50,スコア表['#],0),MATCH(AY$5,スコア表[#Headers],0)),スコア表[44],0),"-")</f>
        <v>3</v>
      </c>
      <c r="AZ50" s="79">
        <f>IFERROR(_xlfn.RANK.EQ(INDEX(スコア表[],MATCH($C50,スコア表['#],0),MATCH(AZ$5,スコア表[#Headers],0)),スコア表[45],0),"-")</f>
        <v>20</v>
      </c>
      <c r="BA50" s="79">
        <f>IFERROR(_xlfn.RANK.EQ(INDEX(スコア表[],MATCH($C50,スコア表['#],0),MATCH(BA$5,スコア表[#Headers],0)),スコア表[46],0),"-")</f>
        <v>4</v>
      </c>
      <c r="BB50" s="79">
        <f>IFERROR(_xlfn.RANK.EQ(INDEX(スコア表[],MATCH($C50,スコア表['#],0),MATCH(BB$5,スコア表[#Headers],0)),スコア表[47],0),"-")</f>
        <v>15</v>
      </c>
      <c r="BC50" s="79">
        <f>IFERROR(_xlfn.RANK.EQ(INDEX(スコア表[],MATCH($C50,スコア表['#],0),MATCH(BC$5,スコア表[#Headers],0)),スコア表[48],0),"-")</f>
        <v>23</v>
      </c>
      <c r="BD50" s="79">
        <f>IFERROR(_xlfn.RANK.EQ(INDEX(スコア表[],MATCH($C50,スコア表['#],0),MATCH(BD$5,スコア表[#Headers],0)),スコア表[49],0),"-")</f>
        <v>32</v>
      </c>
      <c r="BE50" s="79">
        <f>IFERROR(_xlfn.RANK.EQ(INDEX(スコア表[],MATCH($C50,スコア表['#],0),MATCH(BE$5,スコア表[#Headers],0)),スコア表[50],0),"-")</f>
        <v>32</v>
      </c>
      <c r="BF50" s="79">
        <f>IFERROR(_xlfn.RANK.EQ(INDEX(スコア表[],MATCH($C50,スコア表['#],0),MATCH(BF$5,スコア表[#Headers],0)),スコア表[51],0),"-")</f>
        <v>32</v>
      </c>
      <c r="BG50" s="79">
        <f>IFERROR(_xlfn.RANK.EQ(INDEX(スコア表[],MATCH($C50,スコア表['#],0),MATCH(BG$5,スコア表[#Headers],0)),スコア表[52],0),"-")</f>
        <v>44</v>
      </c>
      <c r="BH50" s="79">
        <f>IFERROR(_xlfn.RANK.EQ(INDEX(スコア表[],MATCH($C50,スコア表['#],0),MATCH(BH$5,スコア表[#Headers],0)),スコア表[53],0),"-")</f>
        <v>21</v>
      </c>
      <c r="BI50" s="79">
        <f>IFERROR(_xlfn.RANK.EQ(INDEX(スコア表[],MATCH($C50,スコア表['#],0),MATCH(BI$5,スコア表[#Headers],0)),スコア表[54],0),"-")</f>
        <v>17</v>
      </c>
      <c r="BJ50" s="79">
        <f>IFERROR(_xlfn.RANK.EQ(INDEX(スコア表[],MATCH($C50,スコア表['#],0),MATCH(BJ$5,スコア表[#Headers],0)),スコア表[55],0),"-")</f>
        <v>26</v>
      </c>
      <c r="BK50" s="79">
        <f>IFERROR(_xlfn.RANK.EQ(INDEX(スコア表[],MATCH($C50,スコア表['#],0),MATCH(BK$5,スコア表[#Headers],0)),スコア表[56],0),"-")</f>
        <v>6</v>
      </c>
      <c r="BL50" s="79">
        <f>IFERROR(_xlfn.RANK.EQ(INDEX(スコア表[],MATCH($C50,スコア表['#],0),MATCH(BL$5,スコア表[#Headers],0)),スコア表[57],0),"-")</f>
        <v>35</v>
      </c>
      <c r="BM50" s="79">
        <f>IFERROR(_xlfn.RANK.EQ(INDEX(スコア表[],MATCH($C50,スコア表['#],0),MATCH(BM$5,スコア表[#Headers],0)),スコア表[58],0),"-")</f>
        <v>22</v>
      </c>
      <c r="BN50" s="79">
        <f>IFERROR(_xlfn.RANK.EQ(INDEX(スコア表[],MATCH($C50,スコア表['#],0),MATCH(BN$5,スコア表[#Headers],0)),スコア表[59],0),"-")</f>
        <v>21</v>
      </c>
      <c r="BO50" s="79">
        <f>IFERROR(_xlfn.RANK.EQ(INDEX(スコア表[],MATCH($C50,スコア表['#],0),MATCH(BO$5,スコア表[#Headers],0)),スコア表[60],0),"-")</f>
        <v>26</v>
      </c>
      <c r="BP50" s="79">
        <f>IFERROR(_xlfn.RANK.EQ(INDEX(スコア表[],MATCH($C50,スコア表['#],0),MATCH(BP$5,スコア表[#Headers],0)),スコア表[61],0),"-")</f>
        <v>11</v>
      </c>
      <c r="BQ50" s="79">
        <f>IFERROR(_xlfn.RANK.EQ(INDEX(スコア表[],MATCH($C50,スコア表['#],0),MATCH(BQ$5,スコア表[#Headers],0)),スコア表[62],0),"-")</f>
        <v>40</v>
      </c>
      <c r="BR50" s="79">
        <f>IFERROR(_xlfn.RANK.EQ(INDEX(スコア表[],MATCH($C50,スコア表['#],0),MATCH(BR$5,スコア表[#Headers],0)),スコア表[63],0),"-")</f>
        <v>28</v>
      </c>
      <c r="BS50" s="79">
        <f>IFERROR(_xlfn.RANK.EQ(INDEX(スコア表[],MATCH($C50,スコア表['#],0),MATCH(BS$5,スコア表[#Headers],0)),スコア表[64],0),"-")</f>
        <v>30</v>
      </c>
      <c r="BT50" s="79">
        <f>IFERROR(_xlfn.RANK.EQ(INDEX(スコア表[],MATCH($C50,スコア表['#],0),MATCH(BT$5,スコア表[#Headers],0)),スコア表[65],0),"-")</f>
        <v>36</v>
      </c>
      <c r="BU50" s="79">
        <f>IFERROR(_xlfn.RANK.EQ(INDEX(スコア表[],MATCH($C50,スコア表['#],0),MATCH(BU$5,スコア表[#Headers],0)),スコア表[66],0),"-")</f>
        <v>22</v>
      </c>
      <c r="BV50" s="79">
        <f>IFERROR(_xlfn.RANK.EQ(INDEX(スコア表[],MATCH($C50,スコア表['#],0),MATCH(BV$5,スコア表[#Headers],0)),スコア表[67],0),"-")</f>
        <v>7</v>
      </c>
      <c r="BW50" s="79">
        <f>IFERROR(_xlfn.RANK.EQ(INDEX(スコア表[],MATCH($C50,スコア表['#],0),MATCH(BW$5,スコア表[#Headers],0)),スコア表[68],0),"-")</f>
        <v>21</v>
      </c>
      <c r="BX50" s="79">
        <f>IFERROR(_xlfn.RANK.EQ(INDEX(スコア表[],MATCH($C50,スコア表['#],0),MATCH(BX$5,スコア表[#Headers],0)),スコア表[69],0),"-")</f>
        <v>47</v>
      </c>
      <c r="BY50" s="79">
        <f>IFERROR(_xlfn.RANK.EQ(INDEX(スコア表[],MATCH($C50,スコア表['#],0),MATCH(BY$5,スコア表[#Headers],0)),スコア表[70],0),"-")</f>
        <v>38</v>
      </c>
      <c r="BZ50" s="79">
        <f>IFERROR(_xlfn.RANK.EQ(INDEX(スコア表[],MATCH($C50,スコア表['#],0),MATCH(BZ$5,スコア表[#Headers],0)),スコア表[Ec1],0),"-")</f>
        <v>12</v>
      </c>
      <c r="CA50" s="79">
        <f>IFERROR(_xlfn.RANK.EQ(INDEX(スコア表[],MATCH($C50,スコア表['#],0),MATCH(CA$5,スコア表[#Headers],0)),スコア表[Ec2],0),"-")</f>
        <v>1</v>
      </c>
      <c r="CB50" s="79">
        <f>IFERROR(_xlfn.RANK.EQ(INDEX(スコア表[],MATCH($C50,スコア表['#],0),MATCH(CB$5,スコア表[#Headers],0)),スコア表[Ec3],0),"-")</f>
        <v>28</v>
      </c>
      <c r="CC50" s="79">
        <f>IFERROR(_xlfn.RANK.EQ(INDEX(スコア表[],MATCH($C50,スコア表['#],0),MATCH(CC$5,スコア表[#Headers],0)),スコア表[Ec4],0),"-")</f>
        <v>41</v>
      </c>
      <c r="CD50" s="79">
        <f>IFERROR(_xlfn.RANK.EQ(INDEX(スコア表[],MATCH($C50,スコア表['#],0),MATCH(CD$5,スコア表[#Headers],0)),スコア表[Ec5],0),"-")</f>
        <v>21</v>
      </c>
      <c r="CE50" s="79">
        <f>IFERROR(_xlfn.RANK.EQ(INDEX(スコア表[],MATCH($C50,スコア表['#],0),MATCH(CE$5,スコア表[#Headers],0)),スコア表[Ec6],0),"-")</f>
        <v>2</v>
      </c>
      <c r="CF50" s="79">
        <f>IFERROR(_xlfn.RANK.EQ(INDEX(スコア表[],MATCH($C50,スコア表['#],0),MATCH(CF$5,スコア表[#Headers],0)),スコア表[RD1],0),"-")</f>
        <v>40</v>
      </c>
      <c r="CG50" s="79">
        <f>IFERROR(_xlfn.RANK.EQ(INDEX(スコア表[],MATCH($C50,スコア表['#],0),MATCH(CG$5,スコア表[#Headers],0)),スコア表[RD2],0),"-")</f>
        <v>25</v>
      </c>
      <c r="CH50" s="79">
        <f>IFERROR(_xlfn.RANK.EQ(INDEX(スコア表[],MATCH($C50,スコア表['#],0),MATCH(CH$5,スコア表[#Headers],0)),スコア表[RD3],0),"-")</f>
        <v>43</v>
      </c>
      <c r="CI50" s="79">
        <f>IFERROR(_xlfn.RANK.EQ(INDEX(スコア表[],MATCH($C50,スコア表['#],0),MATCH(CI$5,スコア表[#Headers],0)),スコア表[CI1],0),"-")</f>
        <v>29</v>
      </c>
      <c r="CJ50" s="79">
        <f>IFERROR(_xlfn.RANK.EQ(INDEX(スコア表[],MATCH($C50,スコア表['#],0),MATCH(CJ$5,スコア表[#Headers],0)),スコア表[CI2],0),"-")</f>
        <v>24</v>
      </c>
      <c r="CK50" s="79">
        <f>IFERROR(_xlfn.RANK.EQ(INDEX(スコア表[],MATCH($C50,スコア表['#],0),MATCH(CK$5,スコア表[#Headers],0)),スコア表[CI3],0),"-")</f>
        <v>29</v>
      </c>
      <c r="CL50" s="79">
        <f>IFERROR(_xlfn.RANK.EQ(INDEX(スコア表[],MATCH($C50,スコア表['#],0),MATCH(CL$5,スコア表[#Headers],0)),スコア表[CI4],0),"-")</f>
        <v>45</v>
      </c>
      <c r="CM50" s="79">
        <f>IFERROR(_xlfn.RANK.EQ(INDEX(スコア表[],MATCH($C50,スコア表['#],0),MATCH(CM$5,スコア表[#Headers],0)),スコア表[CI5],0),"-")</f>
        <v>35</v>
      </c>
      <c r="CN50" s="79">
        <f>IFERROR(_xlfn.RANK.EQ(INDEX(スコア表[],MATCH($C50,スコア表['#],0),MATCH(CN$5,スコア表[#Headers],0)),スコア表[Li1],0),"-")</f>
        <v>35</v>
      </c>
      <c r="CO50" s="79">
        <f>IFERROR(_xlfn.RANK.EQ(INDEX(スコア表[],MATCH($C50,スコア表['#],0),MATCH(CO$5,スコア表[#Headers],0)),スコア表[Li2],0),"-")</f>
        <v>38</v>
      </c>
      <c r="CP50" s="79">
        <f>IFERROR(_xlfn.RANK.EQ(INDEX(スコア表[],MATCH($C50,スコア表['#],0),MATCH(CP$5,スコア表[#Headers],0)),スコア表[Li3],0),"-")</f>
        <v>10</v>
      </c>
      <c r="CQ50" s="79">
        <f>IFERROR(_xlfn.RANK.EQ(INDEX(スコア表[],MATCH($C50,スコア表['#],0),MATCH(CQ$5,スコア表[#Headers],0)),スコア表[Li4],0),"-")</f>
        <v>6</v>
      </c>
      <c r="CR50" s="79">
        <f>IFERROR(_xlfn.RANK.EQ(INDEX(スコア表[],MATCH($C50,スコア表['#],0),MATCH(CR$5,スコア表[#Headers],0)),スコア表[Li5],0),"-")</f>
        <v>37</v>
      </c>
      <c r="CS50" s="79">
        <f>IFERROR(_xlfn.RANK.EQ(INDEX(スコア表[],MATCH($C50,スコア表['#],0),MATCH(CS$5,スコア表[#Headers],0)),スコア表[En1],0),"-")</f>
        <v>41</v>
      </c>
      <c r="CT50" s="79">
        <f>IFERROR(_xlfn.RANK.EQ(INDEX(スコア表[],MATCH($C50,スコア表['#],0),MATCH(CT$5,スコア表[#Headers],0)),スコア表[En2],0),"-")</f>
        <v>19</v>
      </c>
      <c r="CU50" s="79">
        <f>IFERROR(_xlfn.RANK.EQ(INDEX(スコア表[],MATCH($C50,スコア表['#],0),MATCH(CU$5,スコア表[#Headers],0)),スコア表[En3],0),"-")</f>
        <v>23</v>
      </c>
      <c r="CV50" s="79">
        <f>IFERROR(_xlfn.RANK.EQ(INDEX(スコア表[],MATCH($C50,スコア表['#],0),MATCH(CV$5,スコア表[#Headers],0)),スコア表[Ac1],0),"-")</f>
        <v>20</v>
      </c>
      <c r="CW50" s="79">
        <f>IFERROR(_xlfn.RANK.EQ(INDEX(スコア表[],MATCH($C50,スコア表['#],0),MATCH(CW$5,スコア表[#Headers],0)),スコア表[Ac2],0),"-")</f>
        <v>28</v>
      </c>
      <c r="CX50" s="79">
        <f>IFERROR(_xlfn.RANK.EQ(INDEX(スコア表[],MATCH($C50,スコア表['#],0),MATCH(CX$5,スコア表[#Headers],0)),スコア表[Ac3],0),"-")</f>
        <v>18</v>
      </c>
      <c r="CY50" s="79">
        <f>IFERROR(_xlfn.RANK.EQ(INDEX(スコア表[],MATCH($C50,スコア表['#],0),MATCH(CY$5,スコア表[#Headers],0)),スコア表[Ac4],0),"-")</f>
        <v>40</v>
      </c>
      <c r="CZ50" s="79">
        <f>IFERROR(_xlfn.RANK.EQ(INDEX(スコア表[],MATCH($C50,スコア表['#],0),MATCH(CZ$5,スコア表[#Headers],0)),スコア表[Economy],0),"-")</f>
        <v>6</v>
      </c>
      <c r="DA50" s="79">
        <f>IFERROR(_xlfn.RANK.EQ(INDEX(スコア表[],MATCH($C50,スコア表['#],0),MATCH(DA$5,スコア表[#Headers],0)),スコア表[R&amp;D],0),"-")</f>
        <v>34</v>
      </c>
      <c r="DB50" s="79">
        <f>IFERROR(_xlfn.RANK.EQ(INDEX(スコア表[],MATCH($C50,スコア表['#],0),MATCH(DB$5,スコア表[#Headers],0)),スコア表[Cultural Interaction],0),"-")</f>
        <v>36</v>
      </c>
      <c r="DC50" s="79">
        <f>IFERROR(_xlfn.RANK.EQ(INDEX(スコア表[],MATCH($C50,スコア表['#],0),MATCH(DC$5,スコア表[#Headers],0)),スコア表[Livability],0),"-")</f>
        <v>29</v>
      </c>
      <c r="DD50" s="79">
        <f>IFERROR(_xlfn.RANK.EQ(INDEX(スコア表[],MATCH($C50,スコア表['#],0),MATCH(DD$5,スコア表[#Headers],0)),スコア表[Environment],0),"-")</f>
        <v>22</v>
      </c>
      <c r="DE50" s="79">
        <f>IFERROR(_xlfn.RANK.EQ(INDEX(スコア表[],MATCH($C50,スコア表['#],0),MATCH(DE$5,スコア表[#Headers],0)),スコア表[Accessibility],0),"-")</f>
        <v>27</v>
      </c>
      <c r="DF50" s="81">
        <f>IFERROR(_xlfn.RANK.EQ(INDEX(スコア表[],MATCH($C50,スコア表['#],0),MATCH(DF$5,スコア表[#Headers],0)),スコア表[Comprehensive],0),"-")</f>
        <v>28</v>
      </c>
    </row>
    <row r="51" spans="1:110">
      <c r="A51" s="2">
        <v>46</v>
      </c>
      <c r="B51" s="58">
        <f>INDEX(順位表[Comprehensive],MATCH($C51,順位表['#],0))</f>
        <v>31</v>
      </c>
      <c r="C51" s="3">
        <v>46</v>
      </c>
      <c r="D51" s="1" t="str">
        <f>INDEX(都市マスタ[City Name],MATCH($C51,都市マスタ['#],0))</f>
        <v>Helsinki</v>
      </c>
      <c r="E51" s="79">
        <f>IFERROR(_xlfn.RANK.EQ(INDEX(スコア表[],MATCH($C51,スコア表['#],0),MATCH(E$5,スコア表[#Headers],0)),スコア表[00a],0),"-")</f>
        <v>44</v>
      </c>
      <c r="F51" s="79">
        <f>IFERROR(_xlfn.RANK.EQ(INDEX(スコア表[],MATCH($C51,スコア表['#],0),MATCH(F$5,スコア表[#Headers],0)),スコア表[00b],0),"-")</f>
        <v>32</v>
      </c>
      <c r="G51" s="79">
        <f>IFERROR(_xlfn.RANK.EQ(INDEX(スコア表[],MATCH($C51,スコア表['#],0),MATCH(G$5,スコア表[#Headers],0)),スコア表[00c],0),"-")</f>
        <v>37</v>
      </c>
      <c r="H51" s="79">
        <f>IFERROR(_xlfn.RANK.EQ(INDEX(スコア表[],MATCH($C51,スコア表['#],0),MATCH(H$5,スコア表[#Headers],0)),スコア表[01],0),"-")</f>
        <v>44</v>
      </c>
      <c r="I51" s="79">
        <f>IFERROR(_xlfn.RANK.EQ(INDEX(スコア表[],MATCH($C51,スコア表['#],0),MATCH(I$5,スコア表[#Headers],0)),スコア表[02],0),"-")</f>
        <v>20</v>
      </c>
      <c r="J51" s="79">
        <f>IFERROR(_xlfn.RANK.EQ(INDEX(スコア表[],MATCH($C51,スコア表['#],0),MATCH(J$5,スコア表[#Headers],0)),スコア表[03],0),"-")</f>
        <v>28</v>
      </c>
      <c r="K51" s="79">
        <f>IFERROR(_xlfn.RANK.EQ(INDEX(スコア表[],MATCH($C51,スコア表['#],0),MATCH(K$5,スコア表[#Headers],0)),スコア表[04],0),"-")</f>
        <v>9</v>
      </c>
      <c r="L51" s="79">
        <f>IFERROR(_xlfn.RANK.EQ(INDEX(スコア表[],MATCH($C51,スコア表['#],0),MATCH(L$5,スコア表[#Headers],0)),スコア表[05],0),"-")</f>
        <v>28</v>
      </c>
      <c r="M51" s="79">
        <f>IFERROR(_xlfn.RANK.EQ(INDEX(スコア表[],MATCH($C51,スコア表['#],0),MATCH(M$5,スコア表[#Headers],0)),スコア表[06],0),"-")</f>
        <v>35</v>
      </c>
      <c r="N51" s="79">
        <f>IFERROR(_xlfn.RANK.EQ(INDEX(スコア表[],MATCH($C51,スコア表['#],0),MATCH(N$5,スコア表[#Headers],0)),スコア表[07],0),"-")</f>
        <v>46</v>
      </c>
      <c r="O51" s="79">
        <f>IFERROR(_xlfn.RANK.EQ(INDEX(スコア表[],MATCH($C51,スコア表['#],0),MATCH(O$5,スコア表[#Headers],0)),スコア表[08],0),"-")</f>
        <v>7</v>
      </c>
      <c r="P51" s="79">
        <f>IFERROR(_xlfn.RANK.EQ(INDEX(スコア表[],MATCH($C51,スコア表['#],0),MATCH(P$5,スコア表[#Headers],0)),スコア表[09],0),"-")</f>
        <v>20</v>
      </c>
      <c r="Q51" s="79">
        <f>IFERROR(_xlfn.RANK.EQ(INDEX(スコア表[],MATCH($C51,スコア表['#],0),MATCH(Q$5,スコア表[#Headers],0)),スコア表[10],0),"-")</f>
        <v>17</v>
      </c>
      <c r="R51" s="79">
        <f>IFERROR(_xlfn.RANK.EQ(INDEX(スコア表[],MATCH($C51,スコア表['#],0),MATCH(R$5,スコア表[#Headers],0)),スコア表[11],0),"-")</f>
        <v>40</v>
      </c>
      <c r="S51" s="79">
        <f>IFERROR(_xlfn.RANK.EQ(INDEX(スコア表[],MATCH($C51,スコア表['#],0),MATCH(S$5,スコア表[#Headers],0)),スコア表[12],0),"-")</f>
        <v>7</v>
      </c>
      <c r="T51" s="79">
        <f>IFERROR(_xlfn.RANK.EQ(INDEX(スコア表[],MATCH($C51,スコア表['#],0),MATCH(T$5,スコア表[#Headers],0)),スコア表[13],0),"-")</f>
        <v>17</v>
      </c>
      <c r="U51" s="79">
        <f>IFERROR(_xlfn.RANK.EQ(INDEX(スコア表[],MATCH($C51,スコア表['#],0),MATCH(U$5,スコア表[#Headers],0)),スコア表[14],0),"-")</f>
        <v>37</v>
      </c>
      <c r="V51" s="79">
        <f>IFERROR(_xlfn.RANK.EQ(INDEX(スコア表[],MATCH($C51,スコア表['#],0),MATCH(V$5,スコア表[#Headers],0)),スコア表[15],0),"-")</f>
        <v>27</v>
      </c>
      <c r="W51" s="79">
        <f>IFERROR(_xlfn.RANK.EQ(INDEX(スコア表[],MATCH($C51,スコア表['#],0),MATCH(W$5,スコア表[#Headers],0)),スコア表[16],0),"-")</f>
        <v>36</v>
      </c>
      <c r="X51" s="79">
        <f>IFERROR(_xlfn.RANK.EQ(INDEX(スコア表[],MATCH($C51,スコア表['#],0),MATCH(X$5,スコア表[#Headers],0)),スコア表[17],0),"-")</f>
        <v>40</v>
      </c>
      <c r="Y51" s="79">
        <f>IFERROR(_xlfn.RANK.EQ(INDEX(スコア表[],MATCH($C51,スコア表['#],0),MATCH(Y$5,スコア表[#Headers],0)),スコア表[18],0),"-")</f>
        <v>12</v>
      </c>
      <c r="Z51" s="79">
        <f>IFERROR(_xlfn.RANK.EQ(INDEX(スコア表[],MATCH($C51,スコア表['#],0),MATCH(Z$5,スコア表[#Headers],0)),スコア表[19],0),"-")</f>
        <v>42</v>
      </c>
      <c r="AA51" s="79">
        <f>IFERROR(_xlfn.RANK.EQ(INDEX(スコア表[],MATCH($C51,スコア表['#],0),MATCH(AA$5,スコア表[#Headers],0)),スコア表[20],0),"-")</f>
        <v>20</v>
      </c>
      <c r="AB51" s="79">
        <f>IFERROR(_xlfn.RANK.EQ(INDEX(スコア表[],MATCH($C51,スコア表['#],0),MATCH(AB$5,スコア表[#Headers],0)),スコア表[21],0),"-")</f>
        <v>35</v>
      </c>
      <c r="AC51" s="79">
        <f>IFERROR(_xlfn.RANK.EQ(INDEX(スコア表[],MATCH($C51,スコア表['#],0),MATCH(AC$5,スコア表[#Headers],0)),スコア表[22],0),"-")</f>
        <v>11</v>
      </c>
      <c r="AD51" s="79">
        <f>IFERROR(_xlfn.RANK.EQ(INDEX(スコア表[],MATCH($C51,スコア表['#],0),MATCH(AD$5,スコア表[#Headers],0)),スコア表[23],0),"-")</f>
        <v>18</v>
      </c>
      <c r="AE51" s="79">
        <f>IFERROR(_xlfn.RANK.EQ(INDEX(スコア表[],MATCH($C51,スコア表['#],0),MATCH(AE$5,スコア表[#Headers],0)),スコア表[24],0),"-")</f>
        <v>46</v>
      </c>
      <c r="AF51" s="79">
        <f>IFERROR(_xlfn.RANK.EQ(INDEX(スコア表[],MATCH($C51,スコア表['#],0),MATCH(AF$5,スコア表[#Headers],0)),スコア表[25],0),"-")</f>
        <v>41</v>
      </c>
      <c r="AG51" s="79">
        <f>IFERROR(_xlfn.RANK.EQ(INDEX(スコア表[],MATCH($C51,スコア表['#],0),MATCH(AG$5,スコア表[#Headers],0)),スコア表[26],0),"-")</f>
        <v>45</v>
      </c>
      <c r="AH51" s="79">
        <f>IFERROR(_xlfn.RANK.EQ(INDEX(スコア表[],MATCH($C51,スコア表['#],0),MATCH(AH$5,スコア表[#Headers],0)),スコア表[27],0),"-")</f>
        <v>24</v>
      </c>
      <c r="AI51" s="79">
        <f>IFERROR(_xlfn.RANK.EQ(INDEX(スコア表[],MATCH($C51,スコア表['#],0),MATCH(AI$5,スコア表[#Headers],0)),スコア表[28],0),"-")</f>
        <v>48</v>
      </c>
      <c r="AJ51" s="79">
        <f>IFERROR(_xlfn.RANK.EQ(INDEX(スコア表[],MATCH($C51,スコア表['#],0),MATCH(AJ$5,スコア表[#Headers],0)),スコア表[29],0),"-")</f>
        <v>30</v>
      </c>
      <c r="AK51" s="79">
        <f>IFERROR(_xlfn.RANK.EQ(INDEX(スコア表[],MATCH($C51,スコア表['#],0),MATCH(AK$5,スコア表[#Headers],0)),スコア表[30],0),"-")</f>
        <v>20</v>
      </c>
      <c r="AL51" s="79">
        <f>IFERROR(_xlfn.RANK.EQ(INDEX(スコア表[],MATCH($C51,スコア表['#],0),MATCH(AL$5,スコア表[#Headers],0)),スコア表[31],0),"-")</f>
        <v>34</v>
      </c>
      <c r="AM51" s="79">
        <f>IFERROR(_xlfn.RANK.EQ(INDEX(スコア表[],MATCH($C51,スコア表['#],0),MATCH(AM$5,スコア表[#Headers],0)),スコア表[32],0),"-")</f>
        <v>45</v>
      </c>
      <c r="AN51" s="79">
        <f>IFERROR(_xlfn.RANK.EQ(INDEX(スコア表[],MATCH($C51,スコア表['#],0),MATCH(AN$5,スコア表[#Headers],0)),スコア表[33],0),"-")</f>
        <v>46</v>
      </c>
      <c r="AO51" s="79">
        <f>IFERROR(_xlfn.RANK.EQ(INDEX(スコア表[],MATCH($C51,スコア表['#],0),MATCH(AO$5,スコア表[#Headers],0)),スコア表[34],0),"-")</f>
        <v>47</v>
      </c>
      <c r="AP51" s="79">
        <f>IFERROR(_xlfn.RANK.EQ(INDEX(スコア表[],MATCH($C51,スコア表['#],0),MATCH(AP$5,スコア表[#Headers],0)),スコア表[35],0),"-")</f>
        <v>48</v>
      </c>
      <c r="AQ51" s="79">
        <f>IFERROR(_xlfn.RANK.EQ(INDEX(スコア表[],MATCH($C51,スコア表['#],0),MATCH(AQ$5,スコア表[#Headers],0)),スコア表[36],0),"-")</f>
        <v>41</v>
      </c>
      <c r="AR51" s="79">
        <f>IFERROR(_xlfn.RANK.EQ(INDEX(スコア表[],MATCH($C51,スコア表['#],0),MATCH(AR$5,スコア表[#Headers],0)),スコア表[37],0),"-")</f>
        <v>35</v>
      </c>
      <c r="AS51" s="79">
        <f>IFERROR(_xlfn.RANK.EQ(INDEX(スコア表[],MATCH($C51,スコア表['#],0),MATCH(AS$5,スコア表[#Headers],0)),スコア表[38],0),"-")</f>
        <v>46</v>
      </c>
      <c r="AT51" s="79">
        <f>IFERROR(_xlfn.RANK.EQ(INDEX(スコア表[],MATCH($C51,スコア表['#],0),MATCH(AT$5,スコア表[#Headers],0)),スコア表[39],0),"-")</f>
        <v>6</v>
      </c>
      <c r="AU51" s="79">
        <f>IFERROR(_xlfn.RANK.EQ(INDEX(スコア表[],MATCH($C51,スコア表['#],0),MATCH(AU$5,スコア表[#Headers],0)),スコア表[40],0),"-")</f>
        <v>12</v>
      </c>
      <c r="AV51" s="79">
        <f>IFERROR(_xlfn.RANK.EQ(INDEX(スコア表[],MATCH($C51,スコア表['#],0),MATCH(AV$5,スコア表[#Headers],0)),スコア表[41],0),"-")</f>
        <v>16</v>
      </c>
      <c r="AW51" s="79">
        <f>IFERROR(_xlfn.RANK.EQ(INDEX(スコア表[],MATCH($C51,スコア表['#],0),MATCH(AW$5,スコア表[#Headers],0)),スコア表[42],0),"-")</f>
        <v>26</v>
      </c>
      <c r="AX51" s="79">
        <f>IFERROR(_xlfn.RANK.EQ(INDEX(スコア表[],MATCH($C51,スコア表['#],0),MATCH(AX$5,スコア表[#Headers],0)),スコア表[43],0),"-")</f>
        <v>24</v>
      </c>
      <c r="AY51" s="79">
        <f>IFERROR(_xlfn.RANK.EQ(INDEX(スコア表[],MATCH($C51,スコア表['#],0),MATCH(AY$5,スコア表[#Headers],0)),スコア表[44],0),"-")</f>
        <v>11</v>
      </c>
      <c r="AZ51" s="79">
        <f>IFERROR(_xlfn.RANK.EQ(INDEX(スコア表[],MATCH($C51,スコア表['#],0),MATCH(AZ$5,スコア表[#Headers],0)),スコア表[45],0),"-")</f>
        <v>24</v>
      </c>
      <c r="BA51" s="79">
        <f>IFERROR(_xlfn.RANK.EQ(INDEX(スコア表[],MATCH($C51,スコア表['#],0),MATCH(BA$5,スコア表[#Headers],0)),スコア表[46],0),"-")</f>
        <v>1</v>
      </c>
      <c r="BB51" s="79">
        <f>IFERROR(_xlfn.RANK.EQ(INDEX(スコア表[],MATCH($C51,スコア表['#],0),MATCH(BB$5,スコア表[#Headers],0)),スコア表[47],0),"-")</f>
        <v>31</v>
      </c>
      <c r="BC51" s="79">
        <f>IFERROR(_xlfn.RANK.EQ(INDEX(スコア表[],MATCH($C51,スコア表['#],0),MATCH(BC$5,スコア表[#Headers],0)),スコア表[48],0),"-")</f>
        <v>22</v>
      </c>
      <c r="BD51" s="79">
        <f>IFERROR(_xlfn.RANK.EQ(INDEX(スコア表[],MATCH($C51,スコア表['#],0),MATCH(BD$5,スコア表[#Headers],0)),スコア表[49],0),"-")</f>
        <v>21</v>
      </c>
      <c r="BE51" s="79">
        <f>IFERROR(_xlfn.RANK.EQ(INDEX(スコア表[],MATCH($C51,スコア表['#],0),MATCH(BE$5,スコア表[#Headers],0)),スコア表[50],0),"-")</f>
        <v>48</v>
      </c>
      <c r="BF51" s="79">
        <f>IFERROR(_xlfn.RANK.EQ(INDEX(スコア表[],MATCH($C51,スコア表['#],0),MATCH(BF$5,スコア表[#Headers],0)),スコア表[51],0),"-")</f>
        <v>47</v>
      </c>
      <c r="BG51" s="79">
        <f>IFERROR(_xlfn.RANK.EQ(INDEX(スコア表[],MATCH($C51,スコア表['#],0),MATCH(BG$5,スコア表[#Headers],0)),スコア表[52],0),"-")</f>
        <v>24</v>
      </c>
      <c r="BH51" s="79">
        <f>IFERROR(_xlfn.RANK.EQ(INDEX(スコア表[],MATCH($C51,スコア表['#],0),MATCH(BH$5,スコア表[#Headers],0)),スコア表[53],0),"-")</f>
        <v>4</v>
      </c>
      <c r="BI51" s="79">
        <f>IFERROR(_xlfn.RANK.EQ(INDEX(スコア表[],MATCH($C51,スコア表['#],0),MATCH(BI$5,スコア表[#Headers],0)),スコア表[54],0),"-")</f>
        <v>19</v>
      </c>
      <c r="BJ51" s="79">
        <f>IFERROR(_xlfn.RANK.EQ(INDEX(スコア表[],MATCH($C51,スコア表['#],0),MATCH(BJ$5,スコア表[#Headers],0)),スコア表[55],0),"-")</f>
        <v>21</v>
      </c>
      <c r="BK51" s="79">
        <f>IFERROR(_xlfn.RANK.EQ(INDEX(スコア表[],MATCH($C51,スコア表['#],0),MATCH(BK$5,スコア表[#Headers],0)),スコア表[56],0),"-")</f>
        <v>3</v>
      </c>
      <c r="BL51" s="79">
        <f>IFERROR(_xlfn.RANK.EQ(INDEX(スコア表[],MATCH($C51,スコア表['#],0),MATCH(BL$5,スコア表[#Headers],0)),スコア表[57],0),"-")</f>
        <v>42</v>
      </c>
      <c r="BM51" s="79">
        <f>IFERROR(_xlfn.RANK.EQ(INDEX(スコア表[],MATCH($C51,スコア表['#],0),MATCH(BM$5,スコア表[#Headers],0)),スコア表[58],0),"-")</f>
        <v>2</v>
      </c>
      <c r="BN51" s="79">
        <f>IFERROR(_xlfn.RANK.EQ(INDEX(スコア表[],MATCH($C51,スコア表['#],0),MATCH(BN$5,スコア表[#Headers],0)),スコア表[59],0),"-")</f>
        <v>3</v>
      </c>
      <c r="BO51" s="79">
        <f>IFERROR(_xlfn.RANK.EQ(INDEX(スコア表[],MATCH($C51,スコア表['#],0),MATCH(BO$5,スコア表[#Headers],0)),スコア表[60],0),"-")</f>
        <v>15</v>
      </c>
      <c r="BP51" s="79">
        <f>IFERROR(_xlfn.RANK.EQ(INDEX(スコア表[],MATCH($C51,スコア表['#],0),MATCH(BP$5,スコア表[#Headers],0)),スコア表[61],0),"-")</f>
        <v>25</v>
      </c>
      <c r="BQ51" s="79">
        <f>IFERROR(_xlfn.RANK.EQ(INDEX(スコア表[],MATCH($C51,スコア表['#],0),MATCH(BQ$5,スコア表[#Headers],0)),スコア表[62],0),"-")</f>
        <v>39</v>
      </c>
      <c r="BR51" s="79">
        <f>IFERROR(_xlfn.RANK.EQ(INDEX(スコア表[],MATCH($C51,スコア表['#],0),MATCH(BR$5,スコア表[#Headers],0)),スコア表[63],0),"-")</f>
        <v>43</v>
      </c>
      <c r="BS51" s="79">
        <f>IFERROR(_xlfn.RANK.EQ(INDEX(スコア表[],MATCH($C51,スコア表['#],0),MATCH(BS$5,スコア表[#Headers],0)),スコア表[64],0),"-")</f>
        <v>43</v>
      </c>
      <c r="BT51" s="79">
        <f>IFERROR(_xlfn.RANK.EQ(INDEX(スコア表[],MATCH($C51,スコア表['#],0),MATCH(BT$5,スコア表[#Headers],0)),スコア表[65],0),"-")</f>
        <v>22</v>
      </c>
      <c r="BU51" s="79">
        <f>IFERROR(_xlfn.RANK.EQ(INDEX(スコア表[],MATCH($C51,スコア表['#],0),MATCH(BU$5,スコア表[#Headers],0)),スコア表[66],0),"-")</f>
        <v>12</v>
      </c>
      <c r="BV51" s="79">
        <f>IFERROR(_xlfn.RANK.EQ(INDEX(スコア表[],MATCH($C51,スコア表['#],0),MATCH(BV$5,スコア表[#Headers],0)),スコア表[67],0),"-")</f>
        <v>17</v>
      </c>
      <c r="BW51" s="79">
        <f>IFERROR(_xlfn.RANK.EQ(INDEX(スコア表[],MATCH($C51,スコア表['#],0),MATCH(BW$5,スコア表[#Headers],0)),スコア表[68],0),"-")</f>
        <v>3</v>
      </c>
      <c r="BX51" s="79">
        <f>IFERROR(_xlfn.RANK.EQ(INDEX(スコア表[],MATCH($C51,スコア表['#],0),MATCH(BX$5,スコア表[#Headers],0)),スコア表[69],0),"-")</f>
        <v>17</v>
      </c>
      <c r="BY51" s="79">
        <f>IFERROR(_xlfn.RANK.EQ(INDEX(スコア表[],MATCH($C51,スコア表['#],0),MATCH(BY$5,スコア表[#Headers],0)),スコア表[70],0),"-")</f>
        <v>42</v>
      </c>
      <c r="BZ51" s="79">
        <f>IFERROR(_xlfn.RANK.EQ(INDEX(スコア表[],MATCH($C51,スコア表['#],0),MATCH(BZ$5,スコア表[#Headers],0)),スコア表[Ec1],0),"-")</f>
        <v>32</v>
      </c>
      <c r="CA51" s="79">
        <f>IFERROR(_xlfn.RANK.EQ(INDEX(スコア表[],MATCH($C51,スコア表['#],0),MATCH(CA$5,スコア表[#Headers],0)),スコア表[Ec2],0),"-")</f>
        <v>16</v>
      </c>
      <c r="CB51" s="79">
        <f>IFERROR(_xlfn.RANK.EQ(INDEX(スコア表[],MATCH($C51,スコア表['#],0),MATCH(CB$5,スコア表[#Headers],0)),スコア表[Ec3],0),"-")</f>
        <v>39</v>
      </c>
      <c r="CC51" s="79">
        <f>IFERROR(_xlfn.RANK.EQ(INDEX(スコア表[],MATCH($C51,スコア表['#],0),MATCH(CC$5,スコア表[#Headers],0)),スコア表[Ec4],0),"-")</f>
        <v>17</v>
      </c>
      <c r="CD51" s="79">
        <f>IFERROR(_xlfn.RANK.EQ(INDEX(スコア表[],MATCH($C51,スコア表['#],0),MATCH(CD$5,スコア表[#Headers],0)),スコア表[Ec5],0),"-")</f>
        <v>25</v>
      </c>
      <c r="CE51" s="79">
        <f>IFERROR(_xlfn.RANK.EQ(INDEX(スコア表[],MATCH($C51,スコア表['#],0),MATCH(CE$5,スコア表[#Headers],0)),スコア表[Ec6],0),"-")</f>
        <v>9</v>
      </c>
      <c r="CF51" s="79">
        <f>IFERROR(_xlfn.RANK.EQ(INDEX(スコア表[],MATCH($C51,スコア表['#],0),MATCH(CF$5,スコア表[#Headers],0)),スコア表[RD1],0),"-")</f>
        <v>33</v>
      </c>
      <c r="CG51" s="79">
        <f>IFERROR(_xlfn.RANK.EQ(INDEX(スコア表[],MATCH($C51,スコア表['#],0),MATCH(CG$5,スコア表[#Headers],0)),スコア表[RD2],0),"-")</f>
        <v>32</v>
      </c>
      <c r="CH51" s="79">
        <f>IFERROR(_xlfn.RANK.EQ(INDEX(スコア表[],MATCH($C51,スコア表['#],0),MATCH(CH$5,スコア表[#Headers],0)),スコア表[RD3],0),"-")</f>
        <v>39</v>
      </c>
      <c r="CI51" s="79">
        <f>IFERROR(_xlfn.RANK.EQ(INDEX(スコア表[],MATCH($C51,スコア表['#],0),MATCH(CI$5,スコア表[#Headers],0)),スコア表[CI1],0),"-")</f>
        <v>27</v>
      </c>
      <c r="CJ51" s="79">
        <f>IFERROR(_xlfn.RANK.EQ(INDEX(スコア表[],MATCH($C51,スコア表['#],0),MATCH(CJ$5,スコア表[#Headers],0)),スコア表[CI2],0),"-")</f>
        <v>48</v>
      </c>
      <c r="CK51" s="79">
        <f>IFERROR(_xlfn.RANK.EQ(INDEX(スコア表[],MATCH($C51,スコア表['#],0),MATCH(CK$5,スコア表[#Headers],0)),スコア表[CI3],0),"-")</f>
        <v>32</v>
      </c>
      <c r="CL51" s="79">
        <f>IFERROR(_xlfn.RANK.EQ(INDEX(スコア表[],MATCH($C51,スコア表['#],0),MATCH(CL$5,スコア表[#Headers],0)),スコア表[CI4],0),"-")</f>
        <v>48</v>
      </c>
      <c r="CM51" s="79">
        <f>IFERROR(_xlfn.RANK.EQ(INDEX(スコア表[],MATCH($C51,スコア表['#],0),MATCH(CM$5,スコア表[#Headers],0)),スコア表[CI5],0),"-")</f>
        <v>41</v>
      </c>
      <c r="CN51" s="79">
        <f>IFERROR(_xlfn.RANK.EQ(INDEX(スコア表[],MATCH($C51,スコア表['#],0),MATCH(CN$5,スコア表[#Headers],0)),スコア表[Li1],0),"-")</f>
        <v>7</v>
      </c>
      <c r="CO51" s="79">
        <f>IFERROR(_xlfn.RANK.EQ(INDEX(スコア表[],MATCH($C51,スコア表['#],0),MATCH(CO$5,スコア表[#Headers],0)),スコア表[Li2],0),"-")</f>
        <v>21</v>
      </c>
      <c r="CP51" s="79">
        <f>IFERROR(_xlfn.RANK.EQ(INDEX(スコア表[],MATCH($C51,スコア表['#],0),MATCH(CP$5,スコア表[#Headers],0)),スコア表[Li3],0),"-")</f>
        <v>13</v>
      </c>
      <c r="CQ51" s="79">
        <f>IFERROR(_xlfn.RANK.EQ(INDEX(スコア表[],MATCH($C51,スコア表['#],0),MATCH(CQ$5,スコア表[#Headers],0)),スコア表[Li4],0),"-")</f>
        <v>9</v>
      </c>
      <c r="CR51" s="79">
        <f>IFERROR(_xlfn.RANK.EQ(INDEX(スコア表[],MATCH($C51,スコア表['#],0),MATCH(CR$5,スコア表[#Headers],0)),スコア表[Li5],0),"-")</f>
        <v>41</v>
      </c>
      <c r="CS51" s="79">
        <f>IFERROR(_xlfn.RANK.EQ(INDEX(スコア表[],MATCH($C51,スコア表['#],0),MATCH(CS$5,スコア表[#Headers],0)),スコア表[En1],0),"-")</f>
        <v>4</v>
      </c>
      <c r="CT51" s="79">
        <f>IFERROR(_xlfn.RANK.EQ(INDEX(スコア表[],MATCH($C51,スコア表['#],0),MATCH(CT$5,スコア表[#Headers],0)),スコア表[En2],0),"-")</f>
        <v>30</v>
      </c>
      <c r="CU51" s="79">
        <f>IFERROR(_xlfn.RANK.EQ(INDEX(スコア表[],MATCH($C51,スコア表['#],0),MATCH(CU$5,スコア表[#Headers],0)),スコア表[En3],0),"-")</f>
        <v>5</v>
      </c>
      <c r="CV51" s="79">
        <f>IFERROR(_xlfn.RANK.EQ(INDEX(スコア表[],MATCH($C51,スコア表['#],0),MATCH(CV$5,スコア表[#Headers],0)),スコア表[Ac1],0),"-")</f>
        <v>32</v>
      </c>
      <c r="CW51" s="79">
        <f>IFERROR(_xlfn.RANK.EQ(INDEX(スコア表[],MATCH($C51,スコア表['#],0),MATCH(CW$5,スコア表[#Headers],0)),スコア表[Ac2],0),"-")</f>
        <v>44</v>
      </c>
      <c r="CX51" s="79">
        <f>IFERROR(_xlfn.RANK.EQ(INDEX(スコア表[],MATCH($C51,スコア表['#],0),MATCH(CX$5,スコア表[#Headers],0)),スコア表[Ac3],0),"-")</f>
        <v>12</v>
      </c>
      <c r="CY51" s="79">
        <f>IFERROR(_xlfn.RANK.EQ(INDEX(スコア表[],MATCH($C51,スコア表['#],0),MATCH(CY$5,スコア表[#Headers],0)),スコア表[Ac4],0),"-")</f>
        <v>12</v>
      </c>
      <c r="CZ51" s="79">
        <f>IFERROR(_xlfn.RANK.EQ(INDEX(スコア表[],MATCH($C51,スコア表['#],0),MATCH(CZ$5,スコア表[#Headers],0)),スコア表[Economy],0),"-")</f>
        <v>25</v>
      </c>
      <c r="DA51" s="79">
        <f>IFERROR(_xlfn.RANK.EQ(INDEX(スコア表[],MATCH($C51,スコア表['#],0),MATCH(DA$5,スコア表[#Headers],0)),スコア表[R&amp;D],0),"-")</f>
        <v>31</v>
      </c>
      <c r="DB51" s="79">
        <f>IFERROR(_xlfn.RANK.EQ(INDEX(スコア表[],MATCH($C51,スコア表['#],0),MATCH(DB$5,スコア表[#Headers],0)),スコア表[Cultural Interaction],0),"-")</f>
        <v>48</v>
      </c>
      <c r="DC51" s="79">
        <f>IFERROR(_xlfn.RANK.EQ(INDEX(スコア表[],MATCH($C51,スコア表['#],0),MATCH(DC$5,スコア表[#Headers],0)),スコア表[Livability],0),"-")</f>
        <v>14</v>
      </c>
      <c r="DD51" s="79">
        <f>IFERROR(_xlfn.RANK.EQ(INDEX(スコア表[],MATCH($C51,スコア表['#],0),MATCH(DD$5,スコア表[#Headers],0)),スコア表[Environment],0),"-")</f>
        <v>4</v>
      </c>
      <c r="DE51" s="79">
        <f>IFERROR(_xlfn.RANK.EQ(INDEX(スコア表[],MATCH($C51,スコア表['#],0),MATCH(DE$5,スコア表[#Headers],0)),スコア表[Accessibility],0),"-")</f>
        <v>25</v>
      </c>
      <c r="DF51" s="81">
        <f>IFERROR(_xlfn.RANK.EQ(INDEX(スコア表[],MATCH($C51,スコア表['#],0),MATCH(DF$5,スコア表[#Headers],0)),スコア表[Comprehensive],0),"-")</f>
        <v>31</v>
      </c>
    </row>
    <row r="52" spans="1:110">
      <c r="A52" s="2">
        <v>47</v>
      </c>
      <c r="B52" s="58">
        <f>INDEX(順位表[Comprehensive],MATCH($C52,順位表['#],0))</f>
        <v>40</v>
      </c>
      <c r="C52" s="3">
        <v>47</v>
      </c>
      <c r="D52" s="1" t="str">
        <f>INDEX(都市マスタ[City Name],MATCH($C52,都市マスタ['#],0))</f>
        <v>Tel Aviv</v>
      </c>
      <c r="E52" s="79">
        <f>IFERROR(_xlfn.RANK.EQ(INDEX(スコア表[],MATCH($C52,スコア表['#],0),MATCH(E$5,スコア表[#Headers],0)),スコア表[00a],0),"-")</f>
        <v>34</v>
      </c>
      <c r="F52" s="79">
        <f>IFERROR(_xlfn.RANK.EQ(INDEX(スコア表[],MATCH($C52,スコア表['#],0),MATCH(F$5,スコア表[#Headers],0)),スコア表[00b],0),"-")</f>
        <v>37</v>
      </c>
      <c r="G52" s="79">
        <f>IFERROR(_xlfn.RANK.EQ(INDEX(スコア表[],MATCH($C52,スコア表['#],0),MATCH(G$5,スコア表[#Headers],0)),スコア表[00c],0),"-")</f>
        <v>23</v>
      </c>
      <c r="H52" s="79">
        <f>IFERROR(_xlfn.RANK.EQ(INDEX(スコア表[],MATCH($C52,スコア表['#],0),MATCH(H$5,スコア表[#Headers],0)),スコア表[01],0),"-")</f>
        <v>37</v>
      </c>
      <c r="I52" s="79">
        <f>IFERROR(_xlfn.RANK.EQ(INDEX(スコア表[],MATCH($C52,スコア表['#],0),MATCH(I$5,スコア表[#Headers],0)),スコア表[02],0),"-")</f>
        <v>26</v>
      </c>
      <c r="J52" s="79">
        <f>IFERROR(_xlfn.RANK.EQ(INDEX(スコア表[],MATCH($C52,スコア表['#],0),MATCH(J$5,スコア表[#Headers],0)),スコア表[03],0),"-")</f>
        <v>13</v>
      </c>
      <c r="K52" s="79">
        <f>IFERROR(_xlfn.RANK.EQ(INDEX(スコア表[],MATCH($C52,スコア表['#],0),MATCH(K$5,スコア表[#Headers],0)),スコア表[04],0),"-")</f>
        <v>29</v>
      </c>
      <c r="L52" s="79">
        <f>IFERROR(_xlfn.RANK.EQ(INDEX(スコア表[],MATCH($C52,スコア表['#],0),MATCH(L$5,スコア表[#Headers],0)),スコア表[05],0),"-")</f>
        <v>29</v>
      </c>
      <c r="M52" s="79">
        <f>IFERROR(_xlfn.RANK.EQ(INDEX(スコア表[],MATCH($C52,スコア表['#],0),MATCH(M$5,スコア表[#Headers],0)),スコア表[06],0),"-")</f>
        <v>35</v>
      </c>
      <c r="N52" s="79">
        <f>IFERROR(_xlfn.RANK.EQ(INDEX(スコア表[],MATCH($C52,スコア表['#],0),MATCH(N$5,スコア表[#Headers],0)),スコア表[07],0),"-")</f>
        <v>39</v>
      </c>
      <c r="O52" s="79">
        <f>IFERROR(_xlfn.RANK.EQ(INDEX(スコア表[],MATCH($C52,スコア表['#],0),MATCH(O$5,スコア表[#Headers],0)),スコア表[08],0),"-")</f>
        <v>19</v>
      </c>
      <c r="P52" s="79">
        <f>IFERROR(_xlfn.RANK.EQ(INDEX(スコア表[],MATCH($C52,スコア表['#],0),MATCH(P$5,スコア表[#Headers],0)),スコア表[09],0),"-")</f>
        <v>19</v>
      </c>
      <c r="Q52" s="79">
        <f>IFERROR(_xlfn.RANK.EQ(INDEX(スコア表[],MATCH($C52,スコア表['#],0),MATCH(Q$5,スコア表[#Headers],0)),スコア表[10],0),"-")</f>
        <v>31</v>
      </c>
      <c r="R52" s="79">
        <f>IFERROR(_xlfn.RANK.EQ(INDEX(スコア表[],MATCH($C52,スコア表['#],0),MATCH(R$5,スコア表[#Headers],0)),スコア表[11],0),"-")</f>
        <v>36</v>
      </c>
      <c r="S52" s="79">
        <f>IFERROR(_xlfn.RANK.EQ(INDEX(スコア表[],MATCH($C52,スコア表['#],0),MATCH(S$5,スコア表[#Headers],0)),スコア表[12],0),"-")</f>
        <v>16</v>
      </c>
      <c r="T52" s="79">
        <f>IFERROR(_xlfn.RANK.EQ(INDEX(スコア表[],MATCH($C52,スコア表['#],0),MATCH(T$5,スコア表[#Headers],0)),スコア表[13],0),"-")</f>
        <v>29</v>
      </c>
      <c r="U52" s="79">
        <f>IFERROR(_xlfn.RANK.EQ(INDEX(スコア表[],MATCH($C52,スコア表['#],0),MATCH(U$5,スコア表[#Headers],0)),スコア表[14],0),"-")</f>
        <v>30</v>
      </c>
      <c r="V52" s="79">
        <f>IFERROR(_xlfn.RANK.EQ(INDEX(スコア表[],MATCH($C52,スコア表['#],0),MATCH(V$5,スコア表[#Headers],0)),スコア表[15],0),"-")</f>
        <v>42</v>
      </c>
      <c r="W52" s="79">
        <f>IFERROR(_xlfn.RANK.EQ(INDEX(スコア表[],MATCH($C52,スコア表['#],0),MATCH(W$5,スコア表[#Headers],0)),スコア表[16],0),"-")</f>
        <v>18</v>
      </c>
      <c r="X52" s="79">
        <f>IFERROR(_xlfn.RANK.EQ(INDEX(スコア表[],MATCH($C52,スコア表['#],0),MATCH(X$5,スコア表[#Headers],0)),スコア表[17],0),"-")</f>
        <v>44</v>
      </c>
      <c r="Y52" s="79">
        <f>IFERROR(_xlfn.RANK.EQ(INDEX(スコア表[],MATCH($C52,スコア表['#],0),MATCH(Y$5,スコア表[#Headers],0)),スコア表[18],0),"-")</f>
        <v>37</v>
      </c>
      <c r="Z52" s="79">
        <f>IFERROR(_xlfn.RANK.EQ(INDEX(スコア表[],MATCH($C52,スコア表['#],0),MATCH(Z$5,スコア表[#Headers],0)),スコア表[19],0),"-")</f>
        <v>22</v>
      </c>
      <c r="AA52" s="79">
        <f>IFERROR(_xlfn.RANK.EQ(INDEX(スコア表[],MATCH($C52,スコア表['#],0),MATCH(AA$5,スコア表[#Headers],0)),スコア表[20],0),"-")</f>
        <v>21</v>
      </c>
      <c r="AB52" s="79">
        <f>IFERROR(_xlfn.RANK.EQ(INDEX(スコア表[],MATCH($C52,スコア表['#],0),MATCH(AB$5,スコア表[#Headers],0)),スコア表[21],0),"-")</f>
        <v>16</v>
      </c>
      <c r="AC52" s="79">
        <f>IFERROR(_xlfn.RANK.EQ(INDEX(スコア表[],MATCH($C52,スコア表['#],0),MATCH(AC$5,スコア表[#Headers],0)),スコア表[22],0),"-")</f>
        <v>43</v>
      </c>
      <c r="AD52" s="79">
        <f>IFERROR(_xlfn.RANK.EQ(INDEX(スコア表[],MATCH($C52,スコア表['#],0),MATCH(AD$5,スコア表[#Headers],0)),スコア表[23],0),"-")</f>
        <v>18</v>
      </c>
      <c r="AE52" s="79">
        <f>IFERROR(_xlfn.RANK.EQ(INDEX(スコア表[],MATCH($C52,スコア表['#],0),MATCH(AE$5,スコア表[#Headers],0)),スコア表[24],0),"-")</f>
        <v>31</v>
      </c>
      <c r="AF52" s="79">
        <f>IFERROR(_xlfn.RANK.EQ(INDEX(スコア表[],MATCH($C52,スコア表['#],0),MATCH(AF$5,スコア表[#Headers],0)),スコア表[25],0),"-")</f>
        <v>38</v>
      </c>
      <c r="AG52" s="79">
        <f>IFERROR(_xlfn.RANK.EQ(INDEX(スコア表[],MATCH($C52,スコア表['#],0),MATCH(AG$5,スコア表[#Headers],0)),スコア表[26],0),"-")</f>
        <v>39</v>
      </c>
      <c r="AH52" s="79">
        <f>IFERROR(_xlfn.RANK.EQ(INDEX(スコア表[],MATCH($C52,スコア表['#],0),MATCH(AH$5,スコア表[#Headers],0)),スコア表[27],0),"-")</f>
        <v>3</v>
      </c>
      <c r="AI52" s="79">
        <f>IFERROR(_xlfn.RANK.EQ(INDEX(スコア表[],MATCH($C52,スコア表['#],0),MATCH(AI$5,スコア表[#Headers],0)),スコア表[28],0),"-")</f>
        <v>9</v>
      </c>
      <c r="AJ52" s="79">
        <f>IFERROR(_xlfn.RANK.EQ(INDEX(スコア表[],MATCH($C52,スコア表['#],0),MATCH(AJ$5,スコア表[#Headers],0)),スコア表[29],0),"-")</f>
        <v>38</v>
      </c>
      <c r="AK52" s="79">
        <f>IFERROR(_xlfn.RANK.EQ(INDEX(スコア表[],MATCH($C52,スコア表['#],0),MATCH(AK$5,スコア表[#Headers],0)),スコア表[30],0),"-")</f>
        <v>31</v>
      </c>
      <c r="AL52" s="79">
        <f>IFERROR(_xlfn.RANK.EQ(INDEX(スコア表[],MATCH($C52,スコア表['#],0),MATCH(AL$5,スコア表[#Headers],0)),スコア表[31],0),"-")</f>
        <v>44</v>
      </c>
      <c r="AM52" s="79">
        <f>IFERROR(_xlfn.RANK.EQ(INDEX(スコア表[],MATCH($C52,スコア表['#],0),MATCH(AM$5,スコア表[#Headers],0)),スコア表[32],0),"-")</f>
        <v>43</v>
      </c>
      <c r="AN52" s="79">
        <f>IFERROR(_xlfn.RANK.EQ(INDEX(スコア表[],MATCH($C52,スコア表['#],0),MATCH(AN$5,スコア表[#Headers],0)),スコア表[33],0),"-")</f>
        <v>40</v>
      </c>
      <c r="AO52" s="79">
        <f>IFERROR(_xlfn.RANK.EQ(INDEX(スコア表[],MATCH($C52,スコア表['#],0),MATCH(AO$5,スコア表[#Headers],0)),スコア表[34],0),"-")</f>
        <v>37</v>
      </c>
      <c r="AP52" s="79">
        <f>IFERROR(_xlfn.RANK.EQ(INDEX(スコア表[],MATCH($C52,スコア表['#],0),MATCH(AP$5,スコア表[#Headers],0)),スコア表[35],0),"-")</f>
        <v>24</v>
      </c>
      <c r="AQ52" s="79">
        <f>IFERROR(_xlfn.RANK.EQ(INDEX(スコア表[],MATCH($C52,スコア表['#],0),MATCH(AQ$5,スコア表[#Headers],0)),スコア表[36],0),"-")</f>
        <v>26</v>
      </c>
      <c r="AR52" s="79">
        <f>IFERROR(_xlfn.RANK.EQ(INDEX(スコア表[],MATCH($C52,スコア表['#],0),MATCH(AR$5,スコア表[#Headers],0)),スコア表[37],0),"-")</f>
        <v>43</v>
      </c>
      <c r="AS52" s="79">
        <f>IFERROR(_xlfn.RANK.EQ(INDEX(スコア表[],MATCH($C52,スコア表['#],0),MATCH(AS$5,スコア表[#Headers],0)),スコア表[38],0),"-")</f>
        <v>16</v>
      </c>
      <c r="AT52" s="79">
        <f>IFERROR(_xlfn.RANK.EQ(INDEX(スコア表[],MATCH($C52,スコア表['#],0),MATCH(AT$5,スコア表[#Headers],0)),スコア表[39],0),"-")</f>
        <v>43</v>
      </c>
      <c r="AU52" s="79">
        <f>IFERROR(_xlfn.RANK.EQ(INDEX(スコア表[],MATCH($C52,スコア表['#],0),MATCH(AU$5,スコア表[#Headers],0)),スコア表[40],0),"-")</f>
        <v>37</v>
      </c>
      <c r="AV52" s="79">
        <f>IFERROR(_xlfn.RANK.EQ(INDEX(スコア表[],MATCH($C52,スコア表['#],0),MATCH(AV$5,スコア表[#Headers],0)),スコア表[41],0),"-")</f>
        <v>31</v>
      </c>
      <c r="AW52" s="79">
        <f>IFERROR(_xlfn.RANK.EQ(INDEX(スコア表[],MATCH($C52,スコア表['#],0),MATCH(AW$5,スコア表[#Headers],0)),スコア表[42],0),"-")</f>
        <v>39</v>
      </c>
      <c r="AX52" s="79">
        <f>IFERROR(_xlfn.RANK.EQ(INDEX(スコア表[],MATCH($C52,スコア表['#],0),MATCH(AX$5,スコア表[#Headers],0)),スコア表[43],0),"-")</f>
        <v>29</v>
      </c>
      <c r="AY52" s="79">
        <f>IFERROR(_xlfn.RANK.EQ(INDEX(スコア表[],MATCH($C52,スコア表['#],0),MATCH(AY$5,スコア表[#Headers],0)),スコア表[44],0),"-")</f>
        <v>32</v>
      </c>
      <c r="AZ52" s="79">
        <f>IFERROR(_xlfn.RANK.EQ(INDEX(スコア表[],MATCH($C52,スコア表['#],0),MATCH(AZ$5,スコア表[#Headers],0)),スコア表[45],0),"-")</f>
        <v>15</v>
      </c>
      <c r="BA52" s="79">
        <f>IFERROR(_xlfn.RANK.EQ(INDEX(スコア表[],MATCH($C52,スコア表['#],0),MATCH(BA$5,スコア表[#Headers],0)),スコア表[46],0),"-")</f>
        <v>35</v>
      </c>
      <c r="BB52" s="79">
        <f>IFERROR(_xlfn.RANK.EQ(INDEX(スコア表[],MATCH($C52,スコア表['#],0),MATCH(BB$5,スコア表[#Headers],0)),スコア表[47],0),"-")</f>
        <v>3</v>
      </c>
      <c r="BC52" s="79">
        <f>IFERROR(_xlfn.RANK.EQ(INDEX(スコア表[],MATCH($C52,スコア表['#],0),MATCH(BC$5,スコア表[#Headers],0)),スコア表[48],0),"-")</f>
        <v>26</v>
      </c>
      <c r="BD52" s="79">
        <f>IFERROR(_xlfn.RANK.EQ(INDEX(スコア表[],MATCH($C52,スコア表['#],0),MATCH(BD$5,スコア表[#Headers],0)),スコア表[49],0),"-")</f>
        <v>25</v>
      </c>
      <c r="BE52" s="79">
        <f>IFERROR(_xlfn.RANK.EQ(INDEX(スコア表[],MATCH($C52,スコア表['#],0),MATCH(BE$5,スコア表[#Headers],0)),スコア表[50],0),"-")</f>
        <v>33</v>
      </c>
      <c r="BF52" s="79">
        <f>IFERROR(_xlfn.RANK.EQ(INDEX(スコア表[],MATCH($C52,スコア表['#],0),MATCH(BF$5,スコア表[#Headers],0)),スコア表[51],0),"-")</f>
        <v>44</v>
      </c>
      <c r="BG52" s="79">
        <f>IFERROR(_xlfn.RANK.EQ(INDEX(スコア表[],MATCH($C52,スコア表['#],0),MATCH(BG$5,スコア表[#Headers],0)),スコア表[52],0),"-")</f>
        <v>40</v>
      </c>
      <c r="BH52" s="79">
        <f>IFERROR(_xlfn.RANK.EQ(INDEX(スコア表[],MATCH($C52,スコア表['#],0),MATCH(BH$5,スコア表[#Headers],0)),スコア表[53],0),"-")</f>
        <v>41</v>
      </c>
      <c r="BI52" s="79">
        <f>IFERROR(_xlfn.RANK.EQ(INDEX(スコア表[],MATCH($C52,スコア表['#],0),MATCH(BI$5,スコア表[#Headers],0)),スコア表[54],0),"-")</f>
        <v>45</v>
      </c>
      <c r="BJ52" s="79">
        <f>IFERROR(_xlfn.RANK.EQ(INDEX(スコア表[],MATCH($C52,スコア表['#],0),MATCH(BJ$5,スコア表[#Headers],0)),スコア表[55],0),"-")</f>
        <v>13</v>
      </c>
      <c r="BK52" s="79">
        <f>IFERROR(_xlfn.RANK.EQ(INDEX(スコア表[],MATCH($C52,スコア表['#],0),MATCH(BK$5,スコア表[#Headers],0)),スコア表[56],0),"-")</f>
        <v>39</v>
      </c>
      <c r="BL52" s="79">
        <f>IFERROR(_xlfn.RANK.EQ(INDEX(スコア表[],MATCH($C52,スコア表['#],0),MATCH(BL$5,スコア表[#Headers],0)),スコア表[57],0),"-")</f>
        <v>8</v>
      </c>
      <c r="BM52" s="79">
        <f>IFERROR(_xlfn.RANK.EQ(INDEX(スコア表[],MATCH($C52,スコア表['#],0),MATCH(BM$5,スコア表[#Headers],0)),スコア表[58],0),"-")</f>
        <v>15</v>
      </c>
      <c r="BN52" s="79">
        <f>IFERROR(_xlfn.RANK.EQ(INDEX(スコア表[],MATCH($C52,スコア表['#],0),MATCH(BN$5,スコア表[#Headers],0)),スコア表[59],0),"-")</f>
        <v>39</v>
      </c>
      <c r="BO52" s="79">
        <f>IFERROR(_xlfn.RANK.EQ(INDEX(スコア表[],MATCH($C52,スコア表['#],0),MATCH(BO$5,スコア表[#Headers],0)),スコア表[60],0),"-")</f>
        <v>20</v>
      </c>
      <c r="BP52" s="79">
        <f>IFERROR(_xlfn.RANK.EQ(INDEX(スコア表[],MATCH($C52,スコア表['#],0),MATCH(BP$5,スコア表[#Headers],0)),スコア表[61],0),"-")</f>
        <v>16</v>
      </c>
      <c r="BQ52" s="79">
        <f>IFERROR(_xlfn.RANK.EQ(INDEX(スコア表[],MATCH($C52,スコア表['#],0),MATCH(BQ$5,スコア表[#Headers],0)),スコア表[62],0),"-")</f>
        <v>28</v>
      </c>
      <c r="BR52" s="79">
        <f>IFERROR(_xlfn.RANK.EQ(INDEX(スコア表[],MATCH($C52,スコア表['#],0),MATCH(BR$5,スコア表[#Headers],0)),スコア表[63],0),"-")</f>
        <v>36</v>
      </c>
      <c r="BS52" s="79">
        <f>IFERROR(_xlfn.RANK.EQ(INDEX(スコア表[],MATCH($C52,スコア表['#],0),MATCH(BS$5,スコア表[#Headers],0)),スコア表[64],0),"-")</f>
        <v>42</v>
      </c>
      <c r="BT52" s="79">
        <f>IFERROR(_xlfn.RANK.EQ(INDEX(スコア表[],MATCH($C52,スコア表['#],0),MATCH(BT$5,スコア表[#Headers],0)),スコア表[65],0),"-")</f>
        <v>48</v>
      </c>
      <c r="BU52" s="79">
        <f>IFERROR(_xlfn.RANK.EQ(INDEX(スコア表[],MATCH($C52,スコア表['#],0),MATCH(BU$5,スコア表[#Headers],0)),スコア表[66],0),"-")</f>
        <v>39</v>
      </c>
      <c r="BV52" s="79">
        <f>IFERROR(_xlfn.RANK.EQ(INDEX(スコア表[],MATCH($C52,スコア表['#],0),MATCH(BV$5,スコア表[#Headers],0)),スコア表[67],0),"-")</f>
        <v>36</v>
      </c>
      <c r="BW52" s="79">
        <f>IFERROR(_xlfn.RANK.EQ(INDEX(スコア表[],MATCH($C52,スコア表['#],0),MATCH(BW$5,スコア表[#Headers],0)),スコア表[68],0),"-")</f>
        <v>20</v>
      </c>
      <c r="BX52" s="79">
        <f>IFERROR(_xlfn.RANK.EQ(INDEX(スコア表[],MATCH($C52,スコア表['#],0),MATCH(BX$5,スコア表[#Headers],0)),スコア表[69],0),"-")</f>
        <v>17</v>
      </c>
      <c r="BY52" s="79">
        <f>IFERROR(_xlfn.RANK.EQ(INDEX(スコア表[],MATCH($C52,スコア表['#],0),MATCH(BY$5,スコア表[#Headers],0)),スコア表[70],0),"-")</f>
        <v>8</v>
      </c>
      <c r="BZ52" s="79">
        <f>IFERROR(_xlfn.RANK.EQ(INDEX(スコア表[],MATCH($C52,スコア表['#],0),MATCH(BZ$5,スコア表[#Headers],0)),スコア表[Ec1],0),"-")</f>
        <v>34</v>
      </c>
      <c r="CA52" s="79">
        <f>IFERROR(_xlfn.RANK.EQ(INDEX(スコア表[],MATCH($C52,スコア表['#],0),MATCH(CA$5,スコア表[#Headers],0)),スコア表[Ec2],0),"-")</f>
        <v>19</v>
      </c>
      <c r="CB52" s="79">
        <f>IFERROR(_xlfn.RANK.EQ(INDEX(スコア表[],MATCH($C52,スコア表['#],0),MATCH(CB$5,スコア表[#Headers],0)),スコア表[Ec3],0),"-")</f>
        <v>40</v>
      </c>
      <c r="CC52" s="79">
        <f>IFERROR(_xlfn.RANK.EQ(INDEX(スコア表[],MATCH($C52,スコア表['#],0),MATCH(CC$5,スコア表[#Headers],0)),スコア表[Ec4],0),"-")</f>
        <v>30</v>
      </c>
      <c r="CD52" s="79">
        <f>IFERROR(_xlfn.RANK.EQ(INDEX(スコア表[],MATCH($C52,スコア表['#],0),MATCH(CD$5,スコア表[#Headers],0)),スコア表[Ec5],0),"-")</f>
        <v>33</v>
      </c>
      <c r="CE52" s="79">
        <f>IFERROR(_xlfn.RANK.EQ(INDEX(スコア表[],MATCH($C52,スコア表['#],0),MATCH(CE$5,スコア表[#Headers],0)),スコア表[Ec6],0),"-")</f>
        <v>16</v>
      </c>
      <c r="CF52" s="79">
        <f>IFERROR(_xlfn.RANK.EQ(INDEX(スコア表[],MATCH($C52,スコア表['#],0),MATCH(CF$5,スコア表[#Headers],0)),スコア表[RD1],0),"-")</f>
        <v>37</v>
      </c>
      <c r="CG52" s="79">
        <f>IFERROR(_xlfn.RANK.EQ(INDEX(スコア表[],MATCH($C52,スコア表['#],0),MATCH(CG$5,スコア表[#Headers],0)),スコア表[RD2],0),"-")</f>
        <v>37</v>
      </c>
      <c r="CH52" s="79">
        <f>IFERROR(_xlfn.RANK.EQ(INDEX(スコア表[],MATCH($C52,スコア表['#],0),MATCH(CH$5,スコア表[#Headers],0)),スコア表[RD3],0),"-")</f>
        <v>23</v>
      </c>
      <c r="CI52" s="79">
        <f>IFERROR(_xlfn.RANK.EQ(INDEX(スコア表[],MATCH($C52,スコア表['#],0),MATCH(CI$5,スコア表[#Headers],0)),スコア表[CI1],0),"-")</f>
        <v>36</v>
      </c>
      <c r="CJ52" s="79">
        <f>IFERROR(_xlfn.RANK.EQ(INDEX(スコア表[],MATCH($C52,スコア表['#],0),MATCH(CJ$5,スコア表[#Headers],0)),スコア表[CI2],0),"-")</f>
        <v>7</v>
      </c>
      <c r="CK52" s="79">
        <f>IFERROR(_xlfn.RANK.EQ(INDEX(スコア表[],MATCH($C52,スコア表['#],0),MATCH(CK$5,スコア表[#Headers],0)),スコア表[CI3],0),"-")</f>
        <v>44</v>
      </c>
      <c r="CL52" s="79">
        <f>IFERROR(_xlfn.RANK.EQ(INDEX(スコア表[],MATCH($C52,スコア表['#],0),MATCH(CL$5,スコア表[#Headers],0)),スコア表[CI4],0),"-")</f>
        <v>38</v>
      </c>
      <c r="CM52" s="79">
        <f>IFERROR(_xlfn.RANK.EQ(INDEX(スコア表[],MATCH($C52,スコア表['#],0),MATCH(CM$5,スコア表[#Headers],0)),スコア表[CI5],0),"-")</f>
        <v>38</v>
      </c>
      <c r="CN52" s="79">
        <f>IFERROR(_xlfn.RANK.EQ(INDEX(スコア表[],MATCH($C52,スコア表['#],0),MATCH(CN$5,スコア表[#Headers],0)),スコア表[Li1],0),"-")</f>
        <v>41</v>
      </c>
      <c r="CO52" s="79">
        <f>IFERROR(_xlfn.RANK.EQ(INDEX(スコア表[],MATCH($C52,スコア表['#],0),MATCH(CO$5,スコア表[#Headers],0)),スコア表[Li2],0),"-")</f>
        <v>32</v>
      </c>
      <c r="CP52" s="79">
        <f>IFERROR(_xlfn.RANK.EQ(INDEX(スコア表[],MATCH($C52,スコア表['#],0),MATCH(CP$5,スコア表[#Headers],0)),スコア表[Li3],0),"-")</f>
        <v>25</v>
      </c>
      <c r="CQ52" s="79">
        <f>IFERROR(_xlfn.RANK.EQ(INDEX(スコア表[],MATCH($C52,スコア表['#],0),MATCH(CQ$5,スコア表[#Headers],0)),スコア表[Li4],0),"-")</f>
        <v>19</v>
      </c>
      <c r="CR52" s="79">
        <f>IFERROR(_xlfn.RANK.EQ(INDEX(スコア表[],MATCH($C52,スコア表['#],0),MATCH(CR$5,スコア表[#Headers],0)),スコア表[Li5],0),"-")</f>
        <v>39</v>
      </c>
      <c r="CS52" s="79">
        <f>IFERROR(_xlfn.RANK.EQ(INDEX(スコア表[],MATCH($C52,スコア表['#],0),MATCH(CS$5,スコア表[#Headers],0)),スコア表[En1],0),"-")</f>
        <v>47</v>
      </c>
      <c r="CT52" s="79">
        <f>IFERROR(_xlfn.RANK.EQ(INDEX(スコア表[],MATCH($C52,スコア表['#],0),MATCH(CT$5,スコア表[#Headers],0)),スコア表[En2],0),"-")</f>
        <v>16</v>
      </c>
      <c r="CU52" s="79">
        <f>IFERROR(_xlfn.RANK.EQ(INDEX(スコア表[],MATCH($C52,スコア表['#],0),MATCH(CU$5,スコア表[#Headers],0)),スコア表[En3],0),"-")</f>
        <v>26</v>
      </c>
      <c r="CV52" s="79">
        <f>IFERROR(_xlfn.RANK.EQ(INDEX(スコア表[],MATCH($C52,スコア表['#],0),MATCH(CV$5,スコア表[#Headers],0)),スコア表[Ac1],0),"-")</f>
        <v>25</v>
      </c>
      <c r="CW52" s="79">
        <f>IFERROR(_xlfn.RANK.EQ(INDEX(スコア表[],MATCH($C52,スコア表['#],0),MATCH(CW$5,スコア表[#Headers],0)),スコア表[Ac2],0),"-")</f>
        <v>40</v>
      </c>
      <c r="CX52" s="79">
        <f>IFERROR(_xlfn.RANK.EQ(INDEX(スコア表[],MATCH($C52,スコア表['#],0),MATCH(CX$5,スコア表[#Headers],0)),スコア表[Ac3],0),"-")</f>
        <v>44</v>
      </c>
      <c r="CY52" s="79">
        <f>IFERROR(_xlfn.RANK.EQ(INDEX(スコア表[],MATCH($C52,スコア表['#],0),MATCH(CY$5,スコア表[#Headers],0)),スコア表[Ac4],0),"-")</f>
        <v>11</v>
      </c>
      <c r="CZ52" s="79">
        <f>IFERROR(_xlfn.RANK.EQ(INDEX(スコア表[],MATCH($C52,スコア表['#],0),MATCH(CZ$5,スコア表[#Headers],0)),スコア表[Economy],0),"-")</f>
        <v>33</v>
      </c>
      <c r="DA52" s="79">
        <f>IFERROR(_xlfn.RANK.EQ(INDEX(スコア表[],MATCH($C52,スコア表['#],0),MATCH(DA$5,スコア表[#Headers],0)),スコア表[R&amp;D],0),"-")</f>
        <v>36</v>
      </c>
      <c r="DB52" s="79">
        <f>IFERROR(_xlfn.RANK.EQ(INDEX(スコア表[],MATCH($C52,スコア表['#],0),MATCH(DB$5,スコア表[#Headers],0)),スコア表[Cultural Interaction],0),"-")</f>
        <v>34</v>
      </c>
      <c r="DC52" s="79">
        <f>IFERROR(_xlfn.RANK.EQ(INDEX(スコア表[],MATCH($C52,スコア表['#],0),MATCH(DC$5,スコア表[#Headers],0)),スコア表[Livability],0),"-")</f>
        <v>37</v>
      </c>
      <c r="DD52" s="79">
        <f>IFERROR(_xlfn.RANK.EQ(INDEX(スコア表[],MATCH($C52,スコア表['#],0),MATCH(DD$5,スコア表[#Headers],0)),スコア表[Environment],0),"-")</f>
        <v>35</v>
      </c>
      <c r="DE52" s="79">
        <f>IFERROR(_xlfn.RANK.EQ(INDEX(スコア表[],MATCH($C52,スコア表['#],0),MATCH(DE$5,スコア表[#Headers],0)),スコア表[Accessibility],0),"-")</f>
        <v>39</v>
      </c>
      <c r="DF52" s="81">
        <f>IFERROR(_xlfn.RANK.EQ(INDEX(スコア表[],MATCH($C52,スコア表['#],0),MATCH(DF$5,スコア表[#Headers],0)),スコア表[Comprehensive],0),"-")</f>
        <v>40</v>
      </c>
    </row>
    <row r="53" spans="1:110">
      <c r="A53" s="2">
        <v>48</v>
      </c>
      <c r="B53" s="58">
        <f>INDEX(順位表[Comprehensive],MATCH($C53,順位表['#],0))</f>
        <v>9</v>
      </c>
      <c r="C53" s="62">
        <v>48</v>
      </c>
      <c r="D53" s="63" t="str">
        <f>INDEX(都市マスタ[City Name],MATCH($C53,都市マスタ['#],0))</f>
        <v>Melbourne</v>
      </c>
      <c r="E53" s="80">
        <f>IFERROR(_xlfn.RANK.EQ(INDEX(スコア表[],MATCH($C53,スコア表['#],0),MATCH(E$5,スコア表[#Headers],0)),スコア表[00a],0),"-")</f>
        <v>18</v>
      </c>
      <c r="F53" s="80">
        <f>IFERROR(_xlfn.RANK.EQ(INDEX(スコア表[],MATCH($C53,スコア表['#],0),MATCH(F$5,スコア表[#Headers],0)),スコア表[00b],0),"-")</f>
        <v>3</v>
      </c>
      <c r="G53" s="80">
        <f>IFERROR(_xlfn.RANK.EQ(INDEX(スコア表[],MATCH($C53,スコア表['#],0),MATCH(G$5,スコア表[#Headers],0)),スコア表[00c],0),"-")</f>
        <v>24</v>
      </c>
      <c r="H53" s="80">
        <f>IFERROR(_xlfn.RANK.EQ(INDEX(スコア表[],MATCH($C53,スコア表['#],0),MATCH(H$5,スコア表[#Headers],0)),スコア表[01],0),"-")</f>
        <v>12</v>
      </c>
      <c r="I53" s="80">
        <f>IFERROR(_xlfn.RANK.EQ(INDEX(スコア表[],MATCH($C53,スコア表['#],0),MATCH(I$5,スコア表[#Headers],0)),スコア表[02],0),"-")</f>
        <v>25</v>
      </c>
      <c r="J53" s="80">
        <f>IFERROR(_xlfn.RANK.EQ(INDEX(スコア表[],MATCH($C53,スコア表['#],0),MATCH(J$5,スコア表[#Headers],0)),スコア表[03],0),"-")</f>
        <v>8</v>
      </c>
      <c r="K53" s="80">
        <f>IFERROR(_xlfn.RANK.EQ(INDEX(スコア表[],MATCH($C53,スコア表['#],0),MATCH(K$5,スコア表[#Headers],0)),スコア表[04],0),"-")</f>
        <v>10</v>
      </c>
      <c r="L53" s="80">
        <f>IFERROR(_xlfn.RANK.EQ(INDEX(スコア表[],MATCH($C53,スコア表['#],0),MATCH(L$5,スコア表[#Headers],0)),スコア表[05],0),"-")</f>
        <v>36</v>
      </c>
      <c r="M53" s="80">
        <f>IFERROR(_xlfn.RANK.EQ(INDEX(スコア表[],MATCH($C53,スコア表['#],0),MATCH(M$5,スコア表[#Headers],0)),スコア表[06],0),"-")</f>
        <v>29</v>
      </c>
      <c r="N53" s="80">
        <f>IFERROR(_xlfn.RANK.EQ(INDEX(スコア表[],MATCH($C53,スコア表['#],0),MATCH(N$5,スコア表[#Headers],0)),スコア表[07],0),"-")</f>
        <v>18</v>
      </c>
      <c r="O53" s="80">
        <f>IFERROR(_xlfn.RANK.EQ(INDEX(スコア表[],MATCH($C53,スコア表['#],0),MATCH(O$5,スコア表[#Headers],0)),スコア表[08],0),"-")</f>
        <v>21</v>
      </c>
      <c r="P53" s="80">
        <f>IFERROR(_xlfn.RANK.EQ(INDEX(スコア表[],MATCH($C53,スコア表['#],0),MATCH(P$5,スコア表[#Headers],0)),スコア表[09],0),"-")</f>
        <v>16</v>
      </c>
      <c r="Q53" s="80">
        <f>IFERROR(_xlfn.RANK.EQ(INDEX(スコア表[],MATCH($C53,スコア表['#],0),MATCH(Q$5,スコア表[#Headers],0)),スコア表[10],0),"-")</f>
        <v>10</v>
      </c>
      <c r="R53" s="80">
        <f>IFERROR(_xlfn.RANK.EQ(INDEX(スコア表[],MATCH($C53,スコア表['#],0),MATCH(R$5,スコア表[#Headers],0)),スコア表[11],0),"-")</f>
        <v>42</v>
      </c>
      <c r="S53" s="80">
        <f>IFERROR(_xlfn.RANK.EQ(INDEX(スコア表[],MATCH($C53,スコア表['#],0),MATCH(S$5,スコア表[#Headers],0)),スコア表[12],0),"-")</f>
        <v>37</v>
      </c>
      <c r="T53" s="80">
        <f>IFERROR(_xlfn.RANK.EQ(INDEX(スコア表[],MATCH($C53,スコア表['#],0),MATCH(T$5,スコア表[#Headers],0)),スコア表[13],0),"-")</f>
        <v>13</v>
      </c>
      <c r="U53" s="80">
        <f>IFERROR(_xlfn.RANK.EQ(INDEX(スコア表[],MATCH($C53,スコア表['#],0),MATCH(U$5,スコア表[#Headers],0)),スコア表[14],0),"-")</f>
        <v>17</v>
      </c>
      <c r="V53" s="80">
        <f>IFERROR(_xlfn.RANK.EQ(INDEX(スコア表[],MATCH($C53,スコア表['#],0),MATCH(V$5,スコア表[#Headers],0)),スコア表[15],0),"-")</f>
        <v>15</v>
      </c>
      <c r="W53" s="80">
        <f>IFERROR(_xlfn.RANK.EQ(INDEX(スコア表[],MATCH($C53,スコア表['#],0),MATCH(W$5,スコア表[#Headers],0)),スコア表[16],0),"-")</f>
        <v>16</v>
      </c>
      <c r="X53" s="80">
        <f>IFERROR(_xlfn.RANK.EQ(INDEX(スコア表[],MATCH($C53,スコア表['#],0),MATCH(X$5,スコア表[#Headers],0)),スコア表[17],0),"-")</f>
        <v>2</v>
      </c>
      <c r="Y53" s="80">
        <f>IFERROR(_xlfn.RANK.EQ(INDEX(スコア表[],MATCH($C53,スコア表['#],0),MATCH(Y$5,スコア表[#Headers],0)),スコア表[18],0),"-")</f>
        <v>21</v>
      </c>
      <c r="Z53" s="80">
        <f>IFERROR(_xlfn.RANK.EQ(INDEX(スコア表[],MATCH($C53,スコア表['#],0),MATCH(Z$5,スコア表[#Headers],0)),スコア表[19],0),"-")</f>
        <v>15</v>
      </c>
      <c r="AA53" s="80">
        <f>IFERROR(_xlfn.RANK.EQ(INDEX(スコア表[],MATCH($C53,スコア表['#],0),MATCH(AA$5,スコア表[#Headers],0)),スコア表[20],0),"-")</f>
        <v>23</v>
      </c>
      <c r="AB53" s="80">
        <f>IFERROR(_xlfn.RANK.EQ(INDEX(スコア表[],MATCH($C53,スコア表['#],0),MATCH(AB$5,スコア表[#Headers],0)),スコア表[21],0),"-")</f>
        <v>22</v>
      </c>
      <c r="AC53" s="80">
        <f>IFERROR(_xlfn.RANK.EQ(INDEX(スコア表[],MATCH($C53,スコア表['#],0),MATCH(AC$5,スコア表[#Headers],0)),スコア表[22],0),"-")</f>
        <v>29</v>
      </c>
      <c r="AD53" s="80">
        <f>IFERROR(_xlfn.RANK.EQ(INDEX(スコア表[],MATCH($C53,スコア表['#],0),MATCH(AD$5,スコア表[#Headers],0)),スコア表[23],0),"-")</f>
        <v>33</v>
      </c>
      <c r="AE53" s="80">
        <f>IFERROR(_xlfn.RANK.EQ(INDEX(スコア表[],MATCH($C53,スコア表['#],0),MATCH(AE$5,スコア表[#Headers],0)),スコア表[24],0),"-")</f>
        <v>27</v>
      </c>
      <c r="AF53" s="80">
        <f>IFERROR(_xlfn.RANK.EQ(INDEX(スコア表[],MATCH($C53,スコア表['#],0),MATCH(AF$5,スコア表[#Headers],0)),スコア表[25],0),"-")</f>
        <v>40</v>
      </c>
      <c r="AG53" s="80">
        <f>IFERROR(_xlfn.RANK.EQ(INDEX(スコア表[],MATCH($C53,スコア表['#],0),MATCH(AG$5,スコア表[#Headers],0)),スコア表[26],0),"-")</f>
        <v>16</v>
      </c>
      <c r="AH53" s="80">
        <f>IFERROR(_xlfn.RANK.EQ(INDEX(スコア表[],MATCH($C53,スコア表['#],0),MATCH(AH$5,スコア表[#Headers],0)),スコア表[27],0),"-")</f>
        <v>31</v>
      </c>
      <c r="AI53" s="80">
        <f>IFERROR(_xlfn.RANK.EQ(INDEX(スコア表[],MATCH($C53,スコア表['#],0),MATCH(AI$5,スコア表[#Headers],0)),スコア表[28],0),"-")</f>
        <v>26</v>
      </c>
      <c r="AJ53" s="80">
        <f>IFERROR(_xlfn.RANK.EQ(INDEX(スコア表[],MATCH($C53,スコア表['#],0),MATCH(AJ$5,スコア表[#Headers],0)),スコア表[29],0),"-")</f>
        <v>25</v>
      </c>
      <c r="AK53" s="80">
        <f>IFERROR(_xlfn.RANK.EQ(INDEX(スコア表[],MATCH($C53,スコア表['#],0),MATCH(AK$5,スコア表[#Headers],0)),スコア表[30],0),"-")</f>
        <v>42</v>
      </c>
      <c r="AL53" s="80">
        <f>IFERROR(_xlfn.RANK.EQ(INDEX(スコア表[],MATCH($C53,スコア表['#],0),MATCH(AL$5,スコア表[#Headers],0)),スコア表[31],0),"-")</f>
        <v>3</v>
      </c>
      <c r="AM53" s="80">
        <f>IFERROR(_xlfn.RANK.EQ(INDEX(スコア表[],MATCH($C53,スコア表['#],0),MATCH(AM$5,スコア表[#Headers],0)),スコア表[32],0),"-")</f>
        <v>27</v>
      </c>
      <c r="AN53" s="80">
        <f>IFERROR(_xlfn.RANK.EQ(INDEX(スコア表[],MATCH($C53,スコア表['#],0),MATCH(AN$5,スコア表[#Headers],0)),スコア表[33],0),"-")</f>
        <v>18</v>
      </c>
      <c r="AO53" s="80">
        <f>IFERROR(_xlfn.RANK.EQ(INDEX(スコア表[],MATCH($C53,スコア表['#],0),MATCH(AO$5,スコア表[#Headers],0)),スコア表[34],0),"-")</f>
        <v>28</v>
      </c>
      <c r="AP53" s="80">
        <f>IFERROR(_xlfn.RANK.EQ(INDEX(スコア表[],MATCH($C53,スコア表['#],0),MATCH(AP$5,スコア表[#Headers],0)),スコア表[35],0),"-")</f>
        <v>27</v>
      </c>
      <c r="AQ53" s="80">
        <f>IFERROR(_xlfn.RANK.EQ(INDEX(スコア表[],MATCH($C53,スコア表['#],0),MATCH(AQ$5,スコア表[#Headers],0)),スコア表[36],0),"-")</f>
        <v>3</v>
      </c>
      <c r="AR53" s="80">
        <f>IFERROR(_xlfn.RANK.EQ(INDEX(スコア表[],MATCH($C53,スコア表['#],0),MATCH(AR$5,スコア表[#Headers],0)),スコア表[37],0),"-")</f>
        <v>37</v>
      </c>
      <c r="AS53" s="80">
        <f>IFERROR(_xlfn.RANK.EQ(INDEX(スコア表[],MATCH($C53,スコア表['#],0),MATCH(AS$5,スコア表[#Headers],0)),スコア表[38],0),"-")</f>
        <v>18</v>
      </c>
      <c r="AT53" s="80">
        <f>IFERROR(_xlfn.RANK.EQ(INDEX(スコア表[],MATCH($C53,スコア表['#],0),MATCH(AT$5,スコア表[#Headers],0)),スコア表[39],0),"-")</f>
        <v>7</v>
      </c>
      <c r="AU53" s="80">
        <f>IFERROR(_xlfn.RANK.EQ(INDEX(スコア表[],MATCH($C53,スコア表['#],0),MATCH(AU$5,スコア表[#Headers],0)),スコア表[40],0),"-")</f>
        <v>28</v>
      </c>
      <c r="AV53" s="80">
        <f>IFERROR(_xlfn.RANK.EQ(INDEX(スコア表[],MATCH($C53,スコア表['#],0),MATCH(AV$5,スコア表[#Headers],0)),スコア表[41],0),"-")</f>
        <v>29</v>
      </c>
      <c r="AW53" s="80">
        <f>IFERROR(_xlfn.RANK.EQ(INDEX(スコア表[],MATCH($C53,スコア表['#],0),MATCH(AW$5,スコア表[#Headers],0)),スコア表[42],0),"-")</f>
        <v>36</v>
      </c>
      <c r="AX53" s="80">
        <f>IFERROR(_xlfn.RANK.EQ(INDEX(スコア表[],MATCH($C53,スコア表['#],0),MATCH(AX$5,スコア表[#Headers],0)),スコア表[43],0),"-")</f>
        <v>32</v>
      </c>
      <c r="AY53" s="80">
        <f>IFERROR(_xlfn.RANK.EQ(INDEX(スコア表[],MATCH($C53,スコア表['#],0),MATCH(AY$5,スコア表[#Headers],0)),スコア表[44],0),"-")</f>
        <v>18</v>
      </c>
      <c r="AZ53" s="80">
        <f>IFERROR(_xlfn.RANK.EQ(INDEX(スコア表[],MATCH($C53,スコア表['#],0),MATCH(AZ$5,スコア表[#Headers],0)),スコア表[45],0),"-")</f>
        <v>12</v>
      </c>
      <c r="BA53" s="80">
        <f>IFERROR(_xlfn.RANK.EQ(INDEX(スコア表[],MATCH($C53,スコア表['#],0),MATCH(BA$5,スコア表[#Headers],0)),スコア表[46],0),"-")</f>
        <v>14</v>
      </c>
      <c r="BB53" s="80">
        <f>IFERROR(_xlfn.RANK.EQ(INDEX(スコア表[],MATCH($C53,スコア表['#],0),MATCH(BB$5,スコア表[#Headers],0)),スコア表[47],0),"-")</f>
        <v>27</v>
      </c>
      <c r="BC53" s="80">
        <f>IFERROR(_xlfn.RANK.EQ(INDEX(スコア表[],MATCH($C53,スコア表['#],0),MATCH(BC$5,スコア表[#Headers],0)),スコア表[48],0),"-")</f>
        <v>24</v>
      </c>
      <c r="BD53" s="80">
        <f>IFERROR(_xlfn.RANK.EQ(INDEX(スコア表[],MATCH($C53,スコア表['#],0),MATCH(BD$5,スコア表[#Headers],0)),スコア表[49],0),"-")</f>
        <v>13</v>
      </c>
      <c r="BE53" s="80">
        <f>IFERROR(_xlfn.RANK.EQ(INDEX(スコア表[],MATCH($C53,スコア表['#],0),MATCH(BE$5,スコア表[#Headers],0)),スコア表[50],0),"-")</f>
        <v>35</v>
      </c>
      <c r="BF53" s="80">
        <f>IFERROR(_xlfn.RANK.EQ(INDEX(スコア表[],MATCH($C53,スコア表['#],0),MATCH(BF$5,スコア表[#Headers],0)),スコア表[51],0),"-")</f>
        <v>37</v>
      </c>
      <c r="BG53" s="80">
        <f>IFERROR(_xlfn.RANK.EQ(INDEX(スコア表[],MATCH($C53,スコア表['#],0),MATCH(BG$5,スコア表[#Headers],0)),スコア表[52],0),"-")</f>
        <v>2</v>
      </c>
      <c r="BH53" s="80">
        <f>IFERROR(_xlfn.RANK.EQ(INDEX(スコア表[],MATCH($C53,スコア表['#],0),MATCH(BH$5,スコア表[#Headers],0)),スコア表[53],0),"-")</f>
        <v>27</v>
      </c>
      <c r="BI53" s="80">
        <f>IFERROR(_xlfn.RANK.EQ(INDEX(スコア表[],MATCH($C53,スコア表['#],0),MATCH(BI$5,スコア表[#Headers],0)),スコア表[54],0),"-")</f>
        <v>22</v>
      </c>
      <c r="BJ53" s="80">
        <f>IFERROR(_xlfn.RANK.EQ(INDEX(スコア表[],MATCH($C53,スコア表['#],0),MATCH(BJ$5,スコア表[#Headers],0)),スコア表[55],0),"-")</f>
        <v>35</v>
      </c>
      <c r="BK53" s="80">
        <f>IFERROR(_xlfn.RANK.EQ(INDEX(スコア表[],MATCH($C53,スコア表['#],0),MATCH(BK$5,スコア表[#Headers],0)),スコア表[56],0),"-")</f>
        <v>2</v>
      </c>
      <c r="BL53" s="80">
        <f>IFERROR(_xlfn.RANK.EQ(INDEX(スコア表[],MATCH($C53,スコア表['#],0),MATCH(BL$5,スコア表[#Headers],0)),スコア表[57],0),"-")</f>
        <v>13</v>
      </c>
      <c r="BM53" s="80">
        <f>IFERROR(_xlfn.RANK.EQ(INDEX(スコア表[],MATCH($C53,スコア表['#],0),MATCH(BM$5,スコア表[#Headers],0)),スコア表[58],0),"-")</f>
        <v>12</v>
      </c>
      <c r="BN53" s="80">
        <f>IFERROR(_xlfn.RANK.EQ(INDEX(スコア表[],MATCH($C53,スコア表['#],0),MATCH(BN$5,スコア表[#Headers],0)),スコア表[59],0),"-")</f>
        <v>1</v>
      </c>
      <c r="BO53" s="80">
        <f>IFERROR(_xlfn.RANK.EQ(INDEX(スコア表[],MATCH($C53,スコア表['#],0),MATCH(BO$5,スコア表[#Headers],0)),スコア表[60],0),"-")</f>
        <v>11</v>
      </c>
      <c r="BP53" s="80">
        <f>IFERROR(_xlfn.RANK.EQ(INDEX(スコア表[],MATCH($C53,スコア表['#],0),MATCH(BP$5,スコア表[#Headers],0)),スコア表[61],0),"-")</f>
        <v>46</v>
      </c>
      <c r="BQ53" s="80">
        <f>IFERROR(_xlfn.RANK.EQ(INDEX(スコア表[],MATCH($C53,スコア表['#],0),MATCH(BQ$5,スコア表[#Headers],0)),スコア表[62],0),"-")</f>
        <v>27</v>
      </c>
      <c r="BR53" s="80">
        <f>IFERROR(_xlfn.RANK.EQ(INDEX(スコア表[],MATCH($C53,スコア表['#],0),MATCH(BR$5,スコア表[#Headers],0)),スコア表[63],0),"-")</f>
        <v>30</v>
      </c>
      <c r="BS53" s="80">
        <f>IFERROR(_xlfn.RANK.EQ(INDEX(スコア表[],MATCH($C53,スコア表['#],0),MATCH(BS$5,スコア表[#Headers],0)),スコア表[64],0),"-")</f>
        <v>31</v>
      </c>
      <c r="BT53" s="80">
        <f>IFERROR(_xlfn.RANK.EQ(INDEX(スコア表[],MATCH($C53,スコア表['#],0),MATCH(BT$5,スコア表[#Headers],0)),スコア表[65],0),"-")</f>
        <v>1</v>
      </c>
      <c r="BU53" s="80">
        <f>IFERROR(_xlfn.RANK.EQ(INDEX(スコア表[],MATCH($C53,スコア表['#],0),MATCH(BU$5,スコア表[#Headers],0)),スコア表[66],0),"-")</f>
        <v>33</v>
      </c>
      <c r="BV53" s="80">
        <f>IFERROR(_xlfn.RANK.EQ(INDEX(スコア表[],MATCH($C53,スコア表['#],0),MATCH(BV$5,スコア表[#Headers],0)),スコア表[67],0),"-")</f>
        <v>17</v>
      </c>
      <c r="BW53" s="80">
        <f>IFERROR(_xlfn.RANK.EQ(INDEX(スコア表[],MATCH($C53,スコア表['#],0),MATCH(BW$5,スコア表[#Headers],0)),スコア表[68],0),"-")</f>
        <v>17</v>
      </c>
      <c r="BX53" s="80">
        <f>IFERROR(_xlfn.RANK.EQ(INDEX(スコア表[],MATCH($C53,スコア表['#],0),MATCH(BX$5,スコア表[#Headers],0)),スコア表[69],0),"-")</f>
        <v>19</v>
      </c>
      <c r="BY53" s="80">
        <f>IFERROR(_xlfn.RANK.EQ(INDEX(スコア表[],MATCH($C53,スコア表['#],0),MATCH(BY$5,スコア表[#Headers],0)),スコア表[70],0),"-")</f>
        <v>4</v>
      </c>
      <c r="BZ53" s="80">
        <f>IFERROR(_xlfn.RANK.EQ(INDEX(スコア表[],MATCH($C53,スコア表['#],0),MATCH(BZ$5,スコア表[#Headers],0)),スコア表[Ec1],0),"-")</f>
        <v>19</v>
      </c>
      <c r="CA53" s="80">
        <f>IFERROR(_xlfn.RANK.EQ(INDEX(スコア表[],MATCH($C53,スコア表['#],0),MATCH(CA$5,スコア表[#Headers],0)),スコア表[Ec2],0),"-")</f>
        <v>7</v>
      </c>
      <c r="CB53" s="80">
        <f>IFERROR(_xlfn.RANK.EQ(INDEX(スコア表[],MATCH($C53,スコア表['#],0),MATCH(CB$5,スコア表[#Headers],0)),スコア表[Ec3],0),"-")</f>
        <v>36</v>
      </c>
      <c r="CC53" s="80">
        <f>IFERROR(_xlfn.RANK.EQ(INDEX(スコア表[],MATCH($C53,スコア表['#],0),MATCH(CC$5,スコア表[#Headers],0)),スコア表[Ec4],0),"-")</f>
        <v>18</v>
      </c>
      <c r="CD53" s="80">
        <f>IFERROR(_xlfn.RANK.EQ(INDEX(スコア表[],MATCH($C53,スコア表['#],0),MATCH(CD$5,スコア表[#Headers],0)),スコア表[Ec5],0),"-")</f>
        <v>20</v>
      </c>
      <c r="CE53" s="80">
        <f>IFERROR(_xlfn.RANK.EQ(INDEX(スコア表[],MATCH($C53,スコア表['#],0),MATCH(CE$5,スコア表[#Headers],0)),スコア表[Ec6],0),"-")</f>
        <v>31</v>
      </c>
      <c r="CF53" s="80">
        <f>IFERROR(_xlfn.RANK.EQ(INDEX(スコア表[],MATCH($C53,スコア表['#],0),MATCH(CF$5,スコア表[#Headers],0)),スコア表[RD1],0),"-")</f>
        <v>17</v>
      </c>
      <c r="CG53" s="80">
        <f>IFERROR(_xlfn.RANK.EQ(INDEX(スコア表[],MATCH($C53,スコア表['#],0),MATCH(CG$5,スコア表[#Headers],0)),スコア表[RD2],0),"-")</f>
        <v>6</v>
      </c>
      <c r="CH53" s="80">
        <f>IFERROR(_xlfn.RANK.EQ(INDEX(スコア表[],MATCH($C53,スコア表['#],0),MATCH(CH$5,スコア表[#Headers],0)),スコア表[RD3],0),"-")</f>
        <v>21</v>
      </c>
      <c r="CI53" s="80">
        <f>IFERROR(_xlfn.RANK.EQ(INDEX(スコア表[],MATCH($C53,スコア表['#],0),MATCH(CI$5,スコア表[#Headers],0)),スコア表[CI1],0),"-")</f>
        <v>38</v>
      </c>
      <c r="CJ53" s="80">
        <f>IFERROR(_xlfn.RANK.EQ(INDEX(スコア表[],MATCH($C53,スコア表['#],0),MATCH(CJ$5,スコア表[#Headers],0)),スコア表[CI2],0),"-")</f>
        <v>29</v>
      </c>
      <c r="CK53" s="80">
        <f>IFERROR(_xlfn.RANK.EQ(INDEX(スコア表[],MATCH($C53,スコア表['#],0),MATCH(CK$5,スコア表[#Headers],0)),スコア表[CI3],0),"-")</f>
        <v>12</v>
      </c>
      <c r="CL53" s="80">
        <f>IFERROR(_xlfn.RANK.EQ(INDEX(スコア表[],MATCH($C53,スコア表['#],0),MATCH(CL$5,スコア表[#Headers],0)),スコア表[CI4],0),"-")</f>
        <v>25</v>
      </c>
      <c r="CM53" s="80">
        <f>IFERROR(_xlfn.RANK.EQ(INDEX(スコア表[],MATCH($C53,スコア表['#],0),MATCH(CM$5,スコア表[#Headers],0)),スコア表[CI5],0),"-")</f>
        <v>5</v>
      </c>
      <c r="CN53" s="80">
        <f>IFERROR(_xlfn.RANK.EQ(INDEX(スコア表[],MATCH($C53,スコア表['#],0),MATCH(CN$5,スコア表[#Headers],0)),スコア表[Li1],0),"-")</f>
        <v>8</v>
      </c>
      <c r="CO53" s="80">
        <f>IFERROR(_xlfn.RANK.EQ(INDEX(スコア表[],MATCH($C53,スコア表['#],0),MATCH(CO$5,スコア表[#Headers],0)),スコア表[Li2],0),"-")</f>
        <v>31</v>
      </c>
      <c r="CP53" s="80">
        <f>IFERROR(_xlfn.RANK.EQ(INDEX(スコア表[],MATCH($C53,スコア表['#],0),MATCH(CP$5,スコア表[#Headers],0)),スコア表[Li3],0),"-")</f>
        <v>23</v>
      </c>
      <c r="CQ53" s="80">
        <f>IFERROR(_xlfn.RANK.EQ(INDEX(スコア表[],MATCH($C53,スコア表['#],0),MATCH(CQ$5,スコア表[#Headers],0)),スコア表[Li4],0),"-")</f>
        <v>16</v>
      </c>
      <c r="CR53" s="80">
        <f>IFERROR(_xlfn.RANK.EQ(INDEX(スコア表[],MATCH($C53,スコア表['#],0),MATCH(CR$5,スコア表[#Headers],0)),スコア表[Li5],0),"-")</f>
        <v>34</v>
      </c>
      <c r="CS53" s="80">
        <f>IFERROR(_xlfn.RANK.EQ(INDEX(スコア表[],MATCH($C53,スコア表['#],0),MATCH(CS$5,スコア表[#Headers],0)),スコア表[En1],0),"-")</f>
        <v>12</v>
      </c>
      <c r="CT53" s="80">
        <f>IFERROR(_xlfn.RANK.EQ(INDEX(スコア表[],MATCH($C53,スコア表['#],0),MATCH(CT$5,スコア表[#Headers],0)),スコア表[En2],0),"-")</f>
        <v>11</v>
      </c>
      <c r="CU53" s="80">
        <f>IFERROR(_xlfn.RANK.EQ(INDEX(スコア表[],MATCH($C53,スコア表['#],0),MATCH(CU$5,スコア表[#Headers],0)),スコア表[En3],0),"-")</f>
        <v>7</v>
      </c>
      <c r="CV53" s="80">
        <f>IFERROR(_xlfn.RANK.EQ(INDEX(スコア表[],MATCH($C53,スコア表['#],0),MATCH(CV$5,スコア表[#Headers],0)),スコア表[Ac1],0),"-")</f>
        <v>45</v>
      </c>
      <c r="CW53" s="80">
        <f>IFERROR(_xlfn.RANK.EQ(INDEX(スコア表[],MATCH($C53,スコア表['#],0),MATCH(CW$5,スコア表[#Headers],0)),スコア表[Ac2],0),"-")</f>
        <v>31</v>
      </c>
      <c r="CX53" s="80">
        <f>IFERROR(_xlfn.RANK.EQ(INDEX(スコア表[],MATCH($C53,スコア表['#],0),MATCH(CX$5,スコア表[#Headers],0)),スコア表[Ac3],0),"-")</f>
        <v>3</v>
      </c>
      <c r="CY53" s="80">
        <f>IFERROR(_xlfn.RANK.EQ(INDEX(スコア表[],MATCH($C53,スコア表['#],0),MATCH(CY$5,スコア表[#Headers],0)),スコア表[Ac4],0),"-")</f>
        <v>7</v>
      </c>
      <c r="CZ53" s="80">
        <f>IFERROR(_xlfn.RANK.EQ(INDEX(スコア表[],MATCH($C53,スコア表['#],0),MATCH(CZ$5,スコア表[#Headers],0)),スコア表[Economy],0),"-")</f>
        <v>23</v>
      </c>
      <c r="DA53" s="80">
        <f>IFERROR(_xlfn.RANK.EQ(INDEX(スコア表[],MATCH($C53,スコア表['#],0),MATCH(DA$5,スコア表[#Headers],0)),スコア表[R&amp;D],0),"-")</f>
        <v>16</v>
      </c>
      <c r="DB53" s="80">
        <f>IFERROR(_xlfn.RANK.EQ(INDEX(スコア表[],MATCH($C53,スコア表['#],0),MATCH(DB$5,スコア表[#Headers],0)),スコア表[Cultural Interaction],0),"-")</f>
        <v>22</v>
      </c>
      <c r="DC53" s="80">
        <f>IFERROR(_xlfn.RANK.EQ(INDEX(スコア表[],MATCH($C53,スコア表['#],0),MATCH(DC$5,スコア表[#Headers],0)),スコア表[Livability],0),"-")</f>
        <v>17</v>
      </c>
      <c r="DD53" s="80">
        <f>IFERROR(_xlfn.RANK.EQ(INDEX(スコア表[],MATCH($C53,スコア表['#],0),MATCH(DD$5,スコア表[#Headers],0)),スコア表[Environment],0),"-")</f>
        <v>6</v>
      </c>
      <c r="DE53" s="80">
        <f>IFERROR(_xlfn.RANK.EQ(INDEX(スコア表[],MATCH($C53,スコア表['#],0),MATCH(DE$5,スコア表[#Headers],0)),スコア表[Accessibility],0),"-")</f>
        <v>17</v>
      </c>
      <c r="DF53" s="82">
        <f>IFERROR(_xlfn.RANK.EQ(INDEX(スコア表[],MATCH($C53,スコア表['#],0),MATCH(DF$5,スコア表[#Headers],0)),スコア表[Comprehensive],0),"-")</f>
        <v>9</v>
      </c>
    </row>
    <row r="54" spans="1:110">
      <c r="A54" s="2">
        <v>49</v>
      </c>
      <c r="B54" s="55"/>
      <c r="C54" s="3"/>
      <c r="D54" s="1"/>
      <c r="E54" s="79"/>
      <c r="F54" s="79"/>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c r="AF54" s="79"/>
      <c r="AG54" s="79"/>
      <c r="AH54" s="79"/>
      <c r="AI54" s="79"/>
      <c r="AJ54" s="79"/>
      <c r="AK54" s="79"/>
      <c r="AL54" s="79"/>
      <c r="AM54" s="79"/>
      <c r="AN54" s="79"/>
      <c r="AO54" s="79"/>
      <c r="AP54" s="79"/>
      <c r="AQ54" s="79"/>
      <c r="AR54" s="79"/>
      <c r="AS54" s="79"/>
      <c r="AT54" s="79"/>
      <c r="AU54" s="79"/>
      <c r="AV54" s="79"/>
      <c r="AW54" s="79"/>
      <c r="AX54" s="79"/>
      <c r="AY54" s="79"/>
      <c r="AZ54" s="79"/>
      <c r="BA54" s="79"/>
      <c r="BB54" s="79"/>
      <c r="BC54" s="79"/>
      <c r="BD54" s="79"/>
      <c r="BE54" s="79"/>
      <c r="BF54" s="79"/>
      <c r="BG54" s="79"/>
      <c r="BH54" s="79"/>
      <c r="BI54" s="79"/>
      <c r="BJ54" s="79"/>
      <c r="BK54" s="79"/>
      <c r="BL54" s="79"/>
      <c r="BM54" s="79"/>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c r="CN54" s="79"/>
      <c r="CO54" s="79"/>
      <c r="CP54" s="79"/>
      <c r="CQ54" s="79"/>
      <c r="CR54" s="79"/>
      <c r="CS54" s="79"/>
      <c r="CT54" s="79"/>
      <c r="CU54" s="79"/>
      <c r="CV54" s="79"/>
      <c r="CW54" s="79"/>
      <c r="CX54" s="79"/>
      <c r="CY54" s="79"/>
      <c r="CZ54" s="79"/>
      <c r="DA54" s="79"/>
      <c r="DB54" s="79"/>
      <c r="DC54" s="79"/>
      <c r="DD54" s="79"/>
      <c r="DE54" s="79"/>
      <c r="DF54" s="79"/>
    </row>
    <row r="55" spans="1:110">
      <c r="A55" s="2">
        <v>50</v>
      </c>
      <c r="B55" s="55"/>
      <c r="C55" s="3"/>
      <c r="D55" s="1"/>
      <c r="E55" s="79"/>
      <c r="F55" s="79"/>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c r="AT55" s="79"/>
      <c r="AU55" s="79"/>
      <c r="AV55" s="79"/>
      <c r="AW55" s="79"/>
      <c r="AX55" s="79"/>
      <c r="AY55" s="79"/>
      <c r="AZ55" s="79"/>
      <c r="BA55" s="79"/>
      <c r="BB55" s="79"/>
      <c r="BC55" s="79"/>
      <c r="BD55" s="79"/>
      <c r="BE55" s="79"/>
      <c r="BF55" s="79"/>
      <c r="BG55" s="79"/>
      <c r="BH55" s="79"/>
      <c r="BI55" s="79"/>
      <c r="BJ55" s="79"/>
      <c r="BK55" s="79"/>
      <c r="BL55" s="79"/>
      <c r="BM55" s="79"/>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c r="CN55" s="79"/>
      <c r="CO55" s="79"/>
      <c r="CP55" s="79"/>
      <c r="CQ55" s="79"/>
      <c r="CR55" s="79"/>
      <c r="CS55" s="79"/>
      <c r="CT55" s="79"/>
      <c r="CU55" s="79"/>
      <c r="CV55" s="79"/>
      <c r="CW55" s="79"/>
      <c r="CX55" s="79"/>
      <c r="CY55" s="79"/>
      <c r="CZ55" s="79"/>
      <c r="DA55" s="79"/>
      <c r="DB55" s="79"/>
      <c r="DC55" s="79"/>
      <c r="DD55" s="79"/>
      <c r="DE55" s="79"/>
      <c r="DF55" s="79"/>
    </row>
    <row r="57" spans="1:110" s="2" customFormat="1">
      <c r="B57"/>
      <c r="C57"/>
      <c r="D57" s="36" t="s">
        <v>612</v>
      </c>
      <c r="E57" s="54" t="s">
        <v>1088</v>
      </c>
      <c r="F57" s="54" t="s">
        <v>1089</v>
      </c>
      <c r="G57" s="54" t="s">
        <v>1090</v>
      </c>
      <c r="H57" s="135" t="s">
        <v>211</v>
      </c>
      <c r="I57" s="135" t="s">
        <v>212</v>
      </c>
      <c r="J57" s="135" t="s">
        <v>213</v>
      </c>
      <c r="K57" s="135" t="s">
        <v>214</v>
      </c>
      <c r="L57" s="135" t="s">
        <v>215</v>
      </c>
      <c r="M57" s="135" t="s">
        <v>216</v>
      </c>
      <c r="N57" s="135" t="s">
        <v>217</v>
      </c>
      <c r="O57" s="135" t="s">
        <v>218</v>
      </c>
      <c r="P57" s="135" t="s">
        <v>219</v>
      </c>
      <c r="Q57" s="133" t="s">
        <v>611</v>
      </c>
      <c r="R57" s="133" t="s">
        <v>547</v>
      </c>
      <c r="S57" s="133" t="s">
        <v>548</v>
      </c>
      <c r="T57" s="133" t="s">
        <v>549</v>
      </c>
      <c r="U57" s="143" t="s">
        <v>550</v>
      </c>
      <c r="V57" s="143" t="s">
        <v>551</v>
      </c>
      <c r="W57" s="143" t="s">
        <v>552</v>
      </c>
      <c r="X57" s="143" t="s">
        <v>553</v>
      </c>
      <c r="Y57" s="143" t="s">
        <v>554</v>
      </c>
      <c r="Z57" s="143" t="s">
        <v>555</v>
      </c>
      <c r="AA57" s="143" t="s">
        <v>556</v>
      </c>
      <c r="AB57" s="143" t="s">
        <v>557</v>
      </c>
      <c r="AC57" s="151" t="s">
        <v>558</v>
      </c>
      <c r="AD57" s="151" t="s">
        <v>559</v>
      </c>
      <c r="AE57" s="151" t="s">
        <v>560</v>
      </c>
      <c r="AF57" s="151" t="s">
        <v>561</v>
      </c>
      <c r="AG57" s="151" t="s">
        <v>562</v>
      </c>
      <c r="AH57" s="151" t="s">
        <v>563</v>
      </c>
      <c r="AI57" s="151" t="s">
        <v>564</v>
      </c>
      <c r="AJ57" s="151" t="s">
        <v>565</v>
      </c>
      <c r="AK57" s="151" t="s">
        <v>566</v>
      </c>
      <c r="AL57" s="151" t="s">
        <v>567</v>
      </c>
      <c r="AM57" s="151" t="s">
        <v>568</v>
      </c>
      <c r="AN57" s="151" t="s">
        <v>569</v>
      </c>
      <c r="AO57" s="151" t="s">
        <v>570</v>
      </c>
      <c r="AP57" s="151" t="s">
        <v>571</v>
      </c>
      <c r="AQ57" s="151" t="s">
        <v>572</v>
      </c>
      <c r="AR57" s="151" t="s">
        <v>573</v>
      </c>
      <c r="AS57" s="158" t="s">
        <v>574</v>
      </c>
      <c r="AT57" s="158" t="s">
        <v>575</v>
      </c>
      <c r="AU57" s="158" t="s">
        <v>576</v>
      </c>
      <c r="AV57" s="158" t="s">
        <v>577</v>
      </c>
      <c r="AW57" s="158" t="s">
        <v>578</v>
      </c>
      <c r="AX57" s="158" t="s">
        <v>579</v>
      </c>
      <c r="AY57" s="158" t="s">
        <v>580</v>
      </c>
      <c r="AZ57" s="158" t="s">
        <v>581</v>
      </c>
      <c r="BA57" s="158" t="s">
        <v>582</v>
      </c>
      <c r="BB57" s="158" t="s">
        <v>583</v>
      </c>
      <c r="BC57" s="158" t="s">
        <v>584</v>
      </c>
      <c r="BD57" s="158" t="s">
        <v>585</v>
      </c>
      <c r="BE57" s="158" t="s">
        <v>586</v>
      </c>
      <c r="BF57" s="158" t="s">
        <v>587</v>
      </c>
      <c r="BG57" s="166" t="s">
        <v>588</v>
      </c>
      <c r="BH57" s="166" t="s">
        <v>589</v>
      </c>
      <c r="BI57" s="166" t="s">
        <v>590</v>
      </c>
      <c r="BJ57" s="166" t="s">
        <v>591</v>
      </c>
      <c r="BK57" s="166" t="s">
        <v>592</v>
      </c>
      <c r="BL57" s="166" t="s">
        <v>593</v>
      </c>
      <c r="BM57" s="166" t="s">
        <v>594</v>
      </c>
      <c r="BN57" s="166" t="s">
        <v>595</v>
      </c>
      <c r="BO57" s="166" t="s">
        <v>596</v>
      </c>
      <c r="BP57" s="174" t="s">
        <v>597</v>
      </c>
      <c r="BQ57" s="174" t="s">
        <v>598</v>
      </c>
      <c r="BR57" s="174" t="s">
        <v>599</v>
      </c>
      <c r="BS57" s="174" t="s">
        <v>600</v>
      </c>
      <c r="BT57" s="174" t="s">
        <v>601</v>
      </c>
      <c r="BU57" s="174" t="s">
        <v>602</v>
      </c>
      <c r="BV57" s="174" t="s">
        <v>603</v>
      </c>
      <c r="BW57" s="174" t="s">
        <v>604</v>
      </c>
      <c r="BX57" s="174" t="s">
        <v>605</v>
      </c>
      <c r="BY57" s="174" t="s">
        <v>606</v>
      </c>
      <c r="BZ57" s="133" t="s">
        <v>254</v>
      </c>
      <c r="CA57" s="133" t="s">
        <v>255</v>
      </c>
      <c r="CB57" s="133" t="s">
        <v>256</v>
      </c>
      <c r="CC57" s="133" t="s">
        <v>257</v>
      </c>
      <c r="CD57" s="133" t="s">
        <v>258</v>
      </c>
      <c r="CE57" s="133" t="s">
        <v>259</v>
      </c>
      <c r="CF57" s="143" t="s">
        <v>260</v>
      </c>
      <c r="CG57" s="143" t="s">
        <v>261</v>
      </c>
      <c r="CH57" s="143" t="s">
        <v>262</v>
      </c>
      <c r="CI57" s="151" t="s">
        <v>263</v>
      </c>
      <c r="CJ57" s="151" t="s">
        <v>264</v>
      </c>
      <c r="CK57" s="151" t="s">
        <v>265</v>
      </c>
      <c r="CL57" s="151" t="s">
        <v>266</v>
      </c>
      <c r="CM57" s="151" t="s">
        <v>267</v>
      </c>
      <c r="CN57" s="158" t="s">
        <v>268</v>
      </c>
      <c r="CO57" s="158" t="s">
        <v>269</v>
      </c>
      <c r="CP57" s="158" t="s">
        <v>270</v>
      </c>
      <c r="CQ57" s="158" t="s">
        <v>271</v>
      </c>
      <c r="CR57" s="158" t="s">
        <v>272</v>
      </c>
      <c r="CS57" s="166" t="s">
        <v>273</v>
      </c>
      <c r="CT57" s="166" t="s">
        <v>274</v>
      </c>
      <c r="CU57" s="166" t="s">
        <v>275</v>
      </c>
      <c r="CV57" s="174" t="s">
        <v>276</v>
      </c>
      <c r="CW57" s="174" t="s">
        <v>277</v>
      </c>
      <c r="CX57" s="174" t="s">
        <v>278</v>
      </c>
      <c r="CY57" s="174" t="s">
        <v>279</v>
      </c>
      <c r="CZ57" s="133" t="s">
        <v>614</v>
      </c>
      <c r="DA57" s="143" t="s">
        <v>442</v>
      </c>
      <c r="DB57" s="151" t="s">
        <v>7</v>
      </c>
      <c r="DC57" s="158" t="s">
        <v>281</v>
      </c>
      <c r="DD57" s="166" t="s">
        <v>9</v>
      </c>
      <c r="DE57" s="174" t="s">
        <v>10</v>
      </c>
      <c r="DF57" s="228" t="s">
        <v>226</v>
      </c>
    </row>
    <row r="58" spans="1:110">
      <c r="C58"/>
      <c r="D58" s="43" t="s">
        <v>607</v>
      </c>
      <c r="E58" s="4">
        <f t="shared" ref="E58:AK58" si="0">MAX(E6:E55)</f>
        <v>48</v>
      </c>
      <c r="F58" s="4">
        <f t="shared" si="0"/>
        <v>48</v>
      </c>
      <c r="G58" s="4">
        <f t="shared" si="0"/>
        <v>48</v>
      </c>
      <c r="H58" s="4">
        <f t="shared" si="0"/>
        <v>48</v>
      </c>
      <c r="I58" s="4">
        <f t="shared" si="0"/>
        <v>48</v>
      </c>
      <c r="J58" s="4">
        <f t="shared" si="0"/>
        <v>48</v>
      </c>
      <c r="K58" s="4">
        <f t="shared" si="0"/>
        <v>46</v>
      </c>
      <c r="L58" s="4">
        <f t="shared" si="0"/>
        <v>36</v>
      </c>
      <c r="M58" s="4">
        <f t="shared" si="0"/>
        <v>35</v>
      </c>
      <c r="N58" s="4">
        <f t="shared" si="0"/>
        <v>48</v>
      </c>
      <c r="O58" s="4">
        <f t="shared" si="0"/>
        <v>48</v>
      </c>
      <c r="P58" s="4">
        <f t="shared" si="0"/>
        <v>48</v>
      </c>
      <c r="Q58" s="4">
        <f t="shared" si="0"/>
        <v>48</v>
      </c>
      <c r="R58" s="4">
        <f t="shared" si="0"/>
        <v>48</v>
      </c>
      <c r="S58" s="4">
        <f t="shared" si="0"/>
        <v>48</v>
      </c>
      <c r="T58" s="4">
        <f t="shared" si="0"/>
        <v>48</v>
      </c>
      <c r="U58" s="4">
        <f t="shared" si="0"/>
        <v>48</v>
      </c>
      <c r="V58" s="4">
        <f t="shared" si="0"/>
        <v>46</v>
      </c>
      <c r="W58" s="4">
        <f t="shared" si="0"/>
        <v>48</v>
      </c>
      <c r="X58" s="4">
        <f t="shared" si="0"/>
        <v>45</v>
      </c>
      <c r="Y58" s="4">
        <f t="shared" si="0"/>
        <v>48</v>
      </c>
      <c r="Z58" s="4">
        <f t="shared" si="0"/>
        <v>48</v>
      </c>
      <c r="AA58" s="4">
        <f t="shared" si="0"/>
        <v>23</v>
      </c>
      <c r="AB58" s="4">
        <f t="shared" si="0"/>
        <v>48</v>
      </c>
      <c r="AC58" s="4">
        <f t="shared" si="0"/>
        <v>48</v>
      </c>
      <c r="AD58" s="4">
        <f t="shared" si="0"/>
        <v>48</v>
      </c>
      <c r="AE58" s="4">
        <f t="shared" si="0"/>
        <v>48</v>
      </c>
      <c r="AF58" s="4">
        <f t="shared" si="0"/>
        <v>47</v>
      </c>
      <c r="AG58" s="4">
        <f t="shared" si="0"/>
        <v>48</v>
      </c>
      <c r="AH58" s="4">
        <f t="shared" si="0"/>
        <v>38</v>
      </c>
      <c r="AI58" s="4">
        <f t="shared" si="0"/>
        <v>48</v>
      </c>
      <c r="AJ58" s="4">
        <f t="shared" si="0"/>
        <v>47</v>
      </c>
      <c r="AK58" s="4">
        <f t="shared" si="0"/>
        <v>48</v>
      </c>
      <c r="AL58" s="4">
        <f t="shared" ref="AL58:CW58" si="1">MAX(AL6:AL55)</f>
        <v>48</v>
      </c>
      <c r="AM58" s="4">
        <f t="shared" si="1"/>
        <v>48</v>
      </c>
      <c r="AN58" s="4">
        <f t="shared" si="1"/>
        <v>48</v>
      </c>
      <c r="AO58" s="4">
        <f t="shared" si="1"/>
        <v>48</v>
      </c>
      <c r="AP58" s="4">
        <f t="shared" si="1"/>
        <v>48</v>
      </c>
      <c r="AQ58" s="4">
        <f t="shared" si="1"/>
        <v>48</v>
      </c>
      <c r="AR58" s="4">
        <f t="shared" si="1"/>
        <v>48</v>
      </c>
      <c r="AS58" s="4">
        <f t="shared" si="1"/>
        <v>48</v>
      </c>
      <c r="AT58" s="4">
        <f t="shared" si="1"/>
        <v>48</v>
      </c>
      <c r="AU58" s="4">
        <f t="shared" si="1"/>
        <v>48</v>
      </c>
      <c r="AV58" s="4">
        <f t="shared" si="1"/>
        <v>48</v>
      </c>
      <c r="AW58" s="4">
        <f t="shared" si="1"/>
        <v>48</v>
      </c>
      <c r="AX58" s="4">
        <f t="shared" si="1"/>
        <v>48</v>
      </c>
      <c r="AY58" s="4">
        <f t="shared" si="1"/>
        <v>48</v>
      </c>
      <c r="AZ58" s="4">
        <f t="shared" si="1"/>
        <v>48</v>
      </c>
      <c r="BA58" s="4">
        <f t="shared" si="1"/>
        <v>48</v>
      </c>
      <c r="BB58" s="4">
        <f t="shared" si="1"/>
        <v>48</v>
      </c>
      <c r="BC58" s="4">
        <f t="shared" si="1"/>
        <v>48</v>
      </c>
      <c r="BD58" s="4">
        <f t="shared" si="1"/>
        <v>48</v>
      </c>
      <c r="BE58" s="4">
        <f t="shared" si="1"/>
        <v>48</v>
      </c>
      <c r="BF58" s="4">
        <f t="shared" si="1"/>
        <v>48</v>
      </c>
      <c r="BG58" s="4">
        <f t="shared" si="1"/>
        <v>48</v>
      </c>
      <c r="BH58" s="4">
        <f t="shared" si="1"/>
        <v>48</v>
      </c>
      <c r="BI58" s="4">
        <f t="shared" si="1"/>
        <v>48</v>
      </c>
      <c r="BJ58" s="4">
        <f t="shared" si="1"/>
        <v>48</v>
      </c>
      <c r="BK58" s="4">
        <f t="shared" si="1"/>
        <v>48</v>
      </c>
      <c r="BL58" s="4">
        <f t="shared" si="1"/>
        <v>48</v>
      </c>
      <c r="BM58" s="4">
        <f t="shared" si="1"/>
        <v>48</v>
      </c>
      <c r="BN58" s="4">
        <f t="shared" si="1"/>
        <v>48</v>
      </c>
      <c r="BO58" s="4">
        <f t="shared" si="1"/>
        <v>48</v>
      </c>
      <c r="BP58" s="4">
        <f t="shared" si="1"/>
        <v>48</v>
      </c>
      <c r="BQ58" s="4">
        <f t="shared" si="1"/>
        <v>48</v>
      </c>
      <c r="BR58" s="4">
        <f t="shared" si="1"/>
        <v>48</v>
      </c>
      <c r="BS58" s="4">
        <f t="shared" si="1"/>
        <v>48</v>
      </c>
      <c r="BT58" s="4">
        <f t="shared" si="1"/>
        <v>48</v>
      </c>
      <c r="BU58" s="4">
        <f t="shared" si="1"/>
        <v>48</v>
      </c>
      <c r="BV58" s="4">
        <f t="shared" si="1"/>
        <v>48</v>
      </c>
      <c r="BW58" s="4">
        <f t="shared" si="1"/>
        <v>48</v>
      </c>
      <c r="BX58" s="4">
        <f t="shared" si="1"/>
        <v>48</v>
      </c>
      <c r="BY58" s="4">
        <f t="shared" si="1"/>
        <v>48</v>
      </c>
      <c r="BZ58" s="4">
        <f t="shared" si="1"/>
        <v>48</v>
      </c>
      <c r="CA58" s="4">
        <f t="shared" si="1"/>
        <v>48</v>
      </c>
      <c r="CB58" s="4">
        <f t="shared" si="1"/>
        <v>44</v>
      </c>
      <c r="CC58" s="4">
        <f t="shared" si="1"/>
        <v>48</v>
      </c>
      <c r="CD58" s="4">
        <f t="shared" si="1"/>
        <v>48</v>
      </c>
      <c r="CE58" s="4">
        <f t="shared" si="1"/>
        <v>48</v>
      </c>
      <c r="CF58" s="4">
        <f t="shared" si="1"/>
        <v>48</v>
      </c>
      <c r="CG58" s="4">
        <f t="shared" si="1"/>
        <v>48</v>
      </c>
      <c r="CH58" s="4">
        <f t="shared" si="1"/>
        <v>48</v>
      </c>
      <c r="CI58" s="4">
        <f t="shared" si="1"/>
        <v>48</v>
      </c>
      <c r="CJ58" s="4">
        <f t="shared" si="1"/>
        <v>48</v>
      </c>
      <c r="CK58" s="4">
        <f t="shared" si="1"/>
        <v>48</v>
      </c>
      <c r="CL58" s="4">
        <f t="shared" si="1"/>
        <v>48</v>
      </c>
      <c r="CM58" s="4">
        <f t="shared" si="1"/>
        <v>48</v>
      </c>
      <c r="CN58" s="4">
        <f t="shared" si="1"/>
        <v>48</v>
      </c>
      <c r="CO58" s="4">
        <f t="shared" si="1"/>
        <v>48</v>
      </c>
      <c r="CP58" s="4">
        <f t="shared" si="1"/>
        <v>48</v>
      </c>
      <c r="CQ58" s="4">
        <f t="shared" si="1"/>
        <v>48</v>
      </c>
      <c r="CR58" s="4">
        <f t="shared" si="1"/>
        <v>48</v>
      </c>
      <c r="CS58" s="4">
        <f t="shared" si="1"/>
        <v>48</v>
      </c>
      <c r="CT58" s="4">
        <f t="shared" si="1"/>
        <v>48</v>
      </c>
      <c r="CU58" s="4">
        <f t="shared" si="1"/>
        <v>48</v>
      </c>
      <c r="CV58" s="4">
        <f t="shared" si="1"/>
        <v>48</v>
      </c>
      <c r="CW58" s="4">
        <f t="shared" si="1"/>
        <v>48</v>
      </c>
      <c r="CX58" s="4">
        <f t="shared" ref="CX58:DF58" si="2">MAX(CX6:CX55)</f>
        <v>48</v>
      </c>
      <c r="CY58" s="4">
        <f t="shared" si="2"/>
        <v>48</v>
      </c>
      <c r="CZ58" s="4">
        <f t="shared" si="2"/>
        <v>48</v>
      </c>
      <c r="DA58" s="4">
        <f t="shared" si="2"/>
        <v>48</v>
      </c>
      <c r="DB58" s="4">
        <f t="shared" si="2"/>
        <v>48</v>
      </c>
      <c r="DC58" s="4">
        <f t="shared" si="2"/>
        <v>48</v>
      </c>
      <c r="DD58" s="4">
        <f t="shared" si="2"/>
        <v>48</v>
      </c>
      <c r="DE58" s="4">
        <f t="shared" si="2"/>
        <v>48</v>
      </c>
      <c r="DF58" s="4">
        <f t="shared" si="2"/>
        <v>48</v>
      </c>
    </row>
    <row r="59" spans="1:110">
      <c r="C59"/>
      <c r="D59" s="43" t="s">
        <v>608</v>
      </c>
      <c r="E59" s="4">
        <f t="shared" ref="E59:BP59" si="3">MIN(E6:E55)</f>
        <v>1</v>
      </c>
      <c r="F59" s="4">
        <f t="shared" si="3"/>
        <v>1</v>
      </c>
      <c r="G59" s="4">
        <f t="shared" si="3"/>
        <v>1</v>
      </c>
      <c r="H59" s="4">
        <f t="shared" si="3"/>
        <v>1</v>
      </c>
      <c r="I59" s="4">
        <f t="shared" si="3"/>
        <v>1</v>
      </c>
      <c r="J59" s="4">
        <f t="shared" si="3"/>
        <v>1</v>
      </c>
      <c r="K59" s="4">
        <f t="shared" si="3"/>
        <v>1</v>
      </c>
      <c r="L59" s="4">
        <f t="shared" si="3"/>
        <v>1</v>
      </c>
      <c r="M59" s="4">
        <f t="shared" si="3"/>
        <v>1</v>
      </c>
      <c r="N59" s="4">
        <f t="shared" si="3"/>
        <v>1</v>
      </c>
      <c r="O59" s="4">
        <f t="shared" si="3"/>
        <v>1</v>
      </c>
      <c r="P59" s="4">
        <f t="shared" si="3"/>
        <v>1</v>
      </c>
      <c r="Q59" s="4">
        <f t="shared" si="3"/>
        <v>1</v>
      </c>
      <c r="R59" s="4">
        <f t="shared" si="3"/>
        <v>1</v>
      </c>
      <c r="S59" s="4">
        <f t="shared" si="3"/>
        <v>1</v>
      </c>
      <c r="T59" s="4">
        <f t="shared" si="3"/>
        <v>1</v>
      </c>
      <c r="U59" s="4">
        <f t="shared" si="3"/>
        <v>1</v>
      </c>
      <c r="V59" s="4">
        <f t="shared" si="3"/>
        <v>1</v>
      </c>
      <c r="W59" s="4">
        <f t="shared" si="3"/>
        <v>1</v>
      </c>
      <c r="X59" s="4">
        <f t="shared" si="3"/>
        <v>1</v>
      </c>
      <c r="Y59" s="4">
        <f t="shared" si="3"/>
        <v>1</v>
      </c>
      <c r="Z59" s="4">
        <f t="shared" si="3"/>
        <v>1</v>
      </c>
      <c r="AA59" s="4">
        <f t="shared" si="3"/>
        <v>1</v>
      </c>
      <c r="AB59" s="4">
        <f t="shared" si="3"/>
        <v>1</v>
      </c>
      <c r="AC59" s="4">
        <f t="shared" si="3"/>
        <v>1</v>
      </c>
      <c r="AD59" s="4">
        <f t="shared" si="3"/>
        <v>1</v>
      </c>
      <c r="AE59" s="4">
        <f t="shared" si="3"/>
        <v>1</v>
      </c>
      <c r="AF59" s="4">
        <f t="shared" si="3"/>
        <v>1</v>
      </c>
      <c r="AG59" s="4">
        <f t="shared" si="3"/>
        <v>1</v>
      </c>
      <c r="AH59" s="4">
        <f t="shared" si="3"/>
        <v>1</v>
      </c>
      <c r="AI59" s="4">
        <f t="shared" si="3"/>
        <v>1</v>
      </c>
      <c r="AJ59" s="4">
        <f t="shared" si="3"/>
        <v>1</v>
      </c>
      <c r="AK59" s="4">
        <f t="shared" si="3"/>
        <v>1</v>
      </c>
      <c r="AL59" s="4">
        <f t="shared" si="3"/>
        <v>1</v>
      </c>
      <c r="AM59" s="4">
        <f t="shared" si="3"/>
        <v>1</v>
      </c>
      <c r="AN59" s="4">
        <f t="shared" si="3"/>
        <v>1</v>
      </c>
      <c r="AO59" s="4">
        <f t="shared" si="3"/>
        <v>1</v>
      </c>
      <c r="AP59" s="4">
        <f t="shared" si="3"/>
        <v>1</v>
      </c>
      <c r="AQ59" s="4">
        <f t="shared" si="3"/>
        <v>1</v>
      </c>
      <c r="AR59" s="4">
        <f t="shared" si="3"/>
        <v>1</v>
      </c>
      <c r="AS59" s="4">
        <f t="shared" si="3"/>
        <v>1</v>
      </c>
      <c r="AT59" s="4">
        <f t="shared" si="3"/>
        <v>1</v>
      </c>
      <c r="AU59" s="4">
        <f t="shared" si="3"/>
        <v>1</v>
      </c>
      <c r="AV59" s="4">
        <f t="shared" si="3"/>
        <v>1</v>
      </c>
      <c r="AW59" s="4">
        <f t="shared" si="3"/>
        <v>1</v>
      </c>
      <c r="AX59" s="4">
        <f t="shared" si="3"/>
        <v>1</v>
      </c>
      <c r="AY59" s="4">
        <f t="shared" si="3"/>
        <v>1</v>
      </c>
      <c r="AZ59" s="4">
        <f t="shared" si="3"/>
        <v>1</v>
      </c>
      <c r="BA59" s="4">
        <f t="shared" si="3"/>
        <v>1</v>
      </c>
      <c r="BB59" s="4">
        <f t="shared" si="3"/>
        <v>1</v>
      </c>
      <c r="BC59" s="4">
        <f t="shared" si="3"/>
        <v>1</v>
      </c>
      <c r="BD59" s="4">
        <f t="shared" si="3"/>
        <v>1</v>
      </c>
      <c r="BE59" s="4">
        <f t="shared" si="3"/>
        <v>1</v>
      </c>
      <c r="BF59" s="4">
        <f t="shared" si="3"/>
        <v>1</v>
      </c>
      <c r="BG59" s="4">
        <f t="shared" si="3"/>
        <v>1</v>
      </c>
      <c r="BH59" s="4">
        <f t="shared" si="3"/>
        <v>1</v>
      </c>
      <c r="BI59" s="4">
        <f t="shared" si="3"/>
        <v>1</v>
      </c>
      <c r="BJ59" s="4">
        <f t="shared" si="3"/>
        <v>1</v>
      </c>
      <c r="BK59" s="4">
        <f t="shared" si="3"/>
        <v>1</v>
      </c>
      <c r="BL59" s="4">
        <f t="shared" si="3"/>
        <v>1</v>
      </c>
      <c r="BM59" s="4">
        <f t="shared" si="3"/>
        <v>1</v>
      </c>
      <c r="BN59" s="4">
        <f t="shared" si="3"/>
        <v>1</v>
      </c>
      <c r="BO59" s="4">
        <f t="shared" si="3"/>
        <v>1</v>
      </c>
      <c r="BP59" s="4">
        <f t="shared" si="3"/>
        <v>1</v>
      </c>
      <c r="BQ59" s="4">
        <f t="shared" ref="BQ59:DF59" si="4">MIN(BQ6:BQ55)</f>
        <v>1</v>
      </c>
      <c r="BR59" s="4">
        <f t="shared" si="4"/>
        <v>1</v>
      </c>
      <c r="BS59" s="4">
        <f t="shared" si="4"/>
        <v>1</v>
      </c>
      <c r="BT59" s="4">
        <f t="shared" si="4"/>
        <v>1</v>
      </c>
      <c r="BU59" s="4">
        <f t="shared" si="4"/>
        <v>1</v>
      </c>
      <c r="BV59" s="4">
        <f t="shared" si="4"/>
        <v>1</v>
      </c>
      <c r="BW59" s="4">
        <f t="shared" si="4"/>
        <v>1</v>
      </c>
      <c r="BX59" s="4">
        <f t="shared" si="4"/>
        <v>1</v>
      </c>
      <c r="BY59" s="4">
        <f t="shared" si="4"/>
        <v>1</v>
      </c>
      <c r="BZ59" s="4">
        <f t="shared" si="4"/>
        <v>1</v>
      </c>
      <c r="CA59" s="4">
        <f t="shared" si="4"/>
        <v>1</v>
      </c>
      <c r="CB59" s="4">
        <f t="shared" si="4"/>
        <v>1</v>
      </c>
      <c r="CC59" s="4">
        <f t="shared" si="4"/>
        <v>1</v>
      </c>
      <c r="CD59" s="4">
        <f t="shared" si="4"/>
        <v>1</v>
      </c>
      <c r="CE59" s="4">
        <f t="shared" si="4"/>
        <v>1</v>
      </c>
      <c r="CF59" s="4">
        <f t="shared" si="4"/>
        <v>1</v>
      </c>
      <c r="CG59" s="4">
        <f t="shared" si="4"/>
        <v>1</v>
      </c>
      <c r="CH59" s="4">
        <f t="shared" si="4"/>
        <v>1</v>
      </c>
      <c r="CI59" s="4">
        <f t="shared" si="4"/>
        <v>1</v>
      </c>
      <c r="CJ59" s="4">
        <f t="shared" si="4"/>
        <v>1</v>
      </c>
      <c r="CK59" s="4">
        <f t="shared" si="4"/>
        <v>1</v>
      </c>
      <c r="CL59" s="4">
        <f t="shared" si="4"/>
        <v>1</v>
      </c>
      <c r="CM59" s="4">
        <f t="shared" si="4"/>
        <v>1</v>
      </c>
      <c r="CN59" s="4">
        <f t="shared" si="4"/>
        <v>1</v>
      </c>
      <c r="CO59" s="4">
        <f t="shared" si="4"/>
        <v>1</v>
      </c>
      <c r="CP59" s="4">
        <f t="shared" si="4"/>
        <v>1</v>
      </c>
      <c r="CQ59" s="4">
        <f t="shared" si="4"/>
        <v>1</v>
      </c>
      <c r="CR59" s="4">
        <f t="shared" si="4"/>
        <v>1</v>
      </c>
      <c r="CS59" s="4">
        <f t="shared" si="4"/>
        <v>1</v>
      </c>
      <c r="CT59" s="4">
        <f t="shared" si="4"/>
        <v>1</v>
      </c>
      <c r="CU59" s="4">
        <f t="shared" si="4"/>
        <v>1</v>
      </c>
      <c r="CV59" s="4">
        <f t="shared" si="4"/>
        <v>1</v>
      </c>
      <c r="CW59" s="4">
        <f t="shared" si="4"/>
        <v>1</v>
      </c>
      <c r="CX59" s="4">
        <f t="shared" si="4"/>
        <v>1</v>
      </c>
      <c r="CY59" s="4">
        <f t="shared" si="4"/>
        <v>1</v>
      </c>
      <c r="CZ59" s="4">
        <f t="shared" si="4"/>
        <v>1</v>
      </c>
      <c r="DA59" s="4">
        <f t="shared" si="4"/>
        <v>1</v>
      </c>
      <c r="DB59" s="4">
        <f t="shared" si="4"/>
        <v>1</v>
      </c>
      <c r="DC59" s="4">
        <f t="shared" si="4"/>
        <v>1</v>
      </c>
      <c r="DD59" s="4">
        <f t="shared" si="4"/>
        <v>1</v>
      </c>
      <c r="DE59" s="4">
        <f t="shared" si="4"/>
        <v>1</v>
      </c>
      <c r="DF59" s="4">
        <f t="shared" si="4"/>
        <v>1</v>
      </c>
    </row>
    <row r="60" spans="1:110">
      <c r="C60"/>
      <c r="D60" s="43" t="s">
        <v>609</v>
      </c>
      <c r="E60" s="4">
        <f t="shared" ref="E60:BP60" si="5">AVERAGE(E6:E55)</f>
        <v>24.5</v>
      </c>
      <c r="F60" s="4">
        <f t="shared" si="5"/>
        <v>24.5</v>
      </c>
      <c r="G60" s="4">
        <f t="shared" si="5"/>
        <v>22.895833333333332</v>
      </c>
      <c r="H60" s="4">
        <f t="shared" si="5"/>
        <v>24.5</v>
      </c>
      <c r="I60" s="4">
        <f t="shared" si="5"/>
        <v>24.5</v>
      </c>
      <c r="J60" s="4">
        <f t="shared" si="5"/>
        <v>24.5</v>
      </c>
      <c r="K60" s="4">
        <f t="shared" si="5"/>
        <v>23.958333333333332</v>
      </c>
      <c r="L60" s="4">
        <f t="shared" si="5"/>
        <v>22.875</v>
      </c>
      <c r="M60" s="4">
        <f t="shared" si="5"/>
        <v>22.604166666666668</v>
      </c>
      <c r="N60" s="4">
        <f t="shared" si="5"/>
        <v>24.5</v>
      </c>
      <c r="O60" s="4">
        <f t="shared" si="5"/>
        <v>24.5</v>
      </c>
      <c r="P60" s="4">
        <f t="shared" si="5"/>
        <v>24.5</v>
      </c>
      <c r="Q60" s="4">
        <f t="shared" si="5"/>
        <v>24.5</v>
      </c>
      <c r="R60" s="4">
        <f t="shared" si="5"/>
        <v>24.5</v>
      </c>
      <c r="S60" s="4">
        <f t="shared" si="5"/>
        <v>23.645833333333332</v>
      </c>
      <c r="T60" s="4">
        <f t="shared" si="5"/>
        <v>24.270833333333332</v>
      </c>
      <c r="U60" s="4">
        <f t="shared" si="5"/>
        <v>24.5</v>
      </c>
      <c r="V60" s="4">
        <f t="shared" si="5"/>
        <v>24.145833333333332</v>
      </c>
      <c r="W60" s="4">
        <f t="shared" si="5"/>
        <v>24.5</v>
      </c>
      <c r="X60" s="4">
        <f t="shared" si="5"/>
        <v>24.375</v>
      </c>
      <c r="Y60" s="4">
        <f t="shared" si="5"/>
        <v>23.9375</v>
      </c>
      <c r="Z60" s="4">
        <f t="shared" si="5"/>
        <v>24.5</v>
      </c>
      <c r="AA60" s="4">
        <f t="shared" si="5"/>
        <v>17.645833333333332</v>
      </c>
      <c r="AB60" s="4">
        <f t="shared" si="5"/>
        <v>24.5</v>
      </c>
      <c r="AC60" s="4">
        <f t="shared" si="5"/>
        <v>24.104166666666668</v>
      </c>
      <c r="AD60" s="4">
        <f t="shared" si="5"/>
        <v>23.645833333333332</v>
      </c>
      <c r="AE60" s="4">
        <f t="shared" si="5"/>
        <v>24.5</v>
      </c>
      <c r="AF60" s="4">
        <f t="shared" si="5"/>
        <v>24.458333333333332</v>
      </c>
      <c r="AG60" s="4">
        <f t="shared" si="5"/>
        <v>24.5</v>
      </c>
      <c r="AH60" s="4">
        <f t="shared" si="5"/>
        <v>22.854166666666668</v>
      </c>
      <c r="AI60" s="4">
        <f t="shared" si="5"/>
        <v>24.5</v>
      </c>
      <c r="AJ60" s="4">
        <f t="shared" si="5"/>
        <v>24.395833333333332</v>
      </c>
      <c r="AK60" s="4">
        <f t="shared" si="5"/>
        <v>24.333333333333332</v>
      </c>
      <c r="AL60" s="4">
        <f t="shared" si="5"/>
        <v>22.270833333333332</v>
      </c>
      <c r="AM60" s="4">
        <f t="shared" si="5"/>
        <v>24.5</v>
      </c>
      <c r="AN60" s="4">
        <f t="shared" si="5"/>
        <v>24.479166666666668</v>
      </c>
      <c r="AO60" s="4">
        <f t="shared" si="5"/>
        <v>24.5</v>
      </c>
      <c r="AP60" s="4">
        <f t="shared" si="5"/>
        <v>24.5</v>
      </c>
      <c r="AQ60" s="4">
        <f t="shared" si="5"/>
        <v>24.5</v>
      </c>
      <c r="AR60" s="4">
        <f t="shared" si="5"/>
        <v>24.5</v>
      </c>
      <c r="AS60" s="4">
        <f t="shared" si="5"/>
        <v>24.458333333333332</v>
      </c>
      <c r="AT60" s="4">
        <f t="shared" si="5"/>
        <v>24.5</v>
      </c>
      <c r="AU60" s="4">
        <f t="shared" si="5"/>
        <v>24.479166666666668</v>
      </c>
      <c r="AV60" s="4">
        <f t="shared" si="5"/>
        <v>24.5</v>
      </c>
      <c r="AW60" s="4">
        <f t="shared" si="5"/>
        <v>24.5</v>
      </c>
      <c r="AX60" s="4">
        <f t="shared" si="5"/>
        <v>24.5</v>
      </c>
      <c r="AY60" s="4">
        <f t="shared" si="5"/>
        <v>24.104166666666668</v>
      </c>
      <c r="AZ60" s="4">
        <f t="shared" si="5"/>
        <v>23.854166666666668</v>
      </c>
      <c r="BA60" s="4">
        <f t="shared" si="5"/>
        <v>24</v>
      </c>
      <c r="BB60" s="4">
        <f t="shared" si="5"/>
        <v>24</v>
      </c>
      <c r="BC60" s="4">
        <f t="shared" si="5"/>
        <v>24.5</v>
      </c>
      <c r="BD60" s="4">
        <f t="shared" si="5"/>
        <v>24</v>
      </c>
      <c r="BE60" s="4">
        <f t="shared" si="5"/>
        <v>24.5</v>
      </c>
      <c r="BF60" s="4">
        <f t="shared" si="5"/>
        <v>24.5</v>
      </c>
      <c r="BG60" s="4">
        <f t="shared" si="5"/>
        <v>24.5</v>
      </c>
      <c r="BH60" s="4">
        <f t="shared" si="5"/>
        <v>23.979166666666668</v>
      </c>
      <c r="BI60" s="4">
        <f t="shared" si="5"/>
        <v>24.0625</v>
      </c>
      <c r="BJ60" s="4">
        <f t="shared" si="5"/>
        <v>24.5</v>
      </c>
      <c r="BK60" s="4">
        <f t="shared" si="5"/>
        <v>24.458333333333332</v>
      </c>
      <c r="BL60" s="4">
        <f t="shared" si="5"/>
        <v>24.5</v>
      </c>
      <c r="BM60" s="4">
        <f t="shared" si="5"/>
        <v>24.479166666666668</v>
      </c>
      <c r="BN60" s="4">
        <f t="shared" si="5"/>
        <v>24.5</v>
      </c>
      <c r="BO60" s="4">
        <f t="shared" si="5"/>
        <v>24.5</v>
      </c>
      <c r="BP60" s="4">
        <f t="shared" si="5"/>
        <v>24.375</v>
      </c>
      <c r="BQ60" s="4">
        <f t="shared" ref="BQ60:DF60" si="6">AVERAGE(BQ6:BQ55)</f>
        <v>24.5</v>
      </c>
      <c r="BR60" s="4">
        <f t="shared" si="6"/>
        <v>24.5</v>
      </c>
      <c r="BS60" s="4">
        <f t="shared" si="6"/>
        <v>24.5</v>
      </c>
      <c r="BT60" s="4">
        <f t="shared" si="6"/>
        <v>24.416666666666668</v>
      </c>
      <c r="BU60" s="4">
        <f t="shared" si="6"/>
        <v>24.5</v>
      </c>
      <c r="BV60" s="4">
        <f t="shared" si="6"/>
        <v>24.104166666666668</v>
      </c>
      <c r="BW60" s="4">
        <f t="shared" si="6"/>
        <v>24.5</v>
      </c>
      <c r="BX60" s="4">
        <f t="shared" si="6"/>
        <v>24.208333333333332</v>
      </c>
      <c r="BY60" s="4">
        <f t="shared" si="6"/>
        <v>24.5</v>
      </c>
      <c r="BZ60" s="4">
        <f t="shared" si="6"/>
        <v>24.5</v>
      </c>
      <c r="CA60" s="4">
        <f t="shared" si="6"/>
        <v>24.5</v>
      </c>
      <c r="CB60" s="4">
        <f t="shared" si="6"/>
        <v>24.291666666666668</v>
      </c>
      <c r="CC60" s="4">
        <f t="shared" si="6"/>
        <v>24.5</v>
      </c>
      <c r="CD60" s="4">
        <f t="shared" si="6"/>
        <v>24.5</v>
      </c>
      <c r="CE60" s="4">
        <f t="shared" si="6"/>
        <v>24.458333333333332</v>
      </c>
      <c r="CF60" s="4">
        <f t="shared" si="6"/>
        <v>24.5</v>
      </c>
      <c r="CG60" s="4">
        <f t="shared" si="6"/>
        <v>24.5</v>
      </c>
      <c r="CH60" s="4">
        <f t="shared" si="6"/>
        <v>24.5</v>
      </c>
      <c r="CI60" s="4">
        <f t="shared" si="6"/>
        <v>24.5</v>
      </c>
      <c r="CJ60" s="4">
        <f t="shared" si="6"/>
        <v>24.5</v>
      </c>
      <c r="CK60" s="4">
        <f t="shared" si="6"/>
        <v>24.5</v>
      </c>
      <c r="CL60" s="4">
        <f t="shared" si="6"/>
        <v>24.5</v>
      </c>
      <c r="CM60" s="4">
        <f t="shared" si="6"/>
        <v>24.5</v>
      </c>
      <c r="CN60" s="4">
        <f t="shared" si="6"/>
        <v>24.5</v>
      </c>
      <c r="CO60" s="4">
        <f t="shared" si="6"/>
        <v>24.5</v>
      </c>
      <c r="CP60" s="4">
        <f t="shared" si="6"/>
        <v>24.5</v>
      </c>
      <c r="CQ60" s="4">
        <f t="shared" si="6"/>
        <v>24</v>
      </c>
      <c r="CR60" s="4">
        <f t="shared" si="6"/>
        <v>24.5</v>
      </c>
      <c r="CS60" s="4">
        <f t="shared" si="6"/>
        <v>24.5</v>
      </c>
      <c r="CT60" s="4">
        <f t="shared" si="6"/>
        <v>24.5</v>
      </c>
      <c r="CU60" s="4">
        <f t="shared" si="6"/>
        <v>24.5</v>
      </c>
      <c r="CV60" s="4">
        <f t="shared" si="6"/>
        <v>24.5</v>
      </c>
      <c r="CW60" s="4">
        <f t="shared" si="6"/>
        <v>24.5</v>
      </c>
      <c r="CX60" s="4">
        <f t="shared" si="6"/>
        <v>24.5</v>
      </c>
      <c r="CY60" s="4">
        <f t="shared" si="6"/>
        <v>24.5</v>
      </c>
      <c r="CZ60" s="4">
        <f t="shared" si="6"/>
        <v>24.5</v>
      </c>
      <c r="DA60" s="4">
        <f t="shared" si="6"/>
        <v>24.5</v>
      </c>
      <c r="DB60" s="4">
        <f t="shared" si="6"/>
        <v>24.5</v>
      </c>
      <c r="DC60" s="4">
        <f t="shared" si="6"/>
        <v>24.5</v>
      </c>
      <c r="DD60" s="4">
        <f t="shared" si="6"/>
        <v>24.5</v>
      </c>
      <c r="DE60" s="4">
        <f t="shared" si="6"/>
        <v>24.5</v>
      </c>
      <c r="DF60" s="4">
        <f t="shared" si="6"/>
        <v>24.5</v>
      </c>
    </row>
    <row r="61" spans="1:110">
      <c r="C61"/>
      <c r="D61" s="43" t="s">
        <v>610</v>
      </c>
      <c r="E61" s="4">
        <f t="shared" ref="E61:BP61" si="7">_xlfn.STDEV.P(E6:E55)</f>
        <v>13.853399101544236</v>
      </c>
      <c r="F61" s="4">
        <f t="shared" si="7"/>
        <v>13.853399101544236</v>
      </c>
      <c r="G61" s="4">
        <f t="shared" si="7"/>
        <v>12.286916455002949</v>
      </c>
      <c r="H61" s="4">
        <f t="shared" si="7"/>
        <v>13.853399101544236</v>
      </c>
      <c r="I61" s="4">
        <f t="shared" si="7"/>
        <v>13.853399101544236</v>
      </c>
      <c r="J61" s="4">
        <f t="shared" si="7"/>
        <v>13.853399101544236</v>
      </c>
      <c r="K61" s="4">
        <f t="shared" si="7"/>
        <v>13.887881907940061</v>
      </c>
      <c r="L61" s="4">
        <f t="shared" si="7"/>
        <v>11.762626194859717</v>
      </c>
      <c r="M61" s="4">
        <f t="shared" si="7"/>
        <v>11.46505484674578</v>
      </c>
      <c r="N61" s="4">
        <f t="shared" si="7"/>
        <v>13.853399101544236</v>
      </c>
      <c r="O61" s="4">
        <f t="shared" si="7"/>
        <v>13.853399101544236</v>
      </c>
      <c r="P61" s="4">
        <f t="shared" si="7"/>
        <v>13.853399101544236</v>
      </c>
      <c r="Q61" s="4">
        <f t="shared" si="7"/>
        <v>13.853399101544236</v>
      </c>
      <c r="R61" s="4">
        <f t="shared" si="7"/>
        <v>13.853399101544236</v>
      </c>
      <c r="S61" s="4">
        <f t="shared" si="7"/>
        <v>14.077892810084265</v>
      </c>
      <c r="T61" s="4">
        <f t="shared" si="7"/>
        <v>14.017458732079632</v>
      </c>
      <c r="U61" s="4">
        <f t="shared" si="7"/>
        <v>13.853399101544236</v>
      </c>
      <c r="V61" s="4">
        <f t="shared" si="7"/>
        <v>13.452059296091269</v>
      </c>
      <c r="W61" s="4">
        <f t="shared" si="7"/>
        <v>13.853399101544236</v>
      </c>
      <c r="X61" s="4">
        <f t="shared" si="7"/>
        <v>13.655928199869829</v>
      </c>
      <c r="Y61" s="4">
        <f t="shared" si="7"/>
        <v>13.987205835453103</v>
      </c>
      <c r="Z61" s="4">
        <f t="shared" si="7"/>
        <v>13.853399101544236</v>
      </c>
      <c r="AA61" s="4">
        <f t="shared" si="7"/>
        <v>7.1719638853121825</v>
      </c>
      <c r="AB61" s="4">
        <f t="shared" si="7"/>
        <v>13.853399101544236</v>
      </c>
      <c r="AC61" s="4">
        <f t="shared" si="7"/>
        <v>13.743543307273015</v>
      </c>
      <c r="AD61" s="4">
        <f t="shared" si="7"/>
        <v>13.790832678711689</v>
      </c>
      <c r="AE61" s="4">
        <f t="shared" si="7"/>
        <v>13.853399101544236</v>
      </c>
      <c r="AF61" s="4">
        <f t="shared" si="7"/>
        <v>13.793051290011535</v>
      </c>
      <c r="AG61" s="4">
        <f t="shared" si="7"/>
        <v>13.853399101544236</v>
      </c>
      <c r="AH61" s="4">
        <f t="shared" si="7"/>
        <v>12.242326820185051</v>
      </c>
      <c r="AI61" s="4">
        <f t="shared" si="7"/>
        <v>13.853399101544236</v>
      </c>
      <c r="AJ61" s="4">
        <f t="shared" si="7"/>
        <v>13.788188760876301</v>
      </c>
      <c r="AK61" s="4">
        <f t="shared" si="7"/>
        <v>13.843369853070056</v>
      </c>
      <c r="AL61" s="4">
        <f t="shared" si="7"/>
        <v>12.956239782651274</v>
      </c>
      <c r="AM61" s="4">
        <f t="shared" si="7"/>
        <v>13.853399101544236</v>
      </c>
      <c r="AN61" s="4">
        <f t="shared" si="7"/>
        <v>13.835325534257908</v>
      </c>
      <c r="AO61" s="4">
        <f t="shared" si="7"/>
        <v>13.853399101544236</v>
      </c>
      <c r="AP61" s="4">
        <f t="shared" si="7"/>
        <v>13.853399101544236</v>
      </c>
      <c r="AQ61" s="4">
        <f t="shared" si="7"/>
        <v>13.853399101544236</v>
      </c>
      <c r="AR61" s="4">
        <f t="shared" si="7"/>
        <v>13.853399101544236</v>
      </c>
      <c r="AS61" s="4">
        <f t="shared" si="7"/>
        <v>13.886381718151862</v>
      </c>
      <c r="AT61" s="4">
        <f t="shared" si="7"/>
        <v>13.853399101544236</v>
      </c>
      <c r="AU61" s="4">
        <f t="shared" si="7"/>
        <v>13.869915860315167</v>
      </c>
      <c r="AV61" s="4">
        <f t="shared" si="7"/>
        <v>13.853399101544236</v>
      </c>
      <c r="AW61" s="4">
        <f t="shared" si="7"/>
        <v>13.853399101544236</v>
      </c>
      <c r="AX61" s="4">
        <f t="shared" si="7"/>
        <v>13.853399101544236</v>
      </c>
      <c r="AY61" s="4">
        <f t="shared" si="7"/>
        <v>14.053824484420206</v>
      </c>
      <c r="AZ61" s="4">
        <f t="shared" si="7"/>
        <v>13.911909740897864</v>
      </c>
      <c r="BA61" s="4">
        <f t="shared" si="7"/>
        <v>13.946325680981353</v>
      </c>
      <c r="BB61" s="4">
        <f t="shared" si="7"/>
        <v>13.410195126594294</v>
      </c>
      <c r="BC61" s="4">
        <f t="shared" si="7"/>
        <v>13.853399101544236</v>
      </c>
      <c r="BD61" s="4">
        <f t="shared" si="7"/>
        <v>14.349796746528037</v>
      </c>
      <c r="BE61" s="4">
        <f t="shared" si="7"/>
        <v>13.853399101544236</v>
      </c>
      <c r="BF61" s="4">
        <f t="shared" si="7"/>
        <v>13.853399101544236</v>
      </c>
      <c r="BG61" s="4">
        <f t="shared" si="7"/>
        <v>13.853399101544236</v>
      </c>
      <c r="BH61" s="4">
        <f t="shared" si="7"/>
        <v>13.664872214510053</v>
      </c>
      <c r="BI61" s="4">
        <f t="shared" si="7"/>
        <v>13.763487702977033</v>
      </c>
      <c r="BJ61" s="4">
        <f t="shared" si="7"/>
        <v>13.853399101544236</v>
      </c>
      <c r="BK61" s="4">
        <f t="shared" si="7"/>
        <v>13.869868921114175</v>
      </c>
      <c r="BL61" s="4">
        <f t="shared" si="7"/>
        <v>13.853399101544236</v>
      </c>
      <c r="BM61" s="4">
        <f t="shared" si="7"/>
        <v>13.850375421105218</v>
      </c>
      <c r="BN61" s="4">
        <f t="shared" si="7"/>
        <v>13.853399101544236</v>
      </c>
      <c r="BO61" s="4">
        <f t="shared" si="7"/>
        <v>13.853399101544236</v>
      </c>
      <c r="BP61" s="4">
        <f t="shared" si="7"/>
        <v>13.778946803003487</v>
      </c>
      <c r="BQ61" s="4">
        <f t="shared" ref="BQ61:DF61" si="8">_xlfn.STDEV.P(BQ6:BQ55)</f>
        <v>13.853399101544236</v>
      </c>
      <c r="BR61" s="4">
        <f t="shared" si="8"/>
        <v>13.853399101544236</v>
      </c>
      <c r="BS61" s="4">
        <f t="shared" si="8"/>
        <v>13.853399101544236</v>
      </c>
      <c r="BT61" s="4">
        <f t="shared" si="8"/>
        <v>13.830572013558305</v>
      </c>
      <c r="BU61" s="4">
        <f t="shared" si="8"/>
        <v>13.853399101544236</v>
      </c>
      <c r="BV61" s="4">
        <f t="shared" si="8"/>
        <v>13.939212650130406</v>
      </c>
      <c r="BW61" s="4">
        <f t="shared" si="8"/>
        <v>13.853399101544236</v>
      </c>
      <c r="BX61" s="4">
        <f t="shared" si="8"/>
        <v>13.931317138814341</v>
      </c>
      <c r="BY61" s="4">
        <f t="shared" si="8"/>
        <v>13.853399101544236</v>
      </c>
      <c r="BZ61" s="4">
        <f t="shared" si="8"/>
        <v>13.853399101544236</v>
      </c>
      <c r="CA61" s="4">
        <f t="shared" si="8"/>
        <v>13.853399101544236</v>
      </c>
      <c r="CB61" s="4">
        <f t="shared" si="8"/>
        <v>13.532304455963473</v>
      </c>
      <c r="CC61" s="4">
        <f t="shared" si="8"/>
        <v>13.853399101544236</v>
      </c>
      <c r="CD61" s="4">
        <f t="shared" si="8"/>
        <v>13.853399101544236</v>
      </c>
      <c r="CE61" s="4">
        <f t="shared" si="8"/>
        <v>13.844310403756323</v>
      </c>
      <c r="CF61" s="4">
        <f t="shared" si="8"/>
        <v>13.853399101544236</v>
      </c>
      <c r="CG61" s="4">
        <f t="shared" si="8"/>
        <v>13.853399101544236</v>
      </c>
      <c r="CH61" s="4">
        <f t="shared" si="8"/>
        <v>13.853399101544236</v>
      </c>
      <c r="CI61" s="4">
        <f t="shared" si="8"/>
        <v>13.853399101544236</v>
      </c>
      <c r="CJ61" s="4">
        <f t="shared" si="8"/>
        <v>13.853399101544236</v>
      </c>
      <c r="CK61" s="4">
        <f t="shared" si="8"/>
        <v>13.853399101544236</v>
      </c>
      <c r="CL61" s="4">
        <f t="shared" si="8"/>
        <v>13.853399101544236</v>
      </c>
      <c r="CM61" s="4">
        <f t="shared" si="8"/>
        <v>13.853399101544236</v>
      </c>
      <c r="CN61" s="4">
        <f t="shared" si="8"/>
        <v>13.853399101544236</v>
      </c>
      <c r="CO61" s="4">
        <f t="shared" si="8"/>
        <v>13.853399101544236</v>
      </c>
      <c r="CP61" s="4">
        <f t="shared" si="8"/>
        <v>13.853399101544236</v>
      </c>
      <c r="CQ61" s="4">
        <f t="shared" si="8"/>
        <v>13.624426593438713</v>
      </c>
      <c r="CR61" s="4">
        <f t="shared" si="8"/>
        <v>13.853399101544236</v>
      </c>
      <c r="CS61" s="4">
        <f t="shared" si="8"/>
        <v>13.853399101544236</v>
      </c>
      <c r="CT61" s="4">
        <f t="shared" si="8"/>
        <v>13.853399101544236</v>
      </c>
      <c r="CU61" s="4">
        <f t="shared" si="8"/>
        <v>13.853399101544236</v>
      </c>
      <c r="CV61" s="4">
        <f t="shared" si="8"/>
        <v>13.853399101544236</v>
      </c>
      <c r="CW61" s="4">
        <f t="shared" si="8"/>
        <v>13.853399101544236</v>
      </c>
      <c r="CX61" s="4">
        <f t="shared" si="8"/>
        <v>13.853399101544236</v>
      </c>
      <c r="CY61" s="4">
        <f t="shared" si="8"/>
        <v>13.853399101544236</v>
      </c>
      <c r="CZ61" s="4">
        <f t="shared" si="8"/>
        <v>13.853399101544236</v>
      </c>
      <c r="DA61" s="4">
        <f t="shared" si="8"/>
        <v>13.853399101544236</v>
      </c>
      <c r="DB61" s="4">
        <f t="shared" si="8"/>
        <v>13.853399101544236</v>
      </c>
      <c r="DC61" s="4">
        <f t="shared" si="8"/>
        <v>13.853399101544236</v>
      </c>
      <c r="DD61" s="4">
        <f t="shared" si="8"/>
        <v>13.853399101544236</v>
      </c>
      <c r="DE61" s="4">
        <f t="shared" si="8"/>
        <v>13.853399101544236</v>
      </c>
      <c r="DF61" s="4">
        <f t="shared" si="8"/>
        <v>13.853399101544236</v>
      </c>
    </row>
  </sheetData>
  <phoneticPr fontId="5"/>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DG61"/>
  <sheetViews>
    <sheetView showGridLines="0" zoomScaleNormal="100" workbookViewId="0">
      <pane xSplit="4" ySplit="5" topLeftCell="CK6" activePane="bottomRight" state="frozen"/>
      <selection pane="topRight" activeCell="F1" sqref="F1"/>
      <selection pane="bottomLeft" activeCell="A9" sqref="A9"/>
      <selection pane="bottomRight" activeCell="D6" sqref="D6:D15"/>
    </sheetView>
  </sheetViews>
  <sheetFormatPr defaultColWidth="9.28515625" defaultRowHeight="15.75"/>
  <cols>
    <col min="1" max="1" width="3.28515625" style="2" bestFit="1" customWidth="1"/>
    <col min="2" max="2" width="8.140625" customWidth="1"/>
    <col min="3" max="3" width="3.28515625" style="2" customWidth="1"/>
    <col min="4" max="4" width="16" customWidth="1"/>
    <col min="5" max="111" width="10.7109375" customWidth="1"/>
  </cols>
  <sheetData>
    <row r="1" spans="1:111">
      <c r="H1" t="s">
        <v>229</v>
      </c>
      <c r="I1" s="21"/>
      <c r="J1" s="21"/>
      <c r="BZ1" t="s">
        <v>228</v>
      </c>
      <c r="CZ1" t="s">
        <v>227</v>
      </c>
      <c r="DG1" t="s">
        <v>2540</v>
      </c>
    </row>
    <row r="2" spans="1:111" ht="15.4" customHeight="1">
      <c r="D2" s="36" t="str">
        <f>IF(JPEN!$C$2="EN",指標!$E$2,指標!$D$2)</f>
        <v>分野</v>
      </c>
      <c r="E2" s="39" t="str">
        <f>IFERROR(INDEX(指標マスタ[],MATCH(E$5,指標マスタ['#],0),MATCH($D2,指標マスタ[#Headers],0))&amp;"","")</f>
        <v>基礎</v>
      </c>
      <c r="F2" s="39" t="str">
        <f>IFERROR(INDEX(指標マスタ[],MATCH(F$5,指標マスタ['#],0),MATCH($D2,指標マスタ[#Headers],0))&amp;"","")</f>
        <v/>
      </c>
      <c r="G2" s="39" t="str">
        <f>IFERROR(INDEX(指標マスタ[],MATCH(G$5,指標マスタ['#],0),MATCH($D2,指標マスタ[#Headers],0))&amp;"","")</f>
        <v/>
      </c>
      <c r="H2" s="183" t="str">
        <f>IFERROR(INDEX(指標マスタ[],MATCH(H$5,指標マスタ['#],0),MATCH($D2,指標マスタ[#Headers],0))&amp;"","")</f>
        <v>経済</v>
      </c>
      <c r="I2" s="183" t="str">
        <f>IFERROR(INDEX(指標マスタ[],MATCH(I$5,指標マスタ['#],0),MATCH($D2,指標マスタ[#Headers],0))&amp;"","")</f>
        <v/>
      </c>
      <c r="J2" s="183" t="str">
        <f>IFERROR(INDEX(指標マスタ[],MATCH(J$5,指標マスタ['#],0),MATCH($D2,指標マスタ[#Headers],0))&amp;"","")</f>
        <v/>
      </c>
      <c r="K2" s="183" t="str">
        <f>IFERROR(INDEX(指標マスタ[],MATCH(K$5,指標マスタ['#],0),MATCH($D2,指標マスタ[#Headers],0))&amp;"","")</f>
        <v/>
      </c>
      <c r="L2" s="183" t="str">
        <f>IFERROR(INDEX(指標マスタ[],MATCH(L$5,指標マスタ['#],0),MATCH($D2,指標マスタ[#Headers],0))&amp;"","")</f>
        <v/>
      </c>
      <c r="M2" s="183" t="str">
        <f>IFERROR(INDEX(指標マスタ[],MATCH(M$5,指標マスタ['#],0),MATCH($D2,指標マスタ[#Headers],0))&amp;"","")</f>
        <v/>
      </c>
      <c r="N2" s="183" t="str">
        <f>IFERROR(INDEX(指標マスタ[],MATCH(N$5,指標マスタ['#],0),MATCH($D2,指標マスタ[#Headers],0))&amp;"","")</f>
        <v/>
      </c>
      <c r="O2" s="183" t="str">
        <f>IFERROR(INDEX(指標マスタ[],MATCH(O$5,指標マスタ['#],0),MATCH($D2,指標マスタ[#Headers],0))&amp;"","")</f>
        <v/>
      </c>
      <c r="P2" s="183" t="str">
        <f>IFERROR(INDEX(指標マスタ[],MATCH(P$5,指標マスタ['#],0),MATCH($D2,指標マスタ[#Headers],0))&amp;"","")</f>
        <v/>
      </c>
      <c r="Q2" s="183" t="str">
        <f>IFERROR(INDEX(指標マスタ[],MATCH(Q$5,指標マスタ['#],0),MATCH($D2,指標マスタ[#Headers],0))&amp;"","")</f>
        <v/>
      </c>
      <c r="R2" s="183" t="str">
        <f>IFERROR(INDEX(指標マスタ[],MATCH(R$5,指標マスタ['#],0),MATCH($D2,指標マスタ[#Headers],0))&amp;"","")</f>
        <v/>
      </c>
      <c r="S2" s="183" t="str">
        <f>IFERROR(INDEX(指標マスタ[],MATCH(S$5,指標マスタ['#],0),MATCH($D2,指標マスタ[#Headers],0))&amp;"","")</f>
        <v/>
      </c>
      <c r="T2" s="183" t="str">
        <f>IFERROR(INDEX(指標マスタ[],MATCH(T$5,指標マスタ['#],0),MATCH($D2,指標マスタ[#Headers],0))&amp;"","")</f>
        <v/>
      </c>
      <c r="U2" s="187" t="str">
        <f>IFERROR(INDEX(指標マスタ[],MATCH(U$5,指標マスタ['#],0),MATCH($D2,指標マスタ[#Headers],0))&amp;"","")</f>
        <v>研究・開発</v>
      </c>
      <c r="V2" s="187" t="str">
        <f>IFERROR(INDEX(指標マスタ[],MATCH(V$5,指標マスタ['#],0),MATCH($D2,指標マスタ[#Headers],0))&amp;"","")</f>
        <v/>
      </c>
      <c r="W2" s="187" t="str">
        <f>IFERROR(INDEX(指標マスタ[],MATCH(W$5,指標マスタ['#],0),MATCH($D2,指標マスタ[#Headers],0))&amp;"","")</f>
        <v/>
      </c>
      <c r="X2" s="187" t="str">
        <f>IFERROR(INDEX(指標マスタ[],MATCH(X$5,指標マスタ['#],0),MATCH($D2,指標マスタ[#Headers],0))&amp;"","")</f>
        <v/>
      </c>
      <c r="Y2" s="187" t="str">
        <f>IFERROR(INDEX(指標マスタ[],MATCH(Y$5,指標マスタ['#],0),MATCH($D2,指標マスタ[#Headers],0))&amp;"","")</f>
        <v/>
      </c>
      <c r="Z2" s="187" t="str">
        <f>IFERROR(INDEX(指標マスタ[],MATCH(Z$5,指標マスタ['#],0),MATCH($D2,指標マスタ[#Headers],0))&amp;"","")</f>
        <v/>
      </c>
      <c r="AA2" s="187" t="str">
        <f>IFERROR(INDEX(指標マスタ[],MATCH(AA$5,指標マスタ['#],0),MATCH($D2,指標マスタ[#Headers],0))&amp;"","")</f>
        <v/>
      </c>
      <c r="AB2" s="187" t="str">
        <f>IFERROR(INDEX(指標マスタ[],MATCH(AB$5,指標マスタ['#],0),MATCH($D2,指標マスタ[#Headers],0))&amp;"","")</f>
        <v/>
      </c>
      <c r="AC2" s="193" t="str">
        <f>IFERROR(INDEX(指標マスタ[],MATCH(AC$5,指標マスタ['#],0),MATCH($D2,指標マスタ[#Headers],0))&amp;"","")</f>
        <v>文化・交流</v>
      </c>
      <c r="AD2" s="193" t="str">
        <f>IFERROR(INDEX(指標マスタ[],MATCH(AD$5,指標マスタ['#],0),MATCH($D2,指標マスタ[#Headers],0))&amp;"","")</f>
        <v/>
      </c>
      <c r="AE2" s="193" t="str">
        <f>IFERROR(INDEX(指標マスタ[],MATCH(AE$5,指標マスタ['#],0),MATCH($D2,指標マスタ[#Headers],0))&amp;"","")</f>
        <v/>
      </c>
      <c r="AF2" s="193" t="str">
        <f>IFERROR(INDEX(指標マスタ[],MATCH(AF$5,指標マスタ['#],0),MATCH($D2,指標マスタ[#Headers],0))&amp;"","")</f>
        <v/>
      </c>
      <c r="AG2" s="193" t="str">
        <f>IFERROR(INDEX(指標マスタ[],MATCH(AG$5,指標マスタ['#],0),MATCH($D2,指標マスタ[#Headers],0))&amp;"","")</f>
        <v/>
      </c>
      <c r="AH2" s="193" t="str">
        <f>IFERROR(INDEX(指標マスタ[],MATCH(AH$5,指標マスタ['#],0),MATCH($D2,指標マスタ[#Headers],0))&amp;"","")</f>
        <v/>
      </c>
      <c r="AI2" s="193" t="str">
        <f>IFERROR(INDEX(指標マスタ[],MATCH(AI$5,指標マスタ['#],0),MATCH($D2,指標マスタ[#Headers],0))&amp;"","")</f>
        <v/>
      </c>
      <c r="AJ2" s="193" t="str">
        <f>IFERROR(INDEX(指標マスタ[],MATCH(AJ$5,指標マスタ['#],0),MATCH($D2,指標マスタ[#Headers],0))&amp;"","")</f>
        <v/>
      </c>
      <c r="AK2" s="193" t="str">
        <f>IFERROR(INDEX(指標マスタ[],MATCH(AK$5,指標マスタ['#],0),MATCH($D2,指標マスタ[#Headers],0))&amp;"","")</f>
        <v/>
      </c>
      <c r="AL2" s="193" t="str">
        <f>IFERROR(INDEX(指標マスタ[],MATCH(AL$5,指標マスタ['#],0),MATCH($D2,指標マスタ[#Headers],0))&amp;"","")</f>
        <v/>
      </c>
      <c r="AM2" s="193" t="str">
        <f>IFERROR(INDEX(指標マスタ[],MATCH(AM$5,指標マスタ['#],0),MATCH($D2,指標マスタ[#Headers],0))&amp;"","")</f>
        <v/>
      </c>
      <c r="AN2" s="193" t="str">
        <f>IFERROR(INDEX(指標マスタ[],MATCH(AN$5,指標マスタ['#],0),MATCH($D2,指標マスタ[#Headers],0))&amp;"","")</f>
        <v/>
      </c>
      <c r="AO2" s="193" t="str">
        <f>IFERROR(INDEX(指標マスタ[],MATCH(AO$5,指標マスタ['#],0),MATCH($D2,指標マスタ[#Headers],0))&amp;"","")</f>
        <v/>
      </c>
      <c r="AP2" s="193" t="str">
        <f>IFERROR(INDEX(指標マスタ[],MATCH(AP$5,指標マスタ['#],0),MATCH($D2,指標マスタ[#Headers],0))&amp;"","")</f>
        <v/>
      </c>
      <c r="AQ2" s="193" t="str">
        <f>IFERROR(INDEX(指標マスタ[],MATCH(AQ$5,指標マスタ['#],0),MATCH($D2,指標マスタ[#Headers],0))&amp;"","")</f>
        <v/>
      </c>
      <c r="AR2" s="193" t="str">
        <f>IFERROR(INDEX(指標マスタ[],MATCH(AR$5,指標マスタ['#],0),MATCH($D2,指標マスタ[#Headers],0))&amp;"","")</f>
        <v/>
      </c>
      <c r="AS2" s="199" t="str">
        <f>IFERROR(INDEX(指標マスタ[],MATCH(AS$5,指標マスタ['#],0),MATCH($D2,指標マスタ[#Headers],0))&amp;"","")</f>
        <v>居住</v>
      </c>
      <c r="AT2" s="199" t="str">
        <f>IFERROR(INDEX(指標マスタ[],MATCH(AT$5,指標マスタ['#],0),MATCH($D2,指標マスタ[#Headers],0))&amp;"","")</f>
        <v/>
      </c>
      <c r="AU2" s="199" t="str">
        <f>IFERROR(INDEX(指標マスタ[],MATCH(AU$5,指標マスタ['#],0),MATCH($D2,指標マスタ[#Headers],0))&amp;"","")</f>
        <v/>
      </c>
      <c r="AV2" s="199" t="str">
        <f>IFERROR(INDEX(指標マスタ[],MATCH(AV$5,指標マスタ['#],0),MATCH($D2,指標マスタ[#Headers],0))&amp;"","")</f>
        <v/>
      </c>
      <c r="AW2" s="199" t="str">
        <f>IFERROR(INDEX(指標マスタ[],MATCH(AW$5,指標マスタ['#],0),MATCH($D2,指標マスタ[#Headers],0))&amp;"","")</f>
        <v/>
      </c>
      <c r="AX2" s="199" t="str">
        <f>IFERROR(INDEX(指標マスタ[],MATCH(AX$5,指標マスタ['#],0),MATCH($D2,指標マスタ[#Headers],0))&amp;"","")</f>
        <v/>
      </c>
      <c r="AY2" s="199" t="str">
        <f>IFERROR(INDEX(指標マスタ[],MATCH(AY$5,指標マスタ['#],0),MATCH($D2,指標マスタ[#Headers],0))&amp;"","")</f>
        <v/>
      </c>
      <c r="AZ2" s="199" t="str">
        <f>IFERROR(INDEX(指標マスタ[],MATCH(AZ$5,指標マスタ['#],0),MATCH($D2,指標マスタ[#Headers],0))&amp;"","")</f>
        <v/>
      </c>
      <c r="BA2" s="199" t="str">
        <f>IFERROR(INDEX(指標マスタ[],MATCH(BA$5,指標マスタ['#],0),MATCH($D2,指標マスタ[#Headers],0))&amp;"","")</f>
        <v/>
      </c>
      <c r="BB2" s="199" t="str">
        <f>IFERROR(INDEX(指標マスタ[],MATCH(BB$5,指標マスタ['#],0),MATCH($D2,指標マスタ[#Headers],0))&amp;"","")</f>
        <v/>
      </c>
      <c r="BC2" s="199" t="str">
        <f>IFERROR(INDEX(指標マスタ[],MATCH(BC$5,指標マスタ['#],0),MATCH($D2,指標マスタ[#Headers],0))&amp;"","")</f>
        <v/>
      </c>
      <c r="BD2" s="199" t="str">
        <f>IFERROR(INDEX(指標マスタ[],MATCH(BD$5,指標マスタ['#],0),MATCH($D2,指標マスタ[#Headers],0))&amp;"","")</f>
        <v/>
      </c>
      <c r="BE2" s="199" t="str">
        <f>IFERROR(INDEX(指標マスタ[],MATCH(BE$5,指標マスタ['#],0),MATCH($D2,指標マスタ[#Headers],0))&amp;"","")</f>
        <v/>
      </c>
      <c r="BF2" s="199" t="str">
        <f>IFERROR(INDEX(指標マスタ[],MATCH(BF$5,指標マスタ['#],0),MATCH($D2,指標マスタ[#Headers],0))&amp;"","")</f>
        <v/>
      </c>
      <c r="BG2" s="204" t="str">
        <f>IFERROR(INDEX(指標マスタ[],MATCH(BG$5,指標マスタ['#],0),MATCH($D2,指標マスタ[#Headers],0))&amp;"","")</f>
        <v>環境</v>
      </c>
      <c r="BH2" s="204" t="str">
        <f>IFERROR(INDEX(指標マスタ[],MATCH(BH$5,指標マスタ['#],0),MATCH($D2,指標マスタ[#Headers],0))&amp;"","")</f>
        <v/>
      </c>
      <c r="BI2" s="204" t="str">
        <f>IFERROR(INDEX(指標マスタ[],MATCH(BI$5,指標マスタ['#],0),MATCH($D2,指標マスタ[#Headers],0))&amp;"","")</f>
        <v/>
      </c>
      <c r="BJ2" s="204" t="str">
        <f>IFERROR(INDEX(指標マスタ[],MATCH(BJ$5,指標マスタ['#],0),MATCH($D2,指標マスタ[#Headers],0))&amp;"","")</f>
        <v/>
      </c>
      <c r="BK2" s="204" t="str">
        <f>IFERROR(INDEX(指標マスタ[],MATCH(BK$5,指標マスタ['#],0),MATCH($D2,指標マスタ[#Headers],0))&amp;"","")</f>
        <v/>
      </c>
      <c r="BL2" s="204" t="str">
        <f>IFERROR(INDEX(指標マスタ[],MATCH(BL$5,指標マスタ['#],0),MATCH($D2,指標マスタ[#Headers],0))&amp;"","")</f>
        <v/>
      </c>
      <c r="BM2" s="204" t="str">
        <f>IFERROR(INDEX(指標マスタ[],MATCH(BM$5,指標マスタ['#],0),MATCH($D2,指標マスタ[#Headers],0))&amp;"","")</f>
        <v/>
      </c>
      <c r="BN2" s="204" t="str">
        <f>IFERROR(INDEX(指標マスタ[],MATCH(BN$5,指標マスタ['#],0),MATCH($D2,指標マスタ[#Headers],0))&amp;"","")</f>
        <v/>
      </c>
      <c r="BO2" s="204" t="str">
        <f>IFERROR(INDEX(指標マスタ[],MATCH(BO$5,指標マスタ['#],0),MATCH($D2,指標マスタ[#Headers],0))&amp;"","")</f>
        <v/>
      </c>
      <c r="BP2" s="209" t="str">
        <f>IFERROR(INDEX(指標マスタ[],MATCH(BP$5,指標マスタ['#],0),MATCH($D2,指標マスタ[#Headers],0))&amp;"","")</f>
        <v>交通・アクセス</v>
      </c>
      <c r="BQ2" s="209" t="str">
        <f>IFERROR(INDEX(指標マスタ[],MATCH(BQ$5,指標マスタ['#],0),MATCH($D2,指標マスタ[#Headers],0))&amp;"","")</f>
        <v/>
      </c>
      <c r="BR2" s="209" t="str">
        <f>IFERROR(INDEX(指標マスタ[],MATCH(BR$5,指標マスタ['#],0),MATCH($D2,指標マスタ[#Headers],0))&amp;"","")</f>
        <v/>
      </c>
      <c r="BS2" s="209" t="str">
        <f>IFERROR(INDEX(指標マスタ[],MATCH(BS$5,指標マスタ['#],0),MATCH($D2,指標マスタ[#Headers],0))&amp;"","")</f>
        <v/>
      </c>
      <c r="BT2" s="209" t="str">
        <f>IFERROR(INDEX(指標マスタ[],MATCH(BT$5,指標マスタ['#],0),MATCH($D2,指標マスタ[#Headers],0))&amp;"","")</f>
        <v/>
      </c>
      <c r="BU2" s="209" t="str">
        <f>IFERROR(INDEX(指標マスタ[],MATCH(BU$5,指標マスタ['#],0),MATCH($D2,指標マスタ[#Headers],0))&amp;"","")</f>
        <v/>
      </c>
      <c r="BV2" s="209" t="str">
        <f>IFERROR(INDEX(指標マスタ[],MATCH(BV$5,指標マスタ['#],0),MATCH($D2,指標マスタ[#Headers],0))&amp;"","")</f>
        <v/>
      </c>
      <c r="BW2" s="209" t="str">
        <f>IFERROR(INDEX(指標マスタ[],MATCH(BW$5,指標マスタ['#],0),MATCH($D2,指標マスタ[#Headers],0))&amp;"","")</f>
        <v/>
      </c>
      <c r="BX2" s="209" t="str">
        <f>IFERROR(INDEX(指標マスタ[],MATCH(BX$5,指標マスタ['#],0),MATCH($D2,指標マスタ[#Headers],0))&amp;"","")</f>
        <v/>
      </c>
      <c r="BY2" s="209" t="str">
        <f>IFERROR(INDEX(指標マスタ[],MATCH(BY$5,指標マスタ['#],0),MATCH($D2,指標マスタ[#Headers],0))&amp;"","")</f>
        <v/>
      </c>
      <c r="BZ2" s="183" t="str">
        <f>IFERROR(INDEX(指標マスタ[],MATCH(BZ$5,指標マスタ[IG'#],0),MATCH($D2,指標マスタ[#Headers],0))&amp;"","")</f>
        <v>経済</v>
      </c>
      <c r="CA2" s="183" t="str">
        <f>IFERROR(INDEX(指標マスタ[],MATCH(CA$5,指標マスタ[IG'#],0),MATCH($D2,指標マスタ[#Headers],0))&amp;"","")</f>
        <v/>
      </c>
      <c r="CB2" s="183" t="str">
        <f>IFERROR(INDEX(指標マスタ[],MATCH(CB$5,指標マスタ[IG'#],0),MATCH($D2,指標マスタ[#Headers],0))&amp;"","")</f>
        <v/>
      </c>
      <c r="CC2" s="183" t="str">
        <f>IFERROR(INDEX(指標マスタ[],MATCH(CC$5,指標マスタ[IG'#],0),MATCH($D2,指標マスタ[#Headers],0))&amp;"","")</f>
        <v/>
      </c>
      <c r="CD2" s="183" t="str">
        <f>IFERROR(INDEX(指標マスタ[],MATCH(CD$5,指標マスタ[IG'#],0),MATCH($D2,指標マスタ[#Headers],0))&amp;"","")</f>
        <v/>
      </c>
      <c r="CE2" s="183" t="str">
        <f>IFERROR(INDEX(指標マスタ[],MATCH(CE$5,指標マスタ[IG'#],0),MATCH($D2,指標マスタ[#Headers],0))&amp;"","")</f>
        <v/>
      </c>
      <c r="CF2" s="187" t="str">
        <f>IFERROR(INDEX(指標マスタ[],MATCH(CF$5,指標マスタ[IG'#],0),MATCH($D2,指標マスタ[#Headers],0))&amp;"","")</f>
        <v>研究・開発</v>
      </c>
      <c r="CG2" s="187" t="str">
        <f>IFERROR(INDEX(指標マスタ[],MATCH(CG$5,指標マスタ[IG'#],0),MATCH($D2,指標マスタ[#Headers],0))&amp;"","")</f>
        <v/>
      </c>
      <c r="CH2" s="187" t="str">
        <f>IFERROR(INDEX(指標マスタ[],MATCH(CH$5,指標マスタ[IG'#],0),MATCH($D2,指標マスタ[#Headers],0))&amp;"","")</f>
        <v/>
      </c>
      <c r="CI2" s="193" t="str">
        <f>IFERROR(INDEX(指標マスタ[],MATCH(CI$5,指標マスタ[IG'#],0),MATCH($D2,指標マスタ[#Headers],0))&amp;"","")</f>
        <v>文化・交流</v>
      </c>
      <c r="CJ2" s="193" t="str">
        <f>IFERROR(INDEX(指標マスタ[],MATCH(CJ$5,指標マスタ[IG'#],0),MATCH($D2,指標マスタ[#Headers],0))&amp;"","")</f>
        <v/>
      </c>
      <c r="CK2" s="193" t="str">
        <f>IFERROR(INDEX(指標マスタ[],MATCH(CK$5,指標マスタ[IG'#],0),MATCH($D2,指標マスタ[#Headers],0))&amp;"","")</f>
        <v/>
      </c>
      <c r="CL2" s="193" t="str">
        <f>IFERROR(INDEX(指標マスタ[],MATCH(CL$5,指標マスタ[IG'#],0),MATCH($D2,指標マスタ[#Headers],0))&amp;"","")</f>
        <v/>
      </c>
      <c r="CM2" s="193" t="str">
        <f>IFERROR(INDEX(指標マスタ[],MATCH(CM$5,指標マスタ[IG'#],0),MATCH($D2,指標マスタ[#Headers],0))&amp;"","")</f>
        <v/>
      </c>
      <c r="CN2" s="199" t="str">
        <f>IFERROR(INDEX(指標マスタ[],MATCH(CN$5,指標マスタ[IG'#],0),MATCH($D2,指標マスタ[#Headers],0))&amp;"","")</f>
        <v>居住</v>
      </c>
      <c r="CO2" s="199" t="str">
        <f>IFERROR(INDEX(指標マスタ[],MATCH(CO$5,指標マスタ[IG'#],0),MATCH($D2,指標マスタ[#Headers],0))&amp;"","")</f>
        <v/>
      </c>
      <c r="CP2" s="199" t="str">
        <f>IFERROR(INDEX(指標マスタ[],MATCH(CP$5,指標マスタ[IG'#],0),MATCH($D2,指標マスタ[#Headers],0))&amp;"","")</f>
        <v/>
      </c>
      <c r="CQ2" s="199" t="str">
        <f>IFERROR(INDEX(指標マスタ[],MATCH(CQ$5,指標マスタ[IG'#],0),MATCH($D2,指標マスタ[#Headers],0))&amp;"","")</f>
        <v/>
      </c>
      <c r="CR2" s="199" t="str">
        <f>IFERROR(INDEX(指標マスタ[],MATCH(CR$5,指標マスタ[IG'#],0),MATCH($D2,指標マスタ[#Headers],0))&amp;"","")</f>
        <v/>
      </c>
      <c r="CS2" s="204" t="str">
        <f>IFERROR(INDEX(指標マスタ[],MATCH(CS$5,指標マスタ[IG'#],0),MATCH($D2,指標マスタ[#Headers],0))&amp;"","")</f>
        <v>環境</v>
      </c>
      <c r="CT2" s="204" t="str">
        <f>IFERROR(INDEX(指標マスタ[],MATCH(CT$5,指標マスタ[IG'#],0),MATCH($D2,指標マスタ[#Headers],0))&amp;"","")</f>
        <v/>
      </c>
      <c r="CU2" s="204" t="str">
        <f>IFERROR(INDEX(指標マスタ[],MATCH(CU$5,指標マスタ[IG'#],0),MATCH($D2,指標マスタ[#Headers],0))&amp;"","")</f>
        <v/>
      </c>
      <c r="CV2" s="209" t="str">
        <f>IFERROR(INDEX(指標マスタ[],MATCH(CV$5,指標マスタ[IG'#],0),MATCH($D2,指標マスタ[#Headers],0))&amp;"","")</f>
        <v>交通・アクセス</v>
      </c>
      <c r="CW2" s="209" t="str">
        <f>IFERROR(INDEX(指標マスタ[],MATCH(CW$5,指標マスタ[IG'#],0),MATCH($D2,指標マスタ[#Headers],0))&amp;"","")</f>
        <v/>
      </c>
      <c r="CX2" s="209" t="str">
        <f>IFERROR(INDEX(指標マスタ[],MATCH(CX$5,指標マスタ[IG'#],0),MATCH($D2,指標マスタ[#Headers],0))&amp;"","")</f>
        <v/>
      </c>
      <c r="CY2" s="209" t="str">
        <f>IFERROR(INDEX(指標マスタ[],MATCH(CY$5,指標マスタ[IG'#],0),MATCH($D2,指標マスタ[#Headers],0))&amp;"","")</f>
        <v/>
      </c>
      <c r="CZ2" s="183" t="str">
        <f>IF(JPEN!$C$2="EN","Economy","経済")</f>
        <v>経済</v>
      </c>
      <c r="DA2" s="187" t="str">
        <f>IF(JPEN!$C$2="EN","R&amp;D","研究・開発")</f>
        <v>研究・開発</v>
      </c>
      <c r="DB2" s="193" t="str">
        <f>IF(JPEN!$C$2="EN","Cultural Interaction","文化・交流")</f>
        <v>文化・交流</v>
      </c>
      <c r="DC2" s="199" t="str">
        <f>IF(JPEN!$C$2="EN","Livability","居住")</f>
        <v>居住</v>
      </c>
      <c r="DD2" s="204" t="str">
        <f>IF(JPEN!$C$2="EN","Environment","環境")</f>
        <v>環境</v>
      </c>
      <c r="DE2" s="209" t="str">
        <f>IF(JPEN!$C$2="EN","Accessibility","交通・アクセス")</f>
        <v>交通・アクセス</v>
      </c>
      <c r="DF2" s="43" t="str">
        <f>IF(JPEN!$C$2="EN","Comprehensive","総合")</f>
        <v>総合</v>
      </c>
      <c r="DG2" s="43" t="s">
        <v>2530</v>
      </c>
    </row>
    <row r="3" spans="1:111" ht="15.4" customHeight="1">
      <c r="D3" s="36" t="str">
        <f>IF(JPEN!$C$2="EN",指標!$G$2,指標!$F$2)</f>
        <v>指標グループ</v>
      </c>
      <c r="E3" s="39" t="str">
        <f>IFERROR(INDEX(指標マスタ[],MATCH(E$5,指標マスタ['#],0),MATCH($D3,指標マスタ[#Headers],0))&amp;"","")</f>
        <v>基礎</v>
      </c>
      <c r="F3" s="39" t="str">
        <f>IFERROR(INDEX(指標マスタ[],MATCH(F$5,指標マスタ['#],0),MATCH($D3,指標マスタ[#Headers],0))&amp;"","")</f>
        <v/>
      </c>
      <c r="G3" s="39" t="str">
        <f>IFERROR(INDEX(指標マスタ[],MATCH(G$5,指標マスタ['#],0),MATCH($D3,指標マスタ[#Headers],0))&amp;"","")</f>
        <v/>
      </c>
      <c r="H3" s="183" t="str">
        <f>IFERROR(INDEX(指標マスタ[],MATCH(H$5,指標マスタ['#],0),MATCH($D3,指標マスタ[#Headers],0))&amp;"","")</f>
        <v>市場の規模</v>
      </c>
      <c r="I3" s="183" t="str">
        <f>IFERROR(INDEX(指標マスタ[],MATCH(I$5,指標マスタ['#],0),MATCH($D3,指標マスタ[#Headers],0))&amp;"","")</f>
        <v/>
      </c>
      <c r="J3" s="183" t="str">
        <f>IFERROR(INDEX(指標マスタ[],MATCH(J$5,指標マスタ['#],0),MATCH($D3,指標マスタ[#Headers],0))&amp;"","")</f>
        <v>市場の魅力</v>
      </c>
      <c r="K3" s="183" t="str">
        <f>IFERROR(INDEX(指標マスタ[],MATCH(K$5,指標マスタ['#],0),MATCH($D3,指標マスタ[#Headers],0))&amp;"","")</f>
        <v/>
      </c>
      <c r="L3" s="183" t="str">
        <f>IFERROR(INDEX(指標マスタ[],MATCH(L$5,指標マスタ['#],0),MATCH($D3,指標マスタ[#Headers],0))&amp;"","")</f>
        <v>経済集積</v>
      </c>
      <c r="M3" s="183" t="str">
        <f>IFERROR(INDEX(指標マスタ[],MATCH(M$5,指標マスタ['#],0),MATCH($D3,指標マスタ[#Headers],0))&amp;"","")</f>
        <v/>
      </c>
      <c r="N3" s="183" t="str">
        <f>IFERROR(INDEX(指標マスタ[],MATCH(N$5,指標マスタ['#],0),MATCH($D3,指標マスタ[#Headers],0))&amp;"","")</f>
        <v>人的集積</v>
      </c>
      <c r="O3" s="183" t="str">
        <f>IFERROR(INDEX(指標マスタ[],MATCH(O$5,指標マスタ['#],0),MATCH($D3,指標マスタ[#Headers],0))&amp;"","")</f>
        <v/>
      </c>
      <c r="P3" s="183" t="str">
        <f>IFERROR(INDEX(指標マスタ[],MATCH(P$5,指標マスタ['#],0),MATCH($D3,指標マスタ[#Headers],0))&amp;"","")</f>
        <v>ビジネス環境</v>
      </c>
      <c r="Q3" s="183" t="str">
        <f>IFERROR(INDEX(指標マスタ[],MATCH(Q$5,指標マスタ['#],0),MATCH($D3,指標マスタ[#Headers],0))&amp;"","")</f>
        <v/>
      </c>
      <c r="R3" s="183" t="str">
        <f>IFERROR(INDEX(指標マスタ[],MATCH(R$5,指標マスタ['#],0),MATCH($D3,指標マスタ[#Headers],0))&amp;"","")</f>
        <v/>
      </c>
      <c r="S3" s="183" t="str">
        <f>IFERROR(INDEX(指標マスタ[],MATCH(S$5,指標マスタ['#],0),MATCH($D3,指標マスタ[#Headers],0))&amp;"","")</f>
        <v>ビジネスの容易性</v>
      </c>
      <c r="T3" s="183" t="str">
        <f>IFERROR(INDEX(指標マスタ[],MATCH(T$5,指標マスタ['#],0),MATCH($D3,指標マスタ[#Headers],0))&amp;"","")</f>
        <v/>
      </c>
      <c r="U3" s="187" t="str">
        <f>IFERROR(INDEX(指標マスタ[],MATCH(U$5,指標マスタ['#],0),MATCH($D3,指標マスタ[#Headers],0))&amp;"","")</f>
        <v>研究集積</v>
      </c>
      <c r="V3" s="187" t="str">
        <f>IFERROR(INDEX(指標マスタ[],MATCH(V$5,指標マスタ['#],0),MATCH($D3,指標マスタ[#Headers],0))&amp;"","")</f>
        <v/>
      </c>
      <c r="W3" s="188" t="str">
        <f>IFERROR(INDEX(指標マスタ[],MATCH(W$5,指標マスタ['#],0),MATCH($D3,指標マスタ[#Headers],0))&amp;"","")</f>
        <v>研究環境</v>
      </c>
      <c r="X3" s="188" t="str">
        <f>IFERROR(INDEX(指標マスタ[],MATCH(X$5,指標マスタ['#],0),MATCH($D3,指標マスタ[#Headers],0))&amp;"","")</f>
        <v/>
      </c>
      <c r="Y3" s="188" t="str">
        <f>IFERROR(INDEX(指標マスタ[],MATCH(Y$5,指標マスタ['#],0),MATCH($D3,指標マスタ[#Headers],0))&amp;"","")</f>
        <v/>
      </c>
      <c r="Z3" s="188" t="str">
        <f>IFERROR(INDEX(指標マスタ[],MATCH(Z$5,指標マスタ['#],0),MATCH($D3,指標マスタ[#Headers],0))&amp;"","")</f>
        <v>イノベーション</v>
      </c>
      <c r="AA3" s="188" t="str">
        <f>IFERROR(INDEX(指標マスタ[],MATCH(AA$5,指標マスタ['#],0),MATCH($D3,指標マスタ[#Headers],0))&amp;"","")</f>
        <v/>
      </c>
      <c r="AB3" s="188" t="str">
        <f>IFERROR(INDEX(指標マスタ[],MATCH(AB$5,指標マスタ['#],0),MATCH($D3,指標マスタ[#Headers],0))&amp;"","")</f>
        <v/>
      </c>
      <c r="AC3" s="195" t="str">
        <f>IFERROR(INDEX(指標マスタ[],MATCH(AC$5,指標マスタ['#],0),MATCH($D3,指標マスタ[#Headers],0))&amp;"","")</f>
        <v>発信力</v>
      </c>
      <c r="AD3" s="293" t="str">
        <f>IFERROR(INDEX(指標マスタ[],MATCH(AD$5,指標マスタ['#],0),MATCH($D3,指標マスタ[#Headers],0))&amp;"","")</f>
        <v/>
      </c>
      <c r="AE3" s="293" t="str">
        <f>IFERROR(INDEX(指標マスタ[],MATCH(AE$5,指標マスタ['#],0),MATCH($D3,指標マスタ[#Headers],0))&amp;"","")</f>
        <v/>
      </c>
      <c r="AF3" s="294" t="str">
        <f>IFERROR(INDEX(指標マスタ[],MATCH(AF$5,指標マスタ['#],0),MATCH($D3,指標マスタ[#Headers],0))&amp;"","")</f>
        <v/>
      </c>
      <c r="AG3" s="295" t="str">
        <f>IFERROR(INDEX(指標マスタ[],MATCH(AG$5,指標マスタ['#],0),MATCH($D3,指標マスタ[#Headers],0))&amp;"","")</f>
        <v>観光資源</v>
      </c>
      <c r="AH3" s="296" t="str">
        <f>IFERROR(INDEX(指標マスタ[],MATCH(AH$5,指標マスタ['#],0),MATCH($D3,指標マスタ[#Headers],0))&amp;"","")</f>
        <v/>
      </c>
      <c r="AI3" s="297" t="str">
        <f>IFERROR(INDEX(指標マスタ[],MATCH(AI$5,指標マスタ['#],0),MATCH($D3,指標マスタ[#Headers],0))&amp;"","")</f>
        <v/>
      </c>
      <c r="AJ3" s="195" t="str">
        <f>IFERROR(INDEX(指標マスタ[],MATCH(AJ$5,指標マスタ['#],0),MATCH($D3,指標マスタ[#Headers],0))&amp;"","")</f>
        <v>文化施設</v>
      </c>
      <c r="AK3" s="293" t="str">
        <f>IFERROR(INDEX(指標マスタ[],MATCH(AK$5,指標マスタ['#],0),MATCH($D3,指標マスタ[#Headers],0))&amp;"","")</f>
        <v/>
      </c>
      <c r="AL3" s="294" t="str">
        <f>IFERROR(INDEX(指標マスタ[],MATCH(AL$5,指標マスタ['#],0),MATCH($D3,指標マスタ[#Headers],0))&amp;"","")</f>
        <v/>
      </c>
      <c r="AM3" s="195" t="str">
        <f>IFERROR(INDEX(指標マスタ[],MATCH(AM$5,指標マスタ['#],0),MATCH($D3,指標マスタ[#Headers],0))&amp;"","")</f>
        <v>受入環境</v>
      </c>
      <c r="AN3" s="293" t="str">
        <f>IFERROR(INDEX(指標マスタ[],MATCH(AN$5,指標マスタ['#],0),MATCH($D3,指標マスタ[#Headers],0))&amp;"","")</f>
        <v/>
      </c>
      <c r="AO3" s="293" t="str">
        <f>IFERROR(INDEX(指標マスタ[],MATCH(AO$5,指標マスタ['#],0),MATCH($D3,指標マスタ[#Headers],0))&amp;"","")</f>
        <v/>
      </c>
      <c r="AP3" s="294" t="str">
        <f>IFERROR(INDEX(指標マスタ[],MATCH(AP$5,指標マスタ['#],0),MATCH($D3,指標マスタ[#Headers],0))&amp;"","")</f>
        <v/>
      </c>
      <c r="AQ3" s="195" t="str">
        <f>IFERROR(INDEX(指標マスタ[],MATCH(AQ$5,指標マスタ['#],0),MATCH($D3,指標マスタ[#Headers],0))&amp;"","")</f>
        <v>外国人受入実績</v>
      </c>
      <c r="AR3" s="294" t="str">
        <f>IFERROR(INDEX(指標マスタ[],MATCH(AR$5,指標マスタ['#],0),MATCH($D3,指標マスタ[#Headers],0))&amp;"","")</f>
        <v/>
      </c>
      <c r="AS3" s="199" t="str">
        <f>IFERROR(INDEX(指標マスタ[],MATCH(AS$5,指標マスタ['#],0),MATCH($D3,指標マスタ[#Headers],0))&amp;"","")</f>
        <v>就業環境</v>
      </c>
      <c r="AT3" s="199" t="str">
        <f>IFERROR(INDEX(指標マスタ[],MATCH(AT$5,指標マスタ['#],0),MATCH($D3,指標マスタ[#Headers],0))&amp;"","")</f>
        <v/>
      </c>
      <c r="AU3" s="199" t="str">
        <f>IFERROR(INDEX(指標マスタ[],MATCH(AU$5,指標マスタ['#],0),MATCH($D3,指標マスタ[#Headers],0))&amp;"","")</f>
        <v/>
      </c>
      <c r="AV3" s="199" t="str">
        <f>IFERROR(INDEX(指標マスタ[],MATCH(AV$5,指標マスタ['#],0),MATCH($D3,指標マスタ[#Headers],0))&amp;"","")</f>
        <v>居住コスト</v>
      </c>
      <c r="AW3" s="199" t="str">
        <f>IFERROR(INDEX(指標マスタ[],MATCH(AW$5,指標マスタ['#],0),MATCH($D3,指標マスタ[#Headers],0))&amp;"","")</f>
        <v/>
      </c>
      <c r="AX3" s="199" t="str">
        <f>IFERROR(INDEX(指標マスタ[],MATCH(AX$5,指標マスタ['#],0),MATCH($D3,指標マスタ[#Headers],0))&amp;"","")</f>
        <v>安全・安心</v>
      </c>
      <c r="AY3" s="199" t="str">
        <f>IFERROR(INDEX(指標マスタ[],MATCH(AY$5,指標マスタ['#],0),MATCH($D3,指標マスタ[#Headers],0))&amp;"","")</f>
        <v/>
      </c>
      <c r="AZ3" s="199" t="str">
        <f>IFERROR(INDEX(指標マスタ[],MATCH(AZ$5,指標マスタ['#],0),MATCH($D3,指標マスタ[#Headers],0))&amp;"","")</f>
        <v>生活良好性</v>
      </c>
      <c r="BA3" s="199" t="str">
        <f>IFERROR(INDEX(指標マスタ[],MATCH(BA$5,指標マスタ['#],0),MATCH($D3,指標マスタ[#Headers],0))&amp;"","")</f>
        <v/>
      </c>
      <c r="BB3" s="199" t="str">
        <f>IFERROR(INDEX(指標マスタ[],MATCH(BB$5,指標マスタ['#],0),MATCH($D3,指標マスタ[#Headers],0))&amp;"","")</f>
        <v/>
      </c>
      <c r="BC3" s="199" t="str">
        <f>IFERROR(INDEX(指標マスタ[],MATCH(BC$5,指標マスタ['#],0),MATCH($D3,指標マスタ[#Headers],0))&amp;"","")</f>
        <v>生活利便性</v>
      </c>
      <c r="BD3" s="199" t="str">
        <f>IFERROR(INDEX(指標マスタ[],MATCH(BD$5,指標マスタ['#],0),MATCH($D3,指標マスタ[#Headers],0))&amp;"","")</f>
        <v/>
      </c>
      <c r="BE3" s="199" t="str">
        <f>IFERROR(INDEX(指標マスタ[],MATCH(BE$5,指標マスタ['#],0),MATCH($D3,指標マスタ[#Headers],0))&amp;"","")</f>
        <v/>
      </c>
      <c r="BF3" s="199" t="str">
        <f>IFERROR(INDEX(指標マスタ[],MATCH(BF$5,指標マスタ['#],0),MATCH($D3,指標マスタ[#Headers],0))&amp;"","")</f>
        <v/>
      </c>
      <c r="BG3" s="204" t="str">
        <f>IFERROR(INDEX(指標マスタ[],MATCH(BG$5,指標マスタ['#],0),MATCH($D3,指標マスタ[#Headers],0))&amp;"","")</f>
        <v>持続可能性</v>
      </c>
      <c r="BH3" s="204" t="str">
        <f>IFERROR(INDEX(指標マスタ[],MATCH(BH$5,指標マスタ['#],0),MATCH($D3,指標マスタ[#Headers],0))&amp;"","")</f>
        <v/>
      </c>
      <c r="BI3" s="204" t="str">
        <f>IFERROR(INDEX(指標マスタ[],MATCH(BI$5,指標マスタ['#],0),MATCH($D3,指標マスタ[#Headers],0))&amp;"","")</f>
        <v/>
      </c>
      <c r="BJ3" s="204" t="str">
        <f>IFERROR(INDEX(指標マスタ[],MATCH(BJ$5,指標マスタ['#],0),MATCH($D3,指標マスタ[#Headers],0))&amp;"","")</f>
        <v>空気環境</v>
      </c>
      <c r="BK3" s="204" t="str">
        <f>IFERROR(INDEX(指標マスタ[],MATCH(BK$5,指標マスタ['#],0),MATCH($D3,指標マスタ[#Headers],0))&amp;"","")</f>
        <v/>
      </c>
      <c r="BL3" s="204" t="str">
        <f>IFERROR(INDEX(指標マスタ[],MATCH(BL$5,指標マスタ['#],0),MATCH($D3,指標マスタ[#Headers],0))&amp;"","")</f>
        <v/>
      </c>
      <c r="BM3" s="204" t="str">
        <f>IFERROR(INDEX(指標マスタ[],MATCH(BM$5,指標マスタ['#],0),MATCH($D3,指標マスタ[#Headers],0))&amp;"","")</f>
        <v>都市環境</v>
      </c>
      <c r="BN3" s="204" t="str">
        <f>IFERROR(INDEX(指標マスタ[],MATCH(BN$5,指標マスタ['#],0),MATCH($D3,指標マスタ[#Headers],0))&amp;"","")</f>
        <v/>
      </c>
      <c r="BO3" s="204" t="str">
        <f>IFERROR(INDEX(指標マスタ[],MATCH(BO$5,指標マスタ['#],0),MATCH($D3,指標マスタ[#Headers],0))&amp;"","")</f>
        <v/>
      </c>
      <c r="BP3" s="209" t="str">
        <f>IFERROR(INDEX(指標マスタ[],MATCH(BP$5,指標マスタ['#],0),MATCH($D3,指標マスタ[#Headers],0))&amp;"","")</f>
        <v>国際ネットワーク</v>
      </c>
      <c r="BQ3" s="209" t="str">
        <f>IFERROR(INDEX(指標マスタ[],MATCH(BQ$5,指標マスタ['#],0),MATCH($D3,指標マスタ[#Headers],0))&amp;"","")</f>
        <v/>
      </c>
      <c r="BR3" s="209" t="str">
        <f>IFERROR(INDEX(指標マスタ[],MATCH(BR$5,指標マスタ['#],0),MATCH($D3,指標マスタ[#Headers],0))&amp;"","")</f>
        <v>航空キャパシティ</v>
      </c>
      <c r="BS3" s="209" t="str">
        <f>IFERROR(INDEX(指標マスタ[],MATCH(BS$5,指標マスタ['#],0),MATCH($D3,指標マスタ[#Headers],0))&amp;"","")</f>
        <v/>
      </c>
      <c r="BT3" s="209" t="str">
        <f>IFERROR(INDEX(指標マスタ[],MATCH(BT$5,指標マスタ['#],0),MATCH($D3,指標マスタ[#Headers],0))&amp;"","")</f>
        <v>都市内交通</v>
      </c>
      <c r="BU3" s="209" t="str">
        <f>IFERROR(INDEX(指標マスタ[],MATCH(BU$5,指標マスタ['#],0),MATCH($D3,指標マスタ[#Headers],0))&amp;"","")</f>
        <v/>
      </c>
      <c r="BV3" s="209" t="str">
        <f>IFERROR(INDEX(指標マスタ[],MATCH(BV$5,指標マスタ['#],0),MATCH($D3,指標マスタ[#Headers],0))&amp;"","")</f>
        <v/>
      </c>
      <c r="BW3" s="209" t="str">
        <f>IFERROR(INDEX(指標マスタ[],MATCH(BW$5,指標マスタ['#],0),MATCH($D3,指標マスタ[#Headers],0))&amp;"","")</f>
        <v>移動の快適性</v>
      </c>
      <c r="BX3" s="209" t="str">
        <f>IFERROR(INDEX(指標マスタ[],MATCH(BX$5,指標マスタ['#],0),MATCH($D3,指標マスタ[#Headers],0))&amp;"","")</f>
        <v/>
      </c>
      <c r="BY3" s="209" t="str">
        <f>IFERROR(INDEX(指標マスタ[],MATCH(BY$5,指標マスタ['#],0),MATCH($D3,指標マスタ[#Headers],0))&amp;"","")</f>
        <v/>
      </c>
      <c r="BZ3" s="183" t="str">
        <f>IFERROR(INDEX(指標マスタ[],MATCH(BZ$5,指標マスタ[IG'#],0),MATCH($D3,指標マスタ[#Headers],0))&amp;"","")</f>
        <v>市場の規模</v>
      </c>
      <c r="CA3" s="183" t="str">
        <f>IFERROR(INDEX(指標マスタ[],MATCH(CA$5,指標マスタ[IG'#],0),MATCH($D3,指標マスタ[#Headers],0))&amp;"","")</f>
        <v>市場の魅力</v>
      </c>
      <c r="CB3" s="183" t="str">
        <f>IFERROR(INDEX(指標マスタ[],MATCH(CB$5,指標マスタ[IG'#],0),MATCH($D3,指標マスタ[#Headers],0))&amp;"","")</f>
        <v>経済集積</v>
      </c>
      <c r="CC3" s="183" t="str">
        <f>IFERROR(INDEX(指標マスタ[],MATCH(CC$5,指標マスタ[IG'#],0),MATCH($D3,指標マスタ[#Headers],0))&amp;"","")</f>
        <v>人的集積</v>
      </c>
      <c r="CD3" s="183" t="str">
        <f>IFERROR(INDEX(指標マスタ[],MATCH(CD$5,指標マスタ[IG'#],0),MATCH($D3,指標マスタ[#Headers],0))&amp;"","")</f>
        <v>ビジネス環境</v>
      </c>
      <c r="CE3" s="183" t="str">
        <f>IFERROR(INDEX(指標マスタ[],MATCH(CE$5,指標マスタ[IG'#],0),MATCH($D3,指標マスタ[#Headers],0))&amp;"","")</f>
        <v>ビジネスの容易性</v>
      </c>
      <c r="CF3" s="187" t="str">
        <f>IFERROR(INDEX(指標マスタ[],MATCH(CF$5,指標マスタ[IG'#],0),MATCH($D3,指標マスタ[#Headers],0))&amp;"","")</f>
        <v>研究集積</v>
      </c>
      <c r="CG3" s="188" t="str">
        <f>IFERROR(INDEX(指標マスタ[],MATCH(CG$5,指標マスタ[IG'#],0),MATCH($D3,指標マスタ[#Headers],0))&amp;"","")</f>
        <v>研究環境</v>
      </c>
      <c r="CH3" s="188" t="str">
        <f>IFERROR(INDEX(指標マスタ[],MATCH(CH$5,指標マスタ[IG'#],0),MATCH($D3,指標マスタ[#Headers],0))&amp;"","")</f>
        <v>イノベーション</v>
      </c>
      <c r="CI3" s="194" t="str">
        <f>IFERROR(INDEX(指標マスタ[],MATCH(CI$5,指標マスタ[IG'#],0),MATCH($D3,指標マスタ[#Headers],0))&amp;"","")</f>
        <v>発信力</v>
      </c>
      <c r="CJ3" s="193" t="str">
        <f>IFERROR(INDEX(指標マスタ[],MATCH(CJ$5,指標マスタ[IG'#],0),MATCH($D3,指標マスタ[#Headers],0))&amp;"","")</f>
        <v>観光資源</v>
      </c>
      <c r="CK3" s="193" t="str">
        <f>IFERROR(INDEX(指標マスタ[],MATCH(CK$5,指標マスタ[IG'#],0),MATCH($D3,指標マスタ[#Headers],0))&amp;"","")</f>
        <v>文化施設</v>
      </c>
      <c r="CL3" s="193" t="str">
        <f>IFERROR(INDEX(指標マスタ[],MATCH(CL$5,指標マスタ[IG'#],0),MATCH($D3,指標マスタ[#Headers],0))&amp;"","")</f>
        <v>受入環境</v>
      </c>
      <c r="CM3" s="194" t="str">
        <f>IFERROR(INDEX(指標マスタ[],MATCH(CM$5,指標マスタ[IG'#],0),MATCH($D3,指標マスタ[#Headers],0))&amp;"","")</f>
        <v>外国人受入実績</v>
      </c>
      <c r="CN3" s="199" t="str">
        <f>IFERROR(INDEX(指標マスタ[],MATCH(CN$5,指標マスタ[IG'#],0),MATCH($D3,指標マスタ[#Headers],0))&amp;"","")</f>
        <v>就業環境</v>
      </c>
      <c r="CO3" s="199" t="str">
        <f>IFERROR(INDEX(指標マスタ[],MATCH(CO$5,指標マスタ[IG'#],0),MATCH($D3,指標マスタ[#Headers],0))&amp;"","")</f>
        <v>居住コスト</v>
      </c>
      <c r="CP3" s="199" t="str">
        <f>IFERROR(INDEX(指標マスタ[],MATCH(CP$5,指標マスタ[IG'#],0),MATCH($D3,指標マスタ[#Headers],0))&amp;"","")</f>
        <v>安全・安心</v>
      </c>
      <c r="CQ3" s="199" t="str">
        <f>IFERROR(INDEX(指標マスタ[],MATCH(CQ$5,指標マスタ[IG'#],0),MATCH($D3,指標マスタ[#Headers],0))&amp;"","")</f>
        <v>生活良好性</v>
      </c>
      <c r="CR3" s="199" t="str">
        <f>IFERROR(INDEX(指標マスタ[],MATCH(CR$5,指標マスタ[IG'#],0),MATCH($D3,指標マスタ[#Headers],0))&amp;"","")</f>
        <v>生活利便性</v>
      </c>
      <c r="CS3" s="204" t="str">
        <f>IFERROR(INDEX(指標マスタ[],MATCH(CS$5,指標マスタ[IG'#],0),MATCH($D3,指標マスタ[#Headers],0))&amp;"","")</f>
        <v>持続可能性</v>
      </c>
      <c r="CT3" s="204" t="str">
        <f>IFERROR(INDEX(指標マスタ[],MATCH(CT$5,指標マスタ[IG'#],0),MATCH($D3,指標マスタ[#Headers],0))&amp;"","")</f>
        <v>空気環境</v>
      </c>
      <c r="CU3" s="204" t="str">
        <f>IFERROR(INDEX(指標マスタ[],MATCH(CU$5,指標マスタ[IG'#],0),MATCH($D3,指標マスタ[#Headers],0))&amp;"","")</f>
        <v>都市環境</v>
      </c>
      <c r="CV3" s="209" t="str">
        <f>IFERROR(INDEX(指標マスタ[],MATCH(CV$5,指標マスタ[IG'#],0),MATCH($D3,指標マスタ[#Headers],0))&amp;"","")</f>
        <v>国際ネットワーク</v>
      </c>
      <c r="CW3" s="209" t="str">
        <f>IFERROR(INDEX(指標マスタ[],MATCH(CW$5,指標マスタ[IG'#],0),MATCH($D3,指標マスタ[#Headers],0))&amp;"","")</f>
        <v>航空キャパシティ</v>
      </c>
      <c r="CX3" s="209" t="str">
        <f>IFERROR(INDEX(指標マスタ[],MATCH(CX$5,指標マスタ[IG'#],0),MATCH($D3,指標マスタ[#Headers],0))&amp;"","")</f>
        <v>都市内交通</v>
      </c>
      <c r="CY3" s="209" t="str">
        <f>IFERROR(INDEX(指標マスタ[],MATCH(CY$5,指標マスタ[IG'#],0),MATCH($D3,指標マスタ[#Headers],0))&amp;"","")</f>
        <v>移動の快適性</v>
      </c>
      <c r="CZ3" s="183"/>
      <c r="DA3" s="187"/>
      <c r="DB3" s="194"/>
      <c r="DC3" s="199"/>
      <c r="DD3" s="204"/>
      <c r="DE3" s="209"/>
      <c r="DF3" s="43"/>
      <c r="DG3" s="43"/>
    </row>
    <row r="4" spans="1:111">
      <c r="D4" s="75" t="str">
        <f>IF(JPEN!$C$2="EN",指標!$I$2,指標!$H$2)</f>
        <v>指標</v>
      </c>
      <c r="E4" s="74" t="str">
        <f>IFERROR(INDEX(指標マスタ[],MATCH(E$5,指標マスタ['#],0),MATCH($D4,指標マスタ[#Headers],0))&amp;"","")</f>
        <v>人口</v>
      </c>
      <c r="F4" s="74" t="str">
        <f>IFERROR(INDEX(指標マスタ[],MATCH(F$5,指標マスタ['#],0),MATCH($D4,指標マスタ[#Headers],0))&amp;"","")</f>
        <v>面積</v>
      </c>
      <c r="G4" s="74" t="str">
        <f>IFERROR(INDEX(指標マスタ[],MATCH(G$5,指標マスタ['#],0),MATCH($D4,指標マスタ[#Headers],0))&amp;"","")</f>
        <v>為替</v>
      </c>
      <c r="H4" s="186" t="str">
        <f>IFERROR(INDEX(指標マスタ[],MATCH(H$5,指標マスタ['#],0),MATCH($D4,指標マスタ[#Headers],0))&amp;"","")</f>
        <v>GDP</v>
      </c>
      <c r="I4" s="186" t="str">
        <f>IFERROR(INDEX(指標マスタ[],MATCH(I$5,指標マスタ['#],0),MATCH($D4,指標マスタ[#Headers],0))&amp;"","")</f>
        <v>1人あたりGDP</v>
      </c>
      <c r="J4" s="186" t="str">
        <f>IFERROR(INDEX(指標マスタ[],MATCH(J$5,指標マスタ['#],0),MATCH($D4,指標マスタ[#Headers],0))&amp;"","")</f>
        <v>GDP成長率</v>
      </c>
      <c r="K4" s="186" t="str">
        <f>IFERROR(INDEX(指標マスタ[],MATCH(K$5,指標マスタ['#],0),MATCH($D4,指標マスタ[#Headers],0))&amp;"","")</f>
        <v>経済自由度</v>
      </c>
      <c r="L4" s="186" t="str">
        <f>IFERROR(INDEX(指標マスタ[],MATCH(L$5,指標マスタ['#],0),MATCH($D4,指標マスタ[#Headers],0))&amp;"","")</f>
        <v>上場株式時価総額</v>
      </c>
      <c r="M4" s="186" t="str">
        <f>IFERROR(INDEX(指標マスタ[],MATCH(M$5,指標マスタ['#],0),MATCH($D4,指標マスタ[#Headers],0))&amp;"","")</f>
        <v>世界トップ500企業</v>
      </c>
      <c r="N4" s="186" t="str">
        <f>IFERROR(INDEX(指標マスタ[],MATCH(N$5,指標マスタ['#],0),MATCH($D4,指標マスタ[#Headers],0))&amp;"","")</f>
        <v>従業者数</v>
      </c>
      <c r="O4" s="186" t="str">
        <f>IFERROR(INDEX(指標マスタ[],MATCH(O$5,指標マスタ['#],0),MATCH($D4,指標マスタ[#Headers],0))&amp;"","")</f>
        <v>ビジネスサポート人材の多さ</v>
      </c>
      <c r="P4" s="186" t="str">
        <f>IFERROR(INDEX(指標マスタ[],MATCH(P$5,指標マスタ['#],0),MATCH($D4,指標マスタ[#Headers],0))&amp;"","")</f>
        <v>賃金水準の高さ</v>
      </c>
      <c r="Q4" s="186" t="str">
        <f>IFERROR(INDEX(指標マスタ[],MATCH(Q$5,指標マスタ['#],0),MATCH($D4,指標マスタ[#Headers],0))&amp;"","")</f>
        <v>優秀な人材確保の容易性</v>
      </c>
      <c r="R4" s="186" t="str">
        <f>IFERROR(INDEX(指標マスタ[],MATCH(R$5,指標マスタ['#],0),MATCH($D4,指標マスタ[#Headers],0))&amp;"","")</f>
        <v>ワークプレイス充実度</v>
      </c>
      <c r="S4" s="186" t="str">
        <f>IFERROR(INDEX(指標マスタ[],MATCH(S$5,指標マスタ['#],0),MATCH($D4,指標マスタ[#Headers],0))&amp;"","")</f>
        <v>法人税率の低さ</v>
      </c>
      <c r="T4" s="186" t="str">
        <f>IFERROR(INDEX(指標マスタ[],MATCH(T$5,指標マスタ['#],0),MATCH($D4,指標マスタ[#Headers],0))&amp;"","")</f>
        <v>政治・経済・商機のリスクの低さ</v>
      </c>
      <c r="U4" s="192" t="str">
        <f>IFERROR(INDEX(指標マスタ[],MATCH(U$5,指標マスタ['#],0),MATCH($D4,指標マスタ[#Headers],0))&amp;"","")</f>
        <v>研究者数</v>
      </c>
      <c r="V4" s="192" t="str">
        <f>IFERROR(INDEX(指標マスタ[],MATCH(V$5,指標マスタ['#],0),MATCH($D4,指標マスタ[#Headers],0))&amp;"","")</f>
        <v>世界トップ大学</v>
      </c>
      <c r="W4" s="192" t="str">
        <f>IFERROR(INDEX(指標マスタ[],MATCH(W$5,指標マスタ['#],0),MATCH($D4,指標マスタ[#Headers],0))&amp;"","")</f>
        <v>研究開発費</v>
      </c>
      <c r="X4" s="192" t="str">
        <f>IFERROR(INDEX(指標マスタ[],MATCH(X$5,指標マスタ['#],0),MATCH($D4,指標マスタ[#Headers],0))&amp;"","")</f>
        <v>留学生数</v>
      </c>
      <c r="Y4" s="192" t="str">
        <f>IFERROR(INDEX(指標マスタ[],MATCH(Y$5,指標マスタ['#],0),MATCH($D4,指標マスタ[#Headers],0))&amp;"","")</f>
        <v>学力の高さ</v>
      </c>
      <c r="Z4" s="192" t="str">
        <f>IFERROR(INDEX(指標マスタ[],MATCH(Z$5,指標マスタ['#],0),MATCH($D4,指標マスタ[#Headers],0))&amp;"","")</f>
        <v>特許登録件数</v>
      </c>
      <c r="AA4" s="192" t="str">
        <f>IFERROR(INDEX(指標マスタ[],MATCH(AA$5,指標マスタ['#],0),MATCH($D4,指標マスタ[#Headers],0))&amp;"","")</f>
        <v>主要科学技術賞受賞者数</v>
      </c>
      <c r="AB4" s="192" t="str">
        <f>IFERROR(INDEX(指標マスタ[],MATCH(AB$5,指標マスタ['#],0),MATCH($D4,指標マスタ[#Headers],0))&amp;"","")</f>
        <v>スタートアップ数</v>
      </c>
      <c r="AC4" s="198" t="str">
        <f>IFERROR(INDEX(指標マスタ[],MATCH(AC$5,指標マスタ['#],0),MATCH($D4,指標マスタ[#Headers],0))&amp;"","")</f>
        <v>国際コンベンション件数</v>
      </c>
      <c r="AD4" s="198" t="str">
        <f>IFERROR(INDEX(指標マスタ[],MATCH(AD$5,指標マスタ['#],0),MATCH($D4,指標マスタ[#Headers],0))&amp;"","")</f>
        <v>文化イベント開催件数</v>
      </c>
      <c r="AE4" s="198" t="str">
        <f>IFERROR(INDEX(指標マスタ[],MATCH(AE$5,指標マスタ['#],0),MATCH($D4,指標マスタ[#Headers],0))&amp;"","")</f>
        <v>コンテンツ輸出額</v>
      </c>
      <c r="AF4" s="198" t="str">
        <f>IFERROR(INDEX(指標マスタ[],MATCH(AF$5,指標マスタ['#],0),MATCH($D4,指標マスタ[#Headers],0))&amp;"","")</f>
        <v>アート市場環境</v>
      </c>
      <c r="AG4" s="198" t="str">
        <f>IFERROR(INDEX(指標マスタ[],MATCH(AG$5,指標マスタ['#],0),MATCH($D4,指標マスタ[#Headers],0))&amp;"","")</f>
        <v>観光地の充実度</v>
      </c>
      <c r="AH4" s="198" t="str">
        <f>IFERROR(INDEX(指標マスタ[],MATCH(AH$5,指標マスタ['#],0),MATCH($D4,指標マスタ[#Headers],0))&amp;"","")</f>
        <v>世界遺産への近接性</v>
      </c>
      <c r="AI4" s="198" t="str">
        <f>IFERROR(INDEX(指標マスタ[],MATCH(AI$5,指標マスタ['#],0),MATCH($D4,指標マスタ[#Headers],0))&amp;"","")</f>
        <v>ナイトライフ充実度</v>
      </c>
      <c r="AJ4" s="198" t="str">
        <f>IFERROR(INDEX(指標マスタ[],MATCH(AJ$5,指標マスタ['#],0),MATCH($D4,指標マスタ[#Headers],0))&amp;"","")</f>
        <v>劇場・コンサートホール数</v>
      </c>
      <c r="AK4" s="198" t="str">
        <f>IFERROR(INDEX(指標マスタ[],MATCH(AK$5,指標マスタ['#],0),MATCH($D4,指標マスタ[#Headers],0))&amp;"","")</f>
        <v>美術館・博物館数</v>
      </c>
      <c r="AL4" s="198" t="str">
        <f>IFERROR(INDEX(指標マスタ[],MATCH(AL$5,指標マスタ['#],0),MATCH($D4,指標マスタ[#Headers],0))&amp;"","")</f>
        <v>スタジアム数</v>
      </c>
      <c r="AM4" s="198" t="str">
        <f>IFERROR(INDEX(指標マスタ[],MATCH(AM$5,指標マスタ['#],0),MATCH($D4,指標マスタ[#Headers],0))&amp;"","")</f>
        <v>ホテル客室数</v>
      </c>
      <c r="AN4" s="198" t="str">
        <f>IFERROR(INDEX(指標マスタ[],MATCH(AN$5,指標マスタ['#],0),MATCH($D4,指標マスタ[#Headers],0))&amp;"","")</f>
        <v>ハイクラスホテル客室数</v>
      </c>
      <c r="AO4" s="198" t="str">
        <f>IFERROR(INDEX(指標マスタ[],MATCH(AO$5,指標マスタ['#],0),MATCH($D4,指標マスタ[#Headers],0))&amp;"","")</f>
        <v>買物の魅力</v>
      </c>
      <c r="AP4" s="198" t="str">
        <f>IFERROR(INDEX(指標マスタ[],MATCH(AP$5,指標マスタ['#],0),MATCH($D4,指標マスタ[#Headers],0))&amp;"","")</f>
        <v>食事の魅力</v>
      </c>
      <c r="AQ4" s="198" t="str">
        <f>IFERROR(INDEX(指標マスタ[],MATCH(AQ$5,指標マスタ['#],0),MATCH($D4,指標マスタ[#Headers],0))&amp;"","")</f>
        <v>外国人居住者数</v>
      </c>
      <c r="AR4" s="198" t="str">
        <f>IFERROR(INDEX(指標マスタ[],MATCH(AR$5,指標マスタ['#],0),MATCH($D4,指標マスタ[#Headers],0))&amp;"","")</f>
        <v>外国人訪問者数</v>
      </c>
      <c r="AS4" s="203" t="str">
        <f>IFERROR(INDEX(指標マスタ[],MATCH(AS$5,指標マスタ['#],0),MATCH($D4,指標マスタ[#Headers],0))&amp;"","")</f>
        <v>完全失業率の低さ</v>
      </c>
      <c r="AT4" s="203" t="str">
        <f>IFERROR(INDEX(指標マスタ[],MATCH(AT$5,指標マスタ['#],0),MATCH($D4,指標マスタ[#Headers],0))&amp;"","")</f>
        <v>1人あたりの総労働時間の短さ</v>
      </c>
      <c r="AU4" s="203" t="str">
        <f>IFERROR(INDEX(指標マスタ[],MATCH(AU$5,指標マスタ['#],0),MATCH($D4,指標マスタ[#Headers],0))&amp;"","")</f>
        <v>働き方の柔軟性</v>
      </c>
      <c r="AV4" s="203" t="str">
        <f>IFERROR(INDEX(指標マスタ[],MATCH(AV$5,指標マスタ['#],0),MATCH($D4,指標マスタ[#Headers],0))&amp;"","")</f>
        <v>住宅賃料水準の低さ</v>
      </c>
      <c r="AW4" s="203" t="str">
        <f>IFERROR(INDEX(指標マスタ[],MATCH(AW$5,指標マスタ['#],0),MATCH($D4,指標マスタ[#Headers],0))&amp;"","")</f>
        <v>物価水準の低さ</v>
      </c>
      <c r="AX4" s="203" t="str">
        <f>IFERROR(INDEX(指標マスタ[],MATCH(AX$5,指標マスタ['#],0),MATCH($D4,指標マスタ[#Headers],0))&amp;"","")</f>
        <v>殺人件数の少なさ</v>
      </c>
      <c r="AY4" s="203" t="str">
        <f>IFERROR(INDEX(指標マスタ[],MATCH(AY$5,指標マスタ['#],0),MATCH($D4,指標マスタ[#Headers],0))&amp;"","")</f>
        <v>自然災害の経済的リスクの少なさ</v>
      </c>
      <c r="AZ4" s="203" t="str">
        <f>IFERROR(INDEX(指標マスタ[],MATCH(AZ$5,指標マスタ['#],0),MATCH($D4,指標マスタ[#Headers],0))&amp;"","")</f>
        <v>平均寿命</v>
      </c>
      <c r="BA4" s="203" t="str">
        <f>IFERROR(INDEX(指標マスタ[],MATCH(BA$5,指標マスタ['#],0),MATCH($D4,指標マスタ[#Headers],0))&amp;"","")</f>
        <v>社会の自由度・平等さ</v>
      </c>
      <c r="BB4" s="203" t="str">
        <f>IFERROR(INDEX(指標マスタ[],MATCH(BB$5,指標マスタ['#],0),MATCH($D4,指標マスタ[#Headers],0))&amp;"","")</f>
        <v>メンタルヘルス水準</v>
      </c>
      <c r="BC4" s="203" t="str">
        <f>IFERROR(INDEX(指標マスタ[],MATCH(BC$5,指標マスタ['#],0),MATCH($D4,指標マスタ[#Headers],0))&amp;"","")</f>
        <v>医師数</v>
      </c>
      <c r="BD4" s="203" t="str">
        <f>IFERROR(INDEX(指標マスタ[],MATCH(BD$5,指標マスタ['#],0),MATCH($D4,指標マスタ[#Headers],0))&amp;"","")</f>
        <v>ICT環境の充実度</v>
      </c>
      <c r="BE4" s="203" t="str">
        <f>IFERROR(INDEX(指標マスタ[],MATCH(BE$5,指標マスタ['#],0),MATCH($D4,指標マスタ[#Headers],0))&amp;"","")</f>
        <v>小売店舗の多さ</v>
      </c>
      <c r="BF4" s="203" t="str">
        <f>IFERROR(INDEX(指標マスタ[],MATCH(BF$5,指標マスタ['#],0),MATCH($D4,指標マスタ[#Headers],0))&amp;"","")</f>
        <v>飲食店の多さ</v>
      </c>
      <c r="BG4" s="208" t="str">
        <f>IFERROR(INDEX(指標マスタ[],MATCH(BG$5,指標マスタ['#],0),MATCH($D4,指標マスタ[#Headers],0))&amp;"","")</f>
        <v>環境への取り組み</v>
      </c>
      <c r="BH4" s="208" t="str">
        <f>IFERROR(INDEX(指標マスタ[],MATCH(BH$5,指標マスタ['#],0),MATCH($D4,指標マスタ[#Headers],0))&amp;"","")</f>
        <v>再生可能エネルギー比率</v>
      </c>
      <c r="BI4" s="208" t="str">
        <f>IFERROR(INDEX(指標マスタ[],MATCH(BI$5,指標マスタ['#],0),MATCH($D4,指標マスタ[#Headers],0))&amp;"","")</f>
        <v>リサイクル率</v>
      </c>
      <c r="BJ4" s="208" t="str">
        <f>IFERROR(INDEX(指標マスタ[],MATCH(BJ$5,指標マスタ['#],0),MATCH($D4,指標マスタ[#Headers],0))&amp;"","")</f>
        <v>1人あたりのCO2排出量の少なさ</v>
      </c>
      <c r="BK4" s="208" t="str">
        <f>IFERROR(INDEX(指標マスタ[],MATCH(BK$5,指標マスタ['#],0),MATCH($D4,指標マスタ[#Headers],0))&amp;"","")</f>
        <v>空気のきれいさ</v>
      </c>
      <c r="BL4" s="208" t="str">
        <f>IFERROR(INDEX(指標マスタ[],MATCH(BL$5,指標マスタ['#],0),MATCH($D4,指標マスタ[#Headers],0))&amp;"","")</f>
        <v>気温の快適性</v>
      </c>
      <c r="BM4" s="208" t="str">
        <f>IFERROR(INDEX(指標マスタ[],MATCH(BM$5,指標マスタ['#],0),MATCH($D4,指標マスタ[#Headers],0))&amp;"","")</f>
        <v>水質の良好性</v>
      </c>
      <c r="BN4" s="208" t="str">
        <f>IFERROR(INDEX(指標マスタ[],MATCH(BN$5,指標マスタ['#],0),MATCH($D4,指標マスタ[#Headers],0))&amp;"","")</f>
        <v>緑地の充実度</v>
      </c>
      <c r="BO4" s="208" t="str">
        <f>IFERROR(INDEX(指標マスタ[],MATCH(BO$5,指標マスタ['#],0),MATCH($D4,指標マスタ[#Headers],0))&amp;"","")</f>
        <v>都市空間の清潔さ</v>
      </c>
      <c r="BP4" s="213" t="str">
        <f>IFERROR(INDEX(指標マスタ[],MATCH(BP$5,指標マスタ['#],0),MATCH($D4,指標マスタ[#Headers],0))&amp;"","")</f>
        <v>国際線直行便就航都市数</v>
      </c>
      <c r="BQ4" s="213" t="str">
        <f>IFERROR(INDEX(指標マスタ[],MATCH(BQ$5,指標マスタ['#],0),MATCH($D4,指標マスタ[#Headers],0))&amp;"","")</f>
        <v>国際貨物流通規模</v>
      </c>
      <c r="BR4" s="213" t="str">
        <f>IFERROR(INDEX(指標マスタ[],MATCH(BR$5,指標マスタ['#],0),MATCH($D4,指標マスタ[#Headers],0))&amp;"","")</f>
        <v>国内・国際線旅客数</v>
      </c>
      <c r="BS4" s="213" t="str">
        <f>IFERROR(INDEX(指標マスタ[],MATCH(BS$5,指標マスタ['#],0),MATCH($D4,指標マスタ[#Headers],0))&amp;"","")</f>
        <v>航空機の発着回数</v>
      </c>
      <c r="BT4" s="213" t="str">
        <f>IFERROR(INDEX(指標マスタ[],MATCH(BT$5,指標マスタ['#],0),MATCH($D4,指標マスタ[#Headers],0))&amp;"","")</f>
        <v>駅密度</v>
      </c>
      <c r="BU4" s="213" t="str">
        <f>IFERROR(INDEX(指標マスタ[],MATCH(BU$5,指標マスタ['#],0),MATCH($D4,指標マスタ[#Headers],0))&amp;"","")</f>
        <v>公共交通機関利用率</v>
      </c>
      <c r="BV4" s="213" t="str">
        <f>IFERROR(INDEX(指標マスタ[],MATCH(BV$5,指標マスタ['#],0),MATCH($D4,指標マスタ[#Headers],0))&amp;"","")</f>
        <v>空港アクセス時間の短さ</v>
      </c>
      <c r="BW4" s="213" t="str">
        <f>IFERROR(INDEX(指標マスタ[],MATCH(BW$5,指標マスタ['#],0),MATCH($D4,指標マスタ[#Headers],0))&amp;"","")</f>
        <v>通勤・通学時間の短さ</v>
      </c>
      <c r="BX4" s="213" t="str">
        <f>IFERROR(INDEX(指標マスタ[],MATCH(BX$5,指標マスタ['#],0),MATCH($D4,指標マスタ[#Headers],0))&amp;"","")</f>
        <v>自動車の移動速度</v>
      </c>
      <c r="BY4" s="213" t="str">
        <f>IFERROR(INDEX(指標マスタ[],MATCH(BY$5,指標マスタ['#],0),MATCH($D4,指標マスタ[#Headers],0))&amp;"","")</f>
        <v>タクシー・自転車での移動のしやすさ</v>
      </c>
      <c r="BZ4" s="186"/>
      <c r="CA4" s="186"/>
      <c r="CB4" s="186"/>
      <c r="CC4" s="186"/>
      <c r="CD4" s="186"/>
      <c r="CE4" s="186"/>
      <c r="CF4" s="192"/>
      <c r="CG4" s="192"/>
      <c r="CH4" s="192"/>
      <c r="CI4" s="198"/>
      <c r="CJ4" s="198"/>
      <c r="CK4" s="198"/>
      <c r="CL4" s="198"/>
      <c r="CM4" s="198"/>
      <c r="CN4" s="203"/>
      <c r="CO4" s="203"/>
      <c r="CP4" s="203"/>
      <c r="CQ4" s="203"/>
      <c r="CR4" s="203"/>
      <c r="CS4" s="204"/>
      <c r="CT4" s="204"/>
      <c r="CU4" s="204"/>
      <c r="CV4" s="209"/>
      <c r="CW4" s="209"/>
      <c r="CX4" s="209"/>
      <c r="CY4" s="209"/>
      <c r="CZ4" s="183"/>
      <c r="DA4" s="187"/>
      <c r="DB4" s="193"/>
      <c r="DC4" s="199"/>
      <c r="DD4" s="204"/>
      <c r="DE4" s="209"/>
      <c r="DF4" s="43"/>
      <c r="DG4" s="43"/>
    </row>
    <row r="5" spans="1:111" s="2" customFormat="1">
      <c r="B5" s="60" t="s">
        <v>537</v>
      </c>
      <c r="C5" s="51" t="s">
        <v>208</v>
      </c>
      <c r="D5" s="52" t="s">
        <v>210</v>
      </c>
      <c r="E5" s="56" t="s">
        <v>1088</v>
      </c>
      <c r="F5" s="56" t="s">
        <v>1089</v>
      </c>
      <c r="G5" s="56" t="s">
        <v>1090</v>
      </c>
      <c r="H5" s="132" t="s">
        <v>211</v>
      </c>
      <c r="I5" s="132" t="s">
        <v>212</v>
      </c>
      <c r="J5" s="132" t="s">
        <v>213</v>
      </c>
      <c r="K5" s="132" t="s">
        <v>214</v>
      </c>
      <c r="L5" s="132" t="s">
        <v>215</v>
      </c>
      <c r="M5" s="132" t="s">
        <v>216</v>
      </c>
      <c r="N5" s="132" t="s">
        <v>217</v>
      </c>
      <c r="O5" s="132" t="s">
        <v>218</v>
      </c>
      <c r="P5" s="132" t="s">
        <v>219</v>
      </c>
      <c r="Q5" s="134" t="s">
        <v>611</v>
      </c>
      <c r="R5" s="134" t="s">
        <v>547</v>
      </c>
      <c r="S5" s="134" t="s">
        <v>548</v>
      </c>
      <c r="T5" s="134" t="s">
        <v>549</v>
      </c>
      <c r="U5" s="142" t="s">
        <v>550</v>
      </c>
      <c r="V5" s="142" t="s">
        <v>551</v>
      </c>
      <c r="W5" s="142" t="s">
        <v>552</v>
      </c>
      <c r="X5" s="142" t="s">
        <v>553</v>
      </c>
      <c r="Y5" s="142" t="s">
        <v>554</v>
      </c>
      <c r="Z5" s="142" t="s">
        <v>555</v>
      </c>
      <c r="AA5" s="142" t="s">
        <v>556</v>
      </c>
      <c r="AB5" s="142" t="s">
        <v>557</v>
      </c>
      <c r="AC5" s="150" t="s">
        <v>558</v>
      </c>
      <c r="AD5" s="150" t="s">
        <v>559</v>
      </c>
      <c r="AE5" s="150" t="s">
        <v>560</v>
      </c>
      <c r="AF5" s="150" t="s">
        <v>561</v>
      </c>
      <c r="AG5" s="150" t="s">
        <v>562</v>
      </c>
      <c r="AH5" s="150" t="s">
        <v>563</v>
      </c>
      <c r="AI5" s="150" t="s">
        <v>564</v>
      </c>
      <c r="AJ5" s="150" t="s">
        <v>565</v>
      </c>
      <c r="AK5" s="150" t="s">
        <v>566</v>
      </c>
      <c r="AL5" s="150" t="s">
        <v>567</v>
      </c>
      <c r="AM5" s="150" t="s">
        <v>568</v>
      </c>
      <c r="AN5" s="150" t="s">
        <v>569</v>
      </c>
      <c r="AO5" s="150" t="s">
        <v>570</v>
      </c>
      <c r="AP5" s="150" t="s">
        <v>571</v>
      </c>
      <c r="AQ5" s="150" t="s">
        <v>572</v>
      </c>
      <c r="AR5" s="150" t="s">
        <v>573</v>
      </c>
      <c r="AS5" s="157" t="s">
        <v>574</v>
      </c>
      <c r="AT5" s="157" t="s">
        <v>575</v>
      </c>
      <c r="AU5" s="157" t="s">
        <v>576</v>
      </c>
      <c r="AV5" s="157" t="s">
        <v>577</v>
      </c>
      <c r="AW5" s="157" t="s">
        <v>578</v>
      </c>
      <c r="AX5" s="157" t="s">
        <v>579</v>
      </c>
      <c r="AY5" s="157" t="s">
        <v>580</v>
      </c>
      <c r="AZ5" s="157" t="s">
        <v>581</v>
      </c>
      <c r="BA5" s="157" t="s">
        <v>582</v>
      </c>
      <c r="BB5" s="157" t="s">
        <v>583</v>
      </c>
      <c r="BC5" s="157" t="s">
        <v>584</v>
      </c>
      <c r="BD5" s="157" t="s">
        <v>585</v>
      </c>
      <c r="BE5" s="157" t="s">
        <v>586</v>
      </c>
      <c r="BF5" s="157" t="s">
        <v>587</v>
      </c>
      <c r="BG5" s="165" t="s">
        <v>588</v>
      </c>
      <c r="BH5" s="165" t="s">
        <v>589</v>
      </c>
      <c r="BI5" s="165" t="s">
        <v>590</v>
      </c>
      <c r="BJ5" s="165" t="s">
        <v>591</v>
      </c>
      <c r="BK5" s="165" t="s">
        <v>592</v>
      </c>
      <c r="BL5" s="165" t="s">
        <v>593</v>
      </c>
      <c r="BM5" s="165" t="s">
        <v>594</v>
      </c>
      <c r="BN5" s="165" t="s">
        <v>595</v>
      </c>
      <c r="BO5" s="165" t="s">
        <v>596</v>
      </c>
      <c r="BP5" s="173" t="s">
        <v>597</v>
      </c>
      <c r="BQ5" s="173" t="s">
        <v>598</v>
      </c>
      <c r="BR5" s="173" t="s">
        <v>599</v>
      </c>
      <c r="BS5" s="173" t="s">
        <v>600</v>
      </c>
      <c r="BT5" s="173" t="s">
        <v>601</v>
      </c>
      <c r="BU5" s="173" t="s">
        <v>602</v>
      </c>
      <c r="BV5" s="173" t="s">
        <v>603</v>
      </c>
      <c r="BW5" s="173" t="s">
        <v>604</v>
      </c>
      <c r="BX5" s="173" t="s">
        <v>605</v>
      </c>
      <c r="BY5" s="173" t="s">
        <v>606</v>
      </c>
      <c r="BZ5" s="134" t="s">
        <v>254</v>
      </c>
      <c r="CA5" s="134" t="s">
        <v>255</v>
      </c>
      <c r="CB5" s="134" t="s">
        <v>256</v>
      </c>
      <c r="CC5" s="134" t="s">
        <v>257</v>
      </c>
      <c r="CD5" s="134" t="s">
        <v>615</v>
      </c>
      <c r="CE5" s="134" t="s">
        <v>259</v>
      </c>
      <c r="CF5" s="142" t="s">
        <v>260</v>
      </c>
      <c r="CG5" s="142" t="s">
        <v>261</v>
      </c>
      <c r="CH5" s="142" t="s">
        <v>262</v>
      </c>
      <c r="CI5" s="150" t="s">
        <v>263</v>
      </c>
      <c r="CJ5" s="150" t="s">
        <v>264</v>
      </c>
      <c r="CK5" s="150" t="s">
        <v>265</v>
      </c>
      <c r="CL5" s="150" t="s">
        <v>266</v>
      </c>
      <c r="CM5" s="150" t="s">
        <v>267</v>
      </c>
      <c r="CN5" s="157" t="s">
        <v>268</v>
      </c>
      <c r="CO5" s="157" t="s">
        <v>269</v>
      </c>
      <c r="CP5" s="157" t="s">
        <v>270</v>
      </c>
      <c r="CQ5" s="157" t="s">
        <v>271</v>
      </c>
      <c r="CR5" s="157" t="s">
        <v>272</v>
      </c>
      <c r="CS5" s="165" t="s">
        <v>273</v>
      </c>
      <c r="CT5" s="165" t="s">
        <v>274</v>
      </c>
      <c r="CU5" s="165" t="s">
        <v>275</v>
      </c>
      <c r="CV5" s="173" t="s">
        <v>276</v>
      </c>
      <c r="CW5" s="173" t="s">
        <v>277</v>
      </c>
      <c r="CX5" s="173" t="s">
        <v>278</v>
      </c>
      <c r="CY5" s="173" t="s">
        <v>279</v>
      </c>
      <c r="CZ5" s="134" t="s">
        <v>614</v>
      </c>
      <c r="DA5" s="142" t="s">
        <v>442</v>
      </c>
      <c r="DB5" s="150" t="s">
        <v>616</v>
      </c>
      <c r="DC5" s="157" t="s">
        <v>617</v>
      </c>
      <c r="DD5" s="165" t="s">
        <v>618</v>
      </c>
      <c r="DE5" s="173" t="s">
        <v>619</v>
      </c>
      <c r="DF5" s="227" t="s">
        <v>226</v>
      </c>
      <c r="DG5" s="227" t="s">
        <v>2513</v>
      </c>
    </row>
    <row r="6" spans="1:111">
      <c r="A6" s="2">
        <v>1</v>
      </c>
      <c r="B6" s="58">
        <f>INDEX(順位表[Comprehensive],MATCH($C6,順位表['#],0))</f>
        <v>1</v>
      </c>
      <c r="C6" s="3">
        <v>3</v>
      </c>
      <c r="D6" s="1" t="str">
        <f>INDEX(都市マスタ[City Name],MATCH($C6,都市マスタ['#],0))</f>
        <v>London</v>
      </c>
      <c r="E6" s="4">
        <f>IFERROR(
(INDEX(スコア表[],MATCH($C6,スコア表['#],0),MATCH(E$5,スコア表[#Headers],0))
-
INDEX(スコア表2[],MATCH("average",スコア表2[maxmin],0),MATCH(E$5,スコア表2[#Headers],0)))
/
INDEX(スコア表2[],MATCH("stdev.p",スコア表2[maxmin],0),MATCH(E$5,スコア表2[#Headers],0))
*10+50,"-")</f>
        <v>56.170585701966601</v>
      </c>
      <c r="F6" s="4">
        <f>IFERROR(
(INDEX(スコア表[],MATCH($C6,スコア表['#],0),MATCH(F$5,スコア表[#Headers],0))
-
INDEX(スコア表2[],MATCH("average",スコア表2[maxmin],0),MATCH(F$5,スコア表2[#Headers],0)))
/
INDEX(スコア表2[],MATCH("stdev.p",スコア表2[maxmin],0),MATCH(F$5,スコア表2[#Headers],0))
*10+50,"-")</f>
        <v>49.602524667354892</v>
      </c>
      <c r="G6" s="4">
        <f>IFERROR(
(INDEX(スコア表[],MATCH($C6,スコア表['#],0),MATCH(G$5,スコア表[#Headers],0))
-
INDEX(スコア表2[],MATCH("average",スコア表2[maxmin],0),MATCH(G$5,スコア表2[#Headers],0)))
/
INDEX(スコア表2[],MATCH("stdev.p",スコア表2[maxmin],0),MATCH(G$5,スコア表2[#Headers],0))
*10+50,"-")</f>
        <v>48.331834628999054</v>
      </c>
      <c r="H6" s="4">
        <f>IFERROR(
(INDEX(スコア表[],MATCH($C6,スコア表['#],0),MATCH(H$5,スコア表[#Headers],0))
-
INDEX(スコア表2[],MATCH("average",スコア表2[maxmin],0),MATCH(H$5,スコア表2[#Headers],0)))
/
INDEX(スコア表2[],MATCH("stdev.p",スコア表2[maxmin],0),MATCH(H$5,スコア表2[#Headers],0))
*10+50,"-")</f>
        <v>74.026071207114754</v>
      </c>
      <c r="I6" s="4">
        <f>IFERROR(
(INDEX(スコア表[],MATCH($C6,スコア表['#],0),MATCH(I$5,スコア表[#Headers],0))
-
INDEX(スコア表2[],MATCH("average",スコア表2[maxmin],0),MATCH(I$5,スコア表2[#Headers],0)))
/
INDEX(スコア表2[],MATCH("stdev.p",スコア表2[maxmin],0),MATCH(I$5,スコア表2[#Headers],0))
*10+50,"-")</f>
        <v>52.085831952993473</v>
      </c>
      <c r="J6" s="4">
        <f>IFERROR(
(INDEX(スコア表[],MATCH($C6,スコア表['#],0),MATCH(J$5,スコア表[#Headers],0))
-
INDEX(スコア表2[],MATCH("average",スコア表2[maxmin],0),MATCH(J$5,スコア表2[#Headers],0)))
/
INDEX(スコア表2[],MATCH("stdev.p",スコア表2[maxmin],0),MATCH(J$5,スコア表2[#Headers],0))
*10+50,"-")</f>
        <v>50.402033383231519</v>
      </c>
      <c r="K6" s="4">
        <f>IFERROR(
(INDEX(スコア表[],MATCH($C6,スコア表['#],0),MATCH(K$5,スコア表[#Headers],0))
-
INDEX(スコア表2[],MATCH("average",スコア表2[maxmin],0),MATCH(K$5,スコア表2[#Headers],0)))
/
INDEX(スコア表2[],MATCH("stdev.p",スコア表2[maxmin],0),MATCH(K$5,スコア表2[#Headers],0))
*10+50,"-")</f>
        <v>52.252795163375943</v>
      </c>
      <c r="L6" s="4">
        <f>IFERROR(
(INDEX(スコア表[],MATCH($C6,スコア表['#],0),MATCH(L$5,スコア表[#Headers],0))
-
INDEX(スコア表2[],MATCH("average",スコア表2[maxmin],0),MATCH(L$5,スコア表2[#Headers],0)))
/
INDEX(スコア表2[],MATCH("stdev.p",スコア表2[maxmin],0),MATCH(L$5,スコア表2[#Headers],0))
*10+50,"-")</f>
        <v>52.166194846807045</v>
      </c>
      <c r="M6" s="4">
        <f>IFERROR(
(INDEX(スコア表[],MATCH($C6,スコア表['#],0),MATCH(M$5,スコア表[#Headers],0))
-
INDEX(スコア表2[],MATCH("average",スコア表2[maxmin],0),MATCH(M$5,スコア表2[#Headers],0)))
/
INDEX(スコア表2[],MATCH("stdev.p",スコア表2[maxmin],0),MATCH(M$5,スコア表2[#Headers],0))
*10+50,"-")</f>
        <v>58.173826968094275</v>
      </c>
      <c r="N6" s="4">
        <f>IFERROR(
(INDEX(スコア表[],MATCH($C6,スコア表['#],0),MATCH(N$5,スコア表[#Headers],0))
-
INDEX(スコア表2[],MATCH("average",スコア表2[maxmin],0),MATCH(N$5,スコア表2[#Headers],0)))
/
INDEX(スコア表2[],MATCH("stdev.p",スコア表2[maxmin],0),MATCH(N$5,スコア表2[#Headers],0))
*10+50,"-")</f>
        <v>61.6508717805755</v>
      </c>
      <c r="O6" s="4">
        <f>IFERROR(
(INDEX(スコア表[],MATCH($C6,スコア表['#],0),MATCH(O$5,スコア表[#Headers],0))
-
INDEX(スコア表2[],MATCH("average",スコア表2[maxmin],0),MATCH(O$5,スコア表2[#Headers],0)))
/
INDEX(スコア表2[],MATCH("stdev.p",スコア表2[maxmin],0),MATCH(O$5,スコア表2[#Headers],0))
*10+50,"-")</f>
        <v>65.52790691913863</v>
      </c>
      <c r="P6" s="4">
        <f>IFERROR(
(INDEX(スコア表[],MATCH($C6,スコア表['#],0),MATCH(P$5,スコア表[#Headers],0))
-
INDEX(スコア表2[],MATCH("average",スコア表2[maxmin],0),MATCH(P$5,スコア表2[#Headers],0)))
/
INDEX(スコア表2[],MATCH("stdev.p",スコア表2[maxmin],0),MATCH(P$5,スコア表2[#Headers],0))
*10+50,"-")</f>
        <v>55.769272180816458</v>
      </c>
      <c r="Q6" s="4">
        <f>IFERROR(
(INDEX(スコア表[],MATCH($C6,スコア表['#],0),MATCH(Q$5,スコア表[#Headers],0))
-
INDEX(スコア表2[],MATCH("average",スコア表2[maxmin],0),MATCH(Q$5,スコア表2[#Headers],0)))
/
INDEX(スコア表2[],MATCH("stdev.p",スコア表2[maxmin],0),MATCH(Q$5,スコア表2[#Headers],0))
*10+50,"-")</f>
        <v>59.401046343319244</v>
      </c>
      <c r="R6" s="4">
        <f>IFERROR(
(INDEX(スコア表[],MATCH($C6,スコア表['#],0),MATCH(R$5,スコア表[#Headers],0))
-
INDEX(スコア表2[],MATCH("average",スコア表2[maxmin],0),MATCH(R$5,スコア表2[#Headers],0)))
/
INDEX(スコア表2[],MATCH("stdev.p",スコア表2[maxmin],0),MATCH(R$5,スコア表2[#Headers],0))
*10+50,"-")</f>
        <v>73.075888707051021</v>
      </c>
      <c r="S6" s="4">
        <f>IFERROR(
(INDEX(スコア表[],MATCH($C6,スコア表['#],0),MATCH(S$5,スコア表[#Headers],0))
-
INDEX(スコア表2[],MATCH("average",スコア表2[maxmin],0),MATCH(S$5,スコア表2[#Headers],0)))
/
INDEX(スコア表2[],MATCH("stdev.p",スコア表2[maxmin],0),MATCH(S$5,スコア表2[#Headers],0))
*10+50,"-")</f>
        <v>50.030127927689456</v>
      </c>
      <c r="T6" s="4">
        <f>IFERROR(
(INDEX(スコア表[],MATCH($C6,スコア表['#],0),MATCH(T$5,スコア表[#Headers],0))
-
INDEX(スコア表2[],MATCH("average",スコア表2[maxmin],0),MATCH(T$5,スコア表2[#Headers],0)))
/
INDEX(スコア表2[],MATCH("stdev.p",スコア表2[maxmin],0),MATCH(T$5,スコア表2[#Headers],0))
*10+50,"-")</f>
        <v>57.489771485175623</v>
      </c>
      <c r="U6" s="4">
        <f>IFERROR(
(INDEX(スコア表[],MATCH($C6,スコア表['#],0),MATCH(U$5,スコア表[#Headers],0))
-
INDEX(スコア表2[],MATCH("average",スコア表2[maxmin],0),MATCH(U$5,スコア表2[#Headers],0)))
/
INDEX(スコア表2[],MATCH("stdev.p",スコア表2[maxmin],0),MATCH(U$5,スコア表2[#Headers],0))
*10+50,"-")</f>
        <v>62.737301979930976</v>
      </c>
      <c r="V6" s="4">
        <f>IFERROR(
(INDEX(スコア表[],MATCH($C6,スコア表['#],0),MATCH(V$5,スコア表[#Headers],0))
-
INDEX(スコア表2[],MATCH("average",スコア表2[maxmin],0),MATCH(V$5,スコア表2[#Headers],0)))
/
INDEX(スコア表2[],MATCH("stdev.p",スコア表2[maxmin],0),MATCH(V$5,スコア表2[#Headers],0))
*10+50,"-")</f>
        <v>78.024048666842702</v>
      </c>
      <c r="W6" s="4">
        <f>IFERROR(
(INDEX(スコア表[],MATCH($C6,スコア表['#],0),MATCH(W$5,スコア表[#Headers],0))
-
INDEX(スコア表2[],MATCH("average",スコア表2[maxmin],0),MATCH(W$5,スコア表2[#Headers],0)))
/
INDEX(スコア表2[],MATCH("stdev.p",スコア表2[maxmin],0),MATCH(W$5,スコア表2[#Headers],0))
*10+50,"-")</f>
        <v>52.98475709581917</v>
      </c>
      <c r="X6" s="4">
        <f>IFERROR(
(INDEX(スコア表[],MATCH($C6,スコア表['#],0),MATCH(X$5,スコア表[#Headers],0))
-
INDEX(スコア表2[],MATCH("average",スコア表2[maxmin],0),MATCH(X$5,スコア表2[#Headers],0)))
/
INDEX(スコア表2[],MATCH("stdev.p",スコア表2[maxmin],0),MATCH(X$5,スコア表2[#Headers],0))
*10+50,"-")</f>
        <v>100.86718119974063</v>
      </c>
      <c r="Y6" s="4">
        <f>IFERROR(
(INDEX(スコア表[],MATCH($C6,スコア表['#],0),MATCH(Y$5,スコア表[#Headers],0))
-
INDEX(スコア表2[],MATCH("average",スコア表2[maxmin],0),MATCH(Y$5,スコア表2[#Headers],0)))
/
INDEX(スコア表2[],MATCH("stdev.p",スコア表2[maxmin],0),MATCH(Y$5,スコア表2[#Headers],0))
*10+50,"-")</f>
        <v>54.159139967860057</v>
      </c>
      <c r="Z6" s="4">
        <f>IFERROR(
(INDEX(スコア表[],MATCH($C6,スコア表['#],0),MATCH(Z$5,スコア表[#Headers],0))
-
INDEX(スコア表2[],MATCH("average",スコア表2[maxmin],0),MATCH(Z$5,スコア表2[#Headers],0)))
/
INDEX(スコア表2[],MATCH("stdev.p",スコア表2[maxmin],0),MATCH(Z$5,スコア表2[#Headers],0))
*10+50,"-")</f>
        <v>45.766436266947863</v>
      </c>
      <c r="AA6" s="4">
        <f>IFERROR(
(INDEX(スコア表[],MATCH($C6,スコア表['#],0),MATCH(AA$5,スコア表[#Headers],0))
-
INDEX(スコア表2[],MATCH("average",スコア表2[maxmin],0),MATCH(AA$5,スコア表2[#Headers],0)))
/
INDEX(スコア表2[],MATCH("stdev.p",スコア表2[maxmin],0),MATCH(AA$5,スコア表2[#Headers],0))
*10+50,"-")</f>
        <v>56.927161081206194</v>
      </c>
      <c r="AB6" s="4">
        <f>IFERROR(
(INDEX(スコア表[],MATCH($C6,スコア表['#],0),MATCH(AB$5,スコア表[#Headers],0))
-
INDEX(スコア表2[],MATCH("average",スコア表2[maxmin],0),MATCH(AB$5,スコア表2[#Headers],0)))
/
INDEX(スコア表2[],MATCH("stdev.p",スコア表2[maxmin],0),MATCH(AB$5,スコア表2[#Headers],0))
*10+50,"-")</f>
        <v>96.228912469004712</v>
      </c>
      <c r="AC6" s="4">
        <f>IFERROR(
(INDEX(スコア表[],MATCH($C6,スコア表['#],0),MATCH(AC$5,スコア表[#Headers],0))
-
INDEX(スコア表2[],MATCH("average",スコア表2[maxmin],0),MATCH(AC$5,スコア表2[#Headers],0)))
/
INDEX(スコア表2[],MATCH("stdev.p",スコア表2[maxmin],0),MATCH(AC$5,スコア表2[#Headers],0))
*10+50,"-")</f>
        <v>57.013861609035132</v>
      </c>
      <c r="AD6" s="4">
        <f>IFERROR(
(INDEX(スコア表[],MATCH($C6,スコア表['#],0),MATCH(AD$5,スコア表[#Headers],0))
-
INDEX(スコア表2[],MATCH("average",スコア表2[maxmin],0),MATCH(AD$5,スコア表2[#Headers],0)))
/
INDEX(スコア表2[],MATCH("stdev.p",スコア表2[maxmin],0),MATCH(AD$5,スコア表2[#Headers],0))
*10+50,"-")</f>
        <v>54.015032765966147</v>
      </c>
      <c r="AE6" s="4">
        <f>IFERROR(
(INDEX(スコア表[],MATCH($C6,スコア表['#],0),MATCH(AE$5,スコア表[#Headers],0))
-
INDEX(スコア表2[],MATCH("average",スコア表2[maxmin],0),MATCH(AE$5,スコア表2[#Headers],0)))
/
INDEX(スコア表2[],MATCH("stdev.p",スコア表2[maxmin],0),MATCH(AE$5,スコア表2[#Headers],0))
*10+50,"-")</f>
        <v>90.070286949470074</v>
      </c>
      <c r="AF6" s="4">
        <f>IFERROR(
(INDEX(スコア表[],MATCH($C6,スコア表['#],0),MATCH(AF$5,スコア表[#Headers],0))
-
INDEX(スコア表2[],MATCH("average",スコア表2[maxmin],0),MATCH(AF$5,スコア表2[#Headers],0)))
/
INDEX(スコア表2[],MATCH("stdev.p",スコア表2[maxmin],0),MATCH(AF$5,スコア表2[#Headers],0))
*10+50,"-")</f>
        <v>74.347567832884323</v>
      </c>
      <c r="AG6" s="4">
        <f>IFERROR(
(INDEX(スコア表[],MATCH($C6,スコア表['#],0),MATCH(AG$5,スコア表[#Headers],0))
-
INDEX(スコア表2[],MATCH("average",スコア表2[maxmin],0),MATCH(AG$5,スコア表2[#Headers],0)))
/
INDEX(スコア表2[],MATCH("stdev.p",スコア表2[maxmin],0),MATCH(AG$5,スコア表2[#Headers],0))
*10+50,"-")</f>
        <v>76.197672041240935</v>
      </c>
      <c r="AH6" s="4">
        <f>IFERROR(
(INDEX(スコア表[],MATCH($C6,スコア表['#],0),MATCH(AH$5,スコア表[#Headers],0))
-
INDEX(スコア表2[],MATCH("average",スコア表2[maxmin],0),MATCH(AH$5,スコア表2[#Headers],0)))
/
INDEX(スコア表2[],MATCH("stdev.p",スコア表2[maxmin],0),MATCH(AH$5,スコア表2[#Headers],0))
*10+50,"-")</f>
        <v>52.545155173286489</v>
      </c>
      <c r="AI6" s="4">
        <f>IFERROR(
(INDEX(スコア表[],MATCH($C6,スコア表['#],0),MATCH(AI$5,スコア表[#Headers],0))
-
INDEX(スコア表2[],MATCH("average",スコア表2[maxmin],0),MATCH(AI$5,スコア表2[#Headers],0)))
/
INDEX(スコア表2[],MATCH("stdev.p",スコア表2[maxmin],0),MATCH(AI$5,スコア表2[#Headers],0))
*10+50,"-")</f>
        <v>76.134161501526876</v>
      </c>
      <c r="AJ6" s="4">
        <f>IFERROR(
(INDEX(スコア表[],MATCH($C6,スコア表['#],0),MATCH(AJ$5,スコア表[#Headers],0))
-
INDEX(スコア表2[],MATCH("average",スコア表2[maxmin],0),MATCH(AJ$5,スコア表2[#Headers],0)))
/
INDEX(スコア表2[],MATCH("stdev.p",スコア表2[maxmin],0),MATCH(AJ$5,スコア表2[#Headers],0))
*10+50,"-")</f>
        <v>73.789861067450815</v>
      </c>
      <c r="AK6" s="4">
        <f>IFERROR(
(INDEX(スコア表[],MATCH($C6,スコア表['#],0),MATCH(AK$5,スコア表[#Headers],0))
-
INDEX(スコア表2[],MATCH("average",スコア表2[maxmin],0),MATCH(AK$5,スコア表2[#Headers],0)))
/
INDEX(スコア表2[],MATCH("stdev.p",スコア表2[maxmin],0),MATCH(AK$5,スコア表2[#Headers],0))
*10+50,"-")</f>
        <v>81.918549576276831</v>
      </c>
      <c r="AL6" s="4">
        <f>IFERROR(
(INDEX(スコア表[],MATCH($C6,スコア表['#],0),MATCH(AL$5,スコア表[#Headers],0))
-
INDEX(スコア表2[],MATCH("average",スコア表2[maxmin],0),MATCH(AL$5,スコア表2[#Headers],0)))
/
INDEX(スコア表2[],MATCH("stdev.p",スコア表2[maxmin],0),MATCH(AL$5,スコア表2[#Headers],0))
*10+50,"-")</f>
        <v>79.180219864857634</v>
      </c>
      <c r="AM6" s="4">
        <f>IFERROR(
(INDEX(スコア表[],MATCH($C6,スコア表['#],0),MATCH(AM$5,スコア表[#Headers],0))
-
INDEX(スコア表2[],MATCH("average",スコア表2[maxmin],0),MATCH(AM$5,スコア表2[#Headers],0)))
/
INDEX(スコア表2[],MATCH("stdev.p",スコア表2[maxmin],0),MATCH(AM$5,スコア表2[#Headers],0))
*10+50,"-")</f>
        <v>70.1817244448211</v>
      </c>
      <c r="AN6" s="4">
        <f>IFERROR(
(INDEX(スコア表[],MATCH($C6,スコア表['#],0),MATCH(AN$5,スコア表[#Headers],0))
-
INDEX(スコア表2[],MATCH("average",スコア表2[maxmin],0),MATCH(AN$5,スコア表2[#Headers],0)))
/
INDEX(スコア表2[],MATCH("stdev.p",スコア表2[maxmin],0),MATCH(AN$5,スコア表2[#Headers],0))
*10+50,"-")</f>
        <v>68.138758322411292</v>
      </c>
      <c r="AO6" s="4">
        <f>IFERROR(
(INDEX(スコア表[],MATCH($C6,スコア表['#],0),MATCH(AO$5,スコア表[#Headers],0))
-
INDEX(スコア表2[],MATCH("average",スコア表2[maxmin],0),MATCH(AO$5,スコア表2[#Headers],0)))
/
INDEX(スコア表2[],MATCH("stdev.p",スコア表2[maxmin],0),MATCH(AO$5,スコア表2[#Headers],0))
*10+50,"-")</f>
        <v>64.169892158325169</v>
      </c>
      <c r="AP6" s="4">
        <f>IFERROR(
(INDEX(スコア表[],MATCH($C6,スコア表['#],0),MATCH(AP$5,スコア表[#Headers],0))
-
INDEX(スコア表2[],MATCH("average",スコア表2[maxmin],0),MATCH(AP$5,スコア表2[#Headers],0)))
/
INDEX(スコア表2[],MATCH("stdev.p",スコア表2[maxmin],0),MATCH(AP$5,スコア表2[#Headers],0))
*10+50,"-")</f>
        <v>50.321191682444713</v>
      </c>
      <c r="AQ6" s="4">
        <f>IFERROR(
(INDEX(スコア表[],MATCH($C6,スコア表['#],0),MATCH(AQ$5,スコア表[#Headers],0))
-
INDEX(スコア表2[],MATCH("average",スコア表2[maxmin],0),MATCH(AQ$5,スコア表2[#Headers],0)))
/
INDEX(スコア表2[],MATCH("stdev.p",スコア表2[maxmin],0),MATCH(AQ$5,スコア表2[#Headers],0))
*10+50,"-")</f>
        <v>72.294588431069855</v>
      </c>
      <c r="AR6" s="4">
        <f>IFERROR(
(INDEX(スコア表[],MATCH($C6,スコア表['#],0),MATCH(AR$5,スコア表[#Headers],0))
-
INDEX(スコア表2[],MATCH("average",スコア表2[maxmin],0),MATCH(AR$5,スコア表2[#Headers],0)))
/
INDEX(スコア表2[],MATCH("stdev.p",スコア表2[maxmin],0),MATCH(AR$5,スコア表2[#Headers],0))
*10+50,"-")</f>
        <v>84.128433293283734</v>
      </c>
      <c r="AS6" s="4">
        <f>IFERROR(
(INDEX(スコア表[],MATCH($C6,スコア表['#],0),MATCH(AS$5,スコア表[#Headers],0))
-
INDEX(スコア表2[],MATCH("average",スコア表2[maxmin],0),MATCH(AS$5,スコア表2[#Headers],0)))
/
INDEX(スコア表2[],MATCH("stdev.p",スコア表2[maxmin],0),MATCH(AS$5,スコア表2[#Headers],0))
*10+50,"-")</f>
        <v>53.324232563983209</v>
      </c>
      <c r="AT6" s="4">
        <f>IFERROR(
(INDEX(スコア表[],MATCH($C6,スコア表['#],0),MATCH(AT$5,スコア表[#Headers],0))
-
INDEX(スコア表2[],MATCH("average",スコア表2[maxmin],0),MATCH(AT$5,スコア表2[#Headers],0)))
/
INDEX(スコア表2[],MATCH("stdev.p",スコア表2[maxmin],0),MATCH(AT$5,スコア表2[#Headers],0))
*10+50,"-")</f>
        <v>52.126278419405836</v>
      </c>
      <c r="AU6" s="4">
        <f>IFERROR(
(INDEX(スコア表[],MATCH($C6,スコア表['#],0),MATCH(AU$5,スコア表[#Headers],0))
-
INDEX(スコア表2[],MATCH("average",スコア表2[maxmin],0),MATCH(AU$5,スコア表2[#Headers],0)))
/
INDEX(スコア表2[],MATCH("stdev.p",スコア表2[maxmin],0),MATCH(AU$5,スコア表2[#Headers],0))
*10+50,"-")</f>
        <v>52.883124546058795</v>
      </c>
      <c r="AV6" s="4">
        <f>IFERROR(
(INDEX(スコア表[],MATCH($C6,スコア表['#],0),MATCH(AV$5,スコア表[#Headers],0))
-
INDEX(スコア表2[],MATCH("average",スコア表2[maxmin],0),MATCH(AV$5,スコア表2[#Headers],0)))
/
INDEX(スコア表2[],MATCH("stdev.p",スコア表2[maxmin],0),MATCH(AV$5,スコア表2[#Headers],0))
*10+50,"-")</f>
        <v>36.375814552440872</v>
      </c>
      <c r="AW6" s="4">
        <f>IFERROR(
(INDEX(スコア表[],MATCH($C6,スコア表['#],0),MATCH(AW$5,スコア表[#Headers],0))
-
INDEX(スコア表2[],MATCH("average",スコア表2[maxmin],0),MATCH(AW$5,スコア表2[#Headers],0)))
/
INDEX(スコア表2[],MATCH("stdev.p",スコア表2[maxmin],0),MATCH(AW$5,スコア表2[#Headers],0))
*10+50,"-")</f>
        <v>46.548556893990906</v>
      </c>
      <c r="AX6" s="4">
        <f>IFERROR(
(INDEX(スコア表[],MATCH($C6,スコア表['#],0),MATCH(AX$5,スコア表[#Headers],0))
-
INDEX(スコア表2[],MATCH("average",スコア表2[maxmin],0),MATCH(AX$5,スコア表2[#Headers],0)))
/
INDEX(スコア表2[],MATCH("stdev.p",スコア表2[maxmin],0),MATCH(AX$5,スコア表2[#Headers],0))
*10+50,"-")</f>
        <v>53.723761308830902</v>
      </c>
      <c r="AY6" s="4">
        <f>IFERROR(
(INDEX(スコア表[],MATCH($C6,スコア表['#],0),MATCH(AY$5,スコア表[#Headers],0))
-
INDEX(スコア表2[],MATCH("average",スコア表2[maxmin],0),MATCH(AY$5,スコア表2[#Headers],0)))
/
INDEX(スコア表2[],MATCH("stdev.p",スコア表2[maxmin],0),MATCH(AY$5,スコア表2[#Headers],0))
*10+50,"-")</f>
        <v>52.00362183137522</v>
      </c>
      <c r="AZ6" s="4">
        <f>IFERROR(
(INDEX(スコア表[],MATCH($C6,スコア表['#],0),MATCH(AZ$5,スコア表[#Headers],0))
-
INDEX(スコア表2[],MATCH("average",スコア表2[maxmin],0),MATCH(AZ$5,スコア表2[#Headers],0)))
/
INDEX(スコア表2[],MATCH("stdev.p",スコア表2[maxmin],0),MATCH(AZ$5,スコア表2[#Headers],0))
*10+50,"-")</f>
        <v>53.745278538418063</v>
      </c>
      <c r="BA6" s="4">
        <f>IFERROR(
(INDEX(スコア表[],MATCH($C6,スコア表['#],0),MATCH(BA$5,スコア表[#Headers],0))
-
INDEX(スコア表2[],MATCH("average",スコア表2[maxmin],0),MATCH(BA$5,スコア表2[#Headers],0)))
/
INDEX(スコア表2[],MATCH("stdev.p",スコア表2[maxmin],0),MATCH(BA$5,スコア表2[#Headers],0))
*10+50,"-")</f>
        <v>57.925914099554205</v>
      </c>
      <c r="BB6" s="4">
        <f>IFERROR(
(INDEX(スコア表[],MATCH($C6,スコア表['#],0),MATCH(BB$5,スコア表[#Headers],0))
-
INDEX(スコア表2[],MATCH("average",スコア表2[maxmin],0),MATCH(BB$5,スコア表2[#Headers],0)))
/
INDEX(スコア表2[],MATCH("stdev.p",スコア表2[maxmin],0),MATCH(BB$5,スコア表2[#Headers],0))
*10+50,"-")</f>
        <v>56.900735609705805</v>
      </c>
      <c r="BC6" s="4">
        <f>IFERROR(
(INDEX(スコア表[],MATCH($C6,スコア表['#],0),MATCH(BC$5,スコア表[#Headers],0))
-
INDEX(スコア表2[],MATCH("average",スコア表2[maxmin],0),MATCH(BC$5,スコア表2[#Headers],0)))
/
INDEX(スコア表2[],MATCH("stdev.p",スコア表2[maxmin],0),MATCH(BC$5,スコア表2[#Headers],0))
*10+50,"-")</f>
        <v>49.720956711795779</v>
      </c>
      <c r="BD6" s="4">
        <f>IFERROR(
(INDEX(スコア表[],MATCH($C6,スコア表['#],0),MATCH(BD$5,スコア表[#Headers],0))
-
INDEX(スコア表2[],MATCH("average",スコア表2[maxmin],0),MATCH(BD$5,スコア表2[#Headers],0)))
/
INDEX(スコア表2[],MATCH("stdev.p",スコア表2[maxmin],0),MATCH(BD$5,スコア表2[#Headers],0))
*10+50,"-")</f>
        <v>59.241530168931348</v>
      </c>
      <c r="BE6" s="4">
        <f>IFERROR(
(INDEX(スコア表[],MATCH($C6,スコア表['#],0),MATCH(BE$5,スコア表[#Headers],0))
-
INDEX(スコア表2[],MATCH("average",スコア表2[maxmin],0),MATCH(BE$5,スコア表2[#Headers],0)))
/
INDEX(スコア表2[],MATCH("stdev.p",スコア表2[maxmin],0),MATCH(BE$5,スコア表2[#Headers],0))
*10+50,"-")</f>
        <v>61.92029197142692</v>
      </c>
      <c r="BF6" s="4">
        <f>IFERROR(
(INDEX(スコア表[],MATCH($C6,スコア表['#],0),MATCH(BF$5,スコア表[#Headers],0))
-
INDEX(スコア表2[],MATCH("average",スコア表2[maxmin],0),MATCH(BF$5,スコア表2[#Headers],0)))
/
INDEX(スコア表2[],MATCH("stdev.p",スコア表2[maxmin],0),MATCH(BF$5,スコア表2[#Headers],0))
*10+50,"-")</f>
        <v>63.754156263914034</v>
      </c>
      <c r="BG6" s="4">
        <f>IFERROR(
(INDEX(スコア表[],MATCH($C6,スコア表['#],0),MATCH(BG$5,スコア表[#Headers],0))
-
INDEX(スコア表2[],MATCH("average",スコア表2[maxmin],0),MATCH(BG$5,スコア表2[#Headers],0)))
/
INDEX(スコア表2[],MATCH("stdev.p",スコア表2[maxmin],0),MATCH(BG$5,スコア表2[#Headers],0))
*10+50,"-")</f>
        <v>61.986152058772035</v>
      </c>
      <c r="BH6" s="4">
        <f>IFERROR(
(INDEX(スコア表[],MATCH($C6,スコア表['#],0),MATCH(BH$5,スコア表[#Headers],0))
-
INDEX(スコア表2[],MATCH("average",スコア表2[maxmin],0),MATCH(BH$5,スコア表2[#Headers],0)))
/
INDEX(スコア表2[],MATCH("stdev.p",スコア表2[maxmin],0),MATCH(BH$5,スコア表2[#Headers],0))
*10+50,"-")</f>
        <v>48.975513561948887</v>
      </c>
      <c r="BI6" s="4">
        <f>IFERROR(
(INDEX(スコア表[],MATCH($C6,スコア表['#],0),MATCH(BI$5,スコア表[#Headers],0))
-
INDEX(スコア表2[],MATCH("average",スコア表2[maxmin],0),MATCH(BI$5,スコア表2[#Headers],0)))
/
INDEX(スコア表2[],MATCH("stdev.p",スコア表2[maxmin],0),MATCH(BI$5,スコア表2[#Headers],0))
*10+50,"-")</f>
        <v>50.352310816769872</v>
      </c>
      <c r="BJ6" s="4">
        <f>IFERROR(
(INDEX(スコア表[],MATCH($C6,スコア表['#],0),MATCH(BJ$5,スコア表[#Headers],0))
-
INDEX(スコア表2[],MATCH("average",スコア表2[maxmin],0),MATCH(BJ$5,スコア表2[#Headers],0)))
/
INDEX(スコア表2[],MATCH("stdev.p",スコア表2[maxmin],0),MATCH(BJ$5,スコア表2[#Headers],0))
*10+50,"-")</f>
        <v>60.033231652215122</v>
      </c>
      <c r="BK6" s="4">
        <f>IFERROR(
(INDEX(スコア表[],MATCH($C6,スコア表['#],0),MATCH(BK$5,スコア表[#Headers],0))
-
INDEX(スコア表2[],MATCH("average",スコア表2[maxmin],0),MATCH(BK$5,スコア表2[#Headers],0)))
/
INDEX(スコア表2[],MATCH("stdev.p",スコア表2[maxmin],0),MATCH(BK$5,スコア表2[#Headers],0))
*10+50,"-")</f>
        <v>55.404843283443583</v>
      </c>
      <c r="BL6" s="4">
        <f>IFERROR(
(INDEX(スコア表[],MATCH($C6,スコア表['#],0),MATCH(BL$5,スコア表[#Headers],0))
-
INDEX(スコア表2[],MATCH("average",スコア表2[maxmin],0),MATCH(BL$5,スコア表2[#Headers],0)))
/
INDEX(スコア表2[],MATCH("stdev.p",スコア表2[maxmin],0),MATCH(BL$5,スコア表2[#Headers],0))
*10+50,"-")</f>
        <v>52.528100773558648</v>
      </c>
      <c r="BM6" s="4">
        <f>IFERROR(
(INDEX(スコア表[],MATCH($C6,スコア表['#],0),MATCH(BM$5,スコア表[#Headers],0))
-
INDEX(スコア表2[],MATCH("average",スコア表2[maxmin],0),MATCH(BM$5,スコア表2[#Headers],0)))
/
INDEX(スコア表2[],MATCH("stdev.p",スコア表2[maxmin],0),MATCH(BM$5,スコア表2[#Headers],0))
*10+50,"-")</f>
        <v>51.481589643976044</v>
      </c>
      <c r="BN6" s="4">
        <f>IFERROR(
(INDEX(スコア表[],MATCH($C6,スコア表['#],0),MATCH(BN$5,スコア表[#Headers],0))
-
INDEX(スコア表2[],MATCH("average",スコア表2[maxmin],0),MATCH(BN$5,スコア表2[#Headers],0)))
/
INDEX(スコア表2[],MATCH("stdev.p",スコア表2[maxmin],0),MATCH(BN$5,スコア表2[#Headers],0))
*10+50,"-")</f>
        <v>59.562482400618876</v>
      </c>
      <c r="BO6" s="4">
        <f>IFERROR(
(INDEX(スコア表[],MATCH($C6,スコア表['#],0),MATCH(BO$5,スコア表[#Headers],0))
-
INDEX(スコア表2[],MATCH("average",スコア表2[maxmin],0),MATCH(BO$5,スコア表2[#Headers],0)))
/
INDEX(スコア表2[],MATCH("stdev.p",スコア表2[maxmin],0),MATCH(BO$5,スコア表2[#Headers],0))
*10+50,"-")</f>
        <v>48.022123732740155</v>
      </c>
      <c r="BP6" s="4">
        <f>IFERROR(
(INDEX(スコア表[],MATCH($C6,スコア表['#],0),MATCH(BP$5,スコア表[#Headers],0))
-
INDEX(スコア表2[],MATCH("average",スコア表2[maxmin],0),MATCH(BP$5,スコア表2[#Headers],0)))
/
INDEX(スコア表2[],MATCH("stdev.p",スコア表2[maxmin],0),MATCH(BP$5,スコア表2[#Headers],0))
*10+50,"-")</f>
        <v>78.716103640215323</v>
      </c>
      <c r="BQ6" s="4">
        <f>IFERROR(
(INDEX(スコア表[],MATCH($C6,スコア表['#],0),MATCH(BQ$5,スコア表[#Headers],0))
-
INDEX(スコア表2[],MATCH("average",スコア表2[maxmin],0),MATCH(BQ$5,スコア表2[#Headers],0)))
/
INDEX(スコア表2[],MATCH("stdev.p",スコア表2[maxmin],0),MATCH(BQ$5,スコア表2[#Headers],0))
*10+50,"-")</f>
        <v>54.047758415426088</v>
      </c>
      <c r="BR6" s="4">
        <f>IFERROR(
(INDEX(スコア表[],MATCH($C6,スコア表['#],0),MATCH(BR$5,スコア表[#Headers],0))
-
INDEX(スコア表2[],MATCH("average",スコア表2[maxmin],0),MATCH(BR$5,スコア表2[#Headers],0)))
/
INDEX(スコア表2[],MATCH("stdev.p",スコア表2[maxmin],0),MATCH(BR$5,スコア表2[#Headers],0))
*10+50,"-")</f>
        <v>83.66680685467351</v>
      </c>
      <c r="BS6" s="4">
        <f>IFERROR(
(INDEX(スコア表[],MATCH($C6,スコア表['#],0),MATCH(BS$5,スコア表[#Headers],0))
-
INDEX(スコア表2[],MATCH("average",スコア表2[maxmin],0),MATCH(BS$5,スコア表2[#Headers],0)))
/
INDEX(スコア表2[],MATCH("stdev.p",スコア表2[maxmin],0),MATCH(BS$5,スコア表2[#Headers],0))
*10+50,"-")</f>
        <v>79.970592189537413</v>
      </c>
      <c r="BT6" s="4">
        <f>IFERROR(
(INDEX(スコア表[],MATCH($C6,スコア表['#],0),MATCH(BT$5,スコア表[#Headers],0))
-
INDEX(スコア表2[],MATCH("average",スコア表2[maxmin],0),MATCH(BT$5,スコア表2[#Headers],0)))
/
INDEX(スコア表2[],MATCH("stdev.p",スコア表2[maxmin],0),MATCH(BT$5,スコア表2[#Headers],0))
*10+50,"-")</f>
        <v>54.71197804862733</v>
      </c>
      <c r="BU6" s="4">
        <f>IFERROR(
(INDEX(スコア表[],MATCH($C6,スコア表['#],0),MATCH(BU$5,スコア表[#Headers],0))
-
INDEX(スコア表2[],MATCH("average",スコア表2[maxmin],0),MATCH(BU$5,スコア表2[#Headers],0)))
/
INDEX(スコア表2[],MATCH("stdev.p",スコア表2[maxmin],0),MATCH(BU$5,スコア表2[#Headers],0))
*10+50,"-")</f>
        <v>65.65008236828308</v>
      </c>
      <c r="BV6" s="4">
        <f>IFERROR(
(INDEX(スコア表[],MATCH($C6,スコア表['#],0),MATCH(BV$5,スコア表[#Headers],0))
-
INDEX(スコア表2[],MATCH("average",スコア表2[maxmin],0),MATCH(BV$5,スコア表2[#Headers],0)))
/
INDEX(スコア表2[],MATCH("stdev.p",スコア表2[maxmin],0),MATCH(BV$5,スコア表2[#Headers],0))
*10+50,"-")</f>
        <v>34.416520523711995</v>
      </c>
      <c r="BW6" s="4">
        <f>IFERROR(
(INDEX(スコア表[],MATCH($C6,スコア表['#],0),MATCH(BW$5,スコア表[#Headers],0))
-
INDEX(スコア表2[],MATCH("average",スコア表2[maxmin],0),MATCH(BW$5,スコア表2[#Headers],0)))
/
INDEX(スコア表2[],MATCH("stdev.p",スコア表2[maxmin],0),MATCH(BW$5,スコア表2[#Headers],0))
*10+50,"-")</f>
        <v>47.431889132121654</v>
      </c>
      <c r="BX6" s="4">
        <f>IFERROR(
(INDEX(スコア表[],MATCH($C6,スコア表['#],0),MATCH(BX$5,スコア表[#Headers],0))
-
INDEX(スコア表2[],MATCH("average",スコア表2[maxmin],0),MATCH(BX$5,スコア表2[#Headers],0)))
/
INDEX(スコア表2[],MATCH("stdev.p",スコア表2[maxmin],0),MATCH(BX$5,スコア表2[#Headers],0))
*10+50,"-")</f>
        <v>30.142254562516325</v>
      </c>
      <c r="BY6" s="4">
        <f>IFERROR(
(INDEX(スコア表[],MATCH($C6,スコア表['#],0),MATCH(BY$5,スコア表[#Headers],0))
-
INDEX(スコア表2[],MATCH("average",スコア表2[maxmin],0),MATCH(BY$5,スコア表2[#Headers],0)))
/
INDEX(スコア表2[],MATCH("stdev.p",スコア表2[maxmin],0),MATCH(BY$5,スコア表2[#Headers],0))
*10+50,"-")</f>
        <v>30.586267957555016</v>
      </c>
      <c r="BZ6" s="4">
        <f>IFERROR(
(INDEX(スコア表[],MATCH($C6,スコア表['#],0),MATCH(BZ$5,スコア表[#Headers],0))
-
INDEX(スコア表2[],MATCH("average",スコア表2[maxmin],0),MATCH(BZ$5,スコア表2[#Headers],0)))
/
INDEX(スコア表2[],MATCH("stdev.p",スコア表2[maxmin],0),MATCH(BZ$5,スコア表2[#Headers],0))
*10+50,"-")</f>
        <v>68.645881637602869</v>
      </c>
      <c r="CA6" s="4">
        <f>IFERROR(
(INDEX(スコア表[],MATCH($C6,スコア表['#],0),MATCH(CA$5,スコア表[#Headers],0))
-
INDEX(スコア表2[],MATCH("average",スコア表2[maxmin],0),MATCH(CA$5,スコア表2[#Headers],0)))
/
INDEX(スコア表2[],MATCH("stdev.p",スコア表2[maxmin],0),MATCH(CA$5,スコア表2[#Headers],0))
*10+50,"-")</f>
        <v>52.052657332631938</v>
      </c>
      <c r="CB6" s="4">
        <f>IFERROR(
(INDEX(スコア表[],MATCH($C6,スコア表['#],0),MATCH(CB$5,スコア表[#Headers],0))
-
INDEX(スコア表2[],MATCH("average",スコア表2[maxmin],0),MATCH(CB$5,スコア表2[#Headers],0)))
/
INDEX(スコア表2[],MATCH("stdev.p",スコア表2[maxmin],0),MATCH(CB$5,スコア表2[#Headers],0))
*10+50,"-")</f>
        <v>56.841656849518877</v>
      </c>
      <c r="CC6" s="4">
        <f>IFERROR(
(INDEX(スコア表[],MATCH($C6,スコア表['#],0),MATCH(CC$5,スコア表[#Headers],0))
-
INDEX(スコア表2[],MATCH("average",スコア表2[maxmin],0),MATCH(CC$5,スコア表2[#Headers],0)))
/
INDEX(スコア表2[],MATCH("stdev.p",スコア表2[maxmin],0),MATCH(CC$5,スコア表2[#Headers],0))
*10+50,"-")</f>
        <v>71.265368327465325</v>
      </c>
      <c r="CD6" s="4">
        <f>IFERROR(
(INDEX(スコア表[],MATCH($C6,スコア表['#],0),MATCH(CD$5,スコア表[#Headers],0))
-
INDEX(スコア表2[],MATCH("average",スコア表2[maxmin],0),MATCH(CD$5,スコア表2[#Headers],0)))
/
INDEX(スコア表2[],MATCH("stdev.p",スコア表2[maxmin],0),MATCH(CD$5,スコア表2[#Headers],0))
*10+50,"-")</f>
        <v>64.831169603886906</v>
      </c>
      <c r="CE6" s="4">
        <f>IFERROR(
(INDEX(スコア表[],MATCH($C6,スコア表['#],0),MATCH(CE$5,スコア表[#Headers],0))
-
INDEX(スコア表2[],MATCH("average",スコア表2[maxmin],0),MATCH(CE$5,スコア表2[#Headers],0)))
/
INDEX(スコア表2[],MATCH("stdev.p",スコア表2[maxmin],0),MATCH(CE$5,スコア表2[#Headers],0))
*10+50,"-")</f>
        <v>54.97471942046537</v>
      </c>
      <c r="CF6" s="4">
        <f>IFERROR(
(INDEX(スコア表[],MATCH($C6,スコア表['#],0),MATCH(CF$5,スコア表[#Headers],0))
-
INDEX(スコア表2[],MATCH("average",スコア表2[maxmin],0),MATCH(CF$5,スコア表2[#Headers],0)))
/
INDEX(スコア表2[],MATCH("stdev.p",スコア表2[maxmin],0),MATCH(CF$5,スコア表2[#Headers],0))
*10+50,"-")</f>
        <v>74.310676221519913</v>
      </c>
      <c r="CG6" s="4">
        <f>IFERROR(
(INDEX(スコア表[],MATCH($C6,スコア表['#],0),MATCH(CG$5,スコア表[#Headers],0))
-
INDEX(スコア表2[],MATCH("average",スコア表2[maxmin],0),MATCH(CG$5,スコア表2[#Headers],0)))
/
INDEX(スコア表2[],MATCH("stdev.p",スコア表2[maxmin],0),MATCH(CG$5,スコア表2[#Headers],0))
*10+50,"-")</f>
        <v>74.433489726966783</v>
      </c>
      <c r="CH6" s="4">
        <f>IFERROR(
(INDEX(スコア表[],MATCH($C6,スコア表['#],0),MATCH(CH$5,スコア表[#Headers],0))
-
INDEX(スコア表2[],MATCH("average",スコア表2[maxmin],0),MATCH(CH$5,スコア表2[#Headers],0)))
/
INDEX(スコア表2[],MATCH("stdev.p",スコア表2[maxmin],0),MATCH(CH$5,スコア表2[#Headers],0))
*10+50,"-")</f>
        <v>70.10417983024665</v>
      </c>
      <c r="CI6" s="4">
        <f>IFERROR(
(INDEX(スコア表[],MATCH($C6,スコア表['#],0),MATCH(CI$5,スコア表[#Headers],0))
-
INDEX(スコア表2[],MATCH("average",スコア表2[maxmin],0),MATCH(CI$5,スコア表2[#Headers],0)))
/
INDEX(スコア表2[],MATCH("stdev.p",スコア表2[maxmin],0),MATCH(CI$5,スコア表2[#Headers],0))
*10+50,"-")</f>
        <v>79.343731065312909</v>
      </c>
      <c r="CJ6" s="4">
        <f>IFERROR(
(INDEX(スコア表[],MATCH($C6,スコア表['#],0),MATCH(CJ$5,スコア表[#Headers],0))
-
INDEX(スコア表2[],MATCH("average",スコア表2[maxmin],0),MATCH(CJ$5,スコア表2[#Headers],0)))
/
INDEX(スコア表2[],MATCH("stdev.p",スコア表2[maxmin],0),MATCH(CJ$5,スコア表2[#Headers],0))
*10+50,"-")</f>
        <v>75.000231511738292</v>
      </c>
      <c r="CK6" s="4">
        <f>IFERROR(
(INDEX(スコア表[],MATCH($C6,スコア表['#],0),MATCH(CK$5,スコア表[#Headers],0))
-
INDEX(スコア表2[],MATCH("average",スコア表2[maxmin],0),MATCH(CK$5,スコア表2[#Headers],0)))
/
INDEX(スコア表2[],MATCH("stdev.p",スコア表2[maxmin],0),MATCH(CK$5,スコア表2[#Headers],0))
*10+50,"-")</f>
        <v>83.586610614471368</v>
      </c>
      <c r="CL6" s="4">
        <f>IFERROR(
(INDEX(スコア表[],MATCH($C6,スコア表['#],0),MATCH(CL$5,スコア表[#Headers],0))
-
INDEX(スコア表2[],MATCH("average",スコア表2[maxmin],0),MATCH(CL$5,スコア表2[#Headers],0)))
/
INDEX(スコア表2[],MATCH("stdev.p",スコア表2[maxmin],0),MATCH(CL$5,スコア表2[#Headers],0))
*10+50,"-")</f>
        <v>66.866965247716564</v>
      </c>
      <c r="CM6" s="4">
        <f>IFERROR(
(INDEX(スコア表[],MATCH($C6,スコア表['#],0),MATCH(CM$5,スコア表[#Headers],0))
-
INDEX(スコア表2[],MATCH("average",スコア表2[maxmin],0),MATCH(CM$5,スコア表2[#Headers],0)))
/
INDEX(スコア表2[],MATCH("stdev.p",スコア表2[maxmin],0),MATCH(CM$5,スコア表2[#Headers],0))
*10+50,"-")</f>
        <v>82.878529597826244</v>
      </c>
      <c r="CN6" s="4">
        <f>IFERROR(
(INDEX(スコア表[],MATCH($C6,スコア表['#],0),MATCH(CN$5,スコア表[#Headers],0))
-
INDEX(スコア表2[],MATCH("average",スコア表2[maxmin],0),MATCH(CN$5,スコア表2[#Headers],0)))
/
INDEX(スコア表2[],MATCH("stdev.p",スコア表2[maxmin],0),MATCH(CN$5,スコア表2[#Headers],0))
*10+50,"-")</f>
        <v>55.130990012444052</v>
      </c>
      <c r="CO6" s="4">
        <f>IFERROR(
(INDEX(スコア表[],MATCH($C6,スコア表['#],0),MATCH(CO$5,スコア表[#Headers],0))
-
INDEX(スコア表2[],MATCH("average",スコア表2[maxmin],0),MATCH(CO$5,スコア表2[#Headers],0)))
/
INDEX(スコア表2[],MATCH("stdev.p",スコア表2[maxmin],0),MATCH(CO$5,スコア表2[#Headers],0))
*10+50,"-")</f>
        <v>40.174329969475643</v>
      </c>
      <c r="CP6" s="4">
        <f>IFERROR(
(INDEX(スコア表[],MATCH($C6,スコア表['#],0),MATCH(CP$5,スコア表[#Headers],0))
-
INDEX(スコア表2[],MATCH("average",スコア表2[maxmin],0),MATCH(CP$5,スコア表2[#Headers],0)))
/
INDEX(スコア表2[],MATCH("stdev.p",スコア表2[maxmin],0),MATCH(CP$5,スコア表2[#Headers],0))
*10+50,"-")</f>
        <v>54.378026520598738</v>
      </c>
      <c r="CQ6" s="4">
        <f>IFERROR(
(INDEX(スコア表[],MATCH($C6,スコア表['#],0),MATCH(CQ$5,スコア表[#Headers],0))
-
INDEX(スコア表2[],MATCH("average",スコア表2[maxmin],0),MATCH(CQ$5,スコア表2[#Headers],0)))
/
INDEX(スコア表2[],MATCH("stdev.p",スコア表2[maxmin],0),MATCH(CQ$5,スコア表2[#Headers],0))
*10+50,"-")</f>
        <v>58.544290972035824</v>
      </c>
      <c r="CR6" s="4">
        <f>IFERROR(
(INDEX(スコア表[],MATCH($C6,スコア表['#],0),MATCH(CR$5,スコア表[#Headers],0))
-
INDEX(スコア表2[],MATCH("average",スコア表2[maxmin],0),MATCH(CR$5,スコア表2[#Headers],0)))
/
INDEX(スコア表2[],MATCH("stdev.p",スコア表2[maxmin],0),MATCH(CR$5,スコア表2[#Headers],0))
*10+50,"-")</f>
        <v>65.106480704162891</v>
      </c>
      <c r="CS6" s="4">
        <f>IFERROR(
(INDEX(スコア表[],MATCH($C6,スコア表['#],0),MATCH(CS$5,スコア表[#Headers],0))
-
INDEX(スコア表2[],MATCH("average",スコア表2[maxmin],0),MATCH(CS$5,スコア表2[#Headers],0)))
/
INDEX(スコア表2[],MATCH("stdev.p",スコア表2[maxmin],0),MATCH(CS$5,スコア表2[#Headers],0))
*10+50,"-")</f>
        <v>56.82890839111068</v>
      </c>
      <c r="CT6" s="4">
        <f>IFERROR(
(INDEX(スコア表[],MATCH($C6,スコア表['#],0),MATCH(CT$5,スコア表[#Headers],0))
-
INDEX(スコア表2[],MATCH("average",スコア表2[maxmin],0),MATCH(CT$5,スコア表2[#Headers],0)))
/
INDEX(スコア表2[],MATCH("stdev.p",スコア表2[maxmin],0),MATCH(CT$5,スコア表2[#Headers],0))
*10+50,"-")</f>
        <v>60.370775344560165</v>
      </c>
      <c r="CU6" s="4">
        <f>IFERROR(
(INDEX(スコア表[],MATCH($C6,スコア表['#],0),MATCH(CU$5,スコア表[#Headers],0))
-
INDEX(スコア表2[],MATCH("average",スコア表2[maxmin],0),MATCH(CU$5,スコア表2[#Headers],0)))
/
INDEX(スコア表2[],MATCH("stdev.p",スコア表2[maxmin],0),MATCH(CU$5,スコア表2[#Headers],0))
*10+50,"-")</f>
        <v>53.332453221501332</v>
      </c>
      <c r="CV6" s="4">
        <f>IFERROR(
(INDEX(スコア表[],MATCH($C6,スコア表['#],0),MATCH(CV$5,スコア表[#Headers],0))
-
INDEX(スコア表2[],MATCH("average",スコア表2[maxmin],0),MATCH(CV$5,スコア表2[#Headers],0)))
/
INDEX(スコア表2[],MATCH("stdev.p",スコア表2[maxmin],0),MATCH(CV$5,スコア表2[#Headers],0))
*10+50,"-")</f>
        <v>72.78654840838098</v>
      </c>
      <c r="CW6" s="4">
        <f>IFERROR(
(INDEX(スコア表[],MATCH($C6,スコア表['#],0),MATCH(CW$5,スコア表[#Headers],0))
-
INDEX(スコア表2[],MATCH("average",スコア表2[maxmin],0),MATCH(CW$5,スコア表2[#Headers],0)))
/
INDEX(スコア表2[],MATCH("stdev.p",スコア表2[maxmin],0),MATCH(CW$5,スコア表2[#Headers],0))
*10+50,"-")</f>
        <v>82.44318502291739</v>
      </c>
      <c r="CX6" s="4">
        <f>IFERROR(
(INDEX(スコア表[],MATCH($C6,スコア表['#],0),MATCH(CX$5,スコア表[#Headers],0))
-
INDEX(スコア表2[],MATCH("average",スコア表2[maxmin],0),MATCH(CX$5,スコア表2[#Headers],0)))
/
INDEX(スコア表2[],MATCH("stdev.p",スコア表2[maxmin],0),MATCH(CX$5,スコア表2[#Headers],0))
*10+50,"-")</f>
        <v>51.725512618100403</v>
      </c>
      <c r="CY6" s="4">
        <f>IFERROR(
(INDEX(スコア表[],MATCH($C6,スコア表['#],0),MATCH(CY$5,スコア表[#Headers],0))
-
INDEX(スコア表2[],MATCH("average",スコア表2[maxmin],0),MATCH(CY$5,スコア表2[#Headers],0)))
/
INDEX(スコア表2[],MATCH("stdev.p",スコア表2[maxmin],0),MATCH(CY$5,スコア表2[#Headers],0))
*10+50,"-")</f>
        <v>30.03756545155991</v>
      </c>
      <c r="CZ6" s="4">
        <f>IFERROR(
(INDEX(スコア表[],MATCH($C6,スコア表['#],0),MATCH(CZ$5,スコア表[#Headers],0))
-
INDEX(スコア表2[],MATCH("average",スコア表2[maxmin],0),MATCH(CZ$5,スコア表2[#Headers],0)))
/
INDEX(スコア表2[],MATCH("stdev.p",スコア表2[maxmin],0),MATCH(CZ$5,スコア表2[#Headers],0))
*10+50,"-")</f>
        <v>67.884213669604364</v>
      </c>
      <c r="DA6" s="4">
        <f>IFERROR(
(INDEX(スコア表[],MATCH($C6,スコア表['#],0),MATCH(DA$5,スコア表[#Headers],0))
-
INDEX(スコア表2[],MATCH("average",スコア表2[maxmin],0),MATCH(DA$5,スコア表2[#Headers],0)))
/
INDEX(スコア表2[],MATCH("stdev.p",スコア表2[maxmin],0),MATCH(DA$5,スコア表2[#Headers],0))
*10+50,"-")</f>
        <v>74.597208583595972</v>
      </c>
      <c r="DB6" s="4">
        <f>IFERROR(
(INDEX(スコア表[],MATCH($C6,スコア表['#],0),MATCH(DB$5,スコア表[#Headers],0))
-
INDEX(スコア表2[],MATCH("average",スコア表2[maxmin],0),MATCH(DB$5,スコア表2[#Headers],0)))
/
INDEX(スコア表2[],MATCH("stdev.p",スコア表2[maxmin],0),MATCH(DB$5,スコア表2[#Headers],0))
*10+50,"-")</f>
        <v>86.772741769308922</v>
      </c>
      <c r="DC6" s="4">
        <f>IFERROR(
(INDEX(スコア表[],MATCH($C6,スコア表['#],0),MATCH(DC$5,スコア表[#Headers],0))
-
INDEX(スコア表2[],MATCH("average",スコア表2[maxmin],0),MATCH(DC$5,スコア表2[#Headers],0)))
/
INDEX(スコア表2[],MATCH("stdev.p",スコア表2[maxmin],0),MATCH(DC$5,スコア表2[#Headers],0))
*10+50,"-")</f>
        <v>58.944552322499028</v>
      </c>
      <c r="DD6" s="4">
        <f>IFERROR(
(INDEX(スコア表[],MATCH($C6,スコア表['#],0),MATCH(DD$5,スコア表[#Headers],0))
-
INDEX(スコア表2[],MATCH("average",スコア表2[maxmin],0),MATCH(DD$5,スコア表2[#Headers],0)))
/
INDEX(スコア表2[],MATCH("stdev.p",スコア表2[maxmin],0),MATCH(DD$5,スコア表2[#Headers],0))
*10+50,"-")</f>
        <v>58.292712639616084</v>
      </c>
      <c r="DE6" s="4">
        <f>IFERROR(
(INDEX(スコア表[],MATCH($C6,スコア表['#],0),MATCH(DE$5,スコア表[#Headers],0))
-
INDEX(スコア表2[],MATCH("average",スコア表2[maxmin],0),MATCH(DE$5,スコア表2[#Headers],0)))
/
INDEX(スコア表2[],MATCH("stdev.p",スコア表2[maxmin],0),MATCH(DE$5,スコア表2[#Headers],0))
*10+50,"-")</f>
        <v>69.671428944015361</v>
      </c>
      <c r="DF6" s="76">
        <f>IFERROR(
(INDEX(スコア表[],MATCH($C6,スコア表['#],0),MATCH(DF$5,スコア表[#Headers],0))
-
INDEX(スコア表2[],MATCH("average",スコア表2[maxmin],0),MATCH(DF$5,スコア表2[#Headers],0)))
/
INDEX(スコア表2[],MATCH("stdev.p",スコア表2[maxmin],0),MATCH(DF$5,スコア表2[#Headers],0))
*10+50,"-")</f>
        <v>80.918178715655742</v>
      </c>
      <c r="DG6" s="324">
        <f>IFERROR(_xlfn.STDEV.P(偏差値表[[#This Row],[Economy]:[Accessibility]]),"")</f>
        <v>9.6942703131941457</v>
      </c>
    </row>
    <row r="7" spans="1:111">
      <c r="A7" s="2">
        <v>2</v>
      </c>
      <c r="B7" s="58">
        <f>INDEX(順位表[Comprehensive],MATCH($C7,順位表['#],0))</f>
        <v>2</v>
      </c>
      <c r="C7" s="3">
        <v>38</v>
      </c>
      <c r="D7" s="1" t="str">
        <f>INDEX(都市マスタ[City Name],MATCH($C7,都市マスタ['#],0))</f>
        <v>New York</v>
      </c>
      <c r="E7" s="4">
        <f>IFERROR(
(INDEX(スコア表[],MATCH($C7,スコア表['#],0),MATCH(E$5,スコア表[#Headers],0))
-
INDEX(スコア表2[],MATCH("average",スコア表2[maxmin],0),MATCH(E$5,スコア表2[#Headers],0)))
/
INDEX(スコア表2[],MATCH("stdev.p",スコア表2[maxmin],0),MATCH(E$5,スコア表2[#Headers],0))
*10+50,"-")</f>
        <v>55.58405980583499</v>
      </c>
      <c r="F7" s="4">
        <f>IFERROR(
(INDEX(スコア表[],MATCH($C7,スコア表['#],0),MATCH(F$5,スコア表[#Headers],0))
-
INDEX(スコア表2[],MATCH("average",スコア表2[maxmin],0),MATCH(F$5,スコア表2[#Headers],0)))
/
INDEX(スコア表2[],MATCH("stdev.p",スコア表2[maxmin],0),MATCH(F$5,スコア表2[#Headers],0))
*10+50,"-")</f>
        <v>47.164588964828347</v>
      </c>
      <c r="G7" s="4">
        <f>IFERROR(
(INDEX(スコア表[],MATCH($C7,スコア表['#],0),MATCH(G$5,スコア表[#Headers],0))
-
INDEX(スコア表2[],MATCH("average",スコア表2[maxmin],0),MATCH(G$5,スコア表2[#Headers],0)))
/
INDEX(スコア表2[],MATCH("stdev.p",スコア表2[maxmin],0),MATCH(G$5,スコア表2[#Headers],0))
*10+50,"-")</f>
        <v>48.332725179453242</v>
      </c>
      <c r="H7" s="4">
        <f>IFERROR(
(INDEX(スコア表[],MATCH($C7,スコア表['#],0),MATCH(H$5,スコア表[#Headers],0))
-
INDEX(スコア表2[],MATCH("average",スコア表2[maxmin],0),MATCH(H$5,スコア表2[#Headers],0)))
/
INDEX(スコア表2[],MATCH("stdev.p",スコア表2[maxmin],0),MATCH(H$5,スコア表2[#Headers],0))
*10+50,"-")</f>
        <v>82.556876413798079</v>
      </c>
      <c r="I7" s="4">
        <f>IFERROR(
(INDEX(スコア表[],MATCH($C7,スコア表['#],0),MATCH(I$5,スコア表[#Headers],0))
-
INDEX(スコア表2[],MATCH("average",スコア表2[maxmin],0),MATCH(I$5,スコア表2[#Headers],0)))
/
INDEX(スコア表2[],MATCH("stdev.p",スコア表2[maxmin],0),MATCH(I$5,スコア表2[#Headers],0))
*10+50,"-")</f>
        <v>56.600200534174832</v>
      </c>
      <c r="J7" s="4">
        <f>IFERROR(
(INDEX(スコア表[],MATCH($C7,スコア表['#],0),MATCH(J$5,スコア表[#Headers],0))
-
INDEX(スコア表2[],MATCH("average",スコア表2[maxmin],0),MATCH(J$5,スコア表2[#Headers],0)))
/
INDEX(スコア表2[],MATCH("stdev.p",スコア表2[maxmin],0),MATCH(J$5,スコア表2[#Headers],0))
*10+50,"-")</f>
        <v>51.92158244706912</v>
      </c>
      <c r="K7" s="4">
        <f>IFERROR(
(INDEX(スコア表[],MATCH($C7,スコア表['#],0),MATCH(K$5,スコア表[#Headers],0))
-
INDEX(スコア表2[],MATCH("average",スコア表2[maxmin],0),MATCH(K$5,スコア表2[#Headers],0)))
/
INDEX(スコア表2[],MATCH("stdev.p",スコア表2[maxmin],0),MATCH(K$5,スコア表2[#Headers],0))
*10+50,"-")</f>
        <v>52.937188630764282</v>
      </c>
      <c r="L7" s="4">
        <f>IFERROR(
(INDEX(スコア表[],MATCH($C7,スコア表['#],0),MATCH(L$5,スコア表[#Headers],0))
-
INDEX(スコア表2[],MATCH("average",スコア表2[maxmin],0),MATCH(L$5,スコア表2[#Headers],0)))
/
INDEX(スコア表2[],MATCH("stdev.p",スコア表2[maxmin],0),MATCH(L$5,スコア表2[#Headers],0))
*10+50,"-")</f>
        <v>116.26925088140689</v>
      </c>
      <c r="M7" s="4">
        <f>IFERROR(
(INDEX(スコア表[],MATCH($C7,スコア表['#],0),MATCH(M$5,スコア表[#Headers],0))
-
INDEX(スコア表2[],MATCH("average",スコア表2[maxmin],0),MATCH(M$5,スコア表2[#Headers],0)))
/
INDEX(スコア表2[],MATCH("stdev.p",スコア表2[maxmin],0),MATCH(M$5,スコア表2[#Headers],0))
*10+50,"-")</f>
        <v>59.957830933601457</v>
      </c>
      <c r="N7" s="4">
        <f>IFERROR(
(INDEX(スコア表[],MATCH($C7,スコア表['#],0),MATCH(N$5,スコア表[#Headers],0))
-
INDEX(スコア表2[],MATCH("average",スコア表2[maxmin],0),MATCH(N$5,スコア表2[#Headers],0)))
/
INDEX(スコア表2[],MATCH("stdev.p",スコア表2[maxmin],0),MATCH(N$5,スコア表2[#Headers],0))
*10+50,"-")</f>
        <v>59.640050615534754</v>
      </c>
      <c r="O7" s="4">
        <f>IFERROR(
(INDEX(スコア表[],MATCH($C7,スコア表['#],0),MATCH(O$5,スコア表[#Headers],0))
-
INDEX(スコア表2[],MATCH("average",スコア表2[maxmin],0),MATCH(O$5,スコア表2[#Headers],0)))
/
INDEX(スコア表2[],MATCH("stdev.p",スコア表2[maxmin],0),MATCH(O$5,スコア表2[#Headers],0))
*10+50,"-")</f>
        <v>42.87340004326412</v>
      </c>
      <c r="P7" s="4">
        <f>IFERROR(
(INDEX(スコア表[],MATCH($C7,スコア表['#],0),MATCH(P$5,スコア表[#Headers],0))
-
INDEX(スコア表2[],MATCH("average",スコア表2[maxmin],0),MATCH(P$5,スコア表2[#Headers],0)))
/
INDEX(スコア表2[],MATCH("stdev.p",スコア表2[maxmin],0),MATCH(P$5,スコア表2[#Headers],0))
*10+50,"-")</f>
        <v>69.612131471789525</v>
      </c>
      <c r="Q7" s="4">
        <f>IFERROR(
(INDEX(スコア表[],MATCH($C7,スコア表['#],0),MATCH(Q$5,スコア表[#Headers],0))
-
INDEX(スコア表2[],MATCH("average",スコア表2[maxmin],0),MATCH(Q$5,スコア表2[#Headers],0)))
/
INDEX(スコア表2[],MATCH("stdev.p",スコア表2[maxmin],0),MATCH(Q$5,スコア表2[#Headers],0))
*10+50,"-")</f>
        <v>62.121325848494067</v>
      </c>
      <c r="R7" s="4">
        <f>IFERROR(
(INDEX(スコア表[],MATCH($C7,スコア表['#],0),MATCH(R$5,スコア表[#Headers],0))
-
INDEX(スコア表2[],MATCH("average",スコア表2[maxmin],0),MATCH(R$5,スコア表2[#Headers],0)))
/
INDEX(スコア表2[],MATCH("stdev.p",スコア表2[maxmin],0),MATCH(R$5,スコア表2[#Headers],0))
*10+50,"-")</f>
        <v>69.213602969263391</v>
      </c>
      <c r="S7" s="4">
        <f>IFERROR(
(INDEX(スコア表[],MATCH($C7,スコア表['#],0),MATCH(S$5,スコア表[#Headers],0))
-
INDEX(スコア表2[],MATCH("average",スコア表2[maxmin],0),MATCH(S$5,スコア表2[#Headers],0)))
/
INDEX(スコア表2[],MATCH("stdev.p",スコア表2[maxmin],0),MATCH(S$5,スコア表2[#Headers],0))
*10+50,"-")</f>
        <v>33.974772510169252</v>
      </c>
      <c r="T7" s="4">
        <f>IFERROR(
(INDEX(スコア表[],MATCH($C7,スコア表['#],0),MATCH(T$5,スコア表[#Headers],0))
-
INDEX(スコア表2[],MATCH("average",スコア表2[maxmin],0),MATCH(T$5,スコア表2[#Headers],0)))
/
INDEX(スコア表2[],MATCH("stdev.p",スコア表2[maxmin],0),MATCH(T$5,スコア表2[#Headers],0))
*10+50,"-")</f>
        <v>58.897309316484204</v>
      </c>
      <c r="U7" s="4">
        <f>IFERROR(
(INDEX(スコア表[],MATCH($C7,スコア表['#],0),MATCH(U$5,スコア表[#Headers],0))
-
INDEX(スコア表2[],MATCH("average",スコア表2[maxmin],0),MATCH(U$5,スコア表2[#Headers],0)))
/
INDEX(スコア表2[],MATCH("stdev.p",スコア表2[maxmin],0),MATCH(U$5,スコア表2[#Headers],0))
*10+50,"-")</f>
        <v>83.15513475815608</v>
      </c>
      <c r="V7" s="4">
        <f>IFERROR(
(INDEX(スコア表[],MATCH($C7,スコア表['#],0),MATCH(V$5,スコア表[#Headers],0))
-
INDEX(スコア表2[],MATCH("average",スコア表2[maxmin],0),MATCH(V$5,スコア表2[#Headers],0)))
/
INDEX(スコア表2[],MATCH("stdev.p",スコア表2[maxmin],0),MATCH(V$5,スコア表2[#Headers],0))
*10+50,"-")</f>
        <v>58.027742840589568</v>
      </c>
      <c r="W7" s="4">
        <f>IFERROR(
(INDEX(スコア表[],MATCH($C7,スコア表['#],0),MATCH(W$5,スコア表[#Headers],0))
-
INDEX(スコア表2[],MATCH("average",スコア表2[maxmin],0),MATCH(W$5,スコア表2[#Headers],0)))
/
INDEX(スコア表2[],MATCH("stdev.p",スコア表2[maxmin],0),MATCH(W$5,スコア表2[#Headers],0))
*10+50,"-")</f>
        <v>95.042373107047609</v>
      </c>
      <c r="X7" s="4">
        <f>IFERROR(
(INDEX(スコア表[],MATCH($C7,スコア表['#],0),MATCH(X$5,スコア表[#Headers],0))
-
INDEX(スコア表2[],MATCH("average",スコア表2[maxmin],0),MATCH(X$5,スコア表2[#Headers],0)))
/
INDEX(スコア表2[],MATCH("stdev.p",スコア表2[maxmin],0),MATCH(X$5,スコア表2[#Headers],0))
*10+50,"-")</f>
        <v>57.606962054012492</v>
      </c>
      <c r="Y7" s="4">
        <f>IFERROR(
(INDEX(スコア表[],MATCH($C7,スコア表['#],0),MATCH(Y$5,スコア表[#Headers],0))
-
INDEX(スコア表2[],MATCH("average",スコア表2[maxmin],0),MATCH(Y$5,スコア表2[#Headers],0)))
/
INDEX(スコア表2[],MATCH("stdev.p",スコア表2[maxmin],0),MATCH(Y$5,スコア表2[#Headers],0))
*10+50,"-")</f>
        <v>52.506733473261285</v>
      </c>
      <c r="Z7" s="4">
        <f>IFERROR(
(INDEX(スコア表[],MATCH($C7,スコア表['#],0),MATCH(Z$5,スコア表[#Headers],0))
-
INDEX(スコア表2[],MATCH("average",スコア表2[maxmin],0),MATCH(Z$5,スコア表2[#Headers],0)))
/
INDEX(スコア表2[],MATCH("stdev.p",スコア表2[maxmin],0),MATCH(Z$5,スコア表2[#Headers],0))
*10+50,"-")</f>
        <v>75.698691850827174</v>
      </c>
      <c r="AA7" s="4">
        <f>IFERROR(
(INDEX(スコア表[],MATCH($C7,スコア表['#],0),MATCH(AA$5,スコア表[#Headers],0))
-
INDEX(スコア表2[],MATCH("average",スコア表2[maxmin],0),MATCH(AA$5,スコア表2[#Headers],0)))
/
INDEX(スコア表2[],MATCH("stdev.p",スコア表2[maxmin],0),MATCH(AA$5,スコア表2[#Headers],0))
*10+50,"-")</f>
        <v>74.849348048740382</v>
      </c>
      <c r="AB7" s="4">
        <f>IFERROR(
(INDEX(スコア表[],MATCH($C7,スコア表['#],0),MATCH(AB$5,スコア表[#Headers],0))
-
INDEX(スコア表2[],MATCH("average",スコア表2[maxmin],0),MATCH(AB$5,スコア表2[#Headers],0)))
/
INDEX(スコア表2[],MATCH("stdev.p",スコア表2[maxmin],0),MATCH(AB$5,スコア表2[#Headers],0))
*10+50,"-")</f>
        <v>83.424651744166908</v>
      </c>
      <c r="AC7" s="4">
        <f>IFERROR(
(INDEX(スコア表[],MATCH($C7,スコア表['#],0),MATCH(AC$5,スコア表[#Headers],0))
-
INDEX(スコア表2[],MATCH("average",スコア表2[maxmin],0),MATCH(AC$5,スコア表2[#Headers],0)))
/
INDEX(スコア表2[],MATCH("stdev.p",スコア表2[maxmin],0),MATCH(AC$5,スコア表2[#Headers],0))
*10+50,"-")</f>
        <v>48.213065963503908</v>
      </c>
      <c r="AD7" s="4">
        <f>IFERROR(
(INDEX(スコア表[],MATCH($C7,スコア表['#],0),MATCH(AD$5,スコア表[#Headers],0))
-
INDEX(スコア表2[],MATCH("average",スコア表2[maxmin],0),MATCH(AD$5,スコア表2[#Headers],0)))
/
INDEX(スコア表2[],MATCH("stdev.p",スコア表2[maxmin],0),MATCH(AD$5,スコア表2[#Headers],0))
*10+50,"-")</f>
        <v>50.214789958064408</v>
      </c>
      <c r="AE7" s="4">
        <f>IFERROR(
(INDEX(スコア表[],MATCH($C7,スコア表['#],0),MATCH(AE$5,スコア表[#Headers],0))
-
INDEX(スコア表2[],MATCH("average",スコア表2[maxmin],0),MATCH(AE$5,スコア表2[#Headers],0)))
/
INDEX(スコア表2[],MATCH("stdev.p",スコア表2[maxmin],0),MATCH(AE$5,スコア表2[#Headers],0))
*10+50,"-")</f>
        <v>85.752369963650722</v>
      </c>
      <c r="AF7" s="4">
        <f>IFERROR(
(INDEX(スコア表[],MATCH($C7,スコア表['#],0),MATCH(AF$5,スコア表[#Headers],0))
-
INDEX(スコア表2[],MATCH("average",スコア表2[maxmin],0),MATCH(AF$5,スコア表2[#Headers],0)))
/
INDEX(スコア表2[],MATCH("stdev.p",スコア表2[maxmin],0),MATCH(AF$5,スコア表2[#Headers],0))
*10+50,"-")</f>
        <v>108.50097277878166</v>
      </c>
      <c r="AG7" s="4">
        <f>IFERROR(
(INDEX(スコア表[],MATCH($C7,スコア表['#],0),MATCH(AG$5,スコア表[#Headers],0))
-
INDEX(スコア表2[],MATCH("average",スコア表2[maxmin],0),MATCH(AG$5,スコア表2[#Headers],0)))
/
INDEX(スコア表2[],MATCH("stdev.p",スコア表2[maxmin],0),MATCH(AG$5,スコア表2[#Headers],0))
*10+50,"-")</f>
        <v>67.11389130699618</v>
      </c>
      <c r="AH7" s="4">
        <f>IFERROR(
(INDEX(スコア表[],MATCH($C7,スコア表['#],0),MATCH(AH$5,スコア表[#Headers],0))
-
INDEX(スコア表2[],MATCH("average",スコア表2[maxmin],0),MATCH(AH$5,スコア表2[#Headers],0)))
/
INDEX(スコア表2[],MATCH("stdev.p",スコア表2[maxmin],0),MATCH(AH$5,スコア表2[#Headers],0))
*10+50,"-")</f>
        <v>43.334117403297284</v>
      </c>
      <c r="AI7" s="4">
        <f>IFERROR(
(INDEX(スコア表[],MATCH($C7,スコア表['#],0),MATCH(AI$5,スコア表[#Headers],0))
-
INDEX(スコア表2[],MATCH("average",スコア表2[maxmin],0),MATCH(AI$5,スコア表2[#Headers],0)))
/
INDEX(スコア表2[],MATCH("stdev.p",スコア表2[maxmin],0),MATCH(AI$5,スコア表2[#Headers],0))
*10+50,"-")</f>
        <v>64.821364119267272</v>
      </c>
      <c r="AJ7" s="4">
        <f>IFERROR(
(INDEX(スコア表[],MATCH($C7,スコア表['#],0),MATCH(AJ$5,スコア表[#Headers],0))
-
INDEX(スコア表2[],MATCH("average",スコア表2[maxmin],0),MATCH(AJ$5,スコア表2[#Headers],0)))
/
INDEX(スコア表2[],MATCH("stdev.p",スコア表2[maxmin],0),MATCH(AJ$5,スコア表2[#Headers],0))
*10+50,"-")</f>
        <v>73.52879263324202</v>
      </c>
      <c r="AK7" s="4">
        <f>IFERROR(
(INDEX(スコア表[],MATCH($C7,スコア表['#],0),MATCH(AK$5,スコア表[#Headers],0))
-
INDEX(スコア表2[],MATCH("average",スコア表2[maxmin],0),MATCH(AK$5,スコア表2[#Headers],0)))
/
INDEX(スコア表2[],MATCH("stdev.p",スコア表2[maxmin],0),MATCH(AK$5,スコア表2[#Headers],0))
*10+50,"-")</f>
        <v>63.334241234908546</v>
      </c>
      <c r="AL7" s="4">
        <f>IFERROR(
(INDEX(スコア表[],MATCH($C7,スコア表['#],0),MATCH(AL$5,スコア表[#Headers],0))
-
INDEX(スコア表2[],MATCH("average",スコア表2[maxmin],0),MATCH(AL$5,スコア表2[#Headers],0)))
/
INDEX(スコア表2[],MATCH("stdev.p",スコア表2[maxmin],0),MATCH(AL$5,スコア表2[#Headers],0))
*10+50,"-")</f>
        <v>48.444941261127894</v>
      </c>
      <c r="AM7" s="4">
        <f>IFERROR(
(INDEX(スコア表[],MATCH($C7,スコア表['#],0),MATCH(AM$5,スコア表[#Headers],0))
-
INDEX(スコア表2[],MATCH("average",スコア表2[maxmin],0),MATCH(AM$5,スコア表2[#Headers],0)))
/
INDEX(スコア表2[],MATCH("stdev.p",スコア表2[maxmin],0),MATCH(AM$5,スコア表2[#Headers],0))
*10+50,"-")</f>
        <v>69.356831749617214</v>
      </c>
      <c r="AN7" s="4">
        <f>IFERROR(
(INDEX(スコア表[],MATCH($C7,スコア表['#],0),MATCH(AN$5,スコア表[#Headers],0))
-
INDEX(スコア表2[],MATCH("average",スコア表2[maxmin],0),MATCH(AN$5,スコア表2[#Headers],0)))
/
INDEX(スコア表2[],MATCH("stdev.p",スコア表2[maxmin],0),MATCH(AN$5,スコア表2[#Headers],0))
*10+50,"-")</f>
        <v>56.834918062413216</v>
      </c>
      <c r="AO7" s="4">
        <f>IFERROR(
(INDEX(スコア表[],MATCH($C7,スコア表['#],0),MATCH(AO$5,スコア表[#Headers],0))
-
INDEX(スコア表2[],MATCH("average",スコア表2[maxmin],0),MATCH(AO$5,スコア表2[#Headers],0)))
/
INDEX(スコア表2[],MATCH("stdev.p",スコア表2[maxmin],0),MATCH(AO$5,スコア表2[#Headers],0))
*10+50,"-")</f>
        <v>64.708429610492942</v>
      </c>
      <c r="AP7" s="4">
        <f>IFERROR(
(INDEX(スコア表[],MATCH($C7,スコア表['#],0),MATCH(AP$5,スコア表[#Headers],0))
-
INDEX(スコア表2[],MATCH("average",スコア表2[maxmin],0),MATCH(AP$5,スコア表2[#Headers],0)))
/
INDEX(スコア表2[],MATCH("stdev.p",スコア表2[maxmin],0),MATCH(AP$5,スコア表2[#Headers],0))
*10+50,"-")</f>
        <v>64.924171459428507</v>
      </c>
      <c r="AQ7" s="4">
        <f>IFERROR(
(INDEX(スコア表[],MATCH($C7,スコア表['#],0),MATCH(AQ$5,スコア表[#Headers],0))
-
INDEX(スコア表2[],MATCH("average",スコア表2[maxmin],0),MATCH(AQ$5,スコア表2[#Headers],0)))
/
INDEX(スコア表2[],MATCH("stdev.p",スコア表2[maxmin],0),MATCH(AQ$5,スコア表2[#Headers],0))
*10+50,"-")</f>
        <v>61.746053239487225</v>
      </c>
      <c r="AR7" s="4">
        <f>IFERROR(
(INDEX(スコア表[],MATCH($C7,スコア表['#],0),MATCH(AR$5,スコア表[#Headers],0))
-
INDEX(スコア表2[],MATCH("average",スコア表2[maxmin],0),MATCH(AR$5,スコア表2[#Headers],0)))
/
INDEX(スコア表2[],MATCH("stdev.p",スコア表2[maxmin],0),MATCH(AR$5,スコア表2[#Headers],0))
*10+50,"-")</f>
        <v>50.053453383661733</v>
      </c>
      <c r="AS7" s="4">
        <f>IFERROR(
(INDEX(スコア表[],MATCH($C7,スコア表['#],0),MATCH(AS$5,スコア表[#Headers],0))
-
INDEX(スコア表2[],MATCH("average",スコア表2[maxmin],0),MATCH(AS$5,スコア表2[#Headers],0)))
/
INDEX(スコア表2[],MATCH("stdev.p",スコア表2[maxmin],0),MATCH(AS$5,スコア表2[#Headers],0))
*10+50,"-")</f>
        <v>51.104804061970235</v>
      </c>
      <c r="AT7" s="4">
        <f>IFERROR(
(INDEX(スコア表[],MATCH($C7,スコア表['#],0),MATCH(AT$5,スコア表[#Headers],0))
-
INDEX(スコア表2[],MATCH("average",スコア表2[maxmin],0),MATCH(AT$5,スコア表2[#Headers],0)))
/
INDEX(スコア表2[],MATCH("stdev.p",スコア表2[maxmin],0),MATCH(AT$5,スコア表2[#Headers],0))
*10+50,"-")</f>
        <v>49.15700585146309</v>
      </c>
      <c r="AU7" s="4">
        <f>IFERROR(
(INDEX(スコア表[],MATCH($C7,スコア表['#],0),MATCH(AU$5,スコア表[#Headers],0))
-
INDEX(スコア表2[],MATCH("average",スコア表2[maxmin],0),MATCH(AU$5,スコア表2[#Headers],0)))
/
INDEX(スコア表2[],MATCH("stdev.p",スコア表2[maxmin],0),MATCH(AU$5,スコア表2[#Headers],0))
*10+50,"-")</f>
        <v>63.598855302948309</v>
      </c>
      <c r="AV7" s="4">
        <f>IFERROR(
(INDEX(スコア表[],MATCH($C7,スコア表['#],0),MATCH(AV$5,スコア表[#Headers],0))
-
INDEX(スコア表2[],MATCH("average",スコア表2[maxmin],0),MATCH(AV$5,スコア表2[#Headers],0)))
/
INDEX(スコア表2[],MATCH("stdev.p",スコア表2[maxmin],0),MATCH(AV$5,スコア表2[#Headers],0))
*10+50,"-")</f>
        <v>24.866112996806788</v>
      </c>
      <c r="AW7" s="4">
        <f>IFERROR(
(INDEX(スコア表[],MATCH($C7,スコア表['#],0),MATCH(AW$5,スコア表[#Headers],0))
-
INDEX(スコア表2[],MATCH("average",スコア表2[maxmin],0),MATCH(AW$5,スコア表2[#Headers],0)))
/
INDEX(スコア表2[],MATCH("stdev.p",スコア表2[maxmin],0),MATCH(AW$5,スコア表2[#Headers],0))
*10+50,"-")</f>
        <v>35.485759311637715</v>
      </c>
      <c r="AX7" s="4">
        <f>IFERROR(
(INDEX(スコア表[],MATCH($C7,スコア表['#],0),MATCH(AX$5,スコア表[#Headers],0))
-
INDEX(スコア表2[],MATCH("average",スコア表2[maxmin],0),MATCH(AX$5,スコア表2[#Headers],0)))
/
INDEX(スコア表2[],MATCH("stdev.p",スコア表2[maxmin],0),MATCH(AX$5,スコア表2[#Headers],0))
*10+50,"-")</f>
        <v>48.155923340278079</v>
      </c>
      <c r="AY7" s="4">
        <f>IFERROR(
(INDEX(スコア表[],MATCH($C7,スコア表['#],0),MATCH(AY$5,スコア表[#Headers],0))
-
INDEX(スコア表2[],MATCH("average",スコア表2[maxmin],0),MATCH(AY$5,スコア表2[#Headers],0)))
/
INDEX(スコア表2[],MATCH("stdev.p",スコア表2[maxmin],0),MATCH(AY$5,スコア表2[#Headers],0))
*10+50,"-")</f>
        <v>52.47333537423799</v>
      </c>
      <c r="AZ7" s="4">
        <f>IFERROR(
(INDEX(スコア表[],MATCH($C7,スコア表['#],0),MATCH(AZ$5,スコア表[#Headers],0))
-
INDEX(スコア表2[],MATCH("average",スコア表2[maxmin],0),MATCH(AZ$5,スコア表2[#Headers],0)))
/
INDEX(スコア表2[],MATCH("stdev.p",スコア表2[maxmin],0),MATCH(AZ$5,スコア表2[#Headers],0))
*10+50,"-")</f>
        <v>46.879842773195158</v>
      </c>
      <c r="BA7" s="4">
        <f>IFERROR(
(INDEX(スコア表[],MATCH($C7,スコア表['#],0),MATCH(BA$5,スコア表[#Headers],0))
-
INDEX(スコア表2[],MATCH("average",スコア表2[maxmin],0),MATCH(BA$5,スコア表2[#Headers],0)))
/
INDEX(スコア表2[],MATCH("stdev.p",スコア表2[maxmin],0),MATCH(BA$5,スコア表2[#Headers],0))
*10+50,"-")</f>
        <v>52.951837775060355</v>
      </c>
      <c r="BB7" s="4">
        <f>IFERROR(
(INDEX(スコア表[],MATCH($C7,スコア表['#],0),MATCH(BB$5,スコア表[#Headers],0))
-
INDEX(スコア表2[],MATCH("average",スコア表2[maxmin],0),MATCH(BB$5,スコア表2[#Headers],0)))
/
INDEX(スコア表2[],MATCH("stdev.p",スコア表2[maxmin],0),MATCH(BB$5,スコア表2[#Headers],0))
*10+50,"-")</f>
        <v>35.317106367078722</v>
      </c>
      <c r="BC7" s="4">
        <f>IFERROR(
(INDEX(スコア表[],MATCH($C7,スコア表['#],0),MATCH(BC$5,スコア表[#Headers],0))
-
INDEX(スコア表2[],MATCH("average",スコア表2[maxmin],0),MATCH(BC$5,スコア表2[#Headers],0)))
/
INDEX(スコア表2[],MATCH("stdev.p",スコア表2[maxmin],0),MATCH(BC$5,スコア表2[#Headers],0))
*10+50,"-")</f>
        <v>47.084526239796645</v>
      </c>
      <c r="BD7" s="4">
        <f>IFERROR(
(INDEX(スコア表[],MATCH($C7,スコア表['#],0),MATCH(BD$5,スコア表[#Headers],0))
-
INDEX(スコア表2[],MATCH("average",スコア表2[maxmin],0),MATCH(BD$5,スコア表2[#Headers],0)))
/
INDEX(スコア表2[],MATCH("stdev.p",スコア表2[maxmin],0),MATCH(BD$5,スコア表2[#Headers],0))
*10+50,"-")</f>
        <v>64.760994110607086</v>
      </c>
      <c r="BE7" s="4">
        <f>IFERROR(
(INDEX(スコア表[],MATCH($C7,スコア表['#],0),MATCH(BE$5,スコア表[#Headers],0))
-
INDEX(スコア表2[],MATCH("average",スコア表2[maxmin],0),MATCH(BE$5,スコア表2[#Headers],0)))
/
INDEX(スコア表2[],MATCH("stdev.p",スコア表2[maxmin],0),MATCH(BE$5,スコア表2[#Headers],0))
*10+50,"-")</f>
        <v>57.058842610446149</v>
      </c>
      <c r="BF7" s="4">
        <f>IFERROR(
(INDEX(スコア表[],MATCH($C7,スコア表['#],0),MATCH(BF$5,スコア表[#Headers],0))
-
INDEX(スコア表2[],MATCH("average",スコア表2[maxmin],0),MATCH(BF$5,スコア表2[#Headers],0)))
/
INDEX(スコア表2[],MATCH("stdev.p",スコア表2[maxmin],0),MATCH(BF$5,スコア表2[#Headers],0))
*10+50,"-")</f>
        <v>60.611136073161624</v>
      </c>
      <c r="BG7" s="4">
        <f>IFERROR(
(INDEX(スコア表[],MATCH($C7,スコア表['#],0),MATCH(BG$5,スコア表[#Headers],0))
-
INDEX(スコア表2[],MATCH("average",スコア表2[maxmin],0),MATCH(BG$5,スコア表2[#Headers],0)))
/
INDEX(スコア表2[],MATCH("stdev.p",スコア表2[maxmin],0),MATCH(BG$5,スコア表2[#Headers],0))
*10+50,"-")</f>
        <v>58.046990509911545</v>
      </c>
      <c r="BH7" s="4">
        <f>IFERROR(
(INDEX(スコア表[],MATCH($C7,スコア表['#],0),MATCH(BH$5,スコア表[#Headers],0))
-
INDEX(スコア表2[],MATCH("average",スコア表2[maxmin],0),MATCH(BH$5,スコア表2[#Headers],0)))
/
INDEX(スコア表2[],MATCH("stdev.p",スコア表2[maxmin],0),MATCH(BH$5,スコア表2[#Headers],0))
*10+50,"-")</f>
        <v>44.834716423197847</v>
      </c>
      <c r="BI7" s="4">
        <f>IFERROR(
(INDEX(スコア表[],MATCH($C7,スコア表['#],0),MATCH(BI$5,スコア表[#Headers],0))
-
INDEX(スコア表2[],MATCH("average",スコア表2[maxmin],0),MATCH(BI$5,スコア表2[#Headers],0)))
/
INDEX(スコア表2[],MATCH("stdev.p",スコア表2[maxmin],0),MATCH(BI$5,スコア表2[#Headers],0))
*10+50,"-")</f>
        <v>48.034957318581462</v>
      </c>
      <c r="BJ7" s="4">
        <f>IFERROR(
(INDEX(スコア表[],MATCH($C7,スコア表['#],0),MATCH(BJ$5,スコア表[#Headers],0))
-
INDEX(スコア表2[],MATCH("average",スコア表2[maxmin],0),MATCH(BJ$5,スコア表2[#Headers],0)))
/
INDEX(スコア表2[],MATCH("stdev.p",スコア表2[maxmin],0),MATCH(BJ$5,スコア表2[#Headers],0))
*10+50,"-")</f>
        <v>56.522436824346428</v>
      </c>
      <c r="BK7" s="4">
        <f>IFERROR(
(INDEX(スコア表[],MATCH($C7,スコア表['#],0),MATCH(BK$5,スコア表[#Headers],0))
-
INDEX(スコア表2[],MATCH("average",スコア表2[maxmin],0),MATCH(BK$5,スコア表2[#Headers],0)))
/
INDEX(スコア表2[],MATCH("stdev.p",スコア表2[maxmin],0),MATCH(BK$5,スコア表2[#Headers],0))
*10+50,"-")</f>
        <v>55.114108344000861</v>
      </c>
      <c r="BL7" s="4">
        <f>IFERROR(
(INDEX(スコア表[],MATCH($C7,スコア表['#],0),MATCH(BL$5,スコア表[#Headers],0))
-
INDEX(スコア表2[],MATCH("average",スコア表2[maxmin],0),MATCH(BL$5,スコア表2[#Headers],0)))
/
INDEX(スコア表2[],MATCH("stdev.p",スコア表2[maxmin],0),MATCH(BL$5,スコア表2[#Headers],0))
*10+50,"-")</f>
        <v>49.604450086577685</v>
      </c>
      <c r="BM7" s="4">
        <f>IFERROR(
(INDEX(スコア表[],MATCH($C7,スコア表['#],0),MATCH(BM$5,スコア表[#Headers],0))
-
INDEX(スコア表2[],MATCH("average",スコア表2[maxmin],0),MATCH(BM$5,スコア表2[#Headers],0)))
/
INDEX(スコア表2[],MATCH("stdev.p",スコア表2[maxmin],0),MATCH(BM$5,スコア表2[#Headers],0))
*10+50,"-")</f>
        <v>46.444869191460612</v>
      </c>
      <c r="BN7" s="4">
        <f>IFERROR(
(INDEX(スコア表[],MATCH($C7,スコア表['#],0),MATCH(BN$5,スコア表[#Headers],0))
-
INDEX(スコア表2[],MATCH("average",スコア表2[maxmin],0),MATCH(BN$5,スコア表2[#Headers],0)))
/
INDEX(スコア表2[],MATCH("stdev.p",スコア表2[maxmin],0),MATCH(BN$5,スコア表2[#Headers],0))
*10+50,"-")</f>
        <v>46.356267037959725</v>
      </c>
      <c r="BO7" s="4">
        <f>IFERROR(
(INDEX(スコア表[],MATCH($C7,スコア表['#],0),MATCH(BO$5,スコア表[#Headers],0))
-
INDEX(スコア表2[],MATCH("average",スコア表2[maxmin],0),MATCH(BO$5,スコア表2[#Headers],0)))
/
INDEX(スコア表2[],MATCH("stdev.p",スコア表2[maxmin],0),MATCH(BO$5,スコア表2[#Headers],0))
*10+50,"-")</f>
        <v>36.557384261224087</v>
      </c>
      <c r="BP7" s="4">
        <f>IFERROR(
(INDEX(スコア表[],MATCH($C7,スコア表['#],0),MATCH(BP$5,スコア表[#Headers],0))
-
INDEX(スコア表2[],MATCH("average",スコア表2[maxmin],0),MATCH(BP$5,スコア表2[#Headers],0)))
/
INDEX(スコア表2[],MATCH("stdev.p",スコア表2[maxmin],0),MATCH(BP$5,スコア表2[#Headers],0))
*10+50,"-")</f>
        <v>50.794924166402865</v>
      </c>
      <c r="BQ7" s="4">
        <f>IFERROR(
(INDEX(スコア表[],MATCH($C7,スコア表['#],0),MATCH(BQ$5,スコア表[#Headers],0))
-
INDEX(スコア表2[],MATCH("average",スコア表2[maxmin],0),MATCH(BQ$5,スコア表2[#Headers],0)))
/
INDEX(スコア表2[],MATCH("stdev.p",スコア表2[maxmin],0),MATCH(BQ$5,スコア表2[#Headers],0))
*10+50,"-")</f>
        <v>55.262561643121074</v>
      </c>
      <c r="BR7" s="4">
        <f>IFERROR(
(INDEX(スコア表[],MATCH($C7,スコア表['#],0),MATCH(BR$5,スコア表[#Headers],0))
-
INDEX(スコア表2[],MATCH("average",スコア表2[maxmin],0),MATCH(BR$5,スコア表2[#Headers],0)))
/
INDEX(スコア表2[],MATCH("stdev.p",スコア表2[maxmin],0),MATCH(BR$5,スコア表2[#Headers],0))
*10+50,"-")</f>
        <v>81.481140159812441</v>
      </c>
      <c r="BS7" s="4">
        <f>IFERROR(
(INDEX(スコア表[],MATCH($C7,スコア表['#],0),MATCH(BS$5,スコア表[#Headers],0))
-
INDEX(スコア表2[],MATCH("average",スコア表2[maxmin],0),MATCH(BS$5,スコア表2[#Headers],0)))
/
INDEX(スコア表2[],MATCH("stdev.p",スコア表2[maxmin],0),MATCH(BS$5,スコア表2[#Headers],0))
*10+50,"-")</f>
        <v>90.865572411726262</v>
      </c>
      <c r="BT7" s="4">
        <f>IFERROR(
(INDEX(スコア表[],MATCH($C7,スコア表['#],0),MATCH(BT$5,スコア表[#Headers],0))
-
INDEX(スコア表2[],MATCH("average",スコア表2[maxmin],0),MATCH(BT$5,スコア表2[#Headers],0)))
/
INDEX(スコア表2[],MATCH("stdev.p",スコア表2[maxmin],0),MATCH(BT$5,スコア表2[#Headers],0))
*10+50,"-")</f>
        <v>55.833350623194029</v>
      </c>
      <c r="BU7" s="4">
        <f>IFERROR(
(INDEX(スコア表[],MATCH($C7,スコア表['#],0),MATCH(BU$5,スコア表[#Headers],0))
-
INDEX(スコア表2[],MATCH("average",スコア表2[maxmin],0),MATCH(BU$5,スコア表2[#Headers],0)))
/
INDEX(スコア表2[],MATCH("stdev.p",スコア表2[maxmin],0),MATCH(BU$5,スコア表2[#Headers],0))
*10+50,"-")</f>
        <v>59.90110821515475</v>
      </c>
      <c r="BV7" s="4">
        <f>IFERROR(
(INDEX(スコア表[],MATCH($C7,スコア表['#],0),MATCH(BV$5,スコア表[#Headers],0))
-
INDEX(スコア表2[],MATCH("average",スコア表2[maxmin],0),MATCH(BV$5,スコア表2[#Headers],0)))
/
INDEX(スコア表2[],MATCH("stdev.p",スコア表2[maxmin],0),MATCH(BV$5,スコア表2[#Headers],0))
*10+50,"-")</f>
        <v>46.571213987939203</v>
      </c>
      <c r="BW7" s="4">
        <f>IFERROR(
(INDEX(スコア表[],MATCH($C7,スコア表['#],0),MATCH(BW$5,スコア表[#Headers],0))
-
INDEX(スコア表2[],MATCH("average",スコア表2[maxmin],0),MATCH(BW$5,スコア表2[#Headers],0)))
/
INDEX(スコア表2[],MATCH("stdev.p",スコア表2[maxmin],0),MATCH(BW$5,スコア表2[#Headers],0))
*10+50,"-")</f>
        <v>50.942697645000095</v>
      </c>
      <c r="BX7" s="4">
        <f>IFERROR(
(INDEX(スコア表[],MATCH($C7,スコア表['#],0),MATCH(BX$5,スコア表[#Headers],0))
-
INDEX(スコア表2[],MATCH("average",スコア表2[maxmin],0),MATCH(BX$5,スコア表2[#Headers],0)))
/
INDEX(スコア表2[],MATCH("stdev.p",スコア表2[maxmin],0),MATCH(BX$5,スコア表2[#Headers],0))
*10+50,"-")</f>
        <v>41.978078684018854</v>
      </c>
      <c r="BY7" s="4">
        <f>IFERROR(
(INDEX(スコア表[],MATCH($C7,スコア表['#],0),MATCH(BY$5,スコア表[#Headers],0))
-
INDEX(スコア表2[],MATCH("average",スコア表2[maxmin],0),MATCH(BY$5,スコア表2[#Headers],0)))
/
INDEX(スコア表2[],MATCH("stdev.p",スコア表2[maxmin],0),MATCH(BY$5,スコア表2[#Headers],0))
*10+50,"-")</f>
        <v>38.365321201749047</v>
      </c>
      <c r="BZ7" s="4">
        <f>IFERROR(
(INDEX(スコア表[],MATCH($C7,スコア表['#],0),MATCH(BZ$5,スコア表[#Headers],0))
-
INDEX(スコア表2[],MATCH("average",スコア表2[maxmin],0),MATCH(BZ$5,スコア表2[#Headers],0)))
/
INDEX(スコア表2[],MATCH("stdev.p",スコア表2[maxmin],0),MATCH(BZ$5,スコア表2[#Headers],0))
*10+50,"-")</f>
        <v>77.9527271087683</v>
      </c>
      <c r="CA7" s="4">
        <f>IFERROR(
(INDEX(スコア表[],MATCH($C7,スコア表['#],0),MATCH(CA$5,スコア表[#Headers],0))
-
INDEX(スコア表2[],MATCH("average",スコア表2[maxmin],0),MATCH(CA$5,スコア表2[#Headers],0)))
/
INDEX(スコア表2[],MATCH("stdev.p",スコア表2[maxmin],0),MATCH(CA$5,スコア表2[#Headers],0))
*10+50,"-")</f>
        <v>53.448737097618796</v>
      </c>
      <c r="CB7" s="4">
        <f>IFERROR(
(INDEX(スコア表[],MATCH($C7,スコア表['#],0),MATCH(CB$5,スコア表[#Headers],0))
-
INDEX(スコア表2[],MATCH("average",スコア表2[maxmin],0),MATCH(CB$5,スコア表2[#Headers],0)))
/
INDEX(スコア表2[],MATCH("stdev.p",スコア表2[maxmin],0),MATCH(CB$5,スコア表2[#Headers],0))
*10+50,"-")</f>
        <v>97.811472641925576</v>
      </c>
      <c r="CC7" s="4">
        <f>IFERROR(
(INDEX(スコア表[],MATCH($C7,スコア表['#],0),MATCH(CC$5,スコア表[#Headers],0))
-
INDEX(スコア表2[],MATCH("average",スコア表2[maxmin],0),MATCH(CC$5,スコア表2[#Headers],0)))
/
INDEX(スコア表2[],MATCH("stdev.p",スコア表2[maxmin],0),MATCH(CC$5,スコア表2[#Headers],0))
*10+50,"-")</f>
        <v>51.80626601744099</v>
      </c>
      <c r="CD7" s="4">
        <f>IFERROR(
(INDEX(スコア表[],MATCH($C7,スコア表['#],0),MATCH(CD$5,スコア表[#Headers],0))
-
INDEX(スコア表2[],MATCH("average",スコア表2[maxmin],0),MATCH(CD$5,スコア表2[#Headers],0)))
/
INDEX(スコア表2[],MATCH("stdev.p",スコア表2[maxmin],0),MATCH(CD$5,スコア表2[#Headers],0))
*10+50,"-")</f>
        <v>70.402996044093086</v>
      </c>
      <c r="CE7" s="4">
        <f>IFERROR(
(INDEX(スコア表[],MATCH($C7,スコア表['#],0),MATCH(CE$5,スコア表[#Headers],0))
-
INDEX(スコア表2[],MATCH("average",スコア表2[maxmin],0),MATCH(CE$5,スコア表2[#Headers],0)))
/
INDEX(スコア表2[],MATCH("stdev.p",スコア表2[maxmin],0),MATCH(CE$5,スコア表2[#Headers],0))
*10+50,"-")</f>
        <v>45.752130501572744</v>
      </c>
      <c r="CF7" s="4">
        <f>IFERROR(
(INDEX(スコア表[],MATCH($C7,スコア表['#],0),MATCH(CF$5,スコア表[#Headers],0))
-
INDEX(スコア表2[],MATCH("average",スコア表2[maxmin],0),MATCH(CF$5,スコア表2[#Headers],0)))
/
INDEX(スコア表2[],MATCH("stdev.p",スコア表2[maxmin],0),MATCH(CF$5,スコア表2[#Headers],0))
*10+50,"-")</f>
        <v>73.170664670362498</v>
      </c>
      <c r="CG7" s="4">
        <f>IFERROR(
(INDEX(スコア表[],MATCH($C7,スコア表['#],0),MATCH(CG$5,スコア表[#Headers],0))
-
INDEX(スコア表2[],MATCH("average",スコア表2[maxmin],0),MATCH(CG$5,スコア表2[#Headers],0)))
/
INDEX(スコア表2[],MATCH("stdev.p",スコア表2[maxmin],0),MATCH(CG$5,スコア表2[#Headers],0))
*10+50,"-")</f>
        <v>75.802908168886148</v>
      </c>
      <c r="CH7" s="4">
        <f>IFERROR(
(INDEX(スコア表[],MATCH($C7,スコア表['#],0),MATCH(CH$5,スコア表[#Headers],0))
-
INDEX(スコア表2[],MATCH("average",スコア表2[maxmin],0),MATCH(CH$5,スコア表2[#Headers],0)))
/
INDEX(スコア表2[],MATCH("stdev.p",スコア表2[maxmin],0),MATCH(CH$5,スコア表2[#Headers],0))
*10+50,"-")</f>
        <v>86.822733811313142</v>
      </c>
      <c r="CI7" s="4">
        <f>IFERROR(
(INDEX(スコア表[],MATCH($C7,スコア表['#],0),MATCH(CI$5,スコア表[#Headers],0))
-
INDEX(スコア表2[],MATCH("average",スコア表2[maxmin],0),MATCH(CI$5,スコア表2[#Headers],0)))
/
INDEX(スコア表2[],MATCH("stdev.p",スコア表2[maxmin],0),MATCH(CI$5,スコア表2[#Headers],0))
*10+50,"-")</f>
        <v>82.798261528820944</v>
      </c>
      <c r="CJ7" s="4">
        <f>IFERROR(
(INDEX(スコア表[],MATCH($C7,スコア表['#],0),MATCH(CJ$5,スコア表[#Headers],0))
-
INDEX(スコア表2[],MATCH("average",スコア表2[maxmin],0),MATCH(CJ$5,スコア表2[#Headers],0)))
/
INDEX(スコア表2[],MATCH("stdev.p",スコア表2[maxmin],0),MATCH(CJ$5,スコア表2[#Headers],0))
*10+50,"-")</f>
        <v>60.731596181593815</v>
      </c>
      <c r="CK7" s="4">
        <f>IFERROR(
(INDEX(スコア表[],MATCH($C7,スコア表['#],0),MATCH(CK$5,スコア表[#Headers],0))
-
INDEX(スコア表2[],MATCH("average",スコア表2[maxmin],0),MATCH(CK$5,スコア表2[#Headers],0)))
/
INDEX(スコア表2[],MATCH("stdev.p",スコア表2[maxmin],0),MATCH(CK$5,スコア表2[#Headers],0))
*10+50,"-")</f>
        <v>63.938419882368798</v>
      </c>
      <c r="CL7" s="4">
        <f>IFERROR(
(INDEX(スコア表[],MATCH($C7,スコア表['#],0),MATCH(CL$5,スコア表[#Headers],0))
-
INDEX(スコア表2[],MATCH("average",スコア表2[maxmin],0),MATCH(CL$5,スコア表2[#Headers],0)))
/
INDEX(スコア表2[],MATCH("stdev.p",スコア表2[maxmin],0),MATCH(CL$5,スコア表2[#Headers],0))
*10+50,"-")</f>
        <v>66.932771562448707</v>
      </c>
      <c r="CM7" s="4">
        <f>IFERROR(
(INDEX(スコア表[],MATCH($C7,スコア表['#],0),MATCH(CM$5,スコア表[#Headers],0))
-
INDEX(スコア表2[],MATCH("average",スコア表2[maxmin],0),MATCH(CM$5,スコア表2[#Headers],0)))
/
INDEX(スコア表2[],MATCH("stdev.p",スコア表2[maxmin],0),MATCH(CM$5,スコア表2[#Headers],0))
*10+50,"-")</f>
        <v>56.139320611118954</v>
      </c>
      <c r="CN7" s="4">
        <f>IFERROR(
(INDEX(スコア表[],MATCH($C7,スコア表['#],0),MATCH(CN$5,スコア表[#Headers],0))
-
INDEX(スコア表2[],MATCH("average",スコア表2[maxmin],0),MATCH(CN$5,スコア表2[#Headers],0)))
/
INDEX(スコア表2[],MATCH("stdev.p",スコア表2[maxmin],0),MATCH(CN$5,スコア表2[#Headers],0))
*10+50,"-")</f>
        <v>60.606711559727486</v>
      </c>
      <c r="CO7" s="4">
        <f>IFERROR(
(INDEX(スコア表[],MATCH($C7,スコア表['#],0),MATCH(CO$5,スコア表[#Headers],0))
-
INDEX(スコア表2[],MATCH("average",スコア表2[maxmin],0),MATCH(CO$5,スコア表2[#Headers],0)))
/
INDEX(スコア表2[],MATCH("stdev.p",スコア表2[maxmin],0),MATCH(CO$5,スコア表2[#Headers],0))
*10+50,"-")</f>
        <v>27.817727617960198</v>
      </c>
      <c r="CP7" s="4">
        <f>IFERROR(
(INDEX(スコア表[],MATCH($C7,スコア表['#],0),MATCH(CP$5,スコア表[#Headers],0))
-
INDEX(スコア表2[],MATCH("average",スコア表2[maxmin],0),MATCH(CP$5,スコア表2[#Headers],0)))
/
INDEX(スコア表2[],MATCH("stdev.p",スコア表2[maxmin],0),MATCH(CP$5,スコア表2[#Headers],0))
*10+50,"-")</f>
        <v>49.946679355133909</v>
      </c>
      <c r="CQ7" s="4">
        <f>IFERROR(
(INDEX(スコア表[],MATCH($C7,スコア表['#],0),MATCH(CQ$5,スコア表[#Headers],0))
-
INDEX(スコア表2[],MATCH("average",スコア表2[maxmin],0),MATCH(CQ$5,スコア表2[#Headers],0)))
/
INDEX(スコア表2[],MATCH("stdev.p",スコア表2[maxmin],0),MATCH(CQ$5,スコア表2[#Headers],0))
*10+50,"-")</f>
        <v>43.110330614679377</v>
      </c>
      <c r="CR7" s="4">
        <f>IFERROR(
(INDEX(スコア表[],MATCH($C7,スコア表['#],0),MATCH(CR$5,スコア表[#Headers],0))
-
INDEX(スコア表2[],MATCH("average",スコア表2[maxmin],0),MATCH(CR$5,スコア表2[#Headers],0)))
/
INDEX(スコア表2[],MATCH("stdev.p",スコア表2[maxmin],0),MATCH(CR$5,スコア表2[#Headers],0))
*10+50,"-")</f>
        <v>63.409144309573534</v>
      </c>
      <c r="CS7" s="4">
        <f>IFERROR(
(INDEX(スコア表[],MATCH($C7,スコア表['#],0),MATCH(CS$5,スコア表[#Headers],0))
-
INDEX(スコア表2[],MATCH("average",スコア表2[maxmin],0),MATCH(CS$5,スコア表2[#Headers],0)))
/
INDEX(スコア表2[],MATCH("stdev.p",スコア表2[maxmin],0),MATCH(CS$5,スコア表2[#Headers],0))
*10+50,"-")</f>
        <v>50.229338855401679</v>
      </c>
      <c r="CT7" s="4">
        <f>IFERROR(
(INDEX(スコア表[],MATCH($C7,スコア表['#],0),MATCH(CT$5,スコア表[#Headers],0))
-
INDEX(スコア表2[],MATCH("average",スコア表2[maxmin],0),MATCH(CT$5,スコア表2[#Headers],0)))
/
INDEX(スコア表2[],MATCH("stdev.p",スコア表2[maxmin],0),MATCH(CT$5,スコア表2[#Headers],0))
*10+50,"-")</f>
        <v>56.648900956511874</v>
      </c>
      <c r="CU7" s="4">
        <f>IFERROR(
(INDEX(スコア表[],MATCH($C7,スコア表['#],0),MATCH(CU$5,スコア表[#Headers],0))
-
INDEX(スコア表2[],MATCH("average",スコア表2[maxmin],0),MATCH(CU$5,スコア表2[#Headers],0)))
/
INDEX(スコア表2[],MATCH("stdev.p",スコア表2[maxmin],0),MATCH(CU$5,スコア表2[#Headers],0))
*10+50,"-")</f>
        <v>41.85263498444661</v>
      </c>
      <c r="CV7" s="4">
        <f>IFERROR(
(INDEX(スコア表[],MATCH($C7,スコア表['#],0),MATCH(CV$5,スコア表[#Headers],0))
-
INDEX(スコア表2[],MATCH("average",スコア表2[maxmin],0),MATCH(CV$5,スコア表2[#Headers],0)))
/
INDEX(スコア表2[],MATCH("stdev.p",スコア表2[maxmin],0),MATCH(CV$5,スコア表2[#Headers],0))
*10+50,"-")</f>
        <v>54.066323236883903</v>
      </c>
      <c r="CW7" s="4">
        <f>IFERROR(
(INDEX(スコア表[],MATCH($C7,スコア表['#],0),MATCH(CW$5,スコア表[#Headers],0))
-
INDEX(スコア表2[],MATCH("average",スコア表2[maxmin],0),MATCH(CW$5,スコア表2[#Headers],0)))
/
INDEX(スコア表2[],MATCH("stdev.p",スコア表2[maxmin],0),MATCH(CW$5,スコア表2[#Headers],0))
*10+50,"-")</f>
        <v>86.347202128658665</v>
      </c>
      <c r="CX7" s="4">
        <f>IFERROR(
(INDEX(スコア表[],MATCH($C7,スコア表['#],0),MATCH(CX$5,スコア表[#Headers],0))
-
INDEX(スコア表2[],MATCH("average",スコア表2[maxmin],0),MATCH(CX$5,スコア表2[#Headers],0)))
/
INDEX(スコア表2[],MATCH("stdev.p",スコア表2[maxmin],0),MATCH(CX$5,スコア表2[#Headers],0))
*10+50,"-")</f>
        <v>56.320820404768135</v>
      </c>
      <c r="CY7" s="4">
        <f>IFERROR(
(INDEX(スコア表[],MATCH($C7,スコア表['#],0),MATCH(CY$5,スコア表[#Headers],0))
-
INDEX(スコア表2[],MATCH("average",スコア表2[maxmin],0),MATCH(CY$5,スコア表2[#Headers],0)))
/
INDEX(スコア表2[],MATCH("stdev.p",スコア表2[maxmin],0),MATCH(CY$5,スコア表2[#Headers],0))
*10+50,"-")</f>
        <v>41.398884281402196</v>
      </c>
      <c r="CZ7" s="4">
        <f>IFERROR(
(INDEX(スコア表[],MATCH($C7,スコア表['#],0),MATCH(CZ$5,スコア表[#Headers],0))
-
INDEX(スコア表2[],MATCH("average",スコア表2[maxmin],0),MATCH(CZ$5,スコア表2[#Headers],0)))
/
INDEX(スコア表2[],MATCH("stdev.p",スコア表2[maxmin],0),MATCH(CZ$5,スコア表2[#Headers],0))
*10+50,"-")</f>
        <v>73.331497303580832</v>
      </c>
      <c r="DA7" s="4">
        <f>IFERROR(
(INDEX(スコア表[],MATCH($C7,スコア表['#],0),MATCH(DA$5,スコア表[#Headers],0))
-
INDEX(スコア表2[],MATCH("average",スコア表2[maxmin],0),MATCH(DA$5,スコア表2[#Headers],0)))
/
INDEX(スコア表2[],MATCH("stdev.p",スコア表2[maxmin],0),MATCH(DA$5,スコア表2[#Headers],0))
*10+50,"-")</f>
        <v>79.884047502502668</v>
      </c>
      <c r="DB7" s="4">
        <f>IFERROR(
(INDEX(スコア表[],MATCH($C7,スコア表['#],0),MATCH(DB$5,スコア表[#Headers],0))
-
INDEX(スコア表2[],MATCH("average",スコア表2[maxmin],0),MATCH(DB$5,スコア表2[#Headers],0)))
/
INDEX(スコア表2[],MATCH("stdev.p",スコア表2[maxmin],0),MATCH(DB$5,スコア表2[#Headers],0))
*10+50,"-")</f>
        <v>69.930598531255939</v>
      </c>
      <c r="DC7" s="4">
        <f>IFERROR(
(INDEX(スコア表[],MATCH($C7,スコア表['#],0),MATCH(DC$5,スコア表[#Headers],0))
-
INDEX(スコア表2[],MATCH("average",スコア表2[maxmin],0),MATCH(DC$5,スコア表2[#Headers],0)))
/
INDEX(スコア表2[],MATCH("stdev.p",スコア表2[maxmin],0),MATCH(DC$5,スコア表2[#Headers],0))
*10+50,"-")</f>
        <v>40.15755177617558</v>
      </c>
      <c r="DD7" s="4">
        <f>IFERROR(
(INDEX(スコア表[],MATCH($C7,スコア表['#],0),MATCH(DD$5,スコア表[#Headers],0))
-
INDEX(スコア表2[],MATCH("average",スコア表2[maxmin],0),MATCH(DD$5,スコア表2[#Headers],0)))
/
INDEX(スコア表2[],MATCH("stdev.p",スコア表2[maxmin],0),MATCH(DD$5,スコア表2[#Headers],0))
*10+50,"-")</f>
        <v>47.45671002646835</v>
      </c>
      <c r="DE7" s="4">
        <f>IFERROR(
(INDEX(スコア表[],MATCH($C7,スコア表['#],0),MATCH(DE$5,スコア表[#Headers],0))
-
INDEX(スコア表2[],MATCH("average",スコア表2[maxmin],0),MATCH(DE$5,スコア表2[#Headers],0)))
/
INDEX(スコア表2[],MATCH("stdev.p",スコア表2[maxmin],0),MATCH(DE$5,スコア表2[#Headers],0))
*10+50,"-")</f>
        <v>69.712434438204852</v>
      </c>
      <c r="DF7" s="76">
        <f>IFERROR(
(INDEX(スコア表[],MATCH($C7,スコア表['#],0),MATCH(DF$5,スコア表[#Headers],0))
-
INDEX(スコア表2[],MATCH("average",スコア表2[maxmin],0),MATCH(DF$5,スコア表2[#Headers],0)))
/
INDEX(スコア表2[],MATCH("stdev.p",スコア表2[maxmin],0),MATCH(DF$5,スコア表2[#Headers],0))
*10+50,"-")</f>
        <v>73.65900515785043</v>
      </c>
      <c r="DG7" s="4">
        <f>IFERROR(_xlfn.STDEV.P(偏差値表[[#This Row],[Economy]:[Accessibility]]),"")</f>
        <v>14.41788829208812</v>
      </c>
    </row>
    <row r="8" spans="1:111">
      <c r="A8" s="2">
        <v>3</v>
      </c>
      <c r="B8" s="58">
        <f>INDEX(順位表[Comprehensive],MATCH($C8,順位表['#],0))</f>
        <v>3</v>
      </c>
      <c r="C8" s="3">
        <v>29</v>
      </c>
      <c r="D8" s="1" t="str">
        <f>INDEX(都市マスタ[City Name],MATCH($C8,都市マスタ['#],0))</f>
        <v>Tokyo</v>
      </c>
      <c r="E8" s="4">
        <f>IFERROR(
(INDEX(スコア表[],MATCH($C8,スコア表['#],0),MATCH(E$5,スコア表[#Headers],0))
-
INDEX(スコア表2[],MATCH("average",スコア表2[maxmin],0),MATCH(E$5,スコア表2[#Headers],0)))
/
INDEX(スコア表2[],MATCH("stdev.p",スコア表2[maxmin],0),MATCH(E$5,スコア表2[#Headers],0))
*10+50,"-")</f>
        <v>57.866931616281917</v>
      </c>
      <c r="F8" s="4">
        <f>IFERROR(
(INDEX(スコア表[],MATCH($C8,スコア表['#],0),MATCH(F$5,スコア表[#Headers],0))
-
INDEX(スコア表2[],MATCH("average",スコア表2[maxmin],0),MATCH(F$5,スコア表2[#Headers],0)))
/
INDEX(スコア表2[],MATCH("stdev.p",スコア表2[maxmin],0),MATCH(F$5,スコア表2[#Headers],0))
*10+50,"-")</f>
        <v>46.702070780780552</v>
      </c>
      <c r="G8" s="4">
        <f>IFERROR(
(INDEX(スコア表[],MATCH($C8,スコア表['#],0),MATCH(G$5,スコア表[#Headers],0))
-
INDEX(スコア表2[],MATCH("average",スコア表2[maxmin],0),MATCH(G$5,スコア表2[#Headers],0)))
/
INDEX(スコア表2[],MATCH("stdev.p",スコア表2[maxmin],0),MATCH(G$5,スコア表2[#Headers],0))
*10+50,"-")</f>
        <v>48.947412332433075</v>
      </c>
      <c r="H8" s="4">
        <f>IFERROR(
(INDEX(スコア表[],MATCH($C8,スコア表['#],0),MATCH(H$5,スコア表[#Headers],0))
-
INDEX(スコア表2[],MATCH("average",スコア表2[maxmin],0),MATCH(H$5,スコア表2[#Headers],0)))
/
INDEX(スコア表2[],MATCH("stdev.p",スコア表2[maxmin],0),MATCH(H$5,スコア表2[#Headers],0))
*10+50,"-")</f>
        <v>78.629931725696167</v>
      </c>
      <c r="I8" s="4">
        <f>IFERROR(
(INDEX(スコア表[],MATCH($C8,スコア表['#],0),MATCH(I$5,スコア表[#Headers],0))
-
INDEX(スコア表2[],MATCH("average",スコア表2[maxmin],0),MATCH(I$5,スコア表2[#Headers],0)))
/
INDEX(スコア表2[],MATCH("stdev.p",スコア表2[maxmin],0),MATCH(I$5,スコア表2[#Headers],0))
*10+50,"-")</f>
        <v>52.59078737372738</v>
      </c>
      <c r="J8" s="4">
        <f>IFERROR(
(INDEX(スコア表[],MATCH($C8,スコア表['#],0),MATCH(J$5,スコア表[#Headers],0))
-
INDEX(スコア表2[],MATCH("average",スコア表2[maxmin],0),MATCH(J$5,スコア表2[#Headers],0)))
/
INDEX(スコア表2[],MATCH("stdev.p",スコア表2[maxmin],0),MATCH(J$5,スコア表2[#Headers],0))
*10+50,"-")</f>
        <v>30.586203338523941</v>
      </c>
      <c r="K8" s="4">
        <f>IFERROR(
(INDEX(スコア表[],MATCH($C8,スコア表['#],0),MATCH(K$5,スコア表[#Headers],0))
-
INDEX(スコア表2[],MATCH("average",スコア表2[maxmin],0),MATCH(K$5,スコア表2[#Headers],0)))
/
INDEX(スコア表2[],MATCH("stdev.p",スコア表2[maxmin],0),MATCH(K$5,スコア表2[#Headers],0))
*10+50,"-")</f>
        <v>51.593749602246064</v>
      </c>
      <c r="L8" s="4">
        <f>IFERROR(
(INDEX(スコア表[],MATCH($C8,スコア表['#],0),MATCH(L$5,スコア表[#Headers],0))
-
INDEX(スコア表2[],MATCH("average",スコア表2[maxmin],0),MATCH(L$5,スコア表2[#Headers],0)))
/
INDEX(スコア表2[],MATCH("stdev.p",スコア表2[maxmin],0),MATCH(L$5,スコア表2[#Headers],0))
*10+50,"-")</f>
        <v>56.102621190863971</v>
      </c>
      <c r="M8" s="4">
        <f>IFERROR(
(INDEX(スコア表[],MATCH($C8,スコア表['#],0),MATCH(M$5,スコア表[#Headers],0))
-
INDEX(スコア表2[],MATCH("average",スコア表2[maxmin],0),MATCH(M$5,スコア表2[#Headers],0)))
/
INDEX(スコア表2[],MATCH("stdev.p",スコア表2[maxmin],0),MATCH(M$5,スコア表2[#Headers],0))
*10+50,"-")</f>
        <v>68.232264421335543</v>
      </c>
      <c r="N8" s="4">
        <f>IFERROR(
(INDEX(スコア表[],MATCH($C8,スコア表['#],0),MATCH(N$5,スコア表[#Headers],0))
-
INDEX(スコア表2[],MATCH("average",スコア表2[maxmin],0),MATCH(N$5,スコア表2[#Headers],0)))
/
INDEX(スコア表2[],MATCH("stdev.p",スコア表2[maxmin],0),MATCH(N$5,スコア表2[#Headers],0))
*10+50,"-")</f>
        <v>68.509076793153611</v>
      </c>
      <c r="O8" s="4">
        <f>IFERROR(
(INDEX(スコア表[],MATCH($C8,スコア表['#],0),MATCH(O$5,スコア表[#Headers],0))
-
INDEX(スコア表2[],MATCH("average",スコア表2[maxmin],0),MATCH(O$5,スコア表2[#Headers],0)))
/
INDEX(スコア表2[],MATCH("stdev.p",スコア表2[maxmin],0),MATCH(O$5,スコア表2[#Headers],0))
*10+50,"-")</f>
        <v>56.550938180366394</v>
      </c>
      <c r="P8" s="4">
        <f>IFERROR(
(INDEX(スコア表[],MATCH($C8,スコア表['#],0),MATCH(P$5,スコア表[#Headers],0))
-
INDEX(スコア表2[],MATCH("average",スコア表2[maxmin],0),MATCH(P$5,スコア表2[#Headers],0)))
/
INDEX(スコア表2[],MATCH("stdev.p",スコア表2[maxmin],0),MATCH(P$5,スコア表2[#Headers],0))
*10+50,"-")</f>
        <v>48.228090343518119</v>
      </c>
      <c r="Q8" s="4">
        <f>IFERROR(
(INDEX(スコア表[],MATCH($C8,スコア表['#],0),MATCH(Q$5,スコア表[#Headers],0))
-
INDEX(スコア表2[],MATCH("average",スコア表2[maxmin],0),MATCH(Q$5,スコア表2[#Headers],0)))
/
INDEX(スコア表2[],MATCH("stdev.p",スコア表2[maxmin],0),MATCH(Q$5,スコア表2[#Headers],0))
*10+50,"-")</f>
        <v>39.151092924725475</v>
      </c>
      <c r="R8" s="4">
        <f>IFERROR(
(INDEX(スコア表[],MATCH($C8,スコア表['#],0),MATCH(R$5,スコア表[#Headers],0))
-
INDEX(スコア表2[],MATCH("average",スコア表2[maxmin],0),MATCH(R$5,スコア表2[#Headers],0)))
/
INDEX(スコア表2[],MATCH("stdev.p",スコア表2[maxmin],0),MATCH(R$5,スコア表2[#Headers],0))
*10+50,"-")</f>
        <v>51.348781735665419</v>
      </c>
      <c r="S8" s="4">
        <f>IFERROR(
(INDEX(スコア表[],MATCH($C8,スコア表['#],0),MATCH(S$5,スコア表[#Headers],0))
-
INDEX(スコア表2[],MATCH("average",スコア表2[maxmin],0),MATCH(S$5,スコア表2[#Headers],0)))
/
INDEX(スコア表2[],MATCH("stdev.p",スコア表2[maxmin],0),MATCH(S$5,スコア表2[#Headers],0))
*10+50,"-")</f>
        <v>40.080180619446836</v>
      </c>
      <c r="T8" s="4">
        <f>IFERROR(
(INDEX(スコア表[],MATCH($C8,スコア表['#],0),MATCH(T$5,スコア表[#Headers],0))
-
INDEX(スコア表2[],MATCH("average",スコア表2[maxmin],0),MATCH(T$5,スコア表2[#Headers],0)))
/
INDEX(スコア表2[],MATCH("stdev.p",スコア表2[maxmin],0),MATCH(T$5,スコア表2[#Headers],0))
*10+50,"-")</f>
        <v>52.582785568571552</v>
      </c>
      <c r="U8" s="4">
        <f>IFERROR(
(INDEX(スコア表[],MATCH($C8,スコア表['#],0),MATCH(U$5,スコア表[#Headers],0))
-
INDEX(スコア表2[],MATCH("average",スコア表2[maxmin],0),MATCH(U$5,スコア表2[#Headers],0)))
/
INDEX(スコア表2[],MATCH("stdev.p",スコア表2[maxmin],0),MATCH(U$5,スコア表2[#Headers],0))
*10+50,"-")</f>
        <v>79.164765095119307</v>
      </c>
      <c r="V8" s="4">
        <f>IFERROR(
(INDEX(スコア表[],MATCH($C8,スコア表['#],0),MATCH(V$5,スコア表[#Headers],0))
-
INDEX(スコア表2[],MATCH("average",スコア表2[maxmin],0),MATCH(V$5,スコア表2[#Headers],0)))
/
INDEX(スコア表2[],MATCH("stdev.p",スコア表2[maxmin],0),MATCH(V$5,スコア表2[#Headers],0))
*10+50,"-")</f>
        <v>48.361282204222995</v>
      </c>
      <c r="W8" s="4">
        <f>IFERROR(
(INDEX(スコア表[],MATCH($C8,スコア表['#],0),MATCH(W$5,スコア表[#Headers],0))
-
INDEX(スコア表2[],MATCH("average",スコア表2[maxmin],0),MATCH(W$5,スコア表2[#Headers],0)))
/
INDEX(スコア表2[],MATCH("stdev.p",スコア表2[maxmin],0),MATCH(W$5,スコア表2[#Headers],0))
*10+50,"-")</f>
        <v>69.053489791427239</v>
      </c>
      <c r="X8" s="4">
        <f>IFERROR(
(INDEX(スコア表[],MATCH($C8,スコア表['#],0),MATCH(X$5,スコア表[#Headers],0))
-
INDEX(スコア表2[],MATCH("average",スコア表2[maxmin],0),MATCH(X$5,スコア表2[#Headers],0)))
/
INDEX(スコア表2[],MATCH("stdev.p",スコア表2[maxmin],0),MATCH(X$5,スコア表2[#Headers],0))
*10+50,"-")</f>
        <v>44.656942129880186</v>
      </c>
      <c r="Y8" s="4">
        <f>IFERROR(
(INDEX(スコア表[],MATCH($C8,スコア表['#],0),MATCH(Y$5,スコア表[#Headers],0))
-
INDEX(スコア表2[],MATCH("average",スコア表2[maxmin],0),MATCH(Y$5,スコア表2[#Headers],0)))
/
INDEX(スコア表2[],MATCH("stdev.p",スコア表2[maxmin],0),MATCH(Y$5,スコア表2[#Headers],0))
*10+50,"-")</f>
        <v>57.273290669212244</v>
      </c>
      <c r="Z8" s="4">
        <f>IFERROR(
(INDEX(スコア表[],MATCH($C8,スコア表['#],0),MATCH(Z$5,スコア表[#Headers],0))
-
INDEX(スコア表2[],MATCH("average",スコア表2[maxmin],0),MATCH(Z$5,スコア表2[#Headers],0)))
/
INDEX(スコア表2[],MATCH("stdev.p",スコア表2[maxmin],0),MATCH(Z$5,スコア表2[#Headers],0))
*10+50,"-")</f>
        <v>90.82421638770569</v>
      </c>
      <c r="AA8" s="4">
        <f>IFERROR(
(INDEX(スコア表[],MATCH($C8,スコア表['#],0),MATCH(AA$5,スコア表[#Headers],0))
-
INDEX(スコア表2[],MATCH("average",スコア表2[maxmin],0),MATCH(AA$5,スコア表2[#Headers],0)))
/
INDEX(スコア表2[],MATCH("stdev.p",スコア表2[maxmin],0),MATCH(AA$5,スコア表2[#Headers],0))
*10+50,"-")</f>
        <v>50.953098758678706</v>
      </c>
      <c r="AB8" s="4">
        <f>IFERROR(
(INDEX(スコア表[],MATCH($C8,スコア表['#],0),MATCH(AB$5,スコア表[#Headers],0))
-
INDEX(スコア表2[],MATCH("average",スコア表2[maxmin],0),MATCH(AB$5,スコア表2[#Headers],0)))
/
INDEX(スコア表2[],MATCH("stdev.p",スコア表2[maxmin],0),MATCH(AB$5,スコア表2[#Headers],0))
*10+50,"-")</f>
        <v>52.882723956361247</v>
      </c>
      <c r="AC8" s="4">
        <f>IFERROR(
(INDEX(スコア表[],MATCH($C8,スコア表['#],0),MATCH(AC$5,スコア表[#Headers],0))
-
INDEX(スコア表2[],MATCH("average",スコア表2[maxmin],0),MATCH(AC$5,スコア表2[#Headers],0)))
/
INDEX(スコア表2[],MATCH("stdev.p",スコア表2[maxmin],0),MATCH(AC$5,スコア表2[#Headers],0))
*10+50,"-")</f>
        <v>78.806307969408692</v>
      </c>
      <c r="AD8" s="4">
        <f>IFERROR(
(INDEX(スコア表[],MATCH($C8,スコア表['#],0),MATCH(AD$5,スコア表[#Headers],0))
-
INDEX(スコア表2[],MATCH("average",スコア表2[maxmin],0),MATCH(AD$5,スコア表2[#Headers],0)))
/
INDEX(スコア表2[],MATCH("stdev.p",スコア表2[maxmin],0),MATCH(AD$5,スコア表2[#Headers],0))
*10+50,"-")</f>
        <v>83.466914526891131</v>
      </c>
      <c r="AE8" s="4">
        <f>IFERROR(
(INDEX(スコア表[],MATCH($C8,スコア表['#],0),MATCH(AE$5,スコア表[#Headers],0))
-
INDEX(スコア表2[],MATCH("average",スコア表2[maxmin],0),MATCH(AE$5,スコア表2[#Headers],0)))
/
INDEX(スコア表2[],MATCH("stdev.p",スコア表2[maxmin],0),MATCH(AE$5,スコア表2[#Headers],0))
*10+50,"-")</f>
        <v>49.426647792330954</v>
      </c>
      <c r="AF8" s="4">
        <f>IFERROR(
(INDEX(スコア表[],MATCH($C8,スコア表['#],0),MATCH(AF$5,スコア表[#Headers],0))
-
INDEX(スコア表2[],MATCH("average",スコア表2[maxmin],0),MATCH(AF$5,スコア表2[#Headers],0)))
/
INDEX(スコア表2[],MATCH("stdev.p",スコア表2[maxmin],0),MATCH(AF$5,スコア表2[#Headers],0))
*10+50,"-")</f>
        <v>51.741878988102982</v>
      </c>
      <c r="AG8" s="4">
        <f>IFERROR(
(INDEX(スコア表[],MATCH($C8,スコア表['#],0),MATCH(AG$5,スコア表[#Headers],0))
-
INDEX(スコア表2[],MATCH("average",スコア表2[maxmin],0),MATCH(AG$5,スコア表2[#Headers],0)))
/
INDEX(スコア表2[],MATCH("stdev.p",スコア表2[maxmin],0),MATCH(AG$5,スコア表2[#Headers],0))
*10+50,"-")</f>
        <v>52.783998655217317</v>
      </c>
      <c r="AH8" s="4">
        <f>IFERROR(
(INDEX(スコア表[],MATCH($C8,スコア表['#],0),MATCH(AH$5,スコア表[#Headers],0))
-
INDEX(スコア表2[],MATCH("average",スコア表2[maxmin],0),MATCH(AH$5,スコア表2[#Headers],0)))
/
INDEX(スコア表2[],MATCH("stdev.p",スコア表2[maxmin],0),MATCH(AH$5,スコア表2[#Headers],0))
*10+50,"-")</f>
        <v>48.909219211448644</v>
      </c>
      <c r="AI8" s="4">
        <f>IFERROR(
(INDEX(スコア表[],MATCH($C8,スコア表['#],0),MATCH(AI$5,スコア表[#Headers],0))
-
INDEX(スコア表2[],MATCH("average",スコア表2[maxmin],0),MATCH(AI$5,スコア表2[#Headers],0)))
/
INDEX(スコア表2[],MATCH("stdev.p",スコア表2[maxmin],0),MATCH(AI$5,スコア表2[#Headers],0))
*10+50,"-")</f>
        <v>45.202149964525773</v>
      </c>
      <c r="AJ8" s="4">
        <f>IFERROR(
(INDEX(スコア表[],MATCH($C8,スコア表['#],0),MATCH(AJ$5,スコア表[#Headers],0))
-
INDEX(スコア表2[],MATCH("average",スコア表2[maxmin],0),MATCH(AJ$5,スコア表2[#Headers],0)))
/
INDEX(スコア表2[],MATCH("stdev.p",スコア表2[maxmin],0),MATCH(AJ$5,スコア表2[#Headers],0))
*10+50,"-")</f>
        <v>66.828036155146236</v>
      </c>
      <c r="AK8" s="4">
        <f>IFERROR(
(INDEX(スコア表[],MATCH($C8,スコア表['#],0),MATCH(AK$5,スコア表[#Headers],0))
-
INDEX(スコア表2[],MATCH("average",スコア表2[maxmin],0),MATCH(AK$5,スコア表2[#Headers],0)))
/
INDEX(スコア表2[],MATCH("stdev.p",スコア表2[maxmin],0),MATCH(AK$5,スコア表2[#Headers],0))
*10+50,"-")</f>
        <v>59.914728500127353</v>
      </c>
      <c r="AL8" s="4">
        <f>IFERROR(
(INDEX(スコア表[],MATCH($C8,スコア表['#],0),MATCH(AL$5,スコア表[#Headers],0))
-
INDEX(スコア表2[],MATCH("average",スコア表2[maxmin],0),MATCH(AL$5,スコア表2[#Headers],0)))
/
INDEX(スコア表2[],MATCH("stdev.p",スコア表2[maxmin],0),MATCH(AL$5,スコア表2[#Headers],0))
*10+50,"-")</f>
        <v>59.421826476754596</v>
      </c>
      <c r="AM8" s="4">
        <f>IFERROR(
(INDEX(スコア表[],MATCH($C8,スコア表['#],0),MATCH(AM$5,スコア表[#Headers],0))
-
INDEX(スコア表2[],MATCH("average",スコア表2[maxmin],0),MATCH(AM$5,スコア表2[#Headers],0)))
/
INDEX(スコア表2[],MATCH("stdev.p",スコア表2[maxmin],0),MATCH(AM$5,スコア表2[#Headers],0))
*10+50,"-")</f>
        <v>81.233875147441097</v>
      </c>
      <c r="AN8" s="4">
        <f>IFERROR(
(INDEX(スコア表[],MATCH($C8,スコア表['#],0),MATCH(AN$5,スコア表[#Headers],0))
-
INDEX(スコア表2[],MATCH("average",スコア表2[maxmin],0),MATCH(AN$5,スコア表2[#Headers],0)))
/
INDEX(スコア表2[],MATCH("stdev.p",スコア表2[maxmin],0),MATCH(AN$5,スコア表2[#Headers],0))
*10+50,"-")</f>
        <v>48.470154506267519</v>
      </c>
      <c r="AO8" s="4">
        <f>IFERROR(
(INDEX(スコア表[],MATCH($C8,スコア表['#],0),MATCH(AO$5,スコア表[#Headers],0))
-
INDEX(スコア表2[],MATCH("average",スコア表2[maxmin],0),MATCH(AO$5,スコア表2[#Headers],0)))
/
INDEX(スコア表2[],MATCH("stdev.p",スコア表2[maxmin],0),MATCH(AO$5,スコア表2[#Headers],0))
*10+50,"-")</f>
        <v>75.572932535626137</v>
      </c>
      <c r="AP8" s="4">
        <f>IFERROR(
(INDEX(スコア表[],MATCH($C8,スコア表['#],0),MATCH(AP$5,スコア表[#Headers],0))
-
INDEX(スコア表2[],MATCH("average",スコア表2[maxmin],0),MATCH(AP$5,スコア表2[#Headers],0)))
/
INDEX(スコア表2[],MATCH("stdev.p",スコア表2[maxmin],0),MATCH(AP$5,スコア表2[#Headers],0))
*10+50,"-")</f>
        <v>82.167602537846278</v>
      </c>
      <c r="AQ8" s="4">
        <f>IFERROR(
(INDEX(スコア表[],MATCH($C8,スコア表['#],0),MATCH(AQ$5,スコア表[#Headers],0))
-
INDEX(スコア表2[],MATCH("average",スコア表2[maxmin],0),MATCH(AQ$5,スコア表2[#Headers],0)))
/
INDEX(スコア表2[],MATCH("stdev.p",スコア表2[maxmin],0),MATCH(AQ$5,スコア表2[#Headers],0))
*10+50,"-")</f>
        <v>49.875805953678899</v>
      </c>
      <c r="AR8" s="4">
        <f>IFERROR(
(INDEX(スコア表[],MATCH($C8,スコア表['#],0),MATCH(AR$5,スコア表[#Headers],0))
-
INDEX(スコア表2[],MATCH("average",スコア表2[maxmin],0),MATCH(AR$5,スコア表2[#Headers],0)))
/
INDEX(スコア表2[],MATCH("stdev.p",スコア表2[maxmin],0),MATCH(AR$5,スコア表2[#Headers],0))
*10+50,"-")</f>
        <v>50.649700719975904</v>
      </c>
      <c r="AS8" s="4">
        <f>IFERROR(
(INDEX(スコア表[],MATCH($C8,スコア表['#],0),MATCH(AS$5,スコア表[#Headers],0))
-
INDEX(スコア表2[],MATCH("average",スコア表2[maxmin],0),MATCH(AS$5,スコア表2[#Headers],0)))
/
INDEX(スコア表2[],MATCH("stdev.p",スコア表2[maxmin],0),MATCH(AS$5,スコア表2[#Headers],0))
*10+50,"-")</f>
        <v>56.89482944069006</v>
      </c>
      <c r="AT8" s="4">
        <f>IFERROR(
(INDEX(スコア表[],MATCH($C8,スコア表['#],0),MATCH(AT$5,スコア表[#Headers],0))
-
INDEX(スコア表2[],MATCH("average",スコア表2[maxmin],0),MATCH(AT$5,スコア表2[#Headers],0)))
/
INDEX(スコア表2[],MATCH("stdev.p",スコア表2[maxmin],0),MATCH(AT$5,スコア表2[#Headers],0))
*10+50,"-")</f>
        <v>53.331960032127803</v>
      </c>
      <c r="AU8" s="4">
        <f>IFERROR(
(INDEX(スコア表[],MATCH($C8,スコア表['#],0),MATCH(AU$5,スコア表[#Headers],0))
-
INDEX(スコア表2[],MATCH("average",スコア表2[maxmin],0),MATCH(AU$5,スコア表2[#Headers],0)))
/
INDEX(スコア表2[],MATCH("stdev.p",スコア表2[maxmin],0),MATCH(AU$5,スコア表2[#Headers],0))
*10+50,"-")</f>
        <v>47.478074459815943</v>
      </c>
      <c r="AV8" s="4">
        <f>IFERROR(
(INDEX(スコア表[],MATCH($C8,スコア表['#],0),MATCH(AV$5,スコア表[#Headers],0))
-
INDEX(スコア表2[],MATCH("average",スコア表2[maxmin],0),MATCH(AV$5,スコア表2[#Headers],0)))
/
INDEX(スコア表2[],MATCH("stdev.p",スコア表2[maxmin],0),MATCH(AV$5,スコア表2[#Headers],0))
*10+50,"-")</f>
        <v>53.610535530532829</v>
      </c>
      <c r="AW8" s="4">
        <f>IFERROR(
(INDEX(スコア表[],MATCH($C8,スコア表['#],0),MATCH(AW$5,スコア表[#Headers],0))
-
INDEX(スコア表2[],MATCH("average",スコア表2[maxmin],0),MATCH(AW$5,スコア表2[#Headers],0)))
/
INDEX(スコア表2[],MATCH("stdev.p",スコア表2[maxmin],0),MATCH(AW$5,スコア表2[#Headers],0))
*10+50,"-")</f>
        <v>50.661906335382</v>
      </c>
      <c r="AX8" s="4">
        <f>IFERROR(
(INDEX(スコア表[],MATCH($C8,スコア表['#],0),MATCH(AX$5,スコア表[#Headers],0))
-
INDEX(スコア表2[],MATCH("average",スコア表2[maxmin],0),MATCH(AX$5,スコア表2[#Headers],0)))
/
INDEX(スコア表2[],MATCH("stdev.p",スコア表2[maxmin],0),MATCH(AX$5,スコア表2[#Headers],0))
*10+50,"-")</f>
        <v>54.554873812516753</v>
      </c>
      <c r="AY8" s="4">
        <f>IFERROR(
(INDEX(スコア表[],MATCH($C8,スコア表['#],0),MATCH(AY$5,スコア表[#Headers],0))
-
INDEX(スコア表2[],MATCH("average",スコア表2[maxmin],0),MATCH(AY$5,スコア表2[#Headers],0)))
/
INDEX(スコア表2[],MATCH("stdev.p",スコア表2[maxmin],0),MATCH(AY$5,スコア表2[#Headers],0))
*10+50,"-")</f>
        <v>47.893628331134451</v>
      </c>
      <c r="AZ8" s="4">
        <f>IFERROR(
(INDEX(スコア表[],MATCH($C8,スコア表['#],0),MATCH(AZ$5,スコア表[#Headers],0))
-
INDEX(スコア表2[],MATCH("average",スコア表2[maxmin],0),MATCH(AZ$5,スコア表2[#Headers],0)))
/
INDEX(スコア表2[],MATCH("stdev.p",スコア表2[maxmin],0),MATCH(AZ$5,スコア表2[#Headers],0))
*10+50,"-")</f>
        <v>60.610714303640968</v>
      </c>
      <c r="BA8" s="4">
        <f>IFERROR(
(INDEX(スコア表[],MATCH($C8,スコア表['#],0),MATCH(BA$5,スコア表[#Headers],0))
-
INDEX(スコア表2[],MATCH("average",スコア表2[maxmin],0),MATCH(BA$5,スコア表2[#Headers],0)))
/
INDEX(スコア表2[],MATCH("stdev.p",スコア表2[maxmin],0),MATCH(BA$5,スコア表2[#Headers],0))
*10+50,"-")</f>
        <v>49.479348148056744</v>
      </c>
      <c r="BB8" s="4">
        <f>IFERROR(
(INDEX(スコア表[],MATCH($C8,スコア表['#],0),MATCH(BB$5,スコア表[#Headers],0))
-
INDEX(スコア表2[],MATCH("average",スコア表2[maxmin],0),MATCH(BB$5,スコア表2[#Headers],0)))
/
INDEX(スコア表2[],MATCH("stdev.p",スコア表2[maxmin],0),MATCH(BB$5,スコア表2[#Headers],0))
*10+50,"-")</f>
        <v>49.780663622749465</v>
      </c>
      <c r="BC8" s="4">
        <f>IFERROR(
(INDEX(スコア表[],MATCH($C8,スコア表['#],0),MATCH(BC$5,スコア表[#Headers],0))
-
INDEX(スコア表2[],MATCH("average",スコア表2[maxmin],0),MATCH(BC$5,スコア表2[#Headers],0)))
/
INDEX(スコア表2[],MATCH("stdev.p",スコア表2[maxmin],0),MATCH(BC$5,スコア表2[#Headers],0))
*10+50,"-")</f>
        <v>51.944197811661013</v>
      </c>
      <c r="BD8" s="4">
        <f>IFERROR(
(INDEX(スコア表[],MATCH($C8,スコア表['#],0),MATCH(BD$5,スコア表[#Headers],0))
-
INDEX(スコア表2[],MATCH("average",スコア表2[maxmin],0),MATCH(BD$5,スコア表2[#Headers],0)))
/
INDEX(スコア表2[],MATCH("stdev.p",スコア表2[maxmin],0),MATCH(BD$5,スコア表2[#Headers],0))
*10+50,"-")</f>
        <v>48.598176317266194</v>
      </c>
      <c r="BE8" s="4">
        <f>IFERROR(
(INDEX(スコア表[],MATCH($C8,スコア表['#],0),MATCH(BE$5,スコア表[#Headers],0))
-
INDEX(スコア表2[],MATCH("average",スコア表2[maxmin],0),MATCH(BE$5,スコア表2[#Headers],0)))
/
INDEX(スコア表2[],MATCH("stdev.p",スコア表2[maxmin],0),MATCH(BE$5,スコア表2[#Headers],0))
*10+50,"-")</f>
        <v>65.463626092827724</v>
      </c>
      <c r="BF8" s="4">
        <f>IFERROR(
(INDEX(スコア表[],MATCH($C8,スコア表['#],0),MATCH(BF$5,スコア表[#Headers],0))
-
INDEX(スコア表2[],MATCH("average",スコア表2[maxmin],0),MATCH(BF$5,スコア表2[#Headers],0)))
/
INDEX(スコア表2[],MATCH("stdev.p",スコア表2[maxmin],0),MATCH(BF$5,スコア表2[#Headers],0))
*10+50,"-")</f>
        <v>65.408550211329555</v>
      </c>
      <c r="BG8" s="4">
        <f>IFERROR(
(INDEX(スコア表[],MATCH($C8,スコア表['#],0),MATCH(BG$5,スコア表[#Headers],0))
-
INDEX(スコア表2[],MATCH("average",スコア表2[maxmin],0),MATCH(BG$5,スコア表2[#Headers],0)))
/
INDEX(スコア表2[],MATCH("stdev.p",スコア表2[maxmin],0),MATCH(BG$5,スコア表2[#Headers],0))
*10+50,"-")</f>
        <v>55.631480779821082</v>
      </c>
      <c r="BH8" s="4">
        <f>IFERROR(
(INDEX(スコア表[],MATCH($C8,スコア表['#],0),MATCH(BH$5,スコア表[#Headers],0))
-
INDEX(スコア表2[],MATCH("average",スコア表2[maxmin],0),MATCH(BH$5,スコア表2[#Headers],0)))
/
INDEX(スコア表2[],MATCH("stdev.p",スコア表2[maxmin],0),MATCH(BH$5,スコア表2[#Headers],0))
*10+50,"-")</f>
        <v>43.995731382030058</v>
      </c>
      <c r="BI8" s="4">
        <f>IFERROR(
(INDEX(スコア表[],MATCH($C8,スコア表['#],0),MATCH(BI$5,スコア表[#Headers],0))
-
INDEX(スコア表2[],MATCH("average",スコア表2[maxmin],0),MATCH(BI$5,スコア表2[#Headers],0)))
/
INDEX(スコア表2[],MATCH("stdev.p",スコア表2[maxmin],0),MATCH(BI$5,スコア表2[#Headers],0))
*10+50,"-")</f>
        <v>49.246449870989402</v>
      </c>
      <c r="BJ8" s="4">
        <f>IFERROR(
(INDEX(スコア表[],MATCH($C8,スコア表['#],0),MATCH(BJ$5,スコア表[#Headers],0))
-
INDEX(スコア表2[],MATCH("average",スコア表2[maxmin],0),MATCH(BJ$5,スコア表2[#Headers],0)))
/
INDEX(スコア表2[],MATCH("stdev.p",スコア表2[maxmin],0),MATCH(BJ$5,スコア表2[#Headers],0))
*10+50,"-")</f>
        <v>58.594716442282447</v>
      </c>
      <c r="BK8" s="4">
        <f>IFERROR(
(INDEX(スコア表[],MATCH($C8,スコア表['#],0),MATCH(BK$5,スコア表[#Headers],0))
-
INDEX(スコア表2[],MATCH("average",スコア表2[maxmin],0),MATCH(BK$5,スコア表2[#Headers],0)))
/
INDEX(スコア表2[],MATCH("stdev.p",スコア表2[maxmin],0),MATCH(BK$5,スコア表2[#Headers],0))
*10+50,"-")</f>
        <v>55.792489869309975</v>
      </c>
      <c r="BL8" s="4">
        <f>IFERROR(
(INDEX(スコア表[],MATCH($C8,スコア表['#],0),MATCH(BL$5,スコア表[#Headers],0))
-
INDEX(スコア表2[],MATCH("average",スコア表2[maxmin],0),MATCH(BL$5,スコア表2[#Headers],0)))
/
INDEX(スコア表2[],MATCH("stdev.p",スコア表2[maxmin],0),MATCH(BL$5,スコア表2[#Headers],0))
*10+50,"-")</f>
        <v>54.463981466293717</v>
      </c>
      <c r="BM8" s="4">
        <f>IFERROR(
(INDEX(スコア表[],MATCH($C8,スコア表['#],0),MATCH(BM$5,スコア表[#Headers],0))
-
INDEX(スコア表2[],MATCH("average",スコア表2[maxmin],0),MATCH(BM$5,スコア表2[#Headers],0)))
/
INDEX(スコア表2[],MATCH("stdev.p",スコア表2[maxmin],0),MATCH(BM$5,スコア表2[#Headers],0))
*10+50,"-")</f>
        <v>53.23349241007493</v>
      </c>
      <c r="BN8" s="4">
        <f>IFERROR(
(INDEX(スコア表[],MATCH($C8,スコア表['#],0),MATCH(BN$5,スコア表[#Headers],0))
-
INDEX(スコア表2[],MATCH("average",スコア表2[maxmin],0),MATCH(BN$5,スコア表2[#Headers],0)))
/
INDEX(スコア表2[],MATCH("stdev.p",スコア表2[maxmin],0),MATCH(BN$5,スコア表2[#Headers],0))
*10+50,"-")</f>
        <v>39.485482794406884</v>
      </c>
      <c r="BO8" s="4">
        <f>IFERROR(
(INDEX(スコア表[],MATCH($C8,スコア表['#],0),MATCH(BO$5,スコア表[#Headers],0))
-
INDEX(スコア表2[],MATCH("average",スコア表2[maxmin],0),MATCH(BO$5,スコア表2[#Headers],0)))
/
INDEX(スコア表2[],MATCH("stdev.p",スコア表2[maxmin],0),MATCH(BO$5,スコア表2[#Headers],0))
*10+50,"-")</f>
        <v>58.931930829561516</v>
      </c>
      <c r="BP8" s="4">
        <f>IFERROR(
(INDEX(スコア表[],MATCH($C8,スコア表['#],0),MATCH(BP$5,スコア表[#Headers],0))
-
INDEX(スコア表2[],MATCH("average",スコア表2[maxmin],0),MATCH(BP$5,スコア表2[#Headers],0)))
/
INDEX(スコア表2[],MATCH("stdev.p",スコア表2[maxmin],0),MATCH(BP$5,スコア表2[#Headers],0))
*10+50,"-")</f>
        <v>46.606747245307453</v>
      </c>
      <c r="BQ8" s="4">
        <f>IFERROR(
(INDEX(スコア表[],MATCH($C8,スコア表['#],0),MATCH(BQ$5,スコア表[#Headers],0))
-
INDEX(スコア表2[],MATCH("average",スコア表2[maxmin],0),MATCH(BQ$5,スコア表2[#Headers],0)))
/
INDEX(スコア表2[],MATCH("stdev.p",スコア表2[maxmin],0),MATCH(BQ$5,スコア表2[#Headers],0))
*10+50,"-")</f>
        <v>62.63124576294878</v>
      </c>
      <c r="BR8" s="4">
        <f>IFERROR(
(INDEX(スコア表[],MATCH($C8,スコア表['#],0),MATCH(BR$5,スコア表[#Headers],0))
-
INDEX(スコア表2[],MATCH("average",スコア表2[maxmin],0),MATCH(BR$5,スコア表2[#Headers],0)))
/
INDEX(スコア表2[],MATCH("stdev.p",スコア表2[maxmin],0),MATCH(BR$5,スコア表2[#Headers],0))
*10+50,"-")</f>
        <v>59.427210598616099</v>
      </c>
      <c r="BS8" s="4">
        <f>IFERROR(
(INDEX(スコア表[],MATCH($C8,スコア表['#],0),MATCH(BS$5,スコア表[#Headers],0))
-
INDEX(スコア表2[],MATCH("average",スコア表2[maxmin],0),MATCH(BS$5,スコア表2[#Headers],0)))
/
INDEX(スコア表2[],MATCH("stdev.p",スコア表2[maxmin],0),MATCH(BS$5,スコア表2[#Headers],0))
*10+50,"-")</f>
        <v>60.328716407020586</v>
      </c>
      <c r="BT8" s="4">
        <f>IFERROR(
(INDEX(スコア表[],MATCH($C8,スコア表['#],0),MATCH(BT$5,スコア表[#Headers],0))
-
INDEX(スコア表2[],MATCH("average",スコア表2[maxmin],0),MATCH(BT$5,スコア表2[#Headers],0)))
/
INDEX(スコア表2[],MATCH("stdev.p",スコア表2[maxmin],0),MATCH(BT$5,スコア表2[#Headers],0))
*10+50,"-")</f>
        <v>63.919037082109043</v>
      </c>
      <c r="BU8" s="4">
        <f>IFERROR(
(INDEX(スコア表[],MATCH($C8,スコア表['#],0),MATCH(BU$5,スコア表[#Headers],0))
-
INDEX(スコア表2[],MATCH("average",スコア表2[maxmin],0),MATCH(BU$5,スコア表2[#Headers],0)))
/
INDEX(スコア表2[],MATCH("stdev.p",スコア表2[maxmin],0),MATCH(BU$5,スコア表2[#Headers],0))
*10+50,"-")</f>
        <v>68.558688886640795</v>
      </c>
      <c r="BV8" s="4">
        <f>IFERROR(
(INDEX(スコア表[],MATCH($C8,スコア表['#],0),MATCH(BV$5,スコア表[#Headers],0))
-
INDEX(スコア表2[],MATCH("average",スコア表2[maxmin],0),MATCH(BV$5,スコア表2[#Headers],0)))
/
INDEX(スコア表2[],MATCH("stdev.p",スコア表2[maxmin],0),MATCH(BV$5,スコア表2[#Headers],0))
*10+50,"-")</f>
        <v>48.103417284686948</v>
      </c>
      <c r="BW8" s="4">
        <f>IFERROR(
(INDEX(スコア表[],MATCH($C8,スコア表['#],0),MATCH(BW$5,スコア表[#Headers],0))
-
INDEX(スコア表2[],MATCH("average",スコア表2[maxmin],0),MATCH(BW$5,スコア表2[#Headers],0)))
/
INDEX(スコア表2[],MATCH("stdev.p",スコア表2[maxmin],0),MATCH(BW$5,スコア表2[#Headers],0))
*10+50,"-")</f>
        <v>42.856003879399267</v>
      </c>
      <c r="BX8" s="4">
        <f>IFERROR(
(INDEX(スコア表[],MATCH($C8,スコア表['#],0),MATCH(BX$5,スコア表[#Headers],0))
-
INDEX(スコア表2[],MATCH("average",スコア表2[maxmin],0),MATCH(BX$5,スコア表2[#Headers],0)))
/
INDEX(スコア表2[],MATCH("stdev.p",スコア表2[maxmin],0),MATCH(BX$5,スコア表2[#Headers],0))
*10+50,"-")</f>
        <v>42.994609624038205</v>
      </c>
      <c r="BY8" s="4">
        <f>IFERROR(
(INDEX(スコア表[],MATCH($C8,スコア表['#],0),MATCH(BY$5,スコア表[#Headers],0))
-
INDEX(スコア表2[],MATCH("average",スコア表2[maxmin],0),MATCH(BY$5,スコア表2[#Headers],0)))
/
INDEX(スコア表2[],MATCH("stdev.p",スコア表2[maxmin],0),MATCH(BY$5,スコア表2[#Headers],0))
*10+50,"-")</f>
        <v>51.728824469065302</v>
      </c>
      <c r="BZ8" s="4">
        <f>IFERROR(
(INDEX(スコア表[],MATCH($C8,スコア表['#],0),MATCH(BZ$5,スコア表[#Headers],0))
-
INDEX(スコア表2[],MATCH("average",スコア表2[maxmin],0),MATCH(BZ$5,スコア表2[#Headers],0)))
/
INDEX(スコア表2[],MATCH("stdev.p",スコア表2[maxmin],0),MATCH(BZ$5,スコア表2[#Headers],0))
*10+50,"-")</f>
        <v>72.293729854741642</v>
      </c>
      <c r="CA8" s="4">
        <f>IFERROR(
(INDEX(スコア表[],MATCH($C8,スコア表['#],0),MATCH(CA$5,スコア表[#Headers],0))
-
INDEX(スコア表2[],MATCH("average",スコア表2[maxmin],0),MATCH(CA$5,スコア表2[#Headers],0)))
/
INDEX(スコア表2[],MATCH("stdev.p",スコア表2[maxmin],0),MATCH(CA$5,スコア表2[#Headers],0))
*10+50,"-")</f>
        <v>40.563013397593338</v>
      </c>
      <c r="CB8" s="4">
        <f>IFERROR(
(INDEX(スコア表[],MATCH($C8,スコア表['#],0),MATCH(CB$5,スコア表[#Headers],0))
-
INDEX(スコア表2[],MATCH("average",スコア表2[maxmin],0),MATCH(CB$5,スコア表2[#Headers],0)))
/
INDEX(スコア表2[],MATCH("stdev.p",スコア表2[maxmin],0),MATCH(CB$5,スコア表2[#Headers],0))
*10+50,"-")</f>
        <v>66.049169085945294</v>
      </c>
      <c r="CC8" s="4">
        <f>IFERROR(
(INDEX(スコア表[],MATCH($C8,スコア表['#],0),MATCH(CC$5,スコア表[#Headers],0))
-
INDEX(スコア表2[],MATCH("average",スコア表2[maxmin],0),MATCH(CC$5,スコア表2[#Headers],0)))
/
INDEX(スコア表2[],MATCH("stdev.p",スコア表2[maxmin],0),MATCH(CC$5,スコア表2[#Headers],0))
*10+50,"-")</f>
        <v>69.462178222248284</v>
      </c>
      <c r="CD8" s="4">
        <f>IFERROR(
(INDEX(スコア表[],MATCH($C8,スコア表['#],0),MATCH(CD$5,スコア表[#Headers],0))
-
INDEX(スコア表2[],MATCH("average",スコア表2[maxmin],0),MATCH(CD$5,スコア表2[#Headers],0)))
/
INDEX(スコア表2[],MATCH("stdev.p",スコア表2[maxmin],0),MATCH(CD$5,スコア表2[#Headers],0))
*10+50,"-")</f>
        <v>45.156481373292216</v>
      </c>
      <c r="CE8" s="4">
        <f>IFERROR(
(INDEX(スコア表[],MATCH($C8,スコア表['#],0),MATCH(CE$5,スコア表[#Headers],0))
-
INDEX(スコア表2[],MATCH("average",スコア表2[maxmin],0),MATCH(CE$5,スコア表2[#Headers],0)))
/
INDEX(スコア表2[],MATCH("stdev.p",スコア表2[maxmin],0),MATCH(CE$5,スコア表2[#Headers],0))
*10+50,"-")</f>
        <v>45.435323333066499</v>
      </c>
      <c r="CF8" s="4">
        <f>IFERROR(
(INDEX(スコア表[],MATCH($C8,スコア表['#],0),MATCH(CF$5,スコア表[#Headers],0))
-
INDEX(スコア表2[],MATCH("average",スコア表2[maxmin],0),MATCH(CF$5,スコア表2[#Headers],0)))
/
INDEX(スコア表2[],MATCH("stdev.p",スコア表2[maxmin],0),MATCH(CF$5,スコア表2[#Headers],0))
*10+50,"-")</f>
        <v>65.006516001989709</v>
      </c>
      <c r="CG8" s="4">
        <f>IFERROR(
(INDEX(スコア表[],MATCH($C8,スコア表['#],0),MATCH(CG$5,スコア表[#Headers],0))
-
INDEX(スコア表2[],MATCH("average",スコア表2[maxmin],0),MATCH(CG$5,スコア表2[#Headers],0)))
/
INDEX(スコア表2[],MATCH("stdev.p",スコア表2[maxmin],0),MATCH(CG$5,スコア表2[#Headers],0))
*10+50,"-")</f>
        <v>60.735605778529745</v>
      </c>
      <c r="CH8" s="4">
        <f>IFERROR(
(INDEX(スコア表[],MATCH($C8,スコア表['#],0),MATCH(CH$5,スコア表[#Headers],0))
-
INDEX(スコア表2[],MATCH("average",スコア表2[maxmin],0),MATCH(CH$5,スコア表2[#Headers],0)))
/
INDEX(スコア表2[],MATCH("stdev.p",スコア表2[maxmin],0),MATCH(CH$5,スコア表2[#Headers],0))
*10+50,"-")</f>
        <v>70.549052979136974</v>
      </c>
      <c r="CI8" s="4">
        <f>IFERROR(
(INDEX(スコア表[],MATCH($C8,スコア表['#],0),MATCH(CI$5,スコア表[#Headers],0))
-
INDEX(スコア表2[],MATCH("average",スコア表2[maxmin],0),MATCH(CI$5,スコア表2[#Headers],0)))
/
INDEX(スコア表2[],MATCH("stdev.p",スコア表2[maxmin],0),MATCH(CI$5,スコア表2[#Headers],0))
*10+50,"-")</f>
        <v>75.899920550587183</v>
      </c>
      <c r="CJ8" s="4">
        <f>IFERROR(
(INDEX(スコア表[],MATCH($C8,スコア表['#],0),MATCH(CJ$5,スコア表[#Headers],0))
-
INDEX(スコア表2[],MATCH("average",スコア表2[maxmin],0),MATCH(CJ$5,スコア表2[#Headers],0)))
/
INDEX(スコア表2[],MATCH("stdev.p",スコア表2[maxmin],0),MATCH(CJ$5,スコア表2[#Headers],0))
*10+50,"-")</f>
        <v>48.512172730778737</v>
      </c>
      <c r="CK8" s="4">
        <f>IFERROR(
(INDEX(スコア表[],MATCH($C8,スコア表['#],0),MATCH(CK$5,スコア表[#Headers],0))
-
INDEX(スコア表2[],MATCH("average",スコア表2[maxmin],0),MATCH(CK$5,スコア表2[#Headers],0)))
/
INDEX(スコア表2[],MATCH("stdev.p",スコア表2[maxmin],0),MATCH(CK$5,スコア表2[#Headers],0))
*10+50,"-")</f>
        <v>64.351797222421425</v>
      </c>
      <c r="CL8" s="4">
        <f>IFERROR(
(INDEX(スコア表[],MATCH($C8,スコア表['#],0),MATCH(CL$5,スコア表[#Headers],0))
-
INDEX(スコア表2[],MATCH("average",スコア表2[maxmin],0),MATCH(CL$5,スコア表2[#Headers],0)))
/
INDEX(スコア表2[],MATCH("stdev.p",スコア表2[maxmin],0),MATCH(CL$5,スコア表2[#Headers],0))
*10+50,"-")</f>
        <v>75.925860013620152</v>
      </c>
      <c r="CM8" s="4">
        <f>IFERROR(
(INDEX(スコア表[],MATCH($C8,スコア表['#],0),MATCH(CM$5,スコア表[#Headers],0))
-
INDEX(スコア表2[],MATCH("average",スコア表2[maxmin],0),MATCH(CM$5,スコア表2[#Headers],0)))
/
INDEX(スコア表2[],MATCH("stdev.p",スコア表2[maxmin],0),MATCH(CM$5,スコア表2[#Headers],0))
*10+50,"-")</f>
        <v>50.340718824741273</v>
      </c>
      <c r="CN8" s="4">
        <f>IFERROR(
(INDEX(スコア表[],MATCH($C8,スコア表['#],0),MATCH(CN$5,スコア表[#Headers],0))
-
INDEX(スコア表2[],MATCH("average",スコア表2[maxmin],0),MATCH(CN$5,スコア表2[#Headers],0)))
/
INDEX(スコア表2[],MATCH("stdev.p",スコア表2[maxmin],0),MATCH(CN$5,スコア表2[#Headers],0))
*10+50,"-")</f>
        <v>53.33308991455187</v>
      </c>
      <c r="CO8" s="4">
        <f>IFERROR(
(INDEX(スコア表[],MATCH($C8,スコア表['#],0),MATCH(CO$5,スコア表[#Headers],0))
-
INDEX(スコア表2[],MATCH("average",スコア表2[maxmin],0),MATCH(CO$5,スコア表2[#Headers],0)))
/
INDEX(スコア表2[],MATCH("stdev.p",スコア表2[maxmin],0),MATCH(CO$5,スコア表2[#Headers],0))
*10+50,"-")</f>
        <v>52.478061518686971</v>
      </c>
      <c r="CP8" s="4">
        <f>IFERROR(
(INDEX(スコア表[],MATCH($C8,スコア表['#],0),MATCH(CP$5,スコア表[#Headers],0))
-
INDEX(スコア表2[],MATCH("average",スコア表2[maxmin],0),MATCH(CP$5,スコア表2[#Headers],0)))
/
INDEX(スコア表2[],MATCH("stdev.p",スコア表2[maxmin],0),MATCH(CP$5,スコア表2[#Headers],0))
*10+50,"-")</f>
        <v>52.574276852038892</v>
      </c>
      <c r="CQ8" s="4">
        <f>IFERROR(
(INDEX(スコア表[],MATCH($C8,スコア表['#],0),MATCH(CQ$5,スコア表[#Headers],0))
-
INDEX(スコア表2[],MATCH("average",スコア表2[maxmin],0),MATCH(CQ$5,スコア表2[#Headers],0)))
/
INDEX(スコア表2[],MATCH("stdev.p",スコア表2[maxmin],0),MATCH(CQ$5,スコア表2[#Headers],0))
*10+50,"-")</f>
        <v>53.719032279060819</v>
      </c>
      <c r="CR8" s="4">
        <f>IFERROR(
(INDEX(スコア表[],MATCH($C8,スコア表['#],0),MATCH(CR$5,スコア表[#Headers],0))
-
INDEX(スコア表2[],MATCH("average",スコア表2[maxmin],0),MATCH(CR$5,スコア表2[#Headers],0)))
/
INDEX(スコア表2[],MATCH("stdev.p",スコア表2[maxmin],0),MATCH(CR$5,スコア表2[#Headers],0))
*10+50,"-")</f>
        <v>62.875945264794183</v>
      </c>
      <c r="CS8" s="4">
        <f>IFERROR(
(INDEX(スコア表[],MATCH($C8,スコア表['#],0),MATCH(CS$5,スコア表[#Headers],0))
-
INDEX(スコア表2[],MATCH("average",スコア表2[maxmin],0),MATCH(CS$5,スコア表2[#Headers],0)))
/
INDEX(スコア表2[],MATCH("stdev.p",スコア表2[maxmin],0),MATCH(CS$5,スコア表2[#Headers],0))
*10+50,"-")</f>
        <v>48.955419672557454</v>
      </c>
      <c r="CT8" s="4">
        <f>IFERROR(
(INDEX(スコア表[],MATCH($C8,スコア表['#],0),MATCH(CT$5,スコア表[#Headers],0))
-
INDEX(スコア表2[],MATCH("average",スコア表2[maxmin],0),MATCH(CT$5,スコア表2[#Headers],0)))
/
INDEX(スコア表2[],MATCH("stdev.p",スコア表2[maxmin],0),MATCH(CT$5,スコア表2[#Headers],0))
*10+50,"-")</f>
        <v>60.847340920060844</v>
      </c>
      <c r="CU8" s="4">
        <f>IFERROR(
(INDEX(スコア表[],MATCH($C8,スコア表['#],0),MATCH(CU$5,スコア表[#Headers],0))
-
INDEX(スコア表2[],MATCH("average",スコア表2[maxmin],0),MATCH(CU$5,スコア表2[#Headers],0)))
/
INDEX(スコア表2[],MATCH("stdev.p",スコア表2[maxmin],0),MATCH(CU$5,スコア表2[#Headers],0))
*10+50,"-")</f>
        <v>51.050081947631341</v>
      </c>
      <c r="CV8" s="4">
        <f>IFERROR(
(INDEX(スコア表[],MATCH($C8,スコア表['#],0),MATCH(CV$5,スコア表[#Headers],0))
-
INDEX(スコア表2[],MATCH("average",スコア表2[maxmin],0),MATCH(CV$5,スコア表2[#Headers],0)))
/
INDEX(スコア表2[],MATCH("stdev.p",スコア表2[maxmin],0),MATCH(CV$5,スコア表2[#Headers],0))
*10+50,"-")</f>
        <v>56.051871789908397</v>
      </c>
      <c r="CW8" s="4">
        <f>IFERROR(
(INDEX(スコア表[],MATCH($C8,スコア表['#],0),MATCH(CW$5,スコア表[#Headers],0))
-
INDEX(スコア表2[],MATCH("average",スコア表2[maxmin],0),MATCH(CW$5,スコア表2[#Headers],0)))
/
INDEX(スコア表2[],MATCH("stdev.p",スコア表2[maxmin],0),MATCH(CW$5,スコア表2[#Headers],0))
*10+50,"-")</f>
        <v>59.990982049665824</v>
      </c>
      <c r="CX8" s="4">
        <f>IFERROR(
(INDEX(スコア表[],MATCH($C8,スコア表['#],0),MATCH(CX$5,スコア表[#Headers],0))
-
INDEX(スコア表2[],MATCH("average",スコア表2[maxmin],0),MATCH(CX$5,スコア表2[#Headers],0)))
/
INDEX(スコア表2[],MATCH("stdev.p",スコア表2[maxmin],0),MATCH(CX$5,スコア表2[#Headers],0))
*10+50,"-")</f>
        <v>65.960842216517435</v>
      </c>
      <c r="CY8" s="4">
        <f>IFERROR(
(INDEX(スコア表[],MATCH($C8,スコア表['#],0),MATCH(CY$5,スコア表[#Headers],0))
-
INDEX(スコア表2[],MATCH("average",スコア表2[maxmin],0),MATCH(CY$5,スコア表2[#Headers],0)))
/
INDEX(スコア表2[],MATCH("stdev.p",スコア表2[maxmin],0),MATCH(CY$5,スコア表2[#Headers],0))
*10+50,"-")</f>
        <v>43.062125611020022</v>
      </c>
      <c r="CZ8" s="4">
        <f>IFERROR(
(INDEX(スコア表[],MATCH($C8,スコア表['#],0),MATCH(CZ$5,スコア表[#Headers],0))
-
INDEX(スコア表2[],MATCH("average",スコア表2[maxmin],0),MATCH(CZ$5,スコア表2[#Headers],0)))
/
INDEX(スコア表2[],MATCH("stdev.p",スコア表2[maxmin],0),MATCH(CZ$5,スコア表2[#Headers],0))
*10+50,"-")</f>
        <v>57.558812416740885</v>
      </c>
      <c r="DA8" s="4">
        <f>IFERROR(
(INDEX(スコア表[],MATCH($C8,スコア表['#],0),MATCH(DA$5,スコア表[#Headers],0))
-
INDEX(スコア表2[],MATCH("average",スコア表2[maxmin],0),MATCH(DA$5,スコア表2[#Headers],0)))
/
INDEX(スコア表2[],MATCH("stdev.p",スコア表2[maxmin],0),MATCH(DA$5,スコア表2[#Headers],0))
*10+50,"-")</f>
        <v>66.568352075318003</v>
      </c>
      <c r="DB8" s="4">
        <f>IFERROR(
(INDEX(スコア表[],MATCH($C8,スコア表['#],0),MATCH(DB$5,スコア表[#Headers],0))
-
INDEX(スコア表2[],MATCH("average",スコア表2[maxmin],0),MATCH(DB$5,スコア表2[#Headers],0)))
/
INDEX(スコア表2[],MATCH("stdev.p",スコア表2[maxmin],0),MATCH(DB$5,スコア表2[#Headers],0))
*10+50,"-")</f>
        <v>66.521135561544682</v>
      </c>
      <c r="DC8" s="4">
        <f>IFERROR(
(INDEX(スコア表[],MATCH($C8,スコア表['#],0),MATCH(DC$5,スコア表[#Headers],0))
-
INDEX(スコア表2[],MATCH("average",スコア表2[maxmin],0),MATCH(DC$5,スコア表2[#Headers],0)))
/
INDEX(スコア表2[],MATCH("stdev.p",スコア表2[maxmin],0),MATCH(DC$5,スコア表2[#Headers],0))
*10+50,"-")</f>
        <v>62.277623623236067</v>
      </c>
      <c r="DD8" s="4">
        <f>IFERROR(
(INDEX(スコア表[],MATCH($C8,スコア表['#],0),MATCH(DD$5,スコア表[#Headers],0))
-
INDEX(スコア表2[],MATCH("average",スコア表2[maxmin],0),MATCH(DD$5,スコア表2[#Headers],0)))
/
INDEX(スコア表2[],MATCH("stdev.p",スコア表2[maxmin],0),MATCH(DD$5,スコア表2[#Headers],0))
*10+50,"-")</f>
        <v>54.219545203639861</v>
      </c>
      <c r="DE8" s="4">
        <f>IFERROR(
(INDEX(スコア表[],MATCH($C8,スコア表['#],0),MATCH(DE$5,スコア表[#Headers],0))
-
INDEX(スコア表2[],MATCH("average",スコア表2[maxmin],0),MATCH(DE$5,スコア表2[#Headers],0)))
/
INDEX(スコア表2[],MATCH("stdev.p",スコア表2[maxmin],0),MATCH(DE$5,スコア表2[#Headers],0))
*10+50,"-")</f>
        <v>61.227202107823388</v>
      </c>
      <c r="DF8" s="76">
        <f>IFERROR(
(INDEX(スコア表[],MATCH($C8,スコア表['#],0),MATCH(DF$5,スコア表[#Headers],0))
-
INDEX(スコア表2[],MATCH("average",スコア表2[maxmin],0),MATCH(DF$5,スコア表2[#Headers],0)))
/
INDEX(スコア表2[],MATCH("stdev.p",スコア表2[maxmin],0),MATCH(DF$5,スコア表2[#Headers],0))
*10+50,"-")</f>
        <v>66.906683405340274</v>
      </c>
      <c r="DG8" s="4">
        <f>IFERROR(_xlfn.STDEV.P(偏差値表[[#This Row],[Economy]:[Accessibility]]),"")</f>
        <v>4.4730955650230406</v>
      </c>
    </row>
    <row r="9" spans="1:111">
      <c r="A9" s="2">
        <v>4</v>
      </c>
      <c r="B9" s="58">
        <f>INDEX(順位表[Comprehensive],MATCH($C9,順位表['#],0))</f>
        <v>4</v>
      </c>
      <c r="C9" s="3">
        <v>4</v>
      </c>
      <c r="D9" s="1" t="str">
        <f>INDEX(都市マスタ[City Name],MATCH($C9,都市マスタ['#],0))</f>
        <v>Paris</v>
      </c>
      <c r="E9" s="4">
        <f>IFERROR(
(INDEX(スコア表[],MATCH($C9,スコア表['#],0),MATCH(E$5,スコア表[#Headers],0))
-
INDEX(スコア表2[],MATCH("average",スコア表2[maxmin],0),MATCH(E$5,スコア表2[#Headers],0)))
/
INDEX(スコア表2[],MATCH("stdev.p",スコア表2[maxmin],0),MATCH(E$5,スコア表2[#Headers],0))
*10+50,"-")</f>
        <v>44.241043003712676</v>
      </c>
      <c r="F9" s="4">
        <f>IFERROR(
(INDEX(スコア表[],MATCH($C9,スコア表['#],0),MATCH(F$5,スコア表[#Headers],0))
-
INDEX(スコア表2[],MATCH("average",スコア表2[maxmin],0),MATCH(F$5,スコア表2[#Headers],0)))
/
INDEX(スコア表2[],MATCH("stdev.p",スコア表2[maxmin],0),MATCH(F$5,スコア表2[#Headers],0))
*10+50,"-")</f>
        <v>45.098866779866974</v>
      </c>
      <c r="G9" s="4">
        <f>IFERROR(
(INDEX(スコア表[],MATCH($C9,スコア表['#],0),MATCH(G$5,スコア表[#Headers],0))
-
INDEX(スコア表2[],MATCH("average",スコア表2[maxmin],0),MATCH(G$5,スコア表2[#Headers],0)))
/
INDEX(スコア表2[],MATCH("stdev.p",スコア表2[maxmin],0),MATCH(G$5,スコア表2[#Headers],0))
*10+50,"-")</f>
        <v>48.33249429603066</v>
      </c>
      <c r="H9" s="4">
        <f>IFERROR(
(INDEX(スコア表[],MATCH($C9,スコア表['#],0),MATCH(H$5,スコア表[#Headers],0))
-
INDEX(スコア表2[],MATCH("average",スコア表2[maxmin],0),MATCH(H$5,スコア表2[#Headers],0)))
/
INDEX(スコア表2[],MATCH("stdev.p",スコア表2[maxmin],0),MATCH(H$5,スコア表2[#Headers],0))
*10+50,"-")</f>
        <v>53.277510738135284</v>
      </c>
      <c r="I9" s="4">
        <f>IFERROR(
(INDEX(スコア表[],MATCH($C9,スコア表['#],0),MATCH(I$5,スコア表[#Headers],0))
-
INDEX(スコア表2[],MATCH("average",スコア表2[maxmin],0),MATCH(I$5,スコア表2[#Headers],0)))
/
INDEX(スコア表2[],MATCH("stdev.p",スコア表2[maxmin],0),MATCH(I$5,スコア表2[#Headers],0))
*10+50,"-")</f>
        <v>61.766732413239595</v>
      </c>
      <c r="J9" s="4">
        <f>IFERROR(
(INDEX(スコア表[],MATCH($C9,スコア表['#],0),MATCH(J$5,スコア表[#Headers],0))
-
INDEX(スコア表2[],MATCH("average",スコア表2[maxmin],0),MATCH(J$5,スコア表2[#Headers],0)))
/
INDEX(スコア表2[],MATCH("stdev.p",スコア表2[maxmin],0),MATCH(J$5,スコア表2[#Headers],0))
*10+50,"-")</f>
        <v>44.863570294590964</v>
      </c>
      <c r="K9" s="4">
        <f>IFERROR(
(INDEX(スコア表[],MATCH($C9,スコア表['#],0),MATCH(K$5,スコア表[#Headers],0))
-
INDEX(スコア表2[],MATCH("average",スコア表2[maxmin],0),MATCH(K$5,スコア表2[#Headers],0)))
/
INDEX(スコア表2[],MATCH("stdev.p",スコア表2[maxmin],0),MATCH(K$5,スコア表2[#Headers],0))
*10+50,"-")</f>
        <v>45.822876291027441</v>
      </c>
      <c r="L9" s="4">
        <f>IFERROR(
(INDEX(スコア表[],MATCH($C9,スコア表['#],0),MATCH(L$5,スコア表[#Headers],0))
-
INDEX(スコア表2[],MATCH("average",スコア表2[maxmin],0),MATCH(L$5,スコア表2[#Headers],0)))
/
INDEX(スコア表2[],MATCH("stdev.p",スコア表2[maxmin],0),MATCH(L$5,スコア表2[#Headers],0))
*10+50,"-")</f>
        <v>51.944352912274617</v>
      </c>
      <c r="M9" s="4">
        <f>IFERROR(
(INDEX(スコア表[],MATCH($C9,スコア表['#],0),MATCH(M$5,スコア表[#Headers],0))
-
INDEX(スコア表2[],MATCH("average",スコア表2[maxmin],0),MATCH(M$5,スコア表2[#Headers],0)))
/
INDEX(スコア表2[],MATCH("stdev.p",スコア表2[maxmin],0),MATCH(M$5,スコア表2[#Headers],0))
*10+50,"-")</f>
        <v>65.912132898400017</v>
      </c>
      <c r="N9" s="4">
        <f>IFERROR(
(INDEX(スコア表[],MATCH($C9,スコア表['#],0),MATCH(N$5,スコア表[#Headers],0))
-
INDEX(スコア表2[],MATCH("average",スコア表2[maxmin],0),MATCH(N$5,スコア表2[#Headers],0)))
/
INDEX(スコア表2[],MATCH("stdev.p",スコア表2[maxmin],0),MATCH(N$5,スコア表2[#Headers],0))
*10+50,"-")</f>
        <v>47.271131437901325</v>
      </c>
      <c r="O9" s="4">
        <f>IFERROR(
(INDEX(スコア表[],MATCH($C9,スコア表['#],0),MATCH(O$5,スコア表[#Headers],0))
-
INDEX(スコア表2[],MATCH("average",スコア表2[maxmin],0),MATCH(O$5,スコア表2[#Headers],0)))
/
INDEX(スコア表2[],MATCH("stdev.p",スコア表2[maxmin],0),MATCH(O$5,スコア表2[#Headers],0))
*10+50,"-")</f>
        <v>57.400293392781315</v>
      </c>
      <c r="P9" s="4">
        <f>IFERROR(
(INDEX(スコア表[],MATCH($C9,スコア表['#],0),MATCH(P$5,スコア表[#Headers],0))
-
INDEX(スコア表2[],MATCH("average",スコア表2[maxmin],0),MATCH(P$5,スコア表2[#Headers],0)))
/
INDEX(スコア表2[],MATCH("stdev.p",スコア表2[maxmin],0),MATCH(P$5,スコア表2[#Headers],0))
*10+50,"-")</f>
        <v>48.523191637998131</v>
      </c>
      <c r="Q9" s="4">
        <f>IFERROR(
(INDEX(スコア表[],MATCH($C9,スコア表['#],0),MATCH(Q$5,スコア表[#Headers],0))
-
INDEX(スコア表2[],MATCH("average",スコア表2[maxmin],0),MATCH(Q$5,スコア表2[#Headers],0)))
/
INDEX(スコア表2[],MATCH("stdev.p",スコア表2[maxmin],0),MATCH(Q$5,スコア表2[#Headers],0))
*10+50,"-")</f>
        <v>49.18943054388906</v>
      </c>
      <c r="R9" s="4">
        <f>IFERROR(
(INDEX(スコア表[],MATCH($C9,スコア表['#],0),MATCH(R$5,スコア表[#Headers],0))
-
INDEX(スコア表2[],MATCH("average",スコア表2[maxmin],0),MATCH(R$5,スコア表2[#Headers],0)))
/
INDEX(スコア表2[],MATCH("stdev.p",スコア表2[maxmin],0),MATCH(R$5,スコア表2[#Headers],0))
*10+50,"-")</f>
        <v>56.217913310867026</v>
      </c>
      <c r="S9" s="4">
        <f>IFERROR(
(INDEX(スコア表[],MATCH($C9,スコア表['#],0),MATCH(S$5,スコア表[#Headers],0))
-
INDEX(スコア表2[],MATCH("average",スコア表2[maxmin],0),MATCH(S$5,スコア表2[#Headers],0)))
/
INDEX(スコア表2[],MATCH("stdev.p",スコア表2[maxmin],0),MATCH(S$5,スコア表2[#Headers],0))
*10+50,"-")</f>
        <v>50.030127927689456</v>
      </c>
      <c r="T9" s="4">
        <f>IFERROR(
(INDEX(スコア表[],MATCH($C9,スコア表['#],0),MATCH(T$5,スコア表[#Headers],0))
-
INDEX(スコア表2[],MATCH("average",スコア表2[maxmin],0),MATCH(T$5,スコア表2[#Headers],0)))
/
INDEX(スコア表2[],MATCH("stdev.p",スコア表2[maxmin],0),MATCH(T$5,スコア表2[#Headers],0))
*10+50,"-")</f>
        <v>51.772048362054839</v>
      </c>
      <c r="U9" s="4">
        <f>IFERROR(
(INDEX(スコア表[],MATCH($C9,スコア表['#],0),MATCH(U$5,スコア表[#Headers],0))
-
INDEX(スコア表2[],MATCH("average",スコア表2[maxmin],0),MATCH(U$5,スコア表2[#Headers],0)))
/
INDEX(スコア表2[],MATCH("stdev.p",スコア表2[maxmin],0),MATCH(U$5,スコア表2[#Headers],0))
*10+50,"-")</f>
        <v>49.82113752383971</v>
      </c>
      <c r="V9" s="4">
        <f>IFERROR(
(INDEX(スコア表[],MATCH($C9,スコア表['#],0),MATCH(V$5,スコア表[#Headers],0))
-
INDEX(スコア表2[],MATCH("average",スコア表2[maxmin],0),MATCH(V$5,スコア表2[#Headers],0)))
/
INDEX(スコア表2[],MATCH("stdev.p",スコア表2[maxmin],0),MATCH(V$5,スコア表2[#Headers],0))
*10+50,"-")</f>
        <v>67.504665033130863</v>
      </c>
      <c r="W9" s="4">
        <f>IFERROR(
(INDEX(スコア表[],MATCH($C9,スコア表['#],0),MATCH(W$5,スコア表[#Headers],0))
-
INDEX(スコア表2[],MATCH("average",スコア表2[maxmin],0),MATCH(W$5,スコア表2[#Headers],0)))
/
INDEX(スコア表2[],MATCH("stdev.p",スコア表2[maxmin],0),MATCH(W$5,スコア表2[#Headers],0))
*10+50,"-")</f>
        <v>52.064708785553307</v>
      </c>
      <c r="X9" s="4">
        <f>IFERROR(
(INDEX(スコア表[],MATCH($C9,スコア表['#],0),MATCH(X$5,スコア表[#Headers],0))
-
INDEX(スコア表2[],MATCH("average",スコア表2[maxmin],0),MATCH(X$5,スコア表2[#Headers],0)))
/
INDEX(スコア表2[],MATCH("stdev.p",スコア表2[maxmin],0),MATCH(X$5,スコア表2[#Headers],0))
*10+50,"-")</f>
        <v>62.699706219238664</v>
      </c>
      <c r="Y9" s="4">
        <f>IFERROR(
(INDEX(スコア表[],MATCH($C9,スコア表['#],0),MATCH(Y$5,スコア表[#Headers],0))
-
INDEX(スコア表2[],MATCH("average",スコア表2[maxmin],0),MATCH(Y$5,スコア表2[#Headers],0)))
/
INDEX(スコア表2[],MATCH("stdev.p",スコア表2[maxmin],0),MATCH(Y$5,スコア表2[#Headers],0))
*10+50,"-")</f>
        <v>52.252517089498014</v>
      </c>
      <c r="Z9" s="4">
        <f>IFERROR(
(INDEX(スコア表[],MATCH($C9,スコア表['#],0),MATCH(Z$5,スコア表[#Headers],0))
-
INDEX(スコア表2[],MATCH("average",スコア表2[maxmin],0),MATCH(Z$5,スコア表2[#Headers],0)))
/
INDEX(スコア表2[],MATCH("stdev.p",スコア表2[maxmin],0),MATCH(Z$5,スコア表2[#Headers],0))
*10+50,"-")</f>
        <v>45.370349158507544</v>
      </c>
      <c r="AA9" s="4">
        <f>IFERROR(
(INDEX(スコア表[],MATCH($C9,スコア表['#],0),MATCH(AA$5,スコア表[#Headers],0))
-
INDEX(スコア表2[],MATCH("average",スコア表2[maxmin],0),MATCH(AA$5,スコア表2[#Headers],0)))
/
INDEX(スコア表2[],MATCH("stdev.p",スコア表2[maxmin],0),MATCH(AA$5,スコア表2[#Headers],0))
*10+50,"-")</f>
        <v>64.316132901168046</v>
      </c>
      <c r="AB9" s="4">
        <f>IFERROR(
(INDEX(スコア表[],MATCH($C9,スコア表['#],0),MATCH(AB$5,スコア表[#Headers],0))
-
INDEX(スコア表2[],MATCH("average",スコア表2[maxmin],0),MATCH(AB$5,スコア表2[#Headers],0)))
/
INDEX(スコア表2[],MATCH("stdev.p",スコア表2[maxmin],0),MATCH(AB$5,スコア表2[#Headers],0))
*10+50,"-")</f>
        <v>55.613044258018164</v>
      </c>
      <c r="AC9" s="4">
        <f>IFERROR(
(INDEX(スコア表[],MATCH($C9,スコア表['#],0),MATCH(AC$5,スコア表[#Headers],0))
-
INDEX(スコア表2[],MATCH("average",スコア表2[maxmin],0),MATCH(AC$5,スコア表2[#Headers],0)))
/
INDEX(スコア表2[],MATCH("stdev.p",スコア表2[maxmin],0),MATCH(AC$5,スコア表2[#Headers],0))
*10+50,"-")</f>
        <v>64.138315226841897</v>
      </c>
      <c r="AD9" s="4">
        <f>IFERROR(
(INDEX(スコア表[],MATCH($C9,スコア表['#],0),MATCH(AD$5,スコア表[#Headers],0))
-
INDEX(スコア表2[],MATCH("average",スコア表2[maxmin],0),MATCH(AD$5,スコア表2[#Headers],0)))
/
INDEX(スコア表2[],MATCH("stdev.p",スコア表2[maxmin],0),MATCH(AD$5,スコア表2[#Headers],0))
*10+50,"-")</f>
        <v>38.814061534515943</v>
      </c>
      <c r="AE9" s="4">
        <f>IFERROR(
(INDEX(スコア表[],MATCH($C9,スコア表['#],0),MATCH(AE$5,スコア表[#Headers],0))
-
INDEX(スコア表2[],MATCH("average",スコア表2[maxmin],0),MATCH(AE$5,スコア表2[#Headers],0)))
/
INDEX(スコア表2[],MATCH("stdev.p",スコア表2[maxmin],0),MATCH(AE$5,スコア表2[#Headers],0))
*10+50,"-")</f>
        <v>50.329841009654885</v>
      </c>
      <c r="AF9" s="4">
        <f>IFERROR(
(INDEX(スコア表[],MATCH($C9,スコア表['#],0),MATCH(AF$5,スコア表[#Headers],0))
-
INDEX(スコア表2[],MATCH("average",スコア表2[maxmin],0),MATCH(AF$5,スコア表2[#Headers],0)))
/
INDEX(スコア表2[],MATCH("stdev.p",スコア表2[maxmin],0),MATCH(AF$5,スコア表2[#Headers],0))
*10+50,"-")</f>
        <v>64.162056618686961</v>
      </c>
      <c r="AG9" s="4">
        <f>IFERROR(
(INDEX(スコア表[],MATCH($C9,スコア表['#],0),MATCH(AG$5,スコア表[#Headers],0))
-
INDEX(スコア表2[],MATCH("average",スコア表2[maxmin],0),MATCH(AG$5,スコア表2[#Headers],0)))
/
INDEX(スコア表2[],MATCH("stdev.p",スコア表2[maxmin],0),MATCH(AG$5,スコア表2[#Headers],0))
*10+50,"-")</f>
        <v>67.854991683971974</v>
      </c>
      <c r="AH9" s="4">
        <f>IFERROR(
(INDEX(スコア表[],MATCH($C9,スコア表['#],0),MATCH(AH$5,スコア表[#Headers],0))
-
INDEX(スコア表2[],MATCH("average",スコア表2[maxmin],0),MATCH(AH$5,スコア表2[#Headers],0)))
/
INDEX(スコア表2[],MATCH("stdev.p",スコア表2[maxmin],0),MATCH(AH$5,スコア表2[#Headers],0))
*10+50,"-")</f>
        <v>57.150674058281091</v>
      </c>
      <c r="AI9" s="4">
        <f>IFERROR(
(INDEX(スコア表[],MATCH($C9,スコア表['#],0),MATCH(AI$5,スコア表[#Headers],0))
-
INDEX(スコア表2[],MATCH("average",スコア表2[maxmin],0),MATCH(AI$5,スコア表2[#Headers],0)))
/
INDEX(スコア表2[],MATCH("stdev.p",スコア表2[maxmin],0),MATCH(AI$5,スコア表2[#Headers],0))
*10+50,"-")</f>
        <v>57.582944372657749</v>
      </c>
      <c r="AJ9" s="4">
        <f>IFERROR(
(INDEX(スコア表[],MATCH($C9,スコア表['#],0),MATCH(AJ$5,スコア表[#Headers],0))
-
INDEX(スコア表2[],MATCH("average",スコア表2[maxmin],0),MATCH(AJ$5,スコア表2[#Headers],0)))
/
INDEX(スコア表2[],MATCH("stdev.p",スコア表2[maxmin],0),MATCH(AJ$5,スコア表2[#Headers],0))
*10+50,"-")</f>
        <v>82.405119396383185</v>
      </c>
      <c r="AK9" s="4">
        <f>IFERROR(
(INDEX(スコア表[],MATCH($C9,スコア表['#],0),MATCH(AK$5,スコア表[#Headers],0))
-
INDEX(スコア表2[],MATCH("average",スコア表2[maxmin],0),MATCH(AK$5,スコア表2[#Headers],0)))
/
INDEX(スコア表2[],MATCH("stdev.p",スコア表2[maxmin],0),MATCH(AK$5,スコア表2[#Headers],0))
*10+50,"-")</f>
        <v>68.240498637065201</v>
      </c>
      <c r="AL9" s="4">
        <f>IFERROR(
(INDEX(スコア表[],MATCH($C9,スコア表['#],0),MATCH(AL$5,スコア表[#Headers],0))
-
INDEX(スコア表2[],MATCH("average",スコア表2[maxmin],0),MATCH(AL$5,スコア表2[#Headers],0)))
/
INDEX(スコア表2[],MATCH("stdev.p",スコア表2[maxmin],0),MATCH(AL$5,スコア表2[#Headers],0))
*10+50,"-")</f>
        <v>57.22644943360423</v>
      </c>
      <c r="AM9" s="4">
        <f>IFERROR(
(INDEX(スコア表[],MATCH($C9,スコア表['#],0),MATCH(AM$5,スコア表[#Headers],0))
-
INDEX(スコア表2[],MATCH("average",スコア表2[maxmin],0),MATCH(AM$5,スコア表2[#Headers],0)))
/
INDEX(スコア表2[],MATCH("stdev.p",スコア表2[maxmin],0),MATCH(AM$5,スコア表2[#Headers],0))
*10+50,"-")</f>
        <v>68.938635199437115</v>
      </c>
      <c r="AN9" s="4">
        <f>IFERROR(
(INDEX(スコア表[],MATCH($C9,スコア表['#],0),MATCH(AN$5,スコア表[#Headers],0))
-
INDEX(スコア表2[],MATCH("average",スコア表2[maxmin],0),MATCH(AN$5,スコア表2[#Headers],0)))
/
INDEX(スコア表2[],MATCH("stdev.p",スコア表2[maxmin],0),MATCH(AN$5,スコア表2[#Headers],0))
*10+50,"-")</f>
        <v>52.928319213740579</v>
      </c>
      <c r="AO9" s="4">
        <f>IFERROR(
(INDEX(スコア表[],MATCH($C9,スコア表['#],0),MATCH(AO$5,スコア表[#Headers],0))
-
INDEX(スコア表2[],MATCH("average",スコア表2[maxmin],0),MATCH(AO$5,スコア表2[#Headers],0)))
/
INDEX(スコア表2[],MATCH("stdev.p",スコア表2[maxmin],0),MATCH(AO$5,スコア表2[#Headers],0))
*10+50,"-")</f>
        <v>70.385154618497126</v>
      </c>
      <c r="AP9" s="4">
        <f>IFERROR(
(INDEX(スコア表[],MATCH($C9,スコア表['#],0),MATCH(AP$5,スコア表[#Headers],0))
-
INDEX(スコア表2[],MATCH("average",スコア表2[maxmin],0),MATCH(AP$5,スコア表2[#Headers],0)))
/
INDEX(スコア表2[],MATCH("stdev.p",スコア表2[maxmin],0),MATCH(AP$5,スコア表2[#Headers],0))
*10+50,"-")</f>
        <v>64.049070435181619</v>
      </c>
      <c r="AQ9" s="4">
        <f>IFERROR(
(INDEX(スコア表[],MATCH($C9,スコア表['#],0),MATCH(AQ$5,スコア表[#Headers],0))
-
INDEX(スコア表2[],MATCH("average",スコア表2[maxmin],0),MATCH(AQ$5,スコア表2[#Headers],0)))
/
INDEX(スコア表2[],MATCH("stdev.p",スコア表2[maxmin],0),MATCH(AQ$5,スコア表2[#Headers],0))
*10+50,"-")</f>
        <v>47.163859931216351</v>
      </c>
      <c r="AR9" s="4">
        <f>IFERROR(
(INDEX(スコア表[],MATCH($C9,スコア表['#],0),MATCH(AR$5,スコア表[#Headers],0))
-
INDEX(スコア表2[],MATCH("average",スコア表2[maxmin],0),MATCH(AR$5,スコア表2[#Headers],0)))
/
INDEX(スコア表2[],MATCH("stdev.p",スコア表2[maxmin],0),MATCH(AR$5,スコア表2[#Headers],0))
*10+50,"-")</f>
        <v>61.284522553801033</v>
      </c>
      <c r="AS9" s="4">
        <f>IFERROR(
(INDEX(スコア表[],MATCH($C9,スコア表['#],0),MATCH(AS$5,スコア表[#Headers],0))
-
INDEX(スコア表2[],MATCH("average",スコア表2[maxmin],0),MATCH(AS$5,スコア表2[#Headers],0)))
/
INDEX(スコア表2[],MATCH("stdev.p",スコア表2[maxmin],0),MATCH(AS$5,スコア表2[#Headers],0))
*10+50,"-")</f>
        <v>51.01320754915853</v>
      </c>
      <c r="AT9" s="4">
        <f>IFERROR(
(INDEX(スコア表[],MATCH($C9,スコア表['#],0),MATCH(AT$5,スコア表[#Headers],0))
-
INDEX(スコア表2[],MATCH("average",スコア表2[maxmin],0),MATCH(AT$5,スコア表2[#Headers],0)))
/
INDEX(スコア表2[],MATCH("stdev.p",スコア表2[maxmin],0),MATCH(AT$5,スコア表2[#Headers],0))
*10+50,"-")</f>
        <v>64.360078255364954</v>
      </c>
      <c r="AU9" s="4">
        <f>IFERROR(
(INDEX(スコア表[],MATCH($C9,スコア表['#],0),MATCH(AU$5,スコア表[#Headers],0))
-
INDEX(スコア表2[],MATCH("average",スコア表2[maxmin],0),MATCH(AU$5,スコア表2[#Headers],0)))
/
INDEX(スコア表2[],MATCH("stdev.p",スコア表2[maxmin],0),MATCH(AU$5,スコア表2[#Headers],0))
*10+50,"-")</f>
        <v>45.835961200462634</v>
      </c>
      <c r="AV9" s="4">
        <f>IFERROR(
(INDEX(スコア表[],MATCH($C9,スコア表['#],0),MATCH(AV$5,スコア表[#Headers],0))
-
INDEX(スコア表2[],MATCH("average",スコア表2[maxmin],0),MATCH(AV$5,スコア表2[#Headers],0)))
/
INDEX(スコア表2[],MATCH("stdev.p",スコア表2[maxmin],0),MATCH(AV$5,スコア表2[#Headers],0))
*10+50,"-")</f>
        <v>49.056065265200999</v>
      </c>
      <c r="AW9" s="4">
        <f>IFERROR(
(INDEX(スコア表[],MATCH($C9,スコア表['#],0),MATCH(AW$5,スコア表[#Headers],0))
-
INDEX(スコア表2[],MATCH("average",スコア表2[maxmin],0),MATCH(AW$5,スコア表2[#Headers],0)))
/
INDEX(スコア表2[],MATCH("stdev.p",スコア表2[maxmin],0),MATCH(AW$5,スコア表2[#Headers],0))
*10+50,"-")</f>
        <v>49.315852997005109</v>
      </c>
      <c r="AX9" s="4">
        <f>IFERROR(
(INDEX(スコア表[],MATCH($C9,スコア表['#],0),MATCH(AX$5,スコア表[#Headers],0))
-
INDEX(スコア表2[],MATCH("average",スコア表2[maxmin],0),MATCH(AX$5,スコア表2[#Headers],0)))
/
INDEX(スコア表2[],MATCH("stdev.p",スコア表2[maxmin],0),MATCH(AX$5,スコア表2[#Headers],0))
*10+50,"-")</f>
        <v>54.276098925809123</v>
      </c>
      <c r="AY9" s="4">
        <f>IFERROR(
(INDEX(スコア表[],MATCH($C9,スコア表['#],0),MATCH(AY$5,スコア表[#Headers],0))
-
INDEX(スコア表2[],MATCH("average",スコア表2[maxmin],0),MATCH(AY$5,スコア表2[#Headers],0)))
/
INDEX(スコア表2[],MATCH("stdev.p",スコア表2[maxmin],0),MATCH(AY$5,スコア表2[#Headers],0))
*10+50,"-")</f>
        <v>52.825620531367662</v>
      </c>
      <c r="AZ9" s="4">
        <f>IFERROR(
(INDEX(スコア表[],MATCH($C9,スコア表['#],0),MATCH(AZ$5,スコア表[#Headers],0))
-
INDEX(スコア表2[],MATCH("average",スコア表2[maxmin],0),MATCH(AZ$5,スコア表2[#Headers],0)))
/
INDEX(スコア表2[],MATCH("stdev.p",スコア表2[maxmin],0),MATCH(AZ$5,スコア表2[#Headers],0))
*10+50,"-")</f>
        <v>56.349409345929587</v>
      </c>
      <c r="BA9" s="4">
        <f>IFERROR(
(INDEX(スコア表[],MATCH($C9,スコア表['#],0),MATCH(BA$5,スコア表[#Headers],0))
-
INDEX(スコア表2[],MATCH("average",スコア表2[maxmin],0),MATCH(BA$5,スコア表2[#Headers],0)))
/
INDEX(スコア表2[],MATCH("stdev.p",スコア表2[maxmin],0),MATCH(BA$5,スコア表2[#Headers],0))
*10+50,"-")</f>
        <v>55.710776350961822</v>
      </c>
      <c r="BB9" s="4">
        <f>IFERROR(
(INDEX(スコア表[],MATCH($C9,スコア表['#],0),MATCH(BB$5,スコア表[#Headers],0))
-
INDEX(スコア表2[],MATCH("average",スコア表2[maxmin],0),MATCH(BB$5,スコア表2[#Headers],0)))
/
INDEX(スコア表2[],MATCH("stdev.p",スコア表2[maxmin],0),MATCH(BB$5,スコア表2[#Headers],0))
*10+50,"-")</f>
        <v>53.426529357333081</v>
      </c>
      <c r="BC9" s="4">
        <f>IFERROR(
(INDEX(スコア表[],MATCH($C9,スコア表['#],0),MATCH(BC$5,スコア表[#Headers],0))
-
INDEX(スコア表2[],MATCH("average",スコア表2[maxmin],0),MATCH(BC$5,スコア表2[#Headers],0)))
/
INDEX(スコア表2[],MATCH("stdev.p",スコア表2[maxmin],0),MATCH(BC$5,スコア表2[#Headers],0))
*10+50,"-")</f>
        <v>64.565482933971253</v>
      </c>
      <c r="BD9" s="4">
        <f>IFERROR(
(INDEX(スコア表[],MATCH($C9,スコア表['#],0),MATCH(BD$5,スコア表[#Headers],0))
-
INDEX(スコア表2[],MATCH("average",スコア表2[maxmin],0),MATCH(BD$5,スコア表2[#Headers],0)))
/
INDEX(スコア表2[],MATCH("stdev.p",スコア表2[maxmin],0),MATCH(BD$5,スコア表2[#Headers],0))
*10+50,"-")</f>
        <v>50.93161316412521</v>
      </c>
      <c r="BE9" s="4">
        <f>IFERROR(
(INDEX(スコア表[],MATCH($C9,スコア表['#],0),MATCH(BE$5,スコア表[#Headers],0))
-
INDEX(スコア表2[],MATCH("average",スコア表2[maxmin],0),MATCH(BE$5,スコア表2[#Headers],0)))
/
INDEX(スコア表2[],MATCH("stdev.p",スコア表2[maxmin],0),MATCH(BE$5,スコア表2[#Headers],0))
*10+50,"-")</f>
        <v>74.650316365040709</v>
      </c>
      <c r="BF9" s="4">
        <f>IFERROR(
(INDEX(スコア表[],MATCH($C9,スコア表['#],0),MATCH(BF$5,スコア表[#Headers],0))
-
INDEX(スコア表2[],MATCH("average",スコア表2[maxmin],0),MATCH(BF$5,スコア表2[#Headers],0)))
/
INDEX(スコア表2[],MATCH("stdev.p",スコア表2[maxmin],0),MATCH(BF$5,スコア表2[#Headers],0))
*10+50,"-")</f>
        <v>70.470622083389287</v>
      </c>
      <c r="BG9" s="4">
        <f>IFERROR(
(INDEX(スコア表[],MATCH($C9,スコア表['#],0),MATCH(BG$5,スコア表[#Headers],0))
-
INDEX(スコア表2[],MATCH("average",スコア表2[maxmin],0),MATCH(BG$5,スコア表2[#Headers],0)))
/
INDEX(スコア表2[],MATCH("stdev.p",スコア表2[maxmin],0),MATCH(BG$5,スコア表2[#Headers],0))
*10+50,"-")</f>
        <v>65.477124208657671</v>
      </c>
      <c r="BH9" s="4">
        <f>IFERROR(
(INDEX(スコア表[],MATCH($C9,スコア表['#],0),MATCH(BH$5,スコア表[#Headers],0))
-
INDEX(スコア表2[],MATCH("average",スコア表2[maxmin],0),MATCH(BH$5,スコア表2[#Headers],0)))
/
INDEX(スコア表2[],MATCH("stdev.p",スコア表2[maxmin],0),MATCH(BH$5,スコア表2[#Headers],0))
*10+50,"-")</f>
        <v>48.118485831724605</v>
      </c>
      <c r="BI9" s="4">
        <f>IFERROR(
(INDEX(スコア表[],MATCH($C9,スコア表['#],0),MATCH(BI$5,スコア表[#Headers],0))
-
INDEX(スコア表2[],MATCH("average",スコア表2[maxmin],0),MATCH(BI$5,スコア表2[#Headers],0)))
/
INDEX(スコア表2[],MATCH("stdev.p",スコア表2[maxmin],0),MATCH(BI$5,スコア表2[#Headers],0))
*10+50,"-")</f>
        <v>48.562629909560961</v>
      </c>
      <c r="BJ9" s="4">
        <f>IFERROR(
(INDEX(スコア表[],MATCH($C9,スコア表['#],0),MATCH(BJ$5,スコア表[#Headers],0))
-
INDEX(スコア表2[],MATCH("average",スコア表2[maxmin],0),MATCH(BJ$5,スコア表2[#Headers],0)))
/
INDEX(スコア表2[],MATCH("stdev.p",スコア表2[maxmin],0),MATCH(BJ$5,スコア表2[#Headers],0))
*10+50,"-")</f>
        <v>48.618198015728268</v>
      </c>
      <c r="BK9" s="4">
        <f>IFERROR(
(INDEX(スコア表[],MATCH($C9,スコア表['#],0),MATCH(BK$5,スコア表[#Headers],0))
-
INDEX(スコア表2[],MATCH("average",スコア表2[maxmin],0),MATCH(BK$5,スコア表2[#Headers],0)))
/
INDEX(スコア表2[],MATCH("stdev.p",スコア表2[maxmin],0),MATCH(BK$5,スコア表2[#Headers],0))
*10+50,"-")</f>
        <v>52.400582242807332</v>
      </c>
      <c r="BL9" s="4">
        <f>IFERROR(
(INDEX(スコア表[],MATCH($C9,スコア表['#],0),MATCH(BL$5,スコア表[#Headers],0))
-
INDEX(スコア表2[],MATCH("average",スコア表2[maxmin],0),MATCH(BL$5,スコア表2[#Headers],0)))
/
INDEX(スコア表2[],MATCH("stdev.p",スコア表2[maxmin],0),MATCH(BL$5,スコア表2[#Headers],0))
*10+50,"-")</f>
        <v>52.935953805165205</v>
      </c>
      <c r="BM9" s="4">
        <f>IFERROR(
(INDEX(スコア表[],MATCH($C9,スコア表['#],0),MATCH(BM$5,スコア表[#Headers],0))
-
INDEX(スコア表2[],MATCH("average",スコア表2[maxmin],0),MATCH(BM$5,スコア表2[#Headers],0)))
/
INDEX(スコア表2[],MATCH("stdev.p",スコア表2[maxmin],0),MATCH(BM$5,スコア表2[#Headers],0))
*10+50,"-")</f>
        <v>50.441397376628409</v>
      </c>
      <c r="BN9" s="4">
        <f>IFERROR(
(INDEX(スコア表[],MATCH($C9,スコア表['#],0),MATCH(BN$5,スコア表[#Headers],0))
-
INDEX(スコア表2[],MATCH("average",スコア表2[maxmin],0),MATCH(BN$5,スコア表2[#Headers],0)))
/
INDEX(スコア表2[],MATCH("stdev.p",スコア表2[maxmin],0),MATCH(BN$5,スコア表2[#Headers],0))
*10+50,"-")</f>
        <v>42.030691936682295</v>
      </c>
      <c r="BO9" s="4">
        <f>IFERROR(
(INDEX(スコア表[],MATCH($C9,スコア表['#],0),MATCH(BO$5,スコア表[#Headers],0))
-
INDEX(スコア表2[],MATCH("average",スコア表2[maxmin],0),MATCH(BO$5,スコア表2[#Headers],0)))
/
INDEX(スコア表2[],MATCH("stdev.p",スコア表2[maxmin],0),MATCH(BO$5,スコア表2[#Headers],0))
*10+50,"-")</f>
        <v>33.015414434724548</v>
      </c>
      <c r="BP9" s="4">
        <f>IFERROR(
(INDEX(スコア表[],MATCH($C9,スコア表['#],0),MATCH(BP$5,スコア表[#Headers],0))
-
INDEX(スコア表2[],MATCH("average",スコア表2[maxmin],0),MATCH(BP$5,スコア表2[#Headers],0)))
/
INDEX(スコア表2[],MATCH("stdev.p",スコア表2[maxmin],0),MATCH(BP$5,スコア表2[#Headers],0))
*10+50,"-")</f>
        <v>70.921441037116665</v>
      </c>
      <c r="BQ9" s="4">
        <f>IFERROR(
(INDEX(スコア表[],MATCH($C9,スコア表['#],0),MATCH(BQ$5,スコア表[#Headers],0))
-
INDEX(スコア表2[],MATCH("average",スコア表2[maxmin],0),MATCH(BQ$5,スコア表2[#Headers],0)))
/
INDEX(スコア表2[],MATCH("stdev.p",スコア表2[maxmin],0),MATCH(BQ$5,スコア表2[#Headers],0))
*10+50,"-")</f>
        <v>54.241318423148243</v>
      </c>
      <c r="BR9" s="4">
        <f>IFERROR(
(INDEX(スコア表[],MATCH($C9,スコア表['#],0),MATCH(BR$5,スコア表[#Headers],0))
-
INDEX(スコア表2[],MATCH("average",スコア表2[maxmin],0),MATCH(BR$5,スコア表2[#Headers],0)))
/
INDEX(スコア表2[],MATCH("stdev.p",スコア表2[maxmin],0),MATCH(BR$5,スコア表2[#Headers],0))
*10+50,"-")</f>
        <v>68.490661807980388</v>
      </c>
      <c r="BS9" s="4">
        <f>IFERROR(
(INDEX(スコア表[],MATCH($C9,スコア表['#],0),MATCH(BS$5,スコア表[#Headers],0))
-
INDEX(スコア表2[],MATCH("average",スコア表2[maxmin],0),MATCH(BS$5,スコア表2[#Headers],0)))
/
INDEX(スコア表2[],MATCH("stdev.p",スコア表2[maxmin],0),MATCH(BS$5,スコア表2[#Headers],0))
*10+50,"-")</f>
        <v>64.297961726391136</v>
      </c>
      <c r="BT9" s="4">
        <f>IFERROR(
(INDEX(スコア表[],MATCH($C9,スコア表['#],0),MATCH(BT$5,スコア表[#Headers],0))
-
INDEX(スコア表2[],MATCH("average",スコア表2[maxmin],0),MATCH(BT$5,スコア表2[#Headers],0)))
/
INDEX(スコア表2[],MATCH("stdev.p",スコア表2[maxmin],0),MATCH(BT$5,スコア表2[#Headers],0))
*10+50,"-")</f>
        <v>69.702958782589462</v>
      </c>
      <c r="BU9" s="4">
        <f>IFERROR(
(INDEX(スコア表[],MATCH($C9,スコア表['#],0),MATCH(BU$5,スコア表[#Headers],0))
-
INDEX(スコア表2[],MATCH("average",スコア表2[maxmin],0),MATCH(BU$5,スコア表2[#Headers],0)))
/
INDEX(スコア表2[],MATCH("stdev.p",スコア表2[maxmin],0),MATCH(BU$5,スコア表2[#Headers],0))
*10+50,"-")</f>
        <v>60.703666335278378</v>
      </c>
      <c r="BV9" s="4">
        <f>IFERROR(
(INDEX(スコア表[],MATCH($C9,スコア表['#],0),MATCH(BV$5,スコア表[#Headers],0))
-
INDEX(スコア表2[],MATCH("average",スコア表2[maxmin],0),MATCH(BV$5,スコア表2[#Headers],0)))
/
INDEX(スコア表2[],MATCH("stdev.p",スコア表2[maxmin],0),MATCH(BV$5,スコア表2[#Headers],0))
*10+50,"-")</f>
        <v>41.054125841177338</v>
      </c>
      <c r="BW9" s="4">
        <f>IFERROR(
(INDEX(スコア表[],MATCH($C9,スコア表['#],0),MATCH(BW$5,スコア表[#Headers],0))
-
INDEX(スコア表2[],MATCH("average",スコア表2[maxmin],0),MATCH(BW$5,スコア表2[#Headers],0)))
/
INDEX(スコア表2[],MATCH("stdev.p",スコア表2[maxmin],0),MATCH(BW$5,スコア表2[#Headers],0))
*10+50,"-")</f>
        <v>49.704052843838731</v>
      </c>
      <c r="BX9" s="4">
        <f>IFERROR(
(INDEX(スコア表[],MATCH($C9,スコア表['#],0),MATCH(BX$5,スコア表[#Headers],0))
-
INDEX(スコア表2[],MATCH("average",スコア表2[maxmin],0),MATCH(BX$5,スコア表2[#Headers],0)))
/
INDEX(スコア表2[],MATCH("stdev.p",スコア表2[maxmin],0),MATCH(BX$5,スコア表2[#Headers],0))
*10+50,"-")</f>
        <v>39.663366511681481</v>
      </c>
      <c r="BY9" s="4">
        <f>IFERROR(
(INDEX(スコア表[],MATCH($C9,スコア表['#],0),MATCH(BY$5,スコア表[#Headers],0))
-
INDEX(スコア表2[],MATCH("average",スコア表2[maxmin],0),MATCH(BY$5,スコア表2[#Headers],0)))
/
INDEX(スコア表2[],MATCH("stdev.p",スコア表2[maxmin],0),MATCH(BY$5,スコア表2[#Headers],0))
*10+50,"-")</f>
        <v>51.532679146648192</v>
      </c>
      <c r="BZ9" s="4">
        <f>IFERROR(
(INDEX(スコア表[],MATCH($C9,スコア表['#],0),MATCH(BZ$5,スコア表[#Headers],0))
-
INDEX(スコア表2[],MATCH("average",スコア表2[maxmin],0),MATCH(BZ$5,スコア表2[#Headers],0)))
/
INDEX(スコア表2[],MATCH("stdev.p",スコア表2[maxmin],0),MATCH(BZ$5,スコア表2[#Headers],0))
*10+50,"-")</f>
        <v>60.717176304198091</v>
      </c>
      <c r="CA9" s="4">
        <f>IFERROR(
(INDEX(スコア表[],MATCH($C9,スコア表['#],0),MATCH(CA$5,スコア表[#Headers],0))
-
INDEX(スコア表2[],MATCH("average",スコア表2[maxmin],0),MATCH(CA$5,スコア表2[#Headers],0)))
/
INDEX(スコア表2[],MATCH("stdev.p",スコア表2[maxmin],0),MATCH(CA$5,スコア表2[#Headers],0))
*10+50,"-")</f>
        <v>43.766642637711854</v>
      </c>
      <c r="CB9" s="4">
        <f>IFERROR(
(INDEX(スコア表[],MATCH($C9,スコア表['#],0),MATCH(CB$5,スコア表[#Headers],0))
-
INDEX(スコア表2[],MATCH("average",スコア表2[maxmin],0),MATCH(CB$5,スコア表2[#Headers],0)))
/
INDEX(スコア表2[],MATCH("stdev.p",スコア表2[maxmin],0),MATCH(CB$5,スコア表2[#Headers],0))
*10+50,"-")</f>
        <v>61.908829890375884</v>
      </c>
      <c r="CC9" s="4">
        <f>IFERROR(
(INDEX(スコア表[],MATCH($C9,スコア表['#],0),MATCH(CC$5,スコア表[#Headers],0))
-
INDEX(スコア表2[],MATCH("average",スコア表2[maxmin],0),MATCH(CC$5,スコア表2[#Headers],0)))
/
INDEX(スコア表2[],MATCH("stdev.p",スコア表2[maxmin],0),MATCH(CC$5,スコア表2[#Headers],0))
*10+50,"-")</f>
        <v>53.743629937834058</v>
      </c>
      <c r="CD9" s="4">
        <f>IFERROR(
(INDEX(スコア表[],MATCH($C9,スコア表['#],0),MATCH(CD$5,スコア表[#Headers],0))
-
INDEX(スコア表2[],MATCH("average",スコア表2[maxmin],0),MATCH(CD$5,スコア表2[#Headers],0)))
/
INDEX(スコア表2[],MATCH("stdev.p",スコア表2[maxmin],0),MATCH(CD$5,スコア表2[#Headers],0))
*10+50,"-")</f>
        <v>51.304907500196585</v>
      </c>
      <c r="CE9" s="4">
        <f>IFERROR(
(INDEX(スコア表[],MATCH($C9,スコア表['#],0),MATCH(CE$5,スコア表[#Headers],0))
-
INDEX(スコア表2[],MATCH("average",スコア表2[maxmin],0),MATCH(CE$5,スコア表2[#Headers],0)))
/
INDEX(スコア表2[],MATCH("stdev.p",スコア表2[maxmin],0),MATCH(CE$5,スコア表2[#Headers],0))
*10+50,"-")</f>
        <v>51.191543413116385</v>
      </c>
      <c r="CF9" s="4">
        <f>IFERROR(
(INDEX(スコア表[],MATCH($C9,スコア表['#],0),MATCH(CF$5,スコア表[#Headers],0))
-
INDEX(スコア表2[],MATCH("average",スコア表2[maxmin],0),MATCH(CF$5,スコア表2[#Headers],0)))
/
INDEX(スコア表2[],MATCH("stdev.p",スコア表2[maxmin],0),MATCH(CF$5,スコア表2[#Headers],0))
*10+50,"-")</f>
        <v>60.716982187000355</v>
      </c>
      <c r="CG9" s="4">
        <f>IFERROR(
(INDEX(スコア表[],MATCH($C9,スコア表['#],0),MATCH(CG$5,スコア表[#Headers],0))
-
INDEX(スコア表2[],MATCH("average",スコア表2[maxmin],0),MATCH(CG$5,スコア表2[#Headers],0)))
/
INDEX(スコア表2[],MATCH("stdev.p",スコア表2[maxmin],0),MATCH(CG$5,スコア表2[#Headers],0))
*10+50,"-")</f>
        <v>57.374610986965848</v>
      </c>
      <c r="CH9" s="4">
        <f>IFERROR(
(INDEX(スコア表[],MATCH($C9,スコア表['#],0),MATCH(CH$5,スコア表[#Headers],0))
-
INDEX(スコア表2[],MATCH("average",スコア表2[maxmin],0),MATCH(CH$5,スコア表2[#Headers],0)))
/
INDEX(スコア表2[],MATCH("stdev.p",スコア表2[maxmin],0),MATCH(CH$5,スコア表2[#Headers],0))
*10+50,"-")</f>
        <v>56.607270204223141</v>
      </c>
      <c r="CI9" s="4">
        <f>IFERROR(
(INDEX(スコア表[],MATCH($C9,スコア表['#],0),MATCH(CI$5,スコア表[#Headers],0))
-
INDEX(スコア表2[],MATCH("average",スコア表2[maxmin],0),MATCH(CI$5,スコア表2[#Headers],0)))
/
INDEX(スコア表2[],MATCH("stdev.p",スコア表2[maxmin],0),MATCH(CI$5,スコア表2[#Headers],0))
*10+50,"-")</f>
        <v>56.653790412232183</v>
      </c>
      <c r="CJ9" s="4">
        <f>IFERROR(
(INDEX(スコア表[],MATCH($C9,スコア表['#],0),MATCH(CJ$5,スコア表[#Headers],0))
-
INDEX(スコア表2[],MATCH("average",スコア表2[maxmin],0),MATCH(CJ$5,スコア表2[#Headers],0)))
/
INDEX(スコア表2[],MATCH("stdev.p",スコア表2[maxmin],0),MATCH(CJ$5,スコア表2[#Headers],0))
*10+50,"-")</f>
        <v>65.441546096528654</v>
      </c>
      <c r="CK9" s="4">
        <f>IFERROR(
(INDEX(スコア表[],MATCH($C9,スコア表['#],0),MATCH(CK$5,スコア表[#Headers],0))
-
INDEX(スコア表2[],MATCH("average",スコア表2[maxmin],0),MATCH(CK$5,スコア表2[#Headers],0)))
/
INDEX(スコア表2[],MATCH("stdev.p",スコア表2[maxmin],0),MATCH(CK$5,スコア表2[#Headers],0))
*10+50,"-")</f>
        <v>72.916694644260843</v>
      </c>
      <c r="CL9" s="4">
        <f>IFERROR(
(INDEX(スコア表[],MATCH($C9,スコア表['#],0),MATCH(CL$5,スコア表[#Headers],0))
-
INDEX(スコア表2[],MATCH("average",スコア表2[maxmin],0),MATCH(CL$5,スコア表2[#Headers],0)))
/
INDEX(スコア表2[],MATCH("stdev.p",スコア表2[maxmin],0),MATCH(CL$5,スコア表2[#Headers],0))
*10+50,"-")</f>
        <v>67.049386107578414</v>
      </c>
      <c r="CM9" s="4">
        <f>IFERROR(
(INDEX(スコア表[],MATCH($C9,スコア表['#],0),MATCH(CM$5,スコア表[#Headers],0))
-
INDEX(スコア表2[],MATCH("average",スコア表2[maxmin],0),MATCH(CM$5,スコア表2[#Headers],0)))
/
INDEX(スコア表2[],MATCH("stdev.p",スコア表2[maxmin],0),MATCH(CM$5,スコア表2[#Headers],0))
*10+50,"-")</f>
        <v>55.564891463257318</v>
      </c>
      <c r="CN9" s="4">
        <f>IFERROR(
(INDEX(スコア表[],MATCH($C9,スコア表['#],0),MATCH(CN$5,スコア表[#Headers],0))
-
INDEX(スコア表2[],MATCH("average",スコア表2[maxmin],0),MATCH(CN$5,スコア表2[#Headers],0)))
/
INDEX(スコア表2[],MATCH("stdev.p",スコア表2[maxmin],0),MATCH(CN$5,スコア表2[#Headers],0))
*10+50,"-")</f>
        <v>56.177592510076558</v>
      </c>
      <c r="CO9" s="4">
        <f>IFERROR(
(INDEX(スコア表[],MATCH($C9,スコア表['#],0),MATCH(CO$5,スコア表[#Headers],0))
-
INDEX(スコア表2[],MATCH("average",スコア表2[maxmin],0),MATCH(CO$5,スコア表2[#Headers],0)))
/
INDEX(スコア表2[],MATCH("stdev.p",スコア表2[maxmin],0),MATCH(CO$5,スコア表2[#Headers],0))
*10+50,"-")</f>
        <v>49.097694482821488</v>
      </c>
      <c r="CP9" s="4">
        <f>IFERROR(
(INDEX(スコア表[],MATCH($C9,スコア表['#],0),MATCH(CP$5,スコア表[#Headers],0))
-
INDEX(スコア表2[],MATCH("average",スコア表2[maxmin],0),MATCH(CP$5,スコア表2[#Headers],0)))
/
INDEX(スコア表2[],MATCH("stdev.p",スコア表2[maxmin],0),MATCH(CP$5,スコア表2[#Headers],0))
*10+50,"-")</f>
        <v>55.347657221549348</v>
      </c>
      <c r="CQ9" s="4">
        <f>IFERROR(
(INDEX(スコア表[],MATCH($C9,スコア表['#],0),MATCH(CQ$5,スコア表[#Headers],0))
-
INDEX(スコア表2[],MATCH("average",スコア表2[maxmin],0),MATCH(CQ$5,スコア表2[#Headers],0)))
/
INDEX(スコア表2[],MATCH("stdev.p",スコア表2[maxmin],0),MATCH(CQ$5,スコア表2[#Headers],0))
*10+50,"-")</f>
        <v>56.810644585076915</v>
      </c>
      <c r="CR9" s="4">
        <f>IFERROR(
(INDEX(スコア表[],MATCH($C9,スコア表['#],0),MATCH(CR$5,スコア表[#Headers],0))
-
INDEX(スコア表2[],MATCH("average",スコア表2[maxmin],0),MATCH(CR$5,スコア表2[#Headers],0)))
/
INDEX(スコア表2[],MATCH("stdev.p",スコア表2[maxmin],0),MATCH(CR$5,スコア表2[#Headers],0))
*10+50,"-")</f>
        <v>75.626451507132884</v>
      </c>
      <c r="CS9" s="4">
        <f>IFERROR(
(INDEX(スコア表[],MATCH($C9,スコア表['#],0),MATCH(CS$5,スコア表[#Headers],0))
-
INDEX(スコア表2[],MATCH("average",スコア表2[maxmin],0),MATCH(CS$5,スコア表2[#Headers],0)))
/
INDEX(スコア表2[],MATCH("stdev.p",スコア表2[maxmin],0),MATCH(CS$5,スコア表2[#Headers],0))
*10+50,"-")</f>
        <v>57.266705752484995</v>
      </c>
      <c r="CT9" s="4">
        <f>IFERROR(
(INDEX(スコア表[],MATCH($C9,スコア表['#],0),MATCH(CT$5,スコア表[#Headers],0))
-
INDEX(スコア表2[],MATCH("average",スコア表2[maxmin],0),MATCH(CT$5,スコア表2[#Headers],0)))
/
INDEX(スコア表2[],MATCH("stdev.p",スコア表2[maxmin],0),MATCH(CT$5,スコア表2[#Headers],0))
*10+50,"-")</f>
        <v>52.306955624759098</v>
      </c>
      <c r="CU9" s="4">
        <f>IFERROR(
(INDEX(スコア表[],MATCH($C9,スコア表['#],0),MATCH(CU$5,スコア表[#Headers],0))
-
INDEX(スコア表2[],MATCH("average",スコア表2[maxmin],0),MATCH(CU$5,スコア表2[#Headers],0)))
/
INDEX(スコア表2[],MATCH("stdev.p",スコア表2[maxmin],0),MATCH(CU$5,スコア表2[#Headers],0))
*10+50,"-")</f>
        <v>40.542354894662466</v>
      </c>
      <c r="CV9" s="4">
        <f>IFERROR(
(INDEX(スコア表[],MATCH($C9,スコア表['#],0),MATCH(CV$5,スコア表[#Headers],0))
-
INDEX(スコア表2[],MATCH("average",スコア表2[maxmin],0),MATCH(CV$5,スコア表2[#Headers],0)))
/
INDEX(スコア表2[],MATCH("stdev.p",スコア表2[maxmin],0),MATCH(CV$5,スコア表2[#Headers],0))
*10+50,"-")</f>
        <v>67.463384374666362</v>
      </c>
      <c r="CW9" s="4">
        <f>IFERROR(
(INDEX(スコア表[],MATCH($C9,スコア表['#],0),MATCH(CW$5,スコア表[#Headers],0))
-
INDEX(スコア表2[],MATCH("average",スコア表2[maxmin],0),MATCH(CW$5,スコア表2[#Headers],0)))
/
INDEX(スコア表2[],MATCH("stdev.p",スコア表2[maxmin],0),MATCH(CW$5,スコア表2[#Headers],0))
*10+50,"-")</f>
        <v>66.806364202960836</v>
      </c>
      <c r="CX9" s="4">
        <f>IFERROR(
(INDEX(スコア表[],MATCH($C9,スコア表['#],0),MATCH(CX$5,スコア表[#Headers],0))
-
INDEX(スコア表2[],MATCH("average",スコア表2[maxmin],0),MATCH(CX$5,スコア表2[#Headers],0)))
/
INDEX(スコア表2[],MATCH("stdev.p",スコア表2[maxmin],0),MATCH(CX$5,スコア表2[#Headers],0))
*10+50,"-")</f>
        <v>59.484940178074247</v>
      </c>
      <c r="CY9" s="4">
        <f>IFERROR(
(INDEX(スコア表[],MATCH($C9,スコア表['#],0),MATCH(CY$5,スコア表[#Headers],0))
-
INDEX(スコア表2[],MATCH("average",スコア表2[maxmin],0),MATCH(CY$5,スコア表2[#Headers],0)))
/
INDEX(スコア表2[],MATCH("stdev.p",スコア表2[maxmin],0),MATCH(CY$5,スコア表2[#Headers],0))
*10+50,"-")</f>
        <v>45.748194920540278</v>
      </c>
      <c r="CZ9" s="4">
        <f>IFERROR(
(INDEX(スコア表[],MATCH($C9,スコア表['#],0),MATCH(CZ$5,スコア表[#Headers],0))
-
INDEX(スコア表2[],MATCH("average",スコア表2[maxmin],0),MATCH(CZ$5,スコア表2[#Headers],0)))
/
INDEX(スコア表2[],MATCH("stdev.p",スコア表2[maxmin],0),MATCH(CZ$5,スコア表2[#Headers],0))
*10+50,"-")</f>
        <v>54.901087600679375</v>
      </c>
      <c r="DA9" s="4">
        <f>IFERROR(
(INDEX(スコア表[],MATCH($C9,スコア表['#],0),MATCH(DA$5,スコア表[#Headers],0))
-
INDEX(スコア表2[],MATCH("average",スコア表2[maxmin],0),MATCH(DA$5,スコア表2[#Headers],0)))
/
INDEX(スコア表2[],MATCH("stdev.p",スコア表2[maxmin],0),MATCH(DA$5,スコア表2[#Headers],0))
*10+50,"-")</f>
        <v>59.136671559332513</v>
      </c>
      <c r="DB9" s="4">
        <f>IFERROR(
(INDEX(スコア表[],MATCH($C9,スコア表['#],0),MATCH(DB$5,スコア表[#Headers],0))
-
INDEX(スコア表2[],MATCH("average",スコア表2[maxmin],0),MATCH(DB$5,スコア表2[#Headers],0)))
/
INDEX(スコア表2[],MATCH("stdev.p",スコア表2[maxmin],0),MATCH(DB$5,スコア表2[#Headers],0))
*10+50,"-")</f>
        <v>68.580133781243646</v>
      </c>
      <c r="DC9" s="4">
        <f>IFERROR(
(INDEX(スコア表[],MATCH($C9,スコア表['#],0),MATCH(DC$5,スコア表[#Headers],0))
-
INDEX(スコア表2[],MATCH("average",スコア表2[maxmin],0),MATCH(DC$5,スコア表2[#Headers],0)))
/
INDEX(スコア表2[],MATCH("stdev.p",スコア表2[maxmin],0),MATCH(DC$5,スコア表2[#Headers],0))
*10+50,"-")</f>
        <v>69.847064135478533</v>
      </c>
      <c r="DD9" s="4">
        <f>IFERROR(
(INDEX(スコア表[],MATCH($C9,スコア表['#],0),MATCH(DD$5,スコア表[#Headers],0))
-
INDEX(スコア表2[],MATCH("average",スコア表2[maxmin],0),MATCH(DD$5,スコア表2[#Headers],0)))
/
INDEX(スコア表2[],MATCH("stdev.p",スコア表2[maxmin],0),MATCH(DD$5,スコア表2[#Headers],0))
*10+50,"-")</f>
        <v>47.598828969527517</v>
      </c>
      <c r="DE9" s="4">
        <f>IFERROR(
(INDEX(スコア表[],MATCH($C9,スコア表['#],0),MATCH(DE$5,スコア表[#Headers],0))
-
INDEX(スコア表2[],MATCH("average",スコア表2[maxmin],0),MATCH(DE$5,スコア表2[#Headers],0)))
/
INDEX(スコア表2[],MATCH("stdev.p",スコア表2[maxmin],0),MATCH(DE$5,スコア表2[#Headers],0))
*10+50,"-")</f>
        <v>68.236925219534584</v>
      </c>
      <c r="DF9" s="76">
        <f>IFERROR(
(INDEX(スコア表[],MATCH($C9,スコア表['#],0),MATCH(DF$5,スコア表[#Headers],0))
-
INDEX(スコア表2[],MATCH("average",スコア表2[maxmin],0),MATCH(DF$5,スコア表2[#Headers],0)))
/
INDEX(スコア表2[],MATCH("stdev.p",スコア表2[maxmin],0),MATCH(DF$5,スコア表2[#Headers],0))
*10+50,"-")</f>
        <v>66.280956202049794</v>
      </c>
      <c r="DG9" s="4">
        <f>IFERROR(_xlfn.STDEV.P(偏差値表[[#This Row],[Economy]:[Accessibility]]),"")</f>
        <v>8.2409542009967858</v>
      </c>
    </row>
    <row r="10" spans="1:111">
      <c r="A10" s="2">
        <v>5</v>
      </c>
      <c r="B10" s="58">
        <f>INDEX(順位表[Comprehensive],MATCH($C10,順位表['#],0))</f>
        <v>5</v>
      </c>
      <c r="C10" s="3">
        <v>21</v>
      </c>
      <c r="D10" s="1" t="str">
        <f>INDEX(都市マスタ[City Name],MATCH($C10,都市マスタ['#],0))</f>
        <v>Singapore</v>
      </c>
      <c r="E10" s="4">
        <f>IFERROR(
(INDEX(スコア表[],MATCH($C10,スコア表['#],0),MATCH(E$5,スコア表[#Headers],0))
-
INDEX(スコア表2[],MATCH("average",スコア表2[maxmin],0),MATCH(E$5,スコア表2[#Headers],0)))
/
INDEX(スコア表2[],MATCH("stdev.p",スコア表2[maxmin],0),MATCH(E$5,スコア表2[#Headers],0))
*10+50,"-")</f>
        <v>50.539716114927138</v>
      </c>
      <c r="F10" s="4">
        <f>IFERROR(
(INDEX(スコア表[],MATCH($C10,スコア表['#],0),MATCH(F$5,スコア表[#Headers],0))
-
INDEX(スコア表2[],MATCH("average",スコア表2[maxmin],0),MATCH(F$5,スコア表2[#Headers],0)))
/
INDEX(スコア表2[],MATCH("stdev.p",スコア表2[maxmin],0),MATCH(F$5,スコア表2[#Headers],0))
*10+50,"-")</f>
        <v>47.029908850152893</v>
      </c>
      <c r="G10" s="4">
        <f>IFERROR(
(INDEX(スコア表[],MATCH($C10,スコア表['#],0),MATCH(G$5,スコア表[#Headers],0))
-
INDEX(スコア表2[],MATCH("average",スコア表2[maxmin],0),MATCH(G$5,スコア表2[#Headers],0)))
/
INDEX(スコア表2[],MATCH("stdev.p",スコア表2[maxmin],0),MATCH(G$5,スコア表2[#Headers],0))
*10+50,"-")</f>
        <v>48.334510992332454</v>
      </c>
      <c r="H10" s="4">
        <f>IFERROR(
(INDEX(スコア表[],MATCH($C10,スコア表['#],0),MATCH(H$5,スコア表[#Headers],0))
-
INDEX(スコア表2[],MATCH("average",スコア表2[maxmin],0),MATCH(H$5,スコア表2[#Headers],0)))
/
INDEX(スコア表2[],MATCH("stdev.p",スコア表2[maxmin],0),MATCH(H$5,スコア表2[#Headers],0))
*10+50,"-")</f>
        <v>59.681884248175166</v>
      </c>
      <c r="I10" s="4">
        <f>IFERROR(
(INDEX(スコア表[],MATCH($C10,スコア表['#],0),MATCH(I$5,スコア表[#Headers],0))
-
INDEX(スコア表2[],MATCH("average",スコア表2[maxmin],0),MATCH(I$5,スコア表2[#Headers],0)))
/
INDEX(スコア表2[],MATCH("stdev.p",スコア表2[maxmin],0),MATCH(I$5,スコア表2[#Headers],0))
*10+50,"-")</f>
        <v>50.289694793993114</v>
      </c>
      <c r="J10" s="4">
        <f>IFERROR(
(INDEX(スコア表[],MATCH($C10,スコア表['#],0),MATCH(J$5,スコア表[#Headers],0))
-
INDEX(スコア表2[],MATCH("average",スコア表2[maxmin],0),MATCH(J$5,スコア表2[#Headers],0)))
/
INDEX(スコア表2[],MATCH("stdev.p",スコア表2[maxmin],0),MATCH(J$5,スコア表2[#Headers],0))
*10+50,"-")</f>
        <v>51.066209411199068</v>
      </c>
      <c r="K10" s="4">
        <f>IFERROR(
(INDEX(スコア表[],MATCH($C10,スコア表['#],0),MATCH(K$5,スコア表[#Headers],0))
-
INDEX(スコア表2[],MATCH("average",スコア表2[maxmin],0),MATCH(K$5,スコア表2[#Headers],0)))
/
INDEX(スコア表2[],MATCH("stdev.p",スコア表2[maxmin],0),MATCH(K$5,スコア表2[#Headers],0))
*10+50,"-")</f>
        <v>66.439173332491123</v>
      </c>
      <c r="L10" s="4">
        <f>IFERROR(
(INDEX(スコア表[],MATCH($C10,スコア表['#],0),MATCH(L$5,スコア表[#Headers],0))
-
INDEX(スコア表2[],MATCH("average",スコア表2[maxmin],0),MATCH(L$5,スコア表2[#Headers],0)))
/
INDEX(スコア表2[],MATCH("stdev.p",スコア表2[maxmin],0),MATCH(L$5,スコア表2[#Headers],0))
*10+50,"-")</f>
        <v>47.898708257663344</v>
      </c>
      <c r="M10" s="4">
        <f>IFERROR(
(INDEX(スコア表[],MATCH($C10,スコア表['#],0),MATCH(M$5,スコア表[#Headers],0))
-
INDEX(スコア表2[],MATCH("average",スコア表2[maxmin],0),MATCH(M$5,スコア表2[#Headers],0)))
/
INDEX(スコア表2[],MATCH("stdev.p",スコア表2[maxmin],0),MATCH(M$5,スコア表2[#Headers],0))
*10+50,"-")</f>
        <v>50.803004598723987</v>
      </c>
      <c r="N10" s="4">
        <f>IFERROR(
(INDEX(スコア表[],MATCH($C10,スコア表['#],0),MATCH(N$5,スコア表[#Headers],0))
-
INDEX(スコア表2[],MATCH("average",スコア表2[maxmin],0),MATCH(N$5,スコア表2[#Headers],0)))
/
INDEX(スコア表2[],MATCH("stdev.p",スコア表2[maxmin],0),MATCH(N$5,スコア表2[#Headers],0))
*10+50,"-")</f>
        <v>52.532395325669185</v>
      </c>
      <c r="O10" s="4">
        <f>IFERROR(
(INDEX(スコア表[],MATCH($C10,スコア表['#],0),MATCH(O$5,スコア表[#Headers],0))
-
INDEX(スコア表2[],MATCH("average",スコア表2[maxmin],0),MATCH(O$5,スコア表2[#Headers],0)))
/
INDEX(スコア表2[],MATCH("stdev.p",スコア表2[maxmin],0),MATCH(O$5,スコア表2[#Headers],0))
*10+50,"-")</f>
        <v>42.382612460702852</v>
      </c>
      <c r="P10" s="4">
        <f>IFERROR(
(INDEX(スコア表[],MATCH($C10,スコア表['#],0),MATCH(P$5,スコア表[#Headers],0))
-
INDEX(スコア表2[],MATCH("average",スコア表2[maxmin],0),MATCH(P$5,スコア表2[#Headers],0)))
/
INDEX(スコア表2[],MATCH("stdev.p",スコア表2[maxmin],0),MATCH(P$5,スコア表2[#Headers],0))
*10+50,"-")</f>
        <v>60.527819864490681</v>
      </c>
      <c r="Q10" s="4">
        <f>IFERROR(
(INDEX(スコア表[],MATCH($C10,スコア表['#],0),MATCH(Q$5,スコア表[#Headers],0))
-
INDEX(スコア表2[],MATCH("average",スコア表2[maxmin],0),MATCH(Q$5,スコア表2[#Headers],0)))
/
INDEX(スコア表2[],MATCH("stdev.p",スコア表2[maxmin],0),MATCH(Q$5,スコア表2[#Headers],0))
*10+50,"-")</f>
        <v>57.503559510197078</v>
      </c>
      <c r="R10" s="4">
        <f>IFERROR(
(INDEX(スコア表[],MATCH($C10,スコア表['#],0),MATCH(R$5,スコア表[#Headers],0))
-
INDEX(スコア表2[],MATCH("average",スコア表2[maxmin],0),MATCH(R$5,スコア表2[#Headers],0)))
/
INDEX(スコア表2[],MATCH("stdev.p",スコア表2[maxmin],0),MATCH(R$5,スコア表2[#Headers],0))
*10+50,"-")</f>
        <v>66.916650510099885</v>
      </c>
      <c r="S10" s="4">
        <f>IFERROR(
(INDEX(スコア表[],MATCH($C10,スコア表['#],0),MATCH(S$5,スコア表[#Headers],0))
-
INDEX(スコア表2[],MATCH("average",スコア表2[maxmin],0),MATCH(S$5,スコア表2[#Headers],0)))
/
INDEX(スコア表2[],MATCH("stdev.p",スコア表2[maxmin],0),MATCH(S$5,スコア表2[#Headers],0))
*10+50,"-")</f>
        <v>64.181709544923635</v>
      </c>
      <c r="T10" s="4">
        <f>IFERROR(
(INDEX(スコア表[],MATCH($C10,スコア表['#],0),MATCH(T$5,スコア表[#Headers],0))
-
INDEX(スコア表2[],MATCH("average",スコア表2[maxmin],0),MATCH(T$5,スコア表2[#Headers],0)))
/
INDEX(スコア表2[],MATCH("stdev.p",スコア表2[maxmin],0),MATCH(T$5,スコア表2[#Headers],0))
*10+50,"-")</f>
        <v>59.734814980131418</v>
      </c>
      <c r="U10" s="4">
        <f>IFERROR(
(INDEX(スコア表[],MATCH($C10,スコア表['#],0),MATCH(U$5,スコア表[#Headers],0))
-
INDEX(スコア表2[],MATCH("average",スコア表2[maxmin],0),MATCH(U$5,スコア表2[#Headers],0)))
/
INDEX(スコア表2[],MATCH("stdev.p",スコア表2[maxmin],0),MATCH(U$5,スコア表2[#Headers],0))
*10+50,"-")</f>
        <v>58.006743751765086</v>
      </c>
      <c r="V10" s="4">
        <f>IFERROR(
(INDEX(スコア表[],MATCH($C10,スコア表['#],0),MATCH(V$5,スコア表[#Headers],0))
-
INDEX(スコア表2[],MATCH("average",スコア表2[maxmin],0),MATCH(V$5,スコア表2[#Headers],0)))
/
INDEX(スコア表2[],MATCH("stdev.p",スコア表2[maxmin],0),MATCH(V$5,スコア表2[#Headers],0))
*10+50,"-")</f>
        <v>56.890512177487622</v>
      </c>
      <c r="W10" s="4">
        <f>IFERROR(
(INDEX(スコア表[],MATCH($C10,スコア表['#],0),MATCH(W$5,スコア表[#Headers],0))
-
INDEX(スコア表2[],MATCH("average",スコア表2[maxmin],0),MATCH(W$5,スコア表2[#Headers],0)))
/
INDEX(スコア表2[],MATCH("stdev.p",スコア表2[maxmin],0),MATCH(W$5,スコア表2[#Headers],0))
*10+50,"-")</f>
        <v>51.434590251470141</v>
      </c>
      <c r="X10" s="4">
        <f>IFERROR(
(INDEX(スコア表[],MATCH($C10,スコア表['#],0),MATCH(X$5,スコア表[#Headers],0))
-
INDEX(スコア表2[],MATCH("average",スコア表2[maxmin],0),MATCH(X$5,スコア表2[#Headers],0)))
/
INDEX(スコア表2[],MATCH("stdev.p",スコア表2[maxmin],0),MATCH(X$5,スコア表2[#Headers],0))
*10+50,"-")</f>
        <v>46.960201415523727</v>
      </c>
      <c r="Y10" s="4">
        <f>IFERROR(
(INDEX(スコア表[],MATCH($C10,スコア表['#],0),MATCH(Y$5,スコア表[#Headers],0))
-
INDEX(スコア表2[],MATCH("average",スコア表2[maxmin],0),MATCH(Y$5,スコア表2[#Headers],0)))
/
INDEX(スコア表2[],MATCH("stdev.p",スコア表2[maxmin],0),MATCH(Y$5,スコア表2[#Headers],0))
*10+50,"-")</f>
        <v>64.200687127334348</v>
      </c>
      <c r="Z10" s="4">
        <f>IFERROR(
(INDEX(スコア表[],MATCH($C10,スコア表['#],0),MATCH(Z$5,スコア表[#Headers],0))
-
INDEX(スコア表2[],MATCH("average",スコア表2[maxmin],0),MATCH(Z$5,スコア表2[#Headers],0)))
/
INDEX(スコア表2[],MATCH("stdev.p",スコア表2[maxmin],0),MATCH(Z$5,スコア表2[#Headers],0))
*10+50,"-")</f>
        <v>53.543848151933744</v>
      </c>
      <c r="AA10" s="4">
        <f>IFERROR(
(INDEX(スコア表[],MATCH($C10,スコア表['#],0),MATCH(AA$5,スコア表[#Headers],0))
-
INDEX(スコア表2[],MATCH("average",スコア表2[maxmin],0),MATCH(AA$5,スコア表2[#Headers],0)))
/
INDEX(スコア表2[],MATCH("stdev.p",スコア表2[maxmin],0),MATCH(AA$5,スコア表2[#Headers],0))
*10+50,"-")</f>
        <v>44.664612103409482</v>
      </c>
      <c r="AB10" s="4">
        <f>IFERROR(
(INDEX(スコア表[],MATCH($C10,スコア表['#],0),MATCH(AB$5,スコア表[#Headers],0))
-
INDEX(スコア表2[],MATCH("average",スコア表2[maxmin],0),MATCH(AB$5,スコア表2[#Headers],0)))
/
INDEX(スコア表2[],MATCH("stdev.p",スコア表2[maxmin],0),MATCH(AB$5,スコア表2[#Headers],0))
*10+50,"-")</f>
        <v>58.8988435175484</v>
      </c>
      <c r="AC10" s="4">
        <f>IFERROR(
(INDEX(スコア表[],MATCH($C10,スコア表['#],0),MATCH(AC$5,スコア表[#Headers],0))
-
INDEX(スコア表2[],MATCH("average",スコア表2[maxmin],0),MATCH(AC$5,スコア表2[#Headers],0)))
/
INDEX(スコア表2[],MATCH("stdev.p",スコア表2[maxmin],0),MATCH(AC$5,スコア表2[#Headers],0))
*10+50,"-")</f>
        <v>62.322278030162551</v>
      </c>
      <c r="AD10" s="4">
        <f>IFERROR(
(INDEX(スコア表[],MATCH($C10,スコア表['#],0),MATCH(AD$5,スコア表[#Headers],0))
-
INDEX(スコア表2[],MATCH("average",スコア表2[maxmin],0),MATCH(AD$5,スコア表2[#Headers],0)))
/
INDEX(スコア表2[],MATCH("stdev.p",スコア表2[maxmin],0),MATCH(AD$5,スコア表2[#Headers],0))
*10+50,"-")</f>
        <v>52.114911362015278</v>
      </c>
      <c r="AE10" s="4">
        <f>IFERROR(
(INDEX(スコア表[],MATCH($C10,スコア表['#],0),MATCH(AE$5,スコア表[#Headers],0))
-
INDEX(スコア表2[],MATCH("average",スコア表2[maxmin],0),MATCH(AE$5,スコア表2[#Headers],0)))
/
INDEX(スコア表2[],MATCH("stdev.p",スコア表2[maxmin],0),MATCH(AE$5,スコア表2[#Headers],0))
*10+50,"-")</f>
        <v>73.285562640750683</v>
      </c>
      <c r="AF10" s="4">
        <f>IFERROR(
(INDEX(スコア表[],MATCH($C10,スコア表['#],0),MATCH(AF$5,スコア表[#Headers],0))
-
INDEX(スコア表2[],MATCH("average",スコア表2[maxmin],0),MATCH(AF$5,スコア表2[#Headers],0)))
/
INDEX(スコア表2[],MATCH("stdev.p",スコア表2[maxmin],0),MATCH(AF$5,スコア表2[#Headers],0))
*10+50,"-")</f>
        <v>46.72281553377006</v>
      </c>
      <c r="AG10" s="4">
        <f>IFERROR(
(INDEX(スコア表[],MATCH($C10,スコア表['#],0),MATCH(AG$5,スコア表[#Headers],0))
-
INDEX(スコア表2[],MATCH("average",スコア表2[maxmin],0),MATCH(AG$5,スコア表2[#Headers],0)))
/
INDEX(スコア表2[],MATCH("stdev.p",スコア表2[maxmin],0),MATCH(AG$5,スコア表2[#Headers],0))
*10+50,"-")</f>
        <v>53.007024365326544</v>
      </c>
      <c r="AH10" s="4">
        <f>IFERROR(
(INDEX(スコア表[],MATCH($C10,スコア表['#],0),MATCH(AH$5,スコア表[#Headers],0))
-
INDEX(スコア表2[],MATCH("average",スコア表2[maxmin],0),MATCH(AH$5,スコア表2[#Headers],0)))
/
INDEX(スコア表2[],MATCH("stdev.p",スコア表2[maxmin],0),MATCH(AH$5,スコア表2[#Headers],0))
*10+50,"-")</f>
        <v>42.849325941718909</v>
      </c>
      <c r="AI10" s="4">
        <f>IFERROR(
(INDEX(スコア表[],MATCH($C10,スコア表['#],0),MATCH(AI$5,スコア表[#Headers],0))
-
INDEX(スコア表2[],MATCH("average",スコア表2[maxmin],0),MATCH(AI$5,スコア表2[#Headers],0)))
/
INDEX(スコア表2[],MATCH("stdev.p",スコア表2[maxmin],0),MATCH(AI$5,スコア表2[#Headers],0))
*10+50,"-")</f>
        <v>42.240365959441917</v>
      </c>
      <c r="AJ10" s="4">
        <f>IFERROR(
(INDEX(スコア表[],MATCH($C10,スコア表['#],0),MATCH(AJ$5,スコア表[#Headers],0))
-
INDEX(スコア表2[],MATCH("average",スコア表2[maxmin],0),MATCH(AJ$5,スコア表2[#Headers],0)))
/
INDEX(スコア表2[],MATCH("stdev.p",スコア表2[maxmin],0),MATCH(AJ$5,スコア表2[#Headers],0))
*10+50,"-")</f>
        <v>44.724242058647349</v>
      </c>
      <c r="AK10" s="4">
        <f>IFERROR(
(INDEX(スコア表[],MATCH($C10,スコア表['#],0),MATCH(AK$5,スコア表[#Headers],0))
-
INDEX(スコア表2[],MATCH("average",スコア表2[maxmin],0),MATCH(AK$5,スコア表2[#Headers],0)))
/
INDEX(スコア表2[],MATCH("stdev.p",スコア表2[maxmin],0),MATCH(AK$5,スコア表2[#Headers],0))
*10+50,"-")</f>
        <v>40.438373358351171</v>
      </c>
      <c r="AL10" s="4">
        <f>IFERROR(
(INDEX(スコア表[],MATCH($C10,スコア表['#],0),MATCH(AL$5,スコア表[#Headers],0))
-
INDEX(スコア表2[],MATCH("average",スコア表2[maxmin],0),MATCH(AL$5,スコア表2[#Headers],0)))
/
INDEX(スコア表2[],MATCH("stdev.p",スコア表2[maxmin],0),MATCH(AL$5,スコア表2[#Headers],0))
*10+50,"-")</f>
        <v>41.858810131760215</v>
      </c>
      <c r="AM10" s="4">
        <f>IFERROR(
(INDEX(スコア表[],MATCH($C10,スコア表['#],0),MATCH(AM$5,スコア表[#Headers],0))
-
INDEX(スコア表2[],MATCH("average",スコア表2[maxmin],0),MATCH(AM$5,スコア表2[#Headers],0)))
/
INDEX(スコア表2[],MATCH("stdev.p",スコア表2[maxmin],0),MATCH(AM$5,スコア表2[#Headers],0))
*10+50,"-")</f>
        <v>54.501967541656143</v>
      </c>
      <c r="AN10" s="4">
        <f>IFERROR(
(INDEX(スコア表[],MATCH($C10,スコア表['#],0),MATCH(AN$5,スコア表[#Headers],0))
-
INDEX(スコア表2[],MATCH("average",スコア表2[maxmin],0),MATCH(AN$5,スコア表2[#Headers],0)))
/
INDEX(スコア表2[],MATCH("stdev.p",スコア表2[maxmin],0),MATCH(AN$5,スコア表2[#Headers],0))
*10+50,"-")</f>
        <v>65.182730421929392</v>
      </c>
      <c r="AO10" s="4">
        <f>IFERROR(
(INDEX(スコア表[],MATCH($C10,スコア表['#],0),MATCH(AO$5,スコア表[#Headers],0))
-
INDEX(スコア表2[],MATCH("average",スコア表2[maxmin],0),MATCH(AO$5,スコア表2[#Headers],0)))
/
INDEX(スコア表2[],MATCH("stdev.p",スコア表2[maxmin],0),MATCH(AO$5,スコア表2[#Headers],0))
*10+50,"-")</f>
        <v>56.099309433445278</v>
      </c>
      <c r="AP10" s="4">
        <f>IFERROR(
(INDEX(スコア表[],MATCH($C10,スコア表['#],0),MATCH(AP$5,スコア表[#Headers],0))
-
INDEX(スコア表2[],MATCH("average",スコア表2[maxmin],0),MATCH(AP$5,スコア表2[#Headers],0)))
/
INDEX(スコア表2[],MATCH("stdev.p",スコア表2[maxmin],0),MATCH(AP$5,スコア表2[#Headers],0))
*10+50,"-")</f>
        <v>54.595996222201748</v>
      </c>
      <c r="AQ10" s="4">
        <f>IFERROR(
(INDEX(スコア表[],MATCH($C10,スコア表['#],0),MATCH(AQ$5,スコア表[#Headers],0))
-
INDEX(スコア表2[],MATCH("average",スコア表2[maxmin],0),MATCH(AQ$5,スコア表2[#Headers],0)))
/
INDEX(スコア表2[],MATCH("stdev.p",スコア表2[maxmin],0),MATCH(AQ$5,スコア表2[#Headers],0))
*10+50,"-")</f>
        <v>74.435703615586533</v>
      </c>
      <c r="AR10" s="4">
        <f>IFERROR(
(INDEX(スコア表[],MATCH($C10,スコア表['#],0),MATCH(AR$5,スコア表[#Headers],0))
-
INDEX(スコア表2[],MATCH("average",スコア表2[maxmin],0),MATCH(AR$5,スコア表2[#Headers],0)))
/
INDEX(スコア表2[],MATCH("stdev.p",スコア表2[maxmin],0),MATCH(AR$5,スコア表2[#Headers],0))
*10+50,"-")</f>
        <v>58.611687580189162</v>
      </c>
      <c r="AS10" s="4">
        <f>IFERROR(
(INDEX(スコア表[],MATCH($C10,スコア表['#],0),MATCH(AS$5,スコア表[#Headers],0))
-
INDEX(スコア表2[],MATCH("average",スコア表2[maxmin],0),MATCH(AS$5,スコア表2[#Headers],0)))
/
INDEX(スコア表2[],MATCH("stdev.p",スコア表2[maxmin],0),MATCH(AS$5,スコア表2[#Headers],0))
*10+50,"-")</f>
        <v>57.828704501753137</v>
      </c>
      <c r="AT10" s="4">
        <f>IFERROR(
(INDEX(スコア表[],MATCH($C10,スコア表['#],0),MATCH(AT$5,スコア表[#Headers],0))
-
INDEX(スコア表2[],MATCH("average",スコア表2[maxmin],0),MATCH(AT$5,スコア表2[#Headers],0)))
/
INDEX(スコア表2[],MATCH("stdev.p",スコア表2[maxmin],0),MATCH(AT$5,スコア表2[#Headers],0))
*10+50,"-")</f>
        <v>41.545064670639178</v>
      </c>
      <c r="AU10" s="4">
        <f>IFERROR(
(INDEX(スコア表[],MATCH($C10,スコア表['#],0),MATCH(AU$5,スコア表[#Headers],0))
-
INDEX(スコア表2[],MATCH("average",スコア表2[maxmin],0),MATCH(AU$5,スコア表2[#Headers],0)))
/
INDEX(スコア表2[],MATCH("stdev.p",スコア表2[maxmin],0),MATCH(AU$5,スコア表2[#Headers],0))
*10+50,"-")</f>
        <v>58.4738235618819</v>
      </c>
      <c r="AV10" s="4">
        <f>IFERROR(
(INDEX(スコア表[],MATCH($C10,スコア表['#],0),MATCH(AV$5,スコア表[#Headers],0))
-
INDEX(スコア表2[],MATCH("average",スコア表2[maxmin],0),MATCH(AV$5,スコア表2[#Headers],0)))
/
INDEX(スコア表2[],MATCH("stdev.p",スコア表2[maxmin],0),MATCH(AV$5,スコア表2[#Headers],0))
*10+50,"-")</f>
        <v>29.41957587068417</v>
      </c>
      <c r="AW10" s="4">
        <f>IFERROR(
(INDEX(スコア表[],MATCH($C10,スコア表['#],0),MATCH(AW$5,スコア表[#Headers],0))
-
INDEX(スコア表2[],MATCH("average",スコア表2[maxmin],0),MATCH(AW$5,スコア表2[#Headers],0)))
/
INDEX(スコア表2[],MATCH("stdev.p",スコア表2[maxmin],0),MATCH(AW$5,スコア表2[#Headers],0))
*10+50,"-")</f>
        <v>35.806028572457478</v>
      </c>
      <c r="AX10" s="4">
        <f>IFERROR(
(INDEX(スコア表[],MATCH($C10,スコア表['#],0),MATCH(AX$5,スコア表[#Headers],0))
-
INDEX(スコア表2[],MATCH("average",スコア表2[maxmin],0),MATCH(AX$5,スコア表2[#Headers],0)))
/
INDEX(スコア表2[],MATCH("stdev.p",スコア表2[maxmin],0),MATCH(AX$5,スコア表2[#Headers],0))
*10+50,"-")</f>
        <v>55.213530797049124</v>
      </c>
      <c r="AY10" s="4">
        <f>IFERROR(
(INDEX(スコア表[],MATCH($C10,スコア表['#],0),MATCH(AY$5,スコア表[#Headers],0))
-
INDEX(スコア表2[],MATCH("average",スコア表2[maxmin],0),MATCH(AY$5,スコア表2[#Headers],0)))
/
INDEX(スコア表2[],MATCH("stdev.p",スコア表2[maxmin],0),MATCH(AY$5,スコア表2[#Headers],0))
*10+50,"-")</f>
        <v>52.121050217038686</v>
      </c>
      <c r="AZ10" s="4">
        <f>IFERROR(
(INDEX(スコア表[],MATCH($C10,スコア表['#],0),MATCH(AZ$5,スコア表[#Headers],0))
-
INDEX(スコア表2[],MATCH("average",スコア表2[maxmin],0),MATCH(AZ$5,スコア表2[#Headers],0)))
/
INDEX(スコア表2[],MATCH("stdev.p",スコア表2[maxmin],0),MATCH(AZ$5,スコア表2[#Headers],0))
*10+50,"-")</f>
        <v>58.006583496129437</v>
      </c>
      <c r="BA10" s="4">
        <f>IFERROR(
(INDEX(スコア表[],MATCH($C10,スコア表['#],0),MATCH(BA$5,スコア表[#Headers],0))
-
INDEX(スコア表2[],MATCH("average",スコア表2[maxmin],0),MATCH(BA$5,スコア表2[#Headers],0)))
/
INDEX(スコア表2[],MATCH("stdev.p",スコア表2[maxmin],0),MATCH(BA$5,スコア表2[#Headers],0))
*10+50,"-")</f>
        <v>47.04990956681948</v>
      </c>
      <c r="BB10" s="4">
        <f>IFERROR(
(INDEX(スコア表[],MATCH($C10,スコア表['#],0),MATCH(BB$5,スコア表[#Headers],0))
-
INDEX(スコア表2[],MATCH("average",スコア表2[maxmin],0),MATCH(BB$5,スコア表2[#Headers],0)))
/
INDEX(スコア表2[],MATCH("stdev.p",スコア表2[maxmin],0),MATCH(BB$5,スコア表2[#Headers],0))
*10+50,"-")</f>
        <v>55.290924064866068</v>
      </c>
      <c r="BC10" s="4">
        <f>IFERROR(
(INDEX(スコア表[],MATCH($C10,スコア表['#],0),MATCH(BC$5,スコア表[#Headers],0))
-
INDEX(スコア表2[],MATCH("average",スコア表2[maxmin],0),MATCH(BC$5,スコア表2[#Headers],0)))
/
INDEX(スコア表2[],MATCH("stdev.p",スコア表2[maxmin],0),MATCH(BC$5,スコア表2[#Headers],0))
*10+50,"-")</f>
        <v>41.621324124436839</v>
      </c>
      <c r="BD10" s="4">
        <f>IFERROR(
(INDEX(スコア表[],MATCH($C10,スコア表['#],0),MATCH(BD$5,スコア表[#Headers],0))
-
INDEX(スコア表2[],MATCH("average",スコア表2[maxmin],0),MATCH(BD$5,スコア表2[#Headers],0)))
/
INDEX(スコア表2[],MATCH("stdev.p",スコア表2[maxmin],0),MATCH(BD$5,スコア表2[#Headers],0))
*10+50,"-")</f>
        <v>57.396607348787114</v>
      </c>
      <c r="BE10" s="4">
        <f>IFERROR(
(INDEX(スコア表[],MATCH($C10,スコア表['#],0),MATCH(BE$5,スコア表[#Headers],0))
-
INDEX(スコア表2[],MATCH("average",スコア表2[maxmin],0),MATCH(BE$5,スコア表2[#Headers],0)))
/
INDEX(スコア表2[],MATCH("stdev.p",スコア表2[maxmin],0),MATCH(BE$5,スコア表2[#Headers],0))
*10+50,"-")</f>
        <v>59.136704059039076</v>
      </c>
      <c r="BF10" s="4">
        <f>IFERROR(
(INDEX(スコア表[],MATCH($C10,スコア表['#],0),MATCH(BF$5,スコア表[#Headers],0))
-
INDEX(スコア表2[],MATCH("average",スコア表2[maxmin],0),MATCH(BF$5,スコア表2[#Headers],0)))
/
INDEX(スコア表2[],MATCH("stdev.p",スコア表2[maxmin],0),MATCH(BF$5,スコア表2[#Headers],0))
*10+50,"-")</f>
        <v>55.398511055656328</v>
      </c>
      <c r="BG10" s="4">
        <f>IFERROR(
(INDEX(スコア表[],MATCH($C10,スコア表['#],0),MATCH(BG$5,スコア表[#Headers],0))
-
INDEX(スコア表2[],MATCH("average",スコア表2[maxmin],0),MATCH(BG$5,スコア表2[#Headers],0)))
/
INDEX(スコア表2[],MATCH("stdev.p",スコア表2[maxmin],0),MATCH(BG$5,スコア表2[#Headers],0))
*10+50,"-")</f>
        <v>33.723806644009883</v>
      </c>
      <c r="BH10" s="4">
        <f>IFERROR(
(INDEX(スコア表[],MATCH($C10,スコア表['#],0),MATCH(BH$5,スコア表[#Headers],0))
-
INDEX(スコア表2[],MATCH("average",スコア表2[maxmin],0),MATCH(BH$5,スコア表2[#Headers],0)))
/
INDEX(スコア表2[],MATCH("stdev.p",スコア表2[maxmin],0),MATCH(BH$5,スコア表2[#Headers],0))
*10+50,"-")</f>
        <v>38.718244832679069</v>
      </c>
      <c r="BI10" s="4">
        <f>IFERROR(
(INDEX(スコア表[],MATCH($C10,スコア表['#],0),MATCH(BI$5,スコア表[#Headers],0))
-
INDEX(スコア表2[],MATCH("average",スコア表2[maxmin],0),MATCH(BI$5,スコア表2[#Headers],0)))
/
INDEX(スコア表2[],MATCH("stdev.p",スコア表2[maxmin],0),MATCH(BI$5,スコア表2[#Headers],0))
*10+50,"-")</f>
        <v>74.939712791793482</v>
      </c>
      <c r="BJ10" s="4">
        <f>IFERROR(
(INDEX(スコア表[],MATCH($C10,スコア表['#],0),MATCH(BJ$5,スコア表[#Headers],0))
-
INDEX(スコア表2[],MATCH("average",スコア表2[maxmin],0),MATCH(BJ$5,スコア表2[#Headers],0)))
/
INDEX(スコア表2[],MATCH("stdev.p",スコア表2[maxmin],0),MATCH(BJ$5,スコア表2[#Headers],0))
*10+50,"-")</f>
        <v>55.002898331528669</v>
      </c>
      <c r="BK10" s="4">
        <f>IFERROR(
(INDEX(スコア表[],MATCH($C10,スコア表['#],0),MATCH(BK$5,スコア表[#Headers],0))
-
INDEX(スコア表2[],MATCH("average",スコア表2[maxmin],0),MATCH(BK$5,スコア表2[#Headers],0)))
/
INDEX(スコア表2[],MATCH("stdev.p",スコア表2[maxmin],0),MATCH(BK$5,スコア表2[#Headers],0))
*10+50,"-")</f>
        <v>51.819112363964805</v>
      </c>
      <c r="BL10" s="4">
        <f>IFERROR(
(INDEX(スコア表[],MATCH($C10,スコア表['#],0),MATCH(BL$5,スコア表[#Headers],0))
-
INDEX(スコア表2[],MATCH("average",スコア表2[maxmin],0),MATCH(BL$5,スコア表2[#Headers],0)))
/
INDEX(スコア表2[],MATCH("stdev.p",スコア表2[maxmin],0),MATCH(BL$5,スコア表2[#Headers],0))
*10+50,"-")</f>
        <v>31.928244984274606</v>
      </c>
      <c r="BM10" s="4">
        <f>IFERROR(
(INDEX(スコア表[],MATCH($C10,スコア表['#],0),MATCH(BM$5,スコア表[#Headers],0))
-
INDEX(スコア表2[],MATCH("average",スコア表2[maxmin],0),MATCH(BM$5,スコア表2[#Headers],0)))
/
INDEX(スコア表2[],MATCH("stdev.p",スコア表2[maxmin],0),MATCH(BM$5,スコア表2[#Headers],0))
*10+50,"-")</f>
        <v>60.295850435878059</v>
      </c>
      <c r="BN10" s="4">
        <f>IFERROR(
(INDEX(スコア表[],MATCH($C10,スコア表['#],0),MATCH(BN$5,スコア表[#Headers],0))
-
INDEX(スコア表2[],MATCH("average",スコア表2[maxmin],0),MATCH(BN$5,スコア表2[#Headers],0)))
/
INDEX(スコア表2[],MATCH("stdev.p",スコア表2[maxmin],0),MATCH(BN$5,スコア表2[#Headers],0))
*10+50,"-")</f>
        <v>57.662231515129847</v>
      </c>
      <c r="BO10" s="4">
        <f>IFERROR(
(INDEX(スコア表[],MATCH($C10,スコア表['#],0),MATCH(BO$5,スコア表[#Headers],0))
-
INDEX(スコア表2[],MATCH("average",スコア表2[maxmin],0),MATCH(BO$5,スコア表2[#Headers],0)))
/
INDEX(スコア表2[],MATCH("stdev.p",スコア表2[maxmin],0),MATCH(BO$5,スコア表2[#Headers],0))
*10+50,"-")</f>
        <v>69.03121359243022</v>
      </c>
      <c r="BP10" s="4">
        <f>IFERROR(
(INDEX(スコア表[],MATCH($C10,スコア表['#],0),MATCH(BP$5,スコア表[#Headers],0))
-
INDEX(スコア表2[],MATCH("average",スコア表2[maxmin],0),MATCH(BP$5,スコア表2[#Headers],0)))
/
INDEX(スコア表2[],MATCH("stdev.p",スコア表2[maxmin],0),MATCH(BP$5,スコア表2[#Headers],0))
*10+50,"-")</f>
        <v>50.213232927353509</v>
      </c>
      <c r="BQ10" s="4">
        <f>IFERROR(
(INDEX(スコア表[],MATCH($C10,スコア表['#],0),MATCH(BQ$5,スコア表[#Headers],0))
-
INDEX(スコア表2[],MATCH("average",スコア表2[maxmin],0),MATCH(BQ$5,スコア表2[#Headers],0)))
/
INDEX(スコア表2[],MATCH("stdev.p",スコア表2[maxmin],0),MATCH(BQ$5,スコア表2[#Headers],0))
*10+50,"-")</f>
        <v>76.000850848662154</v>
      </c>
      <c r="BR10" s="4">
        <f>IFERROR(
(INDEX(スコア表[],MATCH($C10,スコア表['#],0),MATCH(BR$5,スコア表[#Headers],0))
-
INDEX(スコア表2[],MATCH("average",スコア表2[maxmin],0),MATCH(BR$5,スコア表2[#Headers],0)))
/
INDEX(スコア表2[],MATCH("stdev.p",スコア表2[maxmin],0),MATCH(BR$5,スコア表2[#Headers],0))
*10+50,"-")</f>
        <v>47.509130580516384</v>
      </c>
      <c r="BS10" s="4">
        <f>IFERROR(
(INDEX(スコア表[],MATCH($C10,スコア表['#],0),MATCH(BS$5,スコア表[#Headers],0))
-
INDEX(スコア表2[],MATCH("average",スコア表2[maxmin],0),MATCH(BS$5,スコア表2[#Headers],0)))
/
INDEX(スコア表2[],MATCH("stdev.p",スコア表2[maxmin],0),MATCH(BS$5,スコア表2[#Headers],0))
*10+50,"-")</f>
        <v>45.685206529464949</v>
      </c>
      <c r="BT10" s="4">
        <f>IFERROR(
(INDEX(スコア表[],MATCH($C10,スコア表['#],0),MATCH(BT$5,スコア表[#Headers],0))
-
INDEX(スコア表2[],MATCH("average",スコア表2[maxmin],0),MATCH(BT$5,スコア表2[#Headers],0)))
/
INDEX(スコア表2[],MATCH("stdev.p",スコア表2[maxmin],0),MATCH(BT$5,スコア表2[#Headers],0))
*10+50,"-")</f>
        <v>44.206487612983331</v>
      </c>
      <c r="BU10" s="4">
        <f>IFERROR(
(INDEX(スコア表[],MATCH($C10,スコア表['#],0),MATCH(BU$5,スコア表[#Headers],0))
-
INDEX(スコア表2[],MATCH("average",スコア表2[maxmin],0),MATCH(BU$5,スコア表2[#Headers],0)))
/
INDEX(スコア表2[],MATCH("stdev.p",スコア表2[maxmin],0),MATCH(BU$5,スコア表2[#Headers],0))
*10+50,"-")</f>
        <v>61.907649564637595</v>
      </c>
      <c r="BV10" s="4">
        <f>IFERROR(
(INDEX(スコア表[],MATCH($C10,スコア表['#],0),MATCH(BV$5,スコア表[#Headers],0))
-
INDEX(スコア表2[],MATCH("average",スコア表2[maxmin],0),MATCH(BV$5,スコア表2[#Headers],0)))
/
INDEX(スコア表2[],MATCH("stdev.p",スコア表2[maxmin],0),MATCH(BV$5,スコア表2[#Headers],0))
*10+50,"-")</f>
        <v>57.998421077556756</v>
      </c>
      <c r="BW10" s="4">
        <f>IFERROR(
(INDEX(スコア表[],MATCH($C10,スコア表['#],0),MATCH(BW$5,スコア表[#Headers],0))
-
INDEX(スコア表2[],MATCH("average",スコア表2[maxmin],0),MATCH(BW$5,スコア表2[#Headers],0)))
/
INDEX(スコア表2[],MATCH("stdev.p",スコア表2[maxmin],0),MATCH(BW$5,スコア表2[#Headers],0))
*10+50,"-")</f>
        <v>44.015754107250771</v>
      </c>
      <c r="BX10" s="4">
        <f>IFERROR(
(INDEX(スコア表[],MATCH($C10,スコア表['#],0),MATCH(BX$5,スコア表[#Headers],0))
-
INDEX(スコア表2[],MATCH("average",スコア表2[maxmin],0),MATCH(BX$5,スコア表2[#Headers],0)))
/
INDEX(スコア表2[],MATCH("stdev.p",スコア表2[maxmin],0),MATCH(BX$5,スコア表2[#Headers],0))
*10+50,"-")</f>
        <v>59.597948310907412</v>
      </c>
      <c r="BY10" s="4">
        <f>IFERROR(
(INDEX(スコア表[],MATCH($C10,スコア表['#],0),MATCH(BY$5,スコア表[#Headers],0))
-
INDEX(スコア表2[],MATCH("average",スコア表2[maxmin],0),MATCH(BY$5,スコア表2[#Headers],0)))
/
INDEX(スコア表2[],MATCH("stdev.p",スコア表2[maxmin],0),MATCH(BY$5,スコア表2[#Headers],0))
*10+50,"-")</f>
        <v>59.497129335574698</v>
      </c>
      <c r="BZ10" s="4">
        <f>IFERROR(
(INDEX(スコア表[],MATCH($C10,スコア表['#],0),MATCH(BZ$5,スコア表[#Headers],0))
-
INDEX(スコア表2[],MATCH("average",スコア表2[maxmin],0),MATCH(BZ$5,スコア表2[#Headers],0)))
/
INDEX(スコア表2[],MATCH("stdev.p",スコア表2[maxmin],0),MATCH(BZ$5,スコア表2[#Headers],0))
*10+50,"-")</f>
        <v>57.121690614098974</v>
      </c>
      <c r="CA10" s="4">
        <f>IFERROR(
(INDEX(スコア表[],MATCH($C10,スコア表['#],0),MATCH(CA$5,スコア表[#Headers],0))
-
INDEX(スコア表2[],MATCH("average",スコア表2[maxmin],0),MATCH(CA$5,スコア表2[#Headers],0)))
/
INDEX(スコア表2[],MATCH("stdev.p",スコア表2[maxmin],0),MATCH(CA$5,スコア表2[#Headers],0))
*10+50,"-")</f>
        <v>63.946356976150959</v>
      </c>
      <c r="CB10" s="4">
        <f>IFERROR(
(INDEX(スコア表[],MATCH($C10,スコア表['#],0),MATCH(CB$5,スコア表[#Headers],0))
-
INDEX(スコア表2[],MATCH("average",スコア表2[maxmin],0),MATCH(CB$5,スコア表2[#Headers],0)))
/
INDEX(スコア表2[],MATCH("stdev.p",スコア表2[maxmin],0),MATCH(CB$5,スコア表2[#Headers],0))
*10+50,"-")</f>
        <v>49.236450010809264</v>
      </c>
      <c r="CC10" s="4">
        <f>IFERROR(
(INDEX(スコア表[],MATCH($C10,スコア表['#],0),MATCH(CC$5,スコア表[#Headers],0))
-
INDEX(スコア表2[],MATCH("average",スコア表2[maxmin],0),MATCH(CC$5,スコア表2[#Headers],0)))
/
INDEX(スコア表2[],MATCH("stdev.p",スコア表2[maxmin],0),MATCH(CC$5,スコア表2[#Headers],0))
*10+50,"-")</f>
        <v>45.93314366355127</v>
      </c>
      <c r="CD10" s="4">
        <f>IFERROR(
(INDEX(スコア表[],MATCH($C10,スコア表['#],0),MATCH(CD$5,スコア表[#Headers],0))
-
INDEX(スコア表2[],MATCH("average",スコア表2[maxmin],0),MATCH(CD$5,スコア表2[#Headers],0)))
/
INDEX(スコア表2[],MATCH("stdev.p",スコア表2[maxmin],0),MATCH(CD$5,スコア表2[#Headers],0))
*10+50,"-")</f>
        <v>63.784422981760372</v>
      </c>
      <c r="CE10" s="4">
        <f>IFERROR(
(INDEX(スコア表[],MATCH($C10,スコア表['#],0),MATCH(CE$5,スコア表[#Headers],0))
-
INDEX(スコア表2[],MATCH("average",スコア表2[maxmin],0),MATCH(CE$5,スコア表2[#Headers],0)))
/
INDEX(スコア表2[],MATCH("stdev.p",スコア表2[maxmin],0),MATCH(CE$5,スコア表2[#Headers],0))
*10+50,"-")</f>
        <v>65.410062488795973</v>
      </c>
      <c r="CF10" s="4">
        <f>IFERROR(
(INDEX(スコア表[],MATCH($C10,スコア表['#],0),MATCH(CF$5,スコア表[#Headers],0))
-
INDEX(スコア表2[],MATCH("average",スコア表2[maxmin],0),MATCH(CF$5,スコア表2[#Headers],0)))
/
INDEX(スコア表2[],MATCH("stdev.p",スコア表2[maxmin],0),MATCH(CF$5,スコア表2[#Headers],0))
*10+50,"-")</f>
        <v>58.655061749101399</v>
      </c>
      <c r="CG10" s="4">
        <f>IFERROR(
(INDEX(スコア表[],MATCH($C10,スコア表['#],0),MATCH(CG$5,スコア表[#Headers],0))
-
INDEX(スコア表2[],MATCH("average",スコア表2[maxmin],0),MATCH(CG$5,スコア表2[#Headers],0)))
/
INDEX(スコア表2[],MATCH("stdev.p",スコア表2[maxmin],0),MATCH(CG$5,スコア表2[#Headers],0))
*10+50,"-")</f>
        <v>57.027019927108029</v>
      </c>
      <c r="CH10" s="4">
        <f>IFERROR(
(INDEX(スコア表[],MATCH($C10,スコア表['#],0),MATCH(CH$5,スコア表[#Headers],0))
-
INDEX(スコア表2[],MATCH("average",スコア表2[maxmin],0),MATCH(CH$5,スコア表2[#Headers],0)))
/
INDEX(スコア表2[],MATCH("stdev.p",スコア表2[maxmin],0),MATCH(CH$5,スコア表2[#Headers],0))
*10+50,"-")</f>
        <v>52.885205964393634</v>
      </c>
      <c r="CI10" s="4">
        <f>IFERROR(
(INDEX(スコア表[],MATCH($C10,スコア表['#],0),MATCH(CI$5,スコア表[#Headers],0))
-
INDEX(スコア表2[],MATCH("average",スコア表2[maxmin],0),MATCH(CI$5,スコア表2[#Headers],0)))
/
INDEX(スコア表2[],MATCH("stdev.p",スコア表2[maxmin],0),MATCH(CI$5,スコア表2[#Headers],0))
*10+50,"-")</f>
        <v>65.214384503835745</v>
      </c>
      <c r="CJ10" s="4">
        <f>IFERROR(
(INDEX(スコア表[],MATCH($C10,スコア表['#],0),MATCH(CJ$5,スコア表[#Headers],0))
-
INDEX(スコア表2[],MATCH("average",スコア表2[maxmin],0),MATCH(CJ$5,スコア表2[#Headers],0)))
/
INDEX(スコア表2[],MATCH("stdev.p",スコア表2[maxmin],0),MATCH(CJ$5,スコア表2[#Headers],0))
*10+50,"-")</f>
        <v>43.945537108007784</v>
      </c>
      <c r="CK10" s="4">
        <f>IFERROR(
(INDEX(スコア表[],MATCH($C10,スコア表['#],0),MATCH(CK$5,スコア表[#Headers],0))
-
INDEX(スコア表2[],MATCH("average",スコア表2[maxmin],0),MATCH(CK$5,スコア表2[#Headers],0)))
/
INDEX(スコア表2[],MATCH("stdev.p",スコア表2[maxmin],0),MATCH(CK$5,スコア表2[#Headers],0))
*10+50,"-")</f>
        <v>40.92033491458146</v>
      </c>
      <c r="CL10" s="4">
        <f>IFERROR(
(INDEX(スコア表[],MATCH($C10,スコア表['#],0),MATCH(CL$5,スコア表[#Headers],0))
-
INDEX(スコア表2[],MATCH("average",スコア表2[maxmin],0),MATCH(CL$5,スコア表2[#Headers],0)))
/
INDEX(スコア表2[],MATCH("stdev.p",スコア表2[maxmin],0),MATCH(CL$5,スコア表2[#Headers],0))
*10+50,"-")</f>
        <v>59.502396528971772</v>
      </c>
      <c r="CM10" s="4">
        <f>IFERROR(
(INDEX(スコア表[],MATCH($C10,スコア表['#],0),MATCH(CM$5,スコア表[#Headers],0))
-
INDEX(スコア表2[],MATCH("average",スコア表2[maxmin],0),MATCH(CM$5,スコア表2[#Headers],0)))
/
INDEX(スコア表2[],MATCH("stdev.p",スコア表2[maxmin],0),MATCH(CM$5,スコア表2[#Headers],0))
*10+50,"-")</f>
        <v>68.074377821400844</v>
      </c>
      <c r="CN10" s="4">
        <f>IFERROR(
(INDEX(スコア表[],MATCH($C10,スコア表['#],0),MATCH(CN$5,スコア表[#Headers],0))
-
INDEX(スコア表2[],MATCH("average",スコア表2[maxmin],0),MATCH(CN$5,スコア表2[#Headers],0)))
/
INDEX(スコア表2[],MATCH("stdev.p",スコア表2[maxmin],0),MATCH(CN$5,スコア表2[#Headers],0))
*10+50,"-")</f>
        <v>55.003593619545661</v>
      </c>
      <c r="CO10" s="4">
        <f>IFERROR(
(INDEX(スコア表[],MATCH($C10,スコア表['#],0),MATCH(CO$5,スコア表[#Headers],0))
-
INDEX(スコア表2[],MATCH("average",スコア表2[maxmin],0),MATCH(CO$5,スコア表2[#Headers],0)))
/
INDEX(スコア表2[],MATCH("stdev.p",スコア表2[maxmin],0),MATCH(CO$5,スコア表2[#Headers],0))
*10+50,"-")</f>
        <v>30.686822513731393</v>
      </c>
      <c r="CP10" s="4">
        <f>IFERROR(
(INDEX(スコア表[],MATCH($C10,スコア表['#],0),MATCH(CP$5,スコア表[#Headers],0))
-
INDEX(スコア表2[],MATCH("average",スコア表2[maxmin],0),MATCH(CP$5,スコア表2[#Headers],0)))
/
INDEX(スコア表2[],MATCH("stdev.p",スコア表2[maxmin],0),MATCH(CP$5,スコア表2[#Headers],0))
*10+50,"-")</f>
        <v>55.712058279058276</v>
      </c>
      <c r="CQ10" s="4">
        <f>IFERROR(
(INDEX(スコア表[],MATCH($C10,スコア表['#],0),MATCH(CQ$5,スコア表[#Headers],0))
-
INDEX(スコア表2[],MATCH("average",スコア表2[maxmin],0),MATCH(CQ$5,スコア表2[#Headers],0)))
/
INDEX(スコア表2[],MATCH("stdev.p",スコア表2[maxmin],0),MATCH(CQ$5,スコア表2[#Headers],0))
*10+50,"-")</f>
        <v>54.226713180511631</v>
      </c>
      <c r="CR10" s="4">
        <f>IFERROR(
(INDEX(スコア表[],MATCH($C10,スコア表['#],0),MATCH(CR$5,スコア表[#Headers],0))
-
INDEX(スコア表2[],MATCH("average",スコア表2[maxmin],0),MATCH(CR$5,スコア表2[#Headers],0)))
/
INDEX(スコア表2[],MATCH("stdev.p",スコア表2[maxmin],0),MATCH(CR$5,スコア表2[#Headers],0))
*10+50,"-")</f>
        <v>55.88496722111406</v>
      </c>
      <c r="CS10" s="4">
        <f>IFERROR(
(INDEX(スコア表[],MATCH($C10,スコア表['#],0),MATCH(CS$5,スコア表[#Headers],0))
-
INDEX(スコア表2[],MATCH("average",スコア表2[maxmin],0),MATCH(CS$5,スコア表2[#Headers],0)))
/
INDEX(スコア表2[],MATCH("stdev.p",スコア表2[maxmin],0),MATCH(CS$5,スコア表2[#Headers],0))
*10+50,"-")</f>
        <v>48.116517009414494</v>
      </c>
      <c r="CT10" s="4">
        <f>IFERROR(
(INDEX(スコア表[],MATCH($C10,スコア表['#],0),MATCH(CT$5,スコア表[#Headers],0))
-
INDEX(スコア表2[],MATCH("average",スコア表2[maxmin],0),MATCH(CT$5,スコア表2[#Headers],0)))
/
INDEX(スコア表2[],MATCH("stdev.p",スコア表2[maxmin],0),MATCH(CT$5,スコア表2[#Headers],0))
*10+50,"-")</f>
        <v>44.233550172313848</v>
      </c>
      <c r="CU10" s="4">
        <f>IFERROR(
(INDEX(スコア表[],MATCH($C10,スコア表['#],0),MATCH(CU$5,スコア表[#Headers],0))
-
INDEX(スコア表2[],MATCH("average",スコア表2[maxmin],0),MATCH(CU$5,スコア表2[#Headers],0)))
/
INDEX(スコア表2[],MATCH("stdev.p",スコア表2[maxmin],0),MATCH(CU$5,スコア表2[#Headers],0))
*10+50,"-")</f>
        <v>64.654391229208926</v>
      </c>
      <c r="CV10" s="4">
        <f>IFERROR(
(INDEX(スコア表[],MATCH($C10,スコア表['#],0),MATCH(CV$5,スコア表[#Headers],0))
-
INDEX(スコア表2[],MATCH("average",スコア表2[maxmin],0),MATCH(CV$5,スコア表2[#Headers],0)))
/
INDEX(スコア表2[],MATCH("stdev.p",スコア表2[maxmin],0),MATCH(CV$5,スコア表2[#Headers],0))
*10+50,"-")</f>
        <v>67.492485132921672</v>
      </c>
      <c r="CW10" s="4">
        <f>IFERROR(
(INDEX(スコア表[],MATCH($C10,スコア表['#],0),MATCH(CW$5,スコア表[#Headers],0))
-
INDEX(スコア表2[],MATCH("average",スコア表2[maxmin],0),MATCH(CW$5,スコア表2[#Headers],0)))
/
INDEX(スコア表2[],MATCH("stdev.p",スコア表2[maxmin],0),MATCH(CW$5,スコア表2[#Headers],0))
*10+50,"-")</f>
        <v>46.617950600580066</v>
      </c>
      <c r="CX10" s="4">
        <f>IFERROR(
(INDEX(スコア表[],MATCH($C10,スコア表['#],0),MATCH(CX$5,スコア表[#Headers],0))
-
INDEX(スコア表2[],MATCH("average",スコア表2[maxmin],0),MATCH(CX$5,スコア表2[#Headers],0)))
/
INDEX(スコア表2[],MATCH("stdev.p",スコア表2[maxmin],0),MATCH(CX$5,スコア表2[#Headers],0))
*10+50,"-")</f>
        <v>59.463333002570863</v>
      </c>
      <c r="CY10" s="4">
        <f>IFERROR(
(INDEX(スコア表[],MATCH($C10,スコア表['#],0),MATCH(CY$5,スコア表[#Headers],0))
-
INDEX(スコア表2[],MATCH("average",スコア表2[maxmin],0),MATCH(CY$5,スコア表2[#Headers],0)))
/
INDEX(スコア表2[],MATCH("stdev.p",スコア表2[maxmin],0),MATCH(CY$5,スコア表2[#Headers],0))
*10+50,"-")</f>
        <v>55.142745244731451</v>
      </c>
      <c r="CZ10" s="4">
        <f>IFERROR(
(INDEX(スコア表[],MATCH($C10,スコア表['#],0),MATCH(CZ$5,スコア表[#Headers],0))
-
INDEX(スコア表2[],MATCH("average",スコア表2[maxmin],0),MATCH(CZ$5,スコア表2[#Headers],0)))
/
INDEX(スコア表2[],MATCH("stdev.p",スコア表2[maxmin],0),MATCH(CZ$5,スコア表2[#Headers],0))
*10+50,"-")</f>
        <v>63.533470477541506</v>
      </c>
      <c r="DA10" s="4">
        <f>IFERROR(
(INDEX(スコア表[],MATCH($C10,スコア表['#],0),MATCH(DA$5,スコア表[#Headers],0))
-
INDEX(スコア表2[],MATCH("average",スコア表2[maxmin],0),MATCH(DA$5,スコア表2[#Headers],0)))
/
INDEX(スコア表2[],MATCH("stdev.p",スコア表2[maxmin],0),MATCH(DA$5,スコア表2[#Headers],0))
*10+50,"-")</f>
        <v>56.893443037342941</v>
      </c>
      <c r="DB10" s="4">
        <f>IFERROR(
(INDEX(スコア表[],MATCH($C10,スコア表['#],0),MATCH(DB$5,スコア表[#Headers],0))
-
INDEX(スコア表2[],MATCH("average",スコア表2[maxmin],0),MATCH(DB$5,スコア表2[#Headers],0)))
/
INDEX(スコア表2[],MATCH("stdev.p",スコア表2[maxmin],0),MATCH(DB$5,スコア表2[#Headers],0))
*10+50,"-")</f>
        <v>56.773129839224232</v>
      </c>
      <c r="DC10" s="4">
        <f>IFERROR(
(INDEX(スコア表[],MATCH($C10,スコア表['#],0),MATCH(DC$5,スコア表[#Headers],0))
-
INDEX(スコア表2[],MATCH("average",スコア表2[maxmin],0),MATCH(DC$5,スコア表2[#Headers],0)))
/
INDEX(スコア表2[],MATCH("stdev.p",スコア表2[maxmin],0),MATCH(DC$5,スコア表2[#Headers],0))
*10+50,"-")</f>
        <v>45.77454569360718</v>
      </c>
      <c r="DD10" s="4">
        <f>IFERROR(
(INDEX(スコア表[],MATCH($C10,スコア表['#],0),MATCH(DD$5,スコア表[#Headers],0))
-
INDEX(スコア表2[],MATCH("average",スコア表2[maxmin],0),MATCH(DD$5,スコア表2[#Headers],0)))
/
INDEX(スコア表2[],MATCH("stdev.p",スコア表2[maxmin],0),MATCH(DD$5,スコア表2[#Headers],0))
*10+50,"-")</f>
        <v>56.29754527778632</v>
      </c>
      <c r="DE10" s="4">
        <f>IFERROR(
(INDEX(スコア表[],MATCH($C10,スコア表['#],0),MATCH(DE$5,スコア表[#Headers],0))
-
INDEX(スコア表2[],MATCH("average",スコア表2[maxmin],0),MATCH(DE$5,スコア表2[#Headers],0)))
/
INDEX(スコア表2[],MATCH("stdev.p",スコア表2[maxmin],0),MATCH(DE$5,スコア表2[#Headers],0))
*10+50,"-")</f>
        <v>61.370662543187734</v>
      </c>
      <c r="DF10" s="76">
        <f>IFERROR(
(INDEX(スコア表[],MATCH($C10,スコア表['#],0),MATCH(DF$5,スコア表[#Headers],0))
-
INDEX(スコア表2[],MATCH("average",スコア表2[maxmin],0),MATCH(DF$5,スコア表2[#Headers],0)))
/
INDEX(スコア表2[],MATCH("stdev.p",スコア表2[maxmin],0),MATCH(DF$5,スコア表2[#Headers],0))
*10+50,"-")</f>
        <v>61.16095700158084</v>
      </c>
      <c r="DG10" s="4">
        <f>IFERROR(_xlfn.STDEV.P(偏差値表[[#This Row],[Economy]:[Accessibility]]),"")</f>
        <v>5.598348252960256</v>
      </c>
    </row>
    <row r="11" spans="1:111">
      <c r="A11" s="2">
        <v>6</v>
      </c>
      <c r="B11" s="58">
        <f>INDEX(順位表[Comprehensive],MATCH($C11,順位表['#],0))</f>
        <v>6</v>
      </c>
      <c r="C11" s="3">
        <v>6</v>
      </c>
      <c r="D11" s="1" t="str">
        <f>INDEX(都市マスタ[City Name],MATCH($C11,都市マスタ['#],0))</f>
        <v>Amsterdam</v>
      </c>
      <c r="E11" s="4">
        <f>IFERROR(
(INDEX(スコア表[],MATCH($C11,スコア表['#],0),MATCH(E$5,スコア表[#Headers],0))
-
INDEX(スコア表2[],MATCH("average",スコア表2[maxmin],0),MATCH(E$5,スコア表2[#Headers],0)))
/
INDEX(スコア表2[],MATCH("stdev.p",スコア表2[maxmin],0),MATCH(E$5,スコア表2[#Headers],0))
*10+50,"-")</f>
        <v>42.048541251323456</v>
      </c>
      <c r="F11" s="4">
        <f>IFERROR(
(INDEX(スコア表[],MATCH($C11,スコア表['#],0),MATCH(F$5,スコア表[#Headers],0))
-
INDEX(スコア表2[],MATCH("average",スコア表2[maxmin],0),MATCH(F$5,スコア表2[#Headers],0)))
/
INDEX(スコア表2[],MATCH("stdev.p",スコア表2[maxmin],0),MATCH(F$5,スコア表2[#Headers],0))
*10+50,"-")</f>
        <v>45.281039980729325</v>
      </c>
      <c r="G11" s="4">
        <f>IFERROR(
(INDEX(スコア表[],MATCH($C11,スコア表['#],0),MATCH(G$5,スコア表[#Headers],0))
-
INDEX(スコア表2[],MATCH("average",スコア表2[maxmin],0),MATCH(G$5,スコア表2[#Headers],0)))
/
INDEX(スコア表2[],MATCH("stdev.p",スコア表2[maxmin],0),MATCH(G$5,スコア表2[#Headers],0))
*10+50,"-")</f>
        <v>48.33249429603066</v>
      </c>
      <c r="H11" s="4">
        <f>IFERROR(
(INDEX(スコア表[],MATCH($C11,スコア表['#],0),MATCH(H$5,スコア表[#Headers],0))
-
INDEX(スコア表2[],MATCH("average",スコア表2[maxmin],0),MATCH(H$5,スコア表2[#Headers],0)))
/
INDEX(スコア表2[],MATCH("stdev.p",スコア表2[maxmin],0),MATCH(H$5,スコア表2[#Headers],0))
*10+50,"-")</f>
        <v>44.617314402171459</v>
      </c>
      <c r="I11" s="4">
        <f>IFERROR(
(INDEX(スコア表[],MATCH($C11,スコア表['#],0),MATCH(I$5,スコア表[#Headers],0))
-
INDEX(スコア表2[],MATCH("average",スコア表2[maxmin],0),MATCH(I$5,スコア表2[#Headers],0)))
/
INDEX(スコア表2[],MATCH("stdev.p",スコア表2[maxmin],0),MATCH(I$5,スコア表2[#Headers],0))
*10+50,"-")</f>
        <v>59.408321707100065</v>
      </c>
      <c r="J11" s="4">
        <f>IFERROR(
(INDEX(スコア表[],MATCH($C11,スコア表['#],0),MATCH(J$5,スコア表[#Headers],0))
-
INDEX(スコア表2[],MATCH("average",スコア表2[maxmin],0),MATCH(J$5,スコア表2[#Headers],0)))
/
INDEX(スコア表2[],MATCH("stdev.p",スコア表2[maxmin],0),MATCH(J$5,スコア表2[#Headers],0))
*10+50,"-")</f>
        <v>48.514444154289443</v>
      </c>
      <c r="K11" s="4">
        <f>IFERROR(
(INDEX(スコア表[],MATCH($C11,スコア表['#],0),MATCH(K$5,スコア表[#Headers],0))
-
INDEX(スコア表2[],MATCH("average",スコア表2[maxmin],0),MATCH(K$5,スコア表2[#Headers],0)))
/
INDEX(スコア表2[],MATCH("stdev.p",スコア表2[maxmin],0),MATCH(K$5,スコア表2[#Headers],0))
*10+50,"-")</f>
        <v>60.372574448979904</v>
      </c>
      <c r="L11" s="4">
        <f>IFERROR(
(INDEX(スコア表[],MATCH($C11,スコア表['#],0),MATCH(L$5,スコア表[#Headers],0))
-
INDEX(スコア表2[],MATCH("average",スコア表2[maxmin],0),MATCH(L$5,スコア表2[#Headers],0)))
/
INDEX(スコア表2[],MATCH("stdev.p",スコア表2[maxmin],0),MATCH(L$5,スコア表2[#Headers],0))
*10+50,"-")</f>
        <v>49.129968332725653</v>
      </c>
      <c r="M11" s="4">
        <f>IFERROR(
(INDEX(スコア表[],MATCH($C11,スコア表['#],0),MATCH(M$5,スコア表[#Headers],0))
-
INDEX(スコア表2[],MATCH("average",スコア表2[maxmin],0),MATCH(M$5,スコア表2[#Headers],0)))
/
INDEX(スコア表2[],MATCH("stdev.p",スコア表2[maxmin],0),MATCH(M$5,スコア表2[#Headers],0))
*10+50,"-")</f>
        <v>50.561760414308225</v>
      </c>
      <c r="N11" s="4">
        <f>IFERROR(
(INDEX(スコア表[],MATCH($C11,スコア表['#],0),MATCH(N$5,スコア表[#Headers],0))
-
INDEX(スコア表2[],MATCH("average",スコア表2[maxmin],0),MATCH(N$5,スコア表2[#Headers],0)))
/
INDEX(スコア表2[],MATCH("stdev.p",スコア表2[maxmin],0),MATCH(N$5,スコア表2[#Headers],0))
*10+50,"-")</f>
        <v>42.101937768345309</v>
      </c>
      <c r="O11" s="4">
        <f>IFERROR(
(INDEX(スコア表[],MATCH($C11,スコア表['#],0),MATCH(O$5,スコア表[#Headers],0))
-
INDEX(スコア表2[],MATCH("average",スコア表2[maxmin],0),MATCH(O$5,スコア表2[#Headers],0)))
/
INDEX(スコア表2[],MATCH("stdev.p",スコア表2[maxmin],0),MATCH(O$5,スコア表2[#Headers],0))
*10+50,"-")</f>
        <v>66.27468634551451</v>
      </c>
      <c r="P11" s="4">
        <f>IFERROR(
(INDEX(スコア表[],MATCH($C11,スコア表['#],0),MATCH(P$5,スコア表[#Headers],0))
-
INDEX(スコア表2[],MATCH("average",スコア表2[maxmin],0),MATCH(P$5,スコア表2[#Headers],0)))
/
INDEX(スコア表2[],MATCH("stdev.p",スコア表2[maxmin],0),MATCH(P$5,スコア表2[#Headers],0))
*10+50,"-")</f>
        <v>55.283196284860963</v>
      </c>
      <c r="Q11" s="4">
        <f>IFERROR(
(INDEX(スコア表[],MATCH($C11,スコア表['#],0),MATCH(Q$5,スコア表[#Headers],0))
-
INDEX(スコア表2[],MATCH("average",スコア表2[maxmin],0),MATCH(Q$5,スコア表2[#Headers],0)))
/
INDEX(スコア表2[],MATCH("stdev.p",スコア表2[maxmin],0),MATCH(Q$5,スコア表2[#Headers],0))
*10+50,"-")</f>
        <v>59.94148732495271</v>
      </c>
      <c r="R11" s="4">
        <f>IFERROR(
(INDEX(スコア表[],MATCH($C11,スコア表['#],0),MATCH(R$5,スコア表[#Headers],0))
-
INDEX(スコア表2[],MATCH("average",スコア表2[maxmin],0),MATCH(R$5,スコア表2[#Headers],0)))
/
INDEX(スコア表2[],MATCH("stdev.p",スコア表2[maxmin],0),MATCH(R$5,スコア表2[#Headers],0))
*10+50,"-")</f>
        <v>45.209769520020238</v>
      </c>
      <c r="S11" s="4">
        <f>IFERROR(
(INDEX(スコア表[],MATCH($C11,スコア表['#],0),MATCH(S$5,スコア表[#Headers],0))
-
INDEX(スコア表2[],MATCH("average",スコア表2[maxmin],0),MATCH(S$5,スコア表2[#Headers],0)))
/
INDEX(スコア表2[],MATCH("stdev.p",スコア表2[maxmin],0),MATCH(S$5,スコア表2[#Headers],0))
*10+50,"-")</f>
        <v>48.614969765979836</v>
      </c>
      <c r="T11" s="4">
        <f>IFERROR(
(INDEX(スコア表[],MATCH($C11,スコア表['#],0),MATCH(T$5,スコア表[#Headers],0))
-
INDEX(スコア表2[],MATCH("average",スコア表2[maxmin],0),MATCH(T$5,スコア表2[#Headers],0)))
/
INDEX(スコア表2[],MATCH("stdev.p",スコア表2[maxmin],0),MATCH(T$5,スコア表2[#Headers],0))
*10+50,"-")</f>
        <v>51.177911189407318</v>
      </c>
      <c r="U11" s="4">
        <f>IFERROR(
(INDEX(スコア表[],MATCH($C11,スコア表['#],0),MATCH(U$5,スコア表[#Headers],0))
-
INDEX(スコア表2[],MATCH("average",スコア表2[maxmin],0),MATCH(U$5,スコア表2[#Headers],0)))
/
INDEX(スコア表2[],MATCH("stdev.p",スコア表2[maxmin],0),MATCH(U$5,スコア表2[#Headers],0))
*10+50,"-")</f>
        <v>43.051772074031923</v>
      </c>
      <c r="V11" s="4">
        <f>IFERROR(
(INDEX(スコア表[],MATCH($C11,スコア表['#],0),MATCH(V$5,スコア表[#Headers],0))
-
INDEX(スコア表2[],MATCH("average",スコア表2[maxmin],0),MATCH(V$5,スコア表2[#Headers],0)))
/
INDEX(スコア表2[],MATCH("stdev.p",スコア表2[maxmin],0),MATCH(V$5,スコア表2[#Headers],0))
*10+50,"-")</f>
        <v>63.192665435514058</v>
      </c>
      <c r="W11" s="4">
        <f>IFERROR(
(INDEX(スコア表[],MATCH($C11,スコア表['#],0),MATCH(W$5,スコア表[#Headers],0))
-
INDEX(スコア表2[],MATCH("average",スコア表2[maxmin],0),MATCH(W$5,スコア表2[#Headers],0)))
/
INDEX(スコア表2[],MATCH("stdev.p",スコア表2[maxmin],0),MATCH(W$5,スコア表2[#Headers],0))
*10+50,"-")</f>
        <v>44.786602691928657</v>
      </c>
      <c r="X11" s="4">
        <f>IFERROR(
(INDEX(スコア表[],MATCH($C11,スコア表['#],0),MATCH(X$5,スコア表[#Headers],0))
-
INDEX(スコア表2[],MATCH("average",スコア表2[maxmin],0),MATCH(X$5,スコア表2[#Headers],0)))
/
INDEX(スコア表2[],MATCH("stdev.p",スコア表2[maxmin],0),MATCH(X$5,スコア表2[#Headers],0))
*10+50,"-")</f>
        <v>51.528782877524449</v>
      </c>
      <c r="Y11" s="4">
        <f>IFERROR(
(INDEX(スコア表[],MATCH($C11,スコア表['#],0),MATCH(Y$5,スコア表[#Headers],0))
-
INDEX(スコア表2[],MATCH("average",スコア表2[maxmin],0),MATCH(Y$5,スコア表2[#Headers],0)))
/
INDEX(スコア表2[],MATCH("stdev.p",スコア表2[maxmin],0),MATCH(Y$5,スコア表2[#Headers],0))
*10+50,"-")</f>
        <v>53.904923584096792</v>
      </c>
      <c r="Z11" s="4">
        <f>IFERROR(
(INDEX(スコア表[],MATCH($C11,スコア表['#],0),MATCH(Z$5,スコア表[#Headers],0))
-
INDEX(スコア表2[],MATCH("average",スコア表2[maxmin],0),MATCH(Z$5,スコア表2[#Headers],0)))
/
INDEX(スコア表2[],MATCH("stdev.p",スコア表2[maxmin],0),MATCH(Z$5,スコア表2[#Headers],0))
*10+50,"-")</f>
        <v>44.094500500884102</v>
      </c>
      <c r="AA11" s="4">
        <f>IFERROR(
(INDEX(スコア表[],MATCH($C11,スコア表['#],0),MATCH(AA$5,スコア表[#Headers],0))
-
INDEX(スコア表2[],MATCH("average",スコア表2[maxmin],0),MATCH(AA$5,スコア表2[#Headers],0)))
/
INDEX(スコア表2[],MATCH("stdev.p",スコア表2[maxmin],0),MATCH(AA$5,スコア表2[#Headers],0))
*10+50,"-")</f>
        <v>47.808855431068224</v>
      </c>
      <c r="AB11" s="4">
        <f>IFERROR(
(INDEX(スコア表[],MATCH($C11,スコア表['#],0),MATCH(AB$5,スコア表[#Headers],0))
-
INDEX(スコア表2[],MATCH("average",スコア表2[maxmin],0),MATCH(AB$5,スコア表2[#Headers],0)))
/
INDEX(スコア表2[],MATCH("stdev.p",スコア表2[maxmin],0),MATCH(AB$5,スコア表2[#Headers],0))
*10+50,"-")</f>
        <v>48.118785774952421</v>
      </c>
      <c r="AC11" s="4">
        <f>IFERROR(
(INDEX(スコア表[],MATCH($C11,スコア表['#],0),MATCH(AC$5,スコア表[#Headers],0))
-
INDEX(スコア表2[],MATCH("average",スコア表2[maxmin],0),MATCH(AC$5,スコア表2[#Headers],0)))
/
INDEX(スコア表2[],MATCH("stdev.p",スコア表2[maxmin],0),MATCH(AC$5,スコア表2[#Headers],0))
*10+50,"-")</f>
        <v>49.330627315320207</v>
      </c>
      <c r="AD11" s="4">
        <f>IFERROR(
(INDEX(スコア表[],MATCH($C11,スコア表['#],0),MATCH(AD$5,スコア表[#Headers],0))
-
INDEX(スコア表2[],MATCH("average",スコア表2[maxmin],0),MATCH(AD$5,スコア表2[#Headers],0)))
/
INDEX(スコア表2[],MATCH("stdev.p",スコア表2[maxmin],0),MATCH(AD$5,スコア表2[#Headers],0))
*10+50,"-")</f>
        <v>52.114911362015278</v>
      </c>
      <c r="AE11" s="4">
        <f>IFERROR(
(INDEX(スコア表[],MATCH($C11,スコア表['#],0),MATCH(AE$5,スコア表[#Headers],0))
-
INDEX(スコア表2[],MATCH("average",スコア表2[maxmin],0),MATCH(AE$5,スコア表2[#Headers],0)))
/
INDEX(スコア表2[],MATCH("stdev.p",スコア表2[maxmin],0),MATCH(AE$5,スコア表2[#Headers],0))
*10+50,"-")</f>
        <v>51.152245425404431</v>
      </c>
      <c r="AF11" s="4">
        <f>IFERROR(
(INDEX(スコア表[],MATCH($C11,スコア表['#],0),MATCH(AF$5,スコア表[#Headers],0))
-
INDEX(スコア表2[],MATCH("average",スコア表2[maxmin],0),MATCH(AF$5,スコア表2[#Headers],0)))
/
INDEX(スコア表2[],MATCH("stdev.p",スコア表2[maxmin],0),MATCH(AF$5,スコア表2[#Headers],0))
*10+50,"-")</f>
        <v>48.332716819890123</v>
      </c>
      <c r="AG11" s="4">
        <f>IFERROR(
(INDEX(スコア表[],MATCH($C11,スコア表['#],0),MATCH(AG$5,スコア表[#Headers],0))
-
INDEX(スコア表2[],MATCH("average",スコア表2[maxmin],0),MATCH(AG$5,スコア表2[#Headers],0)))
/
INDEX(スコア表2[],MATCH("stdev.p",スコア表2[maxmin],0),MATCH(AG$5,スコア表2[#Headers],0))
*10+50,"-")</f>
        <v>48.859065635236071</v>
      </c>
      <c r="AH11" s="4">
        <f>IFERROR(
(INDEX(スコア表[],MATCH($C11,スコア表['#],0),MATCH(AH$5,スコア表[#Headers],0))
-
INDEX(スコア表2[],MATCH("average",スコア表2[maxmin],0),MATCH(AH$5,スコア表2[#Headers],0)))
/
INDEX(スコア表2[],MATCH("stdev.p",スコア表2[maxmin],0),MATCH(AH$5,スコア表2[#Headers],0))
*10+50,"-")</f>
        <v>79.693477021675719</v>
      </c>
      <c r="AI11" s="4">
        <f>IFERROR(
(INDEX(スコア表[],MATCH($C11,スコア表['#],0),MATCH(AI$5,スコア表[#Headers],0))
-
INDEX(スコア表2[],MATCH("average",スコア表2[maxmin],0),MATCH(AI$5,スコア表2[#Headers],0)))
/
INDEX(スコア表2[],MATCH("stdev.p",スコア表2[maxmin],0),MATCH(AI$5,スコア表2[#Headers],0))
*10+50,"-")</f>
        <v>62.254426035115486</v>
      </c>
      <c r="AJ11" s="4">
        <f>IFERROR(
(INDEX(スコア表[],MATCH($C11,スコア表['#],0),MATCH(AJ$5,スコア表[#Headers],0))
-
INDEX(スコア表2[],MATCH("average",スコア表2[maxmin],0),MATCH(AJ$5,スコア表2[#Headers],0)))
/
INDEX(スコア表2[],MATCH("stdev.p",スコア表2[maxmin],0),MATCH(AJ$5,スコア表2[#Headers],0))
*10+50,"-")</f>
        <v>50.728816045491705</v>
      </c>
      <c r="AK11" s="4">
        <f>IFERROR(
(INDEX(スコア表[],MATCH($C11,スコア表['#],0),MATCH(AK$5,スコア表[#Headers],0))
-
INDEX(スコア表2[],MATCH("average",スコア表2[maxmin],0),MATCH(AK$5,スコア表2[#Headers],0)))
/
INDEX(スコア表2[],MATCH("stdev.p",スコア表2[maxmin],0),MATCH(AK$5,スコア表2[#Headers],0))
*10+50,"-")</f>
        <v>51.29160942970573</v>
      </c>
      <c r="AL11" s="4">
        <f>IFERROR(
(INDEX(スコア表[],MATCH($C11,スコア表['#],0),MATCH(AL$5,スコア表[#Headers],0))
-
INDEX(スコア表2[],MATCH("average",スコア表2[maxmin],0),MATCH(AL$5,スコア表2[#Headers],0)))
/
INDEX(スコア表2[],MATCH("stdev.p",スコア表2[maxmin],0),MATCH(AL$5,スコア表2[#Headers],0))
*10+50,"-")</f>
        <v>41.858810131760215</v>
      </c>
      <c r="AM11" s="4">
        <f>IFERROR(
(INDEX(スコア表[],MATCH($C11,スコア表['#],0),MATCH(AM$5,スコア表[#Headers],0))
-
INDEX(スコア表2[],MATCH("average",スコア表2[maxmin],0),MATCH(AM$5,スコア表2[#Headers],0)))
/
INDEX(スコア表2[],MATCH("stdev.p",スコア表2[maxmin],0),MATCH(AM$5,スコア表2[#Headers],0))
*10+50,"-")</f>
        <v>47.948827600390032</v>
      </c>
      <c r="AN11" s="4">
        <f>IFERROR(
(INDEX(スコア表[],MATCH($C11,スコア表['#],0),MATCH(AN$5,スコア表[#Headers],0))
-
INDEX(スコア表2[],MATCH("average",スコア表2[maxmin],0),MATCH(AN$5,スコア表2[#Headers],0)))
/
INDEX(スコア表2[],MATCH("stdev.p",スコア表2[maxmin],0),MATCH(AN$5,スコア表2[#Headers],0))
*10+50,"-")</f>
        <v>45.675814942660779</v>
      </c>
      <c r="AO11" s="4">
        <f>IFERROR(
(INDEX(スコア表[],MATCH($C11,スコア表['#],0),MATCH(AO$5,スコア表[#Headers],0))
-
INDEX(スコア表2[],MATCH("average",スコア表2[maxmin],0),MATCH(AO$5,スコア表2[#Headers],0)))
/
INDEX(スコア表2[],MATCH("stdev.p",スコア表2[maxmin],0),MATCH(AO$5,スコア表2[#Headers],0))
*10+50,"-")</f>
        <v>54.506283115472357</v>
      </c>
      <c r="AP11" s="4">
        <f>IFERROR(
(INDEX(スコア表[],MATCH($C11,スコア表['#],0),MATCH(AP$5,スコア表[#Headers],0))
-
INDEX(スコア表2[],MATCH("average",スコア表2[maxmin],0),MATCH(AP$5,スコア表2[#Headers],0)))
/
INDEX(スコア表2[],MATCH("stdev.p",スコア表2[maxmin],0),MATCH(AP$5,スコア表2[#Headers],0))
*10+50,"-")</f>
        <v>44.248673692173163</v>
      </c>
      <c r="AQ11" s="4">
        <f>IFERROR(
(INDEX(スコア表[],MATCH($C11,スコア表['#],0),MATCH(AQ$5,スコア表[#Headers],0))
-
INDEX(スコア表2[],MATCH("average",スコア表2[maxmin],0),MATCH(AQ$5,スコア表2[#Headers],0)))
/
INDEX(スコア表2[],MATCH("stdev.p",スコア表2[maxmin],0),MATCH(AQ$5,スコア表2[#Headers],0))
*10+50,"-")</f>
        <v>44.878876561995646</v>
      </c>
      <c r="AR11" s="4">
        <f>IFERROR(
(INDEX(スコア表[],MATCH($C11,スコア表['#],0),MATCH(AR$5,スコア表[#Headers],0))
-
INDEX(スコア表2[],MATCH("average",スコア表2[maxmin],0),MATCH(AR$5,スコア表2[#Headers],0)))
/
INDEX(スコア表2[],MATCH("stdev.p",スコア表2[maxmin],0),MATCH(AR$5,スコア表2[#Headers],0))
*10+50,"-")</f>
        <v>56.066450483017732</v>
      </c>
      <c r="AS11" s="4">
        <f>IFERROR(
(INDEX(スコア表[],MATCH($C11,スコア表['#],0),MATCH(AS$5,スコア表[#Headers],0))
-
INDEX(スコア表2[],MATCH("average",スコア表2[maxmin],0),MATCH(AS$5,スコア表2[#Headers],0)))
/
INDEX(スコア表2[],MATCH("stdev.p",スコア表2[maxmin],0),MATCH(AS$5,スコア表2[#Headers],0))
*10+50,"-")</f>
        <v>53.719654233011219</v>
      </c>
      <c r="AT11" s="4">
        <f>IFERROR(
(INDEX(スコア表[],MATCH($C11,スコア表['#],0),MATCH(AT$5,スコア表[#Headers],0))
-
INDEX(スコア表2[],MATCH("average",スコア表2[maxmin],0),MATCH(AT$5,スコア表2[#Headers],0)))
/
INDEX(スコア表2[],MATCH("stdev.p",スコア表2[maxmin],0),MATCH(AT$5,スコア表2[#Headers],0))
*10+50,"-")</f>
        <v>54.934088641981354</v>
      </c>
      <c r="AU11" s="4">
        <f>IFERROR(
(INDEX(スコア表[],MATCH($C11,スコア表['#],0),MATCH(AU$5,スコア表[#Headers],0))
-
INDEX(スコア表2[],MATCH("average",スコア表2[maxmin],0),MATCH(AU$5,スコア表2[#Headers],0)))
/
INDEX(スコア表2[],MATCH("stdev.p",スコア表2[maxmin],0),MATCH(AU$5,スコア表2[#Headers],0))
*10+50,"-")</f>
        <v>49.154374751217759</v>
      </c>
      <c r="AV11" s="4">
        <f>IFERROR(
(INDEX(スコア表[],MATCH($C11,スコア表['#],0),MATCH(AV$5,スコア表[#Headers],0))
-
INDEX(スコア表2[],MATCH("average",スコア表2[maxmin],0),MATCH(AV$5,スコア表2[#Headers],0)))
/
INDEX(スコア表2[],MATCH("stdev.p",スコア表2[maxmin],0),MATCH(AV$5,スコア表2[#Headers],0))
*10+50,"-")</f>
        <v>46.914504168696503</v>
      </c>
      <c r="AW11" s="4">
        <f>IFERROR(
(INDEX(スコア表[],MATCH($C11,スコア表['#],0),MATCH(AW$5,スコア表[#Headers],0))
-
INDEX(スコア表2[],MATCH("average",スコア表2[maxmin],0),MATCH(AW$5,スコア表2[#Headers],0)))
/
INDEX(スコア表2[],MATCH("stdev.p",スコア表2[maxmin],0),MATCH(AW$5,スコア表2[#Headers],0))
*10+50,"-")</f>
        <v>49.705577612480369</v>
      </c>
      <c r="AX11" s="4">
        <f>IFERROR(
(INDEX(スコア表[],MATCH($C11,スコア表['#],0),MATCH(AX$5,スコア表[#Headers],0))
-
INDEX(スコア表2[],MATCH("average",スコア表2[maxmin],0),MATCH(AX$5,スコア表2[#Headers],0)))
/
INDEX(スコア表2[],MATCH("stdev.p",スコア表2[maxmin],0),MATCH(AX$5,スコア表2[#Headers],0))
*10+50,"-")</f>
        <v>53.300804870101864</v>
      </c>
      <c r="AY11" s="4">
        <f>IFERROR(
(INDEX(スコア表[],MATCH($C11,スコア表['#],0),MATCH(AY$5,スコア表[#Headers],0))
-
INDEX(スコア表2[],MATCH("average",スコア表2[maxmin],0),MATCH(AY$5,スコア表2[#Headers],0)))
/
INDEX(スコア表2[],MATCH("stdev.p",スコア表2[maxmin],0),MATCH(AY$5,スコア表2[#Headers],0))
*10+50,"-")</f>
        <v>51.651336674175916</v>
      </c>
      <c r="AZ11" s="4">
        <f>IFERROR(
(INDEX(スコア表[],MATCH($C11,スコア表['#],0),MATCH(AZ$5,スコア表[#Headers],0))
-
INDEX(スコア表2[],MATCH("average",スコア表2[maxmin],0),MATCH(AZ$5,スコア表2[#Headers],0)))
/
INDEX(スコア表2[],MATCH("stdev.p",スコア表2[maxmin],0),MATCH(AZ$5,スコア表2[#Headers],0))
*10+50,"-")</f>
        <v>54.692235195681945</v>
      </c>
      <c r="BA11" s="4">
        <f>IFERROR(
(INDEX(スコア表[],MATCH($C11,スコア表['#],0),MATCH(BA$5,スコア表[#Headers],0))
-
INDEX(スコア表2[],MATCH("average",スコア表2[maxmin],0),MATCH(BA$5,スコア表2[#Headers],0)))
/
INDEX(スコア表2[],MATCH("stdev.p",スコア表2[maxmin],0),MATCH(BA$5,スコア表2[#Headers],0))
*10+50,"-")</f>
        <v>60.263572659359532</v>
      </c>
      <c r="BB11" s="4">
        <f>IFERROR(
(INDEX(スコア表[],MATCH($C11,スコア表['#],0),MATCH(BB$5,スコア表[#Headers],0))
-
INDEX(スコア表2[],MATCH("average",スコア表2[maxmin],0),MATCH(BB$5,スコア表2[#Headers],0)))
/
INDEX(スコア表2[],MATCH("stdev.p",スコア表2[maxmin],0),MATCH(BB$5,スコア表2[#Headers],0))
*10+50,"-")</f>
        <v>55.391727733039488</v>
      </c>
      <c r="BC11" s="4">
        <f>IFERROR(
(INDEX(スコア表[],MATCH($C11,スコア表['#],0),MATCH(BC$5,スコア表[#Headers],0))
-
INDEX(スコア表2[],MATCH("average",スコア表2[maxmin],0),MATCH(BC$5,スコア表2[#Headers],0)))
/
INDEX(スコア表2[],MATCH("stdev.p",スコア表2[maxmin],0),MATCH(BC$5,スコア表2[#Headers],0))
*10+50,"-")</f>
        <v>53.764451783564638</v>
      </c>
      <c r="BD11" s="4">
        <f>IFERROR(
(INDEX(スコア表[],MATCH($C11,スコア表['#],0),MATCH(BD$5,スコア表[#Headers],0))
-
INDEX(スコア表2[],MATCH("average",スコア表2[maxmin],0),MATCH(BD$5,スコア表2[#Headers],0)))
/
INDEX(スコア表2[],MATCH("stdev.p",スコア表2[maxmin],0),MATCH(BD$5,スコア表2[#Headers],0))
*10+50,"-")</f>
        <v>60.086002374913527</v>
      </c>
      <c r="BE11" s="4">
        <f>IFERROR(
(INDEX(スコア表[],MATCH($C11,スコア表['#],0),MATCH(BE$5,スコア表[#Headers],0))
-
INDEX(スコア表2[],MATCH("average",スコア表2[maxmin],0),MATCH(BE$5,スコア表2[#Headers],0)))
/
INDEX(スコア表2[],MATCH("stdev.p",スコア表2[maxmin],0),MATCH(BE$5,スコア表2[#Headers],0))
*10+50,"-")</f>
        <v>47.827262676003038</v>
      </c>
      <c r="BF11" s="4">
        <f>IFERROR(
(INDEX(スコア表[],MATCH($C11,スコア表['#],0),MATCH(BF$5,スコア表[#Headers],0))
-
INDEX(スコア表2[],MATCH("average",スコア表2[maxmin],0),MATCH(BF$5,スコア表2[#Headers],0)))
/
INDEX(スコア表2[],MATCH("stdev.p",スコア表2[maxmin],0),MATCH(BF$5,スコア表2[#Headers],0))
*10+50,"-")</f>
        <v>43.898721225145195</v>
      </c>
      <c r="BG11" s="4">
        <f>IFERROR(
(INDEX(スコア表[],MATCH($C11,スコア表['#],0),MATCH(BG$5,スコア表[#Headers],0))
-
INDEX(スコア表2[],MATCH("average",スコア表2[maxmin],0),MATCH(BG$5,スコア表2[#Headers],0)))
/
INDEX(スコア表2[],MATCH("stdev.p",スコア表2[maxmin],0),MATCH(BG$5,スコア表2[#Headers],0))
*10+50,"-")</f>
        <v>44.957102319383118</v>
      </c>
      <c r="BH11" s="4">
        <f>IFERROR(
(INDEX(スコア表[],MATCH($C11,スコア表['#],0),MATCH(BH$5,スコア表[#Headers],0))
-
INDEX(スコア表2[],MATCH("average",スコア表2[maxmin],0),MATCH(BH$5,スコア表2[#Headers],0)))
/
INDEX(スコア表2[],MATCH("stdev.p",スコア表2[maxmin],0),MATCH(BH$5,スコア表2[#Headers],0))
*10+50,"-")</f>
        <v>47.207330034290045</v>
      </c>
      <c r="BI11" s="4">
        <f>IFERROR(
(INDEX(スコア表[],MATCH($C11,スコア表['#],0),MATCH(BI$5,スコア表[#Headers],0))
-
INDEX(スコア表2[],MATCH("average",スコア表2[maxmin],0),MATCH(BI$5,スコア表2[#Headers],0)))
/
INDEX(スコア表2[],MATCH("stdev.p",スコア表2[maxmin],0),MATCH(BI$5,スコア表2[#Headers],0))
*10+50,"-")</f>
        <v>51.24145823905242</v>
      </c>
      <c r="BJ11" s="4">
        <f>IFERROR(
(INDEX(スコア表[],MATCH($C11,スコア表['#],0),MATCH(BJ$5,スコア表[#Headers],0))
-
INDEX(スコア表2[],MATCH("average",スコア表2[maxmin],0),MATCH(BJ$5,スコア表2[#Headers],0)))
/
INDEX(スコア表2[],MATCH("stdev.p",スコア表2[maxmin],0),MATCH(BJ$5,スコア表2[#Headers],0))
*10+50,"-")</f>
        <v>45.05500332289887</v>
      </c>
      <c r="BK11" s="4">
        <f>IFERROR(
(INDEX(スコア表[],MATCH($C11,スコア表['#],0),MATCH(BK$5,スコア表[#Headers],0))
-
INDEX(スコア表2[],MATCH("average",スコア表2[maxmin],0),MATCH(BK$5,スコア表2[#Headers],0)))
/
INDEX(スコア表2[],MATCH("stdev.p",スコア表2[maxmin],0),MATCH(BK$5,スコア表2[#Headers],0))
*10+50,"-")</f>
        <v>54.920285051067665</v>
      </c>
      <c r="BL11" s="4">
        <f>IFERROR(
(INDEX(スコア表[],MATCH($C11,スコア表['#],0),MATCH(BL$5,スコア表[#Headers],0))
-
INDEX(スコア表2[],MATCH("average",スコア表2[maxmin],0),MATCH(BL$5,スコア表2[#Headers],0)))
/
INDEX(スコア表2[],MATCH("stdev.p",スコア表2[maxmin],0),MATCH(BL$5,スコア表2[#Headers],0))
*10+50,"-")</f>
        <v>50.011893491810255</v>
      </c>
      <c r="BM11" s="4">
        <f>IFERROR(
(INDEX(スコア表[],MATCH($C11,スコア表['#],0),MATCH(BM$5,スコア表[#Headers],0))
-
INDEX(スコア表2[],MATCH("average",スコア表2[maxmin],0),MATCH(BM$5,スコア表2[#Headers],0)))
/
INDEX(スコア表2[],MATCH("stdev.p",スコア表2[maxmin],0),MATCH(BM$5,スコア表2[#Headers],0))
*10+50,"-")</f>
        <v>62.321488009165748</v>
      </c>
      <c r="BN11" s="4">
        <f>IFERROR(
(INDEX(スコア表[],MATCH($C11,スコア表['#],0),MATCH(BN$5,スコア表[#Headers],0))
-
INDEX(スコア表2[],MATCH("average",スコア表2[maxmin],0),MATCH(BN$5,スコア表2[#Headers],0)))
/
INDEX(スコア表2[],MATCH("stdev.p",スコア表2[maxmin],0),MATCH(BN$5,スコア表2[#Headers],0))
*10+50,"-")</f>
        <v>58.356963253976531</v>
      </c>
      <c r="BO11" s="4">
        <f>IFERROR(
(INDEX(スコア表[],MATCH($C11,スコア表['#],0),MATCH(BO$5,スコア表[#Headers],0))
-
INDEX(スコア表2[],MATCH("average",スコア表2[maxmin],0),MATCH(BO$5,スコア表2[#Headers],0)))
/
INDEX(スコア表2[],MATCH("stdev.p",スコア表2[maxmin],0),MATCH(BO$5,スコア表2[#Headers],0))
*10+50,"-")</f>
        <v>52.004596824734499</v>
      </c>
      <c r="BP11" s="4">
        <f>IFERROR(
(INDEX(スコア表[],MATCH($C11,スコア表['#],0),MATCH(BP$5,スコア表[#Headers],0))
-
INDEX(スコア表2[],MATCH("average",スコア表2[maxmin],0),MATCH(BP$5,スコア表2[#Headers],0)))
/
INDEX(スコア表2[],MATCH("stdev.p",スコア表2[maxmin],0),MATCH(BP$5,スコア表2[#Headers],0))
*10+50,"-")</f>
        <v>66.965940611649543</v>
      </c>
      <c r="BQ11" s="4">
        <f>IFERROR(
(INDEX(スコア表[],MATCH($C11,スコア表['#],0),MATCH(BQ$5,スコア表[#Headers],0))
-
INDEX(スコア表2[],MATCH("average",スコア表2[maxmin],0),MATCH(BQ$5,スコア表2[#Headers],0)))
/
INDEX(スコア表2[],MATCH("stdev.p",スコア表2[maxmin],0),MATCH(BQ$5,スコア表2[#Headers],0))
*10+50,"-")</f>
        <v>51.336284279242356</v>
      </c>
      <c r="BR11" s="4">
        <f>IFERROR(
(INDEX(スコア表[],MATCH($C11,スコア表['#],0),MATCH(BR$5,スコア表[#Headers],0))
-
INDEX(スコア表2[],MATCH("average",スコア表2[maxmin],0),MATCH(BR$5,スコア表2[#Headers],0)))
/
INDEX(スコア表2[],MATCH("stdev.p",スコア表2[maxmin],0),MATCH(BR$5,スコア表2[#Headers],0))
*10+50,"-")</f>
        <v>54.708601670393833</v>
      </c>
      <c r="BS11" s="4">
        <f>IFERROR(
(INDEX(スコア表[],MATCH($C11,スコア表['#],0),MATCH(BS$5,スコア表[#Headers],0))
-
INDEX(スコア表2[],MATCH("average",スコア表2[maxmin],0),MATCH(BS$5,スコア表2[#Headers],0)))
/
INDEX(スコア表2[],MATCH("stdev.p",スコア表2[maxmin],0),MATCH(BS$5,スコア表2[#Headers],0))
*10+50,"-")</f>
        <v>53.890616723917212</v>
      </c>
      <c r="BT11" s="4">
        <f>IFERROR(
(INDEX(スコア表[],MATCH($C11,スコア表['#],0),MATCH(BT$5,スコア表[#Headers],0))
-
INDEX(スコア表2[],MATCH("average",スコア表2[maxmin],0),MATCH(BT$5,スコア表2[#Headers],0)))
/
INDEX(スコア表2[],MATCH("stdev.p",スコア表2[maxmin],0),MATCH(BT$5,スコア表2[#Headers],0))
*10+50,"-")</f>
        <v>52.115115244302757</v>
      </c>
      <c r="BU11" s="4">
        <f>IFERROR(
(INDEX(スコア表[],MATCH($C11,スコア表['#],0),MATCH(BU$5,スコア表[#Headers],0))
-
INDEX(スコア表2[],MATCH("average",スコア表2[maxmin],0),MATCH(BU$5,スコア表2[#Headers],0)))
/
INDEX(スコア表2[],MATCH("stdev.p",スコア表2[maxmin],0),MATCH(BU$5,スコア表2[#Headers],0))
*10+50,"-")</f>
        <v>52.860525419929303</v>
      </c>
      <c r="BV11" s="4">
        <f>IFERROR(
(INDEX(スコア表[],MATCH($C11,スコア表['#],0),MATCH(BV$5,スコア表[#Headers],0))
-
INDEX(スコア表2[],MATCH("average",スコア表2[maxmin],0),MATCH(BV$5,スコア表2[#Headers],0)))
/
INDEX(スコア表2[],MATCH("stdev.p",スコア表2[maxmin],0),MATCH(BV$5,スコア表2[#Headers],0))
*10+50,"-")</f>
        <v>55.390314372510204</v>
      </c>
      <c r="BW11" s="4">
        <f>IFERROR(
(INDEX(スコア表[],MATCH($C11,スコア表['#],0),MATCH(BW$5,スコア表[#Headers],0))
-
INDEX(スコア表2[],MATCH("average",スコア表2[maxmin],0),MATCH(BW$5,スコア表2[#Headers],0)))
/
INDEX(スコア表2[],MATCH("stdev.p",スコア表2[maxmin],0),MATCH(BW$5,スコア表2[#Headers],0))
*10+50,"-")</f>
        <v>67.037190602927609</v>
      </c>
      <c r="BX11" s="4">
        <f>IFERROR(
(INDEX(スコア表[],MATCH($C11,スコア表['#],0),MATCH(BX$5,スコア表[#Headers],0))
-
INDEX(スコア表2[],MATCH("average",スコア表2[maxmin],0),MATCH(BX$5,スコア表2[#Headers],0)))
/
INDEX(スコア表2[],MATCH("stdev.p",スコア表2[maxmin],0),MATCH(BX$5,スコア表2[#Headers],0))
*10+50,"-")</f>
        <v>75.015334234453164</v>
      </c>
      <c r="BY11" s="4">
        <f>IFERROR(
(INDEX(スコア表[],MATCH($C11,スコア表['#],0),MATCH(BY$5,スコア表[#Headers],0))
-
INDEX(スコア表2[],MATCH("average",スコア表2[maxmin],0),MATCH(BY$5,スコア表2[#Headers],0)))
/
INDEX(スコア表2[],MATCH("stdev.p",スコア表2[maxmin],0),MATCH(BY$5,スコア表2[#Headers],0))
*10+50,"-")</f>
        <v>74.981402921087081</v>
      </c>
      <c r="BZ11" s="4">
        <f>IFERROR(
(INDEX(スコア表[],MATCH($C11,スコア表['#],0),MATCH(BZ$5,スコア表[#Headers],0))
-
INDEX(スコア表2[],MATCH("average",スコア表2[maxmin],0),MATCH(BZ$5,スコア表2[#Headers],0)))
/
INDEX(スコア表2[],MATCH("stdev.p",スコア表2[maxmin],0),MATCH(BZ$5,スコア表2[#Headers],0))
*10+50,"-")</f>
        <v>52.852629903855863</v>
      </c>
      <c r="CA11" s="4">
        <f>IFERROR(
(INDEX(スコア表[],MATCH($C11,スコア表['#],0),MATCH(CA$5,スコア表[#Headers],0))
-
INDEX(スコア表2[],MATCH("average",スコア表2[maxmin],0),MATCH(CA$5,スコア表2[#Headers],0)))
/
INDEX(スコア表2[],MATCH("stdev.p",スコア表2[maxmin],0),MATCH(CA$5,スコア表2[#Headers],0))
*10+50,"-")</f>
        <v>57.606585183016207</v>
      </c>
      <c r="CB11" s="4">
        <f>IFERROR(
(INDEX(スコア表[],MATCH($C11,スコア表['#],0),MATCH(CB$5,スコア表[#Headers],0))
-
INDEX(スコア表2[],MATCH("average",スコア表2[maxmin],0),MATCH(CB$5,スコア表2[#Headers],0)))
/
INDEX(スコア表2[],MATCH("stdev.p",スコア表2[maxmin],0),MATCH(CB$5,スコア表2[#Headers],0))
*10+50,"-")</f>
        <v>49.838069086345612</v>
      </c>
      <c r="CC11" s="4">
        <f>IFERROR(
(INDEX(スコア表[],MATCH($C11,スコア表['#],0),MATCH(CC$5,スコア表[#Headers],0))
-
INDEX(スコア表2[],MATCH("average",スコア表2[maxmin],0),MATCH(CC$5,スコア表2[#Headers],0)))
/
INDEX(スコア表2[],MATCH("stdev.p",スコア表2[maxmin],0),MATCH(CC$5,スコア表2[#Headers],0))
*10+50,"-")</f>
        <v>56.769196616735265</v>
      </c>
      <c r="CD11" s="4">
        <f>IFERROR(
(INDEX(スコア表[],MATCH($C11,スコア表['#],0),MATCH(CD$5,スコア表[#Headers],0))
-
INDEX(スコア表2[],MATCH("average",スコア表2[maxmin],0),MATCH(CD$5,スコア表2[#Headers],0)))
/
INDEX(スコア表2[],MATCH("stdev.p",スコア表2[maxmin],0),MATCH(CD$5,スコア表2[#Headers],0))
*10+50,"-")</f>
        <v>54.682373483733805</v>
      </c>
      <c r="CE11" s="4">
        <f>IFERROR(
(INDEX(スコア表[],MATCH($C11,スコア表['#],0),MATCH(CE$5,スコア表[#Headers],0))
-
INDEX(スコア表2[],MATCH("average",スコア表2[maxmin],0),MATCH(CE$5,スコア表2[#Headers],0)))
/
INDEX(スコア表2[],MATCH("stdev.p",スコア表2[maxmin],0),MATCH(CE$5,スコア表2[#Headers],0))
*10+50,"-")</f>
        <v>49.903438671878668</v>
      </c>
      <c r="CF11" s="4">
        <f>IFERROR(
(INDEX(スコア表[],MATCH($C11,スコア表['#],0),MATCH(CF$5,スコア表[#Headers],0))
-
INDEX(スコア表2[],MATCH("average",スコア表2[maxmin],0),MATCH(CF$5,スコア表2[#Headers],0)))
/
INDEX(スコア表2[],MATCH("stdev.p",スコア表2[maxmin],0),MATCH(CF$5,スコア表2[#Headers],0))
*10+50,"-")</f>
        <v>54.334690050161015</v>
      </c>
      <c r="CG11" s="4">
        <f>IFERROR(
(INDEX(スコア表[],MATCH($C11,スコア表['#],0),MATCH(CG$5,スコア表[#Headers],0))
-
INDEX(スコア表2[],MATCH("average",スコア表2[maxmin],0),MATCH(CG$5,スコア表2[#Headers],0)))
/
INDEX(スコア表2[],MATCH("stdev.p",スコア表2[maxmin],0),MATCH(CG$5,スコア表2[#Headers],0))
*10+50,"-")</f>
        <v>50.240495078058366</v>
      </c>
      <c r="CH11" s="4">
        <f>IFERROR(
(INDEX(スコア表[],MATCH($C11,スコア表['#],0),MATCH(CH$5,スコア表[#Headers],0))
-
INDEX(スコア表2[],MATCH("average",スコア表2[maxmin],0),MATCH(CH$5,スコア表2[#Headers],0)))
/
INDEX(スコア表2[],MATCH("stdev.p",スコア表2[maxmin],0),MATCH(CH$5,スコア表2[#Headers],0))
*10+50,"-")</f>
        <v>45.501647539639634</v>
      </c>
      <c r="CI11" s="4">
        <f>IFERROR(
(INDEX(スコア表[],MATCH($C11,スコア表['#],0),MATCH(CI$5,スコア表[#Headers],0))
-
INDEX(スコア表2[],MATCH("average",スコア表2[maxmin],0),MATCH(CI$5,スコア表2[#Headers],0)))
/
INDEX(スコア表2[],MATCH("stdev.p",スコア表2[maxmin],0),MATCH(CI$5,スコア表2[#Headers],0))
*10+50,"-")</f>
        <v>50.472434798726958</v>
      </c>
      <c r="CJ11" s="4">
        <f>IFERROR(
(INDEX(スコア表[],MATCH($C11,スコア表['#],0),MATCH(CJ$5,スコア表[#Headers],0))
-
INDEX(スコア表2[],MATCH("average",スコア表2[maxmin],0),MATCH(CJ$5,スコア表2[#Headers],0)))
/
INDEX(スコア表2[],MATCH("stdev.p",スコア表2[maxmin],0),MATCH(CJ$5,スコア表2[#Headers],0))
*10+50,"-")</f>
        <v>71.342815295165437</v>
      </c>
      <c r="CK11" s="4">
        <f>IFERROR(
(INDEX(スコア表[],MATCH($C11,スコア表['#],0),MATCH(CK$5,スコア表[#Headers],0))
-
INDEX(スコア表2[],MATCH("average",スコア表2[maxmin],0),MATCH(CK$5,スコア表2[#Headers],0)))
/
INDEX(スコア表2[],MATCH("stdev.p",スコア表2[maxmin],0),MATCH(CK$5,スコア表2[#Headers],0))
*10+50,"-")</f>
        <v>47.516216124947313</v>
      </c>
      <c r="CL11" s="4">
        <f>IFERROR(
(INDEX(スコア表[],MATCH($C11,スコア表['#],0),MATCH(CL$5,スコア表[#Headers],0))
-
INDEX(スコア表2[],MATCH("average",スコア表2[maxmin],0),MATCH(CL$5,スコア表2[#Headers],0)))
/
INDEX(スコア表2[],MATCH("stdev.p",スコア表2[maxmin],0),MATCH(CL$5,スコア表2[#Headers],0))
*10+50,"-")</f>
        <v>47.807097102381768</v>
      </c>
      <c r="CM11" s="4">
        <f>IFERROR(
(INDEX(スコア表[],MATCH($C11,スコア表['#],0),MATCH(CM$5,スコア表[#Headers],0))
-
INDEX(スコア表2[],MATCH("average",スコア表2[maxmin],0),MATCH(CM$5,スコア表2[#Headers],0)))
/
INDEX(スコア表2[],MATCH("stdev.p",スコア表2[maxmin],0),MATCH(CM$5,スコア表2[#Headers],0))
*10+50,"-")</f>
        <v>51.122085657400042</v>
      </c>
      <c r="CN11" s="4">
        <f>IFERROR(
(INDEX(スコア表[],MATCH($C11,スコア表['#],0),MATCH(CN$5,スコア表[#Headers],0))
-
INDEX(スコア表2[],MATCH("average",スコア表2[maxmin],0),MATCH(CN$5,スコア表2[#Headers],0)))
/
INDEX(スコア表2[],MATCH("stdev.p",スコア表2[maxmin],0),MATCH(CN$5,スコア表2[#Headers],0))
*10+50,"-")</f>
        <v>54.155943550068102</v>
      </c>
      <c r="CO11" s="4">
        <f>IFERROR(
(INDEX(スコア表[],MATCH($C11,スコア表['#],0),MATCH(CO$5,スコア表[#Headers],0))
-
INDEX(スコア表2[],MATCH("average",スコア表2[maxmin],0),MATCH(CO$5,スコア表2[#Headers],0)))
/
INDEX(スコア表2[],MATCH("stdev.p",スコア表2[maxmin],0),MATCH(CO$5,スコア表2[#Headers],0))
*10+50,"-")</f>
        <v>48.017323518124293</v>
      </c>
      <c r="CP11" s="4">
        <f>IFERROR(
(INDEX(スコア表[],MATCH($C11,スコア表['#],0),MATCH(CP$5,スコア表[#Headers],0))
-
INDEX(スコア表2[],MATCH("average",スコア表2[maxmin],0),MATCH(CP$5,スコア表2[#Headers],0)))
/
INDEX(スコア表2[],MATCH("stdev.p",スコア表2[maxmin],0),MATCH(CP$5,スコア表2[#Headers],0))
*10+50,"-")</f>
        <v>53.804657478931041</v>
      </c>
      <c r="CQ11" s="4">
        <f>IFERROR(
(INDEX(スコア表[],MATCH($C11,スコア表['#],0),MATCH(CQ$5,スコア表[#Headers],0))
-
INDEX(スコア表2[],MATCH("average",スコア表2[maxmin],0),MATCH(CQ$5,スコア表2[#Headers],0)))
/
INDEX(スコア表2[],MATCH("stdev.p",スコア表2[maxmin],0),MATCH(CQ$5,スコア表2[#Headers],0))
*10+50,"-")</f>
        <v>59.290761016910274</v>
      </c>
      <c r="CR11" s="4">
        <f>IFERROR(
(INDEX(スコア表[],MATCH($C11,スコア表['#],0),MATCH(CR$5,スコア表[#Headers],0))
-
INDEX(スコア表2[],MATCH("average",スコア表2[maxmin],0),MATCH(CR$5,スコア表2[#Headers],0)))
/
INDEX(スコア表2[],MATCH("stdev.p",スコア表2[maxmin],0),MATCH(CR$5,スコア表2[#Headers],0))
*10+50,"-")</f>
        <v>53.373456654062153</v>
      </c>
      <c r="CS11" s="4">
        <f>IFERROR(
(INDEX(スコア表[],MATCH($C11,スコア表['#],0),MATCH(CS$5,スコア表[#Headers],0))
-
INDEX(スコア表2[],MATCH("average",スコア表2[maxmin],0),MATCH(CS$5,スコア表2[#Headers],0)))
/
INDEX(スコア表2[],MATCH("stdev.p",スコア表2[maxmin],0),MATCH(CS$5,スコア表2[#Headers],0))
*10+50,"-")</f>
        <v>45.844368167613439</v>
      </c>
      <c r="CT11" s="4">
        <f>IFERROR(
(INDEX(スコア表[],MATCH($C11,スコア表['#],0),MATCH(CT$5,スコア表[#Headers],0))
-
INDEX(スコア表2[],MATCH("average",スコア表2[maxmin],0),MATCH(CT$5,スコア表2[#Headers],0)))
/
INDEX(スコア表2[],MATCH("stdev.p",スコア表2[maxmin],0),MATCH(CT$5,スコア表2[#Headers],0))
*10+50,"-")</f>
        <v>50.316306688498038</v>
      </c>
      <c r="CU11" s="4">
        <f>IFERROR(
(INDEX(スコア表[],MATCH($C11,スコア表['#],0),MATCH(CU$5,スコア表[#Headers],0))
-
INDEX(スコア表2[],MATCH("average",スコア表2[maxmin],0),MATCH(CU$5,スコア表2[#Headers],0)))
/
INDEX(スコア表2[],MATCH("stdev.p",スコア表2[maxmin],0),MATCH(CU$5,スコア表2[#Headers],0))
*10+50,"-")</f>
        <v>59.010792350535645</v>
      </c>
      <c r="CV11" s="4">
        <f>IFERROR(
(INDEX(スコア表[],MATCH($C11,スコア表['#],0),MATCH(CV$5,スコア表[#Headers],0))
-
INDEX(スコア表2[],MATCH("average",スコア表2[maxmin],0),MATCH(CV$5,スコア表2[#Headers],0)))
/
INDEX(スコア表2[],MATCH("stdev.p",スコア表2[maxmin],0),MATCH(CV$5,スコア表2[#Headers],0))
*10+50,"-")</f>
        <v>62.758815536953897</v>
      </c>
      <c r="CW11" s="4">
        <f>IFERROR(
(INDEX(スコア表[],MATCH($C11,スコア表['#],0),MATCH(CW$5,スコア表[#Headers],0))
-
INDEX(スコア表2[],MATCH("average",スコア表2[maxmin],0),MATCH(CW$5,スコア表2[#Headers],0)))
/
INDEX(スコア表2[],MATCH("stdev.p",スコア表2[maxmin],0),MATCH(CW$5,スコア表2[#Headers],0))
*10+50,"-")</f>
        <v>54.396563349899026</v>
      </c>
      <c r="CX11" s="4">
        <f>IFERROR(
(INDEX(スコア表[],MATCH($C11,スコア表['#],0),MATCH(CX$5,スコア表[#Headers],0))
-
INDEX(スコア表2[],MATCH("average",スコア表2[maxmin],0),MATCH(CX$5,スコア表2[#Headers],0)))
/
INDEX(スコア表2[],MATCH("stdev.p",スコア表2[maxmin],0),MATCH(CX$5,スコア表2[#Headers],0))
*10+50,"-")</f>
        <v>55.95969760557584</v>
      </c>
      <c r="CY11" s="4">
        <f>IFERROR(
(INDEX(スコア表[],MATCH($C11,スコア表['#],0),MATCH(CY$5,スコア表[#Headers],0))
-
INDEX(スコア表2[],MATCH("average",スコア表2[maxmin],0),MATCH(CY$5,スコア表2[#Headers],0)))
/
INDEX(スコア表2[],MATCH("stdev.p",スコア表2[maxmin],0),MATCH(CY$5,スコア表2[#Headers],0))
*10+50,"-")</f>
        <v>84.104046324383376</v>
      </c>
      <c r="CZ11" s="4">
        <f>IFERROR(
(INDEX(スコア表[],MATCH($C11,スコア表['#],0),MATCH(CZ$5,スコア表[#Headers],0))
-
INDEX(スコア表2[],MATCH("average",スコア表2[maxmin],0),MATCH(CZ$5,スコア表2[#Headers],0)))
/
INDEX(スコア表2[],MATCH("stdev.p",スコア表2[maxmin],0),MATCH(CZ$5,スコア表2[#Headers],0))
*10+50,"-")</f>
        <v>55.847897707198612</v>
      </c>
      <c r="DA11" s="4">
        <f>IFERROR(
(INDEX(スコア表[],MATCH($C11,スコア表['#],0),MATCH(DA$5,スコア表[#Headers],0))
-
INDEX(スコア表2[],MATCH("average",スコア表2[maxmin],0),MATCH(DA$5,スコア表2[#Headers],0)))
/
INDEX(スコア表2[],MATCH("stdev.p",スコア表2[maxmin],0),MATCH(DA$5,スコア表2[#Headers],0))
*10+50,"-")</f>
        <v>50.585795659118247</v>
      </c>
      <c r="DB11" s="4">
        <f>IFERROR(
(INDEX(スコア表[],MATCH($C11,スコア表['#],0),MATCH(DB$5,スコア表[#Headers],0))
-
INDEX(スコア表2[],MATCH("average",スコア表2[maxmin],0),MATCH(DB$5,スコア表2[#Headers],0)))
/
INDEX(スコア表2[],MATCH("stdev.p",スコア表2[maxmin],0),MATCH(DB$5,スコア表2[#Headers],0))
*10+50,"-")</f>
        <v>54.226942986827801</v>
      </c>
      <c r="DC11" s="4">
        <f>IFERROR(
(INDEX(スコア表[],MATCH($C11,スコア表['#],0),MATCH(DC$5,スコア表[#Headers],0))
-
INDEX(スコア表2[],MATCH("average",スコア表2[maxmin],0),MATCH(DC$5,スコア表2[#Headers],0)))
/
INDEX(スコア表2[],MATCH("stdev.p",スコア表2[maxmin],0),MATCH(DC$5,スコア表2[#Headers],0))
*10+50,"-")</f>
        <v>58.961765419396251</v>
      </c>
      <c r="DD11" s="4">
        <f>IFERROR(
(INDEX(スコア表[],MATCH($C11,スコア表['#],0),MATCH(DD$5,スコア表[#Headers],0))
-
INDEX(スコア表2[],MATCH("average",スコア表2[maxmin],0),MATCH(DD$5,スコア表2[#Headers],0)))
/
INDEX(スコア表2[],MATCH("stdev.p",スコア表2[maxmin],0),MATCH(DD$5,スコア表2[#Headers],0))
*10+50,"-")</f>
        <v>54.198232358596314</v>
      </c>
      <c r="DE11" s="4">
        <f>IFERROR(
(INDEX(スコア表[],MATCH($C11,スコア表['#],0),MATCH(DE$5,スコア表[#Headers],0))
-
INDEX(スコア表2[],MATCH("average",スコア表2[maxmin],0),MATCH(DE$5,スコア表2[#Headers],0)))
/
INDEX(スコア表2[],MATCH("stdev.p",スコア表2[maxmin],0),MATCH(DE$5,スコア表2[#Headers],0))
*10+50,"-")</f>
        <v>73.087902762382669</v>
      </c>
      <c r="DF11" s="76">
        <f>IFERROR(
(INDEX(スコア表[],MATCH($C11,スコア表['#],0),MATCH(DF$5,スコア表[#Headers],0))
-
INDEX(スコア表2[],MATCH("average",スコア表2[maxmin],0),MATCH(DF$5,スコア表2[#Headers],0)))
/
INDEX(スコア表2[],MATCH("stdev.p",スコア表2[maxmin],0),MATCH(DF$5,スコア表2[#Headers],0))
*10+50,"-")</f>
        <v>60.210031950043991</v>
      </c>
      <c r="DG11" s="4">
        <f>IFERROR(_xlfn.STDEV.P(偏差値表[[#This Row],[Economy]:[Accessibility]]),"")</f>
        <v>7.2647851606358032</v>
      </c>
    </row>
    <row r="12" spans="1:111">
      <c r="A12" s="2">
        <v>7</v>
      </c>
      <c r="B12" s="58">
        <f>INDEX(順位表[Comprehensive],MATCH($C12,順位表['#],0))</f>
        <v>7</v>
      </c>
      <c r="C12" s="3">
        <v>26</v>
      </c>
      <c r="D12" s="1" t="str">
        <f>INDEX(都市マスタ[City Name],MATCH($C12,都市マスタ['#],0))</f>
        <v>Seoul</v>
      </c>
      <c r="E12" s="4">
        <f>IFERROR(
(INDEX(スコア表[],MATCH($C12,スコア表['#],0),MATCH(E$5,スコア表[#Headers],0))
-
INDEX(スコア表2[],MATCH("average",スコア表2[maxmin],0),MATCH(E$5,スコア表2[#Headers],0)))
/
INDEX(スコア表2[],MATCH("stdev.p",スコア表2[maxmin],0),MATCH(E$5,スコア表2[#Headers],0))
*10+50,"-")</f>
        <v>57.722894478810964</v>
      </c>
      <c r="F12" s="4">
        <f>IFERROR(
(INDEX(スコア表[],MATCH($C12,スコア表['#],0),MATCH(F$5,スコア表[#Headers],0))
-
INDEX(スコア表2[],MATCH("average",スコア表2[maxmin],0),MATCH(F$5,スコア表2[#Headers],0)))
/
INDEX(スコア表2[],MATCH("stdev.p",スコア表2[maxmin],0),MATCH(F$5,スコア表2[#Headers],0))
*10+50,"-")</f>
        <v>46.633629172021415</v>
      </c>
      <c r="G12" s="4">
        <f>IFERROR(
(INDEX(スコア表[],MATCH($C12,スコア表['#],0),MATCH(G$5,スコア表[#Headers],0))
-
INDEX(スコア表2[],MATCH("average",スコア表2[maxmin],0),MATCH(G$5,スコア表2[#Headers],0)))
/
INDEX(スコア表2[],MATCH("stdev.p",スコア表2[maxmin],0),MATCH(G$5,スコア表2[#Headers],0))
*10+50,"-")</f>
        <v>54.414520557804494</v>
      </c>
      <c r="H12" s="4">
        <f>IFERROR(
(INDEX(スコア表[],MATCH($C12,スコア表['#],0),MATCH(H$5,スコア表[#Headers],0))
-
INDEX(スコア表2[],MATCH("average",スコア表2[maxmin],0),MATCH(H$5,スコア表2[#Headers],0)))
/
INDEX(スコア表2[],MATCH("stdev.p",スコア表2[maxmin],0),MATCH(H$5,スコア表2[#Headers],0))
*10+50,"-")</f>
        <v>59.130728242622141</v>
      </c>
      <c r="I12" s="4">
        <f>IFERROR(
(INDEX(スコア表[],MATCH($C12,スコア表['#],0),MATCH(I$5,スコア表[#Headers],0))
-
INDEX(スコア表2[],MATCH("average",スコア表2[maxmin],0),MATCH(I$5,スコア表2[#Headers],0)))
/
INDEX(スコア表2[],MATCH("stdev.p",スコア表2[maxmin],0),MATCH(I$5,スコア表2[#Headers],0))
*10+50,"-")</f>
        <v>44.659001106331175</v>
      </c>
      <c r="J12" s="4">
        <f>IFERROR(
(INDEX(スコア表[],MATCH($C12,スコア表['#],0),MATCH(J$5,スコア表[#Headers],0))
-
INDEX(スコア表2[],MATCH("average",スコア表2[maxmin],0),MATCH(J$5,スコア表2[#Headers],0)))
/
INDEX(スコア表2[],MATCH("stdev.p",スコア表2[maxmin],0),MATCH(J$5,スコア表2[#Headers],0))
*10+50,"-")</f>
        <v>53.776575368918657</v>
      </c>
      <c r="K12" s="4">
        <f>IFERROR(
(INDEX(スコア表[],MATCH($C12,スコア表['#],0),MATCH(K$5,スコア表[#Headers],0))
-
INDEX(スコア表2[],MATCH("average",スコア表2[maxmin],0),MATCH(K$5,スコア表2[#Headers],0)))
/
INDEX(スコア表2[],MATCH("stdev.p",スコア表2[maxmin],0),MATCH(K$5,スコア表2[#Headers],0))
*10+50,"-")</f>
        <v>56.097227603505019</v>
      </c>
      <c r="L12" s="4">
        <f>IFERROR(
(INDEX(スコア表[],MATCH($C12,スコア表['#],0),MATCH(L$5,スコア表[#Headers],0))
-
INDEX(スコア表2[],MATCH("average",スコア表2[maxmin],0),MATCH(L$5,スコア表2[#Headers],0)))
/
INDEX(スコア表2[],MATCH("stdev.p",スコア表2[maxmin],0),MATCH(L$5,スコア表2[#Headers],0))
*10+50,"-")</f>
        <v>49.665145292385084</v>
      </c>
      <c r="M12" s="4">
        <f>IFERROR(
(INDEX(スコア表[],MATCH($C12,スコア表['#],0),MATCH(M$5,スコア表[#Headers],0))
-
INDEX(スコア表2[],MATCH("average",スコア表2[maxmin],0),MATCH(M$5,スコア表2[#Headers],0)))
/
INDEX(スコア表2[],MATCH("stdev.p",スコア表2[maxmin],0),MATCH(M$5,スコア表2[#Headers],0))
*10+50,"-")</f>
        <v>54.415418493665875</v>
      </c>
      <c r="N12" s="4">
        <f>IFERROR(
(INDEX(スコア表[],MATCH($C12,スコア表['#],0),MATCH(N$5,スコア表[#Headers],0))
-
INDEX(スコア表2[],MATCH("average",スコア表2[maxmin],0),MATCH(N$5,スコア表2[#Headers],0)))
/
INDEX(スコア表2[],MATCH("stdev.p",スコア表2[maxmin],0),MATCH(N$5,スコア表2[#Headers],0))
*10+50,"-")</f>
        <v>57.589998085884361</v>
      </c>
      <c r="O12" s="4">
        <f>IFERROR(
(INDEX(スコア表[],MATCH($C12,スコア表['#],0),MATCH(O$5,スコア表[#Headers],0))
-
INDEX(スコア表2[],MATCH("average",スコア表2[maxmin],0),MATCH(O$5,スコア表2[#Headers],0)))
/
INDEX(スコア表2[],MATCH("stdev.p",スコア表2[maxmin],0),MATCH(O$5,スコア表2[#Headers],0))
*10+50,"-")</f>
        <v>48.826420149175469</v>
      </c>
      <c r="P12" s="4">
        <f>IFERROR(
(INDEX(スコア表[],MATCH($C12,スコア表['#],0),MATCH(P$5,スコア表[#Headers],0))
-
INDEX(スコア表2[],MATCH("average",スコア表2[maxmin],0),MATCH(P$5,スコア表2[#Headers],0)))
/
INDEX(スコア表2[],MATCH("stdev.p",スコア表2[maxmin],0),MATCH(P$5,スコア表2[#Headers],0))
*10+50,"-")</f>
        <v>49.344809663306378</v>
      </c>
      <c r="Q12" s="4">
        <f>IFERROR(
(INDEX(スコア表[],MATCH($C12,スコア表['#],0),MATCH(Q$5,スコア表[#Headers],0))
-
INDEX(スコア表2[],MATCH("average",スコア表2[maxmin],0),MATCH(Q$5,スコア表2[#Headers],0)))
/
INDEX(スコア表2[],MATCH("stdev.p",スコア表2[maxmin],0),MATCH(Q$5,スコア表2[#Headers],0))
*10+50,"-")</f>
        <v>47.657065730195121</v>
      </c>
      <c r="R12" s="4">
        <f>IFERROR(
(INDEX(スコア表[],MATCH($C12,スコア表['#],0),MATCH(R$5,スコア表[#Headers],0))
-
INDEX(スコア表2[],MATCH("average",スコア表2[maxmin],0),MATCH(R$5,スコア表2[#Headers],0)))
/
INDEX(スコア表2[],MATCH("stdev.p",スコア表2[maxmin],0),MATCH(R$5,スコア表2[#Headers],0))
*10+50,"-")</f>
        <v>48.050267557152324</v>
      </c>
      <c r="S12" s="4">
        <f>IFERROR(
(INDEX(スコア表[],MATCH($C12,スコア表['#],0),MATCH(S$5,スコア表[#Headers],0))
-
INDEX(スコア表2[],MATCH("average",スコア表2[maxmin],0),MATCH(S$5,スコア表2[#Headers],0)))
/
INDEX(スコア表2[],MATCH("stdev.p",スコア表2[maxmin],0),MATCH(S$5,スコア表2[#Headers],0))
*10+50,"-")</f>
        <v>51.79907562986098</v>
      </c>
      <c r="T12" s="4">
        <f>IFERROR(
(INDEX(スコア表[],MATCH($C12,スコア表['#],0),MATCH(T$5,スコア表[#Headers],0))
-
INDEX(スコア表2[],MATCH("average",スコア表2[maxmin],0),MATCH(T$5,スコア表2[#Headers],0)))
/
INDEX(スコア表2[],MATCH("stdev.p",スコア表2[maxmin],0),MATCH(T$5,スコア表2[#Headers],0))
*10+50,"-")</f>
        <v>57.872206595474083</v>
      </c>
      <c r="U12" s="4">
        <f>IFERROR(
(INDEX(スコア表[],MATCH($C12,スコア表['#],0),MATCH(U$5,スコア表[#Headers],0))
-
INDEX(スコア表2[],MATCH("average",スコア表2[maxmin],0),MATCH(U$5,スコア表2[#Headers],0)))
/
INDEX(スコア表2[],MATCH("stdev.p",スコア表2[maxmin],0),MATCH(U$5,スコア表2[#Headers],0))
*10+50,"-")</f>
        <v>75.924793456331301</v>
      </c>
      <c r="V12" s="4">
        <f>IFERROR(
(INDEX(スコア表[],MATCH($C12,スコア表['#],0),MATCH(V$5,スコア表[#Headers],0))
-
INDEX(スコア表2[],MATCH("average",スコア表2[maxmin],0),MATCH(V$5,スコア表2[#Headers],0)))
/
INDEX(スコア表2[],MATCH("stdev.p",スコア表2[maxmin],0),MATCH(V$5,スコア表2[#Headers],0))
*10+50,"-")</f>
        <v>54.995127738971846</v>
      </c>
      <c r="W12" s="4">
        <f>IFERROR(
(INDEX(スコア表[],MATCH($C12,スコア表['#],0),MATCH(W$5,スコア表[#Headers],0))
-
INDEX(スコア表2[],MATCH("average",スコア表2[maxmin],0),MATCH(W$5,スコア表2[#Headers],0)))
/
INDEX(スコア表2[],MATCH("stdev.p",スコア表2[maxmin],0),MATCH(W$5,スコア表2[#Headers],0))
*10+50,"-")</f>
        <v>60.455763178341414</v>
      </c>
      <c r="X12" s="4">
        <f>IFERROR(
(INDEX(スコア表[],MATCH($C12,スコア表['#],0),MATCH(X$5,スコア表[#Headers],0))
-
INDEX(スコア表2[],MATCH("average",スコア表2[maxmin],0),MATCH(X$5,スコア表2[#Headers],0)))
/
INDEX(スコア表2[],MATCH("stdev.p",スコア表2[maxmin],0),MATCH(X$5,スコア表2[#Headers],0))
*10+50,"-")</f>
        <v>56.339585343937301</v>
      </c>
      <c r="Y12" s="4">
        <f>IFERROR(
(INDEX(スコア表[],MATCH($C12,スコア表['#],0),MATCH(Y$5,スコア表[#Headers],0))
-
INDEX(スコア表2[],MATCH("average",スコア表2[maxmin],0),MATCH(Y$5,スコア表2[#Headers],0)))
/
INDEX(スコア表2[],MATCH("stdev.p",スコア表2[maxmin],0),MATCH(Y$5,スコア表2[#Headers],0))
*10+50,"-")</f>
        <v>57.209736573294336</v>
      </c>
      <c r="Z12" s="4">
        <f>IFERROR(
(INDEX(スコア表[],MATCH($C12,スコア表['#],0),MATCH(Z$5,スコア表[#Headers],0))
-
INDEX(スコア表2[],MATCH("average",スコア表2[maxmin],0),MATCH(Z$5,スコア表2[#Headers],0)))
/
INDEX(スコア表2[],MATCH("stdev.p",スコア表2[maxmin],0),MATCH(Z$5,スコア表2[#Headers],0))
*10+50,"-")</f>
        <v>81.462808113243312</v>
      </c>
      <c r="AA12" s="4">
        <f>IFERROR(
(INDEX(スコア表[],MATCH($C12,スコア表['#],0),MATCH(AA$5,スコア表[#Headers],0))
-
INDEX(スコア表2[],MATCH("average",スコア表2[maxmin],0),MATCH(AA$5,スコア表2[#Headers],0)))
/
INDEX(スコア表2[],MATCH("stdev.p",スコア表2[maxmin],0),MATCH(AA$5,スコア表2[#Headers],0))
*10+50,"-")</f>
        <v>44.664612103409482</v>
      </c>
      <c r="AB12" s="4">
        <f>IFERROR(
(INDEX(スコア表[],MATCH($C12,スコア表['#],0),MATCH(AB$5,スコア表[#Headers],0))
-
INDEX(スコア表2[],MATCH("average",スコア表2[maxmin],0),MATCH(AB$5,スコア表2[#Headers],0)))
/
INDEX(スコア表2[],MATCH("stdev.p",スコア表2[maxmin],0),MATCH(AB$5,スコア表2[#Headers],0))
*10+50,"-")</f>
        <v>49.747563058319685</v>
      </c>
      <c r="AC12" s="4">
        <f>IFERROR(
(INDEX(スコア表[],MATCH($C12,スコア表['#],0),MATCH(AC$5,スコア表[#Headers],0))
-
INDEX(スコア表2[],MATCH("average",スコア表2[maxmin],0),MATCH(AC$5,スコア表2[#Headers],0)))
/
INDEX(スコア表2[],MATCH("stdev.p",スコア表2[maxmin],0),MATCH(AC$5,スコア表2[#Headers],0))
*10+50,"-")</f>
        <v>79.78417415222583</v>
      </c>
      <c r="AD12" s="4">
        <f>IFERROR(
(INDEX(スコア表[],MATCH($C12,スコア表['#],0),MATCH(AD$5,スコア表[#Headers],0))
-
INDEX(スコア表2[],MATCH("average",スコア表2[maxmin],0),MATCH(AD$5,スコア表2[#Headers],0)))
/
INDEX(スコア表2[],MATCH("stdev.p",スコア表2[maxmin],0),MATCH(AD$5,スコア表2[#Headers],0))
*10+50,"-")</f>
        <v>41.664243640389991</v>
      </c>
      <c r="AE12" s="4">
        <f>IFERROR(
(INDEX(スコア表[],MATCH($C12,スコア表['#],0),MATCH(AE$5,スコア表[#Headers],0))
-
INDEX(スコア表2[],MATCH("average",スコア表2[maxmin],0),MATCH(AE$5,スコア表2[#Headers],0)))
/
INDEX(スコア表2[],MATCH("stdev.p",スコア表2[maxmin],0),MATCH(AE$5,スコア表2[#Headers],0))
*10+50,"-")</f>
        <v>53.512742155054632</v>
      </c>
      <c r="AF12" s="4">
        <f>IFERROR(
(INDEX(スコア表[],MATCH($C12,スコア表['#],0),MATCH(AF$5,スコア表[#Headers],0))
-
INDEX(スコア表2[],MATCH("average",スコア表2[maxmin],0),MATCH(AF$5,スコア表2[#Headers],0)))
/
INDEX(スコア表2[],MATCH("stdev.p",スコア表2[maxmin],0),MATCH(AF$5,スコア表2[#Headers],0))
*10+50,"-")</f>
        <v>50.948998451129619</v>
      </c>
      <c r="AG12" s="4">
        <f>IFERROR(
(INDEX(スコア表[],MATCH($C12,スコア表['#],0),MATCH(AG$5,スコア表[#Headers],0))
-
INDEX(スコア表2[],MATCH("average",スコア表2[maxmin],0),MATCH(AG$5,スコア表2[#Headers],0)))
/
INDEX(スコア表2[],MATCH("stdev.p",スコア表2[maxmin],0),MATCH(AG$5,スコア表2[#Headers],0))
*10+50,"-")</f>
        <v>45.829920466303605</v>
      </c>
      <c r="AH12" s="4">
        <f>IFERROR(
(INDEX(スコア表[],MATCH($C12,スコア表['#],0),MATCH(AH$5,スコア表[#Headers],0))
-
INDEX(スコア表2[],MATCH("average",スコア表2[maxmin],0),MATCH(AH$5,スコア表2[#Headers],0)))
/
INDEX(スコア表2[],MATCH("stdev.p",スコア表2[maxmin],0),MATCH(AH$5,スコア表2[#Headers],0))
*10+50,"-")</f>
        <v>54.484321019600003</v>
      </c>
      <c r="AI12" s="4">
        <f>IFERROR(
(INDEX(スコア表[],MATCH($C12,スコア表['#],0),MATCH(AI$5,スコア表[#Headers],0))
-
INDEX(スコア表2[],MATCH("average",スコア表2[maxmin],0),MATCH(AI$5,スコア表2[#Headers],0)))
/
INDEX(スコア表2[],MATCH("stdev.p",スコア表2[maxmin],0),MATCH(AI$5,スコア表2[#Headers],0))
*10+50,"-")</f>
        <v>55.292422353961989</v>
      </c>
      <c r="AJ12" s="4">
        <f>IFERROR(
(INDEX(スコア表[],MATCH($C12,スコア表['#],0),MATCH(AJ$5,スコア表[#Headers],0))
-
INDEX(スコア表2[],MATCH("average",スコア表2[maxmin],0),MATCH(AJ$5,スコア表2[#Headers],0)))
/
INDEX(スコア表2[],MATCH("stdev.p",スコア表2[maxmin],0),MATCH(AJ$5,スコア表2[#Headers],0))
*10+50,"-")</f>
        <v>48.640268571821302</v>
      </c>
      <c r="AK12" s="4">
        <f>IFERROR(
(INDEX(スコア表[],MATCH($C12,スコア表['#],0),MATCH(AK$5,スコア表[#Headers],0))
-
INDEX(スコア表2[],MATCH("average",スコア表2[maxmin],0),MATCH(AK$5,スコア表2[#Headers],0)))
/
INDEX(スコア表2[],MATCH("stdev.p",スコア表2[maxmin],0),MATCH(AK$5,スコア表2[#Headers],0))
*10+50,"-")</f>
        <v>49.656190295696923</v>
      </c>
      <c r="AL12" s="4">
        <f>IFERROR(
(INDEX(スコア表[],MATCH($C12,スコア表['#],0),MATCH(AL$5,スコア表[#Headers],0))
-
INDEX(スコア表2[],MATCH("average",スコア表2[maxmin],0),MATCH(AL$5,スコア表2[#Headers],0)))
/
INDEX(スコア表2[],MATCH("stdev.p",スコア表2[maxmin],0),MATCH(AL$5,スコア表2[#Headers],0))
*10+50,"-")</f>
        <v>57.22644943360423</v>
      </c>
      <c r="AM12" s="4">
        <f>IFERROR(
(INDEX(スコア表[],MATCH($C12,スコア表['#],0),MATCH(AM$5,スコア表[#Headers],0))
-
INDEX(スコア表2[],MATCH("average",スコア表2[maxmin],0),MATCH(AM$5,スコア表2[#Headers],0)))
/
INDEX(スコア表2[],MATCH("stdev.p",スコア表2[maxmin],0),MATCH(AM$5,スコア表2[#Headers],0))
*10+50,"-")</f>
        <v>56.074647943158752</v>
      </c>
      <c r="AN12" s="4">
        <f>IFERROR(
(INDEX(スコア表[],MATCH($C12,スコア表['#],0),MATCH(AN$5,スコア表[#Headers],0))
-
INDEX(スコア表2[],MATCH("average",スコア表2[maxmin],0),MATCH(AN$5,スコア表2[#Headers],0)))
/
INDEX(スコア表2[],MATCH("stdev.p",スコア表2[maxmin],0),MATCH(AN$5,スコア表2[#Headers],0))
*10+50,"-")</f>
        <v>53.376873954718874</v>
      </c>
      <c r="AO12" s="4">
        <f>IFERROR(
(INDEX(スコア表[],MATCH($C12,スコア表['#],0),MATCH(AO$5,スコア表[#Headers],0))
-
INDEX(スコア表2[],MATCH("average",スコア表2[maxmin],0),MATCH(AO$5,スコア表2[#Headers],0)))
/
INDEX(スコア表2[],MATCH("stdev.p",スコア表2[maxmin],0),MATCH(AO$5,スコア表2[#Headers],0))
*10+50,"-")</f>
        <v>57.024295788317374</v>
      </c>
      <c r="AP12" s="4">
        <f>IFERROR(
(INDEX(スコア表[],MATCH($C12,スコア表['#],0),MATCH(AP$5,スコア表[#Headers],0))
-
INDEX(スコア表2[],MATCH("average",スコア表2[maxmin],0),MATCH(AP$5,スコア表2[#Headers],0)))
/
INDEX(スコア表2[],MATCH("stdev.p",スコア表2[maxmin],0),MATCH(AP$5,スコア表2[#Headers],0))
*10+50,"-")</f>
        <v>67.04216227448147</v>
      </c>
      <c r="AQ12" s="4">
        <f>IFERROR(
(INDEX(スコア表[],MATCH($C12,スコア表['#],0),MATCH(AQ$5,スコア表[#Headers],0))
-
INDEX(スコア表2[],MATCH("average",スコア表2[maxmin],0),MATCH(AQ$5,スコア表2[#Headers],0)))
/
INDEX(スコア表2[],MATCH("stdev.p",スコア表2[maxmin],0),MATCH(AQ$5,スコア表2[#Headers],0))
*10+50,"-")</f>
        <v>45.896759339227529</v>
      </c>
      <c r="AR12" s="4">
        <f>IFERROR(
(INDEX(スコア表[],MATCH($C12,スコア表['#],0),MATCH(AR$5,スコア表[#Headers],0))
-
INDEX(スコア表2[],MATCH("average",スコア表2[maxmin],0),MATCH(AR$5,スコア表2[#Headers],0)))
/
INDEX(スコア表2[],MATCH("stdev.p",スコア表2[maxmin],0),MATCH(AR$5,スコア表2[#Headers],0))
*10+50,"-")</f>
        <v>49.066299538649154</v>
      </c>
      <c r="AS12" s="4">
        <f>IFERROR(
(INDEX(スコア表[],MATCH($C12,スコア表['#],0),MATCH(AS$5,スコア表[#Headers],0))
-
INDEX(スコア表2[],MATCH("average",スコア表2[maxmin],0),MATCH(AS$5,スコア表2[#Headers],0)))
/
INDEX(スコア表2[],MATCH("stdev.p",スコア表2[maxmin],0),MATCH(AS$5,スコア表2[#Headers],0))
*10+50,"-")</f>
        <v>55.400629342989149</v>
      </c>
      <c r="AT12" s="4">
        <f>IFERROR(
(INDEX(スコア表[],MATCH($C12,スコア表['#],0),MATCH(AT$5,スコア表[#Headers],0))
-
INDEX(スコア表2[],MATCH("average",スコア表2[maxmin],0),MATCH(AT$5,スコア表2[#Headers],0)))
/
INDEX(スコア表2[],MATCH("stdev.p",スコア表2[maxmin],0),MATCH(AT$5,スコア表2[#Headers],0))
*10+50,"-")</f>
        <v>40.577440278210489</v>
      </c>
      <c r="AU12" s="4">
        <f>IFERROR(
(INDEX(スコア表[],MATCH($C12,スコア表['#],0),MATCH(AU$5,スコア表[#Headers],0))
-
INDEX(スコア表2[],MATCH("average",スコア表2[maxmin],0),MATCH(AU$5,スコア表2[#Headers],0)))
/
INDEX(スコア表2[],MATCH("stdev.p",スコア表2[maxmin],0),MATCH(AU$5,スコア表2[#Headers],0))
*10+50,"-")</f>
        <v>31.876281602252835</v>
      </c>
      <c r="AV12" s="4">
        <f>IFERROR(
(INDEX(スコア表[],MATCH($C12,スコア表['#],0),MATCH(AV$5,スコア表[#Headers],0))
-
INDEX(スコア表2[],MATCH("average",スコア表2[maxmin],0),MATCH(AV$5,スコア表2[#Headers],0)))
/
INDEX(スコア表2[],MATCH("stdev.p",スコア表2[maxmin],0),MATCH(AV$5,スコア表2[#Headers],0))
*10+50,"-")</f>
        <v>53.360433150549248</v>
      </c>
      <c r="AW12" s="4">
        <f>IFERROR(
(INDEX(スコア表[],MATCH($C12,スコア表['#],0),MATCH(AW$5,スコア表[#Headers],0))
-
INDEX(スコア表2[],MATCH("average",スコア表2[maxmin],0),MATCH(AW$5,スコア表2[#Headers],0)))
/
INDEX(スコア表2[],MATCH("stdev.p",スコア表2[maxmin],0),MATCH(AW$5,スコア表2[#Headers],0))
*10+50,"-")</f>
        <v>52.980090382292012</v>
      </c>
      <c r="AX12" s="4">
        <f>IFERROR(
(INDEX(スコア表[],MATCH($C12,スコア表['#],0),MATCH(AX$5,スコア表[#Headers],0))
-
INDEX(スコア表2[],MATCH("average",スコア表2[maxmin],0),MATCH(AX$5,スコア表2[#Headers],0)))
/
INDEX(スコア表2[],MATCH("stdev.p",スコア表2[maxmin],0),MATCH(AX$5,スコア表2[#Headers],0))
*10+50,"-")</f>
        <v>54.71893877225888</v>
      </c>
      <c r="AY12" s="4">
        <f>IFERROR(
(INDEX(スコア表[],MATCH($C12,スコア表['#],0),MATCH(AY$5,スコア表[#Headers],0))
-
INDEX(スコア表2[],MATCH("average",スコア表2[maxmin],0),MATCH(AY$5,スコア表2[#Headers],0)))
/
INDEX(スコア表2[],MATCH("stdev.p",スコア表2[maxmin],0),MATCH(AY$5,スコア表2[#Headers],0))
*10+50,"-")</f>
        <v>42.374494202305371</v>
      </c>
      <c r="AZ12" s="4">
        <f>IFERROR(
(INDEX(スコア表[],MATCH($C12,スコア表['#],0),MATCH(AZ$5,スコア表[#Headers],0))
-
INDEX(スコア表2[],MATCH("average",スコア表2[maxmin],0),MATCH(AZ$5,スコア表2[#Headers],0)))
/
INDEX(スコア表2[],MATCH("stdev.p",スコア表2[maxmin],0),MATCH(AZ$5,スコア表2[#Headers],0))
*10+50,"-")</f>
        <v>58.243322660457352</v>
      </c>
      <c r="BA12" s="4">
        <f>IFERROR(
(INDEX(スコア表[],MATCH($C12,スコア表['#],0),MATCH(BA$5,スコア表[#Headers],0))
-
INDEX(スコア表2[],MATCH("average",スコア表2[maxmin],0),MATCH(BA$5,スコア表2[#Headers],0)))
/
INDEX(スコア表2[],MATCH("stdev.p",スコア表2[maxmin],0),MATCH(BA$5,スコア表2[#Headers],0))
*10+50,"-")</f>
        <v>48.820382148278647</v>
      </c>
      <c r="BB12" s="4">
        <f>IFERROR(
(INDEX(スコア表[],MATCH($C12,スコア表['#],0),MATCH(BB$5,スコア表[#Headers],0))
-
INDEX(スコア表2[],MATCH("average",スコア表2[maxmin],0),MATCH(BB$5,スコア表2[#Headers],0)))
/
INDEX(スコア表2[],MATCH("stdev.p",スコア表2[maxmin],0),MATCH(BB$5,スコア表2[#Headers],0))
*10+50,"-")</f>
        <v>38.791697780220318</v>
      </c>
      <c r="BC12" s="4">
        <f>IFERROR(
(INDEX(スコア表[],MATCH($C12,スコア表['#],0),MATCH(BC$5,スコア表[#Headers],0))
-
INDEX(スコア表2[],MATCH("average",スコア表2[maxmin],0),MATCH(BC$5,スコア表2[#Headers],0)))
/
INDEX(スコア表2[],MATCH("stdev.p",スコア表2[maxmin],0),MATCH(BC$5,スコア表2[#Headers],0))
*10+50,"-")</f>
        <v>41.587925171709784</v>
      </c>
      <c r="BD12" s="4">
        <f>IFERROR(
(INDEX(スコア表[],MATCH($C12,スコア表['#],0),MATCH(BD$5,スコア表[#Headers],0))
-
INDEX(スコア表2[],MATCH("average",スコア表2[maxmin],0),MATCH(BD$5,スコア表2[#Headers],0)))
/
INDEX(スコア表2[],MATCH("stdev.p",スコア表2[maxmin],0),MATCH(BD$5,スコア表2[#Headers],0))
*10+50,"-")</f>
        <v>55.306574715727528</v>
      </c>
      <c r="BE12" s="4">
        <f>IFERROR(
(INDEX(スコア表[],MATCH($C12,スコア表['#],0),MATCH(BE$5,スコア表[#Headers],0))
-
INDEX(スコア表2[],MATCH("average",スコア表2[maxmin],0),MATCH(BE$5,スコア表2[#Headers],0)))
/
INDEX(スコア表2[],MATCH("stdev.p",スコア表2[maxmin],0),MATCH(BE$5,スコア表2[#Headers],0))
*10+50,"-")</f>
        <v>53.514413190666268</v>
      </c>
      <c r="BF12" s="4">
        <f>IFERROR(
(INDEX(スコア表[],MATCH($C12,スコア表['#],0),MATCH(BF$5,スコア表[#Headers],0))
-
INDEX(スコア表2[],MATCH("average",スコア表2[maxmin],0),MATCH(BF$5,スコア表2[#Headers],0)))
/
INDEX(スコア表2[],MATCH("stdev.p",スコア表2[maxmin],0),MATCH(BF$5,スコア表2[#Headers],0))
*10+50,"-")</f>
        <v>58.345059251306424</v>
      </c>
      <c r="BG12" s="4">
        <f>IFERROR(
(INDEX(スコア表[],MATCH($C12,スコア表['#],0),MATCH(BG$5,スコア表[#Headers],0))
-
INDEX(スコア表2[],MATCH("average",スコア表2[maxmin],0),MATCH(BG$5,スコア表2[#Headers],0)))
/
INDEX(スコア表2[],MATCH("stdev.p",スコア表2[maxmin],0),MATCH(BG$5,スコア表2[#Headers],0))
*10+50,"-")</f>
        <v>49.874075136729786</v>
      </c>
      <c r="BH12" s="4">
        <f>IFERROR(
(INDEX(スコア表[],MATCH($C12,スコア表['#],0),MATCH(BH$5,スコア表[#Headers],0))
-
INDEX(スコア表2[],MATCH("average",スコア表2[maxmin],0),MATCH(BH$5,スコア表2[#Headers],0)))
/
INDEX(スコア表2[],MATCH("stdev.p",スコア表2[maxmin],0),MATCH(BH$5,スコア表2[#Headers],0))
*10+50,"-")</f>
        <v>39.539187184790364</v>
      </c>
      <c r="BI12" s="4">
        <f>IFERROR(
(INDEX(スコア表[],MATCH($C12,スコア表['#],0),MATCH(BI$5,スコア表[#Headers],0))
-
INDEX(スコア表2[],MATCH("average",スコア表2[maxmin],0),MATCH(BI$5,スコア表2[#Headers],0)))
/
INDEX(スコア表2[],MATCH("stdev.p",スコア表2[maxmin],0),MATCH(BI$5,スコア表2[#Headers],0))
*10+50,"-")</f>
        <v>75.174602128650591</v>
      </c>
      <c r="BJ12" s="4">
        <f>IFERROR(
(INDEX(スコア表[],MATCH($C12,スコア表['#],0),MATCH(BJ$5,スコア表[#Headers],0))
-
INDEX(スコア表2[],MATCH("average",スコア表2[maxmin],0),MATCH(BJ$5,スコア表2[#Headers],0)))
/
INDEX(スコア表2[],MATCH("stdev.p",スコア表2[maxmin],0),MATCH(BJ$5,スコア表2[#Headers],0))
*10+50,"-")</f>
        <v>58.35973034859559</v>
      </c>
      <c r="BK12" s="4">
        <f>IFERROR(
(INDEX(スコア表[],MATCH($C12,スコア表['#],0),MATCH(BK$5,スコア表[#Headers],0))
-
INDEX(スコア表2[],MATCH("average",スコア表2[maxmin],0),MATCH(BK$5,スコア表2[#Headers],0)))
/
INDEX(スコア表2[],MATCH("stdev.p",スコア表2[maxmin],0),MATCH(BK$5,スコア表2[#Headers],0))
*10+50,"-")</f>
        <v>46.973530040420265</v>
      </c>
      <c r="BL12" s="4">
        <f>IFERROR(
(INDEX(スコア表[],MATCH($C12,スコア表['#],0),MATCH(BL$5,スコア表[#Headers],0))
-
INDEX(スコア表2[],MATCH("average",スコア表2[maxmin],0),MATCH(BL$5,スコア表2[#Headers],0)))
/
INDEX(スコア表2[],MATCH("stdev.p",スコア表2[maxmin],0),MATCH(BL$5,スコア表2[#Headers],0))
*10+50,"-")</f>
        <v>47.980706431799533</v>
      </c>
      <c r="BM12" s="4">
        <f>IFERROR(
(INDEX(スコア表[],MATCH($C12,スコア表['#],0),MATCH(BM$5,スコア表[#Headers],0))
-
INDEX(スコア表2[],MATCH("average",スコア表2[maxmin],0),MATCH(BM$5,スコア表2[#Headers],0)))
/
INDEX(スコア表2[],MATCH("stdev.p",スコア表2[maxmin],0),MATCH(BM$5,スコア表2[#Headers],0))
*10+50,"-")</f>
        <v>53.780962024490265</v>
      </c>
      <c r="BN12" s="4">
        <f>IFERROR(
(INDEX(スコア表[],MATCH($C12,スコア表['#],0),MATCH(BN$5,スコア表[#Headers],0))
-
INDEX(スコア表2[],MATCH("average",スコア表2[maxmin],0),MATCH(BN$5,スコア表2[#Headers],0)))
/
INDEX(スコア表2[],MATCH("stdev.p",スコア表2[maxmin],0),MATCH(BN$5,スコア表2[#Headers],0))
*10+50,"-")</f>
        <v>46.254703535113237</v>
      </c>
      <c r="BO12" s="4">
        <f>IFERROR(
(INDEX(スコア表[],MATCH($C12,スコア表['#],0),MATCH(BO$5,スコア表[#Headers],0))
-
INDEX(スコア表2[],MATCH("average",スコア表2[maxmin],0),MATCH(BO$5,スコア表2[#Headers],0)))
/
INDEX(スコア表2[],MATCH("stdev.p",スコア表2[maxmin],0),MATCH(BO$5,スコア表2[#Headers],0))
*10+50,"-")</f>
        <v>56.645608740258133</v>
      </c>
      <c r="BP12" s="4">
        <f>IFERROR(
(INDEX(スコア表[],MATCH($C12,スコア表['#],0),MATCH(BP$5,スコア表[#Headers],0))
-
INDEX(スコア表2[],MATCH("average",スコア表2[maxmin],0),MATCH(BP$5,スコア表2[#Headers],0)))
/
INDEX(スコア表2[],MATCH("stdev.p",スコア表2[maxmin],0),MATCH(BP$5,スコア表2[#Headers],0))
*10+50,"-")</f>
        <v>50.213232927353509</v>
      </c>
      <c r="BQ12" s="4">
        <f>IFERROR(
(INDEX(スコア表[],MATCH($C12,スコア表['#],0),MATCH(BQ$5,スコア表[#Headers],0))
-
INDEX(スコア表2[],MATCH("average",スコア表2[maxmin],0),MATCH(BQ$5,スコア表2[#Headers],0)))
/
INDEX(スコア表2[],MATCH("stdev.p",スコア表2[maxmin],0),MATCH(BQ$5,スコア表2[#Headers],0))
*10+50,"-")</f>
        <v>63.022820203143461</v>
      </c>
      <c r="BR12" s="4">
        <f>IFERROR(
(INDEX(スコア表[],MATCH($C12,スコア表['#],0),MATCH(BR$5,スコア表[#Headers],0))
-
INDEX(スコア表2[],MATCH("average",スコア表2[maxmin],0),MATCH(BR$5,スコア表2[#Headers],0)))
/
INDEX(スコア表2[],MATCH("stdev.p",スコア表2[maxmin],0),MATCH(BR$5,スコア表2[#Headers],0))
*10+50,"-")</f>
        <v>51.148243706015492</v>
      </c>
      <c r="BS12" s="4">
        <f>IFERROR(
(INDEX(スコア表[],MATCH($C12,スコア表['#],0),MATCH(BS$5,スコア表[#Headers],0))
-
INDEX(スコア表2[],MATCH("average",スコア表2[maxmin],0),MATCH(BS$5,スコア表2[#Headers],0)))
/
INDEX(スコア表2[],MATCH("stdev.p",スコア表2[maxmin],0),MATCH(BS$5,スコア表2[#Headers],0))
*10+50,"-")</f>
        <v>47.734589235080691</v>
      </c>
      <c r="BT12" s="4">
        <f>IFERROR(
(INDEX(スコア表[],MATCH($C12,スコア表['#],0),MATCH(BT$5,スコア表[#Headers],0))
-
INDEX(スコア表2[],MATCH("average",スコア表2[maxmin],0),MATCH(BT$5,スコア表2[#Headers],0)))
/
INDEX(スコア表2[],MATCH("stdev.p",スコア表2[maxmin],0),MATCH(BT$5,スコア表2[#Headers],0))
*10+50,"-")</f>
        <v>50.934723060537536</v>
      </c>
      <c r="BU12" s="4">
        <f>IFERROR(
(INDEX(スコア表[],MATCH($C12,スコア表['#],0),MATCH(BU$5,スコア表[#Headers],0))
-
INDEX(スコア表2[],MATCH("average",スコア表2[maxmin],0),MATCH(BU$5,スコア表2[#Headers],0)))
/
INDEX(スコア表2[],MATCH("stdev.p",スコア表2[maxmin],0),MATCH(BU$5,スコア表2[#Headers],0))
*10+50,"-")</f>
        <v>61.21080804656102</v>
      </c>
      <c r="BV12" s="4">
        <f>IFERROR(
(INDEX(スコア表[],MATCH($C12,スコア表['#],0),MATCH(BV$5,スコア表[#Headers],0))
-
INDEX(スコア表2[],MATCH("average",スコア表2[maxmin],0),MATCH(BV$5,スコア表2[#Headers],0)))
/
INDEX(スコア表2[],MATCH("stdev.p",スコア表2[maxmin],0),MATCH(BV$5,スコア表2[#Headers],0))
*10+50,"-")</f>
        <v>47.584555201801507</v>
      </c>
      <c r="BW12" s="4">
        <f>IFERROR(
(INDEX(スコア表[],MATCH($C12,スコア表['#],0),MATCH(BW$5,スコア表[#Headers],0))
-
INDEX(スコア表2[],MATCH("average",スコア表2[maxmin],0),MATCH(BW$5,スコア表2[#Headers],0)))
/
INDEX(スコア表2[],MATCH("stdev.p",スコア表2[maxmin],0),MATCH(BW$5,スコア表2[#Headers],0))
*10+50,"-")</f>
        <v>40.745574042994207</v>
      </c>
      <c r="BX12" s="4">
        <f>IFERROR(
(INDEX(スコア表[],MATCH($C12,スコア表['#],0),MATCH(BX$5,スコア表[#Headers],0))
-
INDEX(スコア表2[],MATCH("average",スコア表2[maxmin],0),MATCH(BX$5,スコア表2[#Headers],0)))
/
INDEX(スコア表2[],MATCH("stdev.p",スコア表2[maxmin],0),MATCH(BX$5,スコア表2[#Headers],0))
*10+50,"-")</f>
        <v>37.580054727509562</v>
      </c>
      <c r="BY12" s="4">
        <f>IFERROR(
(INDEX(スコア表[],MATCH($C12,スコア表['#],0),MATCH(BY$5,スコア表[#Headers],0))
-
INDEX(スコア表2[],MATCH("average",スコア表2[maxmin],0),MATCH(BY$5,スコア表2[#Headers],0)))
/
INDEX(スコア表2[],MATCH("stdev.p",スコア表2[maxmin],0),MATCH(BY$5,スコア表2[#Headers],0))
*10+50,"-")</f>
        <v>52.179930511851417</v>
      </c>
      <c r="BZ12" s="4">
        <f>IFERROR(
(INDEX(スコア表[],MATCH($C12,スコア表['#],0),MATCH(BZ$5,スコア表[#Headers],0))
-
INDEX(スコア表2[],MATCH("average",スコア表2[maxmin],0),MATCH(BZ$5,スコア表2[#Headers],0)))
/
INDEX(スコア表2[],MATCH("stdev.p",スコア表2[maxmin],0),MATCH(BZ$5,スコア表2[#Headers],0))
*10+50,"-")</f>
        <v>52.719806139752428</v>
      </c>
      <c r="CA12" s="4">
        <f>IFERROR(
(INDEX(スコア表[],MATCH($C12,スコア表['#],0),MATCH(CA$5,スコア表[#Headers],0))
-
INDEX(スコア表2[],MATCH("average",スコア表2[maxmin],0),MATCH(CA$5,スコア表2[#Headers],0)))
/
INDEX(スコア表2[],MATCH("stdev.p",スコア表2[maxmin],0),MATCH(CA$5,スコア表2[#Headers],0))
*10+50,"-")</f>
        <v>57.041731253713536</v>
      </c>
      <c r="CB12" s="4">
        <f>IFERROR(
(INDEX(スコア表[],MATCH($C12,スコア表['#],0),MATCH(CB$5,スコア表[#Headers],0))
-
INDEX(スコア表2[],MATCH("average",スコア表2[maxmin],0),MATCH(CB$5,スコア表2[#Headers],0)))
/
INDEX(スコア表2[],MATCH("stdev.p",スコア表2[maxmin],0),MATCH(CB$5,スコア表2[#Headers],0))
*10+50,"-")</f>
        <v>52.762076428030745</v>
      </c>
      <c r="CC12" s="4">
        <f>IFERROR(
(INDEX(スコア表[],MATCH($C12,スコア表['#],0),MATCH(CC$5,スコア表[#Headers],0))
-
INDEX(スコア表2[],MATCH("average",スコア表2[maxmin],0),MATCH(CC$5,スコア表2[#Headers],0)))
/
INDEX(スコア表2[],MATCH("stdev.p",スコア表2[maxmin],0),MATCH(CC$5,スコア表2[#Headers],0))
*10+50,"-")</f>
        <v>54.929757756293384</v>
      </c>
      <c r="CD12" s="4">
        <f>IFERROR(
(INDEX(スコア表[],MATCH($C12,スコア表['#],0),MATCH(CD$5,スコア表[#Headers],0))
-
INDEX(スコア表2[],MATCH("average",スコア表2[maxmin],0),MATCH(CD$5,スコア表2[#Headers],0)))
/
INDEX(スコア表2[],MATCH("stdev.p",スコア表2[maxmin],0),MATCH(CD$5,スコア表2[#Headers],0))
*10+50,"-")</f>
        <v>48.021100768918679</v>
      </c>
      <c r="CE12" s="4">
        <f>IFERROR(
(INDEX(スコア表[],MATCH($C12,スコア表['#],0),MATCH(CE$5,スコア表[#Headers],0))
-
INDEX(スコア表2[],MATCH("average",スコア表2[maxmin],0),MATCH(CE$5,スコア表2[#Headers],0)))
/
INDEX(スコア表2[],MATCH("stdev.p",スコア表2[maxmin],0),MATCH(CE$5,スコア表2[#Headers],0))
*10+50,"-")</f>
        <v>56.346497158571438</v>
      </c>
      <c r="CF12" s="4">
        <f>IFERROR(
(INDEX(スコア表[],MATCH($C12,スコア表['#],0),MATCH(CF$5,スコア表[#Headers],0))
-
INDEX(スコア表2[],MATCH("average",スコア表2[maxmin],0),MATCH(CF$5,スコア表2[#Headers],0)))
/
INDEX(スコア表2[],MATCH("stdev.p",スコア表2[maxmin],0),MATCH(CF$5,スコア表2[#Headers],0))
*10+50,"-")</f>
        <v>67.325642907607218</v>
      </c>
      <c r="CG12" s="4">
        <f>IFERROR(
(INDEX(スコア表[],MATCH($C12,スコア表['#],0),MATCH(CG$5,スコア表[#Headers],0))
-
INDEX(スコア表2[],MATCH("average",スコア表2[maxmin],0),MATCH(CG$5,スコア表2[#Headers],0)))
/
INDEX(スコア表2[],MATCH("stdev.p",スコア表2[maxmin],0),MATCH(CG$5,スコア表2[#Headers],0))
*10+50,"-")</f>
        <v>61.401829072175119</v>
      </c>
      <c r="CH12" s="4">
        <f>IFERROR(
(INDEX(スコア表[],MATCH($C12,スコア表['#],0),MATCH(CH$5,スコア表[#Headers],0))
-
INDEX(スコア表2[],MATCH("average",スコア表2[maxmin],0),MATCH(CH$5,スコア表2[#Headers],0)))
/
INDEX(スコア表2[],MATCH("stdev.p",スコア表2[maxmin],0),MATCH(CH$5,スコア表2[#Headers],0))
*10+50,"-")</f>
        <v>62.086307544443223</v>
      </c>
      <c r="CI12" s="4">
        <f>IFERROR(
(INDEX(スコア表[],MATCH($C12,スコア表['#],0),MATCH(CI$5,スコア表[#Headers],0))
-
INDEX(スコア表2[],MATCH("average",スコア表2[maxmin],0),MATCH(CI$5,スコア表2[#Headers],0)))
/
INDEX(スコア表2[],MATCH("stdev.p",スコア表2[maxmin],0),MATCH(CI$5,スコア表2[#Headers],0))
*10+50,"-")</f>
        <v>61.966656048968595</v>
      </c>
      <c r="CJ12" s="4">
        <f>IFERROR(
(INDEX(スコア表[],MATCH($C12,スコア表['#],0),MATCH(CJ$5,スコア表[#Headers],0))
-
INDEX(スコア表2[],MATCH("average",スコア表2[maxmin],0),MATCH(CJ$5,スコア表2[#Headers],0)))
/
INDEX(スコア表2[],MATCH("stdev.p",スコア表2[maxmin],0),MATCH(CJ$5,スコア表2[#Headers],0))
*10+50,"-")</f>
        <v>52.951314679960348</v>
      </c>
      <c r="CK12" s="4">
        <f>IFERROR(
(INDEX(スコア表[],MATCH($C12,スコア表['#],0),MATCH(CK$5,スコア表[#Headers],0))
-
INDEX(スコア表2[],MATCH("average",スコア表2[maxmin],0),MATCH(CK$5,スコア表2[#Headers],0)))
/
INDEX(スコア表2[],MATCH("stdev.p",スコア表2[maxmin],0),MATCH(CK$5,スコア表2[#Headers],0))
*10+50,"-")</f>
        <v>52.229796886387675</v>
      </c>
      <c r="CL12" s="4">
        <f>IFERROR(
(INDEX(スコア表[],MATCH($C12,スコア表['#],0),MATCH(CL$5,スコア表[#Headers],0))
-
INDEX(スコア表2[],MATCH("average",スコア表2[maxmin],0),MATCH(CL$5,スコア表2[#Headers],0)))
/
INDEX(スコア表2[],MATCH("stdev.p",スコア表2[maxmin],0),MATCH(CL$5,スコア表2[#Headers],0))
*10+50,"-")</f>
        <v>59.723686715769958</v>
      </c>
      <c r="CM12" s="4">
        <f>IFERROR(
(INDEX(スコア表[],MATCH($C12,スコア表['#],0),MATCH(CM$5,スコア表[#Headers],0))
-
INDEX(スコア表2[],MATCH("average",スコア表2[maxmin],0),MATCH(CM$5,スコア表2[#Headers],0)))
/
INDEX(スコア表2[],MATCH("stdev.p",スコア表2[maxmin],0),MATCH(CM$5,スコア表2[#Headers],0))
*10+50,"-")</f>
        <v>47.284567363706159</v>
      </c>
      <c r="CN12" s="4">
        <f>IFERROR(
(INDEX(スコア表[],MATCH($C12,スコア表['#],0),MATCH(CN$5,スコア表[#Headers],0))
-
INDEX(スコア表2[],MATCH("average",スコア表2[maxmin],0),MATCH(CN$5,スコア表2[#Headers],0)))
/
INDEX(スコア表2[],MATCH("stdev.p",スコア表2[maxmin],0),MATCH(CN$5,スコア表2[#Headers],0))
*10+50,"-")</f>
        <v>32.501833219880702</v>
      </c>
      <c r="CO12" s="4">
        <f>IFERROR(
(INDEX(スコア表[],MATCH($C12,スコア表['#],0),MATCH(CO$5,スコア表[#Headers],0))
-
INDEX(スコア表2[],MATCH("average",スコア表2[maxmin],0),MATCH(CO$5,スコア表2[#Headers],0)))
/
INDEX(スコア表2[],MATCH("stdev.p",スコア表2[maxmin],0),MATCH(CO$5,スコア表2[#Headers],0))
*10+50,"-")</f>
        <v>53.483308206915048</v>
      </c>
      <c r="CP12" s="4">
        <f>IFERROR(
(INDEX(スコア表[],MATCH($C12,スコア表['#],0),MATCH(CP$5,スコア表[#Headers],0))
-
INDEX(スコア表2[],MATCH("average",スコア表2[maxmin],0),MATCH(CP$5,スコア表2[#Headers],0)))
/
INDEX(スコア表2[],MATCH("stdev.p",スコア表2[maxmin],0),MATCH(CP$5,スコア表2[#Headers],0))
*10+50,"-")</f>
        <v>49.345409457653318</v>
      </c>
      <c r="CQ12" s="4">
        <f>IFERROR(
(INDEX(スコア表[],MATCH($C12,スコア表['#],0),MATCH(CQ$5,スコア表[#Headers],0))
-
INDEX(スコア表2[],MATCH("average",スコア表2[maxmin],0),MATCH(CQ$5,スコア表2[#Headers],0)))
/
INDEX(スコア表2[],MATCH("stdev.p",スコア表2[maxmin],0),MATCH(CQ$5,スコア表2[#Headers],0))
*10+50,"-")</f>
        <v>47.185532719266376</v>
      </c>
      <c r="CR12" s="4">
        <f>IFERROR(
(INDEX(スコア表[],MATCH($C12,スコア表['#],0),MATCH(CR$5,スコア表[#Headers],0))
-
INDEX(スコア表2[],MATCH("average",スコア表2[maxmin],0),MATCH(CR$5,スコア表2[#Headers],0)))
/
INDEX(スコア表2[],MATCH("stdev.p",スコア表2[maxmin],0),MATCH(CR$5,スコア表2[#Headers],0))
*10+50,"-")</f>
        <v>53.759509919510343</v>
      </c>
      <c r="CS12" s="4">
        <f>IFERROR(
(INDEX(スコア表[],MATCH($C12,スコア表['#],0),MATCH(CS$5,スコア表[#Headers],0))
-
INDEX(スコア表2[],MATCH("average",スコア表2[maxmin],0),MATCH(CS$5,スコア表2[#Headers],0)))
/
INDEX(スコア表2[],MATCH("stdev.p",スコア表2[maxmin],0),MATCH(CS$5,スコア表2[#Headers],0))
*10+50,"-")</f>
        <v>58.635429795038505</v>
      </c>
      <c r="CT12" s="4">
        <f>IFERROR(
(INDEX(スコア表[],MATCH($C12,スコア表['#],0),MATCH(CT$5,スコア表[#Headers],0))
-
INDEX(スコア表2[],MATCH("average",スコア表2[maxmin],0),MATCH(CT$5,スコア表2[#Headers],0)))
/
INDEX(スコア表2[],MATCH("stdev.p",スコア表2[maxmin],0),MATCH(CT$5,スコア表2[#Headers],0))
*10+50,"-")</f>
        <v>51.706222960609828</v>
      </c>
      <c r="CU12" s="4">
        <f>IFERROR(
(INDEX(スコア表[],MATCH($C12,スコア表['#],0),MATCH(CU$5,スコア表[#Headers],0))
-
INDEX(スコア表2[],MATCH("average",スコア表2[maxmin],0),MATCH(CU$5,スコア表2[#Headers],0)))
/
INDEX(スコア表2[],MATCH("stdev.p",スコア表2[maxmin],0),MATCH(CU$5,スコア表2[#Headers],0))
*10+50,"-")</f>
        <v>52.847960687409262</v>
      </c>
      <c r="CV12" s="4">
        <f>IFERROR(
(INDEX(スコア表[],MATCH($C12,スコア表['#],0),MATCH(CV$5,スコア表[#Headers],0))
-
INDEX(スコア表2[],MATCH("average",スコア表2[maxmin],0),MATCH(CV$5,スコア表2[#Headers],0)))
/
INDEX(スコア表2[],MATCH("stdev.p",スコア表2[maxmin],0),MATCH(CV$5,スコア表2[#Headers],0))
*10+50,"-")</f>
        <v>58.835757496296551</v>
      </c>
      <c r="CW12" s="4">
        <f>IFERROR(
(INDEX(スコア表[],MATCH($C12,スコア表['#],0),MATCH(CW$5,スコア表[#Headers],0))
-
INDEX(スコア表2[],MATCH("average",スコア表2[maxmin],0),MATCH(CW$5,スコア表2[#Headers],0)))
/
INDEX(スコア表2[],MATCH("stdev.p",スコア表2[maxmin],0),MATCH(CW$5,スコア表2[#Headers],0))
*10+50,"-")</f>
        <v>49.567712241419997</v>
      </c>
      <c r="CX12" s="4">
        <f>IFERROR(
(INDEX(スコア表[],MATCH($C12,スコア表['#],0),MATCH(CX$5,スコア表[#Headers],0))
-
INDEX(スコア表2[],MATCH("average",スコア表2[maxmin],0),MATCH(CX$5,スコア表2[#Headers],0)))
/
INDEX(スコア表2[],MATCH("stdev.p",スコア表2[maxmin],0),MATCH(CX$5,スコア表2[#Headers],0))
*10+50,"-")</f>
        <v>55.57054015660389</v>
      </c>
      <c r="CY12" s="4">
        <f>IFERROR(
(INDEX(スコア表[],MATCH($C12,スコア表['#],0),MATCH(CY$5,スコア表[#Headers],0))
-
INDEX(スコア表2[],MATCH("average",スコア表2[maxmin],0),MATCH(CY$5,スコア表2[#Headers],0)))
/
INDEX(スコア表2[],MATCH("stdev.p",スコア表2[maxmin],0),MATCH(CY$5,スコア表2[#Headers],0))
*10+50,"-")</f>
        <v>39.435344555218371</v>
      </c>
      <c r="CZ12" s="4">
        <f>IFERROR(
(INDEX(スコア表[],MATCH($C12,スコア表['#],0),MATCH(CZ$5,スコア表[#Headers],0))
-
INDEX(スコア表2[],MATCH("average",スコア表2[maxmin],0),MATCH(CZ$5,スコア表2[#Headers],0)))
/
INDEX(スコア表2[],MATCH("stdev.p",スコア表2[maxmin],0),MATCH(CZ$5,スコア表2[#Headers],0))
*10+50,"-")</f>
        <v>55.170522363650306</v>
      </c>
      <c r="DA12" s="4">
        <f>IFERROR(
(INDEX(スコア表[],MATCH($C12,スコア表['#],0),MATCH(DA$5,スコア表[#Headers],0))
-
INDEX(スコア表2[],MATCH("average",スコア表2[maxmin],0),MATCH(DA$5,スコア表2[#Headers],0)))
/
INDEX(スコア表2[],MATCH("stdev.p",スコア表2[maxmin],0),MATCH(DA$5,スコア表2[#Headers],0))
*10+50,"-")</f>
        <v>65.075914146841427</v>
      </c>
      <c r="DB12" s="4">
        <f>IFERROR(
(INDEX(スコア表[],MATCH($C12,スコア表['#],0),MATCH(DB$5,スコア表[#Headers],0))
-
INDEX(スコア表2[],MATCH("average",スコア表2[maxmin],0),MATCH(DB$5,スコア表2[#Headers],0)))
/
INDEX(スコア表2[],MATCH("stdev.p",スコア表2[maxmin],0),MATCH(DB$5,スコア表2[#Headers],0))
*10+50,"-")</f>
        <v>55.664736693379226</v>
      </c>
      <c r="DC12" s="4">
        <f>IFERROR(
(INDEX(スコア表[],MATCH($C12,スコア表['#],0),MATCH(DC$5,スコア表[#Headers],0))
-
INDEX(スコア表2[],MATCH("average",スコア表2[maxmin],0),MATCH(DC$5,スコア表2[#Headers],0)))
/
INDEX(スコア表2[],MATCH("stdev.p",スコア表2[maxmin],0),MATCH(DC$5,スコア表2[#Headers],0))
*10+50,"-")</f>
        <v>45.633481228104365</v>
      </c>
      <c r="DD12" s="4">
        <f>IFERROR(
(INDEX(スコア表[],MATCH($C12,スコア表['#],0),MATCH(DD$5,スコア表[#Headers],0))
-
INDEX(スコア表2[],MATCH("average",スコア表2[maxmin],0),MATCH(DD$5,スコア表2[#Headers],0)))
/
INDEX(スコア表2[],MATCH("stdev.p",スコア表2[maxmin],0),MATCH(DD$5,スコア表2[#Headers],0))
*10+50,"-")</f>
        <v>55.491446343323119</v>
      </c>
      <c r="DE12" s="4">
        <f>IFERROR(
(INDEX(スコア表[],MATCH($C12,スコア表['#],0),MATCH(DE$5,スコア表[#Headers],0))
-
INDEX(スコア表2[],MATCH("average",スコア表2[maxmin],0),MATCH(DE$5,スコア表2[#Headers],0)))
/
INDEX(スコア表2[],MATCH("stdev.p",スコア表2[maxmin],0),MATCH(DE$5,スコア表2[#Headers],0))
*10+50,"-")</f>
        <v>51.676968938094149</v>
      </c>
      <c r="DF12" s="76">
        <f>IFERROR(
(INDEX(スコア表[],MATCH($C12,スコア表['#],0),MATCH(DF$5,スコア表[#Headers],0))
-
INDEX(スコア表2[],MATCH("average",スコア表2[maxmin],0),MATCH(DF$5,スコア表2[#Headers],0)))
/
INDEX(スコア表2[],MATCH("stdev.p",スコア表2[maxmin],0),MATCH(DF$5,スコア表2[#Headers],0))
*10+50,"-")</f>
        <v>57.921715618847081</v>
      </c>
      <c r="DG12" s="4">
        <f>IFERROR(_xlfn.STDEV.P(偏差値表[[#This Row],[Economy]:[Accessibility]]),"")</f>
        <v>5.7840973928495245</v>
      </c>
    </row>
    <row r="13" spans="1:111">
      <c r="A13" s="2">
        <v>8</v>
      </c>
      <c r="B13" s="58">
        <f>INDEX(順位表[Comprehensive],MATCH($C13,順位表['#],0))</f>
        <v>8</v>
      </c>
      <c r="C13" s="3">
        <v>44</v>
      </c>
      <c r="D13" s="1" t="str">
        <f>INDEX(都市マスタ[City Name],MATCH($C13,都市マスタ['#],0))</f>
        <v>Dubai</v>
      </c>
      <c r="E13" s="4">
        <f>IFERROR(
(INDEX(スコア表[],MATCH($C13,スコア表['#],0),MATCH(E$5,スコア表[#Headers],0))
-
INDEX(スコア表2[],MATCH("average",スコア表2[maxmin],0),MATCH(E$5,スコア表2[#Headers],0)))
/
INDEX(スコア表2[],MATCH("stdev.p",スコア表2[maxmin],0),MATCH(E$5,スコア表2[#Headers],0))
*10+50,"-")</f>
        <v>46.692630895528985</v>
      </c>
      <c r="F13" s="4">
        <f>IFERROR(
(INDEX(スコア表[],MATCH($C13,スコア表['#],0),MATCH(F$5,スコア表[#Headers],0))
-
INDEX(スコア表2[],MATCH("average",スコア表2[maxmin],0),MATCH(F$5,スコア表2[#Headers],0)))
/
INDEX(スコア表2[],MATCH("stdev.p",スコア表2[maxmin],0),MATCH(F$5,スコア表2[#Headers],0))
*10+50,"-")</f>
        <v>59.386244514574969</v>
      </c>
      <c r="G13" s="4">
        <f>IFERROR(
(INDEX(スコア表[],MATCH($C13,スコア表['#],0),MATCH(G$5,スコア表[#Headers],0))
-
INDEX(スコア表2[],MATCH("average",スコア表2[maxmin],0),MATCH(G$5,スコア表2[#Headers],0)))
/
INDEX(スコア表2[],MATCH("stdev.p",スコア表2[maxmin],0),MATCH(G$5,スコア表2[#Headers],0))
*10+50,"-")</f>
        <v>48.345320107625163</v>
      </c>
      <c r="H13" s="4">
        <f>IFERROR(
(INDEX(スコア表[],MATCH($C13,スコア表['#],0),MATCH(H$5,スコア表[#Headers],0))
-
INDEX(スコア表2[],MATCH("average",スコア表2[maxmin],0),MATCH(H$5,スコア表2[#Headers],0)))
/
INDEX(スコア表2[],MATCH("stdev.p",スコア表2[maxmin],0),MATCH(H$5,スコア表2[#Headers],0))
*10+50,"-")</f>
        <v>45.42816882636393</v>
      </c>
      <c r="I13" s="4">
        <f>IFERROR(
(INDEX(スコア表[],MATCH($C13,スコア表['#],0),MATCH(I$5,スコア表[#Headers],0))
-
INDEX(スコア表2[],MATCH("average",スコア表2[maxmin],0),MATCH(I$5,スコア表2[#Headers],0)))
/
INDEX(スコア表2[],MATCH("stdev.p",スコア表2[maxmin],0),MATCH(I$5,スコア表2[#Headers],0))
*10+50,"-")</f>
        <v>43.406142861305021</v>
      </c>
      <c r="J13" s="4">
        <f>IFERROR(
(INDEX(スコア表[],MATCH($C13,スコア表['#],0),MATCH(J$5,スコア表[#Headers],0))
-
INDEX(スコア表2[],MATCH("average",スコア表2[maxmin],0),MATCH(J$5,スコア表2[#Headers],0)))
/
INDEX(スコア表2[],MATCH("stdev.p",スコア表2[maxmin],0),MATCH(J$5,スコア表2[#Headers],0))
*10+50,"-")</f>
        <v>41.25468730727475</v>
      </c>
      <c r="K13" s="4">
        <f>IFERROR(
(INDEX(スコア表[],MATCH($C13,スコア表['#],0),MATCH(K$5,スコア表[#Headers],0))
-
INDEX(スコア表2[],MATCH("average",スコア表2[maxmin],0),MATCH(K$5,スコア表2[#Headers],0)))
/
INDEX(スコア表2[],MATCH("stdev.p",スコア表2[maxmin],0),MATCH(K$5,スコア表2[#Headers],0))
*10+50,"-")</f>
        <v>53.199116994784546</v>
      </c>
      <c r="L13" s="4">
        <f>IFERROR(
(INDEX(スコア表[],MATCH($C13,スコア表['#],0),MATCH(L$5,スコア表[#Headers],0))
-
INDEX(スコア表2[],MATCH("average",スコア表2[maxmin],0),MATCH(L$5,スコア表2[#Headers],0)))
/
INDEX(スコア表2[],MATCH("stdev.p",スコア表2[maxmin],0),MATCH(L$5,スコア表2[#Headers],0))
*10+50,"-")</f>
        <v>47.105041313882047</v>
      </c>
      <c r="M13" s="4">
        <f>IFERROR(
(INDEX(スコア表[],MATCH($C13,スコア表['#],0),MATCH(M$5,スコア表[#Headers],0))
-
INDEX(スコア表2[],MATCH("average",スコア表2[maxmin],0),MATCH(M$5,スコア表2[#Headers],0)))
/
INDEX(スコア表2[],MATCH("stdev.p",スコア表2[maxmin],0),MATCH(M$5,スコア表2[#Headers],0))
*10+50,"-")</f>
        <v>45.544318921595732</v>
      </c>
      <c r="N13" s="4">
        <f>IFERROR(
(INDEX(スコア表[],MATCH($C13,スコア表['#],0),MATCH(N$5,スコア表[#Headers],0))
-
INDEX(スコア表2[],MATCH("average",スコア表2[maxmin],0),MATCH(N$5,スコア表2[#Headers],0)))
/
INDEX(スコア表2[],MATCH("stdev.p",スコア表2[maxmin],0),MATCH(N$5,スコア表2[#Headers],0))
*10+50,"-")</f>
        <v>48.128783889161404</v>
      </c>
      <c r="O13" s="4">
        <f>IFERROR(
(INDEX(スコア表[],MATCH($C13,スコア表['#],0),MATCH(O$5,スコア表[#Headers],0))
-
INDEX(スコア表2[],MATCH("average",スコア表2[maxmin],0),MATCH(O$5,スコア表2[#Headers],0)))
/
INDEX(スコア表2[],MATCH("stdev.p",スコア表2[maxmin],0),MATCH(O$5,スコア表2[#Headers],0))
*10+50,"-")</f>
        <v>46.386344968883499</v>
      </c>
      <c r="P13" s="4">
        <f>IFERROR(
(INDEX(スコア表[],MATCH($C13,スコア表['#],0),MATCH(P$5,スコア表[#Headers],0))
-
INDEX(スコア表2[],MATCH("average",スコア表2[maxmin],0),MATCH(P$5,スコア表2[#Headers],0)))
/
INDEX(スコア表2[],MATCH("stdev.p",スコア表2[maxmin],0),MATCH(P$5,スコア表2[#Headers],0))
*10+50,"-")</f>
        <v>57.759475787571901</v>
      </c>
      <c r="Q13" s="4">
        <f>IFERROR(
(INDEX(スコア表[],MATCH($C13,スコア表['#],0),MATCH(Q$5,スコア表[#Headers],0))
-
INDEX(スコア表2[],MATCH("average",スコア表2[maxmin],0),MATCH(Q$5,スコア表2[#Headers],0)))
/
INDEX(スコア表2[],MATCH("stdev.p",スコア表2[maxmin],0),MATCH(Q$5,スコア表2[#Headers],0))
*10+50,"-")</f>
        <v>43.899967857719005</v>
      </c>
      <c r="R13" s="4">
        <f>IFERROR(
(INDEX(スコア表[],MATCH($C13,スコア表['#],0),MATCH(R$5,スコア表[#Headers],0))
-
INDEX(スコア表2[],MATCH("average",スコア表2[maxmin],0),MATCH(R$5,スコア表2[#Headers],0)))
/
INDEX(スコア表2[],MATCH("stdev.p",スコア表2[maxmin],0),MATCH(R$5,スコア表2[#Headers],0))
*10+50,"-")</f>
        <v>57.638156877418567</v>
      </c>
      <c r="S13" s="4">
        <f>IFERROR(
(INDEX(スコア表[],MATCH($C13,スコア表['#],0),MATCH(S$5,スコア表[#Headers],0))
-
INDEX(スコア表2[],MATCH("average",スコア表2[maxmin],0),MATCH(S$5,スコア表2[#Headers],0)))
/
INDEX(スコア表2[],MATCH("stdev.p",スコア表2[maxmin],0),MATCH(S$5,スコア表2[#Headers],0))
*10+50,"-")</f>
        <v>78.33329116211182</v>
      </c>
      <c r="T13" s="4">
        <f>IFERROR(
(INDEX(スコア表[],MATCH($C13,スコア表['#],0),MATCH(T$5,スコア表[#Headers],0))
-
INDEX(スコア表2[],MATCH("average",スコア表2[maxmin],0),MATCH(T$5,スコア表2[#Headers],0)))
/
INDEX(スコア表2[],MATCH("stdev.p",スコア表2[maxmin],0),MATCH(T$5,スコア表2[#Headers],0))
*10+50,"-")</f>
        <v>55.118704826850013</v>
      </c>
      <c r="U13" s="4">
        <f>IFERROR(
(INDEX(スコア表[],MATCH($C13,スコア表['#],0),MATCH(U$5,スコア表[#Headers],0))
-
INDEX(スコア表2[],MATCH("average",スコア表2[maxmin],0),MATCH(U$5,スコア表2[#Headers],0)))
/
INDEX(スコア表2[],MATCH("stdev.p",スコア表2[maxmin],0),MATCH(U$5,スコア表2[#Headers],0))
*10+50,"-")</f>
        <v>44.098785028724812</v>
      </c>
      <c r="V13" s="4">
        <f>IFERROR(
(INDEX(スコア表[],MATCH($C13,スコア表['#],0),MATCH(V$5,スコア表[#Headers],0))
-
INDEX(スコア表2[],MATCH("average",スコア表2[maxmin],0),MATCH(V$5,スコア表2[#Headers],0)))
/
INDEX(スコア表2[],MATCH("stdev.p",スコア表2[maxmin],0),MATCH(V$5,スコア表2[#Headers],0))
*10+50,"-")</f>
        <v>40.590206006334618</v>
      </c>
      <c r="W13" s="4">
        <f>IFERROR(
(INDEX(スコア表[],MATCH($C13,スコア表['#],0),MATCH(W$5,スコア表[#Headers],0))
-
INDEX(スコア表2[],MATCH("average",スコア表2[maxmin],0),MATCH(W$5,スコア表2[#Headers],0)))
/
INDEX(スコア表2[],MATCH("stdev.p",スコア表2[maxmin],0),MATCH(W$5,スコア表2[#Headers],0))
*10+50,"-")</f>
        <v>45.915219870509887</v>
      </c>
      <c r="X13" s="4">
        <f>IFERROR(
(INDEX(スコア表[],MATCH($C13,スコア表['#],0),MATCH(X$5,スコア表[#Headers],0))
-
INDEX(スコア表2[],MATCH("average",スコア表2[maxmin],0),MATCH(X$5,スコア表2[#Headers],0)))
/
INDEX(スコア表2[],MATCH("stdev.p",スコア表2[maxmin],0),MATCH(X$5,スコア表2[#Headers],0))
*10+50,"-")</f>
        <v>45.452898693279465</v>
      </c>
      <c r="Y13" s="4">
        <f>IFERROR(
(INDEX(スコア表[],MATCH($C13,スコア表['#],0),MATCH(Y$5,スコア表[#Headers],0))
-
INDEX(スコア表2[],MATCH("average",スコア表2[maxmin],0),MATCH(Y$5,スコア表2[#Headers],0)))
/
INDEX(スコア表2[],MATCH("stdev.p",スコア表2[maxmin],0),MATCH(Y$5,スコア表2[#Headers],0))
*10+50,"-")</f>
        <v>40.812779819234045</v>
      </c>
      <c r="Z13" s="4">
        <f>IFERROR(
(INDEX(スコア表[],MATCH($C13,スコア表['#],0),MATCH(Z$5,スコア表[#Headers],0))
-
INDEX(スコア表2[],MATCH("average",スコア表2[maxmin],0),MATCH(Z$5,スコア表2[#Headers],0)))
/
INDEX(スコア表2[],MATCH("stdev.p",スコア表2[maxmin],0),MATCH(Z$5,スコア表2[#Headers],0))
*10+50,"-")</f>
        <v>44.130200801787531</v>
      </c>
      <c r="AA13" s="4">
        <f>IFERROR(
(INDEX(スコア表[],MATCH($C13,スコア表['#],0),MATCH(AA$5,スコア表[#Headers],0))
-
INDEX(スコア表2[],MATCH("average",スコア表2[maxmin],0),MATCH(AA$5,スコア表2[#Headers],0)))
/
INDEX(スコア表2[],MATCH("stdev.p",スコア表2[maxmin],0),MATCH(AA$5,スコア表2[#Headers],0))
*10+50,"-")</f>
        <v>44.664612103409482</v>
      </c>
      <c r="AB13" s="4">
        <f>IFERROR(
(INDEX(スコア表[],MATCH($C13,スコア表['#],0),MATCH(AB$5,スコア表[#Headers],0))
-
INDEX(スコア表2[],MATCH("average",スコア表2[maxmin],0),MATCH(AB$5,スコア表2[#Headers],0)))
/
INDEX(スコア表2[],MATCH("stdev.p",スコア表2[maxmin],0),MATCH(AB$5,スコア表2[#Headers],0))
*10+50,"-")</f>
        <v>52.355489691230545</v>
      </c>
      <c r="AC13" s="4">
        <f>IFERROR(
(INDEX(スコア表[],MATCH($C13,スコア表['#],0),MATCH(AC$5,スコア表[#Headers],0))
-
INDEX(スコア表2[],MATCH("average",スコア表2[maxmin],0),MATCH(AC$5,スコア表2[#Headers],0)))
/
INDEX(スコア表2[],MATCH("stdev.p",スコア表2[maxmin],0),MATCH(AC$5,スコア表2[#Headers],0))
*10+50,"-")</f>
        <v>52.962701708723181</v>
      </c>
      <c r="AD13" s="4">
        <f>IFERROR(
(INDEX(スコア表[],MATCH($C13,スコア表['#],0),MATCH(AD$5,スコア表[#Headers],0))
-
INDEX(スコア表2[],MATCH("average",スコア表2[maxmin],0),MATCH(AD$5,スコア表2[#Headers],0)))
/
INDEX(スコア表2[],MATCH("stdev.p",スコア表2[maxmin],0),MATCH(AD$5,スコア表2[#Headers],0))
*10+50,"-")</f>
        <v>63.198952884940098</v>
      </c>
      <c r="AE13" s="4">
        <f>IFERROR(
(INDEX(スコア表[],MATCH($C13,スコア表['#],0),MATCH(AE$5,スコア表[#Headers],0))
-
INDEX(スコア表2[],MATCH("average",スコア表2[maxmin],0),MATCH(AE$5,スコア表2[#Headers],0)))
/
INDEX(スコア表2[],MATCH("stdev.p",スコア表2[maxmin],0),MATCH(AE$5,スコア表2[#Headers],0))
*10+50,"-")</f>
        <v>47.333302264635265</v>
      </c>
      <c r="AF13" s="4">
        <f>IFERROR(
(INDEX(スコア表[],MATCH($C13,スコア表['#],0),MATCH(AF$5,スコア表[#Headers],0))
-
INDEX(スコア表2[],MATCH("average",スコア表2[maxmin],0),MATCH(AF$5,スコア表2[#Headers],0)))
/
INDEX(スコア表2[],MATCH("stdev.p",スコア表2[maxmin],0),MATCH(AF$5,スコア表2[#Headers],0))
*10+50,"-")</f>
        <v>45.997094590163655</v>
      </c>
      <c r="AG13" s="4">
        <f>IFERROR(
(INDEX(スコア表[],MATCH($C13,スコア表['#],0),MATCH(AG$5,スコア表[#Headers],0))
-
INDEX(スコア表2[],MATCH("average",スコア表2[maxmin],0),MATCH(AG$5,スコア表2[#Headers],0)))
/
INDEX(スコア表2[],MATCH("stdev.p",スコア表2[maxmin],0),MATCH(AG$5,スコア表2[#Headers],0))
*10+50,"-")</f>
        <v>63.880343326174902</v>
      </c>
      <c r="AH13" s="4">
        <f>IFERROR(
(INDEX(スコア表[],MATCH($C13,スコア表['#],0),MATCH(AH$5,スコア表[#Headers],0))
-
INDEX(スコア表2[],MATCH("average",スコア表2[maxmin],0),MATCH(AH$5,スコア表2[#Headers],0)))
/
INDEX(スコア表2[],MATCH("stdev.p",スコア表2[maxmin],0),MATCH(AH$5,スコア表2[#Headers],0))
*10+50,"-")</f>
        <v>40.910160095405388</v>
      </c>
      <c r="AI13" s="4">
        <f>IFERROR(
(INDEX(スコア表[],MATCH($C13,スコア表['#],0),MATCH(AI$5,スコア表[#Headers],0))
-
INDEX(スコア表2[],MATCH("average",スコア表2[maxmin],0),MATCH(AI$5,スコア表2[#Headers],0)))
/
INDEX(スコア表2[],MATCH("stdev.p",スコア表2[maxmin],0),MATCH(AI$5,スコア表2[#Headers],0))
*10+50,"-")</f>
        <v>59.194075492558497</v>
      </c>
      <c r="AJ13" s="4">
        <f>IFERROR(
(INDEX(スコア表[],MATCH($C13,スコア表['#],0),MATCH(AJ$5,スコア表[#Headers],0))
-
INDEX(スコア表2[],MATCH("average",スコア表2[maxmin],0),MATCH(AJ$5,スコア表2[#Headers],0)))
/
INDEX(スコア表2[],MATCH("stdev.p",スコア表2[maxmin],0),MATCH(AJ$5,スコア表2[#Headers],0))
*10+50,"-")</f>
        <v>40.808215545515345</v>
      </c>
      <c r="AK13" s="4">
        <f>IFERROR(
(INDEX(スコア表[],MATCH($C13,スコア表['#],0),MATCH(AK$5,スコア表[#Headers],0))
-
INDEX(スコア表2[],MATCH("average",スコア表2[maxmin],0),MATCH(AK$5,スコア表2[#Headers],0)))
/
INDEX(スコア表2[],MATCH("stdev.p",スコア表2[maxmin],0),MATCH(AK$5,スコア表2[#Headers],0))
*10+50,"-")</f>
        <v>38.951628691062545</v>
      </c>
      <c r="AL13" s="4">
        <f>IFERROR(
(INDEX(スコア表[],MATCH($C13,スコア表['#],0),MATCH(AL$5,スコア表[#Headers],0))
-
INDEX(スコア表2[],MATCH("average",スコア表2[maxmin],0),MATCH(AL$5,スコア表2[#Headers],0)))
/
INDEX(スコア表2[],MATCH("stdev.p",スコア表2[maxmin],0),MATCH(AL$5,スコア表2[#Headers],0))
*10+50,"-")</f>
        <v>52.835695347386917</v>
      </c>
      <c r="AM13" s="4">
        <f>IFERROR(
(INDEX(スコア表[],MATCH($C13,スコア表['#],0),MATCH(AM$5,スコア表[#Headers],0))
-
INDEX(スコア表2[],MATCH("average",スコア表2[maxmin],0),MATCH(AM$5,スコア表2[#Headers],0)))
/
INDEX(スコア表2[],MATCH("stdev.p",スコア表2[maxmin],0),MATCH(AM$5,スコア表2[#Headers],0))
*10+50,"-")</f>
        <v>58.637408677213912</v>
      </c>
      <c r="AN13" s="4">
        <f>IFERROR(
(INDEX(スコア表[],MATCH($C13,スコア表['#],0),MATCH(AN$5,スコア表[#Headers],0))
-
INDEX(スコア表2[],MATCH("average",スコア表2[maxmin],0),MATCH(AN$5,スコア表2[#Headers],0)))
/
INDEX(スコア表2[],MATCH("stdev.p",スコア表2[maxmin],0),MATCH(AN$5,スコア表2[#Headers],0))
*10+50,"-")</f>
        <v>77.51668186031911</v>
      </c>
      <c r="AO13" s="4">
        <f>IFERROR(
(INDEX(スコア表[],MATCH($C13,スコア表['#],0),MATCH(AO$5,スコア表[#Headers],0))
-
INDEX(スコア表2[],MATCH("average",スコア表2[maxmin],0),MATCH(AO$5,スコア表2[#Headers],0)))
/
INDEX(スコア表2[],MATCH("stdev.p",スコア表2[maxmin],0),MATCH(AO$5,スコア表2[#Headers],0))
*10+50,"-")</f>
        <v>59.710325224221585</v>
      </c>
      <c r="AP13" s="4">
        <f>IFERROR(
(INDEX(スコア表[],MATCH($C13,スコア表['#],0),MATCH(AP$5,スコア表[#Headers],0))
-
INDEX(スコア表2[],MATCH("average",スコア表2[maxmin],0),MATCH(AP$5,スコア表2[#Headers],0)))
/
INDEX(スコア表2[],MATCH("stdev.p",スコア表2[maxmin],0),MATCH(AP$5,スコア表2[#Headers],0))
*10+50,"-")</f>
        <v>53.734961382707645</v>
      </c>
      <c r="AQ13" s="4">
        <f>IFERROR(
(INDEX(スコア表[],MATCH($C13,スコア表['#],0),MATCH(AQ$5,スコア表[#Headers],0))
-
INDEX(スコア表2[],MATCH("average",スコア表2[maxmin],0),MATCH(AQ$5,スコア表2[#Headers],0)))
/
INDEX(スコア表2[],MATCH("stdev.p",スコア表2[maxmin],0),MATCH(AQ$5,スコア表2[#Headers],0))
*10+50,"-")</f>
        <v>92.602904565816146</v>
      </c>
      <c r="AR13" s="4">
        <f>IFERROR(
(INDEX(スコア表[],MATCH($C13,スコア表['#],0),MATCH(AR$5,スコア表[#Headers],0))
-
INDEX(スコア表2[],MATCH("average",スコア表2[maxmin],0),MATCH(AR$5,スコア表2[#Headers],0)))
/
INDEX(スコア表2[],MATCH("stdev.p",スコア表2[maxmin],0),MATCH(AR$5,スコア表2[#Headers],0))
*10+50,"-")</f>
        <v>79.556889963375582</v>
      </c>
      <c r="AS13" s="4">
        <f>IFERROR(
(INDEX(スコア表[],MATCH($C13,スコア表['#],0),MATCH(AS$5,スコア表[#Headers],0))
-
INDEX(スコア表2[],MATCH("average",スコア表2[maxmin],0),MATCH(AS$5,スコア表2[#Headers],0)))
/
INDEX(スコア表2[],MATCH("stdev.p",スコア表2[maxmin],0),MATCH(AS$5,スコア表2[#Headers],0))
*10+50,"-")</f>
        <v>60.89682558121541</v>
      </c>
      <c r="AT13" s="4">
        <f>IFERROR(
(INDEX(スコア表[],MATCH($C13,スコア表['#],0),MATCH(AT$5,スコア表[#Headers],0))
-
INDEX(スコア表2[],MATCH("average",スコア表2[maxmin],0),MATCH(AT$5,スコア表2[#Headers],0)))
/
INDEX(スコア表2[],MATCH("stdev.p",スコア表2[maxmin],0),MATCH(AT$5,スコア表2[#Headers],0))
*10+50,"-")</f>
        <v>37.685668610661217</v>
      </c>
      <c r="AU13" s="4">
        <f>IFERROR(
(INDEX(スコア表[],MATCH($C13,スコア表['#],0),MATCH(AU$5,スコア表[#Headers],0))
-
INDEX(スコア表2[],MATCH("average",スコア表2[maxmin],0),MATCH(AU$5,スコア表2[#Headers],0)))
/
INDEX(スコア表2[],MATCH("stdev.p",スコア表2[maxmin],0),MATCH(AU$5,スコア表2[#Headers],0))
*10+50,"-")</f>
        <v>64.901562868812505</v>
      </c>
      <c r="AV13" s="4">
        <f>IFERROR(
(INDEX(スコア表[],MATCH($C13,スコア表['#],0),MATCH(AV$5,スコア表[#Headers],0))
-
INDEX(スコア表2[],MATCH("average",スコア表2[maxmin],0),MATCH(AV$5,スコア表2[#Headers],0)))
/
INDEX(スコア表2[],MATCH("stdev.p",スコア表2[maxmin],0),MATCH(AV$5,スコア表2[#Headers],0))
*10+50,"-")</f>
        <v>47.110193311115076</v>
      </c>
      <c r="AW13" s="4">
        <f>IFERROR(
(INDEX(スコア表[],MATCH($C13,スコア表['#],0),MATCH(AW$5,スコア表[#Headers],0))
-
INDEX(スコア表2[],MATCH("average",スコア表2[maxmin],0),MATCH(AW$5,スコア表2[#Headers],0)))
/
INDEX(スコア表2[],MATCH("stdev.p",スコア表2[maxmin],0),MATCH(AW$5,スコア表2[#Headers],0))
*10+50,"-")</f>
        <v>54.227649310369017</v>
      </c>
      <c r="AX13" s="4">
        <f>IFERROR(
(INDEX(スコア表[],MATCH($C13,スコア表['#],0),MATCH(AX$5,スコア表[#Headers],0))
-
INDEX(スコア表2[],MATCH("average",スコア表2[maxmin],0),MATCH(AX$5,スコア表2[#Headers],0)))
/
INDEX(スコア表2[],MATCH("stdev.p",スコア表2[maxmin],0),MATCH(AX$5,スコア表2[#Headers],0))
*10+50,"-")</f>
        <v>54.775106733995074</v>
      </c>
      <c r="AY13" s="4">
        <f>IFERROR(
(INDEX(スコア表[],MATCH($C13,スコア表['#],0),MATCH(AY$5,スコア表[#Headers],0))
-
INDEX(スコア表2[],MATCH("average",スコア表2[maxmin],0),MATCH(AY$5,スコア表2[#Headers],0)))
/
INDEX(スコア表2[],MATCH("stdev.p",スコア表2[maxmin],0),MATCH(AY$5,スコア表2[#Headers],0))
*10+50,"-")</f>
        <v>48.950483802662745</v>
      </c>
      <c r="AZ13" s="4">
        <f>IFERROR(
(INDEX(スコア表[],MATCH($C13,スコア表['#],0),MATCH(AZ$5,スコア表[#Headers],0))
-
INDEX(スコア表2[],MATCH("average",スコア表2[maxmin],0),MATCH(AZ$5,スコア表2[#Headers],0)))
/
INDEX(スコア表2[],MATCH("stdev.p",スコア表2[maxmin],0),MATCH(AZ$5,スコア表2[#Headers],0))
*10+50,"-")</f>
        <v>41.198102829611855</v>
      </c>
      <c r="BA13" s="4">
        <f>IFERROR(
(INDEX(スコア表[],MATCH($C13,スコア表['#],0),MATCH(BA$5,スコア表[#Headers],0))
-
INDEX(スコア表2[],MATCH("average",スコア表2[maxmin],0),MATCH(BA$5,スコア表2[#Headers],0)))
/
INDEX(スコア表2[],MATCH("stdev.p",スコア表2[maxmin],0),MATCH(BA$5,スコア表2[#Headers],0))
*10+50,"-")</f>
        <v>38.94948920532169</v>
      </c>
      <c r="BB13" s="4">
        <f>IFERROR(
(INDEX(スコア表[],MATCH($C13,スコア表['#],0),MATCH(BB$5,スコア表[#Headers],0))
-
INDEX(スコア表2[],MATCH("average",スコア表2[maxmin],0),MATCH(BB$5,スコア表2[#Headers],0)))
/
INDEX(スコア表2[],MATCH("stdev.p",スコア表2[maxmin],0),MATCH(BB$5,スコア表2[#Headers],0))
*10+50,"-")</f>
        <v>61.047724333118168</v>
      </c>
      <c r="BC13" s="4">
        <f>IFERROR(
(INDEX(スコア表[],MATCH($C13,スコア表['#],0),MATCH(BC$5,スコア表[#Headers],0))
-
INDEX(スコア表2[],MATCH("average",スコア表2[maxmin],0),MATCH(BC$5,スコア表2[#Headers],0)))
/
INDEX(スコア表2[],MATCH("stdev.p",スコア表2[maxmin],0),MATCH(BC$5,スコア表2[#Headers],0))
*10+50,"-")</f>
        <v>43.694889634109082</v>
      </c>
      <c r="BD13" s="4">
        <f>IFERROR(
(INDEX(スコア表[],MATCH($C13,スコア表['#],0),MATCH(BD$5,スコア表[#Headers],0))
-
INDEX(スコア表2[],MATCH("average",スコア表2[maxmin],0),MATCH(BD$5,スコア表2[#Headers],0)))
/
INDEX(スコア表2[],MATCH("stdev.p",スコア表2[maxmin],0),MATCH(BD$5,スコア表2[#Headers],0))
*10+50,"-")</f>
        <v>49.604590983807157</v>
      </c>
      <c r="BE13" s="4">
        <f>IFERROR(
(INDEX(スコア表[],MATCH($C13,スコア表['#],0),MATCH(BE$5,スコア表[#Headers],0))
-
INDEX(スコア表2[],MATCH("average",スコア表2[maxmin],0),MATCH(BE$5,スコア表2[#Headers],0)))
/
INDEX(スコア表2[],MATCH("stdev.p",スコア表2[maxmin],0),MATCH(BE$5,スコア表2[#Headers],0))
*10+50,"-")</f>
        <v>54.044776201709951</v>
      </c>
      <c r="BF13" s="4">
        <f>IFERROR(
(INDEX(スコア表[],MATCH($C13,スコア表['#],0),MATCH(BF$5,スコア表[#Headers],0))
-
INDEX(スコア表2[],MATCH("average",スコア表2[maxmin],0),MATCH(BF$5,スコア表2[#Headers],0)))
/
INDEX(スコア表2[],MATCH("stdev.p",スコア表2[maxmin],0),MATCH(BF$5,スコア表2[#Headers],0))
*10+50,"-")</f>
        <v>59.809119218495525</v>
      </c>
      <c r="BG13" s="4">
        <f>IFERROR(
(INDEX(スコア表[],MATCH($C13,スコア表['#],0),MATCH(BG$5,スコア表[#Headers],0))
-
INDEX(スコア表2[],MATCH("average",スコア表2[maxmin],0),MATCH(BG$5,スコア表2[#Headers],0)))
/
INDEX(スコア表2[],MATCH("stdev.p",スコア表2[maxmin],0),MATCH(BG$5,スコア表2[#Headers],0))
*10+50,"-")</f>
        <v>52.068456999152573</v>
      </c>
      <c r="BH13" s="4">
        <f>IFERROR(
(INDEX(スコア表[],MATCH($C13,スコア表['#],0),MATCH(BH$5,スコア表[#Headers],0))
-
INDEX(スコア表2[],MATCH("average",スコア表2[maxmin],0),MATCH(BH$5,スコア表2[#Headers],0)))
/
INDEX(スコア表2[],MATCH("stdev.p",スコア表2[maxmin],0),MATCH(BH$5,スコア表2[#Headers],0))
*10+50,"-")</f>
        <v>38.231092228112928</v>
      </c>
      <c r="BI13" s="4">
        <f>IFERROR(
(INDEX(スコア表[],MATCH($C13,スコア表['#],0),MATCH(BI$5,スコア表[#Headers],0))
-
INDEX(スコア表2[],MATCH("average",スコア表2[maxmin],0),MATCH(BI$5,スコア表2[#Headers],0)))
/
INDEX(スコア表2[],MATCH("stdev.p",スコア表2[maxmin],0),MATCH(BI$5,スコア表2[#Headers],0))
*10+50,"-")</f>
        <v>45.752819095276855</v>
      </c>
      <c r="BJ13" s="4">
        <f>IFERROR(
(INDEX(スコア表[],MATCH($C13,スコア表['#],0),MATCH(BJ$5,スコア表[#Headers],0))
-
INDEX(スコア表2[],MATCH("average",スコア表2[maxmin],0),MATCH(BJ$5,スコア表2[#Headers],0)))
/
INDEX(スコア表2[],MATCH("stdev.p",スコア表2[maxmin],0),MATCH(BJ$5,スコア表2[#Headers],0))
*10+50,"-")</f>
        <v>45.82415202101167</v>
      </c>
      <c r="BK13" s="4">
        <f>IFERROR(
(INDEX(スコア表[],MATCH($C13,スコア表['#],0),MATCH(BK$5,スコア表[#Headers],0))
-
INDEX(スコア表2[],MATCH("average",スコア表2[maxmin],0),MATCH(BK$5,スコア表2[#Headers],0)))
/
INDEX(スコア表2[],MATCH("stdev.p",スコア表2[maxmin],0),MATCH(BK$5,スコア表2[#Headers],0))
*10+50,"-")</f>
        <v>22.357971836616507</v>
      </c>
      <c r="BL13" s="4">
        <f>IFERROR(
(INDEX(スコア表[],MATCH($C13,スコア表['#],0),MATCH(BL$5,スコア表[#Headers],0))
-
INDEX(スコア表2[],MATCH("average",スコア表2[maxmin],0),MATCH(BL$5,スコア表2[#Headers],0)))
/
INDEX(スコア表2[],MATCH("stdev.p",スコア表2[maxmin],0),MATCH(BL$5,スコア表2[#Headers],0))
*10+50,"-")</f>
        <v>34.212264361495329</v>
      </c>
      <c r="BM13" s="4">
        <f>IFERROR(
(INDEX(スコア表[],MATCH($C13,スコア表['#],0),MATCH(BM$5,スコア表[#Headers],0))
-
INDEX(スコア表2[],MATCH("average",スコア表2[maxmin],0),MATCH(BM$5,スコア表2[#Headers],0)))
/
INDEX(スコア表2[],MATCH("stdev.p",スコア表2[maxmin],0),MATCH(BM$5,スコア表2[#Headers],0))
*10+50,"-")</f>
        <v>52.521781911361408</v>
      </c>
      <c r="BN13" s="4">
        <f>IFERROR(
(INDEX(スコア表[],MATCH($C13,スコア表['#],0),MATCH(BN$5,スコア表[#Headers],0))
-
INDEX(スコア表2[],MATCH("average",スコア表2[maxmin],0),MATCH(BN$5,スコア表2[#Headers],0)))
/
INDEX(スコア表2[],MATCH("stdev.p",スコア表2[maxmin],0),MATCH(BN$5,スコア表2[#Headers],0))
*10+50,"-")</f>
        <v>36.442669436659372</v>
      </c>
      <c r="BO13" s="4">
        <f>IFERROR(
(INDEX(スコア表[],MATCH($C13,スコア表['#],0),MATCH(BO$5,スコア表[#Headers],0))
-
INDEX(スコア表2[],MATCH("average",スコア表2[maxmin],0),MATCH(BO$5,スコア表2[#Headers],0)))
/
INDEX(スコア表2[],MATCH("stdev.p",スコア表2[maxmin],0),MATCH(BO$5,スコア表2[#Headers],0))
*10+50,"-")</f>
        <v>72.570684148271312</v>
      </c>
      <c r="BP13" s="4">
        <f>IFERROR(
(INDEX(スコア表[],MATCH($C13,スコア表['#],0),MATCH(BP$5,スコア表[#Headers],0))
-
INDEX(スコア表2[],MATCH("average",スコア表2[maxmin],0),MATCH(BP$5,スコア表2[#Headers],0)))
/
INDEX(スコア表2[],MATCH("stdev.p",スコア表2[maxmin],0),MATCH(BP$5,スコア表2[#Headers],0))
*10+50,"-")</f>
        <v>66.733264116021246</v>
      </c>
      <c r="BQ13" s="4">
        <f>IFERROR(
(INDEX(スコア表[],MATCH($C13,スコア表['#],0),MATCH(BQ$5,スコア表[#Headers],0))
-
INDEX(スコア表2[],MATCH("average",スコア表2[maxmin],0),MATCH(BQ$5,スコア表2[#Headers],0)))
/
INDEX(スコア表2[],MATCH("stdev.p",スコア表2[maxmin],0),MATCH(BQ$5,スコア表2[#Headers],0))
*10+50,"-")</f>
        <v>64.597276757324394</v>
      </c>
      <c r="BR13" s="4">
        <f>IFERROR(
(INDEX(スコア表[],MATCH($C13,スコア表['#],0),MATCH(BR$5,スコア表[#Headers],0))
-
INDEX(スコア表2[],MATCH("average",スコア表2[maxmin],0),MATCH(BR$5,スコア表2[#Headers],0)))
/
INDEX(スコア表2[],MATCH("stdev.p",スコア表2[maxmin],0),MATCH(BR$5,スコア表2[#Headers],0))
*10+50,"-")</f>
        <v>59.862973457995189</v>
      </c>
      <c r="BS13" s="4">
        <f>IFERROR(
(INDEX(スコア表[],MATCH($C13,スコア表['#],0),MATCH(BS$5,スコア表[#Headers],0))
-
INDEX(スコア表2[],MATCH("average",スコア表2[maxmin],0),MATCH(BS$5,スコア表2[#Headers],0)))
/
INDEX(スコア表2[],MATCH("stdev.p",スコア表2[maxmin],0),MATCH(BS$5,スコア表2[#Headers],0))
*10+50,"-")</f>
        <v>52.054629792359506</v>
      </c>
      <c r="BT13" s="4">
        <f>IFERROR(
(INDEX(スコア表[],MATCH($C13,スコア表['#],0),MATCH(BT$5,スコア表[#Headers],0))
-
INDEX(スコア表2[],MATCH("average",スコア表2[maxmin],0),MATCH(BT$5,スコア表2[#Headers],0)))
/
INDEX(スコア表2[],MATCH("stdev.p",スコア表2[maxmin],0),MATCH(BT$5,スコア表2[#Headers],0))
*10+50,"-")</f>
        <v>39.543938487069617</v>
      </c>
      <c r="BU13" s="4">
        <f>IFERROR(
(INDEX(スコア表[],MATCH($C13,スコア表['#],0),MATCH(BU$5,スコア表[#Headers],0))
-
INDEX(スコア表2[],MATCH("average",スコア表2[maxmin],0),MATCH(BU$5,スコア表2[#Headers],0)))
/
INDEX(スコア表2[],MATCH("stdev.p",スコア表2[maxmin],0),MATCH(BU$5,スコア表2[#Headers],0))
*10+50,"-")</f>
        <v>35.022915284548965</v>
      </c>
      <c r="BV13" s="4">
        <f>IFERROR(
(INDEX(スコア表[],MATCH($C13,スコア表['#],0),MATCH(BV$5,スコア表[#Headers],0))
-
INDEX(スコア表2[],MATCH("average",スコア表2[maxmin],0),MATCH(BV$5,スコア表2[#Headers],0)))
/
INDEX(スコア表2[],MATCH("stdev.p",スコア表2[maxmin],0),MATCH(BV$5,スコア表2[#Headers],0))
*10+50,"-")</f>
        <v>59.571011717247117</v>
      </c>
      <c r="BW13" s="4">
        <f>IFERROR(
(INDEX(スコア表[],MATCH($C13,スコア表['#],0),MATCH(BW$5,スコア表[#Headers],0))
-
INDEX(スコア表2[],MATCH("average",スコア表2[maxmin],0),MATCH(BW$5,スコア表2[#Headers],0)))
/
INDEX(スコア表2[],MATCH("stdev.p",スコア表2[maxmin],0),MATCH(BW$5,スコア表2[#Headers],0))
*10+50,"-")</f>
        <v>50.24448067110955</v>
      </c>
      <c r="BX13" s="4">
        <f>IFERROR(
(INDEX(スコア表[],MATCH($C13,スコア表['#],0),MATCH(BX$5,スコア表[#Headers],0))
-
INDEX(スコア表2[],MATCH("average",スコア表2[maxmin],0),MATCH(BX$5,スコア表2[#Headers],0)))
/
INDEX(スコア表2[],MATCH("stdev.p",スコア表2[maxmin],0),MATCH(BX$5,スコア表2[#Headers],0))
*10+50,"-")</f>
        <v>78.816881448491472</v>
      </c>
      <c r="BY13" s="4">
        <f>IFERROR(
(INDEX(スコア表[],MATCH($C13,スコア表['#],0),MATCH(BY$5,スコア表[#Headers],0))
-
INDEX(スコア表2[],MATCH("average",スコア表2[maxmin],0),MATCH(BY$5,スコア表2[#Headers],0)))
/
INDEX(スコア表2[],MATCH("stdev.p",スコア表2[maxmin],0),MATCH(BY$5,スコア表2[#Headers],0))
*10+50,"-")</f>
        <v>43.341637597867468</v>
      </c>
      <c r="BZ13" s="4">
        <f>IFERROR(
(INDEX(スコア表[],MATCH($C13,スコア表['#],0),MATCH(BZ$5,スコア表[#Headers],0))
-
INDEX(スコア表2[],MATCH("average",スコア表2[maxmin],0),MATCH(BZ$5,スコア表2[#Headers],0)))
/
INDEX(スコア表2[],MATCH("stdev.p",スコア表2[maxmin],0),MATCH(BZ$5,スコア表2[#Headers],0))
*10+50,"-")</f>
        <v>42.040643113917213</v>
      </c>
      <c r="CA13" s="4">
        <f>IFERROR(
(INDEX(スコア表[],MATCH($C13,スコア表['#],0),MATCH(CA$5,スコア表[#Headers],0))
-
INDEX(スコア表2[],MATCH("average",スコア表2[maxmin],0),MATCH(CA$5,スコア表2[#Headers],0)))
/
INDEX(スコア表2[],MATCH("stdev.p",スコア表2[maxmin],0),MATCH(CA$5,スコア表2[#Headers],0))
*10+50,"-")</f>
        <v>47.764910655567576</v>
      </c>
      <c r="CB13" s="4">
        <f>IFERROR(
(INDEX(スコア表[],MATCH($C13,スコア表['#],0),MATCH(CB$5,スコア表[#Headers],0))
-
INDEX(スコア表2[],MATCH("average",スコア表2[maxmin],0),MATCH(CB$5,スコア表2[#Headers],0)))
/
INDEX(スコア表2[],MATCH("stdev.p",スコア表2[maxmin],0),MATCH(CB$5,スコア表2[#Headers],0))
*10+50,"-")</f>
        <v>45.207048782954722</v>
      </c>
      <c r="CC13" s="4">
        <f>IFERROR(
(INDEX(スコア表[],MATCH($C13,スコア表['#],0),MATCH(CC$5,スコア表[#Headers],0))
-
INDEX(スコア表2[],MATCH("average",スコア表2[maxmin],0),MATCH(CC$5,スコア表2[#Headers],0)))
/
INDEX(スコア表2[],MATCH("stdev.p",スコア表2[maxmin],0),MATCH(CC$5,スコア表2[#Headers],0))
*10+50,"-")</f>
        <v>45.699509674526482</v>
      </c>
      <c r="CD13" s="4">
        <f>IFERROR(
(INDEX(スコア表[],MATCH($C13,スコア表['#],0),MATCH(CD$5,スコア表[#Headers],0))
-
INDEX(スコア表2[],MATCH("average",スコア表2[maxmin],0),MATCH(CD$5,スコア表2[#Headers],0)))
/
INDEX(スコア表2[],MATCH("stdev.p",スコア表2[maxmin],0),MATCH(CD$5,スコア表2[#Headers],0))
*10+50,"-")</f>
        <v>53.476293504620031</v>
      </c>
      <c r="CE13" s="4">
        <f>IFERROR(
(INDEX(スコア表[],MATCH($C13,スコア表['#],0),MATCH(CE$5,スコア表[#Headers],0))
-
INDEX(スコア表2[],MATCH("average",スコア表2[maxmin],0),MATCH(CE$5,スコア表2[#Headers],0)))
/
INDEX(スコア表2[],MATCH("stdev.p",スコア表2[maxmin],0),MATCH(CE$5,スコア表2[#Headers],0))
*10+50,"-")</f>
        <v>71.305669843106074</v>
      </c>
      <c r="CF13" s="4">
        <f>IFERROR(
(INDEX(スコア表[],MATCH($C13,スコア表['#],0),MATCH(CF$5,スコア表[#Headers],0))
-
INDEX(スコア表2[],MATCH("average",スコア表2[maxmin],0),MATCH(CF$5,スコア表2[#Headers],0)))
/
INDEX(スコア表2[],MATCH("stdev.p",スコア表2[maxmin],0),MATCH(CF$5,スコア表2[#Headers],0))
*10+50,"-")</f>
        <v>40.944884329973533</v>
      </c>
      <c r="CG13" s="4">
        <f>IFERROR(
(INDEX(スコア表[],MATCH($C13,スコア表['#],0),MATCH(CG$5,スコア表[#Headers],0))
-
INDEX(スコア表2[],MATCH("average",スコア表2[maxmin],0),MATCH(CG$5,スコア表2[#Headers],0)))
/
INDEX(スコア表2[],MATCH("stdev.p",スコア表2[maxmin],0),MATCH(CG$5,スコア表2[#Headers],0))
*10+50,"-")</f>
        <v>41.294394442492909</v>
      </c>
      <c r="CH13" s="4">
        <f>IFERROR(
(INDEX(スコア表[],MATCH($C13,スコア表['#],0),MATCH(CH$5,スコア表[#Headers],0))
-
INDEX(スコア表2[],MATCH("average",スコア表2[maxmin],0),MATCH(CH$5,スコア表2[#Headers],0)))
/
INDEX(スコア表2[],MATCH("stdev.p",スコア表2[maxmin],0),MATCH(CH$5,スコア表2[#Headers],0))
*10+50,"-")</f>
        <v>45.836799239134379</v>
      </c>
      <c r="CI13" s="4">
        <f>IFERROR(
(INDEX(スコア表[],MATCH($C13,スコア表['#],0),MATCH(CI$5,スコア表[#Headers],0))
-
INDEX(スコア表2[],MATCH("average",スコア表2[maxmin],0),MATCH(CI$5,スコア表2[#Headers],0)))
/
INDEX(スコア表2[],MATCH("stdev.p",スコア表2[maxmin],0),MATCH(CI$5,スコア表2[#Headers],0))
*10+50,"-")</f>
        <v>53.948315983690769</v>
      </c>
      <c r="CJ13" s="4">
        <f>IFERROR(
(INDEX(スコア表[],MATCH($C13,スコア表['#],0),MATCH(CJ$5,スコア表[#Headers],0))
-
INDEX(スコア表2[],MATCH("average",スコア表2[maxmin],0),MATCH(CJ$5,スコア表2[#Headers],0)))
/
INDEX(スコア表2[],MATCH("stdev.p",スコア表2[maxmin],0),MATCH(CJ$5,スコア表2[#Headers],0))
*10+50,"-")</f>
        <v>55.406664835678455</v>
      </c>
      <c r="CK13" s="4">
        <f>IFERROR(
(INDEX(スコア表[],MATCH($C13,スコア表['#],0),MATCH(CK$5,スコア表[#Headers],0))
-
INDEX(スコア表2[],MATCH("average",スコア表2[maxmin],0),MATCH(CK$5,スコア表2[#Headers],0)))
/
INDEX(スコア表2[],MATCH("stdev.p",スコア表2[maxmin],0),MATCH(CK$5,スコア表2[#Headers],0))
*10+50,"-")</f>
        <v>43.194443553559601</v>
      </c>
      <c r="CL13" s="4">
        <f>IFERROR(
(INDEX(スコア表[],MATCH($C13,スコア表['#],0),MATCH(CL$5,スコア表[#Headers],0))
-
INDEX(スコア表2[],MATCH("average",スコア表2[maxmin],0),MATCH(CL$5,スコア表2[#Headers],0)))
/
INDEX(スコア表2[],MATCH("stdev.p",スコア表2[maxmin],0),MATCH(CL$5,スコア表2[#Headers],0))
*10+50,"-")</f>
        <v>65.746471062661897</v>
      </c>
      <c r="CM13" s="4">
        <f>IFERROR(
(INDEX(スコア表[],MATCH($C13,スコア表['#],0),MATCH(CM$5,スコア表[#Headers],0))
-
INDEX(スコア表2[],MATCH("average",スコア表2[maxmin],0),MATCH(CM$5,スコア表2[#Headers],0)))
/
INDEX(スコア表2[],MATCH("stdev.p",スコア表2[maxmin],0),MATCH(CM$5,スコア表2[#Headers],0))
*10+50,"-")</f>
        <v>90.583748719076297</v>
      </c>
      <c r="CN13" s="4">
        <f>IFERROR(
(INDEX(スコア表[],MATCH($C13,スコア表['#],0),MATCH(CN$5,スコア表[#Headers],0))
-
INDEX(スコア表2[],MATCH("average",スコア表2[maxmin],0),MATCH(CN$5,スコア表2[#Headers],0)))
/
INDEX(スコア表2[],MATCH("stdev.p",スコア表2[maxmin],0),MATCH(CN$5,スコア表2[#Headers],0))
*10+50,"-")</f>
        <v>59.049435275313769</v>
      </c>
      <c r="CO13" s="4">
        <f>IFERROR(
(INDEX(スコア表[],MATCH($C13,スコア表['#],0),MATCH(CO$5,スコア表[#Headers],0))
-
INDEX(スコア表2[],MATCH("average",スコア表2[maxmin],0),MATCH(CO$5,スコア表2[#Headers],0)))
/
INDEX(スコア表2[],MATCH("stdev.p",スコア表2[maxmin],0),MATCH(CO$5,スコア表2[#Headers],0))
*10+50,"-")</f>
        <v>50.385025245691232</v>
      </c>
      <c r="CP13" s="4">
        <f>IFERROR(
(INDEX(スコア表[],MATCH($C13,スコア表['#],0),MATCH(CP$5,スコア表[#Headers],0))
-
INDEX(スコア表2[],MATCH("average",スコア表2[maxmin],0),MATCH(CP$5,スコア表2[#Headers],0)))
/
INDEX(スコア表2[],MATCH("stdev.p",スコア表2[maxmin],0),MATCH(CP$5,スコア表2[#Headers],0))
*10+50,"-")</f>
        <v>53.405809010397775</v>
      </c>
      <c r="CQ13" s="4">
        <f>IFERROR(
(INDEX(スコア表[],MATCH($C13,スコア表['#],0),MATCH(CQ$5,スコア表[#Headers],0))
-
INDEX(スコア表2[],MATCH("average",スコア表2[maxmin],0),MATCH(CQ$5,スコア表2[#Headers],0)))
/
INDEX(スコア表2[],MATCH("stdev.p",スコア表2[maxmin],0),MATCH(CQ$5,スコア表2[#Headers],0))
*10+50,"-")</f>
        <v>46.702955460170493</v>
      </c>
      <c r="CR13" s="4">
        <f>IFERROR(
(INDEX(スコア表[],MATCH($C13,スコア表['#],0),MATCH(CR$5,スコア表[#Headers],0))
-
INDEX(スコア表2[],MATCH("average",スコア表2[maxmin],0),MATCH(CR$5,スコア表2[#Headers],0)))
/
INDEX(スコア表2[],MATCH("stdev.p",スコア表2[maxmin],0),MATCH(CR$5,スコア表2[#Headers],0))
*10+50,"-")</f>
        <v>52.665698626821339</v>
      </c>
      <c r="CS13" s="4">
        <f>IFERROR(
(INDEX(スコア表[],MATCH($C13,スコア表['#],0),MATCH(CS$5,スコア表[#Headers],0))
-
INDEX(スコア表2[],MATCH("average",スコア表2[maxmin],0),MATCH(CS$5,スコア表2[#Headers],0)))
/
INDEX(スコア表2[],MATCH("stdev.p",スコア表2[maxmin],0),MATCH(CS$5,スコア表2[#Headers],0))
*10+50,"-")</f>
        <v>40.76977406610397</v>
      </c>
      <c r="CT13" s="4">
        <f>IFERROR(
(INDEX(スコア表[],MATCH($C13,スコア表['#],0),MATCH(CT$5,スコア表[#Headers],0))
-
INDEX(スコア表2[],MATCH("average",スコア表2[maxmin],0),MATCH(CT$5,スコア表2[#Headers],0)))
/
INDEX(スコア表2[],MATCH("stdev.p",スコア表2[maxmin],0),MATCH(CT$5,スコア表2[#Headers],0))
*10+50,"-")</f>
        <v>21.855831241456993</v>
      </c>
      <c r="CU13" s="4">
        <f>IFERROR(
(INDEX(スコア表[],MATCH($C13,スコア表['#],0),MATCH(CU$5,スコア表[#Headers],0))
-
INDEX(スコア表2[],MATCH("average",スコア表2[maxmin],0),MATCH(CU$5,スコア表2[#Headers],0)))
/
INDEX(スコア表2[],MATCH("stdev.p",スコア表2[maxmin],0),MATCH(CU$5,スコア表2[#Headers],0))
*10+50,"-")</f>
        <v>55.043497926674412</v>
      </c>
      <c r="CV13" s="4">
        <f>IFERROR(
(INDEX(スコア表[],MATCH($C13,スコア表['#],0),MATCH(CV$5,スコア表[#Headers],0))
-
INDEX(スコア表2[],MATCH("average",スコア表2[maxmin],0),MATCH(CV$5,スコア表2[#Headers],0)))
/
INDEX(スコア表2[],MATCH("stdev.p",スコア表2[maxmin],0),MATCH(CV$5,スコア表2[#Headers],0))
*10+50,"-")</f>
        <v>71.441532572110503</v>
      </c>
      <c r="CW13" s="4">
        <f>IFERROR(
(INDEX(スコア表[],MATCH($C13,スコア表['#],0),MATCH(CW$5,スコア表[#Headers],0))
-
INDEX(スコア表2[],MATCH("average",スコア表2[maxmin],0),MATCH(CW$5,スコア表2[#Headers],0)))
/
INDEX(スコア表2[],MATCH("stdev.p",スコア表2[maxmin],0),MATCH(CW$5,スコア表2[#Headers],0))
*10+50,"-")</f>
        <v>56.35654486680496</v>
      </c>
      <c r="CX13" s="4">
        <f>IFERROR(
(INDEX(スコア表[],MATCH($C13,スコア表['#],0),MATCH(CX$5,スコア表[#Headers],0))
-
INDEX(スコア表2[],MATCH("average",スコア表2[maxmin],0),MATCH(CX$5,スコア表2[#Headers],0)))
/
INDEX(スコア表2[],MATCH("stdev.p",スコア表2[maxmin],0),MATCH(CX$5,スコア表2[#Headers],0))
*10+50,"-")</f>
        <v>42.431405981896518</v>
      </c>
      <c r="CY13" s="4">
        <f>IFERROR(
(INDEX(スコア表[],MATCH($C13,スコア表['#],0),MATCH(CY$5,スコア表[#Headers],0))
-
INDEX(スコア表2[],MATCH("average",スコア表2[maxmin],0),MATCH(CY$5,スコア表2[#Headers],0)))
/
INDEX(スコア表2[],MATCH("stdev.p",スコア表2[maxmin],0),MATCH(CY$5,スコア表2[#Headers],0))
*10+50,"-")</f>
        <v>60.363238369600161</v>
      </c>
      <c r="CZ13" s="4">
        <f>IFERROR(
(INDEX(スコア表[],MATCH($C13,スコア表['#],0),MATCH(CZ$5,スコア表[#Headers],0))
-
INDEX(スコア表2[],MATCH("average",スコア表2[maxmin],0),MATCH(CZ$5,スコア表2[#Headers],0)))
/
INDEX(スコア表2[],MATCH("stdev.p",スコア表2[maxmin],0),MATCH(CZ$5,スコア表2[#Headers],0))
*10+50,"-")</f>
        <v>52.458892392492167</v>
      </c>
      <c r="DA13" s="4">
        <f>IFERROR(
(INDEX(スコア表[],MATCH($C13,スコア表['#],0),MATCH(DA$5,スコア表[#Headers],0))
-
INDEX(スコア表2[],MATCH("average",スコア表2[maxmin],0),MATCH(DA$5,スコア表2[#Headers],0)))
/
INDEX(スコア表2[],MATCH("stdev.p",スコア表2[maxmin],0),MATCH(DA$5,スコア表2[#Headers],0))
*10+50,"-")</f>
        <v>42.028166516464609</v>
      </c>
      <c r="DB13" s="4">
        <f>IFERROR(
(INDEX(スコア表[],MATCH($C13,スコア表['#],0),MATCH(DB$5,スコア表[#Headers],0))
-
INDEX(スコア表2[],MATCH("average",スコア表2[maxmin],0),MATCH(DB$5,スコア表2[#Headers],0)))
/
INDEX(スコア表2[],MATCH("stdev.p",スコア表2[maxmin],0),MATCH(DB$5,スコア表2[#Headers],0))
*10+50,"-")</f>
        <v>66.526701481317374</v>
      </c>
      <c r="DC13" s="4">
        <f>IFERROR(
(INDEX(スコア表[],MATCH($C13,スコア表['#],0),MATCH(DC$5,スコア表[#Headers],0))
-
INDEX(スコア表2[],MATCH("average",スコア表2[maxmin],0),MATCH(DC$5,スコア表2[#Headers],0)))
/
INDEX(スコア表2[],MATCH("stdev.p",スコア表2[maxmin],0),MATCH(DC$5,スコア表2[#Headers],0))
*10+50,"-")</f>
        <v>54.23252728958532</v>
      </c>
      <c r="DD13" s="4">
        <f>IFERROR(
(INDEX(スコア表[],MATCH($C13,スコア表['#],0),MATCH(DD$5,スコア表[#Headers],0))
-
INDEX(スコア表2[],MATCH("average",スコア表2[maxmin],0),MATCH(DD$5,スコア表2[#Headers],0)))
/
INDEX(スコア表2[],MATCH("stdev.p",スコア表2[maxmin],0),MATCH(DD$5,スコア表2[#Headers],0))
*10+50,"-")</f>
        <v>39.564312559515258</v>
      </c>
      <c r="DE13" s="4">
        <f>IFERROR(
(INDEX(スコア表[],MATCH($C13,スコア表['#],0),MATCH(DE$5,スコア表[#Headers],0))
-
INDEX(スコア表2[],MATCH("average",スコア表2[maxmin],0),MATCH(DE$5,スコア表2[#Headers],0)))
/
INDEX(スコア表2[],MATCH("stdev.p",スコア表2[maxmin],0),MATCH(DE$5,スコア表2[#Headers],0))
*10+50,"-")</f>
        <v>63.61573501675602</v>
      </c>
      <c r="DF13" s="76">
        <f>IFERROR(
(INDEX(スコア表[],MATCH($C13,スコア表['#],0),MATCH(DF$5,スコア表[#Headers],0))
-
INDEX(スコア表2[],MATCH("average",スコア表2[maxmin],0),MATCH(DF$5,スコア表2[#Headers],0)))
/
INDEX(スコア表2[],MATCH("stdev.p",スコア表2[maxmin],0),MATCH(DF$5,スコア表2[#Headers],0))
*10+50,"-")</f>
        <v>55.883888956459678</v>
      </c>
      <c r="DG13" s="4">
        <f>IFERROR(_xlfn.STDEV.P(偏差値表[[#This Row],[Economy]:[Accessibility]]),"")</f>
        <v>9.9862066307887272</v>
      </c>
    </row>
    <row r="14" spans="1:111">
      <c r="A14" s="2">
        <v>9</v>
      </c>
      <c r="B14" s="58">
        <f>INDEX(順位表[Comprehensive],MATCH($C14,順位表['#],0))</f>
        <v>9</v>
      </c>
      <c r="C14" s="3">
        <v>48</v>
      </c>
      <c r="D14" s="1" t="str">
        <f>INDEX(都市マスタ[City Name],MATCH($C14,都市マスタ['#],0))</f>
        <v>Melbourne</v>
      </c>
      <c r="E14" s="4">
        <f>IFERROR(
(INDEX(スコア表[],MATCH($C14,スコア表['#],0),MATCH(E$5,スコア表[#Headers],0))
-
INDEX(スコア表2[],MATCH("average",スコア表2[maxmin],0),MATCH(E$5,スコア表2[#Headers],0)))
/
INDEX(スコア表2[],MATCH("stdev.p",スコア表2[maxmin],0),MATCH(E$5,スコア表2[#Headers],0))
*10+50,"-")</f>
        <v>49.460092516742925</v>
      </c>
      <c r="F14" s="4">
        <f>IFERROR(
(INDEX(スコア表[],MATCH($C14,スコア表['#],0),MATCH(F$5,スコア表[#Headers],0))
-
INDEX(スコア表2[],MATCH("average",スコア表2[maxmin],0),MATCH(F$5,スコア表2[#Headers],0)))
/
INDEX(スコア表2[],MATCH("stdev.p",スコア表2[maxmin],0),MATCH(F$5,スコア表2[#Headers],0))
*10+50,"-")</f>
        <v>75.457894068461258</v>
      </c>
      <c r="G14" s="4">
        <f>IFERROR(
(INDEX(スコア表[],MATCH($C14,スコア表['#],0),MATCH(G$5,スコア表[#Headers],0))
-
INDEX(スコア表2[],MATCH("average",スコア表2[maxmin],0),MATCH(G$5,スコア表2[#Headers],0)))
/
INDEX(スコア表2[],MATCH("stdev.p",スコア表2[maxmin],0),MATCH(G$5,スコア表2[#Headers],0))
*10+50,"-")</f>
        <v>48.334807842507175</v>
      </c>
      <c r="H14" s="4">
        <f>IFERROR(
(INDEX(スコア表[],MATCH($C14,スコア表['#],0),MATCH(H$5,スコア表[#Headers],0))
-
INDEX(スコア表2[],MATCH("average",スコア表2[maxmin],0),MATCH(H$5,スコア表2[#Headers],0)))
/
INDEX(スコア表2[],MATCH("stdev.p",スコア表2[maxmin],0),MATCH(H$5,スコア表2[#Headers],0))
*10+50,"-")</f>
        <v>54.147003616081037</v>
      </c>
      <c r="I14" s="4">
        <f>IFERROR(
(INDEX(スコア表[],MATCH($C14,スコア表['#],0),MATCH(I$5,スコア表[#Headers],0))
-
INDEX(スコア表2[],MATCH("average",スコア表2[maxmin],0),MATCH(I$5,スコア表2[#Headers],0)))
/
INDEX(スコア表2[],MATCH("stdev.p",スコア表2[maxmin],0),MATCH(I$5,スコア表2[#Headers],0))
*10+50,"-")</f>
        <v>47.978194425973768</v>
      </c>
      <c r="J14" s="4">
        <f>IFERROR(
(INDEX(スコア表[],MATCH($C14,スコア表['#],0),MATCH(J$5,スコア表[#Headers],0))
-
INDEX(スコア表2[],MATCH("average",スコア表2[maxmin],0),MATCH(J$5,スコア表2[#Headers],0)))
/
INDEX(スコア表2[],MATCH("stdev.p",スコア表2[maxmin],0),MATCH(J$5,スコア表2[#Headers],0))
*10+50,"-")</f>
        <v>58.431400347194014</v>
      </c>
      <c r="K14" s="4">
        <f>IFERROR(
(INDEX(スコア表[],MATCH($C14,スコア表['#],0),MATCH(K$5,スコア表[#Headers],0))
-
INDEX(スコア表2[],MATCH("average",スコア表2[maxmin],0),MATCH(K$5,スコア表2[#Headers],0)))
/
INDEX(スコア表2[],MATCH("stdev.p",スコア表2[maxmin],0),MATCH(K$5,スコア表2[#Headers],0))
*10+50,"-")</f>
        <v>57.128042455558329</v>
      </c>
      <c r="L14" s="4">
        <f>IFERROR(
(INDEX(スコア表[],MATCH($C14,スコア表['#],0),MATCH(L$5,スコア表[#Headers],0))
-
INDEX(スコア表2[],MATCH("average",スコア表2[maxmin],0),MATCH(L$5,スコア表2[#Headers],0)))
/
INDEX(スコア表2[],MATCH("stdev.p",スコア表2[maxmin],0),MATCH(L$5,スコア表2[#Headers],0))
*10+50,"-")</f>
        <v>46.831481232281661</v>
      </c>
      <c r="M14" s="4">
        <f>IFERROR(
(INDEX(スコア表[],MATCH($C14,スコア表['#],0),MATCH(M$5,スコア表[#Headers],0))
-
INDEX(スコア表2[],MATCH("average",スコア表2[maxmin],0),MATCH(M$5,スコア表2[#Headers],0)))
/
INDEX(スコア表2[],MATCH("stdev.p",スコア表2[maxmin],0),MATCH(M$5,スコア表2[#Headers],0))
*10+50,"-")</f>
        <v>46.415287301799374</v>
      </c>
      <c r="N14" s="4">
        <f>IFERROR(
(INDEX(スコア表[],MATCH($C14,スコア表['#],0),MATCH(N$5,スコア表[#Headers],0))
-
INDEX(スコア表2[],MATCH("average",スコア表2[maxmin],0),MATCH(N$5,スコア表2[#Headers],0)))
/
INDEX(スコア表2[],MATCH("stdev.p",スコア表2[maxmin],0),MATCH(N$5,スコア表2[#Headers],0))
*10+50,"-")</f>
        <v>48.423313598246601</v>
      </c>
      <c r="O14" s="4">
        <f>IFERROR(
(INDEX(スコア表[],MATCH($C14,スコア表['#],0),MATCH(O$5,スコア表[#Headers],0))
-
INDEX(スコア表2[],MATCH("average",スコア表2[maxmin],0),MATCH(O$5,スコア表2[#Headers],0)))
/
INDEX(スコア表2[],MATCH("stdev.p",スコア表2[maxmin],0),MATCH(O$5,スコア表2[#Headers],0))
*10+50,"-")</f>
        <v>51.756840128496222</v>
      </c>
      <c r="P14" s="4">
        <f>IFERROR(
(INDEX(スコア表[],MATCH($C14,スコア表['#],0),MATCH(P$5,スコア表[#Headers],0))
-
INDEX(スコア表2[],MATCH("average",スコア表2[maxmin],0),MATCH(P$5,スコア表2[#Headers],0)))
/
INDEX(スコア表2[],MATCH("stdev.p",スコア表2[maxmin],0),MATCH(P$5,スコア表2[#Headers],0))
*10+50,"-")</f>
        <v>53.109866344938482</v>
      </c>
      <c r="Q14" s="4">
        <f>IFERROR(
(INDEX(スコア表[],MATCH($C14,スコア表['#],0),MATCH(Q$5,スコア表[#Headers],0))
-
INDEX(スコア表2[],MATCH("average",スコア表2[maxmin],0),MATCH(Q$5,スコア表2[#Headers],0)))
/
INDEX(スコア表2[],MATCH("stdev.p",スコア表2[maxmin],0),MATCH(Q$5,スコア表2[#Headers],0))
*10+50,"-")</f>
        <v>60.862339986887569</v>
      </c>
      <c r="R14" s="4">
        <f>IFERROR(
(INDEX(スコア表[],MATCH($C14,スコア表['#],0),MATCH(R$5,スコア表[#Headers],0))
-
INDEX(スコア表2[],MATCH("average",スコア表2[maxmin],0),MATCH(R$5,スコア表2[#Headers],0)))
/
INDEX(スコア表2[],MATCH("stdev.p",スコア表2[maxmin],0),MATCH(R$5,スコア表2[#Headers],0))
*10+50,"-")</f>
        <v>39.510310654449448</v>
      </c>
      <c r="S14" s="4">
        <f>IFERROR(
(INDEX(スコア表[],MATCH($C14,スコア表['#],0),MATCH(S$5,スコア表[#Headers],0))
-
INDEX(スコア表2[],MATCH("average",スコア表2[maxmin],0),MATCH(S$5,スコア表2[#Headers],0)))
/
INDEX(スコア表2[],MATCH("stdev.p",スコア表2[maxmin],0),MATCH(S$5,スコア表2[#Headers],0))
*10+50,"-")</f>
        <v>41.185389416969841</v>
      </c>
      <c r="T14" s="4">
        <f>IFERROR(
(INDEX(スコア表[],MATCH($C14,スコア表['#],0),MATCH(T$5,スコア表[#Headers],0))
-
INDEX(スコア表2[],MATCH("average",スコア表2[maxmin],0),MATCH(T$5,スコア表2[#Headers],0)))
/
INDEX(スコア表2[],MATCH("stdev.p",スコア表2[maxmin],0),MATCH(T$5,スコア表2[#Headers],0))
*10+50,"-")</f>
        <v>55.510722261548764</v>
      </c>
      <c r="U14" s="4">
        <f>IFERROR(
(INDEX(スコア表[],MATCH($C14,スコア表['#],0),MATCH(U$5,スコア表[#Headers],0))
-
INDEX(スコア表2[],MATCH("average",スコア表2[maxmin],0),MATCH(U$5,スコア表2[#Headers],0)))
/
INDEX(スコア表2[],MATCH("stdev.p",スコア表2[maxmin],0),MATCH(U$5,スコア表2[#Headers],0))
*10+50,"-")</f>
        <v>50.751735426658428</v>
      </c>
      <c r="V14" s="4">
        <f>IFERROR(
(INDEX(スコア表[],MATCH($C14,スコア表['#],0),MATCH(V$5,スコア表[#Headers],0))
-
INDEX(スコア表2[],MATCH("average",スコア表2[maxmin],0),MATCH(V$5,スコア表2[#Headers],0)))
/
INDEX(スコア表2[],MATCH("stdev.p",スコア表2[maxmin],0),MATCH(V$5,スコア表2[#Headers],0))
*10+50,"-")</f>
        <v>55.990204569214228</v>
      </c>
      <c r="W14" s="4">
        <f>IFERROR(
(INDEX(スコア表[],MATCH($C14,スコア表['#],0),MATCH(W$5,スコア表[#Headers],0))
-
INDEX(スコア表2[],MATCH("average",スコア表2[maxmin],0),MATCH(W$5,スコア表2[#Headers],0)))
/
INDEX(スコア表2[],MATCH("stdev.p",スコア表2[maxmin],0),MATCH(W$5,スコア表2[#Headers],0))
*10+50,"-")</f>
        <v>49.220832144734622</v>
      </c>
      <c r="X14" s="4">
        <f>IFERROR(
(INDEX(スコア表[],MATCH($C14,スコア表['#],0),MATCH(X$5,スコア表[#Headers],0))
-
INDEX(スコア表2[],MATCH("average",スコア表2[maxmin],0),MATCH(X$5,スコア表2[#Headers],0)))
/
INDEX(スコア表2[],MATCH("stdev.p",スコア表2[maxmin],0),MATCH(X$5,スコア表2[#Headers],0))
*10+50,"-")</f>
        <v>72.006018101814888</v>
      </c>
      <c r="Y14" s="4">
        <f>IFERROR(
(INDEX(スコア表[],MATCH($C14,スコア表['#],0),MATCH(Y$5,スコア表[#Headers],0))
-
INDEX(スコア表2[],MATCH("average",スコア表2[maxmin],0),MATCH(Y$5,スコア表2[#Headers],0)))
/
INDEX(スコア表2[],MATCH("stdev.p",スコア表2[maxmin],0),MATCH(Y$5,スコア表2[#Headers],0))
*10+50,"-")</f>
        <v>53.269382624642773</v>
      </c>
      <c r="Z14" s="4">
        <f>IFERROR(
(INDEX(スコア表[],MATCH($C14,スコア表['#],0),MATCH(Z$5,スコア表[#Headers],0))
-
INDEX(スコア表2[],MATCH("average",スコア表2[maxmin],0),MATCH(Z$5,スコア表2[#Headers],0)))
/
INDEX(スコア表2[],MATCH("stdev.p",スコア表2[maxmin],0),MATCH(Z$5,スコア表2[#Headers],0))
*10+50,"-")</f>
        <v>50.334025300120558</v>
      </c>
      <c r="AA14" s="4">
        <f>IFERROR(
(INDEX(スコア表[],MATCH($C14,スコア表['#],0),MATCH(AA$5,スコア表[#Headers],0))
-
INDEX(スコア表2[],MATCH("average",スコア表2[maxmin],0),MATCH(AA$5,スコア表2[#Headers],0)))
/
INDEX(スコア表2[],MATCH("stdev.p",スコア表2[maxmin],0),MATCH(AA$5,スコア表2[#Headers],0))
*10+50,"-")</f>
        <v>44.664612103409482</v>
      </c>
      <c r="AB14" s="4">
        <f>IFERROR(
(INDEX(スコア表[],MATCH($C14,スコア表['#],0),MATCH(AB$5,スコア表[#Headers],0))
-
INDEX(スコア表2[],MATCH("average",スコア表2[maxmin],0),MATCH(AB$5,スコア表2[#Headers],0)))
/
INDEX(スコア表2[],MATCH("stdev.p",スコア表2[maxmin],0),MATCH(AB$5,スコア表2[#Headers],0))
*10+50,"-")</f>
        <v>47.657455792923237</v>
      </c>
      <c r="AC14" s="4">
        <f>IFERROR(
(INDEX(スコア表[],MATCH($C14,スコア表['#],0),MATCH(AC$5,スコア表[#Headers],0))
-
INDEX(スコア表2[],MATCH("average",スコア表2[maxmin],0),MATCH(AC$5,スコア表2[#Headers],0)))
/
INDEX(スコア表2[],MATCH("stdev.p",スコア表2[maxmin],0),MATCH(AC$5,スコア表2[#Headers],0))
*10+50,"-")</f>
        <v>45.13977224600908</v>
      </c>
      <c r="AD14" s="4">
        <f>IFERROR(
(INDEX(スコア表[],MATCH($C14,スコア表['#],0),MATCH(AD$5,スコア表[#Headers],0))
-
INDEX(スコア表2[],MATCH("average",スコア表2[maxmin],0),MATCH(AD$5,スコア表2[#Headers],0)))
/
INDEX(スコア表2[],MATCH("stdev.p",スコア表2[maxmin],0),MATCH(AD$5,スコア表2[#Headers],0))
*10+50,"-")</f>
        <v>46.414547150214915</v>
      </c>
      <c r="AE14" s="4">
        <f>IFERROR(
(INDEX(スコア表[],MATCH($C14,スコア表['#],0),MATCH(AE$5,スコア表[#Headers],0))
-
INDEX(スコア表2[],MATCH("average",スコア表2[maxmin],0),MATCH(AE$5,スコア表2[#Headers],0)))
/
INDEX(スコア表2[],MATCH("stdev.p",スコア表2[maxmin],0),MATCH(AE$5,スコア表2[#Headers],0))
*10+50,"-")</f>
        <v>46.208310797095912</v>
      </c>
      <c r="AF14" s="4">
        <f>IFERROR(
(INDEX(スコア表[],MATCH($C14,スコア表['#],0),MATCH(AF$5,スコア表[#Headers],0))
-
INDEX(スコア表2[],MATCH("average",スコア表2[maxmin],0),MATCH(AF$5,スコア表2[#Headers],0)))
/
INDEX(スコア表2[],MATCH("stdev.p",スコア表2[maxmin],0),MATCH(AF$5,スコア表2[#Headers],0))
*10+50,"-")</f>
        <v>45.675524349467942</v>
      </c>
      <c r="AG14" s="4">
        <f>IFERROR(
(INDEX(スコア表[],MATCH($C14,スコア表['#],0),MATCH(AG$5,スコア表[#Headers],0))
-
INDEX(スコア表2[],MATCH("average",スコア表2[maxmin],0),MATCH(AG$5,スコア表2[#Headers],0)))
/
INDEX(スコア表2[],MATCH("stdev.p",スコア表2[maxmin],0),MATCH(AG$5,スコア表2[#Headers],0))
*10+50,"-")</f>
        <v>52.919953198066672</v>
      </c>
      <c r="AH14" s="4">
        <f>IFERROR(
(INDEX(スコア表[],MATCH($C14,スコア表['#],0),MATCH(AH$5,スコア表[#Headers],0))
-
INDEX(スコア表2[],MATCH("average",スコア表2[maxmin],0),MATCH(AH$5,スコア表2[#Headers],0)))
/
INDEX(スコア表2[],MATCH("stdev.p",スコア表2[maxmin],0),MATCH(AH$5,スコア表2[#Headers],0))
*10+50,"-")</f>
        <v>42.849325941718909</v>
      </c>
      <c r="AI14" s="4">
        <f>IFERROR(
(INDEX(スコア表[],MATCH($C14,スコア表['#],0),MATCH(AI$5,スコア表[#Headers],0))
-
INDEX(スコア表2[],MATCH("average",スコア表2[maxmin],0),MATCH(AI$5,スコア表2[#Headers],0)))
/
INDEX(スコア表2[],MATCH("stdev.p",スコア表2[maxmin],0),MATCH(AI$5,スコア表2[#Headers],0))
*10+50,"-")</f>
        <v>46.944174093198221</v>
      </c>
      <c r="AJ14" s="4">
        <f>IFERROR(
(INDEX(スコア表[],MATCH($C14,スコア表['#],0),MATCH(AJ$5,スコア表[#Headers],0))
-
INDEX(スコア表2[],MATCH("average",スコア表2[maxmin],0),MATCH(AJ$5,スコア表2[#Headers],0)))
/
INDEX(スコア表2[],MATCH("stdev.p",スコア表2[maxmin],0),MATCH(AJ$5,スコア表2[#Headers],0))
*10+50,"-")</f>
        <v>46.029584229733295</v>
      </c>
      <c r="AK14" s="4">
        <f>IFERROR(
(INDEX(スコア表[],MATCH($C14,スコア表['#],0),MATCH(AK$5,スコア表[#Headers],0))
-
INDEX(スコア表2[],MATCH("average",スコア表2[maxmin],0),MATCH(AK$5,スコア表2[#Headers],0)))
/
INDEX(スコア表2[],MATCH("stdev.p",スコア表2[maxmin],0),MATCH(AK$5,スコア表2[#Headers],0))
*10+50,"-")</f>
        <v>41.925118025683204</v>
      </c>
      <c r="AL14" s="4">
        <f>IFERROR(
(INDEX(スコア表[],MATCH($C14,スコア表['#],0),MATCH(AL$5,スコア表[#Headers],0))
-
INDEX(スコア表2[],MATCH("average",スコア表2[maxmin],0),MATCH(AL$5,スコア表2[#Headers],0)))
/
INDEX(スコア表2[],MATCH("stdev.p",スコア表2[maxmin],0),MATCH(AL$5,スコア表2[#Headers],0))
*10+50,"-")</f>
        <v>70.398711692381298</v>
      </c>
      <c r="AM14" s="4">
        <f>IFERROR(
(INDEX(スコア表[],MATCH($C14,スコア表['#],0),MATCH(AM$5,スコア表[#Headers],0))
-
INDEX(スコア表2[],MATCH("average",スコア表2[maxmin],0),MATCH(AM$5,スコア表2[#Headers],0)))
/
INDEX(スコア表2[],MATCH("stdev.p",スコア表2[maxmin],0),MATCH(AM$5,スコア表2[#Headers],0))
*10+50,"-")</f>
        <v>45.795376739838751</v>
      </c>
      <c r="AN14" s="4">
        <f>IFERROR(
(INDEX(スコア表[],MATCH($C14,スコア表['#],0),MATCH(AN$5,スコア表[#Headers],0))
-
INDEX(スコア表2[],MATCH("average",スコア表2[maxmin],0),MATCH(AN$5,スコア表2[#Headers],0)))
/
INDEX(スコア表2[],MATCH("stdev.p",スコア表2[maxmin],0),MATCH(AN$5,スコア表2[#Headers],0))
*10+50,"-")</f>
        <v>49.023024303283322</v>
      </c>
      <c r="AO14" s="4">
        <f>IFERROR(
(INDEX(スコア表[],MATCH($C14,スコア表['#],0),MATCH(AO$5,スコア表[#Headers],0))
-
INDEX(スコア表2[],MATCH("average",スコア表2[maxmin],0),MATCH(AO$5,スコア表2[#Headers],0)))
/
INDEX(スコア表2[],MATCH("stdev.p",スコア表2[maxmin],0),MATCH(AO$5,スコア表2[#Headers],0))
*10+50,"-")</f>
        <v>44.949416502740803</v>
      </c>
      <c r="AP14" s="4">
        <f>IFERROR(
(INDEX(スコア表[],MATCH($C14,スコア表['#],0),MATCH(AP$5,スコア表[#Headers],0))
-
INDEX(スコア表2[],MATCH("average",スコア表2[maxmin],0),MATCH(AP$5,スコア表2[#Headers],0)))
/
INDEX(スコア表2[],MATCH("stdev.p",スコア表2[maxmin],0),MATCH(AP$5,スコア表2[#Headers],0))
*10+50,"-")</f>
        <v>48.191229898394845</v>
      </c>
      <c r="AQ14" s="4">
        <f>IFERROR(
(INDEX(スコア表[],MATCH($C14,スコア表['#],0),MATCH(AQ$5,スコア表[#Headers],0))
-
INDEX(スコア表2[],MATCH("average",スコア表2[maxmin],0),MATCH(AQ$5,スコア表2[#Headers],0)))
/
INDEX(スコア表2[],MATCH("stdev.p",スコア表2[maxmin],0),MATCH(AQ$5,スコア表2[#Headers],0))
*10+50,"-")</f>
        <v>72.703675154950645</v>
      </c>
      <c r="AR14" s="4">
        <f>IFERROR(
(INDEX(スコア表[],MATCH($C14,スコア表['#],0),MATCH(AR$5,スコア表[#Headers],0))
-
INDEX(スコア表2[],MATCH("average",スコア表2[maxmin],0),MATCH(AR$5,スコア表2[#Headers],0)))
/
INDEX(スコア表2[],MATCH("stdev.p",スコア表2[maxmin],0),MATCH(AR$5,スコア表2[#Headers],0))
*10+50,"-")</f>
        <v>44.015619314914318</v>
      </c>
      <c r="AS14" s="4">
        <f>IFERROR(
(INDEX(スコア表[],MATCH($C14,スコア表['#],0),MATCH(AS$5,スコア表[#Headers],0))
-
INDEX(スコア表2[],MATCH("average",スコア表2[maxmin],0),MATCH(AS$5,スコア表2[#Headers],0)))
/
INDEX(スコア表2[],MATCH("stdev.p",スコア表2[maxmin],0),MATCH(AS$5,スコア表2[#Headers],0))
*10+50,"-")</f>
        <v>54.384832809865223</v>
      </c>
      <c r="AT14" s="4">
        <f>IFERROR(
(INDEX(スコア表[],MATCH($C14,スコア表['#],0),MATCH(AT$5,スコア表[#Headers],0))
-
INDEX(スコア表2[],MATCH("average",スコア表2[maxmin],0),MATCH(AT$5,スコア表2[#Headers],0)))
/
INDEX(スコア表2[],MATCH("stdev.p",スコア表2[maxmin],0),MATCH(AT$5,スコア表2[#Headers],0))
*10+50,"-")</f>
        <v>60.726429105780198</v>
      </c>
      <c r="AU14" s="4">
        <f>IFERROR(
(INDEX(スコア表[],MATCH($C14,スコア表['#],0),MATCH(AU$5,スコア表[#Headers],0))
-
INDEX(スコア表2[],MATCH("average",スコア表2[maxmin],0),MATCH(AU$5,スコア表2[#Headers],0)))
/
INDEX(スコア表2[],MATCH("stdev.p",スコア表2[maxmin],0),MATCH(AU$5,スコア表2[#Headers],0))
*10+50,"-")</f>
        <v>48.247171769642208</v>
      </c>
      <c r="AV14" s="4">
        <f>IFERROR(
(INDEX(スコア表[],MATCH($C14,スコア表['#],0),MATCH(AV$5,スコア表[#Headers],0))
-
INDEX(スコア表2[],MATCH("average",スコア表2[maxmin],0),MATCH(AV$5,スコア表2[#Headers],0)))
/
INDEX(スコア表2[],MATCH("stdev.p",スコア表2[maxmin],0),MATCH(AV$5,スコア表2[#Headers],0))
*10+50,"-")</f>
        <v>48.470279579934378</v>
      </c>
      <c r="AW14" s="4">
        <f>IFERROR(
(INDEX(スコア表[],MATCH($C14,スコア表['#],0),MATCH(AW$5,スコア表[#Headers],0))
-
INDEX(スコア表2[],MATCH("average",スコア表2[maxmin],0),MATCH(AW$5,スコア表2[#Headers],0)))
/
INDEX(スコア表2[],MATCH("stdev.p",スコア表2[maxmin],0),MATCH(AW$5,スコア表2[#Headers],0))
*10+50,"-")</f>
        <v>45.266959533874171</v>
      </c>
      <c r="AX14" s="4">
        <f>IFERROR(
(INDEX(スコア表[],MATCH($C14,スコア表['#],0),MATCH(AX$5,スコア表[#Headers],0))
-
INDEX(スコア表2[],MATCH("average",スコア表2[maxmin],0),MATCH(AX$5,スコア表2[#Headers],0)))
/
INDEX(スコア表2[],MATCH("stdev.p",スコア表2[maxmin],0),MATCH(AX$5,スコア表2[#Headers],0))
*10+50,"-")</f>
        <v>52.559009400973757</v>
      </c>
      <c r="AY14" s="4">
        <f>IFERROR(
(INDEX(スコア表[],MATCH($C14,スコア表['#],0),MATCH(AY$5,スコア表[#Headers],0))
-
INDEX(スコア表2[],MATCH("average",スコア表2[maxmin],0),MATCH(AY$5,スコア表2[#Headers],0)))
/
INDEX(スコア表2[],MATCH("stdev.p",スコア表2[maxmin],0),MATCH(AY$5,スコア表2[#Headers],0))
*10+50,"-")</f>
        <v>52.825620531367662</v>
      </c>
      <c r="AZ14" s="4">
        <f>IFERROR(
(INDEX(スコア表[],MATCH($C14,スコア表['#],0),MATCH(AZ$5,スコア表[#Headers],0))
-
INDEX(スコア表2[],MATCH("average",スコア表2[maxmin],0),MATCH(AZ$5,スコア表2[#Headers],0)))
/
INDEX(スコア表2[],MATCH("stdev.p",スコア表2[maxmin],0),MATCH(AZ$5,スコア表2[#Headers],0))
*10+50,"-")</f>
        <v>57.533105167521398</v>
      </c>
      <c r="BA14" s="4">
        <f>IFERROR(
(INDEX(スコア表[],MATCH($C14,スコア表['#],0),MATCH(BA$5,スコア表[#Headers],0))
-
INDEX(スコア表2[],MATCH("average",スコア表2[maxmin],0),MATCH(BA$5,スコア表2[#Headers],0)))
/
INDEX(スコア表2[],MATCH("stdev.p",スコア表2[maxmin],0),MATCH(BA$5,スコア表2[#Headers],0))
*10+50,"-")</f>
        <v>57.831843689741817</v>
      </c>
      <c r="BB14" s="4">
        <f>IFERROR(
(INDEX(スコア表[],MATCH($C14,スコア表['#],0),MATCH(BB$5,スコア表[#Headers],0))
-
INDEX(スコア表2[],MATCH("average",スコア表2[maxmin],0),MATCH(BB$5,スコア表2[#Headers],0)))
/
INDEX(スコア表2[],MATCH("stdev.p",スコア表2[maxmin],0),MATCH(BB$5,スコア表2[#Headers],0))
*10+50,"-")</f>
        <v>52.324638017680869</v>
      </c>
      <c r="BC14" s="4">
        <f>IFERROR(
(INDEX(スコア表[],MATCH($C14,スコア表['#],0),MATCH(BC$5,スコア表[#Headers],0))
-
INDEX(スコア表2[],MATCH("average",スコア表2[maxmin],0),MATCH(BC$5,スコア表2[#Headers],0)))
/
INDEX(スコア表2[],MATCH("stdev.p",スコア表2[maxmin],0),MATCH(BC$5,スコア表2[#Headers],0))
*10+50,"-")</f>
        <v>49.884736857538932</v>
      </c>
      <c r="BD14" s="4">
        <f>IFERROR(
(INDEX(スコア表[],MATCH($C14,スコア表['#],0),MATCH(BD$5,スコア表[#Headers],0))
-
INDEX(スコア表2[],MATCH("average",スコア表2[maxmin],0),MATCH(BD$5,スコア表2[#Headers],0)))
/
INDEX(スコア表2[],MATCH("stdev.p",スコア表2[maxmin],0),MATCH(BD$5,スコア表2[#Headers],0))
*10+50,"-")</f>
        <v>55.772384121241402</v>
      </c>
      <c r="BE14" s="4">
        <f>IFERROR(
(INDEX(スコア表[],MATCH($C14,スコア表['#],0),MATCH(BE$5,スコア表[#Headers],0))
-
INDEX(スコア表2[],MATCH("average",スコア表2[maxmin],0),MATCH(BE$5,スコア表2[#Headers],0)))
/
INDEX(スコア表2[],MATCH("stdev.p",スコア表2[maxmin],0),MATCH(BE$5,スコア表2[#Headers],0))
*10+50,"-")</f>
        <v>42.600988528017609</v>
      </c>
      <c r="BF14" s="4">
        <f>IFERROR(
(INDEX(スコア表[],MATCH($C14,スコア表['#],0),MATCH(BF$5,スコア表[#Headers],0))
-
INDEX(スコア表2[],MATCH("average",スコア表2[maxmin],0),MATCH(BF$5,スコア表2[#Headers],0)))
/
INDEX(スコア表2[],MATCH("stdev.p",スコア表2[maxmin],0),MATCH(BF$5,スコア表2[#Headers],0))
*10+50,"-")</f>
        <v>43.19341382244216</v>
      </c>
      <c r="BG14" s="4">
        <f>IFERROR(
(INDEX(スコア表[],MATCH($C14,スコア表['#],0),MATCH(BG$5,スコア表[#Headers],0))
-
INDEX(スコア表2[],MATCH("average",スコア表2[maxmin],0),MATCH(BG$5,スコア表2[#Headers],0)))
/
INDEX(スコア表2[],MATCH("stdev.p",スコア表2[maxmin],0),MATCH(BG$5,スコア表2[#Headers],0))
*10+50,"-")</f>
        <v>67.18375891407689</v>
      </c>
      <c r="BH14" s="4">
        <f>IFERROR(
(INDEX(スコア表[],MATCH($C14,スコア表['#],0),MATCH(BH$5,スコア表[#Headers],0))
-
INDEX(スコア表2[],MATCH("average",スコア表2[maxmin],0),MATCH(BH$5,スコア表2[#Headers],0)))
/
INDEX(スコア表2[],MATCH("stdev.p",スコア表2[maxmin],0),MATCH(BH$5,スコア表2[#Headers],0))
*10+50,"-")</f>
        <v>45.150463481727293</v>
      </c>
      <c r="BI14" s="4">
        <f>IFERROR(
(INDEX(スコア表[],MATCH($C14,スコア表['#],0),MATCH(BI$5,スコア表[#Headers],0))
-
INDEX(スコア表2[],MATCH("average",スコア表2[maxmin],0),MATCH(BI$5,スコア表2[#Headers],0)))
/
INDEX(スコア表2[],MATCH("stdev.p",スコア表2[maxmin],0),MATCH(BI$5,スコア表2[#Headers],0))
*10+50,"-")</f>
        <v>49.271006346562004</v>
      </c>
      <c r="BJ14" s="4">
        <f>IFERROR(
(INDEX(スコア表[],MATCH($C14,スコア表['#],0),MATCH(BJ$5,スコア表[#Headers],0))
-
INDEX(スコア表2[],MATCH("average",スコア表2[maxmin],0),MATCH(BJ$5,スコア表2[#Headers],0)))
/
INDEX(スコア表2[],MATCH("stdev.p",スコア表2[maxmin],0),MATCH(BJ$5,スコア表2[#Headers],0))
*10+50,"-")</f>
        <v>46.970705402816982</v>
      </c>
      <c r="BK14" s="4">
        <f>IFERROR(
(INDEX(スコア表[],MATCH($C14,スコア表['#],0),MATCH(BK$5,スコア表[#Headers],0))
-
INDEX(スコア表2[],MATCH("average",スコア表2[maxmin],0),MATCH(BK$5,スコア表2[#Headers],0)))
/
INDEX(スコア表2[],MATCH("stdev.p",スコア表2[maxmin],0),MATCH(BK$5,スコア表2[#Headers],0))
*10+50,"-")</f>
        <v>60.056602314054928</v>
      </c>
      <c r="BL14" s="4">
        <f>IFERROR(
(INDEX(スコア表[],MATCH($C14,スコア表['#],0),MATCH(BL$5,スコア表[#Headers],0))
-
INDEX(スコア表2[],MATCH("average",スコア表2[maxmin],0),MATCH(BL$5,スコア表2[#Headers],0)))
/
INDEX(スコア表2[],MATCH("stdev.p",スコア表2[maxmin],0),MATCH(BL$5,スコア表2[#Headers],0))
*10+50,"-")</f>
        <v>55.333808039554881</v>
      </c>
      <c r="BM14" s="4">
        <f>IFERROR(
(INDEX(スコア表[],MATCH($C14,スコア表['#],0),MATCH(BM$5,スコア表[#Headers],0))
-
INDEX(スコア表2[],MATCH("average",スコア表2[maxmin],0),MATCH(BM$5,スコア表2[#Headers],0)))
/
INDEX(スコア表2[],MATCH("stdev.p",スコア表2[maxmin],0),MATCH(BM$5,スコア表2[#Headers],0))
*10+50,"-")</f>
        <v>56.956285788016203</v>
      </c>
      <c r="BN14" s="4">
        <f>IFERROR(
(INDEX(スコア表[],MATCH($C14,スコア表['#],0),MATCH(BN$5,スコア表[#Headers],0))
-
INDEX(スコア表2[],MATCH("average",スコア表2[maxmin],0),MATCH(BN$5,スコア表2[#Headers],0)))
/
INDEX(スコア表2[],MATCH("stdev.p",スコア表2[maxmin],0),MATCH(BN$5,スコア表2[#Headers],0))
*10+50,"-")</f>
        <v>66.972149123477649</v>
      </c>
      <c r="BO14" s="4">
        <f>IFERROR(
(INDEX(スコア表[],MATCH($C14,スコア表['#],0),MATCH(BO$5,スコア表[#Headers],0))
-
INDEX(スコア表2[],MATCH("average",スコア表2[maxmin],0),MATCH(BO$5,スコア表2[#Headers],0)))
/
INDEX(スコア表2[],MATCH("stdev.p",スコア表2[maxmin],0),MATCH(BO$5,スコア表2[#Headers],0))
*10+50,"-")</f>
        <v>58.26468764891618</v>
      </c>
      <c r="BP14" s="4">
        <f>IFERROR(
(INDEX(スコア表[],MATCH($C14,スコア表['#],0),MATCH(BP$5,スコア表[#Headers],0))
-
INDEX(スコア表2[],MATCH("average",スコア表2[maxmin],0),MATCH(BP$5,スコア表2[#Headers],0)))
/
INDEX(スコア表2[],MATCH("stdev.p",スコア表2[maxmin],0),MATCH(BP$5,スコア表2[#Headers],0))
*10+50,"-")</f>
        <v>38.812084642208788</v>
      </c>
      <c r="BQ14" s="4">
        <f>IFERROR(
(INDEX(スコア表[],MATCH($C14,スコア表['#],0),MATCH(BQ$5,スコア表[#Headers],0))
-
INDEX(スコア表2[],MATCH("average",スコア表2[maxmin],0),MATCH(BQ$5,スコア表2[#Headers],0)))
/
INDEX(スコア表2[],MATCH("stdev.p",スコア表2[maxmin],0),MATCH(BQ$5,スコア表2[#Headers],0))
*10+50,"-")</f>
        <v>45.09671070644206</v>
      </c>
      <c r="BR14" s="4">
        <f>IFERROR(
(INDEX(スコア表[],MATCH($C14,スコア表['#],0),MATCH(BR$5,スコア表[#Headers],0))
-
INDEX(スコア表2[],MATCH("average",スコア表2[maxmin],0),MATCH(BR$5,スコア表2[#Headers],0)))
/
INDEX(スコア表2[],MATCH("stdev.p",スコア表2[maxmin],0),MATCH(BR$5,スコア表2[#Headers],0))
*10+50,"-")</f>
        <v>45.258938824913976</v>
      </c>
      <c r="BS14" s="4">
        <f>IFERROR(
(INDEX(スコア表[],MATCH($C14,スコア表['#],0),MATCH(BS$5,スコア表[#Headers],0))
-
INDEX(スコア表2[],MATCH("average",スコア表2[maxmin],0),MATCH(BS$5,スコア表2[#Headers],0)))
/
INDEX(スコア表2[],MATCH("stdev.p",スコア表2[maxmin],0),MATCH(BS$5,スコア表2[#Headers],0))
*10+50,"-")</f>
        <v>45.122880457679386</v>
      </c>
      <c r="BT14" s="4">
        <f>IFERROR(
(INDEX(スコア表[],MATCH($C14,スコア表['#],0),MATCH(BT$5,スコア表[#Headers],0))
-
INDEX(スコア表2[],MATCH("average",スコア表2[maxmin],0),MATCH(BT$5,スコア表2[#Headers],0)))
/
INDEX(スコア表2[],MATCH("stdev.p",スコア表2[maxmin],0),MATCH(BT$5,スコア表2[#Headers],0))
*10+50,"-")</f>
        <v>89.934880812549281</v>
      </c>
      <c r="BU14" s="4">
        <f>IFERROR(
(INDEX(スコア表[],MATCH($C14,スコア表['#],0),MATCH(BU$5,スコア表[#Headers],0))
-
INDEX(スコア表2[],MATCH("average",スコア表2[maxmin],0),MATCH(BU$5,スコア表2[#Headers],0)))
/
INDEX(スコア表2[],MATCH("stdev.p",スコア表2[maxmin],0),MATCH(BU$5,スコア表2[#Headers],0))
*10+50,"-")</f>
        <v>42.980231162173318</v>
      </c>
      <c r="BV14" s="4">
        <f>IFERROR(
(INDEX(スコア表[],MATCH($C14,スコア表['#],0),MATCH(BV$5,スコア表[#Headers],0))
-
INDEX(スコア表2[],MATCH("average",スコア表2[maxmin],0),MATCH(BV$5,スコア表2[#Headers],0)))
/
INDEX(スコア表2[],MATCH("stdev.p",スコア表2[maxmin],0),MATCH(BV$5,スコア表2[#Headers],0))
*10+50,"-")</f>
        <v>54.520945470852361</v>
      </c>
      <c r="BW14" s="4">
        <f>IFERROR(
(INDEX(スコア表[],MATCH($C14,スコア表['#],0),MATCH(BW$5,スコア表[#Headers],0))
-
INDEX(スコア表2[],MATCH("average",スコア表2[maxmin],0),MATCH(BW$5,スコア表2[#Headers],0)))
/
INDEX(スコア表2[],MATCH("stdev.p",スコア表2[maxmin],0),MATCH(BW$5,スコア表2[#Headers],0))
*10+50,"-")</f>
        <v>55.23850716246352</v>
      </c>
      <c r="BX14" s="4">
        <f>IFERROR(
(INDEX(スコア表[],MATCH($C14,スコア表['#],0),MATCH(BX$5,スコア表[#Headers],0))
-
INDEX(スコア表2[],MATCH("average",スコア表2[maxmin],0),MATCH(BX$5,スコア表2[#Headers],0)))
/
INDEX(スコア表2[],MATCH("stdev.p",スコア表2[maxmin],0),MATCH(BX$5,スコア表2[#Headers],0))
*10+50,"-")</f>
        <v>49.069001826575075</v>
      </c>
      <c r="BY14" s="4">
        <f>IFERROR(
(INDEX(スコア表[],MATCH($C14,スコア表['#],0),MATCH(BY$5,スコア表[#Headers],0))
-
INDEX(スコア表2[],MATCH("average",スコア表2[maxmin],0),MATCH(BY$5,スコア表2[#Headers],0)))
/
INDEX(スコア表2[],MATCH("stdev.p",スコア表2[maxmin],0),MATCH(BY$5,スコア表2[#Headers],0))
*10+50,"-")</f>
        <v>65.448371151303718</v>
      </c>
      <c r="BZ14" s="4">
        <f>IFERROR(
(INDEX(スコア表[],MATCH($C14,スコア表['#],0),MATCH(BZ$5,スコア表[#Headers],0))
-
INDEX(スコア表2[],MATCH("average",スコア表2[maxmin],0),MATCH(BZ$5,スコア表2[#Headers],0)))
/
INDEX(スコア表2[],MATCH("stdev.p",スコア表2[maxmin],0),MATCH(BZ$5,スコア表2[#Headers],0))
*10+50,"-")</f>
        <v>51.52285396338479</v>
      </c>
      <c r="CA14" s="4">
        <f>IFERROR(
(INDEX(スコア表[],MATCH($C14,スコア表['#],0),MATCH(CA$5,スコア表[#Headers],0))
-
INDEX(スコア表2[],MATCH("average",スコア表2[maxmin],0),MATCH(CA$5,スコア表2[#Headers],0)))
/
INDEX(スコア表2[],MATCH("stdev.p",スコア表2[maxmin],0),MATCH(CA$5,スコア表2[#Headers],0))
*10+50,"-")</f>
        <v>60.452457435955438</v>
      </c>
      <c r="CB14" s="4">
        <f>IFERROR(
(INDEX(スコア表[],MATCH($C14,スコア表['#],0),MATCH(CB$5,スコア表[#Headers],0))
-
INDEX(スコア表2[],MATCH("average",スコア表2[maxmin],0),MATCH(CB$5,スコア表2[#Headers],0)))
/
INDEX(スコア表2[],MATCH("stdev.p",スコア表2[maxmin],0),MATCH(CB$5,スコア表2[#Headers],0))
*10+50,"-")</f>
        <v>45.623146229800469</v>
      </c>
      <c r="CC14" s="4">
        <f>IFERROR(
(INDEX(スコア表[],MATCH($C14,スコア表['#],0),MATCH(CC$5,スコア表[#Headers],0))
-
INDEX(スコア表2[],MATCH("average",スコア表2[maxmin],0),MATCH(CC$5,スコア表2[#Headers],0)))
/
INDEX(スコア表2[],MATCH("stdev.p",スコア表2[maxmin],0),MATCH(CC$5,スコア表2[#Headers],0))
*10+50,"-")</f>
        <v>50.171923915831698</v>
      </c>
      <c r="CD14" s="4">
        <f>IFERROR(
(INDEX(スコア表[],MATCH($C14,スコア表['#],0),MATCH(CD$5,スコア表[#Headers],0))
-
INDEX(スコア表2[],MATCH("average",スコア表2[maxmin],0),MATCH(CD$5,スコア表2[#Headers],0)))
/
INDEX(スコア表2[],MATCH("stdev.p",スコア表2[maxmin],0),MATCH(CD$5,スコア表2[#Headers],0))
*10+50,"-")</f>
        <v>52.075847635793963</v>
      </c>
      <c r="CE14" s="4">
        <f>IFERROR(
(INDEX(スコア表[],MATCH($C14,スコア表['#],0),MATCH(CE$5,スコア表[#Headers],0))
-
INDEX(スコア表2[],MATCH("average",スコア表2[maxmin],0),MATCH(CE$5,スコア表2[#Headers],0)))
/
INDEX(スコア表2[],MATCH("stdev.p",スコア表2[maxmin],0),MATCH(CE$5,スコア表2[#Headers],0))
*10+50,"-")</f>
        <v>48.071583244354457</v>
      </c>
      <c r="CF14" s="4">
        <f>IFERROR(
(INDEX(スコア表[],MATCH($C14,スコア表['#],0),MATCH(CF$5,スコア表[#Headers],0))
-
INDEX(スコア表2[],MATCH("average",スコア表2[maxmin],0),MATCH(CF$5,スコア表2[#Headers],0)))
/
INDEX(スコア表2[],MATCH("stdev.p",スコア表2[maxmin],0),MATCH(CF$5,スコア表2[#Headers],0))
*10+50,"-")</f>
        <v>54.113933534225076</v>
      </c>
      <c r="CG14" s="4">
        <f>IFERROR(
(INDEX(スコア表[],MATCH($C14,スコア表['#],0),MATCH(CG$5,スコア表[#Headers],0))
-
INDEX(スコア表2[],MATCH("average",スコア表2[maxmin],0),MATCH(CG$5,スコア表2[#Headers],0)))
/
INDEX(スコア表2[],MATCH("stdev.p",スコア表2[maxmin],0),MATCH(CG$5,スコア表2[#Headers],0))
*10+50,"-")</f>
        <v>60.374508016991761</v>
      </c>
      <c r="CH14" s="4">
        <f>IFERROR(
(INDEX(スコア表[],MATCH($C14,スコア表['#],0),MATCH(CH$5,スコア表[#Headers],0))
-
INDEX(スコア表2[],MATCH("average",スコア表2[maxmin],0),MATCH(CH$5,スコア表2[#Headers],0)))
/
INDEX(スコア表2[],MATCH("stdev.p",スコア表2[maxmin],0),MATCH(CH$5,スコア表2[#Headers],0))
*10+50,"-")</f>
        <v>46.78941559535042</v>
      </c>
      <c r="CI14" s="4">
        <f>IFERROR(
(INDEX(スコア表[],MATCH($C14,スコア表['#],0),MATCH(CI$5,スコア表[#Headers],0))
-
INDEX(スコア表2[],MATCH("average",スコア表2[maxmin],0),MATCH(CI$5,スコア表2[#Headers],0)))
/
INDEX(スコア表2[],MATCH("stdev.p",スコア表2[maxmin],0),MATCH(CI$5,スコア表2[#Headers],0))
*10+50,"-")</f>
        <v>43.496026298281279</v>
      </c>
      <c r="CJ14" s="4">
        <f>IFERROR(
(INDEX(スコア表[],MATCH($C14,スコア表['#],0),MATCH(CJ$5,スコア表[#Headers],0))
-
INDEX(スコア表2[],MATCH("average",スコア表2[maxmin],0),MATCH(CJ$5,スコア表2[#Headers],0)))
/
INDEX(スコア表2[],MATCH("stdev.p",スコア表2[maxmin],0),MATCH(CJ$5,スコア表2[#Headers],0))
*10+50,"-")</f>
        <v>46.013634984501032</v>
      </c>
      <c r="CK14" s="4">
        <f>IFERROR(
(INDEX(スコア表[],MATCH($C14,スコア表['#],0),MATCH(CK$5,スコア表[#Headers],0))
-
INDEX(スコア表2[],MATCH("average",スコア表2[maxmin],0),MATCH(CK$5,スコア表2[#Headers],0)))
/
INDEX(スコア表2[],MATCH("stdev.p",スコア表2[maxmin],0),MATCH(CK$5,スコア表2[#Headers],0))
*10+50,"-")</f>
        <v>53.495889681071311</v>
      </c>
      <c r="CL14" s="4">
        <f>IFERROR(
(INDEX(スコア表[],MATCH($C14,スコア表['#],0),MATCH(CL$5,スコア表[#Headers],0))
-
INDEX(スコア表2[],MATCH("average",スコア表2[maxmin],0),MATCH(CL$5,スコア表2[#Headers],0)))
/
INDEX(スコア表2[],MATCH("stdev.p",スコア表2[maxmin],0),MATCH(CL$5,スコア表2[#Headers],0))
*10+50,"-")</f>
        <v>46.291491150939116</v>
      </c>
      <c r="CM14" s="4">
        <f>IFERROR(
(INDEX(スコア表[],MATCH($C14,スコア表['#],0),MATCH(CM$5,スコア表[#Headers],0))
-
INDEX(スコア表2[],MATCH("average",スコア表2[maxmin],0),MATCH(CM$5,スコア表2[#Headers],0)))
/
INDEX(スコア表2[],MATCH("stdev.p",スコア表2[maxmin],0),MATCH(CM$5,スコア表2[#Headers],0))
*10+50,"-")</f>
        <v>58.069085550538134</v>
      </c>
      <c r="CN14" s="4">
        <f>IFERROR(
(INDEX(スコア表[],MATCH($C14,スコア表['#],0),MATCH(CN$5,スコア表[#Headers],0))
-
INDEX(スコア表2[],MATCH("average",スコア表2[maxmin],0),MATCH(CN$5,スコア表2[#Headers],0)))
/
INDEX(スコア表2[],MATCH("stdev.p",スコア表2[maxmin],0),MATCH(CN$5,スコア表2[#Headers],0))
*10+50,"-")</f>
        <v>57.370678620109381</v>
      </c>
      <c r="CO14" s="4">
        <f>IFERROR(
(INDEX(スコア表[],MATCH($C14,スコア表['#],0),MATCH(CO$5,スコア表[#Headers],0))
-
INDEX(スコア表2[],MATCH("average",スコア表2[maxmin],0),MATCH(CO$5,スコア表2[#Headers],0)))
/
INDEX(スコア表2[],MATCH("stdev.p",スコア表2[maxmin],0),MATCH(CO$5,スコア表2[#Headers],0))
*10+50,"-")</f>
        <v>46.733421301118476</v>
      </c>
      <c r="CP14" s="4">
        <f>IFERROR(
(INDEX(スコア表[],MATCH($C14,スコア表['#],0),MATCH(CP$5,スコア表[#Headers],0))
-
INDEX(スコア表2[],MATCH("average",スコア表2[maxmin],0),MATCH(CP$5,スコア表2[#Headers],0)))
/
INDEX(スコア表2[],MATCH("stdev.p",スコア表2[maxmin],0),MATCH(CP$5,スコア表2[#Headers],0))
*10+50,"-")</f>
        <v>53.892660260847357</v>
      </c>
      <c r="CQ14" s="4">
        <f>IFERROR(
(INDEX(スコア表[],MATCH($C14,スコア表['#],0),MATCH(CQ$5,スコア表[#Headers],0))
-
INDEX(スコア表2[],MATCH("average",スコア表2[maxmin],0),MATCH(CQ$5,スコア表2[#Headers],0)))
/
INDEX(スコア表2[],MATCH("stdev.p",スコア表2[maxmin],0),MATCH(CQ$5,スコア表2[#Headers],0))
*10+50,"-")</f>
        <v>57.741692529016717</v>
      </c>
      <c r="CR14" s="4">
        <f>IFERROR(
(INDEX(スコア表[],MATCH($C14,スコア表['#],0),MATCH(CR$5,スコア表[#Headers],0))
-
INDEX(スコア表2[],MATCH("average",スコア表2[maxmin],0),MATCH(CR$5,スコア表2[#Headers],0)))
/
INDEX(スコア表2[],MATCH("stdev.p",スコア表2[maxmin],0),MATCH(CR$5,スコア表2[#Headers],0))
*10+50,"-")</f>
        <v>47.018609800320291</v>
      </c>
      <c r="CS14" s="4">
        <f>IFERROR(
(INDEX(スコア表[],MATCH($C14,スコア表['#],0),MATCH(CS$5,スコア表[#Headers],0))
-
INDEX(スコア表2[],MATCH("average",スコア表2[maxmin],0),MATCH(CS$5,スコア表2[#Headers],0)))
/
INDEX(スコア表2[],MATCH("stdev.p",スコア表2[maxmin],0),MATCH(CS$5,スコア表2[#Headers],0))
*10+50,"-")</f>
        <v>56.768408962990605</v>
      </c>
      <c r="CT14" s="4">
        <f>IFERROR(
(INDEX(スコア表[],MATCH($C14,スコア表['#],0),MATCH(CT$5,スコア表[#Headers],0))
-
INDEX(スコア表2[],MATCH("average",スコア表2[maxmin],0),MATCH(CT$5,スコア表2[#Headers],0)))
/
INDEX(スコア表2[],MATCH("stdev.p",スコア表2[maxmin],0),MATCH(CT$5,スコア表2[#Headers],0))
*10+50,"-")</f>
        <v>57.468462856588651</v>
      </c>
      <c r="CU14" s="4">
        <f>IFERROR(
(INDEX(スコア表[],MATCH($C14,スコア表['#],0),MATCH(CU$5,スコア表[#Headers],0))
-
INDEX(スコア表2[],MATCH("average",スコア表2[maxmin],0),MATCH(CU$5,スコア表2[#Headers],0)))
/
INDEX(スコア表2[],MATCH("stdev.p",スコア表2[maxmin],0),MATCH(CU$5,スコア表2[#Headers],0))
*10+50,"-")</f>
        <v>62.392660642346385</v>
      </c>
      <c r="CV14" s="4">
        <f>IFERROR(
(INDEX(スコア表[],MATCH($C14,スコア表['#],0),MATCH(CV$5,スコア表[#Headers],0))
-
INDEX(スコア表2[],MATCH("average",スコア表2[maxmin],0),MATCH(CV$5,スコア表2[#Headers],0)))
/
INDEX(スコア表2[],MATCH("stdev.p",スコア表2[maxmin],0),MATCH(CV$5,スコア表2[#Headers],0))
*10+50,"-")</f>
        <v>38.903547631439437</v>
      </c>
      <c r="CW14" s="4">
        <f>IFERROR(
(INDEX(スコア表[],MATCH($C14,スコア表['#],0),MATCH(CW$5,スコア表[#Headers],0))
-
INDEX(スコア表2[],MATCH("average",スコア表2[maxmin],0),MATCH(CW$5,スコア表2[#Headers],0)))
/
INDEX(スコア表2[],MATCH("stdev.p",スコア表2[maxmin],0),MATCH(CW$5,スコア表2[#Headers],0))
*10+50,"-")</f>
        <v>45.123936843505042</v>
      </c>
      <c r="CX14" s="4">
        <f>IFERROR(
(INDEX(スコア表[],MATCH($C14,スコア表['#],0),MATCH(CX$5,スコア表[#Headers],0))
-
INDEX(スコア表2[],MATCH("average",スコア表2[maxmin],0),MATCH(CX$5,スコア表2[#Headers],0)))
/
INDEX(スコア表2[],MATCH("stdev.p",スコア表2[maxmin],0),MATCH(CX$5,スコア表2[#Headers],0))
*10+50,"-")</f>
        <v>66.188336802794922</v>
      </c>
      <c r="CY14" s="4">
        <f>IFERROR(
(INDEX(スコア表[],MATCH($C14,スコア表['#],0),MATCH(CY$5,スコア表[#Headers],0))
-
INDEX(スコア表2[],MATCH("average",スコア表2[maxmin],0),MATCH(CY$5,スコア表2[#Headers],0)))
/
INDEX(スコア表2[],MATCH("stdev.p",スコア表2[maxmin],0),MATCH(CY$5,スコア表2[#Headers],0))
*10+50,"-")</f>
        <v>60.151860151765945</v>
      </c>
      <c r="CZ14" s="4">
        <f>IFERROR(
(INDEX(スコア表[],MATCH($C14,スコア表['#],0),MATCH(CZ$5,スコア表[#Headers],0))
-
INDEX(スコア表2[],MATCH("average",スコア表2[maxmin],0),MATCH(CZ$5,スコア表2[#Headers],0)))
/
INDEX(スコア表2[],MATCH("stdev.p",スコア表2[maxmin],0),MATCH(CZ$5,スコア表2[#Headers],0))
*10+50,"-")</f>
        <v>52.635698681151418</v>
      </c>
      <c r="DA14" s="4">
        <f>IFERROR(
(INDEX(スコア表[],MATCH($C14,スコア表['#],0),MATCH(DA$5,スコア表[#Headers],0))
-
INDEX(スコア表2[],MATCH("average",スコア表2[maxmin],0),MATCH(DA$5,スコア表2[#Headers],0)))
/
INDEX(スコア表2[],MATCH("stdev.p",スコア表2[maxmin],0),MATCH(DA$5,スコア表2[#Headers],0))
*10+50,"-")</f>
        <v>53.815867636981764</v>
      </c>
      <c r="DB14" s="4">
        <f>IFERROR(
(INDEX(スコア表[],MATCH($C14,スコア表['#],0),MATCH(DB$5,スコア表[#Headers],0))
-
INDEX(スコア表2[],MATCH("average",スコア表2[maxmin],0),MATCH(DB$5,スコア表2[#Headers],0)))
/
INDEX(スコア表2[],MATCH("stdev.p",スコア表2[maxmin],0),MATCH(DB$5,スコア表2[#Headers],0))
*10+50,"-")</f>
        <v>50.212310846866011</v>
      </c>
      <c r="DC14" s="4">
        <f>IFERROR(
(INDEX(スコア表[],MATCH($C14,スコア表['#],0),MATCH(DC$5,スコア表[#Headers],0))
-
INDEX(スコア表2[],MATCH("average",スコア表2[maxmin],0),MATCH(DC$5,スコア表2[#Headers],0)))
/
INDEX(スコア表2[],MATCH("stdev.p",スコア表2[maxmin],0),MATCH(DC$5,スコア表2[#Headers],0))
*10+50,"-")</f>
        <v>55.405136826106848</v>
      </c>
      <c r="DD14" s="4">
        <f>IFERROR(
(INDEX(スコア表[],MATCH($C14,スコア表['#],0),MATCH(DD$5,スコア表[#Headers],0))
-
INDEX(スコア表2[],MATCH("average",スコア表2[maxmin],0),MATCH(DD$5,スコア表2[#Headers],0)))
/
INDEX(スコア表2[],MATCH("stdev.p",スコア表2[maxmin],0),MATCH(DD$5,スコア表2[#Headers],0))
*10+50,"-")</f>
        <v>62.824606413888183</v>
      </c>
      <c r="DE14" s="4">
        <f>IFERROR(
(INDEX(スコア表[],MATCH($C14,スコア表['#],0),MATCH(DE$5,スコア表[#Headers],0))
-
INDEX(スコア表2[],MATCH("average",スコア表2[maxmin],0),MATCH(DE$5,スコア表2[#Headers],0)))
/
INDEX(スコア表2[],MATCH("stdev.p",スコア表2[maxmin],0),MATCH(DE$5,スコア表2[#Headers],0))
*10+50,"-")</f>
        <v>52.742611530105222</v>
      </c>
      <c r="DF14" s="76">
        <f>IFERROR(
(INDEX(スコア表[],MATCH($C14,スコア表['#],0),MATCH(DF$5,スコア表[#Headers],0))
-
INDEX(スコア表2[],MATCH("average",スコア表2[maxmin],0),MATCH(DF$5,スコア表2[#Headers],0)))
/
INDEX(スコア表2[],MATCH("stdev.p",スコア表2[maxmin],0),MATCH(DF$5,スコア表2[#Headers],0))
*10+50,"-")</f>
        <v>55.509420807525188</v>
      </c>
      <c r="DG14" s="4">
        <f>IFERROR(_xlfn.STDEV.P(偏差値表[[#This Row],[Economy]:[Accessibility]]),"")</f>
        <v>3.9888851501500975</v>
      </c>
    </row>
    <row r="15" spans="1:111">
      <c r="A15" s="2">
        <v>10</v>
      </c>
      <c r="B15" s="58">
        <f>INDEX(順位表[Comprehensive],MATCH($C15,順位表['#],0))</f>
        <v>10</v>
      </c>
      <c r="C15" s="3">
        <v>9</v>
      </c>
      <c r="D15" s="1" t="str">
        <f>INDEX(都市マスタ[City Name],MATCH($C15,都市マスタ['#],0))</f>
        <v>Berlin</v>
      </c>
      <c r="E15" s="4">
        <f>IFERROR(
(INDEX(スコア表[],MATCH($C15,スコア表['#],0),MATCH(E$5,スコア表[#Headers],0))
-
INDEX(スコア表2[],MATCH("average",スコア表2[maxmin],0),MATCH(E$5,スコア表2[#Headers],0)))
/
INDEX(スコア表2[],MATCH("stdev.p",スコア表2[maxmin],0),MATCH(E$5,スコア表2[#Headers],0))
*10+50,"-")</f>
        <v>47.047581401518059</v>
      </c>
      <c r="F15" s="4">
        <f>IFERROR(
(INDEX(スコア表[],MATCH($C15,スコア表['#],0),MATCH(F$5,スコア表[#Headers],0))
-
INDEX(スコア表2[],MATCH("average",スコア表2[maxmin],0),MATCH(F$5,スコア表2[#Headers],0)))
/
INDEX(スコア表2[],MATCH("stdev.p",スコア表2[maxmin],0),MATCH(F$5,スコア表2[#Headers],0))
*10+50,"-")</f>
        <v>47.511425812258018</v>
      </c>
      <c r="G15" s="4">
        <f>IFERROR(
(INDEX(スコア表[],MATCH($C15,スコア表['#],0),MATCH(G$5,スコア表[#Headers],0))
-
INDEX(スコア表2[],MATCH("average",スコア表2[maxmin],0),MATCH(G$5,スコア表2[#Headers],0)))
/
INDEX(スコア表2[],MATCH("stdev.p",スコア表2[maxmin],0),MATCH(G$5,スコア表2[#Headers],0))
*10+50,"-")</f>
        <v>48.33249429603066</v>
      </c>
      <c r="H15" s="4">
        <f>IFERROR(
(INDEX(スコア表[],MATCH($C15,スコア表['#],0),MATCH(H$5,スコア表[#Headers],0))
-
INDEX(スコア表2[],MATCH("average",スコア表2[maxmin],0),MATCH(H$5,スコア表2[#Headers],0)))
/
INDEX(スコア表2[],MATCH("stdev.p",スコア表2[maxmin],0),MATCH(H$5,スコア表2[#Headers],0))
*10+50,"-")</f>
        <v>48.846081083028899</v>
      </c>
      <c r="I15" s="4">
        <f>IFERROR(
(INDEX(スコア表[],MATCH($C15,スコア表['#],0),MATCH(I$5,スコア表[#Headers],0))
-
INDEX(スコア表2[],MATCH("average",スコア表2[maxmin],0),MATCH(I$5,スコア表2[#Headers],0)))
/
INDEX(スコア表2[],MATCH("stdev.p",スコア表2[maxmin],0),MATCH(I$5,スコア表2[#Headers],0))
*10+50,"-")</f>
        <v>46.518692652013037</v>
      </c>
      <c r="J15" s="4">
        <f>IFERROR(
(INDEX(スコア表[],MATCH($C15,スコア表['#],0),MATCH(J$5,スコア表[#Headers],0))
-
INDEX(スコア表2[],MATCH("average",スコア表2[maxmin],0),MATCH(J$5,スコア表2[#Headers],0)))
/
INDEX(スコア表2[],MATCH("stdev.p",スコア表2[maxmin],0),MATCH(J$5,スコア表2[#Headers],0))
*10+50,"-")</f>
        <v>52.55803445894098</v>
      </c>
      <c r="K15" s="4">
        <f>IFERROR(
(INDEX(スコア表[],MATCH($C15,スコア表['#],0),MATCH(K$5,スコア表[#Headers],0))
-
INDEX(スコア表2[],MATCH("average",スコア表2[maxmin],0),MATCH(K$5,スコア表2[#Headers],0)))
/
INDEX(スコア表2[],MATCH("stdev.p",スコア表2[maxmin],0),MATCH(K$5,スコア表2[#Headers],0))
*10+50,"-")</f>
        <v>56.105676905555036</v>
      </c>
      <c r="L15" s="4">
        <f>IFERROR(
(INDEX(スコア表[],MATCH($C15,スコア表['#],0),MATCH(L$5,スコア表[#Headers],0))
-
INDEX(スコア表2[],MATCH("average",スコア表2[maxmin],0),MATCH(L$5,スコア表2[#Headers],0)))
/
INDEX(スコア表2[],MATCH("stdev.p",スコア表2[maxmin],0),MATCH(L$5,スコア表2[#Headers],0))
*10+50,"-")</f>
        <v>46.831481232281661</v>
      </c>
      <c r="M15" s="4">
        <f>IFERROR(
(INDEX(スコア表[],MATCH($C15,スコア表['#],0),MATCH(M$5,スコア表[#Headers],0))
-
INDEX(スコア表2[],MATCH("average",スコア表2[maxmin],0),MATCH(M$5,スコア表2[#Headers],0)))
/
INDEX(スコア表2[],MATCH("stdev.p",スコア表2[maxmin],0),MATCH(M$5,スコア表2[#Headers],0))
*10+50,"-")</f>
        <v>46.265555580709119</v>
      </c>
      <c r="N15" s="4">
        <f>IFERROR(
(INDEX(スコア表[],MATCH($C15,スコア表['#],0),MATCH(N$5,スコア表[#Headers],0))
-
INDEX(スコア表2[],MATCH("average",スコア表2[maxmin],0),MATCH(N$5,スコア表2[#Headers],0)))
/
INDEX(スコア表2[],MATCH("stdev.p",スコア表2[maxmin],0),MATCH(N$5,スコア表2[#Headers],0))
*10+50,"-")</f>
        <v>47.457663616952786</v>
      </c>
      <c r="O15" s="4">
        <f>IFERROR(
(INDEX(スコア表[],MATCH($C15,スコア表['#],0),MATCH(O$5,スコア表[#Headers],0))
-
INDEX(スコア表2[],MATCH("average",スコア表2[maxmin],0),MATCH(O$5,スコア表2[#Headers],0)))
/
INDEX(スコア表2[],MATCH("stdev.p",スコア表2[maxmin],0),MATCH(O$5,スコア表2[#Headers],0))
*10+50,"-")</f>
        <v>51.704634012537696</v>
      </c>
      <c r="P15" s="4">
        <f>IFERROR(
(INDEX(スコア表[],MATCH($C15,スコア表['#],0),MATCH(P$5,スコア表[#Headers],0))
-
INDEX(スコア表2[],MATCH("average",スコア表2[maxmin],0),MATCH(P$5,スコア表2[#Headers],0)))
/
INDEX(スコア表2[],MATCH("stdev.p",スコア表2[maxmin],0),MATCH(P$5,スコア表2[#Headers],0))
*10+50,"-")</f>
        <v>51.016429591285046</v>
      </c>
      <c r="Q15" s="4">
        <f>IFERROR(
(INDEX(スコア表[],MATCH($C15,スコア表['#],0),MATCH(Q$5,スコア表[#Headers],0))
-
INDEX(スコア表2[],MATCH("average",スコア表2[maxmin],0),MATCH(Q$5,スコア表2[#Headers],0)))
/
INDEX(スコア表2[],MATCH("stdev.p",スコア表2[maxmin],0),MATCH(Q$5,スコア表2[#Headers],0))
*10+50,"-")</f>
        <v>48.859668700684963</v>
      </c>
      <c r="R15" s="4">
        <f>IFERROR(
(INDEX(スコア表[],MATCH($C15,スコア表['#],0),MATCH(R$5,スコア表[#Headers],0))
-
INDEX(スコア表2[],MATCH("average",スコア表2[maxmin],0),MATCH(R$5,スコア表2[#Headers],0)))
/
INDEX(スコア表2[],MATCH("stdev.p",スコア表2[maxmin],0),MATCH(R$5,スコア表2[#Headers],0))
*10+50,"-")</f>
        <v>44.461847646843438</v>
      </c>
      <c r="S15" s="4">
        <f>IFERROR(
(INDEX(スコア表[],MATCH($C15,スコア表['#],0),MATCH(S$5,スコア表[#Headers],0))
-
INDEX(スコア表2[],MATCH("average",スコア表2[maxmin],0),MATCH(S$5,スコア表2[#Headers],0)))
/
INDEX(スコア表2[],MATCH("stdev.p",スコア表2[maxmin],0),MATCH(S$5,スコア表2[#Headers],0))
*10+50,"-")</f>
        <v>40.875823569082925</v>
      </c>
      <c r="T15" s="4">
        <f>IFERROR(
(INDEX(スコア表[],MATCH($C15,スコア表['#],0),MATCH(T$5,スコア表[#Headers],0))
-
INDEX(スコア表2[],MATCH("average",スコア表2[maxmin],0),MATCH(T$5,スコア表2[#Headers],0)))
/
INDEX(スコア表2[],MATCH("stdev.p",スコア表2[maxmin],0),MATCH(T$5,スコア表2[#Headers],0))
*10+50,"-")</f>
        <v>54.234929523005263</v>
      </c>
      <c r="U15" s="4">
        <f>IFERROR(
(INDEX(スコア表[],MATCH($C15,スコア表['#],0),MATCH(U$5,スコア表[#Headers],0))
-
INDEX(スコア表2[],MATCH("average",スコア表2[maxmin],0),MATCH(U$5,スコア表2[#Headers],0)))
/
INDEX(スコア表2[],MATCH("stdev.p",スコア表2[maxmin],0),MATCH(U$5,スコア表2[#Headers],0))
*10+50,"-")</f>
        <v>48.85821329129508</v>
      </c>
      <c r="V15" s="4">
        <f>IFERROR(
(INDEX(スコア表[],MATCH($C15,スコア表['#],0),MATCH(V$5,スコア表[#Headers],0))
-
INDEX(スコア表2[],MATCH("average",スコア表2[maxmin],0),MATCH(V$5,スコア表2[#Headers],0)))
/
INDEX(スコア表2[],MATCH("stdev.p",スコア表2[maxmin],0),MATCH(V$5,スコア表2[#Headers],0))
*10+50,"-")</f>
        <v>59.354511947554371</v>
      </c>
      <c r="W15" s="4">
        <f>IFERROR(
(INDEX(スコア表[],MATCH($C15,スコア表['#],0),MATCH(W$5,スコア表[#Headers],0))
-
INDEX(スコア表2[],MATCH("average",スコア表2[maxmin],0),MATCH(W$5,スコア表2[#Headers],0)))
/
INDEX(スコア表2[],MATCH("stdev.p",スコア表2[maxmin],0),MATCH(W$5,スコア表2[#Headers],0))
*10+50,"-")</f>
        <v>49.613347569901926</v>
      </c>
      <c r="X15" s="4">
        <f>IFERROR(
(INDEX(スコア表[],MATCH($C15,スコア表['#],0),MATCH(X$5,スコア表[#Headers],0))
-
INDEX(スコア表2[],MATCH("average",スコア表2[maxmin],0),MATCH(X$5,スコア表2[#Headers],0)))
/
INDEX(スコア表2[],MATCH("stdev.p",スコア表2[maxmin],0),MATCH(X$5,スコア表2[#Headers],0))
*10+50,"-")</f>
        <v>49.931375294134085</v>
      </c>
      <c r="Y15" s="4">
        <f>IFERROR(
(INDEX(スコア表[],MATCH($C15,スコア表['#],0),MATCH(Y$5,スコア表[#Headers],0))
-
INDEX(スコア表2[],MATCH("average",スコア表2[maxmin],0),MATCH(Y$5,スコア表2[#Headers],0)))
/
INDEX(スコア表2[],MATCH("stdev.p",スコア表2[maxmin],0),MATCH(Y$5,スコア表2[#Headers],0))
*10+50,"-")</f>
        <v>53.523599008406045</v>
      </c>
      <c r="Z15" s="4">
        <f>IFERROR(
(INDEX(スコア表[],MATCH($C15,スコア表['#],0),MATCH(Z$5,スコア表[#Headers],0))
-
INDEX(スコア表2[],MATCH("average",スコア表2[maxmin],0),MATCH(Z$5,スコア表2[#Headers],0)))
/
INDEX(スコア表2[],MATCH("stdev.p",スコア表2[maxmin],0),MATCH(Z$5,スコア表2[#Headers],0))
*10+50,"-")</f>
        <v>45.112723766562652</v>
      </c>
      <c r="AA15" s="4">
        <f>IFERROR(
(INDEX(スコア表[],MATCH($C15,スコア表['#],0),MATCH(AA$5,スコア表[#Headers],0))
-
INDEX(スコア表2[],MATCH("average",スコア表2[maxmin],0),MATCH(AA$5,スコア表2[#Headers],0)))
/
INDEX(スコア表2[],MATCH("stdev.p",スコア表2[maxmin],0),MATCH(AA$5,スコア表2[#Headers],0))
*10+50,"-")</f>
        <v>51.267523091468718</v>
      </c>
      <c r="AB15" s="4">
        <f>IFERROR(
(INDEX(スコア表[],MATCH($C15,スコア表['#],0),MATCH(AB$5,スコア表[#Headers],0))
-
INDEX(スコア表2[],MATCH("average",スコア表2[maxmin],0),MATCH(AB$5,スコア表2[#Headers],0)))
/
INDEX(スコア表2[],MATCH("stdev.p",スコア表2[maxmin],0),MATCH(AB$5,スコア表2[#Headers],0))
*10+50,"-")</f>
        <v>54.191394721624818</v>
      </c>
      <c r="AC15" s="4">
        <f>IFERROR(
(INDEX(スコア表[],MATCH($C15,スコア表['#],0),MATCH(AC$5,スコア表[#Headers],0))
-
INDEX(スコア表2[],MATCH("average",スコア表2[maxmin],0),MATCH(AC$5,スコア表2[#Headers],0)))
/
INDEX(スコア表2[],MATCH("stdev.p",スコア表2[maxmin],0),MATCH(AC$5,スコア表2[#Headers],0))
*10+50,"-")</f>
        <v>48.492456301457977</v>
      </c>
      <c r="AD15" s="4">
        <f>IFERROR(
(INDEX(スコア表[],MATCH($C15,スコア表['#],0),MATCH(AD$5,スコア表[#Headers],0))
-
INDEX(スコア表2[],MATCH("average",スコア表2[maxmin],0),MATCH(AD$5,スコア表2[#Headers],0)))
/
INDEX(スコア表2[],MATCH("stdev.p",スコア表2[maxmin],0),MATCH(AD$5,スコア表2[#Headers],0))
*10+50,"-")</f>
        <v>53.592783565082371</v>
      </c>
      <c r="AE15" s="4">
        <f>IFERROR(
(INDEX(スコア表[],MATCH($C15,スコア表['#],0),MATCH(AE$5,スコア表[#Headers],0))
-
INDEX(スコア表2[],MATCH("average",スコア表2[maxmin],0),MATCH(AE$5,スコア表2[#Headers],0)))
/
INDEX(スコア表2[],MATCH("stdev.p",スコア表2[maxmin],0),MATCH(AE$5,スコア表2[#Headers],0))
*10+50,"-")</f>
        <v>48.60987047418719</v>
      </c>
      <c r="AF15" s="4">
        <f>IFERROR(
(INDEX(スコア表[],MATCH($C15,スコア表['#],0),MATCH(AF$5,スコア表[#Headers],0))
-
INDEX(スコア表2[],MATCH("average",スコア表2[maxmin],0),MATCH(AF$5,スコア表2[#Headers],0)))
/
INDEX(スコア表2[],MATCH("stdev.p",スコア表2[maxmin],0),MATCH(AF$5,スコア表2[#Headers],0))
*10+50,"-")</f>
        <v>54.826962049149159</v>
      </c>
      <c r="AG15" s="4">
        <f>IFERROR(
(INDEX(スコア表[],MATCH($C15,スコア表['#],0),MATCH(AG$5,スコア表[#Headers],0))
-
INDEX(スコア表2[],MATCH("average",スコア表2[maxmin],0),MATCH(AG$5,スコア表2[#Headers],0)))
/
INDEX(スコア表2[],MATCH("stdev.p",スコア表2[maxmin],0),MATCH(AG$5,スコア表2[#Headers],0))
*10+50,"-")</f>
        <v>51.747786797535241</v>
      </c>
      <c r="AH15" s="4">
        <f>IFERROR(
(INDEX(スコア表[],MATCH($C15,スコア表['#],0),MATCH(AH$5,スコア表[#Headers],0))
-
INDEX(スコア表2[],MATCH("average",スコア表2[maxmin],0),MATCH(AH$5,スコア表2[#Headers],0)))
/
INDEX(スコア表2[],MATCH("stdev.p",スコア表2[maxmin],0),MATCH(AH$5,スコア表2[#Headers],0))
*10+50,"-")</f>
        <v>59.138319050752443</v>
      </c>
      <c r="AI15" s="4">
        <f>IFERROR(
(INDEX(スコア表[],MATCH($C15,スコア表['#],0),MATCH(AI$5,スコア表[#Headers],0))
-
INDEX(スコア表2[],MATCH("average",スコア表2[maxmin],0),MATCH(AI$5,スコア表2[#Headers],0)))
/
INDEX(スコア表2[],MATCH("stdev.p",スコア表2[maxmin],0),MATCH(AI$5,スコア表2[#Headers],0))
*10+50,"-")</f>
        <v>59.807322531902457</v>
      </c>
      <c r="AJ15" s="4">
        <f>IFERROR(
(INDEX(スコア表[],MATCH($C15,スコア表['#],0),MATCH(AJ$5,スコア表[#Headers],0))
-
INDEX(スコア表2[],MATCH("average",スコア表2[maxmin],0),MATCH(AJ$5,スコア表2[#Headers],0)))
/
INDEX(スコア表2[],MATCH("stdev.p",スコア表2[maxmin],0),MATCH(AJ$5,スコア表2[#Headers],0))
*10+50,"-")</f>
        <v>60.562393734093085</v>
      </c>
      <c r="AK15" s="4">
        <f>IFERROR(
(INDEX(スコア表[],MATCH($C15,スコア表['#],0),MATCH(AK$5,スコア表[#Headers],0))
-
INDEX(スコア表2[],MATCH("average",スコア表2[maxmin],0),MATCH(AK$5,スコア表2[#Headers],0)))
/
INDEX(スコア表2[],MATCH("stdev.p",スコア表2[maxmin],0),MATCH(AK$5,スコア表2[#Headers],0))
*10+50,"-")</f>
        <v>74.484826239746894</v>
      </c>
      <c r="AL15" s="4">
        <f>IFERROR(
(INDEX(スコア表[],MATCH($C15,スコア表['#],0),MATCH(AL$5,スコア表[#Headers],0))
-
INDEX(スコア表2[],MATCH("average",スコア表2[maxmin],0),MATCH(AL$5,スコア表2[#Headers],0)))
/
INDEX(スコア表2[],MATCH("stdev.p",スコア表2[maxmin],0),MATCH(AL$5,スコア表2[#Headers],0))
*10+50,"-")</f>
        <v>52.835695347386917</v>
      </c>
      <c r="AM15" s="4">
        <f>IFERROR(
(INDEX(スコア表[],MATCH($C15,スコア表['#],0),MATCH(AM$5,スコア表[#Headers],0))
-
INDEX(スコア表2[],MATCH("average",スコア表2[maxmin],0),MATCH(AM$5,スコア表2[#Headers],0)))
/
INDEX(スコア表2[],MATCH("stdev.p",スコア表2[maxmin],0),MATCH(AM$5,スコア表2[#Headers],0))
*10+50,"-")</f>
        <v>51.598637992074103</v>
      </c>
      <c r="AN15" s="4">
        <f>IFERROR(
(INDEX(スコア表[],MATCH($C15,スコア表['#],0),MATCH(AN$5,スコア表[#Headers],0))
-
INDEX(スコア表2[],MATCH("average",スコア表2[maxmin],0),MATCH(AN$5,スコア表2[#Headers],0)))
/
INDEX(スコア表2[],MATCH("stdev.p",スコア表2[maxmin],0),MATCH(AN$5,スコア表2[#Headers],0))
*10+50,"-")</f>
        <v>48.523615972501645</v>
      </c>
      <c r="AO15" s="4">
        <f>IFERROR(
(INDEX(スコア表[],MATCH($C15,スコア表['#],0),MATCH(AO$5,スコア表[#Headers],0))
-
INDEX(スコア表2[],MATCH("average",スコア表2[maxmin],0),MATCH(AO$5,スコア表2[#Headers],0)))
/
INDEX(スコア表2[],MATCH("stdev.p",スコア表2[maxmin],0),MATCH(AO$5,スコア表2[#Headers],0))
*10+50,"-")</f>
        <v>43.724183520108397</v>
      </c>
      <c r="AP15" s="4">
        <f>IFERROR(
(INDEX(スコア表[],MATCH($C15,スコア表['#],0),MATCH(AP$5,スコア表[#Headers],0))
-
INDEX(スコア表2[],MATCH("average",スコア表2[maxmin],0),MATCH(AP$5,スコア表2[#Headers],0)))
/
INDEX(スコア表2[],MATCH("stdev.p",スコア表2[maxmin],0),MATCH(AP$5,スコア表2[#Headers],0))
*10+50,"-")</f>
        <v>33.327126854731254</v>
      </c>
      <c r="AQ15" s="4">
        <f>IFERROR(
(INDEX(スコア表[],MATCH($C15,スコア表['#],0),MATCH(AQ$5,スコア表[#Headers],0))
-
INDEX(スコア表2[],MATCH("average",スコア表2[maxmin],0),MATCH(AQ$5,スコア表2[#Headers],0)))
/
INDEX(スコア表2[],MATCH("stdev.p",スコア表2[maxmin],0),MATCH(AQ$5,スコア表2[#Headers],0))
*10+50,"-")</f>
        <v>54.884908807169452</v>
      </c>
      <c r="AR15" s="4">
        <f>IFERROR(
(INDEX(スコア表[],MATCH($C15,スコア表['#],0),MATCH(AR$5,スコア表[#Headers],0))
-
INDEX(スコア表2[],MATCH("average",スコア表2[maxmin],0),MATCH(AR$5,スコア表2[#Headers],0)))
/
INDEX(スコア表2[],MATCH("stdev.p",スコア表2[maxmin],0),MATCH(AR$5,スコア表2[#Headers],0))
*10+50,"-")</f>
        <v>50.863866145352063</v>
      </c>
      <c r="AS15" s="4">
        <f>IFERROR(
(INDEX(スコア表[],MATCH($C15,スコア表['#],0),MATCH(AS$5,スコア表[#Headers],0))
-
INDEX(スコア表2[],MATCH("average",スコア表2[maxmin],0),MATCH(AS$5,スコア表2[#Headers],0)))
/
INDEX(スコア表2[],MATCH("stdev.p",スコア表2[maxmin],0),MATCH(AS$5,スコア表2[#Headers],0))
*10+50,"-")</f>
        <v>45.314778683250395</v>
      </c>
      <c r="AT15" s="4">
        <f>IFERROR(
(INDEX(スコア表[],MATCH($C15,スコア表['#],0),MATCH(AT$5,スコア表[#Headers],0))
-
INDEX(スコア表2[],MATCH("average",スコア表2[maxmin],0),MATCH(AT$5,スコア表2[#Headers],0)))
/
INDEX(スコア表2[],MATCH("stdev.p",スコア表2[maxmin],0),MATCH(AT$5,スコア表2[#Headers],0))
*10+50,"-")</f>
        <v>62.900995671784898</v>
      </c>
      <c r="AU15" s="4">
        <f>IFERROR(
(INDEX(スコア表[],MATCH($C15,スコア表['#],0),MATCH(AU$5,スコア表[#Headers],0))
-
INDEX(スコア表2[],MATCH("average",スコア表2[maxmin],0),MATCH(AU$5,スコア表2[#Headers],0)))
/
INDEX(スコア表2[],MATCH("stdev.p",スコア表2[maxmin],0),MATCH(AU$5,スコア表2[#Headers],0))
*10+50,"-")</f>
        <v>48.673032342833871</v>
      </c>
      <c r="AV15" s="4">
        <f>IFERROR(
(INDEX(スコア表[],MATCH($C15,スコア表['#],0),MATCH(AV$5,スコア表[#Headers],0))
-
INDEX(スコア表2[],MATCH("average",スコア表2[maxmin],0),MATCH(AV$5,スコア表2[#Headers],0)))
/
INDEX(スコア表2[],MATCH("stdev.p",スコア表2[maxmin],0),MATCH(AV$5,スコア表2[#Headers],0))
*10+50,"-")</f>
        <v>51.315334372806959</v>
      </c>
      <c r="AW15" s="4">
        <f>IFERROR(
(INDEX(スコア表[],MATCH($C15,スコア表['#],0),MATCH(AW$5,スコア表[#Headers],0))
-
INDEX(スコア表2[],MATCH("average",スコア表2[maxmin],0),MATCH(AW$5,スコア表2[#Headers],0)))
/
INDEX(スコア表2[],MATCH("stdev.p",スコア表2[maxmin],0),MATCH(AW$5,スコア表2[#Headers],0))
*10+50,"-")</f>
        <v>48.270348539337242</v>
      </c>
      <c r="AX15" s="4">
        <f>IFERROR(
(INDEX(スコア表[],MATCH($C15,スコア表['#],0),MATCH(AX$5,スコア表[#Headers],0))
-
INDEX(スコア表2[],MATCH("average",スコア表2[maxmin],0),MATCH(AX$5,スコア表2[#Headers],0)))
/
INDEX(スコア表2[],MATCH("stdev.p",スコア表2[maxmin],0),MATCH(AX$5,スコア表2[#Headers],0))
*10+50,"-")</f>
        <v>53.682906621193617</v>
      </c>
      <c r="AY15" s="4">
        <f>IFERROR(
(INDEX(スコア表[],MATCH($C15,スコア表['#],0),MATCH(AY$5,スコア表[#Headers],0))
-
INDEX(スコア表2[],MATCH("average",スコア表2[maxmin],0),MATCH(AY$5,スコア表2[#Headers],0)))
/
INDEX(スコア表2[],MATCH("stdev.p",スコア表2[maxmin],0),MATCH(AY$5,スコア表2[#Headers],0))
*10+50,"-")</f>
        <v>52.943048917100768</v>
      </c>
      <c r="AZ15" s="4">
        <f>IFERROR(
(INDEX(スコア表[],MATCH($C15,スコア表['#],0),MATCH(AZ$5,スコア表[#Headers],0))
-
INDEX(スコア表2[],MATCH("average",スコア表2[maxmin],0),MATCH(AZ$5,スコア表2[#Headers],0)))
/
INDEX(スコア表2[],MATCH("stdev.p",スコア表2[maxmin],0),MATCH(AZ$5,スコア表2[#Headers],0))
*10+50,"-")</f>
        <v>54.455496031354016</v>
      </c>
      <c r="BA15" s="4">
        <f>IFERROR(
(INDEX(スコア表[],MATCH($C15,スコア表['#],0),MATCH(BA$5,スコア表[#Headers],0))
-
INDEX(スコア表2[],MATCH("average",スコア表2[maxmin],0),MATCH(BA$5,スコア表2[#Headers],0)))
/
INDEX(スコア表2[],MATCH("stdev.p",スコア表2[maxmin],0),MATCH(BA$5,スコア表2[#Headers],0))
*10+50,"-")</f>
        <v>60.636956799808765</v>
      </c>
      <c r="BB15" s="4">
        <f>IFERROR(
(INDEX(スコア表[],MATCH($C15,スコア表['#],0),MATCH(BB$5,スコア表[#Headers],0))
-
INDEX(スコア表2[],MATCH("average",スコア表2[maxmin],0),MATCH(BB$5,スコア表2[#Headers],0)))
/
INDEX(スコア表2[],MATCH("stdev.p",スコア表2[maxmin],0),MATCH(BB$5,スコア表2[#Headers],0))
*10+50,"-")</f>
        <v>54.816296856250965</v>
      </c>
      <c r="BC15" s="4">
        <f>IFERROR(
(INDEX(スコア表[],MATCH($C15,スコア表['#],0),MATCH(BC$5,スコア表[#Headers],0))
-
INDEX(スコア表2[],MATCH("average",スコア表2[maxmin],0),MATCH(BC$5,スコア表2[#Headers],0)))
/
INDEX(スコア表2[],MATCH("stdev.p",スコア表2[maxmin],0),MATCH(BC$5,スコア表2[#Headers],0))
*10+50,"-")</f>
        <v>52.879427937933769</v>
      </c>
      <c r="BD15" s="4">
        <f>IFERROR(
(INDEX(スコア表[],MATCH($C15,スコア表['#],0),MATCH(BD$5,スコア表[#Headers],0))
-
INDEX(スコア表2[],MATCH("average",スコア表2[maxmin],0),MATCH(BD$5,スコア表2[#Headers],0)))
/
INDEX(スコア表2[],MATCH("stdev.p",スコア表2[maxmin],0),MATCH(BD$5,スコア表2[#Headers],0))
*10+50,"-")</f>
        <v>55.664332903296</v>
      </c>
      <c r="BE15" s="4">
        <f>IFERROR(
(INDEX(スコア表[],MATCH($C15,スコア表['#],0),MATCH(BE$5,スコア表[#Headers],0))
-
INDEX(スコア表2[],MATCH("average",スコア表2[maxmin],0),MATCH(BE$5,スコア表2[#Headers],0)))
/
INDEX(スコア表2[],MATCH("stdev.p",スコア表2[maxmin],0),MATCH(BE$5,スコア表2[#Headers],0))
*10+50,"-")</f>
        <v>45.529633315882123</v>
      </c>
      <c r="BF15" s="4">
        <f>IFERROR(
(INDEX(スコア表[],MATCH($C15,スコア表['#],0),MATCH(BF$5,スコア表[#Headers],0))
-
INDEX(スコア表2[],MATCH("average",スコア表2[maxmin],0),MATCH(BF$5,スコア表2[#Headers],0)))
/
INDEX(スコア表2[],MATCH("stdev.p",スコア表2[maxmin],0),MATCH(BF$5,スコア表2[#Headers],0))
*10+50,"-")</f>
        <v>44.808267040520406</v>
      </c>
      <c r="BG15" s="4">
        <f>IFERROR(
(INDEX(スコア表[],MATCH($C15,スコア表['#],0),MATCH(BG$5,スコア表[#Headers],0))
-
INDEX(スコア表2[],MATCH("average",スコア表2[maxmin],0),MATCH(BG$5,スコア表2[#Headers],0)))
/
INDEX(スコア表2[],MATCH("stdev.p",スコア表2[maxmin],0),MATCH(BG$5,スコア表2[#Headers],0))
*10+50,"-")</f>
        <v>49.260280009140132</v>
      </c>
      <c r="BH15" s="4">
        <f>IFERROR(
(INDEX(スコア表[],MATCH($C15,スコア表['#],0),MATCH(BH$5,スコア表[#Headers],0))
-
INDEX(スコア表2[],MATCH("average",スコア表2[maxmin],0),MATCH(BH$5,スコア表2[#Headers],0)))
/
INDEX(スコア表2[],MATCH("stdev.p",スコア表2[maxmin],0),MATCH(BH$5,スコア表2[#Headers],0))
*10+50,"-")</f>
        <v>51.727023643227469</v>
      </c>
      <c r="BI15" s="4">
        <f>IFERROR(
(INDEX(スコア表[],MATCH($C15,スコア表['#],0),MATCH(BI$5,スコア表[#Headers],0))
-
INDEX(スコア表2[],MATCH("average",スコア表2[maxmin],0),MATCH(BI$5,スコア表2[#Headers],0)))
/
INDEX(スコア表2[],MATCH("stdev.p",スコア表2[maxmin],0),MATCH(BI$5,スコア表2[#Headers],0))
*10+50,"-")</f>
        <v>66.076254942755654</v>
      </c>
      <c r="BJ15" s="4">
        <f>IFERROR(
(INDEX(スコア表[],MATCH($C15,スコア表['#],0),MATCH(BJ$5,スコア表[#Headers],0))
-
INDEX(スコア表2[],MATCH("average",スコア表2[maxmin],0),MATCH(BJ$5,スコア表2[#Headers],0)))
/
INDEX(スコア表2[],MATCH("stdev.p",スコア表2[maxmin],0),MATCH(BJ$5,スコア表2[#Headers],0))
*10+50,"-")</f>
        <v>54.837228745915141</v>
      </c>
      <c r="BK15" s="4">
        <f>IFERROR(
(INDEX(スコア表[],MATCH($C15,スコア表['#],0),MATCH(BK$5,スコア表[#Headers],0))
-
INDEX(スコア表2[],MATCH("average",スコア表2[maxmin],0),MATCH(BK$5,スコア表2[#Headers],0)))
/
INDEX(スコア表2[],MATCH("stdev.p",スコア表2[maxmin],0),MATCH(BK$5,スコア表2[#Headers],0))
*10+50,"-")</f>
        <v>52.497493889273926</v>
      </c>
      <c r="BL15" s="4">
        <f>IFERROR(
(INDEX(スコア表[],MATCH($C15,スコア表['#],0),MATCH(BL$5,スコア表[#Headers],0))
-
INDEX(スコア表2[],MATCH("average",スコア表2[maxmin],0),MATCH(BL$5,スコア表2[#Headers],0)))
/
INDEX(スコア表2[],MATCH("stdev.p",スコア表2[maxmin],0),MATCH(BL$5,スコア表2[#Headers],0))
*10+50,"-")</f>
        <v>49.427630775547939</v>
      </c>
      <c r="BM15" s="4">
        <f>IFERROR(
(INDEX(スコア表[],MATCH($C15,スコア表['#],0),MATCH(BM$5,スコア表[#Headers],0))
-
INDEX(スコア表2[],MATCH("average",スコア表2[maxmin],0),MATCH(BM$5,スコア表2[#Headers],0)))
/
INDEX(スコア表2[],MATCH("stdev.p",スコア表2[maxmin],0),MATCH(BM$5,スコア表2[#Headers],0))
*10+50,"-")</f>
        <v>57.777490209620346</v>
      </c>
      <c r="BN15" s="4">
        <f>IFERROR(
(INDEX(スコア表[],MATCH($C15,スコア表['#],0),MATCH(BN$5,スコア表[#Headers],0))
-
INDEX(スコア表2[],MATCH("average",スコア表2[maxmin],0),MATCH(BN$5,スコア表2[#Headers],0)))
/
INDEX(スコア表2[],MATCH("stdev.p",スコア表2[maxmin],0),MATCH(BN$5,スコア表2[#Headers],0))
*10+50,"-")</f>
        <v>64.249962262994117</v>
      </c>
      <c r="BO15" s="4">
        <f>IFERROR(
(INDEX(スコア表[],MATCH($C15,スコア表['#],0),MATCH(BO$5,スコア表[#Headers],0))
-
INDEX(スコア表2[],MATCH("average",スコア表2[maxmin],0),MATCH(BO$5,スコア表2[#Headers],0)))
/
INDEX(スコア表2[],MATCH("stdev.p",スコア表2[maxmin],0),MATCH(BO$5,スコア表2[#Headers],0))
*10+50,"-")</f>
        <v>46.225034240795651</v>
      </c>
      <c r="BP15" s="4">
        <f>IFERROR(
(INDEX(スコア表[],MATCH($C15,スコア表['#],0),MATCH(BP$5,スコア表[#Headers],0))
-
INDEX(スコア表2[],MATCH("average",スコア表2[maxmin],0),MATCH(BP$5,スコア表2[#Headers],0)))
/
INDEX(スコア表2[],MATCH("stdev.p",スコア表2[maxmin],0),MATCH(BP$5,スコア表2[#Headers],0))
*10+50,"-")</f>
        <v>52.19098314008707</v>
      </c>
      <c r="BQ15" s="4">
        <f>IFERROR(
(INDEX(スコア表[],MATCH($C15,スコア表['#],0),MATCH(BQ$5,スコア表[#Headers],0))
-
INDEX(スコア表2[],MATCH("average",スコア表2[maxmin],0),MATCH(BQ$5,スコア表2[#Headers],0)))
/
INDEX(スコア表2[],MATCH("stdev.p",スコア表2[maxmin],0),MATCH(BQ$5,スコア表2[#Headers],0))
*10+50,"-")</f>
        <v>41.783639921753696</v>
      </c>
      <c r="BR15" s="4">
        <f>IFERROR(
(INDEX(スコア表[],MATCH($C15,スコア表['#],0),MATCH(BR$5,スコア表[#Headers],0))
-
INDEX(スコア表2[],MATCH("average",スコア表2[maxmin],0),MATCH(BR$5,スコア表2[#Headers],0)))
/
INDEX(スコア表2[],MATCH("stdev.p",スコア表2[maxmin],0),MATCH(BR$5,スコア表2[#Headers],0))
*10+50,"-")</f>
        <v>43.120624462728522</v>
      </c>
      <c r="BS15" s="4">
        <f>IFERROR(
(INDEX(スコア表[],MATCH($C15,スコア表['#],0),MATCH(BS$5,スコア表[#Headers],0))
-
INDEX(スコア表2[],MATCH("average",スコア表2[maxmin],0),MATCH(BS$5,スコア表2[#Headers],0)))
/
INDEX(スコア表2[],MATCH("stdev.p",スコア表2[maxmin],0),MATCH(BS$5,スコア表2[#Headers],0))
*10+50,"-")</f>
        <v>42.318663235615766</v>
      </c>
      <c r="BT15" s="4">
        <f>IFERROR(
(INDEX(スコア表[],MATCH($C15,スコア表['#],0),MATCH(BT$5,スコア表[#Headers],0))
-
INDEX(スコア表2[],MATCH("average",スコア表2[maxmin],0),MATCH(BT$5,スコア表2[#Headers],0)))
/
INDEX(スコア表2[],MATCH("stdev.p",スコア表2[maxmin],0),MATCH(BT$5,スコア表2[#Headers],0))
*10+50,"-")</f>
        <v>62.14844880640986</v>
      </c>
      <c r="BU15" s="4">
        <f>IFERROR(
(INDEX(スコア表[],MATCH($C15,スコア表['#],0),MATCH(BU$5,スコア表[#Headers],0))
-
INDEX(スコア表2[],MATCH("average",スコア表2[maxmin],0),MATCH(BU$5,スコア表2[#Headers],0)))
/
INDEX(スコア表2[],MATCH("stdev.p",スコア表2[maxmin],0),MATCH(BU$5,スコア表2[#Headers],0))
*10+50,"-")</f>
        <v>63.242255730899629</v>
      </c>
      <c r="BV15" s="4">
        <f>IFERROR(
(INDEX(スコア表[],MATCH($C15,スコア表['#],0),MATCH(BV$5,スコア表[#Headers],0))
-
INDEX(スコア表2[],MATCH("average",スコア表2[maxmin],0),MATCH(BV$5,スコア表2[#Headers],0)))
/
INDEX(スコア表2[],MATCH("stdev.p",スコア表2[maxmin],0),MATCH(BV$5,スコア表2[#Headers],0))
*10+50,"-")</f>
        <v>43.219149749044803</v>
      </c>
      <c r="BW15" s="4">
        <f>IFERROR(
(INDEX(スコア表[],MATCH($C15,スコア表['#],0),MATCH(BW$5,スコア表[#Headers],0))
-
INDEX(スコア表2[],MATCH("average",スコア表2[maxmin],0),MATCH(BW$5,スコア表2[#Headers],0)))
/
INDEX(スコア表2[],MATCH("stdev.p",スコア表2[maxmin],0),MATCH(BW$5,スコア表2[#Headers],0))
*10+50,"-")</f>
        <v>59.214793657923757</v>
      </c>
      <c r="BX15" s="4">
        <f>IFERROR(
(INDEX(スコア表[],MATCH($C15,スコア表['#],0),MATCH(BX$5,スコア表[#Headers],0))
-
INDEX(スコア表2[],MATCH("average",スコア表2[maxmin],0),MATCH(BX$5,スコア表2[#Headers],0)))
/
INDEX(スコア表2[],MATCH("stdev.p",スコア表2[maxmin],0),MATCH(BX$5,スコア表2[#Headers],0))
*10+50,"-")</f>
        <v>45.803445116191824</v>
      </c>
      <c r="BY15" s="4">
        <f>IFERROR(
(INDEX(スコア表[],MATCH($C15,スコア表['#],0),MATCH(BY$5,スコア表[#Headers],0))
-
INDEX(スコア表2[],MATCH("average",スコア表2[maxmin],0),MATCH(BY$5,スコア表2[#Headers],0)))
/
INDEX(スコア表2[],MATCH("stdev.p",スコア表2[maxmin],0),MATCH(BY$5,スコア表2[#Headers],0))
*10+50,"-")</f>
        <v>49.695870029349059</v>
      </c>
      <c r="BZ15" s="4">
        <f>IFERROR(
(INDEX(スコア表[],MATCH($C15,スコア表['#],0),MATCH(BZ$5,スコア表[#Headers],0))
-
INDEX(スコア表2[],MATCH("average",スコア表2[maxmin],0),MATCH(BZ$5,スコア表2[#Headers],0)))
/
INDEX(スコア表2[],MATCH("stdev.p",スコア表2[maxmin],0),MATCH(BZ$5,スコア表2[#Headers],0))
*10+50,"-")</f>
        <v>46.697621783527723</v>
      </c>
      <c r="CA15" s="4">
        <f>IFERROR(
(INDEX(スコア表[],MATCH($C15,スコア表['#],0),MATCH(CA$5,スコア表[#Headers],0))
-
INDEX(スコア表2[],MATCH("average",スコア表2[maxmin],0),MATCH(CA$5,スコア表2[#Headers],0)))
/
INDEX(スコア表2[],MATCH("stdev.p",スコア表2[maxmin],0),MATCH(CA$5,スコア表2[#Headers],0))
*10+50,"-")</f>
        <v>56.374988600375332</v>
      </c>
      <c r="CB15" s="4">
        <f>IFERROR(
(INDEX(スコア表[],MATCH($C15,スコア表['#],0),MATCH(CB$5,スコア表[#Headers],0))
-
INDEX(スコア表2[],MATCH("average",スコア表2[maxmin],0),MATCH(CB$5,スコア表2[#Headers],0)))
/
INDEX(スコア表2[],MATCH("stdev.p",スコア表2[maxmin],0),MATCH(CB$5,スコア表2[#Headers],0))
*10+50,"-")</f>
        <v>45.522436278817217</v>
      </c>
      <c r="CC15" s="4">
        <f>IFERROR(
(INDEX(スコア表[],MATCH($C15,スコア表['#],0),MATCH(CC$5,スコア表[#Headers],0))
-
INDEX(スコア表2[],MATCH("average",スコア表2[maxmin],0),MATCH(CC$5,スコア表2[#Headers],0)))
/
INDEX(スコア表2[],MATCH("stdev.p",スコア表2[maxmin],0),MATCH(CC$5,スコア表2[#Headers],0))
*10+50,"-")</f>
        <v>49.385438120282672</v>
      </c>
      <c r="CD15" s="4">
        <f>IFERROR(
(INDEX(スコア表[],MATCH($C15,スコア表['#],0),MATCH(CD$5,スコア表[#Headers],0))
-
INDEX(スコア表2[],MATCH("average",スコア表2[maxmin],0),MATCH(CD$5,スコア表2[#Headers],0)))
/
INDEX(スコア表2[],MATCH("stdev.p",スコア表2[maxmin],0),MATCH(CD$5,スコア表2[#Headers],0))
*10+50,"-")</f>
        <v>47.924009698893649</v>
      </c>
      <c r="CE15" s="4">
        <f>IFERROR(
(INDEX(スコア表[],MATCH($C15,スコア表['#],0),MATCH(CE$5,スコア表[#Headers],0))
-
INDEX(スコア表2[],MATCH("average",スコア表2[maxmin],0),MATCH(CE$5,スコア表2[#Headers],0)))
/
INDEX(スコア表2[],MATCH("stdev.p",スコア表2[maxmin],0),MATCH(CE$5,スコア表2[#Headers],0))
*10+50,"-")</f>
        <v>47.031666149092018</v>
      </c>
      <c r="CF15" s="4">
        <f>IFERROR(
(INDEX(スコア表[],MATCH($C15,スコア表['#],0),MATCH(CF$5,スコア表[#Headers],0))
-
INDEX(スコア表2[],MATCH("average",スコア表2[maxmin],0),MATCH(CF$5,スコア表2[#Headers],0)))
/
INDEX(スコア表2[],MATCH("stdev.p",スコア表2[maxmin],0),MATCH(CF$5,スコア表2[#Headers],0))
*10+50,"-")</f>
        <v>55.152531336302744</v>
      </c>
      <c r="CG15" s="4">
        <f>IFERROR(
(INDEX(スコア表[],MATCH($C15,スコア表['#],0),MATCH(CG$5,スコア表[#Headers],0))
-
INDEX(スコア表2[],MATCH("average",スコア表2[maxmin],0),MATCH(CG$5,スコア表2[#Headers],0)))
/
INDEX(スコア表2[],MATCH("stdev.p",スコア表2[maxmin],0),MATCH(CG$5,スコア表2[#Headers],0))
*10+50,"-")</f>
        <v>51.671856844957787</v>
      </c>
      <c r="CH15" s="4">
        <f>IFERROR(
(INDEX(スコア表[],MATCH($C15,スコア表['#],0),MATCH(CH$5,スコア表[#Headers],0))
-
INDEX(スコア表2[],MATCH("average",スコア表2[maxmin],0),MATCH(CH$5,スコア表2[#Headers],0)))
/
INDEX(スコア表2[],MATCH("stdev.p",スコア表2[maxmin],0),MATCH(CH$5,スコア表2[#Headers],0))
*10+50,"-")</f>
        <v>50.021978429001862</v>
      </c>
      <c r="CI15" s="4">
        <f>IFERROR(
(INDEX(スコア表[],MATCH($C15,スコア表['#],0),MATCH(CI$5,スコア表[#Headers],0))
-
INDEX(スコア表2[],MATCH("average",スコア表2[maxmin],0),MATCH(CI$5,スコア表2[#Headers],0)))
/
INDEX(スコア表2[],MATCH("stdev.p",スコア表2[maxmin],0),MATCH(CI$5,スコア表2[#Headers],0))
*10+50,"-")</f>
        <v>51.60521469454639</v>
      </c>
      <c r="CJ15" s="4">
        <f>IFERROR(
(INDEX(スコア表[],MATCH($C15,スコア表['#],0),MATCH(CJ$5,スコア表[#Headers],0))
-
INDEX(スコア表2[],MATCH("average",スコア表2[maxmin],0),MATCH(CJ$5,スコア表2[#Headers],0)))
/
INDEX(スコア表2[],MATCH("stdev.p",スコア表2[maxmin],0),MATCH(CJ$5,スコア表2[#Headers],0))
*10+50,"-")</f>
        <v>60.22525059362016</v>
      </c>
      <c r="CK15" s="4">
        <f>IFERROR(
(INDEX(スコア表[],MATCH($C15,スコア表['#],0),MATCH(CK$5,スコア表[#Headers],0))
-
INDEX(スコア表2[],MATCH("average",スコア表2[maxmin],0),MATCH(CK$5,スコア表2[#Headers],0)))
/
INDEX(スコア表2[],MATCH("stdev.p",スコア表2[maxmin],0),MATCH(CK$5,スコア表2[#Headers],0))
*10+50,"-")</f>
        <v>64.827322322835286</v>
      </c>
      <c r="CL15" s="4">
        <f>IFERROR(
(INDEX(スコア表[],MATCH($C15,スコア表['#],0),MATCH(CL$5,スコア表[#Headers],0))
-
INDEX(スコア表2[],MATCH("average",スコア表2[maxmin],0),MATCH(CL$5,スコア表2[#Headers],0)))
/
INDEX(スコア表2[],MATCH("stdev.p",スコア表2[maxmin],0),MATCH(CL$5,スコア表2[#Headers],0))
*10+50,"-")</f>
        <v>43.687291999928689</v>
      </c>
      <c r="CM15" s="4">
        <f>IFERROR(
(INDEX(スコア表[],MATCH($C15,スコア表['#],0),MATCH(CM$5,スコア表[#Headers],0))
-
INDEX(スコア表2[],MATCH("average",スコア表2[maxmin],0),MATCH(CM$5,スコア表2[#Headers],0)))
/
INDEX(スコア表2[],MATCH("stdev.p",スコア表2[maxmin],0),MATCH(CM$5,スコア表2[#Headers],0))
*10+50,"-")</f>
        <v>53.078206741024374</v>
      </c>
      <c r="CN15" s="4">
        <f>IFERROR(
(INDEX(スコア表[],MATCH($C15,スコア表['#],0),MATCH(CN$5,スコア表[#Headers],0))
-
INDEX(スコア表2[],MATCH("average",スコア表2[maxmin],0),MATCH(CN$5,スコア表2[#Headers],0)))
/
INDEX(スコア表2[],MATCH("stdev.p",スコア表2[maxmin],0),MATCH(CN$5,スコア表2[#Headers],0))
*10+50,"-")</f>
        <v>54.817824109511008</v>
      </c>
      <c r="CO15" s="4">
        <f>IFERROR(
(INDEX(スコア表[],MATCH($C15,スコア表['#],0),MATCH(CO$5,スコア表[#Headers],0))
-
INDEX(スコア表2[],MATCH("average",スコア表2[maxmin],0),MATCH(CO$5,スコア表2[#Headers],0)))
/
INDEX(スコア表2[],MATCH("stdev.p",スコア表2[maxmin],0),MATCH(CO$5,スコア表2[#Headers],0))
*10+50,"-")</f>
        <v>49.921639490430984</v>
      </c>
      <c r="CP15" s="4">
        <f>IFERROR(
(INDEX(スコア表[],MATCH($C15,スコア表['#],0),MATCH(CP$5,スコア表[#Headers],0))
-
INDEX(スコア表2[],MATCH("average",スコア表2[maxmin],0),MATCH(CP$5,スコア表2[#Headers],0)))
/
INDEX(スコア表2[],MATCH("stdev.p",スコア表2[maxmin],0),MATCH(CP$5,スコア表2[#Headers],0))
*10+50,"-")</f>
        <v>54.916665646092113</v>
      </c>
      <c r="CQ15" s="4">
        <f>IFERROR(
(INDEX(スコア表[],MATCH($C15,スコア表['#],0),MATCH(CQ$5,スコア表[#Headers],0))
-
INDEX(スコア表2[],MATCH("average",スコア表2[maxmin],0),MATCH(CQ$5,スコア表2[#Headers],0)))
/
INDEX(スコア表2[],MATCH("stdev.p",スコア表2[maxmin],0),MATCH(CQ$5,スコア表2[#Headers],0))
*10+50,"-")</f>
        <v>59.099439727261043</v>
      </c>
      <c r="CR15" s="4">
        <f>IFERROR(
(INDEX(スコア表[],MATCH($C15,スコア表['#],0),MATCH(CR$5,スコア表[#Headers],0))
-
INDEX(スコア表2[],MATCH("average",スコア表2[maxmin],0),MATCH(CR$5,スコア表2[#Headers],0)))
/
INDEX(スコア表2[],MATCH("stdev.p",スコア表2[maxmin],0),MATCH(CR$5,スコア表2[#Headers],0))
*10+50,"-")</f>
        <v>50.186713978028045</v>
      </c>
      <c r="CS15" s="4">
        <f>IFERROR(
(INDEX(スコア表[],MATCH($C15,スコア表['#],0),MATCH(CS$5,スコア表[#Headers],0))
-
INDEX(スコア表2[],MATCH("average",スコア表2[maxmin],0),MATCH(CS$5,スコア表2[#Headers],0)))
/
INDEX(スコア表2[],MATCH("stdev.p",スコア表2[maxmin],0),MATCH(CS$5,スコア表2[#Headers],0))
*10+50,"-")</f>
        <v>60.715917727255864</v>
      </c>
      <c r="CT15" s="4">
        <f>IFERROR(
(INDEX(スコア表[],MATCH($C15,スコア表['#],0),MATCH(CT$5,スコア表[#Headers],0))
-
INDEX(スコア表2[],MATCH("average",スコア表2[maxmin],0),MATCH(CT$5,スコア表2[#Headers],0)))
/
INDEX(スコア表2[],MATCH("stdev.p",スコア表2[maxmin],0),MATCH(CT$5,スコア表2[#Headers],0))
*10+50,"-")</f>
        <v>53.969546755893603</v>
      </c>
      <c r="CU15" s="4">
        <f>IFERROR(
(INDEX(スコア表[],MATCH($C15,スコア表['#],0),MATCH(CU$5,スコア表[#Headers],0))
-
INDEX(スコア表2[],MATCH("average",スコア表2[maxmin],0),MATCH(CU$5,スコア表2[#Headers],0)))
/
INDEX(スコア表2[],MATCH("stdev.p",スコア表2[maxmin],0),MATCH(CU$5,スコア表2[#Headers],0))
*10+50,"-")</f>
        <v>56.971378087635095</v>
      </c>
      <c r="CV15" s="4">
        <f>IFERROR(
(INDEX(スコア表[],MATCH($C15,スコア表['#],0),MATCH(CV$5,スコア表[#Headers],0))
-
INDEX(スコア表2[],MATCH("average",スコア表2[maxmin],0),MATCH(CV$5,スコア表2[#Headers],0)))
/
INDEX(スコア表2[],MATCH("stdev.p",スコア表2[maxmin],0),MATCH(CV$5,スコア表2[#Headers],0))
*10+50,"-")</f>
        <v>46.052013270587665</v>
      </c>
      <c r="CW15" s="4">
        <f>IFERROR(
(INDEX(スコア表[],MATCH($C15,スコア表['#],0),MATCH(CW$5,スコア表[#Headers],0))
-
INDEX(スコア表2[],MATCH("average",スコア表2[maxmin],0),MATCH(CW$5,スコア表2[#Headers],0)))
/
INDEX(スコア表2[],MATCH("stdev.p",スコア表2[maxmin],0),MATCH(CW$5,スコア表2[#Headers],0))
*10+50,"-")</f>
        <v>42.641772312269374</v>
      </c>
      <c r="CX15" s="4">
        <f>IFERROR(
(INDEX(スコア表[],MATCH($C15,スコア表['#],0),MATCH(CX$5,スコア表[#Headers],0))
-
INDEX(スコア表2[],MATCH("average",スコア表2[maxmin],0),MATCH(CX$5,スコア表2[#Headers],0)))
/
INDEX(スコア表2[],MATCH("stdev.p",スコア表2[maxmin],0),MATCH(CX$5,スコア表2[#Headers],0))
*10+50,"-")</f>
        <v>59.008073785586774</v>
      </c>
      <c r="CY15" s="4">
        <f>IFERROR(
(INDEX(スコア表[],MATCH($C15,スコア表['#],0),MATCH(CY$5,スコア表[#Headers],0))
-
INDEX(スコア表2[],MATCH("average",スコア表2[maxmin],0),MATCH(CY$5,スコア表2[#Headers],0)))
/
INDEX(スコア表2[],MATCH("stdev.p",スコア表2[maxmin],0),MATCH(CY$5,スコア表2[#Headers],0))
*10+50,"-")</f>
        <v>53.727911847298344</v>
      </c>
      <c r="CZ15" s="4">
        <f>IFERROR(
(INDEX(スコア表[],MATCH($C15,スコア表['#],0),MATCH(CZ$5,スコア表[#Headers],0))
-
INDEX(スコア表2[],MATCH("average",スコア表2[maxmin],0),MATCH(CZ$5,スコア表2[#Headers],0)))
/
INDEX(スコア表2[],MATCH("stdev.p",スコア表2[maxmin],0),MATCH(CZ$5,スコア表2[#Headers],0))
*10+50,"-")</f>
        <v>48.35767644924811</v>
      </c>
      <c r="DA15" s="4">
        <f>IFERROR(
(INDEX(スコア表[],MATCH($C15,スコア表['#],0),MATCH(DA$5,スコア表[#Headers],0))
-
INDEX(スコア表2[],MATCH("average",スコア表2[maxmin],0),MATCH(DA$5,スコア表2[#Headers],0)))
/
INDEX(スコア表2[],MATCH("stdev.p",スコア表2[maxmin],0),MATCH(DA$5,スコア表2[#Headers],0))
*10+50,"-")</f>
        <v>52.832824240261388</v>
      </c>
      <c r="DB15" s="4">
        <f>IFERROR(
(INDEX(スコア表[],MATCH($C15,スコア表['#],0),MATCH(DB$5,スコア表[#Headers],0))
-
INDEX(スコア表2[],MATCH("average",スコア表2[maxmin],0),MATCH(DB$5,スコア表2[#Headers],0)))
/
INDEX(スコア表2[],MATCH("stdev.p",スコア表2[maxmin],0),MATCH(DB$5,スコア表2[#Headers],0))
*10+50,"-")</f>
        <v>56.537815546282062</v>
      </c>
      <c r="DC15" s="4">
        <f>IFERROR(
(INDEX(スコア表[],MATCH($C15,スコア表['#],0),MATCH(DC$5,スコア表[#Headers],0))
-
INDEX(スコア表2[],MATCH("average",スコア表2[maxmin],0),MATCH(DC$5,スコア表2[#Headers],0)))
/
INDEX(スコア表2[],MATCH("stdev.p",スコア表2[maxmin],0),MATCH(DC$5,スコア表2[#Headers],0))
*10+50,"-")</f>
        <v>59.417824747842438</v>
      </c>
      <c r="DD15" s="4">
        <f>IFERROR(
(INDEX(スコア表[],MATCH($C15,スコア表['#],0),MATCH(DD$5,スコア表[#Headers],0))
-
INDEX(スコア表2[],MATCH("average",スコア表2[maxmin],0),MATCH(DD$5,スコア表2[#Headers],0)))
/
INDEX(スコア表2[],MATCH("stdev.p",スコア表2[maxmin],0),MATCH(DD$5,スコア表2[#Headers],0))
*10+50,"-")</f>
        <v>59.616220293800012</v>
      </c>
      <c r="DE15" s="4">
        <f>IFERROR(
(INDEX(スコア表[],MATCH($C15,スコア表['#],0),MATCH(DE$5,スコア表[#Headers],0))
-
INDEX(スコア表2[],MATCH("average",スコア表2[maxmin],0),MATCH(DE$5,スコア表2[#Headers],0)))
/
INDEX(スコア表2[],MATCH("stdev.p",スコア表2[maxmin],0),MATCH(DE$5,スコア表2[#Headers],0))
*10+50,"-")</f>
        <v>49.346058175387277</v>
      </c>
      <c r="DF15" s="76">
        <f>IFERROR(
(INDEX(スコア表[],MATCH($C15,スコア表['#],0),MATCH(DF$5,スコア表[#Headers],0))
-
INDEX(スコア表2[],MATCH("average",スコア表2[maxmin],0),MATCH(DF$5,スコア表2[#Headers],0)))
/
INDEX(スコア表2[],MATCH("stdev.p",スコア表2[maxmin],0),MATCH(DF$5,スコア表2[#Headers],0))
*10+50,"-")</f>
        <v>55.319073729880479</v>
      </c>
      <c r="DG15" s="4">
        <f>IFERROR(_xlfn.STDEV.P(偏差値表[[#This Row],[Economy]:[Accessibility]]),"")</f>
        <v>4.4991044759789052</v>
      </c>
    </row>
    <row r="16" spans="1:111">
      <c r="A16" s="2">
        <v>11</v>
      </c>
      <c r="B16" s="58">
        <f>INDEX(順位表[Comprehensive],MATCH($C16,順位表['#],0))</f>
        <v>11</v>
      </c>
      <c r="C16" s="3">
        <v>12</v>
      </c>
      <c r="D16" s="1" t="str">
        <f>INDEX(都市マスタ[City Name],MATCH($C16,都市マスタ['#],0))</f>
        <v>Copenhagen</v>
      </c>
      <c r="E16" s="4">
        <f>IFERROR(
(INDEX(スコア表[],MATCH($C16,スコア表['#],0),MATCH(E$5,スコア表[#Headers],0))
-
INDEX(スコア表2[],MATCH("average",スコア表2[maxmin],0),MATCH(E$5,スコア表2[#Headers],0)))
/
INDEX(スコア表2[],MATCH("stdev.p",スコア表2[maxmin],0),MATCH(E$5,スコア表2[#Headers],0))
*10+50,"-")</f>
        <v>41.948027306171518</v>
      </c>
      <c r="F16" s="4">
        <f>IFERROR(
(INDEX(スコア表[],MATCH($C16,スコア表['#],0),MATCH(F$5,スコア表[#Headers],0))
-
INDEX(スコア表2[],MATCH("average",スコア表2[maxmin],0),MATCH(F$5,スコア表2[#Headers],0)))
/
INDEX(スコア表2[],MATCH("stdev.p",スコア表2[maxmin],0),MATCH(F$5,スコア表2[#Headers],0))
*10+50,"-")</f>
        <v>45.33775225140198</v>
      </c>
      <c r="G16" s="4">
        <f>IFERROR(
(INDEX(スコア表[],MATCH($C16,スコア表['#],0),MATCH(G$5,スコア表[#Headers],0))
-
INDEX(スコア表2[],MATCH("average",スコア表2[maxmin],0),MATCH(G$5,スコア表2[#Headers],0)))
/
INDEX(スコア表2[],MATCH("stdev.p",スコア表2[maxmin],0),MATCH(G$5,スコア表2[#Headers],0))
*10+50,"-")</f>
        <v>48.361359440022078</v>
      </c>
      <c r="H16" s="4">
        <f>IFERROR(
(INDEX(スコア表[],MATCH($C16,スコア表['#],0),MATCH(H$5,スコア表[#Headers],0))
-
INDEX(スコア表2[],MATCH("average",スコア表2[maxmin],0),MATCH(H$5,スコア表2[#Headers],0)))
/
INDEX(スコア表2[],MATCH("stdev.p",スコア表2[maxmin],0),MATCH(H$5,スコア表2[#Headers],0))
*10+50,"-")</f>
        <v>43.446649080200672</v>
      </c>
      <c r="I16" s="4">
        <f>IFERROR(
(INDEX(スコア表[],MATCH($C16,スコア表['#],0),MATCH(I$5,スコア表[#Headers],0))
-
INDEX(スコア表2[],MATCH("average",スコア表2[maxmin],0),MATCH(I$5,スコア表2[#Headers],0)))
/
INDEX(スコア表2[],MATCH("stdev.p",スコア表2[maxmin],0),MATCH(I$5,スコア表2[#Headers],0))
*10+50,"-")</f>
        <v>55.796725515109024</v>
      </c>
      <c r="J16" s="4">
        <f>IFERROR(
(INDEX(スコア表[],MATCH($C16,スコア表['#],0),MATCH(J$5,スコア表[#Headers],0))
-
INDEX(スコア表2[],MATCH("average",スコア表2[maxmin],0),MATCH(J$5,スコア表2[#Headers],0)))
/
INDEX(スコア表2[],MATCH("stdev.p",スコア表2[maxmin],0),MATCH(J$5,スコア表2[#Headers],0))
*10+50,"-")</f>
        <v>51.279259680005126</v>
      </c>
      <c r="K16" s="4">
        <f>IFERROR(
(INDEX(スコア表[],MATCH($C16,スコア表['#],0),MATCH(K$5,スコア表[#Headers],0))
-
INDEX(スコア表2[],MATCH("average",スコア表2[maxmin],0),MATCH(K$5,スコア表2[#Headers],0)))
/
INDEX(スコア表2[],MATCH("stdev.p",スコア表2[maxmin],0),MATCH(K$5,スコア表2[#Headers],0))
*10+50,"-")</f>
        <v>60.009254460142628</v>
      </c>
      <c r="L16" s="4">
        <f>IFERROR(
(INDEX(スコア表[],MATCH($C16,スコア表['#],0),MATCH(L$5,スコア表[#Headers],0))
-
INDEX(スコア表2[],MATCH("average",スコア表2[maxmin],0),MATCH(L$5,スコア表2[#Headers],0)))
/
INDEX(スコア表2[],MATCH("stdev.p",スコア表2[maxmin],0),MATCH(L$5,スコア表2[#Headers],0))
*10+50,"-")</f>
        <v>47.870605817310626</v>
      </c>
      <c r="M16" s="4">
        <f>IFERROR(
(INDEX(スコア表[],MATCH($C16,スコア表['#],0),MATCH(M$5,スコア表[#Headers],0))
-
INDEX(スコア表2[],MATCH("average",スコア表2[maxmin],0),MATCH(M$5,スコア表2[#Headers],0)))
/
INDEX(スコア表2[],MATCH("stdev.p",スコア表2[maxmin],0),MATCH(M$5,スコア表2[#Headers],0))
*10+50,"-")</f>
        <v>46.537426541923132</v>
      </c>
      <c r="N16" s="4">
        <f>IFERROR(
(INDEX(スコア表[],MATCH($C16,スコア表['#],0),MATCH(N$5,スコア表[#Headers],0))
-
INDEX(スコア表2[],MATCH("average",スコア表2[maxmin],0),MATCH(N$5,スコア表2[#Headers],0)))
/
INDEX(スコア表2[],MATCH("stdev.p",スコア表2[maxmin],0),MATCH(N$5,スコア表2[#Headers],0))
*10+50,"-")</f>
        <v>41.832488451440199</v>
      </c>
      <c r="O16" s="4">
        <f>IFERROR(
(INDEX(スコア表[],MATCH($C16,スコア表['#],0),MATCH(O$5,スコア表[#Headers],0))
-
INDEX(スコア表2[],MATCH("average",スコア表2[maxmin],0),MATCH(O$5,スコア表2[#Headers],0)))
/
INDEX(スコア表2[],MATCH("stdev.p",スコア表2[maxmin],0),MATCH(O$5,スコア表2[#Headers],0))
*10+50,"-")</f>
        <v>44.239939626588757</v>
      </c>
      <c r="P16" s="4">
        <f>IFERROR(
(INDEX(スコア表[],MATCH($C16,スコア表['#],0),MATCH(P$5,スコア表[#Headers],0))
-
INDEX(スコア表2[],MATCH("average",スコア表2[maxmin],0),MATCH(P$5,スコア表2[#Headers],0)))
/
INDEX(スコア表2[],MATCH("stdev.p",スコア表2[maxmin],0),MATCH(P$5,スコア表2[#Headers],0))
*10+50,"-")</f>
        <v>52.804476122173767</v>
      </c>
      <c r="Q16" s="4">
        <f>IFERROR(
(INDEX(スコア表[],MATCH($C16,スコア表['#],0),MATCH(Q$5,スコア表[#Headers],0))
-
INDEX(スコア表2[],MATCH("average",スコア表2[maxmin],0),MATCH(Q$5,スコア表2[#Headers],0)))
/
INDEX(スコア表2[],MATCH("stdev.p",スコア表2[maxmin],0),MATCH(Q$5,スコア表2[#Headers],0))
*10+50,"-")</f>
        <v>58.868720224234565</v>
      </c>
      <c r="R16" s="4">
        <f>IFERROR(
(INDEX(スコア表[],MATCH($C16,スコア表['#],0),MATCH(R$5,スコア表[#Headers],0))
-
INDEX(スコア表2[],MATCH("average",スコア表2[maxmin],0),MATCH(R$5,スコア表2[#Headers],0)))
/
INDEX(スコア表2[],MATCH("stdev.p",スコア表2[maxmin],0),MATCH(R$5,スコア表2[#Headers],0))
*10+50,"-")</f>
        <v>56.973414611254704</v>
      </c>
      <c r="S16" s="4">
        <f>IFERROR(
(INDEX(スコア表[],MATCH($C16,スコア表['#],0),MATCH(S$5,スコア表[#Headers],0))
-
INDEX(スコア表2[],MATCH("average",スコア表2[maxmin],0),MATCH(S$5,スコア表2[#Headers],0)))
/
INDEX(スコア表2[],MATCH("stdev.p",スコア表2[maxmin],0),MATCH(S$5,スコア表2[#Headers],0))
*10+50,"-")</f>
        <v>55.336971034158026</v>
      </c>
      <c r="T16" s="4">
        <f>IFERROR(
(INDEX(スコア表[],MATCH($C16,スコア表['#],0),MATCH(T$5,スコア表[#Headers],0))
-
INDEX(スコア表2[],MATCH("average",スコア表2[maxmin],0),MATCH(T$5,スコア表2[#Headers],0)))
/
INDEX(スコア表2[],MATCH("stdev.p",スコア表2[maxmin],0),MATCH(T$5,スコア表2[#Headers],0))
*10+50,"-")</f>
        <v>58.963801526585847</v>
      </c>
      <c r="U16" s="4">
        <f>IFERROR(
(INDEX(スコア表[],MATCH($C16,スコア表['#],0),MATCH(U$5,スコア表[#Headers],0))
-
INDEX(スコア表2[],MATCH("average",スコア表2[maxmin],0),MATCH(U$5,スコア表2[#Headers],0)))
/
INDEX(スコア表2[],MATCH("stdev.p",スコア表2[maxmin],0),MATCH(U$5,スコア表2[#Headers],0))
*10+50,"-")</f>
        <v>43.356602248500266</v>
      </c>
      <c r="V16" s="4">
        <f>IFERROR(
(INDEX(スコア表[],MATCH($C16,スコア表['#],0),MATCH(V$5,スコア表[#Headers],0))
-
INDEX(スコア表2[],MATCH("average",スコア表2[maxmin],0),MATCH(V$5,スコア表2[#Headers],0)))
/
INDEX(スコア表2[],MATCH("stdev.p",スコア表2[maxmin],0),MATCH(V$5,スコア表2[#Headers],0))
*10+50,"-")</f>
        <v>46.323743932810082</v>
      </c>
      <c r="W16" s="4">
        <f>IFERROR(
(INDEX(スコア表[],MATCH($C16,スコア表['#],0),MATCH(W$5,スコア表[#Headers],0))
-
INDEX(スコア表2[],MATCH("average",スコア表2[maxmin],0),MATCH(W$5,スコア表2[#Headers],0)))
/
INDEX(スコア表2[],MATCH("stdev.p",スコア表2[maxmin],0),MATCH(W$5,スコア表2[#Headers],0))
*10+50,"-")</f>
        <v>45.230227426980122</v>
      </c>
      <c r="X16" s="4">
        <f>IFERROR(
(INDEX(スコア表[],MATCH($C16,スコア表['#],0),MATCH(X$5,スコア表[#Headers],0))
-
INDEX(スコア表2[],MATCH("average",スコア表2[maxmin],0),MATCH(X$5,スコア表2[#Headers],0)))
/
INDEX(スコア表2[],MATCH("stdev.p",スコア表2[maxmin],0),MATCH(X$5,スコア表2[#Headers],0))
*10+50,"-")</f>
        <v>46.21593923538088</v>
      </c>
      <c r="Y16" s="4">
        <f>IFERROR(
(INDEX(スコア表[],MATCH($C16,スコア表['#],0),MATCH(Y$5,スコア表[#Headers],0))
-
INDEX(スコア表2[],MATCH("average",スコア表2[maxmin],0),MATCH(Y$5,スコア表2[#Headers],0)))
/
INDEX(スコア表2[],MATCH("stdev.p",スコア表2[maxmin],0),MATCH(Y$5,スコア表2[#Headers],0))
*10+50,"-")</f>
        <v>53.650707200287677</v>
      </c>
      <c r="Z16" s="4">
        <f>IFERROR(
(INDEX(スコア表[],MATCH($C16,スコア表['#],0),MATCH(Z$5,スコア表[#Headers],0))
-
INDEX(スコア表2[],MATCH("average",スコア表2[maxmin],0),MATCH(Z$5,スコア表2[#Headers],0)))
/
INDEX(スコア表2[],MATCH("stdev.p",スコア表2[maxmin],0),MATCH(Z$5,スコア表2[#Headers],0))
*10+50,"-")</f>
        <v>43.989414619123949</v>
      </c>
      <c r="AA16" s="4">
        <f>IFERROR(
(INDEX(スコア表[],MATCH($C16,スコア表['#],0),MATCH(AA$5,スコア表[#Headers],0))
-
INDEX(スコア表2[],MATCH("average",スコア表2[maxmin],0),MATCH(AA$5,スコア表2[#Headers],0)))
/
INDEX(スコア表2[],MATCH("stdev.p",スコア表2[maxmin],0),MATCH(AA$5,スコア表2[#Headers],0))
*10+50,"-")</f>
        <v>50.953098758678706</v>
      </c>
      <c r="AB16" s="4">
        <f>IFERROR(
(INDEX(スコア表[],MATCH($C16,スコア表['#],0),MATCH(AB$5,スコア表[#Headers],0))
-
INDEX(スコア表2[],MATCH("average",スコア表2[maxmin],0),MATCH(AB$5,スコア表2[#Headers],0)))
/
INDEX(スコア表2[],MATCH("stdev.p",スコア表2[maxmin],0),MATCH(AB$5,スコア表2[#Headers],0))
*10+50,"-")</f>
        <v>44.908305696139976</v>
      </c>
      <c r="AC16" s="4">
        <f>IFERROR(
(INDEX(スコア表[],MATCH($C16,スコア表['#],0),MATCH(AC$5,スコア表[#Headers],0))
-
INDEX(スコア表2[],MATCH("average",スコア表2[maxmin],0),MATCH(AC$5,スコア表2[#Headers],0)))
/
INDEX(スコア表2[],MATCH("stdev.p",スコア表2[maxmin],0),MATCH(AC$5,スコア表2[#Headers],0))
*10+50,"-")</f>
        <v>50.587883836135688</v>
      </c>
      <c r="AD16" s="4">
        <f>IFERROR(
(INDEX(スコア表[],MATCH($C16,スコア表['#],0),MATCH(AD$5,スコア表[#Headers],0))
-
INDEX(スコア表2[],MATCH("average",スコア表2[maxmin],0),MATCH(AD$5,スコア表2[#Headers],0)))
/
INDEX(スコア表2[],MATCH("stdev.p",スコア表2[maxmin],0),MATCH(AD$5,スコア表2[#Headers],0))
*10+50,"-")</f>
        <v>50.214789958064408</v>
      </c>
      <c r="AE16" s="4">
        <f>IFERROR(
(INDEX(スコア表[],MATCH($C16,スコア表['#],0),MATCH(AE$5,スコア表[#Headers],0))
-
INDEX(スコア表2[],MATCH("average",スコア表2[maxmin],0),MATCH(AE$5,スコア表2[#Headers],0)))
/
INDEX(スコア表2[],MATCH("stdev.p",スコア表2[maxmin],0),MATCH(AE$5,スコア表2[#Headers],0))
*10+50,"-")</f>
        <v>46.959378179129963</v>
      </c>
      <c r="AF16" s="4">
        <f>IFERROR(
(INDEX(スコア表[],MATCH($C16,スコア表['#],0),MATCH(AF$5,スコア表[#Headers],0))
-
INDEX(スコア表2[],MATCH("average",スコア表2[maxmin],0),MATCH(AF$5,スコア表2[#Headers],0)))
/
INDEX(スコア表2[],MATCH("stdev.p",スコア表2[maxmin],0),MATCH(AF$5,スコア表2[#Headers],0))
*10+50,"-")</f>
        <v>46.640317373145564</v>
      </c>
      <c r="AG16" s="4">
        <f>IFERROR(
(INDEX(スコア表[],MATCH($C16,スコア表['#],0),MATCH(AG$5,スコア表[#Headers],0))
-
INDEX(スコア表2[],MATCH("average",スコア表2[maxmin],0),MATCH(AG$5,スコア表2[#Headers],0)))
/
INDEX(スコア表2[],MATCH("stdev.p",スコア表2[maxmin],0),MATCH(AG$5,スコア表2[#Headers],0))
*10+50,"-")</f>
        <v>43.252978456149478</v>
      </c>
      <c r="AH16" s="4">
        <f>IFERROR(
(INDEX(スコア表[],MATCH($C16,スコア表['#],0),MATCH(AH$5,スコア表[#Headers],0))
-
INDEX(スコア表2[],MATCH("average",スコア表2[maxmin],0),MATCH(AH$5,スコア表2[#Headers],0)))
/
INDEX(スコア表2[],MATCH("stdev.p",スコア表2[maxmin],0),MATCH(AH$5,スコア表2[#Headers],0))
*10+50,"-")</f>
        <v>54.484321019600003</v>
      </c>
      <c r="AI16" s="4">
        <f>IFERROR(
(INDEX(スコア表[],MATCH($C16,スコア表['#],0),MATCH(AI$5,スコア表[#Headers],0))
-
INDEX(スコア表2[],MATCH("average",スコア表2[maxmin],0),MATCH(AI$5,スコア表2[#Headers],0)))
/
INDEX(スコア表2[],MATCH("stdev.p",スコア表2[maxmin],0),MATCH(AI$5,スコア表2[#Headers],0))
*10+50,"-")</f>
        <v>39.131379315511353</v>
      </c>
      <c r="AJ16" s="4">
        <f>IFERROR(
(INDEX(スコア表[],MATCH($C16,スコア表['#],0),MATCH(AJ$5,スコア表[#Headers],0))
-
INDEX(スコア表2[],MATCH("average",スコア表2[maxmin],0),MATCH(AJ$5,スコア表2[#Headers],0)))
/
INDEX(スコア表2[],MATCH("stdev.p",スコア表2[maxmin],0),MATCH(AJ$5,スコア表2[#Headers],0))
*10+50,"-")</f>
        <v>44.898287681481179</v>
      </c>
      <c r="AK16" s="4">
        <f>IFERROR(
(INDEX(スコア表[],MATCH($C16,スコア表['#],0),MATCH(AK$5,スコア表[#Headers],0))
-
INDEX(スコア表2[],MATCH("average",スコア表2[maxmin],0),MATCH(AK$5,スコア表2[#Headers],0)))
/
INDEX(スコア表2[],MATCH("stdev.p",スコア表2[maxmin],0),MATCH(AK$5,スコア表2[#Headers],0))
*10+50,"-")</f>
        <v>44.006560559895959</v>
      </c>
      <c r="AL16" s="4">
        <f>IFERROR(
(INDEX(スコア表[],MATCH($C16,スコア表['#],0),MATCH(AL$5,スコア表[#Headers],0))
-
INDEX(スコア表2[],MATCH("average",スコア表2[maxmin],0),MATCH(AL$5,スコア表2[#Headers],0)))
/
INDEX(スコア表2[],MATCH("stdev.p",スコア表2[maxmin],0),MATCH(AL$5,スコア表2[#Headers],0))
*10+50,"-")</f>
        <v>46.249564217977529</v>
      </c>
      <c r="AM16" s="4">
        <f>IFERROR(
(INDEX(スコア表[],MATCH($C16,スコア表['#],0),MATCH(AM$5,スコア表[#Headers],0))
-
INDEX(スコア表2[],MATCH("average",スコア表2[maxmin],0),MATCH(AM$5,スコア表2[#Headers],0)))
/
INDEX(スコア表2[],MATCH("stdev.p",スコア表2[maxmin],0),MATCH(AM$5,スコア表2[#Headers],0))
*10+50,"-")</f>
        <v>42.711961300823027</v>
      </c>
      <c r="AN16" s="4">
        <f>IFERROR(
(INDEX(スコア表[],MATCH($C16,スコア表['#],0),MATCH(AN$5,スコア表[#Headers],0))
-
INDEX(スコア表2[],MATCH("average",スコア表2[maxmin],0),MATCH(AN$5,スコア表2[#Headers],0)))
/
INDEX(スコア表2[],MATCH("stdev.p",スコア表2[maxmin],0),MATCH(AN$5,スコア表2[#Headers],0))
*10+50,"-")</f>
        <v>43.512581468012783</v>
      </c>
      <c r="AO16" s="4">
        <f>IFERROR(
(INDEX(スコア表[],MATCH($C16,スコア表['#],0),MATCH(AO$5,スコア表[#Headers],0))
-
INDEX(スコア表2[],MATCH("average",スコア表2[maxmin],0),MATCH(AO$5,スコア表2[#Headers],0)))
/
INDEX(スコア表2[],MATCH("stdev.p",スコア表2[maxmin],0),MATCH(AO$5,スコア表2[#Headers],0))
*10+50,"-")</f>
        <v>44.258668349492538</v>
      </c>
      <c r="AP16" s="4">
        <f>IFERROR(
(INDEX(スコア表[],MATCH($C16,スコア表['#],0),MATCH(AP$5,スコア表[#Headers],0))
-
INDEX(スコア表2[],MATCH("average",スコア表2[maxmin],0),MATCH(AP$5,スコア表2[#Headers],0)))
/
INDEX(スコア表2[],MATCH("stdev.p",スコア表2[maxmin],0),MATCH(AP$5,スコア表2[#Headers],0))
*10+50,"-")</f>
        <v>48.85217825504111</v>
      </c>
      <c r="AQ16" s="4">
        <f>IFERROR(
(INDEX(スコア表[],MATCH($C16,スコア表['#],0),MATCH(AQ$5,スコア表[#Headers],0))
-
INDEX(スコア表2[],MATCH("average",スコア表2[maxmin],0),MATCH(AQ$5,スコア表2[#Headers],0)))
/
INDEX(スコア表2[],MATCH("stdev.p",スコア表2[maxmin],0),MATCH(AQ$5,スコア表2[#Headers],0))
*10+50,"-")</f>
        <v>44.280486359212546</v>
      </c>
      <c r="AR16" s="4">
        <f>IFERROR(
(INDEX(スコア表[],MATCH($C16,スコア表['#],0),MATCH(AR$5,スコア表[#Headers],0))
-
INDEX(スコア表2[],MATCH("average",スコア表2[maxmin],0),MATCH(AR$5,スコア表2[#Headers],0)))
/
INDEX(スコア表2[],MATCH("stdev.p",スコア表2[maxmin],0),MATCH(AR$5,スコア表2[#Headers],0))
*10+50,"-")</f>
        <v>53.978534509042412</v>
      </c>
      <c r="AS16" s="4">
        <f>IFERROR(
(INDEX(スコア表[],MATCH($C16,スコア表['#],0),MATCH(AS$5,スコア表[#Headers],0))
-
INDEX(スコア表2[],MATCH("average",スコア表2[maxmin],0),MATCH(AS$5,スコア表2[#Headers],0)))
/
INDEX(スコア表2[],MATCH("stdev.p",スコア表2[maxmin],0),MATCH(AS$5,スコア表2[#Headers],0))
*10+50,"-")</f>
        <v>55.604290863141287</v>
      </c>
      <c r="AT16" s="4">
        <f>IFERROR(
(INDEX(スコア表[],MATCH($C16,スコア表['#],0),MATCH(AT$5,スコア表[#Headers],0))
-
INDEX(スコア表2[],MATCH("average",スコア表2[maxmin],0),MATCH(AT$5,スコア表2[#Headers],0)))
/
INDEX(スコア表2[],MATCH("stdev.p",スコア表2[maxmin],0),MATCH(AT$5,スコア表2[#Headers],0))
*10+50,"-")</f>
        <v>57.559194452542165</v>
      </c>
      <c r="AU16" s="4">
        <f>IFERROR(
(INDEX(スコア表[],MATCH($C16,スコア表['#],0),MATCH(AU$5,スコア表[#Headers],0))
-
INDEX(スコア表2[],MATCH("average",スコア表2[maxmin],0),MATCH(AU$5,スコア表2[#Headers],0)))
/
INDEX(スコア表2[],MATCH("stdev.p",スコア表2[maxmin],0),MATCH(AU$5,スコア表2[#Headers],0))
*10+50,"-")</f>
        <v>45.937927816558307</v>
      </c>
      <c r="AV16" s="4">
        <f>IFERROR(
(INDEX(スコア表[],MATCH($C16,スコア表['#],0),MATCH(AV$5,スコア表[#Headers],0))
-
INDEX(スコア表2[],MATCH("average",スコア表2[maxmin],0),MATCH(AV$5,スコア表2[#Headers],0)))
/
INDEX(スコア表2[],MATCH("stdev.p",スコア表2[maxmin],0),MATCH(AV$5,スコア表2[#Headers],0))
*10+50,"-")</f>
        <v>47.49620215251089</v>
      </c>
      <c r="AW16" s="4">
        <f>IFERROR(
(INDEX(スコア表[],MATCH($C16,スコア表['#],0),MATCH(AW$5,スコア表[#Headers],0))
-
INDEX(スコア表2[],MATCH("average",スコア表2[maxmin],0),MATCH(AW$5,スコア表2[#Headers],0)))
/
INDEX(スコア表2[],MATCH("stdev.p",スコア表2[maxmin],0),MATCH(AW$5,スコア表2[#Headers],0))
*10+50,"-")</f>
        <v>42.654854234535868</v>
      </c>
      <c r="AX16" s="4">
        <f>IFERROR(
(INDEX(スコア表[],MATCH($C16,スコア表['#],0),MATCH(AX$5,スコア表[#Headers],0))
-
INDEX(スコア表2[],MATCH("average",スコア表2[maxmin],0),MATCH(AX$5,スコア表2[#Headers],0)))
/
INDEX(スコア表2[],MATCH("stdev.p",スコア表2[maxmin],0),MATCH(AX$5,スコア表2[#Headers],0))
*10+50,"-")</f>
        <v>54.868891785137251</v>
      </c>
      <c r="AY16" s="4">
        <f>IFERROR(
(INDEX(スコア表[],MATCH($C16,スコア表['#],0),MATCH(AY$5,スコア表[#Headers],0))
-
INDEX(スコア表2[],MATCH("average",スコア表2[maxmin],0),MATCH(AY$5,スコア表2[#Headers],0)))
/
INDEX(スコア表2[],MATCH("stdev.p",スコア表2[maxmin],0),MATCH(AY$5,スコア表2[#Headers],0))
*10+50,"-")</f>
        <v>52.943048917100768</v>
      </c>
      <c r="AZ16" s="4">
        <f>IFERROR(
(INDEX(スコア表[],MATCH($C16,スコア表['#],0),MATCH(AZ$5,スコア表[#Headers],0))
-
INDEX(スコア表2[],MATCH("average",スコア表2[maxmin],0),MATCH(AZ$5,スコア表2[#Headers],0)))
/
INDEX(スコア表2[],MATCH("stdev.p",スコア表2[maxmin],0),MATCH(AZ$5,スコア表2[#Headers],0))
*10+50,"-")</f>
        <v>53.508539374090134</v>
      </c>
      <c r="BA16" s="4">
        <f>IFERROR(
(INDEX(スコア表[],MATCH($C16,スコア表['#],0),MATCH(BA$5,スコア表[#Headers],0))
-
INDEX(スコア表2[],MATCH("average",スコア表2[maxmin],0),MATCH(BA$5,スコア表2[#Headers],0)))
/
INDEX(スコア表2[],MATCH("stdev.p",スコア表2[maxmin],0),MATCH(BA$5,スコア表2[#Headers],0))
*10+50,"-")</f>
        <v>62.501514233454003</v>
      </c>
      <c r="BB16" s="4">
        <f>IFERROR(
(INDEX(スコア表[],MATCH($C16,スコア表['#],0),MATCH(BB$5,スコア表[#Headers],0))
-
INDEX(スコア表2[],MATCH("average",スコア表2[maxmin],0),MATCH(BB$5,スコア表2[#Headers],0)))
/
INDEX(スコア表2[],MATCH("stdev.p",スコア表2[maxmin],0),MATCH(BB$5,スコア表2[#Headers],0))
*10+50,"-")</f>
        <v>57.946283256307083</v>
      </c>
      <c r="BC16" s="4">
        <f>IFERROR(
(INDEX(スコア表[],MATCH($C16,スコア表['#],0),MATCH(BC$5,スコア表[#Headers],0))
-
INDEX(スコア表2[],MATCH("average",スコア表2[maxmin],0),MATCH(BC$5,スコア表2[#Headers],0)))
/
INDEX(スコア表2[],MATCH("stdev.p",スコア表2[maxmin],0),MATCH(BC$5,スコア表2[#Headers],0))
*10+50,"-")</f>
        <v>55.678190549269317</v>
      </c>
      <c r="BD16" s="4">
        <f>IFERROR(
(INDEX(スコア表[],MATCH($C16,スコア表['#],0),MATCH(BD$5,スコア表[#Headers],0))
-
INDEX(スコア表2[],MATCH("average",スコア表2[maxmin],0),MATCH(BD$5,スコア表2[#Headers],0)))
/
INDEX(スコア表2[],MATCH("stdev.p",スコア表2[maxmin],0),MATCH(BD$5,スコア表2[#Headers],0))
*10+50,"-")</f>
        <v>58.095116177494084</v>
      </c>
      <c r="BE16" s="4">
        <f>IFERROR(
(INDEX(スコア表[],MATCH($C16,スコア表['#],0),MATCH(BE$5,スコア表[#Headers],0))
-
INDEX(スコア表2[],MATCH("average",スコア表2[maxmin],0),MATCH(BE$5,スコア表2[#Headers],0)))
/
INDEX(スコア表2[],MATCH("stdev.p",スコア表2[maxmin],0),MATCH(BE$5,スコア表2[#Headers],0))
*10+50,"-")</f>
        <v>40.983894548985212</v>
      </c>
      <c r="BF16" s="4">
        <f>IFERROR(
(INDEX(スコア表[],MATCH($C16,スコア表['#],0),MATCH(BF$5,スコア表[#Headers],0))
-
INDEX(スコア表2[],MATCH("average",スコア表2[maxmin],0),MATCH(BF$5,スコア表2[#Headers],0)))
/
INDEX(スコア表2[],MATCH("stdev.p",スコア表2[maxmin],0),MATCH(BF$5,スコア表2[#Headers],0))
*10+50,"-")</f>
        <v>41.895317741227359</v>
      </c>
      <c r="BG16" s="4">
        <f>IFERROR(
(INDEX(スコア表[],MATCH($C16,スコア表['#],0),MATCH(BG$5,スコア表[#Headers],0))
-
INDEX(スコア表2[],MATCH("average",スコア表2[maxmin],0),MATCH(BG$5,スコア表2[#Headers],0)))
/
INDEX(スコア表2[],MATCH("stdev.p",スコア表2[maxmin],0),MATCH(BG$5,スコア表2[#Headers],0))
*10+50,"-")</f>
        <v>73.703725110685212</v>
      </c>
      <c r="BH16" s="4">
        <f>IFERROR(
(INDEX(スコア表[],MATCH($C16,スコア表['#],0),MATCH(BH$5,スコア表[#Headers],0))
-
INDEX(スコア表2[],MATCH("average",スコア表2[maxmin],0),MATCH(BH$5,スコア表2[#Headers],0)))
/
INDEX(スコア表2[],MATCH("stdev.p",スコア表2[maxmin],0),MATCH(BH$5,スコア表2[#Headers],0))
*10+50,"-")</f>
        <v>74.072894041123675</v>
      </c>
      <c r="BI16" s="4">
        <f>IFERROR(
(INDEX(スコア表[],MATCH($C16,スコア表['#],0),MATCH(BI$5,スコア表[#Headers],0))
-
INDEX(スコア表2[],MATCH("average",スコア表2[maxmin],0),MATCH(BI$5,スコア表2[#Headers],0)))
/
INDEX(スコア表2[],MATCH("stdev.p",スコア表2[maxmin],0),MATCH(BI$5,スコア表2[#Headers],0))
*10+50,"-")</f>
        <v>47.119425909295266</v>
      </c>
      <c r="BJ16" s="4">
        <f>IFERROR(
(INDEX(スコア表[],MATCH($C16,スコア表['#],0),MATCH(BJ$5,スコア表[#Headers],0))
-
INDEX(スコア表2[],MATCH("average",スコア表2[maxmin],0),MATCH(BJ$5,スコア表2[#Headers],0)))
/
INDEX(スコア表2[],MATCH("stdev.p",スコア表2[maxmin],0),MATCH(BJ$5,スコア表2[#Headers],0))
*10+50,"-")</f>
        <v>55.000332539395842</v>
      </c>
      <c r="BK16" s="4">
        <f>IFERROR(
(INDEX(スコア表[],MATCH($C16,スコア表['#],0),MATCH(BK$5,スコア表[#Headers],0))
-
INDEX(スコア表2[],MATCH("average",スコア表2[maxmin],0),MATCH(BK$5,スコア表2[#Headers],0)))
/
INDEX(スコア表2[],MATCH("stdev.p",スコア表2[maxmin],0),MATCH(BK$5,スコア表2[#Headers],0))
*10+50,"-")</f>
        <v>56.277048101685892</v>
      </c>
      <c r="BL16" s="4">
        <f>IFERROR(
(INDEX(スコア表[],MATCH($C16,スコア表['#],0),MATCH(BL$5,スコア表[#Headers],0))
-
INDEX(スコア表2[],MATCH("average",スコア表2[maxmin],0),MATCH(BL$5,スコア表2[#Headers],0)))
/
INDEX(スコア表2[],MATCH("stdev.p",スコア表2[maxmin],0),MATCH(BL$5,スコア表2[#Headers],0))
*10+50,"-")</f>
        <v>45.279066870244755</v>
      </c>
      <c r="BM16" s="4">
        <f>IFERROR(
(INDEX(スコア表[],MATCH($C16,スコア表['#],0),MATCH(BM$5,スコア表[#Headers],0))
-
INDEX(スコア表2[],MATCH("average",スコア表2[maxmin],0),MATCH(BM$5,スコア表2[#Headers],0)))
/
INDEX(スコア表2[],MATCH("stdev.p",スコア表2[maxmin],0),MATCH(BM$5,スコア表2[#Headers],0))
*10+50,"-")</f>
        <v>63.580668122294611</v>
      </c>
      <c r="BN16" s="4">
        <f>IFERROR(
(INDEX(スコア表[],MATCH($C16,スコア表['#],0),MATCH(BN$5,スコア表[#Headers],0))
-
INDEX(スコア表2[],MATCH("average",スコア表2[maxmin],0),MATCH(BN$5,スコア表2[#Headers],0)))
/
INDEX(スコア表2[],MATCH("stdev.p",スコア表2[maxmin],0),MATCH(BN$5,スコア表2[#Headers],0))
*10+50,"-")</f>
        <v>55.618386263038332</v>
      </c>
      <c r="BO16" s="4">
        <f>IFERROR(
(INDEX(スコア表[],MATCH($C16,スコア表['#],0),MATCH(BO$5,スコア表[#Headers],0))
-
INDEX(スコア表2[],MATCH("average",スコア表2[maxmin],0),MATCH(BO$5,スコア表2[#Headers],0)))
/
INDEX(スコア表2[],MATCH("stdev.p",スコア表2[maxmin],0),MATCH(BO$5,スコア表2[#Headers],0))
*10+50,"-")</f>
        <v>59.630308518086665</v>
      </c>
      <c r="BP16" s="4">
        <f>IFERROR(
(INDEX(スコア表[],MATCH($C16,スコア表['#],0),MATCH(BP$5,スコア表[#Headers],0))
-
INDEX(スコア表2[],MATCH("average",スコア表2[maxmin],0),MATCH(BP$5,スコア表2[#Headers],0)))
/
INDEX(スコア表2[],MATCH("stdev.p",スコア表2[maxmin],0),MATCH(BP$5,スコア表2[#Headers],0))
*10+50,"-")</f>
        <v>55.564792326504822</v>
      </c>
      <c r="BQ16" s="4">
        <f>IFERROR(
(INDEX(スコア表[],MATCH($C16,スコア表['#],0),MATCH(BQ$5,スコア表[#Headers],0))
-
INDEX(スコア表2[],MATCH("average",スコア表2[maxmin],0),MATCH(BQ$5,スコア表2[#Headers],0)))
/
INDEX(スコア表2[],MATCH("stdev.p",スコア表2[maxmin],0),MATCH(BQ$5,スコア表2[#Headers],0))
*10+50,"-")</f>
        <v>43.533136726705429</v>
      </c>
      <c r="BR16" s="4">
        <f>IFERROR(
(INDEX(スコア表[],MATCH($C16,スコア表['#],0),MATCH(BR$5,スコア表[#Headers],0))
-
INDEX(スコア表2[],MATCH("average",スコア表2[maxmin],0),MATCH(BR$5,スコア表2[#Headers],0)))
/
INDEX(スコア表2[],MATCH("stdev.p",スコア表2[maxmin],0),MATCH(BR$5,スコア表2[#Headers],0))
*10+50,"-")</f>
        <v>43.924854397780543</v>
      </c>
      <c r="BS16" s="4">
        <f>IFERROR(
(INDEX(スコア表[],MATCH($C16,スコア表['#],0),MATCH(BS$5,スコア表[#Headers],0))
-
INDEX(スコア表2[],MATCH("average",スコア表2[maxmin],0),MATCH(BS$5,スコア表2[#Headers],0)))
/
INDEX(スコア表2[],MATCH("stdev.p",スコア表2[maxmin],0),MATCH(BS$5,スコア表2[#Headers],0))
*10+50,"-")</f>
        <v>44.652122946083452</v>
      </c>
      <c r="BT16" s="4">
        <f>IFERROR(
(INDEX(スコア表[],MATCH($C16,スコア表['#],0),MATCH(BT$5,スコア表[#Headers],0))
-
INDEX(スコア表2[],MATCH("average",スコア表2[maxmin],0),MATCH(BT$5,スコア表2[#Headers],0)))
/
INDEX(スコア表2[],MATCH("stdev.p",スコア表2[maxmin],0),MATCH(BT$5,スコア表2[#Headers],0))
*10+50,"-")</f>
        <v>41.078448325974676</v>
      </c>
      <c r="BU16" s="4">
        <f>IFERROR(
(INDEX(スコア表[],MATCH($C16,スコア表['#],0),MATCH(BU$5,スコア表[#Headers],0))
-
INDEX(スコア表2[],MATCH("average",スコア表2[maxmin],0),MATCH(BU$5,スコア表2[#Headers],0)))
/
INDEX(スコア表2[],MATCH("stdev.p",スコア表2[maxmin],0),MATCH(BU$5,スコア表2[#Headers],0))
*10+50,"-")</f>
        <v>57.812427683136036</v>
      </c>
      <c r="BV16" s="4">
        <f>IFERROR(
(INDEX(スコア表[],MATCH($C16,スコア表['#],0),MATCH(BV$5,スコア表[#Headers],0))
-
INDEX(スコア表2[],MATCH("average",スコア表2[maxmin],0),MATCH(BV$5,スコア表2[#Headers],0)))
/
INDEX(スコア表2[],MATCH("stdev.p",スコア表2[maxmin],0),MATCH(BV$5,スコア表2[#Headers],0))
*10+50,"-")</f>
        <v>62.345265585919002</v>
      </c>
      <c r="BW16" s="4">
        <f>IFERROR(
(INDEX(スコア表[],MATCH($C16,スコア表['#],0),MATCH(BW$5,スコア表[#Headers],0))
-
INDEX(スコア表2[],MATCH("average",スコア表2[maxmin],0),MATCH(BW$5,スコア表2[#Headers],0)))
/
INDEX(スコア表2[],MATCH("stdev.p",スコア表2[maxmin],0),MATCH(BW$5,スコア表2[#Headers],0))
*10+50,"-")</f>
        <v>62.248290002215001</v>
      </c>
      <c r="BX16" s="4">
        <f>IFERROR(
(INDEX(スコア表[],MATCH($C16,スコア表['#],0),MATCH(BX$5,スコア表[#Headers],0))
-
INDEX(スコア表2[],MATCH("average",スコア表2[maxmin],0),MATCH(BX$5,スコア表2[#Headers],0)))
/
INDEX(スコア表2[],MATCH("stdev.p",スコア表2[maxmin],0),MATCH(BX$5,スコア表2[#Headers],0))
*10+50,"-")</f>
        <v>58.529416613265326</v>
      </c>
      <c r="BY16" s="4">
        <f>IFERROR(
(INDEX(スコア表[],MATCH($C16,スコア表['#],0),MATCH(BY$5,スコア表[#Headers],0))
-
INDEX(スコア表2[],MATCH("average",スコア表2[maxmin],0),MATCH(BY$5,スコア表2[#Headers],0)))
/
INDEX(スコア表2[],MATCH("stdev.p",スコア表2[maxmin],0),MATCH(BY$5,スコア表2[#Headers],0))
*10+50,"-")</f>
        <v>75.058896031665725</v>
      </c>
      <c r="BZ16" s="4">
        <f>IFERROR(
(INDEX(スコア表[],MATCH($C16,スコア表['#],0),MATCH(BZ$5,スコア表[#Headers],0))
-
INDEX(スコア表2[],MATCH("average",スコア表2[maxmin],0),MATCH(BZ$5,スコア表2[#Headers],0)))
/
INDEX(スコア表2[],MATCH("stdev.p",スコア表2[maxmin],0),MATCH(BZ$5,スコア表2[#Headers],0))
*10+50,"-")</f>
        <v>49.445544099938743</v>
      </c>
      <c r="CA16" s="4">
        <f>IFERROR(
(INDEX(スコア表[],MATCH($C16,スコア表['#],0),MATCH(CA$5,スコア表[#Headers],0))
-
INDEX(スコア表2[],MATCH("average",スコア表2[maxmin],0),MATCH(CA$5,スコア表2[#Headers],0)))
/
INDEX(スコア表2[],MATCH("stdev.p",スコア表2[maxmin],0),MATCH(CA$5,スコア表2[#Headers],0))
*10+50,"-")</f>
        <v>58.839771137570899</v>
      </c>
      <c r="CB16" s="4">
        <f>IFERROR(
(INDEX(スコア表[],MATCH($C16,スコア表['#],0),MATCH(CB$5,スコア表[#Headers],0))
-
INDEX(スコア表2[],MATCH("average",スコア表2[maxmin],0),MATCH(CB$5,スコア表2[#Headers],0)))
/
INDEX(スコア表2[],MATCH("stdev.p",スコア表2[maxmin],0),MATCH(CB$5,スコア表2[#Headers],0))
*10+50,"-")</f>
        <v>46.349976037014478</v>
      </c>
      <c r="CC16" s="4">
        <f>IFERROR(
(INDEX(スコア表[],MATCH($C16,スコア表['#],0),MATCH(CC$5,スコア表[#Headers],0))
-
INDEX(スコア表2[],MATCH("average",スコア表2[maxmin],0),MATCH(CC$5,スコア表2[#Headers],0)))
/
INDEX(スコア表2[],MATCH("stdev.p",スコア表2[maxmin],0),MATCH(CC$5,スコア表2[#Headers],0))
*10+50,"-")</f>
        <v>39.143850678049105</v>
      </c>
      <c r="CD16" s="4">
        <f>IFERROR(
(INDEX(スコア表[],MATCH($C16,スコア表['#],0),MATCH(CD$5,スコア表[#Headers],0))
-
INDEX(スコア表2[],MATCH("average",スコア表2[maxmin],0),MATCH(CD$5,スコア表2[#Headers],0)))
/
INDEX(スコア表2[],MATCH("stdev.p",スコア表2[maxmin],0),MATCH(CD$5,スコア表2[#Headers],0))
*10+50,"-")</f>
        <v>57.47882755720233</v>
      </c>
      <c r="CE16" s="4">
        <f>IFERROR(
(INDEX(スコア表[],MATCH($C16,スコア表['#],0),MATCH(CE$5,スコア表[#Headers],0))
-
INDEX(スコア表2[],MATCH("average",スコア表2[maxmin],0),MATCH(CE$5,スコア表2[#Headers],0)))
/
INDEX(スコア表2[],MATCH("stdev.p",スコア表2[maxmin],0),MATCH(CE$5,スコア表2[#Headers],0))
*10+50,"-")</f>
        <v>59.306232582473463</v>
      </c>
      <c r="CF16" s="4">
        <f>IFERROR(
(INDEX(スコア表[],MATCH($C16,スコア表['#],0),MATCH(CF$5,スコア表[#Headers],0))
-
INDEX(スコア表2[],MATCH("average",スコア表2[maxmin],0),MATCH(CF$5,スコア表2[#Headers],0)))
/
INDEX(スコア表2[],MATCH("stdev.p",スコア表2[maxmin],0),MATCH(CF$5,スコア表2[#Headers],0))
*10+50,"-")</f>
        <v>44.079689618473019</v>
      </c>
      <c r="CG16" s="4">
        <f>IFERROR(
(INDEX(スコア表[],MATCH($C16,スコア表['#],0),MATCH(CG$5,スコア表[#Headers],0))
-
INDEX(スコア表2[],MATCH("average",スコア表2[maxmin],0),MATCH(CG$5,スコア表2[#Headers],0)))
/
INDEX(スコア表2[],MATCH("stdev.p",スコア表2[maxmin],0),MATCH(CG$5,スコア表2[#Headers],0))
*10+50,"-")</f>
        <v>48.142929613314635</v>
      </c>
      <c r="CH16" s="4">
        <f>IFERROR(
(INDEX(スコア表[],MATCH($C16,スコア表['#],0),MATCH(CH$5,スコア表[#Headers],0))
-
INDEX(スコア表2[],MATCH("average",スコア表2[maxmin],0),MATCH(CH$5,スコア表2[#Headers],0)))
/
INDEX(スコア表2[],MATCH("stdev.p",スコア表2[maxmin],0),MATCH(CH$5,スコア表2[#Headers],0))
*10+50,"-")</f>
        <v>45.554860750214729</v>
      </c>
      <c r="CI16" s="4">
        <f>IFERROR(
(INDEX(スコア表[],MATCH($C16,スコア表['#],0),MATCH(CI$5,スコア表[#Headers],0))
-
INDEX(スコア表2[],MATCH("average",スコア表2[maxmin],0),MATCH(CI$5,スコア表2[#Headers],0)))
/
INDEX(スコア表2[],MATCH("stdev.p",スコア表2[maxmin],0),MATCH(CI$5,スコア表2[#Headers],0))
*10+50,"-")</f>
        <v>47.99932458430758</v>
      </c>
      <c r="CJ16" s="4">
        <f>IFERROR(
(INDEX(スコア表[],MATCH($C16,スコア表['#],0),MATCH(CJ$5,スコア表[#Headers],0))
-
INDEX(スコア表2[],MATCH("average",スコア表2[maxmin],0),MATCH(CJ$5,スコア表2[#Headers],0)))
/
INDEX(スコア表2[],MATCH("stdev.p",スコア表2[maxmin],0),MATCH(CJ$5,スコア表2[#Headers],0))
*10+50,"-")</f>
        <v>44.540832554967899</v>
      </c>
      <c r="CK16" s="4">
        <f>IFERROR(
(INDEX(スコア表[],MATCH($C16,スコア表['#],0),MATCH(CK$5,スコア表[#Headers],0))
-
INDEX(スコア表2[],MATCH("average",スコア表2[maxmin],0),MATCH(CK$5,スコア表2[#Headers],0)))
/
INDEX(スコア表2[],MATCH("stdev.p",スコア表2[maxmin],0),MATCH(CK$5,スコア表2[#Headers],0))
*10+50,"-")</f>
        <v>44.134853475589679</v>
      </c>
      <c r="CL16" s="4">
        <f>IFERROR(
(INDEX(スコア表[],MATCH($C16,スコア表['#],0),MATCH(CL$5,スコア表[#Headers],0))
-
INDEX(スコア表2[],MATCH("average",スコア表2[maxmin],0),MATCH(CL$5,スコア表2[#Headers],0)))
/
INDEX(スコア表2[],MATCH("stdev.p",スコア表2[maxmin],0),MATCH(CL$5,スコア表2[#Headers],0))
*10+50,"-")</f>
        <v>43.463914500989674</v>
      </c>
      <c r="CM16" s="4">
        <f>IFERROR(
(INDEX(スコア表[],MATCH($C16,スコア表['#],0),MATCH(CM$5,スコア表[#Headers],0))
-
INDEX(スコア表2[],MATCH("average",スコア表2[maxmin],0),MATCH(CM$5,スコア表2[#Headers],0)))
/
INDEX(スコア表2[],MATCH("stdev.p",スコア表2[maxmin],0),MATCH(CM$5,スコア表2[#Headers],0))
*10+50,"-")</f>
        <v>49.508595376947113</v>
      </c>
      <c r="CN16" s="4">
        <f>IFERROR(
(INDEX(スコア表[],MATCH($C16,スコア表['#],0),MATCH(CN$5,スコア表[#Headers],0))
-
INDEX(スコア表2[],MATCH("average",スコア表2[maxmin],0),MATCH(CN$5,スコア表2[#Headers],0)))
/
INDEX(スコア表2[],MATCH("stdev.p",スコア表2[maxmin],0),MATCH(CN$5,スコア表2[#Headers],0))
*10+50,"-")</f>
        <v>54.163267405453936</v>
      </c>
      <c r="CO16" s="4">
        <f>IFERROR(
(INDEX(スコア表[],MATCH($C16,スコア表['#],0),MATCH(CO$5,スコア表[#Headers],0))
-
INDEX(スコア表2[],MATCH("average",スコア表2[maxmin],0),MATCH(CO$5,スコア表2[#Headers],0)))
/
INDEX(スコア表2[],MATCH("stdev.p",スコア表2[maxmin],0),MATCH(CO$5,スコア表2[#Headers],0))
*10+50,"-")</f>
        <v>44.853370768777125</v>
      </c>
      <c r="CP16" s="4">
        <f>IFERROR(
(INDEX(スコア表[],MATCH($C16,スコア表['#],0),MATCH(CP$5,スコア表[#Headers],0))
-
INDEX(スコア表2[],MATCH("average",スコア表2[maxmin],0),MATCH(CP$5,スコア表2[#Headers],0)))
/
INDEX(スコア表2[],MATCH("stdev.p",スコア表2[maxmin],0),MATCH(CP$5,スコア表2[#Headers],0))
*10+50,"-")</f>
        <v>55.921624784225045</v>
      </c>
      <c r="CQ16" s="4">
        <f>IFERROR(
(INDEX(スコア表[],MATCH($C16,スコア表['#],0),MATCH(CQ$5,スコア表[#Headers],0))
-
INDEX(スコア表2[],MATCH("average",スコア表2[maxmin],0),MATCH(CQ$5,スコア表2[#Headers],0)))
/
INDEX(スコア表2[],MATCH("stdev.p",スコア表2[maxmin],0),MATCH(CQ$5,スコア表2[#Headers],0))
*10+50,"-")</f>
        <v>61.135983182639173</v>
      </c>
      <c r="CR16" s="4">
        <f>IFERROR(
(INDEX(スコア表[],MATCH($C16,スコア表['#],0),MATCH(CR$5,スコア表[#Headers],0))
-
INDEX(スコア表2[],MATCH("average",スコア表2[maxmin],0),MATCH(CR$5,スコア表2[#Headers],0)))
/
INDEX(スコア表2[],MATCH("stdev.p",スコア表2[maxmin],0),MATCH(CR$5,スコア表2[#Headers],0))
*10+50,"-")</f>
        <v>49.624411638020668</v>
      </c>
      <c r="CS16" s="4">
        <f>IFERROR(
(INDEX(スコア表[],MATCH($C16,スコア表['#],0),MATCH(CS$5,スコア表[#Headers],0))
-
INDEX(スコア表2[],MATCH("average",スコア表2[maxmin],0),MATCH(CS$5,スコア表2[#Headers],0)))
/
INDEX(スコア表2[],MATCH("stdev.p",スコア表2[maxmin],0),MATCH(CS$5,スコア表2[#Headers],0))
*10+50,"-")</f>
        <v>78.668457501320063</v>
      </c>
      <c r="CT16" s="4">
        <f>IFERROR(
(INDEX(スコア表[],MATCH($C16,スコア表['#],0),MATCH(CT$5,スコア表[#Headers],0))
-
INDEX(スコア表2[],MATCH("average",スコア表2[maxmin],0),MATCH(CT$5,スコア表2[#Headers],0)))
/
INDEX(スコア表2[],MATCH("stdev.p",スコア表2[maxmin],0),MATCH(CT$5,スコア表2[#Headers],0))
*10+50,"-")</f>
        <v>54.199647307793228</v>
      </c>
      <c r="CU16" s="4">
        <f>IFERROR(
(INDEX(スコア表[],MATCH($C16,スコア表['#],0),MATCH(CU$5,スコア表[#Headers],0))
-
INDEX(スコア表2[],MATCH("average",スコア表2[maxmin],0),MATCH(CU$5,スコア表2[#Headers],0)))
/
INDEX(スコア表2[],MATCH("stdev.p",スコア表2[maxmin],0),MATCH(CU$5,スコア表2[#Headers],0))
*10+50,"-")</f>
        <v>61.558637228280205</v>
      </c>
      <c r="CV16" s="4">
        <f>IFERROR(
(INDEX(スコア表[],MATCH($C16,スコア表['#],0),MATCH(CV$5,スコア表[#Headers],0))
-
INDEX(スコア表2[],MATCH("average",スコア表2[maxmin],0),MATCH(CV$5,スコア表2[#Headers],0)))
/
INDEX(スコア表2[],MATCH("stdev.p",スコア表2[maxmin],0),MATCH(CV$5,スコア表2[#Headers],0))
*10+50,"-")</f>
        <v>49.578918624664219</v>
      </c>
      <c r="CW16" s="4">
        <f>IFERROR(
(INDEX(スコア表[],MATCH($C16,スコア表['#],0),MATCH(CW$5,スコア表[#Headers],0))
-
INDEX(スコア表2[],MATCH("average",スコア表2[maxmin],0),MATCH(CW$5,スコア表2[#Headers],0)))
/
INDEX(スコア表2[],MATCH("stdev.p",スコア表2[maxmin],0),MATCH(CW$5,スコア表2[#Headers],0))
*10+50,"-")</f>
        <v>44.173875314306969</v>
      </c>
      <c r="CX16" s="4">
        <f>IFERROR(
(INDEX(スコア表[],MATCH($C16,スコア表['#],0),MATCH(CX$5,スコア表[#Headers],0))
-
INDEX(スコア表2[],MATCH("average",スコア表2[maxmin],0),MATCH(CX$5,スコア表2[#Headers],0)))
/
INDEX(スコア表2[],MATCH("stdev.p",スコア表2[maxmin],0),MATCH(CX$5,スコア表2[#Headers],0))
*10+50,"-")</f>
        <v>58.344891219343253</v>
      </c>
      <c r="CY16" s="4">
        <f>IFERROR(
(INDEX(スコア表[],MATCH($C16,スコア表['#],0),MATCH(CY$5,スコア表[#Headers],0))
-
INDEX(スコア表2[],MATCH("average",スコア表2[maxmin],0),MATCH(CY$5,スコア表2[#Headers],0)))
/
INDEX(スコア表2[],MATCH("stdev.p",スコア表2[maxmin],0),MATCH(CY$5,スコア表2[#Headers],0))
*10+50,"-")</f>
        <v>73.483765679494411</v>
      </c>
      <c r="CZ16" s="4">
        <f>IFERROR(
(INDEX(スコア表[],MATCH($C16,スコア表['#],0),MATCH(CZ$5,スコア表[#Headers],0))
-
INDEX(スコア表2[],MATCH("average",スコア表2[maxmin],0),MATCH(CZ$5,スコア表2[#Headers],0)))
/
INDEX(スコア表2[],MATCH("stdev.p",スコア表2[maxmin],0),MATCH(CZ$5,スコア表2[#Headers],0))
*10+50,"-")</f>
        <v>54.297108935331103</v>
      </c>
      <c r="DA16" s="4">
        <f>IFERROR(
(INDEX(スコア表[],MATCH($C16,スコア表['#],0),MATCH(DA$5,スコア表[#Headers],0))
-
INDEX(スコア表2[],MATCH("average",スコア表2[maxmin],0),MATCH(DA$5,スコア表2[#Headers],0)))
/
INDEX(スコア表2[],MATCH("stdev.p",スコア表2[maxmin],0),MATCH(DA$5,スコア表2[#Headers],0))
*10+50,"-")</f>
        <v>45.332672677061716</v>
      </c>
      <c r="DB16" s="4">
        <f>IFERROR(
(INDEX(スコア表[],MATCH($C16,スコア表['#],0),MATCH(DB$5,スコア表[#Headers],0))
-
INDEX(スコア表2[],MATCH("average",スコア表2[maxmin],0),MATCH(DB$5,スコア表2[#Headers],0)))
/
INDEX(スコア表2[],MATCH("stdev.p",スコア表2[maxmin],0),MATCH(DB$5,スコア表2[#Headers],0))
*10+50,"-")</f>
        <v>44.491315737707851</v>
      </c>
      <c r="DC16" s="4">
        <f>IFERROR(
(INDEX(スコア表[],MATCH($C16,スコア表['#],0),MATCH(DC$5,スコア表[#Headers],0))
-
INDEX(スコア表2[],MATCH("average",スコア表2[maxmin],0),MATCH(DC$5,スコア表2[#Headers],0)))
/
INDEX(スコア表2[],MATCH("stdev.p",スコア表2[maxmin],0),MATCH(DC$5,スコア表2[#Headers],0))
*10+50,"-")</f>
        <v>56.971525534262547</v>
      </c>
      <c r="DD16" s="4">
        <f>IFERROR(
(INDEX(スコア表[],MATCH($C16,スコア表['#],0),MATCH(DD$5,スコア表[#Headers],0))
-
INDEX(スコア表2[],MATCH("average",スコア表2[maxmin],0),MATCH(DD$5,スコア表2[#Headers],0)))
/
INDEX(スコア表2[],MATCH("stdev.p",スコア表2[maxmin],0),MATCH(DD$5,スコア表2[#Headers],0))
*10+50,"-")</f>
        <v>69.000577980309572</v>
      </c>
      <c r="DE16" s="4">
        <f>IFERROR(
(INDEX(スコア表[],MATCH($C16,スコア表['#],0),MATCH(DE$5,スコア表[#Headers],0))
-
INDEX(スコア表2[],MATCH("average",スコア表2[maxmin],0),MATCH(DE$5,スコア表2[#Headers],0)))
/
INDEX(スコア表2[],MATCH("stdev.p",スコア表2[maxmin],0),MATCH(DE$5,スコア表2[#Headers],0))
*10+50,"-")</f>
        <v>58.957157769854483</v>
      </c>
      <c r="DF16" s="76">
        <f>IFERROR(
(INDEX(スコア表[],MATCH($C16,スコア表['#],0),MATCH(DF$5,スコア表[#Headers],0))
-
INDEX(スコア表2[],MATCH("average",スコア表2[maxmin],0),MATCH(DF$5,スコア表2[#Headers],0)))
/
INDEX(スコア表2[],MATCH("stdev.p",スコア表2[maxmin],0),MATCH(DF$5,スコア表2[#Headers],0))
*10+50,"-")</f>
        <v>54.65403273182568</v>
      </c>
      <c r="DG16" s="4">
        <f>IFERROR(_xlfn.STDEV.P(偏差値表[[#This Row],[Economy]:[Accessibility]]),"")</f>
        <v>8.3645642400163904</v>
      </c>
    </row>
    <row r="17" spans="1:111">
      <c r="A17" s="2">
        <v>12</v>
      </c>
      <c r="B17" s="58">
        <f>INDEX(順位表[Comprehensive],MATCH($C17,順位表['#],0))</f>
        <v>12</v>
      </c>
      <c r="C17" s="3">
        <v>30</v>
      </c>
      <c r="D17" s="1" t="str">
        <f>INDEX(都市マスタ[City Name],MATCH($C17,都市マスタ['#],0))</f>
        <v>Sydney</v>
      </c>
      <c r="E17" s="4">
        <f>IFERROR(
(INDEX(スコア表[],MATCH($C17,スコア表['#],0),MATCH(E$5,スコア表[#Headers],0))
-
INDEX(スコア表2[],MATCH("average",スコア表2[maxmin],0),MATCH(E$5,スコア表2[#Headers],0)))
/
INDEX(スコア表2[],MATCH("stdev.p",スコア表2[maxmin],0),MATCH(E$5,スコア表2[#Headers],0))
*10+50,"-")</f>
        <v>49.933950337339773</v>
      </c>
      <c r="F17" s="4">
        <f>IFERROR(
(INDEX(スコア表[],MATCH($C17,スコア表['#],0),MATCH(F$5,スコア表[#Headers],0))
-
INDEX(スコア表2[],MATCH("average",スコア表2[maxmin],0),MATCH(F$5,スコア表2[#Headers],0)))
/
INDEX(スコア表2[],MATCH("stdev.p",スコア表2[maxmin],0),MATCH(F$5,スコア表2[#Headers],0))
*10+50,"-")</f>
        <v>82.754033625591887</v>
      </c>
      <c r="G17" s="4">
        <f>IFERROR(
(INDEX(スコア表[],MATCH($C17,スコア表['#],0),MATCH(G$5,スコア表[#Headers],0))
-
INDEX(スコア表2[],MATCH("average",スコア表2[maxmin],0),MATCH(G$5,スコア表2[#Headers],0)))
/
INDEX(スコア表2[],MATCH("stdev.p",スコア表2[maxmin],0),MATCH(G$5,スコア表2[#Headers],0))
*10+50,"-")</f>
        <v>48.334807842507175</v>
      </c>
      <c r="H17" s="4">
        <f>IFERROR(
(INDEX(スコア表[],MATCH($C17,スコア表['#],0),MATCH(H$5,スコア表[#Headers],0))
-
INDEX(スコア表2[],MATCH("average",スコア表2[maxmin],0),MATCH(H$5,スコア表2[#Headers],0)))
/
INDEX(スコア表2[],MATCH("stdev.p",スコア表2[maxmin],0),MATCH(H$5,スコア表2[#Headers],0))
*10+50,"-")</f>
        <v>57.561926486056095</v>
      </c>
      <c r="I17" s="4">
        <f>IFERROR(
(INDEX(スコア表[],MATCH($C17,スコア表['#],0),MATCH(I$5,スコア表[#Headers],0))
-
INDEX(スコア表2[],MATCH("average",スコア表2[maxmin],0),MATCH(I$5,スコア表2[#Headers],0)))
/
INDEX(スコア表2[],MATCH("stdev.p",スコア表2[maxmin],0),MATCH(I$5,スコア表2[#Headers],0))
*10+50,"-")</f>
        <v>49.906150876812028</v>
      </c>
      <c r="J17" s="4">
        <f>IFERROR(
(INDEX(スコア表[],MATCH($C17,スコア表['#],0),MATCH(J$5,スコア表[#Headers],0))
-
INDEX(スコア表2[],MATCH("average",スコア表2[maxmin],0),MATCH(J$5,スコア表2[#Headers],0)))
/
INDEX(スコア表2[],MATCH("stdev.p",スコア表2[maxmin],0),MATCH(J$5,スコア表2[#Headers],0))
*10+50,"-")</f>
        <v>58.266324746376462</v>
      </c>
      <c r="K17" s="4">
        <f>IFERROR(
(INDEX(スコア表[],MATCH($C17,スコア表['#],0),MATCH(K$5,スコア表[#Headers],0))
-
INDEX(スコア表2[],MATCH("average",スコア表2[maxmin],0),MATCH(K$5,スコア表2[#Headers],0)))
/
INDEX(スコア表2[],MATCH("stdev.p",スコア表2[maxmin],0),MATCH(K$5,スコア表2[#Headers],0))
*10+50,"-")</f>
        <v>57.128042455558329</v>
      </c>
      <c r="L17" s="4">
        <f>IFERROR(
(INDEX(スコア表[],MATCH($C17,スコア表['#],0),MATCH(L$5,スコア表[#Headers],0))
-
INDEX(スコア表2[],MATCH("average",スコア表2[maxmin],0),MATCH(L$5,スコア表2[#Headers],0)))
/
INDEX(スコア表2[],MATCH("stdev.p",スコア表2[maxmin],0),MATCH(L$5,スコア表2[#Headers],0))
*10+50,"-")</f>
        <v>49.724875708916073</v>
      </c>
      <c r="M17" s="4">
        <f>IFERROR(
(INDEX(スコア表[],MATCH($C17,スコア表['#],0),MATCH(M$5,スコア表[#Headers],0))
-
INDEX(スコア表2[],MATCH("average",スコア表2[maxmin],0),MATCH(M$5,スコア表2[#Headers],0)))
/
INDEX(スコア表2[],MATCH("stdev.p",スコア表2[maxmin],0),MATCH(M$5,スコア表2[#Headers],0))
*10+50,"-")</f>
        <v>45.544318921595732</v>
      </c>
      <c r="N17" s="4">
        <f>IFERROR(
(INDEX(スコア表[],MATCH($C17,スコア表['#],0),MATCH(N$5,スコア表[#Headers],0))
-
INDEX(スコア表2[],MATCH("average",スコア表2[maxmin],0),MATCH(N$5,スコア表2[#Headers],0)))
/
INDEX(スコア表2[],MATCH("stdev.p",スコア表2[maxmin],0),MATCH(N$5,スコア表2[#Headers],0))
*10+50,"-")</f>
        <v>48.374844339700928</v>
      </c>
      <c r="O17" s="4">
        <f>IFERROR(
(INDEX(スコア表[],MATCH($C17,スコア表['#],0),MATCH(O$5,スコア表[#Headers],0))
-
INDEX(スコア表2[],MATCH("average",スコア表2[maxmin],0),MATCH(O$5,スコア表2[#Headers],0)))
/
INDEX(スコア表2[],MATCH("stdev.p",スコア表2[maxmin],0),MATCH(O$5,スコア表2[#Headers],0))
*10+50,"-")</f>
        <v>58.842348224179517</v>
      </c>
      <c r="P17" s="4">
        <f>IFERROR(
(INDEX(スコア表[],MATCH($C17,スコア表['#],0),MATCH(P$5,スコア表[#Headers],0))
-
INDEX(スコア表2[],MATCH("average",スコア表2[maxmin],0),MATCH(P$5,スコア表2[#Headers],0)))
/
INDEX(スコア表2[],MATCH("stdev.p",スコア表2[maxmin],0),MATCH(P$5,スコア表2[#Headers],0))
*10+50,"-")</f>
        <v>56.674187380277125</v>
      </c>
      <c r="Q17" s="4">
        <f>IFERROR(
(INDEX(スコア表[],MATCH($C17,スコア表['#],0),MATCH(Q$5,スコア表[#Headers],0))
-
INDEX(スコア表2[],MATCH("average",スコア表2[maxmin],0),MATCH(Q$5,スコア表2[#Headers],0)))
/
INDEX(スコア表2[],MATCH("stdev.p",スコア表2[maxmin],0),MATCH(Q$5,スコア表2[#Headers],0))
*10+50,"-")</f>
        <v>62.296880987370997</v>
      </c>
      <c r="R17" s="4">
        <f>IFERROR(
(INDEX(スコア表[],MATCH($C17,スコア表['#],0),MATCH(R$5,スコア表[#Headers],0))
-
INDEX(スコア表2[],MATCH("average",スコア表2[maxmin],0),MATCH(R$5,スコア表2[#Headers],0)))
/
INDEX(スコア表2[],MATCH("stdev.p",スコア表2[maxmin],0),MATCH(R$5,スコア表2[#Headers],0))
*10+50,"-")</f>
        <v>38.586416528758342</v>
      </c>
      <c r="S17" s="4">
        <f>IFERROR(
(INDEX(スコア表[],MATCH($C17,スコア表['#],0),MATCH(S$5,スコア表[#Headers],0))
-
INDEX(スコア表2[],MATCH("average",スコア表2[maxmin],0),MATCH(S$5,スコア表2[#Headers],0)))
/
INDEX(スコア表2[],MATCH("stdev.p",スコア表2[maxmin],0),MATCH(S$5,スコア表2[#Headers],0))
*10+50,"-")</f>
        <v>41.185389416969841</v>
      </c>
      <c r="T17" s="4">
        <f>IFERROR(
(INDEX(スコア表[],MATCH($C17,スコア表['#],0),MATCH(T$5,スコア表[#Headers],0))
-
INDEX(スコア表2[],MATCH("average",スコア表2[maxmin],0),MATCH(T$5,スコア表2[#Headers],0)))
/
INDEX(スコア表2[],MATCH("stdev.p",スコア表2[maxmin],0),MATCH(T$5,スコア表2[#Headers],0))
*10+50,"-")</f>
        <v>55.510722261548764</v>
      </c>
      <c r="U17" s="4">
        <f>IFERROR(
(INDEX(スコア表[],MATCH($C17,スコア表['#],0),MATCH(U$5,スコア表[#Headers],0))
-
INDEX(スコア表2[],MATCH("average",スコア表2[maxmin],0),MATCH(U$5,スコア表2[#Headers],0)))
/
INDEX(スコア表2[],MATCH("stdev.p",スコア表2[maxmin],0),MATCH(U$5,スコア表2[#Headers],0))
*10+50,"-")</f>
        <v>50.690615274460427</v>
      </c>
      <c r="V17" s="4">
        <f>IFERROR(
(INDEX(スコア表[],MATCH($C17,スコア表['#],0),MATCH(V$5,スコア表[#Headers],0))
-
INDEX(スコア表2[],MATCH("average",スコア表2[maxmin],0),MATCH(V$5,スコア表2[#Headers],0)))
/
INDEX(スコア表2[],MATCH("stdev.p",スコア表2[maxmin],0),MATCH(V$5,スコア表2[#Headers],0))
*10+50,"-")</f>
        <v>58.075127451555282</v>
      </c>
      <c r="W17" s="4">
        <f>IFERROR(
(INDEX(スコア表[],MATCH($C17,スコア表['#],0),MATCH(W$5,スコア表[#Headers],0))
-
INDEX(スコア表2[],MATCH("average",スコア表2[maxmin],0),MATCH(W$5,スコア表2[#Headers],0)))
/
INDEX(スコア表2[],MATCH("stdev.p",スコア表2[maxmin],0),MATCH(W$5,スコア表2[#Headers],0))
*10+50,"-")</f>
        <v>49.185868087914521</v>
      </c>
      <c r="X17" s="4">
        <f>IFERROR(
(INDEX(スコア表[],MATCH($C17,スコア表['#],0),MATCH(X$5,スコア表[#Headers],0))
-
INDEX(スコア表2[],MATCH("average",スコア表2[maxmin],0),MATCH(X$5,スコア表2[#Headers],0)))
/
INDEX(スコア表2[],MATCH("stdev.p",スコア表2[maxmin],0),MATCH(X$5,スコア表2[#Headers],0))
*10+50,"-")</f>
        <v>65.882192670771573</v>
      </c>
      <c r="Y17" s="4">
        <f>IFERROR(
(INDEX(スコア表[],MATCH($C17,スコア表['#],0),MATCH(Y$5,スコア表[#Headers],0))
-
INDEX(スコア表2[],MATCH("average",スコア表2[maxmin],0),MATCH(Y$5,スコア表2[#Headers],0)))
/
INDEX(スコア表2[],MATCH("stdev.p",スコア表2[maxmin],0),MATCH(Y$5,スコア表2[#Headers],0))
*10+50,"-")</f>
        <v>53.269382624642773</v>
      </c>
      <c r="Z17" s="4">
        <f>IFERROR(
(INDEX(スコア表[],MATCH($C17,スコア表['#],0),MATCH(Z$5,スコア表[#Headers],0))
-
INDEX(スコア表2[],MATCH("average",スコア表2[maxmin],0),MATCH(Z$5,スコア表2[#Headers],0)))
/
INDEX(スコア表2[],MATCH("stdev.p",スコア表2[maxmin],0),MATCH(Z$5,スコア表2[#Headers],0))
*10+50,"-")</f>
        <v>50.296378247948311</v>
      </c>
      <c r="AA17" s="4">
        <f>IFERROR(
(INDEX(スコア表[],MATCH($C17,スコア表['#],0),MATCH(AA$5,スコア表[#Headers],0))
-
INDEX(スコア表2[],MATCH("average",スコア表2[maxmin],0),MATCH(AA$5,スコア表2[#Headers],0)))
/
INDEX(スコア表2[],MATCH("stdev.p",スコア表2[maxmin],0),MATCH(AA$5,スコア表2[#Headers],0))
*10+50,"-")</f>
        <v>44.664612103409482</v>
      </c>
      <c r="AB17" s="4">
        <f>IFERROR(
(INDEX(スコア表[],MATCH($C17,スコア表['#],0),MATCH(AB$5,スコア表[#Headers],0))
-
INDEX(スコア表2[],MATCH("average",スコア表2[maxmin],0),MATCH(AB$5,スコア表2[#Headers],0)))
/
INDEX(スコア表2[],MATCH("stdev.p",スコア表2[maxmin],0),MATCH(AB$5,スコア表2[#Headers],0))
*10+50,"-")</f>
        <v>50.368946299347613</v>
      </c>
      <c r="AC17" s="4">
        <f>IFERROR(
(INDEX(スコア表[],MATCH($C17,スコア表['#],0),MATCH(AC$5,スコア表[#Headers],0))
-
INDEX(スコア表2[],MATCH("average",スコア表2[maxmin],0),MATCH(AC$5,スコア表2[#Headers],0)))
/
INDEX(スコア表2[],MATCH("stdev.p",スコア表2[maxmin],0),MATCH(AC$5,スコア表2[#Headers],0))
*10+50,"-")</f>
        <v>46.536723935779456</v>
      </c>
      <c r="AD17" s="4">
        <f>IFERROR(
(INDEX(スコア表[],MATCH($C17,スコア表['#],0),MATCH(AD$5,スコア表[#Headers],0))
-
INDEX(スコア表2[],MATCH("average",スコア表2[maxmin],0),MATCH(AD$5,スコア表2[#Headers],0)))
/
INDEX(スコア表2[],MATCH("stdev.p",スコア表2[maxmin],0),MATCH(AD$5,スコア表2[#Headers],0))
*10+50,"-")</f>
        <v>47.364607852190353</v>
      </c>
      <c r="AE17" s="4">
        <f>IFERROR(
(INDEX(スコア表[],MATCH($C17,スコア表['#],0),MATCH(AE$5,スコア表[#Headers],0))
-
INDEX(スコア表2[],MATCH("average",スコア表2[maxmin],0),MATCH(AE$5,スコア表2[#Headers],0)))
/
INDEX(スコア表2[],MATCH("stdev.p",スコア表2[maxmin],0),MATCH(AE$5,スコア表2[#Headers],0))
*10+50,"-")</f>
        <v>46.876028039136699</v>
      </c>
      <c r="AF17" s="4">
        <f>IFERROR(
(INDEX(スコア表[],MATCH($C17,スコア表['#],0),MATCH(AF$5,スコア表[#Headers],0))
-
INDEX(スコア表2[],MATCH("average",スコア表2[maxmin],0),MATCH(AF$5,スコア表2[#Headers],0)))
/
INDEX(スコア表2[],MATCH("stdev.p",スコア表2[maxmin],0),MATCH(AF$5,スコア表2[#Headers],0))
*10+50,"-")</f>
        <v>45.923404968109686</v>
      </c>
      <c r="AG17" s="4">
        <f>IFERROR(
(INDEX(スコア表[],MATCH($C17,スコア表['#],0),MATCH(AG$5,スコア表[#Headers],0))
-
INDEX(スコア表2[],MATCH("average",スコア表2[maxmin],0),MATCH(AG$5,スコア表2[#Headers],0)))
/
INDEX(スコア表2[],MATCH("stdev.p",スコア表2[maxmin],0),MATCH(AG$5,スコア表2[#Headers],0))
*10+50,"-")</f>
        <v>55.010465499981194</v>
      </c>
      <c r="AH17" s="4">
        <f>IFERROR(
(INDEX(スコア表[],MATCH($C17,スコア表['#],0),MATCH(AH$5,スコア表[#Headers],0))
-
INDEX(スコア表2[],MATCH("average",スコア表2[maxmin],0),MATCH(AH$5,スコア表2[#Headers],0)))
/
INDEX(スコア表2[],MATCH("stdev.p",スコア表2[maxmin],0),MATCH(AH$5,スコア表2[#Headers],0))
*10+50,"-")</f>
        <v>48.66682348065946</v>
      </c>
      <c r="AI17" s="4">
        <f>IFERROR(
(INDEX(スコア表[],MATCH($C17,スコア表['#],0),MATCH(AI$5,スコア表[#Headers],0))
-
INDEX(スコア表2[],MATCH("average",スコア表2[maxmin],0),MATCH(AI$5,スコア表2[#Headers],0)))
/
INDEX(スコア表2[],MATCH("stdev.p",スコア表2[maxmin],0),MATCH(AI$5,スコア表2[#Headers],0))
*10+50,"-")</f>
        <v>49.055271558145428</v>
      </c>
      <c r="AJ17" s="4">
        <f>IFERROR(
(INDEX(スコア表[],MATCH($C17,スコア表['#],0),MATCH(AJ$5,スコア表[#Headers],0))
-
INDEX(スコア表2[],MATCH("average",スコア表2[maxmin],0),MATCH(AJ$5,スコア表2[#Headers],0)))
/
INDEX(スコア表2[],MATCH("stdev.p",スコア表2[maxmin],0),MATCH(AJ$5,スコア表2[#Headers],0))
*10+50,"-")</f>
        <v>45.507447361273748</v>
      </c>
      <c r="AK17" s="4">
        <f>IFERROR(
(INDEX(スコア表[],MATCH($C17,スコア表['#],0),MATCH(AK$5,スコア表[#Headers],0))
-
INDEX(スコア表2[],MATCH("average",スコア表2[maxmin],0),MATCH(AK$5,スコア表2[#Headers],0)))
/
INDEX(スコア表2[],MATCH("stdev.p",スコア表2[maxmin],0),MATCH(AK$5,スコア表2[#Headers],0))
*10+50,"-")</f>
        <v>42.51981589260734</v>
      </c>
      <c r="AL17" s="4">
        <f>IFERROR(
(INDEX(スコア表[],MATCH($C17,スコア表['#],0),MATCH(AL$5,スコア表[#Headers],0))
-
INDEX(スコア表2[],MATCH("average",スコア表2[maxmin],0),MATCH(AL$5,スコア表2[#Headers],0)))
/
INDEX(スコア表2[],MATCH("stdev.p",スコア表2[maxmin],0),MATCH(AL$5,スコア表2[#Headers],0))
*10+50,"-")</f>
        <v>63.81258056297191</v>
      </c>
      <c r="AM17" s="4">
        <f>IFERROR(
(INDEX(スコア表[],MATCH($C17,スコア表['#],0),MATCH(AM$5,スコア表[#Headers],0))
-
INDEX(スコア表2[],MATCH("average",スコア表2[maxmin],0),MATCH(AM$5,スコア表2[#Headers],0)))
/
INDEX(スコア表2[],MATCH("stdev.p",スコア表2[maxmin],0),MATCH(AM$5,スコア表2[#Headers],0))
*10+50,"-")</f>
        <v>46.162605585480954</v>
      </c>
      <c r="AN17" s="4">
        <f>IFERROR(
(INDEX(スコア表[],MATCH($C17,スコア表['#],0),MATCH(AN$5,スコア表[#Headers],0))
-
INDEX(スコア表2[],MATCH("average",スコア表2[maxmin],0),MATCH(AN$5,スコア表2[#Headers],0)))
/
INDEX(スコア表2[],MATCH("stdev.p",スコア表2[maxmin],0),MATCH(AN$5,スコア表2[#Headers],0))
*10+50,"-")</f>
        <v>57.84547016778717</v>
      </c>
      <c r="AO17" s="4">
        <f>IFERROR(
(INDEX(スコア表[],MATCH($C17,スコア表['#],0),MATCH(AO$5,スコア表[#Headers],0))
-
INDEX(スコア表2[],MATCH("average",スコア表2[maxmin],0),MATCH(AO$5,スコア表2[#Headers],0)))
/
INDEX(スコア表2[],MATCH("stdev.p",スコア表2[maxmin],0),MATCH(AO$5,スコア表2[#Headers],0))
*10+50,"-")</f>
        <v>44.453275118003184</v>
      </c>
      <c r="AP17" s="4">
        <f>IFERROR(
(INDEX(スコア表[],MATCH($C17,スコア表['#],0),MATCH(AP$5,スコア表[#Headers],0))
-
INDEX(スコア表2[],MATCH("average",スコア表2[maxmin],0),MATCH(AP$5,スコア表2[#Headers],0)))
/
INDEX(スコア表2[],MATCH("stdev.p",スコア表2[maxmin],0),MATCH(AP$5,スコア表2[#Headers],0))
*10+50,"-")</f>
        <v>48.187584319089865</v>
      </c>
      <c r="AQ17" s="4">
        <f>IFERROR(
(INDEX(スコア表[],MATCH($C17,スコア表['#],0),MATCH(AQ$5,スコア表[#Headers],0))
-
INDEX(スコア表2[],MATCH("average",スコア表2[maxmin],0),MATCH(AQ$5,スコア表2[#Headers],0)))
/
INDEX(スコア表2[],MATCH("stdev.p",スコア表2[maxmin],0),MATCH(AQ$5,スコア表2[#Headers],0))
*10+50,"-")</f>
        <v>61.693580911207093</v>
      </c>
      <c r="AR17" s="4">
        <f>IFERROR(
(INDEX(スコア表[],MATCH($C17,スコア表['#],0),MATCH(AR$5,スコア表[#Headers],0))
-
INDEX(スコア表2[],MATCH("average",スコア表2[maxmin],0),MATCH(AR$5,スコア表2[#Headers],0)))
/
INDEX(スコア表2[],MATCH("stdev.p",スコア表2[maxmin],0),MATCH(AR$5,スコア表2[#Headers],0))
*10+50,"-")</f>
        <v>45.96865611765179</v>
      </c>
      <c r="AS17" s="4">
        <f>IFERROR(
(INDEX(スコア表[],MATCH($C17,スコア表['#],0),MATCH(AS$5,スコア表[#Headers],0))
-
INDEX(スコア表2[],MATCH("average",スコア表2[maxmin],0),MATCH(AS$5,スコア表2[#Headers],0)))
/
INDEX(スコア表2[],MATCH("stdev.p",スコア表2[maxmin],0),MATCH(AS$5,スコア表2[#Headers],0))
*10+50,"-")</f>
        <v>50.416566767297027</v>
      </c>
      <c r="AT17" s="4">
        <f>IFERROR(
(INDEX(スコア表[],MATCH($C17,スコア表['#],0),MATCH(AT$5,スコア表[#Headers],0))
-
INDEX(スコア表2[],MATCH("average",スコア表2[maxmin],0),MATCH(AT$5,スコア表2[#Headers],0)))
/
INDEX(スコア表2[],MATCH("stdev.p",スコア表2[maxmin],0),MATCH(AT$5,スコア表2[#Headers],0))
*10+50,"-")</f>
        <v>49.997515791853132</v>
      </c>
      <c r="AU17" s="4">
        <f>IFERROR(
(INDEX(スコア表[],MATCH($C17,スコア表['#],0),MATCH(AU$5,スコア表[#Headers],0))
-
INDEX(スコア表2[],MATCH("average",スコア表2[maxmin],0),MATCH(AU$5,スコア表2[#Headers],0)))
/
INDEX(スコア表2[],MATCH("stdev.p",スコア表2[maxmin],0),MATCH(AU$5,スコア表2[#Headers],0))
*10+50,"-")</f>
        <v>53.650802619877794</v>
      </c>
      <c r="AV17" s="4">
        <f>IFERROR(
(INDEX(スコア表[],MATCH($C17,スコア表['#],0),MATCH(AV$5,スコア表[#Headers],0))
-
INDEX(スコア表2[],MATCH("average",スコア表2[maxmin],0),MATCH(AV$5,スコア表2[#Headers],0)))
/
INDEX(スコア表2[],MATCH("stdev.p",スコア表2[maxmin],0),MATCH(AV$5,スコア表2[#Headers],0))
*10+50,"-")</f>
        <v>40.02655111115871</v>
      </c>
      <c r="AW17" s="4">
        <f>IFERROR(
(INDEX(スコア表[],MATCH($C17,スコア表['#],0),MATCH(AW$5,スコア表[#Headers],0))
-
INDEX(スコア表2[],MATCH("average",スコア表2[maxmin],0),MATCH(AW$5,スコア表2[#Headers],0)))
/
INDEX(スコア表2[],MATCH("stdev.p",スコア表2[maxmin],0),MATCH(AW$5,スコア表2[#Headers],0))
*10+50,"-")</f>
        <v>46.622475275550691</v>
      </c>
      <c r="AX17" s="4">
        <f>IFERROR(
(INDEX(スコア表[],MATCH($C17,スコア表['#],0),MATCH(AX$5,スコア表[#Headers],0))
-
INDEX(スコア表2[],MATCH("average",スコア表2[maxmin],0),MATCH(AX$5,スコア表2[#Headers],0)))
/
INDEX(スコア表2[],MATCH("stdev.p",スコア表2[maxmin],0),MATCH(AX$5,スコア表2[#Headers],0))
*10+50,"-")</f>
        <v>54.625397612898986</v>
      </c>
      <c r="AY17" s="4">
        <f>IFERROR(
(INDEX(スコア表[],MATCH($C17,スコア表['#],0),MATCH(AY$5,スコア表[#Headers],0))
-
INDEX(スコア表2[],MATCH("average",スコア表2[maxmin],0),MATCH(AY$5,スコア表2[#Headers],0)))
/
INDEX(スコア表2[],MATCH("stdev.p",スコア表2[maxmin],0),MATCH(AY$5,スコア表2[#Headers],0))
*10+50,"-")</f>
        <v>53.412762459963545</v>
      </c>
      <c r="AZ17" s="4">
        <f>IFERROR(
(INDEX(スコア表[],MATCH($C17,スコア表['#],0),MATCH(AZ$5,スコア表[#Headers],0))
-
INDEX(スコア表2[],MATCH("average",スコア表2[maxmin],0),MATCH(AZ$5,スコア表2[#Headers],0)))
/
INDEX(スコア表2[],MATCH("stdev.p",スコア表2[maxmin],0),MATCH(AZ$5,スコア表2[#Headers],0))
*10+50,"-")</f>
        <v>57.533105167521398</v>
      </c>
      <c r="BA17" s="4">
        <f>IFERROR(
(INDEX(スコア表[],MATCH($C17,スコア表['#],0),MATCH(BA$5,スコア表[#Headers],0))
-
INDEX(スコア表2[],MATCH("average",スコア表2[maxmin],0),MATCH(BA$5,スコア表2[#Headers],0)))
/
INDEX(スコア表2[],MATCH("stdev.p",スコア表2[maxmin],0),MATCH(BA$5,スコア表2[#Headers],0))
*10+50,"-")</f>
        <v>57.831843689741817</v>
      </c>
      <c r="BB17" s="4">
        <f>IFERROR(
(INDEX(スコア表[],MATCH($C17,スコア表['#],0),MATCH(BB$5,スコア表[#Headers],0))
-
INDEX(スコア表2[],MATCH("average",スコア表2[maxmin],0),MATCH(BB$5,スコア表2[#Headers],0)))
/
INDEX(スコア表2[],MATCH("stdev.p",スコア表2[maxmin],0),MATCH(BB$5,スコア表2[#Headers],0))
*10+50,"-")</f>
        <v>52.324638017680869</v>
      </c>
      <c r="BC17" s="4">
        <f>IFERROR(
(INDEX(スコア表[],MATCH($C17,スコア表['#],0),MATCH(BC$5,スコア表[#Headers],0))
-
INDEX(スコア表2[],MATCH("average",スコア表2[maxmin],0),MATCH(BC$5,スコア表2[#Headers],0)))
/
INDEX(スコア表2[],MATCH("stdev.p",スコア表2[maxmin],0),MATCH(BC$5,スコア表2[#Headers],0))
*10+50,"-")</f>
        <v>48.654946603490508</v>
      </c>
      <c r="BD17" s="4">
        <f>IFERROR(
(INDEX(スコア表[],MATCH($C17,スコア表['#],0),MATCH(BD$5,スコア表[#Headers],0))
-
INDEX(スコア表2[],MATCH("average",スコア表2[maxmin],0),MATCH(BD$5,スコア表2[#Headers],0)))
/
INDEX(スコア表2[],MATCH("stdev.p",スコア表2[maxmin],0),MATCH(BD$5,スコア表2[#Headers],0))
*10+50,"-")</f>
        <v>55.772384121241402</v>
      </c>
      <c r="BE17" s="4">
        <f>IFERROR(
(INDEX(スコア表[],MATCH($C17,スコア表['#],0),MATCH(BE$5,スコア表[#Headers],0))
-
INDEX(スコア表2[],MATCH("average",スコア表2[maxmin],0),MATCH(BE$5,スコア表2[#Headers],0)))
/
INDEX(スコア表2[],MATCH("stdev.p",スコア表2[maxmin],0),MATCH(BE$5,スコア表2[#Headers],0))
*10+50,"-")</f>
        <v>42.11544688430164</v>
      </c>
      <c r="BF17" s="4">
        <f>IFERROR(
(INDEX(スコア表[],MATCH($C17,スコア表['#],0),MATCH(BF$5,スコア表[#Headers],0))
-
INDEX(スコア表2[],MATCH("average",スコア表2[maxmin],0),MATCH(BF$5,スコア表2[#Headers],0)))
/
INDEX(スコア表2[],MATCH("stdev.p",スコア表2[maxmin],0),MATCH(BF$5,スコア表2[#Headers],0))
*10+50,"-")</f>
        <v>43.170605278510592</v>
      </c>
      <c r="BG17" s="4">
        <f>IFERROR(
(INDEX(スコア表[],MATCH($C17,スコア表['#],0),MATCH(BG$5,スコア表[#Headers],0))
-
INDEX(スコア表2[],MATCH("average",スコア表2[maxmin],0),MATCH(BG$5,スコア表2[#Headers],0)))
/
INDEX(スコア表2[],MATCH("stdev.p",スコア表2[maxmin],0),MATCH(BG$5,スコア表2[#Headers],0))
*10+50,"-")</f>
        <v>64.750250404081811</v>
      </c>
      <c r="BH17" s="4">
        <f>IFERROR(
(INDEX(スコア表[],MATCH($C17,スコア表['#],0),MATCH(BH$5,スコア表[#Headers],0))
-
INDEX(スコア表2[],MATCH("average",スコア表2[maxmin],0),MATCH(BH$5,スコア表2[#Headers],0)))
/
INDEX(スコア表2[],MATCH("stdev.p",スコア表2[maxmin],0),MATCH(BH$5,スコア表2[#Headers],0))
*10+50,"-")</f>
        <v>45.150463481727293</v>
      </c>
      <c r="BI17" s="4">
        <f>IFERROR(
(INDEX(スコア表[],MATCH($C17,スコア表['#],0),MATCH(BI$5,スコア表[#Headers],0))
-
INDEX(スコア表2[],MATCH("average",スコア表2[maxmin],0),MATCH(BI$5,スコア表2[#Headers],0)))
/
INDEX(スコア表2[],MATCH("stdev.p",スコア表2[maxmin],0),MATCH(BI$5,スコア表2[#Headers],0))
*10+50,"-")</f>
        <v>49.271006346562004</v>
      </c>
      <c r="BJ17" s="4">
        <f>IFERROR(
(INDEX(スコア表[],MATCH($C17,スコア表['#],0),MATCH(BJ$5,スコア表[#Headers],0))
-
INDEX(スコア表2[],MATCH("average",スコア表2[maxmin],0),MATCH(BJ$5,スコア表2[#Headers],0)))
/
INDEX(スコア表2[],MATCH("stdev.p",スコア表2[maxmin],0),MATCH(BJ$5,スコア表2[#Headers],0))
*10+50,"-")</f>
        <v>44.119447138620181</v>
      </c>
      <c r="BK17" s="4">
        <f>IFERROR(
(INDEX(スコア表[],MATCH($C17,スコア表['#],0),MATCH(BK$5,スコア表[#Headers],0))
-
INDEX(スコア表2[],MATCH("average",スコア表2[maxmin],0),MATCH(BK$5,スコア表2[#Headers],0)))
/
INDEX(スコア表2[],MATCH("stdev.p",スコア表2[maxmin],0),MATCH(BK$5,スコア表2[#Headers],0))
*10+50,"-")</f>
        <v>61.704100304072952</v>
      </c>
      <c r="BL17" s="4">
        <f>IFERROR(
(INDEX(スコア表[],MATCH($C17,スコア表['#],0),MATCH(BL$5,スコア表[#Headers],0))
-
INDEX(スコア表2[],MATCH("average",スコア表2[maxmin],0),MATCH(BL$5,スコア表2[#Headers],0)))
/
INDEX(スコア表2[],MATCH("stdev.p",スコア表2[maxmin],0),MATCH(BL$5,スコア表2[#Headers],0))
*10+50,"-")</f>
        <v>65.283563656858789</v>
      </c>
      <c r="BM17" s="4">
        <f>IFERROR(
(INDEX(スコア表[],MATCH($C17,スコア表['#],0),MATCH(BM$5,スコア表[#Headers],0))
-
INDEX(スコア表2[],MATCH("average",スコア表2[maxmin],0),MATCH(BM$5,スコア表2[#Headers],0)))
/
INDEX(スコア表2[],MATCH("stdev.p",スコア表2[maxmin],0),MATCH(BM$5,スコア表2[#Headers],0))
*10+50,"-")</f>
        <v>56.299322250747984</v>
      </c>
      <c r="BN17" s="4">
        <f>IFERROR(
(INDEX(スコア表[],MATCH($C17,スコア表['#],0),MATCH(BN$5,スコア表[#Headers],0))
-
INDEX(スコア表2[],MATCH("average",スコア表2[maxmin],0),MATCH(BN$5,スコア表2[#Headers],0)))
/
INDEX(スコア表2[],MATCH("stdev.p",スコア表2[maxmin],0),MATCH(BN$5,スコア表2[#Headers],0))
*10+50,"-")</f>
        <v>59.825739585334638</v>
      </c>
      <c r="BO17" s="4">
        <f>IFERROR(
(INDEX(スコア表[],MATCH($C17,スコア表['#],0),MATCH(BO$5,スコア表[#Headers],0))
-
INDEX(スコア表2[],MATCH("average",スコア表2[maxmin],0),MATCH(BO$5,スコア表2[#Headers],0)))
/
INDEX(スコア表2[],MATCH("stdev.p",スコア表2[maxmin],0),MATCH(BO$5,スコア表2[#Headers],0))
*10+50,"-")</f>
        <v>59.465105334959034</v>
      </c>
      <c r="BP17" s="4">
        <f>IFERROR(
(INDEX(スコア表[],MATCH($C17,スコア表['#],0),MATCH(BP$5,スコア表[#Headers],0))
-
INDEX(スコア表2[],MATCH("average",スコア表2[maxmin],0),MATCH(BP$5,スコア表2[#Headers],0)))
/
INDEX(スコア表2[],MATCH("stdev.p",スコア表2[maxmin],0),MATCH(BP$5,スコア表2[#Headers],0))
*10+50,"-")</f>
        <v>40.208143615892993</v>
      </c>
      <c r="BQ17" s="4">
        <f>IFERROR(
(INDEX(スコア表[],MATCH($C17,スコア表['#],0),MATCH(BQ$5,スコア表[#Headers],0))
-
INDEX(スコア表2[],MATCH("average",スコア表2[maxmin],0),MATCH(BQ$5,スコア表2[#Headers],0)))
/
INDEX(スコア表2[],MATCH("stdev.p",スコア表2[maxmin],0),MATCH(BQ$5,スコア表2[#Headers],0))
*10+50,"-")</f>
        <v>46.447043617869873</v>
      </c>
      <c r="BR17" s="4">
        <f>IFERROR(
(INDEX(スコア表[],MATCH($C17,スコア表['#],0),MATCH(BR$5,スコア表[#Headers],0))
-
INDEX(スコア表2[],MATCH("average",スコア表2[maxmin],0),MATCH(BR$5,スコア表2[#Headers],0)))
/
INDEX(スコア表2[],MATCH("stdev.p",スコア表2[maxmin],0),MATCH(BR$5,スコア表2[#Headers],0))
*10+50,"-")</f>
        <v>46.397428542676423</v>
      </c>
      <c r="BS17" s="4">
        <f>IFERROR(
(INDEX(スコア表[],MATCH($C17,スコア表['#],0),MATCH(BS$5,スコア表[#Headers],0))
-
INDEX(スコア表2[],MATCH("average",スコア表2[maxmin],0),MATCH(BS$5,スコア表2[#Headers],0)))
/
INDEX(スコア表2[],MATCH("stdev.p",スコア表2[maxmin],0),MATCH(BS$5,スコア表2[#Headers],0))
*10+50,"-")</f>
        <v>48.088415000689444</v>
      </c>
      <c r="BT17" s="4">
        <f>IFERROR(
(INDEX(スコア表[],MATCH($C17,スコア表['#],0),MATCH(BT$5,スコア表[#Headers],0))
-
INDEX(スコア表2[],MATCH("average",スコア表2[maxmin],0),MATCH(BT$5,スコア表2[#Headers],0)))
/
INDEX(スコア表2[],MATCH("stdev.p",スコア表2[maxmin],0),MATCH(BT$5,スコア表2[#Headers],0))
*10+50,"-")</f>
        <v>42.849036601622522</v>
      </c>
      <c r="BU17" s="4">
        <f>IFERROR(
(INDEX(スコア表[],MATCH($C17,スコア表['#],0),MATCH(BU$5,スコア表[#Headers],0))
-
INDEX(スコア表2[],MATCH("average",スコア表2[maxmin],0),MATCH(BU$5,スコア表2[#Headers],0)))
/
INDEX(スコア表2[],MATCH("stdev.p",スコア表2[maxmin],0),MATCH(BU$5,スコア表2[#Headers],0))
*10+50,"-")</f>
        <v>45.774053883995911</v>
      </c>
      <c r="BV17" s="4">
        <f>IFERROR(
(INDEX(スコア表[],MATCH($C17,スコア表['#],0),MATCH(BV$5,スコア表[#Headers],0))
-
INDEX(スコア表2[],MATCH("average",スコア表2[maxmin],0),MATCH(BV$5,スコア表2[#Headers],0)))
/
INDEX(スコア表2[],MATCH("stdev.p",スコア表2[maxmin],0),MATCH(BV$5,スコア表2[#Headers],0))
*10+50,"-")</f>
        <v>60.606527782566801</v>
      </c>
      <c r="BW17" s="4">
        <f>IFERROR(
(INDEX(スコア表[],MATCH($C17,スコア表['#],0),MATCH(BW$5,スコア表[#Headers],0))
-
INDEX(スコア表2[],MATCH("average",スコア表2[maxmin],0),MATCH(BW$5,スコア表2[#Headers],0)))
/
INDEX(スコア表2[],MATCH("stdev.p",スコア表2[maxmin],0),MATCH(BW$5,スコア表2[#Headers],0))
*10+50,"-")</f>
        <v>50.260259585771522</v>
      </c>
      <c r="BX17" s="4">
        <f>IFERROR(
(INDEX(スコア表[],MATCH($C17,スコア表['#],0),MATCH(BX$5,スコア表[#Headers],0))
-
INDEX(スコア表2[],MATCH("average",スコア表2[maxmin],0),MATCH(BX$5,スコア表2[#Headers],0)))
/
INDEX(スコア表2[],MATCH("stdev.p",スコア表2[maxmin],0),MATCH(BX$5,スコア表2[#Headers],0))
*10+50,"-")</f>
        <v>47.048913256900434</v>
      </c>
      <c r="BY17" s="4">
        <f>IFERROR(
(INDEX(スコア表[],MATCH($C17,スコア表['#],0),MATCH(BY$5,スコア表[#Headers],0))
-
INDEX(スコア表2[],MATCH("average",スコア表2[maxmin],0),MATCH(BY$5,スコア表2[#Headers],0)))
/
INDEX(スコア表2[],MATCH("stdev.p",スコア表2[maxmin],0),MATCH(BY$5,スコア表2[#Headers],0))
*10+50,"-")</f>
        <v>53.374966384052314</v>
      </c>
      <c r="BZ17" s="4">
        <f>IFERROR(
(INDEX(スコア表[],MATCH($C17,スコア表['#],0),MATCH(BZ$5,スコア表[#Headers],0))
-
INDEX(スコア表2[],MATCH("average",スコア表2[maxmin],0),MATCH(BZ$5,スコア表2[#Headers],0)))
/
INDEX(スコア表2[],MATCH("stdev.p",スコア表2[maxmin],0),MATCH(BZ$5,スコア表2[#Headers],0))
*10+50,"-")</f>
        <v>55.334444334922992</v>
      </c>
      <c r="CA17" s="4">
        <f>IFERROR(
(INDEX(スコア表[],MATCH($C17,スコア表['#],0),MATCH(CA$5,スコア表[#Headers],0))
-
INDEX(スコア表2[],MATCH("average",スコア表2[maxmin],0),MATCH(CA$5,スコア表2[#Headers],0)))
/
INDEX(スコア表2[],MATCH("stdev.p",スコア表2[maxmin],0),MATCH(CA$5,スコア表2[#Headers],0))
*10+50,"-")</f>
        <v>60.361203865616872</v>
      </c>
      <c r="CB17" s="4">
        <f>IFERROR(
(INDEX(スコア表[],MATCH($C17,スコア表['#],0),MATCH(CB$5,スコア表[#Headers],0))
-
INDEX(スコア表2[],MATCH("average",スコア表2[maxmin],0),MATCH(CB$5,スコア表2[#Headers],0)))
/
INDEX(スコア表2[],MATCH("stdev.p",スコア表2[maxmin],0),MATCH(CB$5,スコア表2[#Headers],0))
*10+50,"-")</f>
        <v>46.832408511361926</v>
      </c>
      <c r="CC17" s="4">
        <f>IFERROR(
(INDEX(スコア表[],MATCH($C17,スコア表['#],0),MATCH(CC$5,スコア表[#Headers],0))
-
INDEX(スコア表2[],MATCH("average",スコア表2[maxmin],0),MATCH(CC$5,スコア表2[#Headers],0)))
/
INDEX(スコア表2[],MATCH("stdev.p",スコア表2[maxmin],0),MATCH(CC$5,スコア表2[#Headers],0))
*10+50,"-")</f>
        <v>55.735271151538221</v>
      </c>
      <c r="CD17" s="4">
        <f>IFERROR(
(INDEX(スコア表[],MATCH($C17,スコア表['#],0),MATCH(CD$5,スコア表[#Headers],0))
-
INDEX(スコア表2[],MATCH("average",スコア表2[maxmin],0),MATCH(CD$5,スコア表2[#Headers],0)))
/
INDEX(スコア表2[],MATCH("stdev.p",スコア表2[maxmin],0),MATCH(CD$5,スコア表2[#Headers],0))
*10+50,"-")</f>
        <v>53.846832021549069</v>
      </c>
      <c r="CE17" s="4">
        <f>IFERROR(
(INDEX(スコア表[],MATCH($C17,スコア表['#],0),MATCH(CE$5,スコア表[#Headers],0))
-
INDEX(スコア表2[],MATCH("average",スコア表2[maxmin],0),MATCH(CE$5,スコア表2[#Headers],0)))
/
INDEX(スコア表2[],MATCH("stdev.p",スコア表2[maxmin],0),MATCH(CE$5,スコア表2[#Headers],0))
*10+50,"-")</f>
        <v>48.071583244354457</v>
      </c>
      <c r="CF17" s="4">
        <f>IFERROR(
(INDEX(スコア表[],MATCH($C17,スコア表['#],0),MATCH(CF$5,スコア表[#Headers],0))
-
INDEX(スコア表2[],MATCH("average",スコア表2[maxmin],0),MATCH(CF$5,スコア表2[#Headers],0)))
/
INDEX(スコア表2[],MATCH("stdev.p",スコア表2[maxmin],0),MATCH(CF$5,スコア表2[#Headers],0))
*10+50,"-")</f>
        <v>55.368528400197832</v>
      </c>
      <c r="CG17" s="4">
        <f>IFERROR(
(INDEX(スコア表[],MATCH($C17,スコア表['#],0),MATCH(CG$5,スコア表[#Headers],0))
-
INDEX(スコア表2[],MATCH("average",スコア表2[maxmin],0),MATCH(CG$5,スコア表2[#Headers],0)))
/
INDEX(スコア表2[],MATCH("stdev.p",スコア表2[maxmin],0),MATCH(CG$5,スコア表2[#Headers],0))
*10+50,"-")</f>
        <v>57.854378180840328</v>
      </c>
      <c r="CH17" s="4">
        <f>IFERROR(
(INDEX(スコア表[],MATCH($C17,スコア表['#],0),MATCH(CH$5,スコア表[#Headers],0))
-
INDEX(スコア表2[],MATCH("average",スコア表2[maxmin],0),MATCH(CH$5,スコア表2[#Headers],0)))
/
INDEX(スコア表2[],MATCH("stdev.p",スコア表2[maxmin],0),MATCH(CH$5,スコア表2[#Headers],0))
*10+50,"-")</f>
        <v>47.883135374072644</v>
      </c>
      <c r="CI17" s="4">
        <f>IFERROR(
(INDEX(スコア表[],MATCH($C17,スコア表['#],0),MATCH(CI$5,スコア表[#Headers],0))
-
INDEX(スコア表2[],MATCH("average",スコア表2[maxmin],0),MATCH(CI$5,スコア表2[#Headers],0)))
/
INDEX(スコア表2[],MATCH("stdev.p",スコア表2[maxmin],0),MATCH(CI$5,スコア表2[#Headers],0))
*10+50,"-")</f>
        <v>44.84401324941458</v>
      </c>
      <c r="CJ17" s="4">
        <f>IFERROR(
(INDEX(スコア表[],MATCH($C17,スコア表['#],0),MATCH(CJ$5,スコア表[#Headers],0))
-
INDEX(スコア表2[],MATCH("average",スコア表2[maxmin],0),MATCH(CJ$5,スコア表2[#Headers],0)))
/
INDEX(スコア表2[],MATCH("stdev.p",スコア表2[maxmin],0),MATCH(CJ$5,スコア表2[#Headers],0))
*10+50,"-")</f>
        <v>51.115258246643258</v>
      </c>
      <c r="CK17" s="4">
        <f>IFERROR(
(INDEX(スコア表[],MATCH($C17,スコア表['#],0),MATCH(CK$5,スコア表[#Headers],0))
-
INDEX(スコア表2[],MATCH("average",スコア表2[maxmin],0),MATCH(CK$5,スコア表2[#Headers],0)))
/
INDEX(スコア表2[],MATCH("stdev.p",スコア表2[maxmin],0),MATCH(CK$5,スコア表2[#Headers],0))
*10+50,"-")</f>
        <v>50.867891392706561</v>
      </c>
      <c r="CL17" s="4">
        <f>IFERROR(
(INDEX(スコア表[],MATCH($C17,スコア表['#],0),MATCH(CL$5,スコア表[#Headers],0))
-
INDEX(スコア表2[],MATCH("average",スコア表2[maxmin],0),MATCH(CL$5,スコア表2[#Headers],0)))
/
INDEX(スコア表2[],MATCH("stdev.p",スコア表2[maxmin],0),MATCH(CL$5,スコア表2[#Headers],0))
*10+50,"-")</f>
        <v>49.135278812433164</v>
      </c>
      <c r="CM17" s="4">
        <f>IFERROR(
(INDEX(スコア表[],MATCH($C17,スコア表['#],0),MATCH(CM$5,スコア表[#Headers],0))
-
INDEX(スコア表2[],MATCH("average",スコア表2[maxmin],0),MATCH(CM$5,スコア表2[#Headers],0)))
/
INDEX(スコア表2[],MATCH("stdev.p",スコア表2[maxmin],0),MATCH(CM$5,スコア表2[#Headers],0))
*10+50,"-")</f>
        <v>53.563975056429392</v>
      </c>
      <c r="CN17" s="4">
        <f>IFERROR(
(INDEX(スコア表[],MATCH($C17,スコア表['#],0),MATCH(CN$5,スコア表[#Headers],0))
-
INDEX(スコア表2[],MATCH("average",スコア表2[maxmin],0),MATCH(CN$5,スコア表2[#Headers],0)))
/
INDEX(スコア表2[],MATCH("stdev.p",スコア表2[maxmin],0),MATCH(CN$5,スコア表2[#Headers],0))
*10+50,"-")</f>
        <v>53.043189302577787</v>
      </c>
      <c r="CO17" s="4">
        <f>IFERROR(
(INDEX(スコア表[],MATCH($C17,スコア表['#],0),MATCH(CO$5,スコア表[#Headers],0))
-
INDEX(スコア表2[],MATCH("average",スコア表2[maxmin],0),MATCH(CO$5,スコア表2[#Headers],0)))
/
INDEX(スコア表2[],MATCH("stdev.p",スコア表2[maxmin],0),MATCH(CO$5,スコア表2[#Headers],0))
*10+50,"-")</f>
        <v>42.383592312078605</v>
      </c>
      <c r="CP17" s="4">
        <f>IFERROR(
(INDEX(スコア表[],MATCH($C17,スコア表['#],0),MATCH(CP$5,スコア表[#Headers],0))
-
INDEX(スコア表2[],MATCH("average",スコア表2[maxmin],0),MATCH(CP$5,スコア表2[#Headers],0)))
/
INDEX(スコア表2[],MATCH("stdev.p",スコア表2[maxmin],0),MATCH(CP$5,スコア表2[#Headers],0))
*10+50,"-")</f>
        <v>56.001925922079124</v>
      </c>
      <c r="CQ17" s="4">
        <f>IFERROR(
(INDEX(スコア表[],MATCH($C17,スコア表['#],0),MATCH(CQ$5,スコア表[#Headers],0))
-
INDEX(スコア表2[],MATCH("average",スコア表2[maxmin],0),MATCH(CQ$5,スコア表2[#Headers],0)))
/
INDEX(スコア表2[],MATCH("stdev.p",スコア表2[maxmin],0),MATCH(CQ$5,スコア表2[#Headers],0))
*10+50,"-")</f>
        <v>57.741692529016717</v>
      </c>
      <c r="CR17" s="4">
        <f>IFERROR(
(INDEX(スコア表[],MATCH($C17,スコア表['#],0),MATCH(CR$5,スコア表[#Headers],0))
-
INDEX(スコア表2[],MATCH("average",スコア表2[maxmin],0),MATCH(CR$5,スコア表2[#Headers],0)))
/
INDEX(スコア表2[],MATCH("stdev.p",スコア表2[maxmin],0),MATCH(CR$5,スコア表2[#Headers],0))
*10+50,"-")</f>
        <v>46.253257652611545</v>
      </c>
      <c r="CS17" s="4">
        <f>IFERROR(
(INDEX(スコア表[],MATCH($C17,スコア表['#],0),MATCH(CS$5,スコア表[#Headers],0))
-
INDEX(スコア表2[],MATCH("average",スコア表2[maxmin],0),MATCH(CS$5,スコア表2[#Headers],0)))
/
INDEX(スコア表2[],MATCH("stdev.p",スコア表2[maxmin],0),MATCH(CS$5,スコア表2[#Headers],0))
*10+50,"-")</f>
        <v>55.287909579691977</v>
      </c>
      <c r="CT17" s="4">
        <f>IFERROR(
(INDEX(スコア表[],MATCH($C17,スコア表['#],0),MATCH(CT$5,スコア表[#Headers],0))
-
INDEX(スコア表2[],MATCH("average",スコア表2[maxmin],0),MATCH(CT$5,スコア表2[#Headers],0)))
/
INDEX(スコア表2[],MATCH("stdev.p",スコア表2[maxmin],0),MATCH(CT$5,スコア表2[#Headers],0))
*10+50,"-")</f>
        <v>62.248717049508173</v>
      </c>
      <c r="CU17" s="4">
        <f>IFERROR(
(INDEX(スコア表[],MATCH($C17,スコア表['#],0),MATCH(CU$5,スコア表[#Headers],0))
-
INDEX(スコア表2[],MATCH("average",スコア表2[maxmin],0),MATCH(CU$5,スコア表2[#Headers],0)))
/
INDEX(スコア表2[],MATCH("stdev.p",スコア表2[maxmin],0),MATCH(CU$5,スコア表2[#Headers],0))
*10+50,"-")</f>
        <v>59.980788362027937</v>
      </c>
      <c r="CV17" s="4">
        <f>IFERROR(
(INDEX(スコア表[],MATCH($C17,スコア表['#],0),MATCH(CV$5,スコア表[#Headers],0))
-
INDEX(スコア表2[],MATCH("average",スコア表2[maxmin],0),MATCH(CV$5,スコア表2[#Headers],0)))
/
INDEX(スコア表2[],MATCH("stdev.p",スコア表2[maxmin],0),MATCH(CV$5,スコア表2[#Headers],0))
*10+50,"-")</f>
        <v>40.780786076195554</v>
      </c>
      <c r="CW17" s="4">
        <f>IFERROR(
(INDEX(スコア表[],MATCH($C17,スコア表['#],0),MATCH(CW$5,スコア表[#Headers],0))
-
INDEX(スコア表2[],MATCH("average",スコア表2[maxmin],0),MATCH(CW$5,スコア表2[#Headers],0)))
/
INDEX(スコア表2[],MATCH("stdev.p",スコア表2[maxmin],0),MATCH(CW$5,スコア表2[#Headers],0))
*10+50,"-")</f>
        <v>47.13472387876358</v>
      </c>
      <c r="CX17" s="4">
        <f>IFERROR(
(INDEX(スコア表[],MATCH($C17,スコア表['#],0),MATCH(CX$5,スコア表[#Headers],0))
-
INDEX(スコア表2[],MATCH("average",スコア表2[maxmin],0),MATCH(CX$5,スコア表2[#Headers],0)))
/
INDEX(スコア表2[],MATCH("stdev.p",スコア表2[maxmin],0),MATCH(CX$5,スコア表2[#Headers],0))
*10+50,"-")</f>
        <v>50.904735382592044</v>
      </c>
      <c r="CY17" s="4">
        <f>IFERROR(
(INDEX(スコア表[],MATCH($C17,スコア表['#],0),MATCH(CY$5,スコア表[#Headers],0))
-
INDEX(スコア表2[],MATCH("average",スコア表2[maxmin],0),MATCH(CY$5,スコア表2[#Headers],0)))
/
INDEX(スコア表2[],MATCH("stdev.p",スコア表2[maxmin],0),MATCH(CY$5,スコア表2[#Headers],0))
*10+50,"-")</f>
        <v>50.387412473863741</v>
      </c>
      <c r="CZ17" s="4">
        <f>IFERROR(
(INDEX(スコア表[],MATCH($C17,スコア表['#],0),MATCH(CZ$5,スコア表[#Headers],0))
-
INDEX(スコア表2[],MATCH("average",スコア表2[maxmin],0),MATCH(CZ$5,スコア表2[#Headers],0)))
/
INDEX(スコア表2[],MATCH("stdev.p",スコア表2[maxmin],0),MATCH(CZ$5,スコア表2[#Headers],0))
*10+50,"-")</f>
        <v>55.670828503019543</v>
      </c>
      <c r="DA17" s="4">
        <f>IFERROR(
(INDEX(スコア表[],MATCH($C17,スコア表['#],0),MATCH(DA$5,スコア表[#Headers],0))
-
INDEX(スコア表2[],MATCH("average",スコア表2[maxmin],0),MATCH(DA$5,スコア表2[#Headers],0)))
/
INDEX(スコア表2[],MATCH("stdev.p",スコア表2[maxmin],0),MATCH(DA$5,スコア表2[#Headers],0))
*10+50,"-")</f>
        <v>54.016332668210268</v>
      </c>
      <c r="DB17" s="4">
        <f>IFERROR(
(INDEX(スコア表[],MATCH($C17,スコア表['#],0),MATCH(DB$5,スコア表[#Headers],0))
-
INDEX(スコア表2[],MATCH("average",スコア表2[maxmin],0),MATCH(DB$5,スコア表2[#Headers],0)))
/
INDEX(スコア表2[],MATCH("stdev.p",スコア表2[maxmin],0),MATCH(DB$5,スコア表2[#Headers],0))
*10+50,"-")</f>
        <v>50.350934575413199</v>
      </c>
      <c r="DC17" s="4">
        <f>IFERROR(
(INDEX(スコア表[],MATCH($C17,スコア表['#],0),MATCH(DC$5,スコア表[#Headers],0))
-
INDEX(スコア表2[],MATCH("average",スコア表2[maxmin],0),MATCH(DC$5,スコア表2[#Headers],0)))
/
INDEX(スコア表2[],MATCH("stdev.p",スコア表2[maxmin],0),MATCH(DC$5,スコア表2[#Headers],0))
*10+50,"-")</f>
        <v>51.179636034101257</v>
      </c>
      <c r="DD17" s="4">
        <f>IFERROR(
(INDEX(スコア表[],MATCH($C17,スコア表['#],0),MATCH(DD$5,スコア表[#Headers],0))
-
INDEX(スコア表2[],MATCH("average",スコア表2[maxmin],0),MATCH(DD$5,スコア表2[#Headers],0)))
/
INDEX(スコア表2[],MATCH("stdev.p",スコア表2[maxmin],0),MATCH(DD$5,スコア表2[#Headers],0))
*10+50,"-")</f>
        <v>62.53724709042482</v>
      </c>
      <c r="DE17" s="4">
        <f>IFERROR(
(INDEX(スコア表[],MATCH($C17,スコア表['#],0),MATCH(DE$5,スコア表[#Headers],0))
-
INDEX(スコア表2[],MATCH("average",スコア表2[maxmin],0),MATCH(DE$5,スコア表2[#Headers],0)))
/
INDEX(スコア表2[],MATCH("stdev.p",スコア表2[maxmin],0),MATCH(DE$5,スコア表2[#Headers],0))
*10+50,"-")</f>
        <v>45.031227094136021</v>
      </c>
      <c r="DF17" s="76">
        <f>IFERROR(
(INDEX(スコア表[],MATCH($C17,スコア表['#],0),MATCH(DF$5,スコア表[#Headers],0))
-
INDEX(スコア表2[],MATCH("average",スコア表2[maxmin],0),MATCH(DF$5,スコア表2[#Headers],0)))
/
INDEX(スコア表2[],MATCH("stdev.p",スコア表2[maxmin],0),MATCH(DF$5,スコア表2[#Headers],0))
*10+50,"-")</f>
        <v>54.372114799892948</v>
      </c>
      <c r="DG17" s="4">
        <f>IFERROR(_xlfn.STDEV.P(偏差値表[[#This Row],[Economy]:[Accessibility]]),"")</f>
        <v>5.3674160961640087</v>
      </c>
    </row>
    <row r="18" spans="1:111">
      <c r="A18" s="2">
        <v>13</v>
      </c>
      <c r="B18" s="58">
        <f>INDEX(順位表[Comprehensive],MATCH($C18,順位表['#],0))</f>
        <v>13</v>
      </c>
      <c r="C18" s="3">
        <v>13</v>
      </c>
      <c r="D18" s="1" t="str">
        <f>INDEX(都市マスタ[City Name],MATCH($C18,都市マスタ['#],0))</f>
        <v>Vienna</v>
      </c>
      <c r="E18" s="4">
        <f>IFERROR(
(INDEX(スコア表[],MATCH($C18,スコア表['#],0),MATCH(E$5,スコア表[#Headers],0))
-
INDEX(スコア表2[],MATCH("average",スコア表2[maxmin],0),MATCH(E$5,スコア表2[#Headers],0)))
/
INDEX(スコア表2[],MATCH("stdev.p",スコア表2[maxmin],0),MATCH(E$5,スコア表2[#Headers],0))
*10+50,"-")</f>
        <v>44.026816654508465</v>
      </c>
      <c r="F18" s="4">
        <f>IFERROR(
(INDEX(スコア表[],MATCH($C18,スコア表['#],0),MATCH(F$5,スコア表[#Headers],0))
-
INDEX(スコア表2[],MATCH("average",スコア表2[maxmin],0),MATCH(F$5,スコア表2[#Headers],0)))
/
INDEX(スコア表2[],MATCH("stdev.p",スコア表2[maxmin],0),MATCH(F$5,スコア表2[#Headers],0))
*10+50,"-")</f>
        <v>46.049096688413556</v>
      </c>
      <c r="G18" s="4">
        <f>IFERROR(
(INDEX(スコア表[],MATCH($C18,スコア表['#],0),MATCH(G$5,スコア表[#Headers],0))
-
INDEX(スコア表2[],MATCH("average",スコア表2[maxmin],0),MATCH(G$5,スコア表2[#Headers],0)))
/
INDEX(スコア表2[],MATCH("stdev.p",スコア表2[maxmin],0),MATCH(G$5,スコア表2[#Headers],0))
*10+50,"-")</f>
        <v>48.33249429603066</v>
      </c>
      <c r="H18" s="4">
        <f>IFERROR(
(INDEX(スコア表[],MATCH($C18,スコア表['#],0),MATCH(H$5,スコア表[#Headers],0))
-
INDEX(スコア表2[],MATCH("average",スコア表2[maxmin],0),MATCH(H$5,スコア表2[#Headers],0)))
/
INDEX(スコア表2[],MATCH("stdev.p",スコア表2[maxmin],0),MATCH(H$5,スコア表2[#Headers],0))
*10+50,"-")</f>
        <v>45.257296436300003</v>
      </c>
      <c r="I18" s="4">
        <f>IFERROR(
(INDEX(スコア表[],MATCH($C18,スコア表['#],0),MATCH(I$5,スコア表[#Headers],0))
-
INDEX(スコア表2[],MATCH("average",スコア表2[maxmin],0),MATCH(I$5,スコア表2[#Headers],0)))
/
INDEX(スコア表2[],MATCH("stdev.p",スコア表2[maxmin],0),MATCH(I$5,スコア表2[#Headers],0))
*10+50,"-")</f>
        <v>48.031034835017074</v>
      </c>
      <c r="J18" s="4">
        <f>IFERROR(
(INDEX(スコア表[],MATCH($C18,スコア表['#],0),MATCH(J$5,スコア表[#Headers],0))
-
INDEX(スコア表2[],MATCH("average",スコア表2[maxmin],0),MATCH(J$5,スコア表2[#Headers],0)))
/
INDEX(スコア表2[],MATCH("stdev.p",スコア表2[maxmin],0),MATCH(J$5,スコア表2[#Headers],0))
*10+50,"-")</f>
        <v>42.775656405079978</v>
      </c>
      <c r="K18" s="4">
        <f>IFERROR(
(INDEX(スコア表[],MATCH($C18,スコア表['#],0),MATCH(K$5,スコア表[#Headers],0))
-
INDEX(スコア表2[],MATCH("average",スコア表2[maxmin],0),MATCH(K$5,スコア表2[#Headers],0)))
/
INDEX(スコア表2[],MATCH("stdev.p",スコア表2[maxmin],0),MATCH(K$5,スコア表2[#Headers],0))
*10+50,"-")</f>
        <v>53.376552338196248</v>
      </c>
      <c r="L18" s="4">
        <f>IFERROR(
(INDEX(スコア表[],MATCH($C18,スコア表['#],0),MATCH(L$5,スコア表[#Headers],0))
-
INDEX(スコア表2[],MATCH("average",スコア表2[maxmin],0),MATCH(L$5,スコア表2[#Headers],0)))
/
INDEX(スコア表2[],MATCH("stdev.p",スコア表2[maxmin],0),MATCH(L$5,スコア表2[#Headers],0))
*10+50,"-")</f>
        <v>47.043506217425474</v>
      </c>
      <c r="M18" s="4">
        <f>IFERROR(
(INDEX(スコア表[],MATCH($C18,スコア表['#],0),MATCH(M$5,スコア表[#Headers],0))
-
INDEX(スコア表2[],MATCH("average",スコア表2[maxmin],0),MATCH(M$5,スコア表2[#Headers],0)))
/
INDEX(スコア表2[],MATCH("stdev.p",スコア表2[maxmin],0),MATCH(M$5,スコア表2[#Headers],0))
*10+50,"-")</f>
        <v>46.342450801682283</v>
      </c>
      <c r="N18" s="4">
        <f>IFERROR(
(INDEX(スコア表[],MATCH($C18,スコア表['#],0),MATCH(N$5,スコア表[#Headers],0))
-
INDEX(スコア表2[],MATCH("average",スコア表2[maxmin],0),MATCH(N$5,スコア表2[#Headers],0)))
/
INDEX(スコア表2[],MATCH("stdev.p",スコア表2[maxmin],0),MATCH(N$5,スコア表2[#Headers],0))
*10+50,"-")</f>
        <v>43.762307399445298</v>
      </c>
      <c r="O18" s="4">
        <f>IFERROR(
(INDEX(スコア表[],MATCH($C18,スコア表['#],0),MATCH(O$5,スコア表[#Headers],0))
-
INDEX(スコア表2[],MATCH("average",スコア表2[maxmin],0),MATCH(O$5,スコア表2[#Headers],0)))
/
INDEX(スコア表2[],MATCH("stdev.p",スコア表2[maxmin],0),MATCH(O$5,スコア表2[#Headers],0))
*10+50,"-")</f>
        <v>45.977071672043458</v>
      </c>
      <c r="P18" s="4">
        <f>IFERROR(
(INDEX(スコア表[],MATCH($C18,スコア表['#],0),MATCH(P$5,スコア表[#Headers],0))
-
INDEX(スコア表2[],MATCH("average",スコア表2[maxmin],0),MATCH(P$5,スコア表2[#Headers],0)))
/
INDEX(スコア表2[],MATCH("stdev.p",スコア表2[maxmin],0),MATCH(P$5,スコア表2[#Headers],0))
*10+50,"-")</f>
        <v>50.264934362316353</v>
      </c>
      <c r="Q18" s="4">
        <f>IFERROR(
(INDEX(スコア表[],MATCH($C18,スコア表['#],0),MATCH(Q$5,スコア表[#Headers],0))
-
INDEX(スコア表2[],MATCH("average",スコア表2[maxmin],0),MATCH(Q$5,スコア表2[#Headers],0)))
/
INDEX(スコア表2[],MATCH("stdev.p",スコア表2[maxmin],0),MATCH(Q$5,スコア表2[#Headers],0))
*10+50,"-")</f>
        <v>53.964939250139999</v>
      </c>
      <c r="R18" s="4">
        <f>IFERROR(
(INDEX(スコア表[],MATCH($C18,スコア表['#],0),MATCH(R$5,スコア表[#Headers],0))
-
INDEX(スコア表2[],MATCH("average",スコア表2[maxmin],0),MATCH(R$5,スコア表2[#Headers],0)))
/
INDEX(スコア表2[],MATCH("stdev.p",スコア表2[maxmin],0),MATCH(R$5,スコア表2[#Headers],0))
*10+50,"-")</f>
        <v>45.340701372370724</v>
      </c>
      <c r="S18" s="4">
        <f>IFERROR(
(INDEX(スコア表[],MATCH($C18,スコア表['#],0),MATCH(S$5,スコア表[#Headers],0))
-
INDEX(スコア表2[],MATCH("average",スコア表2[maxmin],0),MATCH(S$5,スコア表2[#Headers],0)))
/
INDEX(スコア表2[],MATCH("stdev.p",スコア表2[maxmin],0),MATCH(S$5,スコア表2[#Headers],0))
*10+50,"-")</f>
        <v>51.79907562986098</v>
      </c>
      <c r="T18" s="4">
        <f>IFERROR(
(INDEX(スコア表[],MATCH($C18,スコア表['#],0),MATCH(T$5,スコア表[#Headers],0))
-
INDEX(スコア表2[],MATCH("average",スコア表2[maxmin],0),MATCH(T$5,スコア表2[#Headers],0)))
/
INDEX(スコア表2[],MATCH("stdev.p",スコア表2[maxmin],0),MATCH(T$5,スコア表2[#Headers],0))
*10+50,"-")</f>
        <v>53.417283616592762</v>
      </c>
      <c r="U18" s="4">
        <f>IFERROR(
(INDEX(スコア表[],MATCH($C18,スコア表['#],0),MATCH(U$5,スコア表[#Headers],0))
-
INDEX(スコア表2[],MATCH("average",スコア表2[maxmin],0),MATCH(U$5,スコア表2[#Headers],0)))
/
INDEX(スコア表2[],MATCH("stdev.p",スコア表2[maxmin],0),MATCH(U$5,スコア表2[#Headers],0))
*10+50,"-")</f>
        <v>45.111719857599674</v>
      </c>
      <c r="V18" s="4">
        <f>IFERROR(
(INDEX(スコア表[],MATCH($C18,スコア表['#],0),MATCH(V$5,スコア表[#Headers],0))
-
INDEX(スコア表2[],MATCH("average",スコア表2[maxmin],0),MATCH(V$5,スコア表2[#Headers],0)))
/
INDEX(スコア表2[],MATCH("stdev.p",スコア表2[maxmin],0),MATCH(V$5,スコア表2[#Headers],0))
*10+50,"-")</f>
        <v>44.47574410526002</v>
      </c>
      <c r="W18" s="4">
        <f>IFERROR(
(INDEX(スコア表[],MATCH($C18,スコア表['#],0),MATCH(W$5,スコア表[#Headers],0))
-
INDEX(スコア表2[],MATCH("average",スコア表2[maxmin],0),MATCH(W$5,スコア表2[#Headers],0)))
/
INDEX(スコア表2[],MATCH("stdev.p",スコア表2[maxmin],0),MATCH(W$5,スコア表2[#Headers],0))
*10+50,"-")</f>
        <v>46.842470848230924</v>
      </c>
      <c r="X18" s="4">
        <f>IFERROR(
(INDEX(スコア表[],MATCH($C18,スコア表['#],0),MATCH(X$5,スコア表[#Headers],0))
-
INDEX(スコア表2[],MATCH("average",スコア表2[maxmin],0),MATCH(X$5,スコア表2[#Headers],0)))
/
INDEX(スコア表2[],MATCH("stdev.p",スコア表2[maxmin],0),MATCH(X$5,スコア表2[#Headers],0))
*10+50,"-")</f>
        <v>47.710067941377034</v>
      </c>
      <c r="Y18" s="4">
        <f>IFERROR(
(INDEX(スコア表[],MATCH($C18,スコア表['#],0),MATCH(Y$5,スコア表[#Headers],0))
-
INDEX(スコア表2[],MATCH("average",スコア表2[maxmin],0),MATCH(Y$5,スコア表2[#Headers],0)))
/
INDEX(スコア表2[],MATCH("stdev.p",スコア表2[maxmin],0),MATCH(Y$5,スコア表2[#Headers],0))
*10+50,"-")</f>
        <v>51.744084321925634</v>
      </c>
      <c r="Z18" s="4">
        <f>IFERROR(
(INDEX(スコア表[],MATCH($C18,スコア表['#],0),MATCH(Z$5,スコア表[#Headers],0))
-
INDEX(スコア表2[],MATCH("average",スコア表2[maxmin],0),MATCH(Z$5,スコア表2[#Headers],0)))
/
INDEX(スコア表2[],MATCH("stdev.p",スコア表2[maxmin],0),MATCH(Z$5,スコア表2[#Headers],0))
*10+50,"-")</f>
        <v>44.34310423909416</v>
      </c>
      <c r="AA18" s="4">
        <f>IFERROR(
(INDEX(スコア表[],MATCH($C18,スコア表['#],0),MATCH(AA$5,スコア表[#Headers],0))
-
INDEX(スコア表2[],MATCH("average",スコア表2[maxmin],0),MATCH(AA$5,スコア表2[#Headers],0)))
/
INDEX(スコア表2[],MATCH("stdev.p",スコア表2[maxmin],0),MATCH(AA$5,スコア表2[#Headers],0))
*10+50,"-")</f>
        <v>47.808855431068224</v>
      </c>
      <c r="AB18" s="4">
        <f>IFERROR(
(INDEX(スコア表[],MATCH($C18,スコア表['#],0),MATCH(AB$5,スコア表[#Headers],0))
-
INDEX(スコア表2[],MATCH("average",スコア表2[maxmin],0),MATCH(AB$5,スコア表2[#Headers],0)))
/
INDEX(スコア表2[],MATCH("stdev.p",スコア表2[maxmin],0),MATCH(AB$5,スコア表2[#Headers],0))
*10+50,"-")</f>
        <v>44.503465099702225</v>
      </c>
      <c r="AC18" s="4">
        <f>IFERROR(
(INDEX(スコア表[],MATCH($C18,スコア表['#],0),MATCH(AC$5,スコア表[#Headers],0))
-
INDEX(スコア表2[],MATCH("average",スコア表2[maxmin],0),MATCH(AC$5,スコア表2[#Headers],0)))
/
INDEX(スコア表2[],MATCH("stdev.p",スコア表2[maxmin],0),MATCH(AC$5,スコア表2[#Headers],0))
*10+50,"-")</f>
        <v>70.005512323877483</v>
      </c>
      <c r="AD18" s="4">
        <f>IFERROR(
(INDEX(スコア表[],MATCH($C18,スコア表['#],0),MATCH(AD$5,スコア表[#Headers],0))
-
INDEX(スコア表2[],MATCH("average",スコア表2[maxmin],0),MATCH(AD$5,スコア表2[#Headers],0)))
/
INDEX(スコア表2[],MATCH("stdev.p",スコア表2[maxmin],0),MATCH(AD$5,スコア表2[#Headers],0))
*10+50,"-")</f>
        <v>50.214789958064408</v>
      </c>
      <c r="AE18" s="4">
        <f>IFERROR(
(INDEX(スコア表[],MATCH($C18,スコア表['#],0),MATCH(AE$5,スコア表[#Headers],0))
-
INDEX(スコア表2[],MATCH("average",スコア表2[maxmin],0),MATCH(AE$5,スコア表2[#Headers],0)))
/
INDEX(スコア表2[],MATCH("stdev.p",スコア表2[maxmin],0),MATCH(AE$5,スコア表2[#Headers],0))
*10+50,"-")</f>
        <v>48.275867875588936</v>
      </c>
      <c r="AF18" s="4">
        <f>IFERROR(
(INDEX(スコア表[],MATCH($C18,スコア表['#],0),MATCH(AF$5,スコア表[#Headers],0))
-
INDEX(スコア表2[],MATCH("average",スコア表2[maxmin],0),MATCH(AF$5,スコア表2[#Headers],0)))
/
INDEX(スコア表2[],MATCH("stdev.p",スコア表2[maxmin],0),MATCH(AF$5,スコア表2[#Headers],0))
*10+50,"-")</f>
        <v>48.585013385000181</v>
      </c>
      <c r="AG18" s="4">
        <f>IFERROR(
(INDEX(スコア表[],MATCH($C18,スコア表['#],0),MATCH(AG$5,スコア表[#Headers],0))
-
INDEX(スコア表2[],MATCH("average",スコア表2[maxmin],0),MATCH(AG$5,スコア表2[#Headers],0)))
/
INDEX(スコア表2[],MATCH("stdev.p",スコア表2[maxmin],0),MATCH(AG$5,スコア表2[#Headers],0))
*10+50,"-")</f>
        <v>49.937819853303289</v>
      </c>
      <c r="AH18" s="4">
        <f>IFERROR(
(INDEX(スコア表[],MATCH($C18,スコア表['#],0),MATCH(AH$5,スコア表[#Headers],0))
-
INDEX(スコア表2[],MATCH("average",スコア表2[maxmin],0),MATCH(AH$5,スコア表2[#Headers],0)))
/
INDEX(スコア表2[],MATCH("stdev.p",スコア表2[maxmin],0),MATCH(AH$5,スコア表2[#Headers],0))
*10+50,"-")</f>
        <v>67.088899020637868</v>
      </c>
      <c r="AI18" s="4">
        <f>IFERROR(
(INDEX(スコア表[],MATCH($C18,スコア表['#],0),MATCH(AI$5,スコア表[#Headers],0))
-
INDEX(スコア表2[],MATCH("average",スコア表2[maxmin],0),MATCH(AI$5,スコア表2[#Headers],0)))
/
INDEX(スコア表2[],MATCH("stdev.p",スコア表2[maxmin],0),MATCH(AI$5,スコア表2[#Headers],0))
*10+50,"-")</f>
        <v>38.743766744479935</v>
      </c>
      <c r="AJ18" s="4">
        <f>IFERROR(
(INDEX(スコア表[],MATCH($C18,スコア表['#],0),MATCH(AJ$5,スコア表[#Headers],0))
-
INDEX(スコア表2[],MATCH("average",スコア表2[maxmin],0),MATCH(AJ$5,スコア表2[#Headers],0)))
/
INDEX(スコア表2[],MATCH("stdev.p",スコア表2[maxmin],0),MATCH(AJ$5,スコア表2[#Headers],0))
*10+50,"-")</f>
        <v>50.81583885690862</v>
      </c>
      <c r="AK18" s="4">
        <f>IFERROR(
(INDEX(スコア表[],MATCH($C18,スコア表['#],0),MATCH(AK$5,スコア表[#Headers],0))
-
INDEX(スコア表2[],MATCH("average",スコア表2[maxmin],0),MATCH(AK$5,スコア表2[#Headers],0)))
/
INDEX(スコア表2[],MATCH("stdev.p",スコア表2[maxmin],0),MATCH(AK$5,スコア表2[#Headers],0))
*10+50,"-")</f>
        <v>61.550147634136152</v>
      </c>
      <c r="AL18" s="4">
        <f>IFERROR(
(INDEX(スコア表[],MATCH($C18,スコア表['#],0),MATCH(AL$5,スコア表[#Headers],0))
-
INDEX(スコア表2[],MATCH("average",スコア表2[maxmin],0),MATCH(AL$5,スコア表2[#Headers],0)))
/
INDEX(スコア表2[],MATCH("stdev.p",スコア表2[maxmin],0),MATCH(AL$5,スコア表2[#Headers],0))
*10+50,"-")</f>
        <v>44.054187174868872</v>
      </c>
      <c r="AM18" s="4">
        <f>IFERROR(
(INDEX(スコア表[],MATCH($C18,スコア表['#],0),MATCH(AM$5,スコア表[#Headers],0))
-
INDEX(スコア表2[],MATCH("average",スコア表2[maxmin],0),MATCH(AM$5,スコア表2[#Headers],0)))
/
INDEX(スコア表2[],MATCH("stdev.p",スコア表2[maxmin],0),MATCH(AM$5,スコア表2[#Headers],0))
*10+50,"-")</f>
        <v>46.509447349247303</v>
      </c>
      <c r="AN18" s="4">
        <f>IFERROR(
(INDEX(スコア表[],MATCH($C18,スコア表['#],0),MATCH(AN$5,スコア表[#Headers],0))
-
INDEX(スコア表2[],MATCH("average",スコア表2[maxmin],0),MATCH(AN$5,スコア表2[#Headers],0)))
/
INDEX(スコア表2[],MATCH("stdev.p",スコア表2[maxmin],0),MATCH(AN$5,スコア表2[#Headers],0))
*10+50,"-")</f>
        <v>46.838927817487459</v>
      </c>
      <c r="AO18" s="4">
        <f>IFERROR(
(INDEX(スコア表[],MATCH($C18,スコア表['#],0),MATCH(AO$5,スコア表[#Headers],0))
-
INDEX(スコア表2[],MATCH("average",スコア表2[maxmin],0),MATCH(AO$5,スコア表2[#Headers],0)))
/
INDEX(スコア表2[],MATCH("stdev.p",スコア表2[maxmin],0),MATCH(AO$5,スコア表2[#Headers],0))
*10+50,"-")</f>
        <v>42.031116548686775</v>
      </c>
      <c r="AP18" s="4">
        <f>IFERROR(
(INDEX(スコア表[],MATCH($C18,スコア表['#],0),MATCH(AP$5,スコア表[#Headers],0))
-
INDEX(スコア表2[],MATCH("average",スコア表2[maxmin],0),MATCH(AP$5,スコア表2[#Headers],0)))
/
INDEX(スコア表2[],MATCH("stdev.p",スコア表2[maxmin],0),MATCH(AP$5,スコア表2[#Headers],0))
*10+50,"-")</f>
        <v>47.095239474760632</v>
      </c>
      <c r="AQ18" s="4">
        <f>IFERROR(
(INDEX(スコア表[],MATCH($C18,スコア表['#],0),MATCH(AQ$5,スコア表[#Headers],0))
-
INDEX(スコア表2[],MATCH("average",スコア表2[maxmin],0),MATCH(AQ$5,スコア表2[#Headers],0)))
/
INDEX(スコア表2[],MATCH("stdev.p",スコア表2[maxmin],0),MATCH(AQ$5,スコア表2[#Headers],0))
*10+50,"-")</f>
        <v>51.970548241501646</v>
      </c>
      <c r="AR18" s="4">
        <f>IFERROR(
(INDEX(スコア表[],MATCH($C18,スコア表['#],0),MATCH(AR$5,スコア表[#Headers],0))
-
INDEX(スコア表2[],MATCH("average",スコア表2[maxmin],0),MATCH(AR$5,スコア表2[#Headers],0)))
/
INDEX(スコア表2[],MATCH("stdev.p",スコア表2[maxmin],0),MATCH(AR$5,スコア表2[#Headers],0))
*10+50,"-")</f>
        <v>53.112043372691488</v>
      </c>
      <c r="AS18" s="4">
        <f>IFERROR(
(INDEX(スコア表[],MATCH($C18,スコア表['#],0),MATCH(AS$5,スコア表[#Headers],0))
-
INDEX(スコア表2[],MATCH("average",スコア表2[maxmin],0),MATCH(AS$5,スコア表2[#Headers],0)))
/
INDEX(スコア表2[],MATCH("stdev.p",スコア表2[maxmin],0),MATCH(AS$5,スコア表2[#Headers],0))
*10+50,"-")</f>
        <v>42.220557575201305</v>
      </c>
      <c r="AT18" s="4">
        <f>IFERROR(
(INDEX(スコア表[],MATCH($C18,スコア表['#],0),MATCH(AT$5,スコア表[#Headers],0))
-
INDEX(スコア表2[],MATCH("average",スコア表2[maxmin],0),MATCH(AT$5,スコア表2[#Headers],0)))
/
INDEX(スコア表2[],MATCH("stdev.p",スコア表2[maxmin],0),MATCH(AT$5,スコア表2[#Headers],0))
*10+50,"-")</f>
        <v>63.332626866653399</v>
      </c>
      <c r="AU18" s="4">
        <f>IFERROR(
(INDEX(スコア表[],MATCH($C18,スコア表['#],0),MATCH(AU$5,スコア表[#Headers],0))
-
INDEX(スコア表2[],MATCH("average",スコア表2[maxmin],0),MATCH(AU$5,スコア表2[#Headers],0)))
/
INDEX(スコア表2[],MATCH("stdev.p",スコア表2[maxmin],0),MATCH(AU$5,スコア表2[#Headers],0))
*10+50,"-")</f>
        <v>47.274858526230339</v>
      </c>
      <c r="AV18" s="4">
        <f>IFERROR(
(INDEX(スコア表[],MATCH($C18,スコア表['#],0),MATCH(AV$5,スコア表[#Headers],0))
-
INDEX(スコア表2[],MATCH("average",スコア表2[maxmin],0),MATCH(AV$5,スコア表2[#Headers],0)))
/
INDEX(スコア表2[],MATCH("stdev.p",スコア表2[maxmin],0),MATCH(AV$5,スコア表2[#Headers],0))
*10+50,"-")</f>
        <v>57.298060599112112</v>
      </c>
      <c r="AW18" s="4">
        <f>IFERROR(
(INDEX(スコア表[],MATCH($C18,スコア表['#],0),MATCH(AW$5,スコア表[#Headers],0))
-
INDEX(スコア表2[],MATCH("average",スコア表2[maxmin],0),MATCH(AW$5,スコア表2[#Headers],0)))
/
INDEX(スコア表2[],MATCH("stdev.p",スコア表2[maxmin],0),MATCH(AW$5,スコア表2[#Headers],0))
*10+50,"-")</f>
        <v>51.04296523269339</v>
      </c>
      <c r="AX18" s="4">
        <f>IFERROR(
(INDEX(スコア表[],MATCH($C18,スコア表['#],0),MATCH(AX$5,スコア表[#Headers],0))
-
INDEX(スコア表2[],MATCH("average",スコア表2[maxmin],0),MATCH(AX$5,スコア表2[#Headers],0)))
/
INDEX(スコア表2[],MATCH("stdev.p",スコア表2[maxmin],0),MATCH(AX$5,スコア表2[#Headers],0))
*10+50,"-")</f>
        <v>54.418176395157282</v>
      </c>
      <c r="AY18" s="4">
        <f>IFERROR(
(INDEX(スコア表[],MATCH($C18,スコア表['#],0),MATCH(AY$5,スコア表[#Headers],0))
-
INDEX(スコア表2[],MATCH("average",スコア表2[maxmin],0),MATCH(AY$5,スコア表2[#Headers],0)))
/
INDEX(スコア表2[],MATCH("stdev.p",スコア表2[maxmin],0),MATCH(AY$5,スコア表2[#Headers],0))
*10+50,"-")</f>
        <v>53.060477302833874</v>
      </c>
      <c r="AZ18" s="4">
        <f>IFERROR(
(INDEX(スコア表[],MATCH($C18,スコア表['#],0),MATCH(AZ$5,スコア表[#Headers],0))
-
INDEX(スコア表2[],MATCH("average",スコア表2[maxmin],0),MATCH(AZ$5,スコア表2[#Headers],0)))
/
INDEX(スコア表2[],MATCH("stdev.p",スコア表2[maxmin],0),MATCH(AZ$5,スコア表2[#Headers],0))
*10+50,"-")</f>
        <v>54.218756867073907</v>
      </c>
      <c r="BA18" s="4">
        <f>IFERROR(
(INDEX(スコア表[],MATCH($C18,スコア表['#],0),MATCH(BA$5,スコア表[#Headers],0))
-
INDEX(スコア表2[],MATCH("average",スコア表2[maxmin],0),MATCH(BA$5,スコア表2[#Headers],0)))
/
INDEX(スコア表2[],MATCH("stdev.p",スコア表2[maxmin],0),MATCH(BA$5,スコア表2[#Headers],0))
*10+50,"-")</f>
        <v>55.064875342986774</v>
      </c>
      <c r="BB18" s="4">
        <f>IFERROR(
(INDEX(スコア表[],MATCH($C18,スコア表['#],0),MATCH(BB$5,スコア表[#Headers],0))
-
INDEX(スコア表2[],MATCH("average",スコア表2[maxmin],0),MATCH(BB$5,スコア表2[#Headers],0)))
/
INDEX(スコア表2[],MATCH("stdev.p",スコア表2[maxmin],0),MATCH(BB$5,スコア表2[#Headers],0))
*10+50,"-")</f>
        <v>54.1203963387212</v>
      </c>
      <c r="BC18" s="4">
        <f>IFERROR(
(INDEX(スコア表[],MATCH($C18,スコア表['#],0),MATCH(BC$5,スコア表[#Headers],0))
-
INDEX(スコア表2[],MATCH("average",スコア表2[maxmin],0),MATCH(BC$5,スコア表2[#Headers],0)))
/
INDEX(スコア表2[],MATCH("stdev.p",スコア表2[maxmin],0),MATCH(BC$5,スコア表2[#Headers],0))
*10+50,"-")</f>
        <v>59.020193354373866</v>
      </c>
      <c r="BD18" s="4">
        <f>IFERROR(
(INDEX(スコア表[],MATCH($C18,スコア表['#],0),MATCH(BD$5,スコア表[#Headers],0))
-
INDEX(スコア表2[],MATCH("average",スコア表2[maxmin],0),MATCH(BD$5,スコア表2[#Headers],0)))
/
INDEX(スコア表2[],MATCH("stdev.p",スコア表2[maxmin],0),MATCH(BD$5,スコア表2[#Headers],0))
*10+50,"-")</f>
        <v>44.318301888271712</v>
      </c>
      <c r="BE18" s="4">
        <f>IFERROR(
(INDEX(スコア表[],MATCH($C18,スコア表['#],0),MATCH(BE$5,スコア表[#Headers],0))
-
INDEX(スコア表2[],MATCH("average",スコア表2[maxmin],0),MATCH(BE$5,スコア表2[#Headers],0)))
/
INDEX(スコア表2[],MATCH("stdev.p",スコア表2[maxmin],0),MATCH(BE$5,スコア表2[#Headers],0))
*10+50,"-")</f>
        <v>47.239133581671851</v>
      </c>
      <c r="BF18" s="4">
        <f>IFERROR(
(INDEX(スコア表[],MATCH($C18,スコア表['#],0),MATCH(BF$5,スコア表[#Headers],0))
-
INDEX(スコア表2[],MATCH("average",スコア表2[maxmin],0),MATCH(BF$5,スコア表2[#Headers],0)))
/
INDEX(スコア表2[],MATCH("stdev.p",スコア表2[maxmin],0),MATCH(BF$5,スコア表2[#Headers],0))
*10+50,"-")</f>
        <v>46.046142880454099</v>
      </c>
      <c r="BG18" s="4">
        <f>IFERROR(
(INDEX(スコア表[],MATCH($C18,スコア表['#],0),MATCH(BG$5,スコア表[#Headers],0))
-
INDEX(スコア表2[],MATCH("average",スコア表2[maxmin],0),MATCH(BG$5,スコア表2[#Headers],0)))
/
INDEX(スコア表2[],MATCH("stdev.p",スコア表2[maxmin],0),MATCH(BG$5,スコア表2[#Headers],0))
*10+50,"-")</f>
        <v>41.725403018094276</v>
      </c>
      <c r="BH18" s="4">
        <f>IFERROR(
(INDEX(スコア表[],MATCH($C18,スコア表['#],0),MATCH(BH$5,スコア表[#Headers],0))
-
INDEX(スコア表2[],MATCH("average",スコア表2[maxmin],0),MATCH(BH$5,スコア表2[#Headers],0)))
/
INDEX(スコア表2[],MATCH("stdev.p",スコア表2[maxmin],0),MATCH(BH$5,スコア表2[#Headers],0))
*10+50,"-")</f>
        <v>65.403381948947754</v>
      </c>
      <c r="BI18" s="4">
        <f>IFERROR(
(INDEX(スコア表[],MATCH($C18,スコア表['#],0),MATCH(BI$5,スコア表[#Headers],0))
-
INDEX(スコア表2[],MATCH("average",スコア表2[maxmin],0),MATCH(BI$5,スコア表2[#Headers],0)))
/
INDEX(スコア表2[],MATCH("stdev.p",スコア表2[maxmin],0),MATCH(BI$5,スコア表2[#Headers],0))
*10+50,"-")</f>
        <v>55.499803188668338</v>
      </c>
      <c r="BJ18" s="4">
        <f>IFERROR(
(INDEX(スコア表[],MATCH($C18,スコア表['#],0),MATCH(BJ$5,スコア表[#Headers],0))
-
INDEX(スコア表2[],MATCH("average",スコア表2[maxmin],0),MATCH(BJ$5,スコア表2[#Headers],0)))
/
INDEX(スコア表2[],MATCH("stdev.p",スコア表2[maxmin],0),MATCH(BJ$5,スコア表2[#Headers],0))
*10+50,"-")</f>
        <v>54.521529336629385</v>
      </c>
      <c r="BK18" s="4">
        <f>IFERROR(
(INDEX(スコア表[],MATCH($C18,スコア表['#],0),MATCH(BK$5,スコア表[#Headers],0))
-
INDEX(スコア表2[],MATCH("average",スコア表2[maxmin],0),MATCH(BK$5,スコア表2[#Headers],0)))
/
INDEX(スコア表2[],MATCH("stdev.p",スコア表2[maxmin],0),MATCH(BK$5,スコア表2[#Headers],0))
*10+50,"-")</f>
        <v>54.532638465158342</v>
      </c>
      <c r="BL18" s="4">
        <f>IFERROR(
(INDEX(スコア表[],MATCH($C18,スコア表['#],0),MATCH(BL$5,スコア表[#Headers],0))
-
INDEX(スコア表2[],MATCH("average",スコア表2[maxmin],0),MATCH(BL$5,スコア表2[#Headers],0)))
/
INDEX(スコア表2[],MATCH("stdev.p",スコア表2[maxmin],0),MATCH(BL$5,スコア表2[#Headers],0))
*10+50,"-")</f>
        <v>47.615190652261049</v>
      </c>
      <c r="BM18" s="4">
        <f>IFERROR(
(INDEX(スコア表[],MATCH($C18,スコア表['#],0),MATCH(BM$5,スコア表[#Headers],0))
-
INDEX(スコア表2[],MATCH("average",スコア表2[maxmin],0),MATCH(BM$5,スコア表2[#Headers],0)))
/
INDEX(スコア表2[],MATCH("stdev.p",スコア表2[maxmin],0),MATCH(BM$5,スコア表2[#Headers],0))
*10+50,"-")</f>
        <v>68.726882497700657</v>
      </c>
      <c r="BN18" s="4">
        <f>IFERROR(
(INDEX(スコア表[],MATCH($C18,スコア表['#],0),MATCH(BN$5,スコア表[#Headers],0))
-
INDEX(スコア表2[],MATCH("average",スコア表2[maxmin],0),MATCH(BN$5,スコア表2[#Headers],0)))
/
INDEX(スコア表2[],MATCH("stdev.p",スコア表2[maxmin],0),MATCH(BN$5,スコア表2[#Headers],0))
*10+50,"-")</f>
        <v>61.741778023893993</v>
      </c>
      <c r="BO18" s="4">
        <f>IFERROR(
(INDEX(スコア表[],MATCH($C18,スコア表['#],0),MATCH(BO$5,スコア表[#Headers],0))
-
INDEX(スコア表2[],MATCH("average",スコア表2[maxmin],0),MATCH(BO$5,スコア表2[#Headers],0)))
/
INDEX(スコア表2[],MATCH("stdev.p",スコア表2[maxmin],0),MATCH(BO$5,スコア表2[#Headers],0))
*10+50,"-")</f>
        <v>61.666718972529985</v>
      </c>
      <c r="BP18" s="4">
        <f>IFERROR(
(INDEX(スコア表[],MATCH($C18,スコア表['#],0),MATCH(BP$5,スコア表[#Headers],0))
-
INDEX(スコア表2[],MATCH("average",スコア表2[maxmin],0),MATCH(BP$5,スコア表2[#Headers],0)))
/
INDEX(スコア表2[],MATCH("stdev.p",スコア表2[maxmin],0),MATCH(BP$5,スコア表2[#Headers],0))
*10+50,"-")</f>
        <v>57.77521903482387</v>
      </c>
      <c r="BQ18" s="4">
        <f>IFERROR(
(INDEX(スコア表[],MATCH($C18,スコア表['#],0),MATCH(BQ$5,スコア表[#Headers],0))
-
INDEX(スコア表2[],MATCH("average",スコア表2[maxmin],0),MATCH(BQ$5,スコア表2[#Headers],0)))
/
INDEX(スコア表2[],MATCH("stdev.p",スコア表2[maxmin],0),MATCH(BQ$5,スコア表2[#Headers],0))
*10+50,"-")</f>
        <v>42.774392623417732</v>
      </c>
      <c r="BR18" s="4">
        <f>IFERROR(
(INDEX(スコア表[],MATCH($C18,スコア表['#],0),MATCH(BR$5,スコア表[#Headers],0))
-
INDEX(スコア表2[],MATCH("average",スコア表2[maxmin],0),MATCH(BR$5,スコア表2[#Headers],0)))
/
INDEX(スコア表2[],MATCH("stdev.p",スコア表2[maxmin],0),MATCH(BR$5,スコア表2[#Headers],0))
*10+50,"-")</f>
        <v>44.483083848431917</v>
      </c>
      <c r="BS18" s="4">
        <f>IFERROR(
(INDEX(スコア表[],MATCH($C18,スコア表['#],0),MATCH(BS$5,スコア表[#Headers],0))
-
INDEX(スコア表2[],MATCH("average",スコア表2[maxmin],0),MATCH(BS$5,スコア表2[#Headers],0)))
/
INDEX(スコア表2[],MATCH("stdev.p",スコア表2[maxmin],0),MATCH(BS$5,スコア表2[#Headers],0))
*10+50,"-")</f>
        <v>44.607131265541483</v>
      </c>
      <c r="BT18" s="4">
        <f>IFERROR(
(INDEX(スコア表[],MATCH($C18,スコア表['#],0),MATCH(BT$5,スコア表[#Headers],0))
-
INDEX(スコア表2[],MATCH("average",スコア表2[maxmin],0),MATCH(BT$5,スコア表2[#Headers],0)))
/
INDEX(スコア表2[],MATCH("stdev.p",スコア表2[maxmin],0),MATCH(BT$5,スコア表2[#Headers],0))
*10+50,"-")</f>
        <v>67.814331288544565</v>
      </c>
      <c r="BU18" s="4">
        <f>IFERROR(
(INDEX(スコア表[],MATCH($C18,スコア表['#],0),MATCH(BU$5,スコア表[#Headers],0))
-
INDEX(スコア表2[],MATCH("average",スコア表2[maxmin],0),MATCH(BU$5,スコア表2[#Headers],0)))
/
INDEX(スコア表2[],MATCH("stdev.p",スコア表2[maxmin],0),MATCH(BU$5,スコア表2[#Headers],0))
*10+50,"-")</f>
        <v>56.924096336408468</v>
      </c>
      <c r="BV18" s="4">
        <f>IFERROR(
(INDEX(スコア表[],MATCH($C18,スコア表['#],0),MATCH(BV$5,スコア表[#Headers],0))
-
INDEX(スコア表2[],MATCH("average",スコア表2[maxmin],0),MATCH(BV$5,スコア表2[#Headers],0)))
/
INDEX(スコア表2[],MATCH("stdev.p",スコア表2[maxmin],0),MATCH(BV$5,スコア表2[#Headers],0))
*10+50,"-")</f>
        <v>58.867789979214606</v>
      </c>
      <c r="BW18" s="4">
        <f>IFERROR(
(INDEX(スコア表[],MATCH($C18,スコア表['#],0),MATCH(BW$5,スコア表[#Headers],0))
-
INDEX(スコア表2[],MATCH("average",スコア表2[maxmin],0),MATCH(BW$5,スコア表2[#Headers],0)))
/
INDEX(スコア表2[],MATCH("stdev.p",スコア表2[maxmin],0),MATCH(BW$5,スコア表2[#Headers],0))
*10+50,"-")</f>
        <v>65.798545801766238</v>
      </c>
      <c r="BX18" s="4">
        <f>IFERROR(
(INDEX(スコア表[],MATCH($C18,スコア表['#],0),MATCH(BX$5,スコア表[#Headers],0))
-
INDEX(スコア表2[],MATCH("average",スコア表2[maxmin],0),MATCH(BX$5,スコア表2[#Headers],0)))
/
INDEX(スコア表2[],MATCH("stdev.p",スコア表2[maxmin],0),MATCH(BX$5,スコア表2[#Headers],0))
*10+50,"-")</f>
        <v>46.107735627817057</v>
      </c>
      <c r="BY18" s="4">
        <f>IFERROR(
(INDEX(スコア表[],MATCH($C18,スコア表['#],0),MATCH(BY$5,スコア表[#Headers],0))
-
INDEX(スコア表2[],MATCH("average",スコア表2[maxmin],0),MATCH(BY$5,スコア表2[#Headers],0)))
/
INDEX(スコア表2[],MATCH("stdev.p",スコア表2[maxmin],0),MATCH(BY$5,スコア表2[#Headers],0))
*10+50,"-")</f>
        <v>55.902942530930702</v>
      </c>
      <c r="BZ18" s="4">
        <f>IFERROR(
(INDEX(スコア表[],MATCH($C18,スコア表['#],0),MATCH(BZ$5,スコア表[#Headers],0))
-
INDEX(スコア表2[],MATCH("average",スコア表2[maxmin],0),MATCH(BZ$5,スコア表2[#Headers],0)))
/
INDEX(スコア表2[],MATCH("stdev.p",スコア表2[maxmin],0),MATCH(BZ$5,スコア表2[#Headers],0))
*10+50,"-")</f>
        <v>45.210824767914467</v>
      </c>
      <c r="CA18" s="4">
        <f>IFERROR(
(INDEX(スコア表[],MATCH($C18,スコア表['#],0),MATCH(CA$5,スコア表[#Headers],0))
-
INDEX(スコア表2[],MATCH("average",スコア表2[maxmin],0),MATCH(CA$5,スコア表2[#Headers],0)))
/
INDEX(スコア表2[],MATCH("stdev.p",スコア表2[maxmin],0),MATCH(CA$5,スコア表2[#Headers],0))
*10+50,"-")</f>
        <v>48.749867943700025</v>
      </c>
      <c r="CB18" s="4">
        <f>IFERROR(
(INDEX(スコア表[],MATCH($C18,スコア表['#],0),MATCH(CB$5,スコア表[#Headers],0))
-
INDEX(スコア表2[],MATCH("average",スコア表2[maxmin],0),MATCH(CB$5,スコア表2[#Headers],0)))
/
INDEX(スコア表2[],MATCH("stdev.p",スコア表2[maxmin],0),MATCH(CB$5,スコア表2[#Headers],0))
*10+50,"-")</f>
        <v>45.705697679319613</v>
      </c>
      <c r="CC18" s="4">
        <f>IFERROR(
(INDEX(スコア表[],MATCH($C18,スコア表['#],0),MATCH(CC$5,スコア表[#Headers],0))
-
INDEX(スコア表2[],MATCH("average",スコア表2[maxmin],0),MATCH(CC$5,スコア表2[#Headers],0)))
/
INDEX(スコア表2[],MATCH("stdev.p",スコア表2[maxmin],0),MATCH(CC$5,スコア表2[#Headers],0))
*10+50,"-")</f>
        <v>42.00626557566261</v>
      </c>
      <c r="CD18" s="4">
        <f>IFERROR(
(INDEX(スコア表[],MATCH($C18,スコア表['#],0),MATCH(CD$5,スコア表[#Headers],0))
-
INDEX(スコア表2[],MATCH("average",スコア表2[maxmin],0),MATCH(CD$5,スコア表2[#Headers],0)))
/
INDEX(スコア表2[],MATCH("stdev.p",スコア表2[maxmin],0),MATCH(CD$5,スコア表2[#Headers],0))
*10+50,"-")</f>
        <v>50.088023754306917</v>
      </c>
      <c r="CE18" s="4">
        <f>IFERROR(
(INDEX(スコア表[],MATCH($C18,スコア表['#],0),MATCH(CE$5,スコア表[#Headers],0))
-
INDEX(スコア表2[],MATCH("average",スコア表2[maxmin],0),MATCH(CE$5,スコア表2[#Headers],0)))
/
INDEX(スコア表2[],MATCH("stdev.p",スコア表2[maxmin],0),MATCH(CE$5,スコア表2[#Headers],0))
*10+50,"-")</f>
        <v>53.398862695450994</v>
      </c>
      <c r="CF18" s="4">
        <f>IFERROR(
(INDEX(スコア表[],MATCH($C18,スコア表['#],0),MATCH(CF$5,スコア表[#Headers],0))
-
INDEX(スコア表2[],MATCH("average",スコア表2[maxmin],0),MATCH(CF$5,スコア表2[#Headers],0)))
/
INDEX(スコア表2[],MATCH("stdev.p",スコア表2[maxmin],0),MATCH(CF$5,スコア表2[#Headers],0))
*10+50,"-")</f>
        <v>43.90191968563569</v>
      </c>
      <c r="CG18" s="4">
        <f>IFERROR(
(INDEX(スコア表[],MATCH($C18,スコア表['#],0),MATCH(CG$5,スコア表[#Headers],0))
-
INDEX(スコア表2[],MATCH("average",スコア表2[maxmin],0),MATCH(CG$5,スコア表2[#Headers],0)))
/
INDEX(スコア表2[],MATCH("stdev.p",スコア表2[maxmin],0),MATCH(CG$5,スコア表2[#Headers],0))
*10+50,"-")</f>
        <v>48.499071498701312</v>
      </c>
      <c r="CH18" s="4">
        <f>IFERROR(
(INDEX(スコア表[],MATCH($C18,スコア表['#],0),MATCH(CH$5,スコア表[#Headers],0))
-
INDEX(スコア表2[],MATCH("average",スコア表2[maxmin],0),MATCH(CH$5,スコア表2[#Headers],0)))
/
INDEX(スコア表2[],MATCH("stdev.p",スコア表2[maxmin],0),MATCH(CH$5,スコア表2[#Headers],0))
*10+50,"-")</f>
        <v>44.13539398326575</v>
      </c>
      <c r="CI18" s="4">
        <f>IFERROR(
(INDEX(スコア表[],MATCH($C18,スコア表['#],0),MATCH(CI$5,スコア表[#Headers],0))
-
INDEX(スコア表2[],MATCH("average",スコア表2[maxmin],0),MATCH(CI$5,スコア表2[#Headers],0)))
/
INDEX(スコア表2[],MATCH("stdev.p",スコア表2[maxmin],0),MATCH(CI$5,スコア表2[#Headers],0))
*10+50,"-")</f>
        <v>57.863058445401954</v>
      </c>
      <c r="CJ18" s="4">
        <f>IFERROR(
(INDEX(スコア表[],MATCH($C18,スコア表['#],0),MATCH(CJ$5,スコア表[#Headers],0))
-
INDEX(スコア表2[],MATCH("average",スコア表2[maxmin],0),MATCH(CJ$5,スコア表2[#Headers],0)))
/
INDEX(スコア表2[],MATCH("stdev.p",スコア表2[maxmin],0),MATCH(CJ$5,スコア表2[#Headers],0))
*10+50,"-")</f>
        <v>54.349233336712999</v>
      </c>
      <c r="CK18" s="4">
        <f>IFERROR(
(INDEX(スコア表[],MATCH($C18,スコア表['#],0),MATCH(CK$5,スコア表[#Headers],0))
-
INDEX(スコア表2[],MATCH("average",スコア表2[maxmin],0),MATCH(CK$5,スコア表2[#Headers],0)))
/
INDEX(スコア表2[],MATCH("stdev.p",スコア表2[maxmin],0),MATCH(CK$5,スコア表2[#Headers],0))
*10+50,"-")</f>
        <v>52.398410172023858</v>
      </c>
      <c r="CL18" s="4">
        <f>IFERROR(
(INDEX(スコア表[],MATCH($C18,スコア表['#],0),MATCH(CL$5,スコア表[#Headers],0))
-
INDEX(スコア表2[],MATCH("average",スコア表2[maxmin],0),MATCH(CL$5,スコア表2[#Headers],0)))
/
INDEX(スコア表2[],MATCH("stdev.p",スコア表2[maxmin],0),MATCH(CL$5,スコア表2[#Headers],0))
*10+50,"-")</f>
        <v>44.6147771370375</v>
      </c>
      <c r="CM18" s="4">
        <f>IFERROR(
(INDEX(スコア表[],MATCH($C18,スコア表['#],0),MATCH(CM$5,スコア表[#Headers],0))
-
INDEX(スコア表2[],MATCH("average",スコア表2[maxmin],0),MATCH(CM$5,スコア表2[#Headers],0)))
/
INDEX(スコア表2[],MATCH("stdev.p",スコア表2[maxmin],0),MATCH(CM$5,スコア表2[#Headers],0))
*10+50,"-")</f>
        <v>52.96562592406277</v>
      </c>
      <c r="CN18" s="4">
        <f>IFERROR(
(INDEX(スコア表[],MATCH($C18,スコア表['#],0),MATCH(CN$5,スコア表[#Headers],0))
-
INDEX(スコア表2[],MATCH("average",スコア表2[maxmin],0),MATCH(CN$5,スコア表2[#Headers],0)))
/
INDEX(スコア表2[],MATCH("stdev.p",スコア表2[maxmin],0),MATCH(CN$5,スコア表2[#Headers],0))
*10+50,"-")</f>
        <v>52.548611244995158</v>
      </c>
      <c r="CO18" s="4">
        <f>IFERROR(
(INDEX(スコア表[],MATCH($C18,スコア表['#],0),MATCH(CO$5,スコア表[#Headers],0))
-
INDEX(スコア表2[],MATCH("average",スコア表2[maxmin],0),MATCH(CO$5,スコア表2[#Headers],0)))
/
INDEX(スコア表2[],MATCH("stdev.p",スコア表2[maxmin],0),MATCH(CO$5,スコア表2[#Headers],0))
*10+50,"-")</f>
        <v>54.862121526949956</v>
      </c>
      <c r="CP18" s="4">
        <f>IFERROR(
(INDEX(スコア表[],MATCH($C18,スコア表['#],0),MATCH(CP$5,スコア表[#Headers],0))
-
INDEX(スコア表2[],MATCH("average",スコア表2[maxmin],0),MATCH(CP$5,スコア表2[#Headers],0)))
/
INDEX(スコア表2[],MATCH("stdev.p",スコア表2[maxmin],0),MATCH(CP$5,スコア表2[#Headers],0))
*10+50,"-")</f>
        <v>55.611362777474945</v>
      </c>
      <c r="CQ18" s="4">
        <f>IFERROR(
(INDEX(スコア表[],MATCH($C18,スコア表['#],0),MATCH(CQ$5,スコア表[#Headers],0))
-
INDEX(スコア表2[],MATCH("average",スコア表2[maxmin],0),MATCH(CQ$5,スコア表2[#Headers],0)))
/
INDEX(スコア表2[],MATCH("stdev.p",スコア表2[maxmin],0),MATCH(CQ$5,スコア表2[#Headers],0))
*10+50,"-")</f>
        <v>56.020843664459939</v>
      </c>
      <c r="CR18" s="4">
        <f>IFERROR(
(INDEX(スコア表[],MATCH($C18,スコア表['#],0),MATCH(CR$5,スコア表[#Headers],0))
-
INDEX(スコア表2[],MATCH("average",スコア表2[maxmin],0),MATCH(CR$5,スコア表2[#Headers],0)))
/
INDEX(スコア表2[],MATCH("stdev.p",スコア表2[maxmin],0),MATCH(CR$5,スコア表2[#Headers],0))
*10+50,"-")</f>
        <v>48.462947190733118</v>
      </c>
      <c r="CS18" s="4">
        <f>IFERROR(
(INDEX(スコア表[],MATCH($C18,スコア表['#],0),MATCH(CS$5,スコア表[#Headers],0))
-
INDEX(スコア表2[],MATCH("average",スコア表2[maxmin],0),MATCH(CS$5,スコア表2[#Headers],0)))
/
INDEX(スコア表2[],MATCH("stdev.p",スコア表2[maxmin],0),MATCH(CS$5,スコア表2[#Headers],0))
*10+50,"-")</f>
        <v>58.656880580481072</v>
      </c>
      <c r="CT18" s="4">
        <f>IFERROR(
(INDEX(スコア表[],MATCH($C18,スコア表['#],0),MATCH(CT$5,スコア表[#Headers],0))
-
INDEX(スコア表2[],MATCH("average",スコア表2[maxmin],0),MATCH(CT$5,スコア表2[#Headers],0)))
/
INDEX(スコア表2[],MATCH("stdev.p",スコア表2[maxmin],0),MATCH(CT$5,スコア表2[#Headers],0))
*10+50,"-")</f>
        <v>54.093633633770963</v>
      </c>
      <c r="CU18" s="4">
        <f>IFERROR(
(INDEX(スコア表[],MATCH($C18,スコア表['#],0),MATCH(CU$5,スコア表[#Headers],0))
-
INDEX(スコア表2[],MATCH("average",スコア表2[maxmin],0),MATCH(CU$5,スコア表2[#Headers],0)))
/
INDEX(スコア表2[],MATCH("stdev.p",スコア表2[maxmin],0),MATCH(CU$5,スコア表2[#Headers],0))
*10+50,"-")</f>
        <v>66.759684464827103</v>
      </c>
      <c r="CV18" s="4">
        <f>IFERROR(
(INDEX(スコア表[],MATCH($C18,スコア表['#],0),MATCH(CV$5,スコア表[#Headers],0))
-
INDEX(スコア表2[],MATCH("average",スコア表2[maxmin],0),MATCH(CV$5,スコア表2[#Headers],0)))
/
INDEX(スコア表2[],MATCH("stdev.p",スコア表2[maxmin],0),MATCH(CV$5,スコア表2[#Headers],0))
*10+50,"-")</f>
        <v>50.61898134459036</v>
      </c>
      <c r="CW18" s="4">
        <f>IFERROR(
(INDEX(スコア表[],MATCH($C18,スコア表['#],0),MATCH(CW$5,スコア表[#Headers],0))
-
INDEX(スコア表2[],MATCH("average",スコア表2[maxmin],0),MATCH(CW$5,スコア表2[#Headers],0)))
/
INDEX(スコア表2[],MATCH("stdev.p",スコア表2[maxmin],0),MATCH(CW$5,スコア表2[#Headers],0))
*10+50,"-")</f>
        <v>44.458156746999329</v>
      </c>
      <c r="CX18" s="4">
        <f>IFERROR(
(INDEX(スコア表[],MATCH($C18,スコア表['#],0),MATCH(CX$5,スコア表[#Headers],0))
-
INDEX(スコア表2[],MATCH("average",スコア表2[maxmin],0),MATCH(CX$5,スコア表2[#Headers],0)))
/
INDEX(スコア表2[],MATCH("stdev.p",スコア表2[maxmin],0),MATCH(CX$5,スコア表2[#Headers],0))
*10+50,"-")</f>
        <v>67.423715670991612</v>
      </c>
      <c r="CY18" s="4">
        <f>IFERROR(
(INDEX(スコア表[],MATCH($C18,スコア表['#],0),MATCH(CY$5,スコア表[#Headers],0))
-
INDEX(スコア表2[],MATCH("average",スコア表2[maxmin],0),MATCH(CY$5,スコア表2[#Headers],0)))
/
INDEX(スコア表2[],MATCH("stdev.p",スコア表2[maxmin],0),MATCH(CY$5,スコア表2[#Headers],0))
*10+50,"-")</f>
        <v>60.947321765487544</v>
      </c>
      <c r="CZ18" s="4">
        <f>IFERROR(
(INDEX(スコア表[],MATCH($C18,スコア表['#],0),MATCH(CZ$5,スコア表[#Headers],0))
-
INDEX(スコア表2[],MATCH("average",スコア表2[maxmin],0),MATCH(CZ$5,スコア表2[#Headers],0)))
/
INDEX(スコア表2[],MATCH("stdev.p",スコア表2[maxmin],0),MATCH(CZ$5,スコア表2[#Headers],0))
*10+50,"-")</f>
        <v>46.828277615585357</v>
      </c>
      <c r="DA18" s="4">
        <f>IFERROR(
(INDEX(スコア表[],MATCH($C18,スコア表['#],0),MATCH(DA$5,スコア表[#Headers],0))
-
INDEX(スコア表2[],MATCH("average",スコア表2[maxmin],0),MATCH(DA$5,スコア表2[#Headers],0)))
/
INDEX(スコア表2[],MATCH("stdev.p",スコア表2[maxmin],0),MATCH(DA$5,スコア表2[#Headers],0))
*10+50,"-")</f>
        <v>44.894667134215929</v>
      </c>
      <c r="DB18" s="4">
        <f>IFERROR(
(INDEX(スコア表[],MATCH($C18,スコア表['#],0),MATCH(DB$5,スコア表[#Headers],0))
-
INDEX(スコア表2[],MATCH("average",スコア表2[maxmin],0),MATCH(DB$5,スコア表2[#Headers],0)))
/
INDEX(スコア表2[],MATCH("stdev.p",スコア表2[maxmin],0),MATCH(DB$5,スコア表2[#Headers],0))
*10+50,"-")</f>
        <v>52.720829988376735</v>
      </c>
      <c r="DC18" s="4">
        <f>IFERROR(
(INDEX(スコア表[],MATCH($C18,スコア表['#],0),MATCH(DC$5,スコア表[#Headers],0))
-
INDEX(スコア表2[],MATCH("average",スコア表2[maxmin],0),MATCH(DC$5,スコア表2[#Headers],0)))
/
INDEX(スコア表2[],MATCH("stdev.p",スコア表2[maxmin],0),MATCH(DC$5,スコア表2[#Headers],0))
*10+50,"-")</f>
        <v>59.655457982427237</v>
      </c>
      <c r="DD18" s="4">
        <f>IFERROR(
(INDEX(スコア表[],MATCH($C18,スコア表['#],0),MATCH(DD$5,スコア表[#Headers],0))
-
INDEX(スコア表2[],MATCH("average",スコア表2[maxmin],0),MATCH(DD$5,スコア表2[#Headers],0)))
/
INDEX(スコア表2[],MATCH("stdev.p",スコア表2[maxmin],0),MATCH(DD$5,スコア表2[#Headers],0))
*10+50,"-")</f>
        <v>64.980415996448471</v>
      </c>
      <c r="DE18" s="4">
        <f>IFERROR(
(INDEX(スコア表[],MATCH($C18,スコア表['#],0),MATCH(DE$5,スコア表[#Headers],0))
-
INDEX(スコア表2[],MATCH("average",スコア表2[maxmin],0),MATCH(DE$5,スコア表2[#Headers],0)))
/
INDEX(スコア表2[],MATCH("stdev.p",スコア表2[maxmin],0),MATCH(DE$5,スコア表2[#Headers],0))
*10+50,"-")</f>
        <v>58.227415901422013</v>
      </c>
      <c r="DF18" s="76">
        <f>IFERROR(
(INDEX(スコア表[],MATCH($C18,スコア表['#],0),MATCH(DF$5,スコア表[#Headers],0))
-
INDEX(スコア表2[],MATCH("average",スコア表2[maxmin],0),MATCH(DF$5,スコア表2[#Headers],0)))
/
INDEX(スコア表2[],MATCH("stdev.p",スコア表2[maxmin],0),MATCH(DF$5,スコア表2[#Headers],0))
*10+50,"-")</f>
        <v>54.360954770432436</v>
      </c>
      <c r="DG18" s="4">
        <f>IFERROR(_xlfn.STDEV.P(偏差値表[[#This Row],[Economy]:[Accessibility]]),"")</f>
        <v>7.1248271408934309</v>
      </c>
    </row>
    <row r="19" spans="1:111">
      <c r="A19" s="2">
        <v>14</v>
      </c>
      <c r="B19" s="58">
        <f>INDEX(順位表[Comprehensive],MATCH($C19,順位表['#],0))</f>
        <v>14</v>
      </c>
      <c r="C19" s="3">
        <v>1</v>
      </c>
      <c r="D19" s="1" t="str">
        <f>INDEX(都市マスタ[City Name],MATCH($C19,都市マスタ['#],0))</f>
        <v>Madrid</v>
      </c>
      <c r="E19" s="4">
        <f>IFERROR(
(INDEX(スコア表[],MATCH($C19,スコア表['#],0),MATCH(E$5,スコア表[#Headers],0))
-
INDEX(スコア表2[],MATCH("average",スコア表2[maxmin],0),MATCH(E$5,スコア表2[#Headers],0)))
/
INDEX(スコア表2[],MATCH("stdev.p",スコア表2[maxmin],0),MATCH(E$5,スコア表2[#Headers],0))
*10+50,"-")</f>
        <v>46.340628033438023</v>
      </c>
      <c r="F19" s="4">
        <f>IFERROR(
(INDEX(スコア表[],MATCH($C19,スコア表['#],0),MATCH(F$5,スコア表[#Headers],0))
-
INDEX(スコア表2[],MATCH("average",スコア表2[maxmin],0),MATCH(F$5,スコア表2[#Headers],0)))
/
INDEX(スコア表2[],MATCH("stdev.p",スコア表2[maxmin],0),MATCH(F$5,スコア表2[#Headers],0))
*10+50,"-")</f>
        <v>46.632830840081056</v>
      </c>
      <c r="G19" s="4">
        <f>IFERROR(
(INDEX(スコア表[],MATCH($C19,スコア表['#],0),MATCH(G$5,スコア表[#Headers],0))
-
INDEX(スコア表2[],MATCH("average",スコア表2[maxmin],0),MATCH(G$5,スコア表2[#Headers],0)))
/
INDEX(スコア表2[],MATCH("stdev.p",スコア表2[maxmin],0),MATCH(G$5,スコア表2[#Headers],0))
*10+50,"-")</f>
        <v>48.33249429603066</v>
      </c>
      <c r="H19" s="4">
        <f>IFERROR(
(INDEX(スコア表[],MATCH($C19,スコア表['#],0),MATCH(H$5,スコア表[#Headers],0))
-
INDEX(スコア表2[],MATCH("average",スコア表2[maxmin],0),MATCH(H$5,スコア表2[#Headers],0)))
/
INDEX(スコア表2[],MATCH("stdev.p",スコア表2[maxmin],0),MATCH(H$5,スコア表2[#Headers],0))
*10+50,"-")</f>
        <v>46.092629201355251</v>
      </c>
      <c r="I19" s="4">
        <f>IFERROR(
(INDEX(スコア表[],MATCH($C19,スコア表['#],0),MATCH(I$5,スコア表[#Headers],0))
-
INDEX(スコア表2[],MATCH("average",スコア表2[maxmin],0),MATCH(I$5,スコア表2[#Headers],0)))
/
INDEX(スコア表2[],MATCH("stdev.p",スコア表2[maxmin],0),MATCH(I$5,スコア表2[#Headers],0))
*10+50,"-")</f>
        <v>44.532456201935354</v>
      </c>
      <c r="J19" s="4">
        <f>IFERROR(
(INDEX(スコア表[],MATCH($C19,スコア表['#],0),MATCH(J$5,スコア表[#Headers],0))
-
INDEX(スコア表2[],MATCH("average",スコア表2[maxmin],0),MATCH(J$5,スコア表2[#Headers],0)))
/
INDEX(スコア表2[],MATCH("stdev.p",スコア表2[maxmin],0),MATCH(J$5,スコア表2[#Headers],0))
*10+50,"-")</f>
        <v>44.926509847432094</v>
      </c>
      <c r="K19" s="4">
        <f>IFERROR(
(INDEX(スコア表[],MATCH($C19,スコア表['#],0),MATCH(K$5,スコア表[#Headers],0))
-
INDEX(スコア表2[],MATCH("average",スコア表2[maxmin],0),MATCH(K$5,スコア表2[#Headers],0)))
/
INDEX(スコア表2[],MATCH("stdev.p",スコア表2[maxmin],0),MATCH(K$5,スコア表2[#Headers],0))
*10+50,"-")</f>
        <v>47.200112527818</v>
      </c>
      <c r="L19" s="4">
        <f>IFERROR(
(INDEX(スコア表[],MATCH($C19,スコア表['#],0),MATCH(L$5,スコア表[#Headers],0))
-
INDEX(スコア表2[],MATCH("average",スコア表2[maxmin],0),MATCH(L$5,スコア表2[#Headers],0)))
/
INDEX(スコア表2[],MATCH("stdev.p",スコア表2[maxmin],0),MATCH(L$5,スコア表2[#Headers],0))
*10+50,"-")</f>
        <v>47.978205565326384</v>
      </c>
      <c r="M19" s="4">
        <f>IFERROR(
(INDEX(スコア表[],MATCH($C19,スコア表['#],0),MATCH(M$5,スコア表[#Headers],0))
-
INDEX(スコア表2[],MATCH("average",スコア表2[maxmin],0),MATCH(M$5,スコア表2[#Headers],0)))
/
INDEX(スコア表2[],MATCH("stdev.p",スコア表2[maxmin],0),MATCH(M$5,スコア表2[#Headers],0))
*10+50,"-")</f>
        <v>49.014793303651359</v>
      </c>
      <c r="N19" s="4">
        <f>IFERROR(
(INDEX(スコア表[],MATCH($C19,スコア表['#],0),MATCH(N$5,スコア表[#Headers],0))
-
INDEX(スコア表2[],MATCH("average",スコア表2[maxmin],0),MATCH(N$5,スコア表2[#Headers],0)))
/
INDEX(スコア表2[],MATCH("stdev.p",スコア表2[maxmin],0),MATCH(N$5,スコア表2[#Headers],0))
*10+50,"-")</f>
        <v>45.589217294311517</v>
      </c>
      <c r="O19" s="4">
        <f>IFERROR(
(INDEX(スコア表[],MATCH($C19,スコア表['#],0),MATCH(O$5,スコア表[#Headers],0))
-
INDEX(スコア表2[],MATCH("average",スコア表2[maxmin],0),MATCH(O$5,スコア表2[#Headers],0)))
/
INDEX(スコア表2[],MATCH("stdev.p",スコア表2[maxmin],0),MATCH(O$5,スコア表2[#Headers],0))
*10+50,"-")</f>
        <v>49.858591184177705</v>
      </c>
      <c r="P19" s="4">
        <f>IFERROR(
(INDEX(スコア表[],MATCH($C19,スコア表['#],0),MATCH(P$5,スコア表[#Headers],0))
-
INDEX(スコア表2[],MATCH("average",スコア表2[maxmin],0),MATCH(P$5,スコア表2[#Headers],0)))
/
INDEX(スコア表2[],MATCH("stdev.p",スコア表2[maxmin],0),MATCH(P$5,スコア表2[#Headers],0))
*10+50,"-")</f>
        <v>47.341097083388171</v>
      </c>
      <c r="Q19" s="4">
        <f>IFERROR(
(INDEX(スコア表[],MATCH($C19,スコア表['#],0),MATCH(Q$5,スコア表[#Headers],0))
-
INDEX(スコア表2[],MATCH("average",スコア表2[maxmin],0),MATCH(Q$5,スコア表2[#Headers],0)))
/
INDEX(スコア表2[],MATCH("stdev.p",スコア表2[maxmin],0),MATCH(Q$5,スコア表2[#Headers],0))
*10+50,"-")</f>
        <v>48.043987668806942</v>
      </c>
      <c r="R19" s="4">
        <f>IFERROR(
(INDEX(スコア表[],MATCH($C19,スコア表['#],0),MATCH(R$5,スコア表[#Headers],0))
-
INDEX(スコア表2[],MATCH("average",スコア表2[maxmin],0),MATCH(R$5,スコア表2[#Headers],0)))
/
INDEX(スコア表2[],MATCH("stdev.p",スコア表2[maxmin],0),MATCH(R$5,スコア表2[#Headers],0))
*10+50,"-")</f>
        <v>62.303818286638659</v>
      </c>
      <c r="S19" s="4">
        <f>IFERROR(
(INDEX(スコア表[],MATCH($C19,スコア表['#],0),MATCH(S$5,スコア表[#Headers],0))
-
INDEX(スコア表2[],MATCH("average",スコア表2[maxmin],0),MATCH(S$5,スコア表2[#Headers],0)))
/
INDEX(スコア表2[],MATCH("stdev.p",スコア表2[maxmin],0),MATCH(S$5,スコア表2[#Headers],0))
*10+50,"-")</f>
        <v>50.030127927689456</v>
      </c>
      <c r="T19" s="4">
        <f>IFERROR(
(INDEX(スコア表[],MATCH($C19,スコア表['#],0),MATCH(T$5,スコア表[#Headers],0))
-
INDEX(スコア表2[],MATCH("average",スコア表2[maxmin],0),MATCH(T$5,スコア表2[#Headers],0)))
/
INDEX(スコア表2[],MATCH("stdev.p",スコア表2[maxmin],0),MATCH(T$5,スコア表2[#Headers],0))
*10+50,"-")</f>
        <v>51.571386656518186</v>
      </c>
      <c r="U19" s="4">
        <f>IFERROR(
(INDEX(スコア表[],MATCH($C19,スコア表['#],0),MATCH(U$5,スコア表[#Headers],0))
-
INDEX(スコア表2[],MATCH("average",スコア表2[maxmin],0),MATCH(U$5,スコア表2[#Headers],0)))
/
INDEX(スコア表2[],MATCH("stdev.p",スコア表2[maxmin],0),MATCH(U$5,スコア表2[#Headers],0))
*10+50,"-")</f>
        <v>44.991940454072029</v>
      </c>
      <c r="V19" s="4">
        <f>IFERROR(
(INDEX(スコア表[],MATCH($C19,スコア表['#],0),MATCH(V$5,スコア表[#Headers],0))
-
INDEX(スコア表2[],MATCH("average",スコア表2[maxmin],0),MATCH(V$5,スコア表2[#Headers],0)))
/
INDEX(スコア表2[],MATCH("stdev.p",スコア表2[maxmin],0),MATCH(V$5,スコア表2[#Headers],0))
*10+50,"-")</f>
        <v>40.590206006334618</v>
      </c>
      <c r="W19" s="4">
        <f>IFERROR(
(INDEX(スコア表[],MATCH($C19,スコア表['#],0),MATCH(W$5,スコア表[#Headers],0))
-
INDEX(スコア表2[],MATCH("average",スコア表2[maxmin],0),MATCH(W$5,スコア表2[#Headers],0)))
/
INDEX(スコア表2[],MATCH("stdev.p",スコア表2[maxmin],0),MATCH(W$5,スコア表2[#Headers],0))
*10+50,"-")</f>
        <v>44.817465261680127</v>
      </c>
      <c r="X19" s="4">
        <f>IFERROR(
(INDEX(スコア表[],MATCH($C19,スコア表['#],0),MATCH(X$5,スコア表[#Headers],0))
-
INDEX(スコア表2[],MATCH("average",スコア表2[maxmin],0),MATCH(X$5,スコア表2[#Headers],0)))
/
INDEX(スコア表2[],MATCH("stdev.p",スコア表2[maxmin],0),MATCH(X$5,スコア表2[#Headers],0))
*10+50,"-")</f>
        <v>47.143395050383518</v>
      </c>
      <c r="Y19" s="4">
        <f>IFERROR(
(INDEX(スコア表[],MATCH($C19,スコア表['#],0),MATCH(Y$5,スコア表[#Headers],0))
-
INDEX(スコア表2[],MATCH("average",スコア表2[maxmin],0),MATCH(Y$5,スコア表2[#Headers],0)))
/
INDEX(スコア表2[],MATCH("stdev.p",スコア表2[maxmin],0),MATCH(Y$5,スコア表2[#Headers],0))
*10+50,"-")</f>
        <v>49.496880335218442</v>
      </c>
      <c r="Z19" s="4">
        <f>IFERROR(
(INDEX(スコア表[],MATCH($C19,スコア表['#],0),MATCH(Z$5,スコア表[#Headers],0))
-
INDEX(スコア表2[],MATCH("average",スコア表2[maxmin],0),MATCH(Z$5,スコア表2[#Headers],0)))
/
INDEX(スコア表2[],MATCH("stdev.p",スコア表2[maxmin],0),MATCH(Z$5,スコア表2[#Headers],0))
*10+50,"-")</f>
        <v>44.139567349644878</v>
      </c>
      <c r="AA19" s="4">
        <f>IFERROR(
(INDEX(スコア表[],MATCH($C19,スコア表['#],0),MATCH(AA$5,スコア表[#Headers],0))
-
INDEX(スコア表2[],MATCH("average",スコア表2[maxmin],0),MATCH(AA$5,スコア表2[#Headers],0)))
/
INDEX(スコア表2[],MATCH("stdev.p",スコア表2[maxmin],0),MATCH(AA$5,スコア表2[#Headers],0))
*10+50,"-")</f>
        <v>44.664612103409482</v>
      </c>
      <c r="AB19" s="4">
        <f>IFERROR(
(INDEX(スコア表[],MATCH($C19,スコア表['#],0),MATCH(AB$5,スコア表[#Headers],0))
-
INDEX(スコア表2[],MATCH("average",スコア表2[maxmin],0),MATCH(AB$5,スコア表2[#Headers],0)))
/
INDEX(スコア表2[],MATCH("stdev.p",スコア表2[maxmin],0),MATCH(AB$5,スコア表2[#Headers],0))
*10+50,"-")</f>
        <v>46.442934003609999</v>
      </c>
      <c r="AC19" s="4">
        <f>IFERROR(
(INDEX(スコア表[],MATCH($C19,スコア表['#],0),MATCH(AC$5,スコア表[#Headers],0))
-
INDEX(スコア表2[],MATCH("average",スコア表2[maxmin],0),MATCH(AC$5,スコア表2[#Headers],0)))
/
INDEX(スコア表2[],MATCH("stdev.p",スコア表2[maxmin],0),MATCH(AC$5,スコア表2[#Headers],0))
*10+50,"-")</f>
        <v>47.933675625549832</v>
      </c>
      <c r="AD19" s="4">
        <f>IFERROR(
(INDEX(スコア表[],MATCH($C19,スコア表['#],0),MATCH(AD$5,スコア表[#Headers],0))
-
INDEX(スコア表2[],MATCH("average",スコア表2[maxmin],0),MATCH(AD$5,スコア表2[#Headers],0)))
/
INDEX(スコア表2[],MATCH("stdev.p",スコア表2[maxmin],0),MATCH(AD$5,スコア表2[#Headers],0))
*10+50,"-")</f>
        <v>55.915154169864763</v>
      </c>
      <c r="AE19" s="4">
        <f>IFERROR(
(INDEX(スコア表[],MATCH($C19,スコア表['#],0),MATCH(AE$5,スコア表[#Headers],0))
-
INDEX(スコア表2[],MATCH("average",スコア表2[maxmin],0),MATCH(AE$5,スコア表2[#Headers],0)))
/
INDEX(スコア表2[],MATCH("stdev.p",スコア表2[maxmin],0),MATCH(AE$5,スコア表2[#Headers],0))
*10+50,"-")</f>
        <v>46.247430434705045</v>
      </c>
      <c r="AF19" s="4">
        <f>IFERROR(
(INDEX(スコア表[],MATCH($C19,スコア表['#],0),MATCH(AF$5,スコア表[#Headers],0))
-
INDEX(スコア表2[],MATCH("average",スコア表2[maxmin],0),MATCH(AF$5,スコア表2[#Headers],0)))
/
INDEX(スコア表2[],MATCH("stdev.p",スコア表2[maxmin],0),MATCH(AF$5,スコア表2[#Headers],0))
*10+50,"-")</f>
        <v>49.277054132221259</v>
      </c>
      <c r="AG19" s="4">
        <f>IFERROR(
(INDEX(スコア表[],MATCH($C19,スコア表['#],0),MATCH(AG$5,スコア表[#Headers],0))
-
INDEX(スコア表2[],MATCH("average",スコア表2[maxmin],0),MATCH(AG$5,スコア表2[#Headers],0)))
/
INDEX(スコア表2[],MATCH("stdev.p",スコア表2[maxmin],0),MATCH(AG$5,スコア表2[#Headers],0))
*10+50,"-")</f>
        <v>60.242573924697879</v>
      </c>
      <c r="AH19" s="4">
        <f>IFERROR(
(INDEX(スコア表[],MATCH($C19,スコア表['#],0),MATCH(AH$5,スコア表[#Headers],0))
-
INDEX(スコア表2[],MATCH("average",スコア表2[maxmin],0),MATCH(AH$5,スコア表2[#Headers],0)))
/
INDEX(スコア表2[],MATCH("stdev.p",スコア表2[maxmin],0),MATCH(AH$5,スコア表2[#Headers],0))
*10+50,"-")</f>
        <v>58.750485881489745</v>
      </c>
      <c r="AI19" s="4">
        <f>IFERROR(
(INDEX(スコア表[],MATCH($C19,スコア表['#],0),MATCH(AI$5,スコア表[#Headers],0))
-
INDEX(スコア表2[],MATCH("average",スコア表2[maxmin],0),MATCH(AI$5,スコア表2[#Headers],0)))
/
INDEX(スコア表2[],MATCH("stdev.p",スコア表2[maxmin],0),MATCH(AI$5,スコア表2[#Headers],0))
*10+50,"-")</f>
        <v>68.921531614309785</v>
      </c>
      <c r="AJ19" s="4">
        <f>IFERROR(
(INDEX(スコア表[],MATCH($C19,スコア表['#],0),MATCH(AJ$5,スコア表[#Headers],0))
-
INDEX(スコア表2[],MATCH("average",スコア表2[maxmin],0),MATCH(AJ$5,スコア表2[#Headers],0)))
/
INDEX(スコア表2[],MATCH("stdev.p",スコア表2[maxmin],0),MATCH(AJ$5,スコア表2[#Headers],0))
*10+50,"-")</f>
        <v>58.560869071839598</v>
      </c>
      <c r="AK19" s="4">
        <f>IFERROR(
(INDEX(スコア表[],MATCH($C19,スコア表['#],0),MATCH(AK$5,スコア表[#Headers],0))
-
INDEX(スコア表2[],MATCH("average",スコア表2[maxmin],0),MATCH(AK$5,スコア表2[#Headers],0)))
/
INDEX(スコア表2[],MATCH("stdev.p",スコア表2[maxmin],0),MATCH(AK$5,スコア表2[#Headers],0))
*10+50,"-")</f>
        <v>52.481005163553995</v>
      </c>
      <c r="AL19" s="4">
        <f>IFERROR(
(INDEX(スコア表[],MATCH($C19,スコア表['#],0),MATCH(AL$5,スコア表[#Headers],0))
-
INDEX(スコア表2[],MATCH("average",スコア表2[maxmin],0),MATCH(AL$5,スコア表2[#Headers],0)))
/
INDEX(スコア表2[],MATCH("stdev.p",スコア表2[maxmin],0),MATCH(AL$5,スコア表2[#Headers],0))
*10+50,"-")</f>
        <v>52.835695347386917</v>
      </c>
      <c r="AM19" s="4">
        <f>IFERROR(
(INDEX(スコア表[],MATCH($C19,スコア表['#],0),MATCH(AM$5,スコア表[#Headers],0))
-
INDEX(スコア表2[],MATCH("average",スコア表2[maxmin],0),MATCH(AM$5,スコア表2[#Headers],0)))
/
INDEX(スコア表2[],MATCH("stdev.p",スコア表2[maxmin],0),MATCH(AM$5,スコア表2[#Headers],0))
*10+50,"-")</f>
        <v>48.015477675591654</v>
      </c>
      <c r="AN19" s="4">
        <f>IFERROR(
(INDEX(スコア表[],MATCH($C19,スコア表['#],0),MATCH(AN$5,スコア表[#Headers],0))
-
INDEX(スコア表2[],MATCH("average",スコア表2[maxmin],0),MATCH(AN$5,スコア表2[#Headers],0)))
/
INDEX(スコア表2[],MATCH("stdev.p",スコア表2[maxmin],0),MATCH(AN$5,スコア表2[#Headers],0))
*10+50,"-")</f>
        <v>48.463634815275825</v>
      </c>
      <c r="AO19" s="4">
        <f>IFERROR(
(INDEX(スコア表[],MATCH($C19,スコア表['#],0),MATCH(AO$5,スコア表[#Headers],0))
-
INDEX(スコア表2[],MATCH("average",スコア表2[maxmin],0),MATCH(AO$5,スコア表2[#Headers],0)))
/
INDEX(スコア表2[],MATCH("stdev.p",スコア表2[maxmin],0),MATCH(AO$5,スコア表2[#Headers],0))
*10+50,"-")</f>
        <v>60.98207708173517</v>
      </c>
      <c r="AP19" s="4">
        <f>IFERROR(
(INDEX(スコア表[],MATCH($C19,スコア表['#],0),MATCH(AP$5,スコア表[#Headers],0))
-
INDEX(スコア表2[],MATCH("average",スコア表2[maxmin],0),MATCH(AP$5,スコア表2[#Headers],0)))
/
INDEX(スコア表2[],MATCH("stdev.p",スコア表2[maxmin],0),MATCH(AP$5,スコア表2[#Headers],0))
*10+50,"-")</f>
        <v>62.007922007139754</v>
      </c>
      <c r="AQ19" s="4">
        <f>IFERROR(
(INDEX(スコア表[],MATCH($C19,スコア表['#],0),MATCH(AQ$5,スコア表[#Headers],0))
-
INDEX(スコア表2[],MATCH("average",スコア表2[maxmin],0),MATCH(AQ$5,スコア表2[#Headers],0)))
/
INDEX(スコア表2[],MATCH("stdev.p",スコア表2[maxmin],0),MATCH(AQ$5,スコア表2[#Headers],0))
*10+50,"-")</f>
        <v>50.287336592232734</v>
      </c>
      <c r="AR19" s="4">
        <f>IFERROR(
(INDEX(スコア表[],MATCH($C19,スコア表['#],0),MATCH(AR$5,スコア表[#Headers],0))
-
INDEX(スコア表2[],MATCH("average",スコア表2[maxmin],0),MATCH(AR$5,スコア表2[#Headers],0)))
/
INDEX(スコア表2[],MATCH("stdev.p",スコア表2[maxmin],0),MATCH(AR$5,スコア表2[#Headers],0))
*10+50,"-")</f>
        <v>53.412654945003595</v>
      </c>
      <c r="AS19" s="4">
        <f>IFERROR(
(INDEX(スコア表[],MATCH($C19,スコア表['#],0),MATCH(AS$5,スコア表[#Headers],0))
-
INDEX(スコア表2[],MATCH("average",スコア表2[maxmin],0),MATCH(AS$5,スコア表2[#Headers],0)))
/
INDEX(スコア表2[],MATCH("stdev.p",スコア表2[maxmin],0),MATCH(AS$5,スコア表2[#Headers],0))
*10+50,"-")</f>
        <v>48.86150823716801</v>
      </c>
      <c r="AT19" s="4">
        <f>IFERROR(
(INDEX(スコア表[],MATCH($C19,スコア表['#],0),MATCH(AT$5,スコア表[#Headers],0))
-
INDEX(スコア表2[],MATCH("average",スコア表2[maxmin],0),MATCH(AT$5,スコア表2[#Headers],0)))
/
INDEX(スコア表2[],MATCH("stdev.p",スコア表2[maxmin],0),MATCH(AT$5,スコア表2[#Headers],0))
*10+50,"-")</f>
        <v>56.23988606156351</v>
      </c>
      <c r="AU19" s="4">
        <f>IFERROR(
(INDEX(スコア表[],MATCH($C19,スコア表['#],0),MATCH(AU$5,スコア表[#Headers],0))
-
INDEX(スコア表2[],MATCH("average",スコア表2[maxmin],0),MATCH(AU$5,スコア表2[#Headers],0)))
/
INDEX(スコア表2[],MATCH("stdev.p",スコア表2[maxmin],0),MATCH(AU$5,スコア表2[#Headers],0))
*10+50,"-")</f>
        <v>35.664416366204563</v>
      </c>
      <c r="AV19" s="4">
        <f>IFERROR(
(INDEX(スコア表[],MATCH($C19,スコア表['#],0),MATCH(AV$5,スコア表[#Headers],0))
-
INDEX(スコア表2[],MATCH("average",スコア表2[maxmin],0),MATCH(AV$5,スコア表2[#Headers],0)))
/
INDEX(スコア表2[],MATCH("stdev.p",スコア表2[maxmin],0),MATCH(AV$5,スコア表2[#Headers],0))
*10+50,"-")</f>
        <v>55.770659026555748</v>
      </c>
      <c r="AW19" s="4">
        <f>IFERROR(
(INDEX(スコア表[],MATCH($C19,スコア表['#],0),MATCH(AW$5,スコア表[#Headers],0))
-
INDEX(スコア表2[],MATCH("average",スコア表2[maxmin],0),MATCH(AW$5,スコア表2[#Headers],0)))
/
INDEX(スコア表2[],MATCH("stdev.p",スコア表2[maxmin],0),MATCH(AW$5,スコア表2[#Headers],0))
*10+50,"-")</f>
        <v>56.418099076076359</v>
      </c>
      <c r="AX19" s="4">
        <f>IFERROR(
(INDEX(スコア表[],MATCH($C19,スコア表['#],0),MATCH(AX$5,スコア表[#Headers],0))
-
INDEX(スコア表2[],MATCH("average",スコア表2[maxmin],0),MATCH(AX$5,スコア表2[#Headers],0)))
/
INDEX(スコア表2[],MATCH("stdev.p",スコア表2[maxmin],0),MATCH(AX$5,スコア表2[#Headers],0))
*10+50,"-")</f>
        <v>54.653187390557157</v>
      </c>
      <c r="AY19" s="4">
        <f>IFERROR(
(INDEX(スコア表[],MATCH($C19,スコア表['#],0),MATCH(AY$5,スコア表[#Headers],0))
-
INDEX(スコア表2[],MATCH("average",スコア表2[maxmin],0),MATCH(AY$5,スコア表2[#Headers],0)))
/
INDEX(スコア表2[],MATCH("stdev.p",スコア表2[maxmin],0),MATCH(AY$5,スコア表2[#Headers],0))
*10+50,"-")</f>
        <v>52.825620531367662</v>
      </c>
      <c r="AZ19" s="4">
        <f>IFERROR(
(INDEX(スコア表[],MATCH($C19,スコア表['#],0),MATCH(AZ$5,スコア表[#Headers],0))
-
INDEX(スコア表2[],MATCH("average",スコア表2[maxmin],0),MATCH(AZ$5,スコア表2[#Headers],0)))
/
INDEX(スコア表2[],MATCH("stdev.p",スコア表2[maxmin],0),MATCH(AZ$5,スコア表2[#Headers],0))
*10+50,"-")</f>
        <v>58.006583496129437</v>
      </c>
      <c r="BA19" s="4">
        <f>IFERROR(
(INDEX(スコア表[],MATCH($C19,スコア表['#],0),MATCH(BA$5,スコア表[#Headers],0))
-
INDEX(スコア表2[],MATCH("average",スコア表2[maxmin],0),MATCH(BA$5,スコア表2[#Headers],0)))
/
INDEX(スコア表2[],MATCH("stdev.p",スコア表2[maxmin],0),MATCH(BA$5,スコア表2[#Headers],0))
*10+50,"-")</f>
        <v>54.810018501533598</v>
      </c>
      <c r="BB19" s="4">
        <f>IFERROR(
(INDEX(スコア表[],MATCH($C19,スコア表['#],0),MATCH(BB$5,スコア表[#Headers],0))
-
INDEX(スコア表2[],MATCH("average",スコア表2[maxmin],0),MATCH(BB$5,スコア表2[#Headers],0)))
/
INDEX(スコア表2[],MATCH("stdev.p",スコア表2[maxmin],0),MATCH(BB$5,スコア表2[#Headers],0))
*10+50,"-")</f>
        <v>59.767250672166085</v>
      </c>
      <c r="BC19" s="4">
        <f>IFERROR(
(INDEX(スコア表[],MATCH($C19,スコア表['#],0),MATCH(BC$5,スコア表[#Headers],0))
-
INDEX(スコア表2[],MATCH("average",スコア表2[maxmin],0),MATCH(BC$5,スコア表2[#Headers],0)))
/
INDEX(スコア表2[],MATCH("stdev.p",スコア表2[maxmin],0),MATCH(BC$5,スコア表2[#Headers],0))
*10+50,"-")</f>
        <v>53.432342195461835</v>
      </c>
      <c r="BD19" s="4">
        <f>IFERROR(
(INDEX(スコア表[],MATCH($C19,スコア表['#],0),MATCH(BD$5,スコア表[#Headers],0))
-
INDEX(スコア表2[],MATCH("average",スコア表2[maxmin],0),MATCH(BD$5,スコア表2[#Headers],0)))
/
INDEX(スコア表2[],MATCH("stdev.p",スコア表2[maxmin],0),MATCH(BD$5,スコア表2[#Headers],0))
*10+50,"-")</f>
        <v>45.759922861070145</v>
      </c>
      <c r="BE19" s="4">
        <f>IFERROR(
(INDEX(スコア表[],MATCH($C19,スコア表['#],0),MATCH(BE$5,スコア表[#Headers],0))
-
INDEX(スコア表2[],MATCH("average",スコア表2[maxmin],0),MATCH(BE$5,スコア表2[#Headers],0)))
/
INDEX(スコア表2[],MATCH("stdev.p",スコア表2[maxmin],0),MATCH(BE$5,スコア表2[#Headers],0))
*10+50,"-")</f>
        <v>66.177373159797838</v>
      </c>
      <c r="BF19" s="4">
        <f>IFERROR(
(INDEX(スコア表[],MATCH($C19,スコア表['#],0),MATCH(BF$5,スコア表[#Headers],0))
-
INDEX(スコア表2[],MATCH("average",スコア表2[maxmin],0),MATCH(BF$5,スコア表2[#Headers],0)))
/
INDEX(スコア表2[],MATCH("stdev.p",スコア表2[maxmin],0),MATCH(BF$5,スコア表2[#Headers],0))
*10+50,"-")</f>
        <v>69.529029973434874</v>
      </c>
      <c r="BG19" s="4">
        <f>IFERROR(
(INDEX(スコア表[],MATCH($C19,スコア表['#],0),MATCH(BG$5,スコア表[#Headers],0))
-
INDEX(スコア表2[],MATCH("average",スコア表2[maxmin],0),MATCH(BG$5,スコア表2[#Headers],0)))
/
INDEX(スコア表2[],MATCH("stdev.p",スコア表2[maxmin],0),MATCH(BG$5,スコア表2[#Headers],0))
*10+50,"-")</f>
        <v>42.195758889361677</v>
      </c>
      <c r="BH19" s="4">
        <f>IFERROR(
(INDEX(スコア表[],MATCH($C19,スコア表['#],0),MATCH(BH$5,スコア表[#Headers],0))
-
INDEX(スコア表2[],MATCH("average",スコア表2[maxmin],0),MATCH(BH$5,スコア表2[#Headers],0)))
/
INDEX(スコア表2[],MATCH("stdev.p",スコア表2[maxmin],0),MATCH(BH$5,スコア表2[#Headers],0))
*10+50,"-")</f>
        <v>52.656222129718522</v>
      </c>
      <c r="BI19" s="4">
        <f>IFERROR(
(INDEX(スコア表[],MATCH($C19,スコア表['#],0),MATCH(BI$5,スコア表[#Headers],0))
-
INDEX(スコア表2[],MATCH("average",スコア表2[maxmin],0),MATCH(BI$5,スコア表2[#Headers],0)))
/
INDEX(スコア表2[],MATCH("stdev.p",スコア表2[maxmin],0),MATCH(BI$5,スコア表2[#Headers],0))
*10+50,"-")</f>
        <v>45.006378631891089</v>
      </c>
      <c r="BJ19" s="4">
        <f>IFERROR(
(INDEX(スコア表[],MATCH($C19,スコア表['#],0),MATCH(BJ$5,スコア表[#Headers],0))
-
INDEX(スコア表2[],MATCH("average",スコア表2[maxmin],0),MATCH(BJ$5,スコア表2[#Headers],0)))
/
INDEX(スコア表2[],MATCH("stdev.p",スコア表2[maxmin],0),MATCH(BJ$5,スコア表2[#Headers],0))
*10+50,"-")</f>
        <v>56.522148625302108</v>
      </c>
      <c r="BK19" s="4">
        <f>IFERROR(
(INDEX(スコア表[],MATCH($C19,スコア表['#],0),MATCH(BK$5,スコア表[#Headers],0))
-
INDEX(スコア表2[],MATCH("average",スコア表2[maxmin],0),MATCH(BK$5,スコア表2[#Headers],0)))
/
INDEX(スコア表2[],MATCH("stdev.p",スコア表2[maxmin],0),MATCH(BK$5,スコア表2[#Headers],0))
*10+50,"-")</f>
        <v>55.501754929910177</v>
      </c>
      <c r="BL19" s="4">
        <f>IFERROR(
(INDEX(スコア表[],MATCH($C19,スコア表['#],0),MATCH(BL$5,スコア表[#Headers],0))
-
INDEX(スコア表2[],MATCH("average",スコア表2[maxmin],0),MATCH(BL$5,スコア表2[#Headers],0)))
/
INDEX(スコア表2[],MATCH("stdev.p",スコア表2[maxmin],0),MATCH(BL$5,スコア表2[#Headers],0))
*10+50,"-")</f>
        <v>54.89936379012245</v>
      </c>
      <c r="BM19" s="4">
        <f>IFERROR(
(INDEX(スコア表[],MATCH($C19,スコア表['#],0),MATCH(BM$5,スコア表[#Headers],0))
-
INDEX(スコア表2[],MATCH("average",スコア表2[maxmin],0),MATCH(BM$5,スコア表2[#Headers],0)))
/
INDEX(スコア表2[],MATCH("stdev.p",スコア表2[maxmin],0),MATCH(BM$5,スコア表2[#Headers],0))
*10+50,"-")</f>
        <v>65.387317849838794</v>
      </c>
      <c r="BN19" s="4">
        <f>IFERROR(
(INDEX(スコア表[],MATCH($C19,スコア表['#],0),MATCH(BN$5,スコア表[#Headers],0))
-
INDEX(スコア表2[],MATCH("average",スコア表2[maxmin],0),MATCH(BN$5,スコア表2[#Headers],0)))
/
INDEX(スコア表2[],MATCH("stdev.p",スコア表2[maxmin],0),MATCH(BN$5,スコア表2[#Headers],0))
*10+50,"-")</f>
        <v>46.621817377982701</v>
      </c>
      <c r="BO19" s="4">
        <f>IFERROR(
(INDEX(スコア表[],MATCH($C19,スコア表['#],0),MATCH(BO$5,スコア表[#Headers],0))
-
INDEX(スコア表2[],MATCH("average",スコア表2[maxmin],0),MATCH(BO$5,スコア表2[#Headers],0)))
/
INDEX(スコア表2[],MATCH("stdev.p",スコア表2[maxmin],0),MATCH(BO$5,スコア表2[#Headers],0))
*10+50,"-")</f>
        <v>51.972641101010993</v>
      </c>
      <c r="BP19" s="4">
        <f>IFERROR(
(INDEX(スコア表[],MATCH($C19,スコア表['#],0),MATCH(BP$5,スコア表[#Headers],0))
-
INDEX(スコア表2[],MATCH("average",スコア表2[maxmin],0),MATCH(BP$5,スコア表2[#Headers],0)))
/
INDEX(スコア表2[],MATCH("stdev.p",スコア表2[maxmin],0),MATCH(BP$5,スコア表2[#Headers],0))
*10+50,"-")</f>
        <v>54.168733352820624</v>
      </c>
      <c r="BQ19" s="4">
        <f>IFERROR(
(INDEX(スコア表[],MATCH($C19,スコア表['#],0),MATCH(BQ$5,スコア表[#Headers],0))
-
INDEX(スコア表2[],MATCH("average",スコア表2[maxmin],0),MATCH(BQ$5,スコア表2[#Headers],0)))
/
INDEX(スコア表2[],MATCH("stdev.p",スコア表2[maxmin],0),MATCH(BQ$5,スコア表2[#Headers],0))
*10+50,"-")</f>
        <v>45.234201916614346</v>
      </c>
      <c r="BR19" s="4">
        <f>IFERROR(
(INDEX(スコア表[],MATCH($C19,スコア表['#],0),MATCH(BR$5,スコア表[#Headers],0))
-
INDEX(スコア表2[],MATCH("average",スコア表2[maxmin],0),MATCH(BR$5,スコア表2[#Headers],0)))
/
INDEX(スコア表2[],MATCH("stdev.p",スコア表2[maxmin],0),MATCH(BR$5,スコア表2[#Headers],0))
*10+50,"-")</f>
        <v>54.044663866983441</v>
      </c>
      <c r="BS19" s="4">
        <f>IFERROR(
(INDEX(スコア表[],MATCH($C19,スコア表['#],0),MATCH(BS$5,スコア表[#Headers],0))
-
INDEX(スコア表2[],MATCH("average",スコア表2[maxmin],0),MATCH(BS$5,スコア表2[#Headers],0)))
/
INDEX(スコア表2[],MATCH("stdev.p",スコア表2[maxmin],0),MATCH(BS$5,スコア表2[#Headers],0))
*10+50,"-")</f>
        <v>51.022012443996559</v>
      </c>
      <c r="BT19" s="4">
        <f>IFERROR(
(INDEX(スコア表[],MATCH($C19,スコア表['#],0),MATCH(BT$5,スコア表[#Headers],0))
-
INDEX(スコア表2[],MATCH("average",スコア表2[maxmin],0),MATCH(BT$5,スコア表2[#Headers],0)))
/
INDEX(スコア表2[],MATCH("stdev.p",スコア表2[maxmin],0),MATCH(BT$5,スコア表2[#Headers],0))
*10+50,"-")</f>
        <v>52.528252508641124</v>
      </c>
      <c r="BU19" s="4">
        <f>IFERROR(
(INDEX(スコア表[],MATCH($C19,スコア表['#],0),MATCH(BU$5,スコア表[#Headers],0))
-
INDEX(スコア表2[],MATCH("average",スコア表2[maxmin],0),MATCH(BU$5,スコア表2[#Headers],0)))
/
INDEX(スコア表2[],MATCH("stdev.p",スコア表2[maxmin],0),MATCH(BU$5,スコア表2[#Headers],0))
*10+50,"-")</f>
        <v>44.389922538223352</v>
      </c>
      <c r="BV19" s="4">
        <f>IFERROR(
(INDEX(スコア表[],MATCH($C19,スコア表['#],0),MATCH(BV$5,スコア表[#Headers],0))
-
INDEX(スコア表2[],MATCH("average",スコア表2[maxmin],0),MATCH(BV$5,スコア表2[#Headers],0)))
/
INDEX(スコア表2[],MATCH("stdev.p",スコア表2[maxmin],0),MATCH(BV$5,スコア表2[#Headers],0))
*10+50,"-")</f>
        <v>54.520945470852361</v>
      </c>
      <c r="BW19" s="4">
        <f>IFERROR(
(INDEX(スコア表[],MATCH($C19,スコア表['#],0),MATCH(BW$5,スコア表[#Headers],0))
-
INDEX(スコア表2[],MATCH("average",スコア表2[maxmin],0),MATCH(BW$5,スコア表2[#Headers],0)))
/
INDEX(スコア表2[],MATCH("stdev.p",スコア表2[maxmin],0),MATCH(BW$5,スコア表2[#Headers],0))
*10+50,"-")</f>
        <v>57.392329014162222</v>
      </c>
      <c r="BX19" s="4">
        <f>IFERROR(
(INDEX(スコア表[],MATCH($C19,スコア表['#],0),MATCH(BX$5,スコア表[#Headers],0))
-
INDEX(スコア表2[],MATCH("average",スコア表2[maxmin],0),MATCH(BX$5,スコア表2[#Headers],0)))
/
INDEX(スコア表2[],MATCH("stdev.p",スコア表2[maxmin],0),MATCH(BX$5,スコア表2[#Headers],0))
*10+50,"-")</f>
        <v>55.10121074990974</v>
      </c>
      <c r="BY19" s="4">
        <f>IFERROR(
(INDEX(スコア表[],MATCH($C19,スコア表['#],0),MATCH(BY$5,スコア表[#Headers],0))
-
INDEX(スコア表2[],MATCH("average",スコア表2[maxmin],0),MATCH(BY$5,スコア表2[#Headers],0)))
/
INDEX(スコア表2[],MATCH("stdev.p",スコア表2[maxmin],0),MATCH(BY$5,スコア表2[#Headers],0))
*10+50,"-")</f>
        <v>50.873738515211947</v>
      </c>
      <c r="BZ19" s="4">
        <f>IFERROR(
(INDEX(スコア表[],MATCH($C19,スコア表['#],0),MATCH(BZ$5,スコア表[#Headers],0))
-
INDEX(スコア表2[],MATCH("average",スコア表2[maxmin],0),MATCH(BZ$5,スコア表2[#Headers],0)))
/
INDEX(スコア表2[],MATCH("stdev.p",スコア表2[maxmin],0),MATCH(BZ$5,スコア表2[#Headers],0))
*10+50,"-")</f>
        <v>43.317013104912355</v>
      </c>
      <c r="CA19" s="4">
        <f>IFERROR(
(INDEX(スコア表[],MATCH($C19,スコア表['#],0),MATCH(CA$5,スコア表[#Headers],0))
-
INDEX(スコア表2[],MATCH("average",スコア表2[maxmin],0),MATCH(CA$5,スコア表2[#Headers],0)))
/
INDEX(スコア表2[],MATCH("stdev.p",スコア表2[maxmin],0),MATCH(CA$5,スコア表2[#Headers],0))
*10+50,"-")</f>
        <v>44.920450830696993</v>
      </c>
      <c r="CB19" s="4">
        <f>IFERROR(
(INDEX(スコア表[],MATCH($C19,スコア表['#],0),MATCH(CB$5,スコア表[#Headers],0))
-
INDEX(スコア表2[],MATCH("average",スコア表2[maxmin],0),MATCH(CB$5,スコア表2[#Headers],0)))
/
INDEX(スコア表2[],MATCH("stdev.p",スコア表2[maxmin],0),MATCH(CB$5,スコア表2[#Headers],0))
*10+50,"-")</f>
        <v>48.083014940585493</v>
      </c>
      <c r="CC19" s="4">
        <f>IFERROR(
(INDEX(スコア表[],MATCH($C19,スコア表['#],0),MATCH(CC$5,スコア表[#Headers],0))
-
INDEX(スコア表2[],MATCH("average",スコア表2[maxmin],0),MATCH(CC$5,スコア表2[#Headers],0)))
/
INDEX(スコア表2[],MATCH("stdev.p",スコア表2[maxmin],0),MATCH(CC$5,スコア表2[#Headers],0))
*10+50,"-")</f>
        <v>46.48429749218662</v>
      </c>
      <c r="CD19" s="4">
        <f>IFERROR(
(INDEX(スコア表[],MATCH($C19,スコア表['#],0),MATCH(CD$5,スコア表[#Headers],0))
-
INDEX(スコア表2[],MATCH("average",スコア表2[maxmin],0),MATCH(CD$5,スコア表2[#Headers],0)))
/
INDEX(スコア表2[],MATCH("stdev.p",スコア表2[maxmin],0),MATCH(CD$5,スコア表2[#Headers],0))
*10+50,"-")</f>
        <v>52.54410121988402</v>
      </c>
      <c r="CE19" s="4">
        <f>IFERROR(
(INDEX(スコア表[],MATCH($C19,スコア表['#],0),MATCH(CE$5,スコア表[#Headers],0))
-
INDEX(スコア表2[],MATCH("average",スコア表2[maxmin],0),MATCH(CE$5,スコア表2[#Headers],0)))
/
INDEX(スコア表2[],MATCH("stdev.p",スコア表2[maxmin],0),MATCH(CE$5,スコア表2[#Headers],0))
*10+50,"-")</f>
        <v>51.058774033831426</v>
      </c>
      <c r="CF19" s="4">
        <f>IFERROR(
(INDEX(スコア表[],MATCH($C19,スコア表['#],0),MATCH(CF$5,スコア表[#Headers],0))
-
INDEX(スコア表2[],MATCH("average",スコア表2[maxmin],0),MATCH(CF$5,スコア表2[#Headers],0)))
/
INDEX(スコア表2[],MATCH("stdev.p",スコア表2[maxmin],0),MATCH(CF$5,スコア表2[#Headers],0))
*10+50,"-")</f>
        <v>41.43545752504977</v>
      </c>
      <c r="CG19" s="4">
        <f>IFERROR(
(INDEX(スコア表[],MATCH($C19,スコア表['#],0),MATCH(CG$5,スコア表[#Headers],0))
-
INDEX(スコア表2[],MATCH("average",スコア表2[maxmin],0),MATCH(CG$5,スコア表2[#Headers],0)))
/
INDEX(スコア表2[],MATCH("stdev.p",スコア表2[maxmin],0),MATCH(CG$5,スコア表2[#Headers],0))
*10+50,"-")</f>
        <v>46.106372894475896</v>
      </c>
      <c r="CH19" s="4">
        <f>IFERROR(
(INDEX(スコア表[],MATCH($C19,スコア表['#],0),MATCH(CH$5,スコア表[#Headers],0))
-
INDEX(スコア表2[],MATCH("average",スコア表2[maxmin],0),MATCH(CH$5,スコア表2[#Headers],0)))
/
INDEX(スコア表2[],MATCH("stdev.p",スコア表2[maxmin],0),MATCH(CH$5,スコア表2[#Headers],0))
*10+50,"-")</f>
        <v>43.4181460721436</v>
      </c>
      <c r="CI19" s="4">
        <f>IFERROR(
(INDEX(スコア表[],MATCH($C19,スコア表['#],0),MATCH(CI$5,スコア表[#Headers],0))
-
INDEX(スコア表2[],MATCH("average",スコア表2[maxmin],0),MATCH(CI$5,スコア表2[#Headers],0)))
/
INDEX(スコア表2[],MATCH("stdev.p",スコア表2[maxmin],0),MATCH(CI$5,スコア表2[#Headers],0))
*10+50,"-")</f>
        <v>49.495058990673812</v>
      </c>
      <c r="CJ19" s="4">
        <f>IFERROR(
(INDEX(スコア表[],MATCH($C19,スコア表['#],0),MATCH(CJ$5,スコア表[#Headers],0))
-
INDEX(スコア表2[],MATCH("average",スコア表2[maxmin],0),MATCH(CJ$5,スコア表2[#Headers],0)))
/
INDEX(スコア表2[],MATCH("stdev.p",スコア表2[maxmin],0),MATCH(CJ$5,スコア表2[#Headers],0))
*10+50,"-")</f>
        <v>67.949745289794876</v>
      </c>
      <c r="CK19" s="4">
        <f>IFERROR(
(INDEX(スコア表[],MATCH($C19,スコア表['#],0),MATCH(CK$5,スコア表[#Headers],0))
-
INDEX(スコア表2[],MATCH("average",スコア表2[maxmin],0),MATCH(CK$5,スコア表2[#Headers],0)))
/
INDEX(スコア表2[],MATCH("stdev.p",スコア表2[maxmin],0),MATCH(CK$5,スコア表2[#Headers],0))
*10+50,"-")</f>
        <v>55.523427425822938</v>
      </c>
      <c r="CL19" s="4">
        <f>IFERROR(
(INDEX(スコア表[],MATCH($C19,スコア表['#],0),MATCH(CL$5,スコア表[#Headers],0))
-
INDEX(スコア表2[],MATCH("average",スコア表2[maxmin],0),MATCH(CL$5,スコア表2[#Headers],0)))
/
INDEX(スコア表2[],MATCH("stdev.p",スコア表2[maxmin],0),MATCH(CL$5,スコア表2[#Headers],0))
*10+50,"-")</f>
        <v>55.430800832197733</v>
      </c>
      <c r="CM19" s="4">
        <f>IFERROR(
(INDEX(スコア表[],MATCH($C19,スコア表['#],0),MATCH(CM$5,スコア表[#Headers],0))
-
INDEX(スコア表2[],MATCH("average",スコア表2[maxmin],0),MATCH(CM$5,スコア表2[#Headers],0)))
/
INDEX(スコア表2[],MATCH("stdev.p",スコア表2[maxmin],0),MATCH(CM$5,スコア表2[#Headers],0))
*10+50,"-")</f>
        <v>52.278157755124404</v>
      </c>
      <c r="CN19" s="4">
        <f>IFERROR(
(INDEX(スコア表[],MATCH($C19,スコア表['#],0),MATCH(CN$5,スコア表[#Headers],0))
-
INDEX(スコア表2[],MATCH("average",スコア表2[maxmin],0),MATCH(CN$5,スコア表2[#Headers],0)))
/
INDEX(スコア表2[],MATCH("stdev.p",スコア表2[maxmin],0),MATCH(CN$5,スコア表2[#Headers],0))
*10+50,"-")</f>
        <v>42.167716520453112</v>
      </c>
      <c r="CO19" s="4">
        <f>IFERROR(
(INDEX(スコア表[],MATCH($C19,スコア表['#],0),MATCH(CO$5,スコア表[#Headers],0))
-
INDEX(スコア表2[],MATCH("average",スコア表2[maxmin],0),MATCH(CO$5,スコア表2[#Headers],0)))
/
INDEX(スコア表2[],MATCH("stdev.p",スコア表2[maxmin],0),MATCH(CO$5,スコア表2[#Headers],0))
*10+50,"-")</f>
        <v>56.629139963615401</v>
      </c>
      <c r="CP19" s="4">
        <f>IFERROR(
(INDEX(スコア表[],MATCH($C19,スコア表['#],0),MATCH(CP$5,スコア表[#Headers],0))
-
INDEX(スコア表2[],MATCH("average",スコア表2[maxmin],0),MATCH(CP$5,スコア表2[#Headers],0)))
/
INDEX(スコア表2[],MATCH("stdev.p",スコア表2[maxmin],0),MATCH(CP$5,スコア表2[#Headers],0))
*10+50,"-")</f>
        <v>55.667187777288284</v>
      </c>
      <c r="CQ19" s="4">
        <f>IFERROR(
(INDEX(スコア表[],MATCH($C19,スコア表['#],0),MATCH(CQ$5,スコア表[#Headers],0))
-
INDEX(スコア表2[],MATCH("average",スコア表2[maxmin],0),MATCH(CQ$5,スコア表2[#Headers],0)))
/
INDEX(スコア表2[],MATCH("stdev.p",スコア表2[maxmin],0),MATCH(CQ$5,スコア表2[#Headers],0))
*10+50,"-")</f>
        <v>60.082752464595309</v>
      </c>
      <c r="CR19" s="4">
        <f>IFERROR(
(INDEX(スコア表[],MATCH($C19,スコア表['#],0),MATCH(CR$5,スコア表[#Headers],0))
-
INDEX(スコア表2[],MATCH("average",スコア表2[maxmin],0),MATCH(CR$5,スコア表2[#Headers],0)))
/
INDEX(スコア表2[],MATCH("stdev.p",スコア表2[maxmin],0),MATCH(CR$5,スコア表2[#Headers],0))
*10+50,"-")</f>
        <v>64.126734057195435</v>
      </c>
      <c r="CS19" s="4">
        <f>IFERROR(
(INDEX(スコア表[],MATCH($C19,スコア表['#],0),MATCH(CS$5,スコア表[#Headers],0))
-
INDEX(スコア表2[],MATCH("average",スコア表2[maxmin],0),MATCH(CS$5,スコア表2[#Headers],0)))
/
INDEX(スコア表2[],MATCH("stdev.p",スコア表2[maxmin],0),MATCH(CS$5,スコア表2[#Headers],0))
*10+50,"-")</f>
        <v>43.911258491782775</v>
      </c>
      <c r="CT19" s="4">
        <f>IFERROR(
(INDEX(スコア表[],MATCH($C19,スコア表['#],0),MATCH(CT$5,スコア表[#Headers],0))
-
INDEX(スコア表2[],MATCH("average",スコア表2[maxmin],0),MATCH(CT$5,スコア表2[#Headers],0)))
/
INDEX(スコア表2[],MATCH("stdev.p",スコア表2[maxmin],0),MATCH(CT$5,スコア表2[#Headers],0))
*10+50,"-")</f>
        <v>59.737006432843103</v>
      </c>
      <c r="CU19" s="4">
        <f>IFERROR(
(INDEX(スコア表[],MATCH($C19,スコア表['#],0),MATCH(CU$5,スコア表[#Headers],0))
-
INDEX(スコア表2[],MATCH("average",スコア表2[maxmin],0),MATCH(CU$5,スコア表2[#Headers],0)))
/
INDEX(スコア表2[],MATCH("stdev.p",スコア表2[maxmin],0),MATCH(CU$5,スコア表2[#Headers],0))
*10+50,"-")</f>
        <v>55.992858923436827</v>
      </c>
      <c r="CV19" s="4">
        <f>IFERROR(
(INDEX(スコア表[],MATCH($C19,スコア表['#],0),MATCH(CV$5,スコア表[#Headers],0))
-
INDEX(スコア表2[],MATCH("average",スコア表2[maxmin],0),MATCH(CV$5,スコア表2[#Headers],0)))
/
INDEX(スコア表2[],MATCH("stdev.p",スコア表2[maxmin],0),MATCH(CV$5,スコア表2[#Headers],0))
*10+50,"-")</f>
        <v>49.737052340422167</v>
      </c>
      <c r="CW19" s="4">
        <f>IFERROR(
(INDEX(スコア表[],MATCH($C19,スコア表['#],0),MATCH(CW$5,スコア表[#Headers],0))
-
INDEX(スコア表2[],MATCH("average",スコア表2[maxmin],0),MATCH(CW$5,スコア表2[#Headers],0)))
/
INDEX(スコア表2[],MATCH("stdev.p",スコア表2[maxmin],0),MATCH(CW$5,スコア表2[#Headers],0))
*10+50,"-")</f>
        <v>52.690716165223897</v>
      </c>
      <c r="CX19" s="4">
        <f>IFERROR(
(INDEX(スコア表[],MATCH($C19,スコア表['#],0),MATCH(CX$5,スコア表[#Headers],0))
-
INDEX(スコア表2[],MATCH("average",スコア表2[maxmin],0),MATCH(CX$5,スコア表2[#Headers],0)))
/
INDEX(スコア表2[],MATCH("stdev.p",スコア表2[maxmin],0),MATCH(CX$5,スコア表2[#Headers],0))
*10+50,"-")</f>
        <v>50.5772921358205</v>
      </c>
      <c r="CY19" s="4">
        <f>IFERROR(
(INDEX(スコア表[],MATCH($C19,スコア表['#],0),MATCH(CY$5,スコア表[#Headers],0))
-
INDEX(スコア表2[],MATCH("average",スコア表2[maxmin],0),MATCH(CY$5,スコア表2[#Headers],0)))
/
INDEX(スコア表2[],MATCH("stdev.p",スコア表2[maxmin],0),MATCH(CY$5,スコア表2[#Headers],0))
*10+50,"-")</f>
        <v>57.438736875329418</v>
      </c>
      <c r="CZ19" s="4">
        <f>IFERROR(
(INDEX(スコア表[],MATCH($C19,スコア表['#],0),MATCH(CZ$5,スコア表[#Headers],0))
-
INDEX(スコア表2[],MATCH("average",スコア表2[maxmin],0),MATCH(CZ$5,スコア表2[#Headers],0)))
/
INDEX(スコア表2[],MATCH("stdev.p",スコア表2[maxmin],0),MATCH(CZ$5,スコア表2[#Headers],0))
*10+50,"-")</f>
        <v>46.966263279859604</v>
      </c>
      <c r="DA19" s="4">
        <f>IFERROR(
(INDEX(スコア表[],MATCH($C19,スコア表['#],0),MATCH(DA$5,スコア表[#Headers],0))
-
INDEX(スコア表2[],MATCH("average",スコア表2[maxmin],0),MATCH(DA$5,スコア表2[#Headers],0)))
/
INDEX(スコア表2[],MATCH("stdev.p",スコア表2[maxmin],0),MATCH(DA$5,スコア表2[#Headers],0))
*10+50,"-")</f>
        <v>42.852011589078685</v>
      </c>
      <c r="DB19" s="4">
        <f>IFERROR(
(INDEX(スコア表[],MATCH($C19,スコア表['#],0),MATCH(DB$5,スコア表[#Headers],0))
-
INDEX(スコア表2[],MATCH("average",スコア表2[maxmin],0),MATCH(DB$5,スコア表2[#Headers],0)))
/
INDEX(スコア表2[],MATCH("stdev.p",スコア表2[maxmin],0),MATCH(DB$5,スコア表2[#Headers],0))
*10+50,"-")</f>
        <v>58.168098614396825</v>
      </c>
      <c r="DC19" s="4">
        <f>IFERROR(
(INDEX(スコア表[],MATCH($C19,スコア表['#],0),MATCH(DC$5,スコア表[#Headers],0))
-
INDEX(スコア表2[],MATCH("average",スコア表2[maxmin],0),MATCH(DC$5,スコア表2[#Headers],0)))
/
INDEX(スコア表2[],MATCH("stdev.p",スコア表2[maxmin],0),MATCH(DC$5,スコア表2[#Headers],0))
*10+50,"-")</f>
        <v>66.765455488912252</v>
      </c>
      <c r="DD19" s="4">
        <f>IFERROR(
(INDEX(スコア表[],MATCH($C19,スコア表['#],0),MATCH(DD$5,スコア表[#Headers],0))
-
INDEX(スコア表2[],MATCH("average",スコア表2[maxmin],0),MATCH(DD$5,スコア表2[#Headers],0)))
/
INDEX(スコア表2[],MATCH("stdev.p",スコア表2[maxmin],0),MATCH(DD$5,スコア表2[#Headers],0))
*10+50,"-")</f>
        <v>55.060572025505721</v>
      </c>
      <c r="DE19" s="4">
        <f>IFERROR(
(INDEX(スコア表[],MATCH($C19,スコア表['#],0),MATCH(DE$5,スコア表[#Headers],0))
-
INDEX(スコア表2[],MATCH("average",スコア表2[maxmin],0),MATCH(DE$5,スコア表2[#Headers],0)))
/
INDEX(スコア表2[],MATCH("stdev.p",スコア表2[maxmin],0),MATCH(DE$5,スコア表2[#Headers],0))
*10+50,"-")</f>
        <v>54.343333942126762</v>
      </c>
      <c r="DF19" s="76">
        <f>IFERROR(
(INDEX(スコア表[],MATCH($C19,スコア表['#],0),MATCH(DF$5,スコア表[#Headers],0))
-
INDEX(スコア表2[],MATCH("average",スコア表2[maxmin],0),MATCH(DF$5,スコア表2[#Headers],0)))
/
INDEX(スコア表2[],MATCH("stdev.p",スコア表2[maxmin],0),MATCH(DF$5,スコア表2[#Headers],0))
*10+50,"-")</f>
        <v>54.273839542830565</v>
      </c>
      <c r="DG19" s="4">
        <f>IFERROR(_xlfn.STDEV.P(偏差値表[[#This Row],[Economy]:[Accessibility]]),"")</f>
        <v>7.6954493776684005</v>
      </c>
    </row>
    <row r="20" spans="1:111">
      <c r="A20" s="2">
        <v>15</v>
      </c>
      <c r="B20" s="58">
        <f>INDEX(順位表[Comprehensive],MATCH($C20,順位表['#],0))</f>
        <v>15</v>
      </c>
      <c r="C20" s="3">
        <v>24</v>
      </c>
      <c r="D20" s="1" t="str">
        <f>INDEX(都市マスタ[City Name],MATCH($C20,都市マスタ['#],0))</f>
        <v>Shanghai</v>
      </c>
      <c r="E20" s="4">
        <f>IFERROR(
(INDEX(スコア表[],MATCH($C20,スコア表['#],0),MATCH(E$5,スコア表[#Headers],0))
-
INDEX(スコア表2[],MATCH("average",スコア表2[maxmin],0),MATCH(E$5,スコア表2[#Headers],0)))
/
INDEX(スコア表2[],MATCH("stdev.p",スコア表2[maxmin],0),MATCH(E$5,スコア表2[#Headers],0))
*10+50,"-")</f>
        <v>84.858738765271795</v>
      </c>
      <c r="F20" s="4">
        <f>IFERROR(
(INDEX(スコア表[],MATCH($C20,スコア表['#],0),MATCH(F$5,スコア表[#Headers],0))
-
INDEX(スコア表2[],MATCH("average",スコア表2[maxmin],0),MATCH(F$5,スコア表2[#Headers],0)))
/
INDEX(スコア表2[],MATCH("stdev.p",スコア表2[maxmin],0),MATCH(F$5,スコア表2[#Headers],0))
*10+50,"-")</f>
        <v>64.243787136996616</v>
      </c>
      <c r="G20" s="4">
        <f>IFERROR(
(INDEX(スコア表[],MATCH($C20,スコア表['#],0),MATCH(G$5,スコア表[#Headers],0))
-
INDEX(スコア表2[],MATCH("average",スコア表2[maxmin],0),MATCH(G$5,スコア表2[#Headers],0)))
/
INDEX(スコア表2[],MATCH("stdev.p",スコア表2[maxmin],0),MATCH(G$5,スコア表2[#Headers],0))
*10+50,"-")</f>
        <v>48.359724408250621</v>
      </c>
      <c r="H20" s="4">
        <f>IFERROR(
(INDEX(スコア表[],MATCH($C20,スコア表['#],0),MATCH(H$5,スコア表[#Headers],0))
-
INDEX(スコア表2[],MATCH("average",スコア表2[maxmin],0),MATCH(H$5,スコア表2[#Headers],0)))
/
INDEX(スコア表2[],MATCH("stdev.p",スコア表2[maxmin],0),MATCH(H$5,スコア表2[#Headers],0))
*10+50,"-")</f>
        <v>71.377580558245228</v>
      </c>
      <c r="I20" s="4">
        <f>IFERROR(
(INDEX(スコア表[],MATCH($C20,スコア表['#],0),MATCH(I$5,スコア表[#Headers],0))
-
INDEX(スコア表2[],MATCH("average",スコア表2[maxmin],0),MATCH(I$5,スコア表2[#Headers],0)))
/
INDEX(スコア表2[],MATCH("stdev.p",スコア表2[maxmin],0),MATCH(I$5,スコア表2[#Headers],0))
*10+50,"-")</f>
        <v>41.808100914003433</v>
      </c>
      <c r="J20" s="4">
        <f>IFERROR(
(INDEX(スコア表[],MATCH($C20,スコア表['#],0),MATCH(J$5,スコア表[#Headers],0))
-
INDEX(スコア表2[],MATCH("average",スコア表2[maxmin],0),MATCH(J$5,スコア表2[#Headers],0)))
/
INDEX(スコア表2[],MATCH("stdev.p",スコア表2[maxmin],0),MATCH(J$5,スコア表2[#Headers],0))
*10+50,"-")</f>
        <v>62.595823805212831</v>
      </c>
      <c r="K20" s="4">
        <f>IFERROR(
(INDEX(スコア表[],MATCH($C20,スコア表['#],0),MATCH(K$5,スコア表[#Headers],0))
-
INDEX(スコア表2[],MATCH("average",スコア表2[maxmin],0),MATCH(K$5,スコア表2[#Headers],0)))
/
INDEX(スコア表2[],MATCH("stdev.p",スコア表2[maxmin],0),MATCH(K$5,スコア表2[#Headers],0))
*10+50,"-")</f>
        <v>30.301508395480198</v>
      </c>
      <c r="L20" s="4">
        <f>IFERROR(
(INDEX(スコア表[],MATCH($C20,スコア表['#],0),MATCH(L$5,スコア表[#Headers],0))
-
INDEX(スコア表2[],MATCH("average",スコア表2[maxmin],0),MATCH(L$5,スコア表2[#Headers],0)))
/
INDEX(スコア表2[],MATCH("stdev.p",スコア表2[maxmin],0),MATCH(L$5,スコア表2[#Headers],0))
*10+50,"-")</f>
        <v>58.418470380757469</v>
      </c>
      <c r="M20" s="4">
        <f>IFERROR(
(INDEX(スコア表[],MATCH($C20,スコア表['#],0),MATCH(M$5,スコア表[#Headers],0))
-
INDEX(スコア表2[],MATCH("average",スコア表2[maxmin],0),MATCH(M$5,スコア表2[#Headers],0)))
/
INDEX(スコア表2[],MATCH("stdev.p",スコア表2[maxmin],0),MATCH(M$5,スコア表2[#Headers],0))
*10+50,"-")</f>
        <v>51.414208748588507</v>
      </c>
      <c r="N20" s="4">
        <f>IFERROR(
(INDEX(スコア表[],MATCH($C20,スコア表['#],0),MATCH(N$5,スコア表[#Headers],0))
-
INDEX(スコア表2[],MATCH("average",スコア表2[maxmin],0),MATCH(N$5,スコア表2[#Headers],0)))
/
INDEX(スコア表2[],MATCH("stdev.p",スコア表2[maxmin],0),MATCH(N$5,スコア表2[#Headers],0))
*10+50,"-")</f>
        <v>86.816754042097358</v>
      </c>
      <c r="O20" s="4">
        <f>IFERROR(
(INDEX(スコア表[],MATCH($C20,スコア表['#],0),MATCH(O$5,スコア表[#Headers],0))
-
INDEX(スコア表2[],MATCH("average",スコア表2[maxmin],0),MATCH(O$5,スコア表2[#Headers],0)))
/
INDEX(スコア表2[],MATCH("stdev.p",スコア表2[maxmin],0),MATCH(O$5,スコア表2[#Headers],0))
*10+50,"-")</f>
        <v>50.641219870072739</v>
      </c>
      <c r="P20" s="4">
        <f>IFERROR(
(INDEX(スコア表[],MATCH($C20,スコア表['#],0),MATCH(P$5,スコア表[#Headers],0))
-
INDEX(スコア表2[],MATCH("average",スコア表2[maxmin],0),MATCH(P$5,スコア表2[#Headers],0)))
/
INDEX(スコア表2[],MATCH("stdev.p",スコア表2[maxmin],0),MATCH(P$5,スコア表2[#Headers],0))
*10+50,"-")</f>
        <v>41.165594756771917</v>
      </c>
      <c r="Q20" s="4">
        <f>IFERROR(
(INDEX(スコア表[],MATCH($C20,スコア表['#],0),MATCH(Q$5,スコア表[#Headers],0))
-
INDEX(スコア表2[],MATCH("average",スコア表2[maxmin],0),MATCH(Q$5,スコア表2[#Headers],0)))
/
INDEX(スコア表2[],MATCH("stdev.p",スコア表2[maxmin],0),MATCH(Q$5,スコア表2[#Headers],0))
*10+50,"-")</f>
        <v>44.116569723898728</v>
      </c>
      <c r="R20" s="4">
        <f>IFERROR(
(INDEX(スコア表[],MATCH($C20,スコア表['#],0),MATCH(R$5,スコア表[#Headers],0))
-
INDEX(スコア表2[],MATCH("average",スコア表2[maxmin],0),MATCH(R$5,スコア表2[#Headers],0)))
/
INDEX(スコア表2[],MATCH("stdev.p",スコア表2[maxmin],0),MATCH(R$5,スコア表2[#Headers],0))
*10+50,"-")</f>
        <v>64.494090661735555</v>
      </c>
      <c r="S20" s="4">
        <f>IFERROR(
(INDEX(スコア表[],MATCH($C20,スコア表['#],0),MATCH(S$5,スコア表[#Headers],0))
-
INDEX(スコア表2[],MATCH("average",スコア表2[maxmin],0),MATCH(S$5,スコア表2[#Headers],0)))
/
INDEX(スコア表2[],MATCH("stdev.p",スコア表2[maxmin],0),MATCH(S$5,スコア表2[#Headers],0))
*10+50,"-")</f>
        <v>50.030127927689456</v>
      </c>
      <c r="T20" s="4">
        <f>IFERROR(
(INDEX(スコア表[],MATCH($C20,スコア表['#],0),MATCH(T$5,スコア表[#Headers],0))
-
INDEX(スコア表2[],MATCH("average",スコア表2[maxmin],0),MATCH(T$5,スコア表2[#Headers],0)))
/
INDEX(スコア表2[],MATCH("stdev.p",スコア表2[maxmin],0),MATCH(T$5,スコア表2[#Headers],0))
*10+50,"-")</f>
        <v>50.810604012683847</v>
      </c>
      <c r="U20" s="4">
        <f>IFERROR(
(INDEX(スコア表[],MATCH($C20,スコア表['#],0),MATCH(U$5,スコア表[#Headers],0))
-
INDEX(スコア表2[],MATCH("average",スコア表2[maxmin],0),MATCH(U$5,スコア表2[#Headers],0)))
/
INDEX(スコア表2[],MATCH("stdev.p",スコア表2[maxmin],0),MATCH(U$5,スコア表2[#Headers],0))
*10+50,"-")</f>
        <v>57.273098717690786</v>
      </c>
      <c r="V20" s="4">
        <f>IFERROR(
(INDEX(スコア表[],MATCH($C20,スコア表['#],0),MATCH(V$5,スコア表[#Headers],0))
-
INDEX(スコア表2[],MATCH("average",スコア表2[maxmin],0),MATCH(V$5,スコア表2[#Headers],0)))
/
INDEX(スコア表2[],MATCH("stdev.p",スコア表2[maxmin],0),MATCH(V$5,スコア表2[#Headers],0))
*10+50,"-")</f>
        <v>54.805589295146568</v>
      </c>
      <c r="W20" s="4">
        <f>IFERROR(
(INDEX(スコア表[],MATCH($C20,スコア表['#],0),MATCH(W$5,スコア表[#Headers],0))
-
INDEX(スコア表2[],MATCH("average",スコア表2[maxmin],0),MATCH(W$5,スコア表2[#Headers],0)))
/
INDEX(スコア表2[],MATCH("stdev.p",スコア表2[maxmin],0),MATCH(W$5,スコア表2[#Headers],0))
*10+50,"-")</f>
        <v>50.704344058851163</v>
      </c>
      <c r="X20" s="4">
        <f>IFERROR(
(INDEX(スコア表[],MATCH($C20,スコア表['#],0),MATCH(X$5,スコア表[#Headers],0))
-
INDEX(スコア表2[],MATCH("average",スコア表2[maxmin],0),MATCH(X$5,スコア表2[#Headers],0)))
/
INDEX(スコア表2[],MATCH("stdev.p",スコア表2[maxmin],0),MATCH(X$5,スコア表2[#Headers],0))
*10+50,"-")</f>
        <v>48.099345962421921</v>
      </c>
      <c r="Y20" s="4">
        <f>IFERROR(
(INDEX(スコア表[],MATCH($C20,スコア表['#],0),MATCH(Y$5,スコア表[#Headers],0))
-
INDEX(スコア表2[],MATCH("average",スコア表2[maxmin],0),MATCH(Y$5,スコア表2[#Headers],0)))
/
INDEX(スコア表2[],MATCH("stdev.p",スコア表2[maxmin],0),MATCH(Y$5,スコア表2[#Headers],0))
*10+50,"-")</f>
        <v>68.458811555712927</v>
      </c>
      <c r="Z20" s="4">
        <f>IFERROR(
(INDEX(スコア表[],MATCH($C20,スコア表['#],0),MATCH(Z$5,スコア表[#Headers],0))
-
INDEX(スコア表2[],MATCH("average",スコア表2[maxmin],0),MATCH(Z$5,スコア表2[#Headers],0)))
/
INDEX(スコア表2[],MATCH("stdev.p",スコア表2[maxmin],0),MATCH(Z$5,スコア表2[#Headers],0))
*10+50,"-")</f>
        <v>55.769159655385302</v>
      </c>
      <c r="AA20" s="4">
        <f>IFERROR(
(INDEX(スコア表[],MATCH($C20,スコア表['#],0),MATCH(AA$5,スコア表[#Headers],0))
-
INDEX(スコア表2[],MATCH("average",スコア表2[maxmin],0),MATCH(AA$5,スコア表2[#Headers],0)))
/
INDEX(スコア表2[],MATCH("stdev.p",スコア表2[maxmin],0),MATCH(AA$5,スコア表2[#Headers],0))
*10+50,"-")</f>
        <v>44.664612103409482</v>
      </c>
      <c r="AB20" s="4">
        <f>IFERROR(
(INDEX(スコア表[],MATCH($C20,スコア表['#],0),MATCH(AB$5,スコア表[#Headers],0))
-
INDEX(スコア表2[],MATCH("average",スコア表2[maxmin],0),MATCH(AB$5,スコア表2[#Headers],0)))
/
INDEX(スコア表2[],MATCH("stdev.p",スコア表2[maxmin],0),MATCH(AB$5,スコア表2[#Headers],0))
*10+50,"-")</f>
        <v>44.767082232267576</v>
      </c>
      <c r="AC20" s="4">
        <f>IFERROR(
(INDEX(スコア表[],MATCH($C20,スコア表['#],0),MATCH(AC$5,スコア表[#Headers],0))
-
INDEX(スコア表2[],MATCH("average",スコア表2[maxmin],0),MATCH(AC$5,スコア表2[#Headers],0)))
/
INDEX(スコア表2[],MATCH("stdev.p",スコア表2[maxmin],0),MATCH(AC$5,スコア表2[#Headers],0))
*10+50,"-")</f>
        <v>45.13977224600908</v>
      </c>
      <c r="AD20" s="4">
        <f>IFERROR(
(INDEX(スコア表[],MATCH($C20,スコア表['#],0),MATCH(AD$5,スコア表[#Headers],0))
-
INDEX(スコア表2[],MATCH("average",スコア表2[maxmin],0),MATCH(AD$5,スコア表2[#Headers],0)))
/
INDEX(スコア表2[],MATCH("stdev.p",スコア表2[maxmin],0),MATCH(AD$5,スコア表2[#Headers],0))
*10+50,"-")</f>
        <v>46.555296883860258</v>
      </c>
      <c r="AE20" s="4">
        <f>IFERROR(
(INDEX(スコア表[],MATCH($C20,スコア表['#],0),MATCH(AE$5,スコア表[#Headers],0))
-
INDEX(スコア表2[],MATCH("average",スコア表2[maxmin],0),MATCH(AE$5,スコア表2[#Headers],0)))
/
INDEX(スコア表2[],MATCH("stdev.p",スコア表2[maxmin],0),MATCH(AE$5,スコア表2[#Headers],0))
*10+50,"-")</f>
        <v>46.895568017797721</v>
      </c>
      <c r="AF20" s="4">
        <f>IFERROR(
(INDEX(スコア表[],MATCH($C20,スコア表['#],0),MATCH(AF$5,スコア表[#Headers],0))
-
INDEX(スコア表2[],MATCH("average",スコア表2[maxmin],0),MATCH(AF$5,スコア表2[#Headers],0)))
/
INDEX(スコア表2[],MATCH("stdev.p",スコア表2[maxmin],0),MATCH(AF$5,スコア表2[#Headers],0))
*10+50,"-")</f>
        <v>46.887951904082485</v>
      </c>
      <c r="AG20" s="4">
        <f>IFERROR(
(INDEX(スコア表[],MATCH($C20,スコア表['#],0),MATCH(AG$5,スコア表[#Headers],0))
-
INDEX(スコア表2[],MATCH("average",スコア表2[maxmin],0),MATCH(AG$5,スコア表2[#Headers],0)))
/
INDEX(スコア表2[],MATCH("stdev.p",スコア表2[maxmin],0),MATCH(AG$5,スコア表2[#Headers],0))
*10+50,"-")</f>
        <v>49.721533575265887</v>
      </c>
      <c r="AH20" s="4">
        <f>IFERROR(
(INDEX(スコア表[],MATCH($C20,スコア表['#],0),MATCH(AH$5,スコア表[#Headers],0))
-
INDEX(スコア表2[],MATCH("average",スコア表2[maxmin],0),MATCH(AH$5,スコア表2[#Headers],0)))
/
INDEX(スコア表2[],MATCH("stdev.p",スコア表2[maxmin],0),MATCH(AH$5,スコア表2[#Headers],0))
*10+50,"-")</f>
        <v>42.849325941718909</v>
      </c>
      <c r="AI20" s="4">
        <f>IFERROR(
(INDEX(スコア表[],MATCH($C20,スコア表['#],0),MATCH(AI$5,スコア表[#Headers],0))
-
INDEX(スコア表2[],MATCH("average",スコア表2[maxmin],0),MATCH(AI$5,スコア表2[#Headers],0)))
/
INDEX(スコア表2[],MATCH("stdev.p",スコア表2[maxmin],0),MATCH(AI$5,スコア表2[#Headers],0))
*10+50,"-")</f>
        <v>54.524847443349714</v>
      </c>
      <c r="AJ20" s="4">
        <f>IFERROR(
(INDEX(スコア表[],MATCH($C20,スコア表['#],0),MATCH(AJ$5,スコア表[#Headers],0))
-
INDEX(スコア表2[],MATCH("average",スコア表2[maxmin],0),MATCH(AJ$5,スコア表2[#Headers],0)))
/
INDEX(スコア表2[],MATCH("stdev.p",スコア表2[maxmin],0),MATCH(AJ$5,スコア表2[#Headers],0))
*10+50,"-")</f>
        <v>42.809740207768833</v>
      </c>
      <c r="AK20" s="4">
        <f>IFERROR(
(INDEX(スコア表[],MATCH($C20,スコア表['#],0),MATCH(AK$5,スコア表[#Headers],0))
-
INDEX(スコア表2[],MATCH("average",スコア表2[maxmin],0),MATCH(AK$5,スコア表2[#Headers],0)))
/
INDEX(スコア表2[],MATCH("stdev.p",スコア表2[maxmin],0),MATCH(AK$5,スコア表2[#Headers],0))
*10+50,"-")</f>
        <v>44.74993289358369</v>
      </c>
      <c r="AL20" s="4">
        <f>IFERROR(
(INDEX(スコア表[],MATCH($C20,スコア表['#],0),MATCH(AL$5,スコア表[#Headers],0))
-
INDEX(スコア表2[],MATCH("average",スコア表2[maxmin],0),MATCH(AL$5,スコア表2[#Headers],0)))
/
INDEX(スコア表2[],MATCH("stdev.p",スコア表2[maxmin],0),MATCH(AL$5,スコア表2[#Headers],0))
*10+50,"-")</f>
        <v>59.421826476754596</v>
      </c>
      <c r="AM20" s="4">
        <f>IFERROR(
(INDEX(スコア表[],MATCH($C20,スコア表['#],0),MATCH(AM$5,スコア表[#Headers],0))
-
INDEX(スコア表2[],MATCH("average",スコア表2[maxmin],0),MATCH(AM$5,スコア表2[#Headers],0)))
/
INDEX(スコア表2[],MATCH("stdev.p",スコア表2[maxmin],0),MATCH(AM$5,スコア表2[#Headers],0))
*10+50,"-")</f>
        <v>58.452095330906772</v>
      </c>
      <c r="AN20" s="4">
        <f>IFERROR(
(INDEX(スコア表[],MATCH($C20,スコア表['#],0),MATCH(AN$5,スコア表[#Headers],0))
-
INDEX(スコア表2[],MATCH("average",スコア表2[maxmin],0),MATCH(AN$5,スコア表2[#Headers],0)))
/
INDEX(スコア表2[],MATCH("stdev.p",スコア表2[maxmin],0),MATCH(AN$5,スコア表2[#Headers],0))
*10+50,"-")</f>
        <v>68.816806186655057</v>
      </c>
      <c r="AO20" s="4">
        <f>IFERROR(
(INDEX(スコア表[],MATCH($C20,スコア表['#],0),MATCH(AO$5,スコア表[#Headers],0))
-
INDEX(スコア表2[],MATCH("average",スコア表2[maxmin],0),MATCH(AO$5,スコア表2[#Headers],0)))
/
INDEX(スコア表2[],MATCH("stdev.p",スコア表2[maxmin],0),MATCH(AO$5,スコア表2[#Headers],0))
*10+50,"-")</f>
        <v>53.044911954170928</v>
      </c>
      <c r="AP20" s="4">
        <f>IFERROR(
(INDEX(スコア表[],MATCH($C20,スコア表['#],0),MATCH(AP$5,スコア表[#Headers],0))
-
INDEX(スコア表2[],MATCH("average",スコア表2[maxmin],0),MATCH(AP$5,スコア表2[#Headers],0)))
/
INDEX(スコア表2[],MATCH("stdev.p",スコア表2[maxmin],0),MATCH(AP$5,スコア表2[#Headers],0))
*10+50,"-")</f>
        <v>51.992017847111583</v>
      </c>
      <c r="AQ20" s="4">
        <f>IFERROR(
(INDEX(スコア表[],MATCH($C20,スコア表['#],0),MATCH(AQ$5,スコア表[#Headers],0))
-
INDEX(スコア表2[],MATCH("average",スコア表2[maxmin],0),MATCH(AQ$5,スコア表2[#Headers],0)))
/
INDEX(スコア表2[],MATCH("stdev.p",スコア表2[maxmin],0),MATCH(AQ$5,スコア表2[#Headers],0))
*10+50,"-")</f>
        <v>44.934333443462087</v>
      </c>
      <c r="AR20" s="4">
        <f>IFERROR(
(INDEX(スコア表[],MATCH($C20,スコア表['#],0),MATCH(AR$5,スコア表[#Headers],0))
-
INDEX(スコア表2[],MATCH("average",スコア表2[maxmin],0),MATCH(AR$5,スコア表2[#Headers],0)))
/
INDEX(スコア表2[],MATCH("stdev.p",スコア表2[maxmin],0),MATCH(AR$5,スコア表2[#Headers],0))
*10+50,"-")</f>
        <v>44.630158082577871</v>
      </c>
      <c r="AS20" s="4">
        <f>IFERROR(
(INDEX(スコア表[],MATCH($C20,スコア表['#],0),MATCH(AS$5,スコア表[#Headers],0))
-
INDEX(スコア表2[],MATCH("average",スコア表2[maxmin],0),MATCH(AS$5,スコア表2[#Headers],0)))
/
INDEX(スコア表2[],MATCH("stdev.p",スコア表2[maxmin],0),MATCH(AS$5,スコア表2[#Headers],0))
*10+50,"-")</f>
        <v>56.708054428477453</v>
      </c>
      <c r="AT20" s="4">
        <f>IFERROR(
(INDEX(スコア表[],MATCH($C20,スコア表['#],0),MATCH(AT$5,スコア表[#Headers],0))
-
INDEX(スコア表2[],MATCH("average",スコア表2[maxmin],0),MATCH(AT$5,スコア表2[#Headers],0)))
/
INDEX(スコア表2[],MATCH("stdev.p",スコア表2[maxmin],0),MATCH(AT$5,スコア表2[#Headers],0))
*10+50,"-")</f>
        <v>54.368033258382489</v>
      </c>
      <c r="AU20" s="4">
        <f>IFERROR(
(INDEX(スコア表[],MATCH($C20,スコア表['#],0),MATCH(AU$5,スコア表[#Headers],0))
-
INDEX(スコア表2[],MATCH("average",スコア表2[maxmin],0),MATCH(AU$5,スコア表2[#Headers],0)))
/
INDEX(スコア表2[],MATCH("stdev.p",スコア表2[maxmin],0),MATCH(AU$5,スコア表2[#Headers],0))
*10+50,"-")</f>
        <v>63.007287758467996</v>
      </c>
      <c r="AV20" s="4">
        <f>IFERROR(
(INDEX(スコア表[],MATCH($C20,スコア表['#],0),MATCH(AV$5,スコア表[#Headers],0))
-
INDEX(スコア表2[],MATCH("average",スコア表2[maxmin],0),MATCH(AV$5,スコア表2[#Headers],0)))
/
INDEX(スコア表2[],MATCH("stdev.p",スコア表2[maxmin],0),MATCH(AV$5,スコア表2[#Headers],0))
*10+50,"-")</f>
        <v>53.416029594558346</v>
      </c>
      <c r="AW20" s="4">
        <f>IFERROR(
(INDEX(スコア表[],MATCH($C20,スコア表['#],0),MATCH(AW$5,スコア表[#Headers],0))
-
INDEX(スコア表2[],MATCH("average",スコア表2[maxmin],0),MATCH(AW$5,スコア表2[#Headers],0)))
/
INDEX(スコア表2[],MATCH("stdev.p",スコア表2[maxmin],0),MATCH(AW$5,スコア表2[#Headers],0))
*10+50,"-")</f>
        <v>57.143870856123172</v>
      </c>
      <c r="AX20" s="4">
        <f>IFERROR(
(INDEX(スコア表[],MATCH($C20,スコア表['#],0),MATCH(AX$5,スコア表[#Headers],0))
-
INDEX(スコア表2[],MATCH("average",スコア表2[maxmin],0),MATCH(AX$5,スコア表2[#Headers],0)))
/
INDEX(スコア表2[],MATCH("stdev.p",スコア表2[maxmin],0),MATCH(AX$5,スコア表2[#Headers],0))
*10+50,"-")</f>
        <v>54.681701103612596</v>
      </c>
      <c r="AY20" s="4">
        <f>IFERROR(
(INDEX(スコア表[],MATCH($C20,スコア表['#],0),MATCH(AY$5,スコア表[#Headers],0))
-
INDEX(スコア表2[],MATCH("average",スコア表2[maxmin],0),MATCH(AY$5,スコア表2[#Headers],0)))
/
INDEX(スコア表2[],MATCH("stdev.p",スコア表2[maxmin],0),MATCH(AY$5,スコア表2[#Headers],0))
*10+50,"-")</f>
        <v>47.071629631142009</v>
      </c>
      <c r="AZ20" s="4">
        <f>IFERROR(
(INDEX(スコア表[],MATCH($C20,スコア表['#],0),MATCH(AZ$5,スコア表[#Headers],0))
-
INDEX(スコア表2[],MATCH("average",スコア表2[maxmin],0),MATCH(AZ$5,スコア表2[#Headers],0)))
/
INDEX(スコア表2[],MATCH("stdev.p",スコア表2[maxmin],0),MATCH(AZ$5,スコア表2[#Headers],0))
*10+50,"-")</f>
        <v>44.275711965731425</v>
      </c>
      <c r="BA20" s="4">
        <f>IFERROR(
(INDEX(スコア表[],MATCH($C20,スコア表['#],0),MATCH(BA$5,スコア表[#Headers],0))
-
INDEX(スコア表2[],MATCH("average",スコア表2[maxmin],0),MATCH(BA$5,スコア表2[#Headers],0)))
/
INDEX(スコア表2[],MATCH("stdev.p",スコア表2[maxmin],0),MATCH(BA$5,スコア表2[#Headers],0))
*10+50,"-")</f>
        <v>29.622153534041786</v>
      </c>
      <c r="BB20" s="4">
        <f>IFERROR(
(INDEX(スコア表[],MATCH($C20,スコア表['#],0),MATCH(BB$5,スコア表[#Headers],0))
-
INDEX(スコア表2[],MATCH("average",スコア表2[maxmin],0),MATCH(BB$5,スコア表2[#Headers],0)))
/
INDEX(スコア表2[],MATCH("stdev.p",スコア表2[maxmin],0),MATCH(BB$5,スコア表2[#Headers],0))
*10+50,"-")</f>
        <v>30.94112609373861</v>
      </c>
      <c r="BC20" s="4">
        <f>IFERROR(
(INDEX(スコア表[],MATCH($C20,スコア表['#],0),MATCH(BC$5,スコア表[#Headers],0))
-
INDEX(スコア表2[],MATCH("average",スコア表2[maxmin],0),MATCH(BC$5,スコア表2[#Headers],0)))
/
INDEX(スコア表2[],MATCH("stdev.p",スコア表2[maxmin],0),MATCH(BC$5,スコア表2[#Headers],0))
*10+50,"-")</f>
        <v>41.916598167388472</v>
      </c>
      <c r="BD20" s="4">
        <f>IFERROR(
(INDEX(スコア表[],MATCH($C20,スコア表['#],0),MATCH(BD$5,スコア表[#Headers],0))
-
INDEX(スコア表2[],MATCH("average",スコア表2[maxmin],0),MATCH(BD$5,スコア表2[#Headers],0)))
/
INDEX(スコア表2[],MATCH("stdev.p",スコア表2[maxmin],0),MATCH(BD$5,スコア表2[#Headers],0))
*10+50,"-")</f>
        <v>55.463917689965989</v>
      </c>
      <c r="BE20" s="4">
        <f>IFERROR(
(INDEX(スコア表[],MATCH($C20,スコア表['#],0),MATCH(BE$5,スコア表[#Headers],0))
-
INDEX(スコア表2[],MATCH("average",スコア表2[maxmin],0),MATCH(BE$5,スコア表2[#Headers],0)))
/
INDEX(スコア表2[],MATCH("stdev.p",スコア表2[maxmin],0),MATCH(BE$5,スコア表2[#Headers],0))
*10+50,"-")</f>
        <v>48.589171296875996</v>
      </c>
      <c r="BF20" s="4">
        <f>IFERROR(
(INDEX(スコア表[],MATCH($C20,スコア表['#],0),MATCH(BF$5,スコア表[#Headers],0))
-
INDEX(スコア表2[],MATCH("average",スコア表2[maxmin],0),MATCH(BF$5,スコア表2[#Headers],0)))
/
INDEX(スコア表2[],MATCH("stdev.p",スコア表2[maxmin],0),MATCH(BF$5,スコア表2[#Headers],0))
*10+50,"-")</f>
        <v>60.216656704137947</v>
      </c>
      <c r="BG20" s="4">
        <f>IFERROR(
(INDEX(スコア表[],MATCH($C20,スコア表['#],0),MATCH(BG$5,スコア表[#Headers],0))
-
INDEX(スコア表2[],MATCH("average",スコア表2[maxmin],0),MATCH(BG$5,スコア表2[#Headers],0)))
/
INDEX(スコア表2[],MATCH("stdev.p",スコア表2[maxmin],0),MATCH(BG$5,スコア表2[#Headers],0))
*10+50,"-")</f>
        <v>41.006921109324615</v>
      </c>
      <c r="BH20" s="4">
        <f>IFERROR(
(INDEX(スコア表[],MATCH($C20,スコア表['#],0),MATCH(BH$5,スコア表[#Headers],0))
-
INDEX(スコア表2[],MATCH("average",スコア表2[maxmin],0),MATCH(BH$5,スコア表2[#Headers],0)))
/
INDEX(スコア表2[],MATCH("stdev.p",スコア表2[maxmin],0),MATCH(BH$5,スコア表2[#Headers],0))
*10+50,"-")</f>
        <v>46.648006673497918</v>
      </c>
      <c r="BI20" s="4">
        <f>IFERROR(
(INDEX(スコア表[],MATCH($C20,スコア表['#],0),MATCH(BI$5,スコア表[#Headers],0))
-
INDEX(スコア表2[],MATCH("average",スコア表2[maxmin],0),MATCH(BI$5,スコア表2[#Headers],0)))
/
INDEX(スコア表2[],MATCH("stdev.p",スコア表2[maxmin],0),MATCH(BI$5,スコア表2[#Headers],0))
*10+50,"-")</f>
        <v>60.594497036814637</v>
      </c>
      <c r="BJ20" s="4">
        <f>IFERROR(
(INDEX(スコア表[],MATCH($C20,スコア表['#],0),MATCH(BJ$5,スコア表[#Headers],0))
-
INDEX(スコア表2[],MATCH("average",スコア表2[maxmin],0),MATCH(BJ$5,スコア表2[#Headers],0)))
/
INDEX(スコア表2[],MATCH("stdev.p",スコア表2[maxmin],0),MATCH(BJ$5,スコア表2[#Headers],0))
*10+50,"-")</f>
        <v>46.099408384471154</v>
      </c>
      <c r="BK20" s="4">
        <f>IFERROR(
(INDEX(スコア表[],MATCH($C20,スコア表['#],0),MATCH(BK$5,スコア表[#Headers],0))
-
INDEX(スコア表2[],MATCH("average",スコア表2[maxmin],0),MATCH(BK$5,スコア表2[#Headers],0)))
/
INDEX(スコア表2[],MATCH("stdev.p",スコア表2[maxmin],0),MATCH(BK$5,スコア表2[#Headers],0))
*10+50,"-")</f>
        <v>40.092803140905446</v>
      </c>
      <c r="BL20" s="4">
        <f>IFERROR(
(INDEX(スコア表[],MATCH($C20,スコア表['#],0),MATCH(BL$5,スコア表[#Headers],0))
-
INDEX(スコア表2[],MATCH("average",スコア表2[maxmin],0),MATCH(BL$5,スコア表2[#Headers],0)))
/
INDEX(スコア表2[],MATCH("stdev.p",スコア表2[maxmin],0),MATCH(BL$5,スコア表2[#Headers],0))
*10+50,"-")</f>
        <v>50.54543375176204</v>
      </c>
      <c r="BM20" s="4">
        <f>IFERROR(
(INDEX(スコア表[],MATCH($C20,スコア表['#],0),MATCH(BM$5,スコア表[#Headers],0))
-
INDEX(スコア表2[],MATCH("average",スコア表2[maxmin],0),MATCH(BM$5,スコア表2[#Headers],0)))
/
INDEX(スコア表2[],MATCH("stdev.p",スコア表2[maxmin],0),MATCH(BM$5,スコア表2[#Headers],0))
*10+50,"-")</f>
        <v>38.725547628389265</v>
      </c>
      <c r="BN20" s="4">
        <f>IFERROR(
(INDEX(スコア表[],MATCH($C20,スコア表['#],0),MATCH(BN$5,スコア表[#Headers],0))
-
INDEX(スコア表2[],MATCH("average",スコア表2[maxmin],0),MATCH(BN$5,スコア表2[#Headers],0)))
/
INDEX(スコア表2[],MATCH("stdev.p",スコア表2[maxmin],0),MATCH(BN$5,スコア表2[#Headers],0))
*10+50,"-")</f>
        <v>44.515508993412041</v>
      </c>
      <c r="BO20" s="4">
        <f>IFERROR(
(INDEX(スコア表[],MATCH($C20,スコア表['#],0),MATCH(BO$5,スコア表[#Headers],0))
-
INDEX(スコア表2[],MATCH("average",スコア表2[maxmin],0),MATCH(BO$5,スコア表2[#Headers],0)))
/
INDEX(スコア表2[],MATCH("stdev.p",スコア表2[maxmin],0),MATCH(BO$5,スコア表2[#Headers],0))
*10+50,"-")</f>
        <v>60.415370961200921</v>
      </c>
      <c r="BP20" s="4">
        <f>IFERROR(
(INDEX(スコア表[],MATCH($C20,スコア表['#],0),MATCH(BP$5,スコア表[#Headers],0))
-
INDEX(スコア表2[],MATCH("average",スコア表2[maxmin],0),MATCH(BP$5,スコア表2[#Headers],0)))
/
INDEX(スコア表2[],MATCH("stdev.p",スコア表2[maxmin],0),MATCH(BP$5,スコア表2[#Headers],0))
*10+50,"-")</f>
        <v>40.789834854942342</v>
      </c>
      <c r="BQ20" s="4">
        <f>IFERROR(
(INDEX(スコア表[],MATCH($C20,スコア表['#],0),MATCH(BQ$5,スコア表[#Headers],0))
-
INDEX(スコア表2[],MATCH("average",スコア表2[maxmin],0),MATCH(BQ$5,スコア表2[#Headers],0)))
/
INDEX(スコア表2[],MATCH("stdev.p",スコア表2[maxmin],0),MATCH(BQ$5,スコア表2[#Headers],0))
*10+50,"-")</f>
        <v>86.679443566858339</v>
      </c>
      <c r="BR20" s="4">
        <f>IFERROR(
(INDEX(スコア表[],MATCH($C20,スコア表['#],0),MATCH(BR$5,スコア表[#Headers],0))
-
INDEX(スコア表2[],MATCH("average",スコア表2[maxmin],0),MATCH(BR$5,スコア表2[#Headers],0)))
/
INDEX(スコア表2[],MATCH("stdev.p",スコア表2[maxmin],0),MATCH(BR$5,スコア表2[#Headers],0))
*10+50,"-")</f>
        <v>46.332780591245374</v>
      </c>
      <c r="BS20" s="4">
        <f>IFERROR(
(INDEX(スコア表[],MATCH($C20,スコア表['#],0),MATCH(BS$5,スコア表[#Headers],0))
-
INDEX(スコア表2[],MATCH("average",スコア表2[maxmin],0),MATCH(BS$5,スコア表2[#Headers],0)))
/
INDEX(スコア表2[],MATCH("stdev.p",スコア表2[maxmin],0),MATCH(BS$5,スコア表2[#Headers],0))
*10+50,"-")</f>
        <v>57.647958221363659</v>
      </c>
      <c r="BT20" s="4">
        <f>IFERROR(
(INDEX(スコア表[],MATCH($C20,スコア表['#],0),MATCH(BT$5,スコア表[#Headers],0))
-
INDEX(スコア表2[],MATCH("average",スコア表2[maxmin],0),MATCH(BT$5,スコア表2[#Headers],0)))
/
INDEX(スコア表2[],MATCH("stdev.p",スコア表2[maxmin],0),MATCH(BT$5,スコア表2[#Headers],0))
*10+50,"-")</f>
        <v>52.528252508641124</v>
      </c>
      <c r="BU20" s="4">
        <f>IFERROR(
(INDEX(スコア表[],MATCH($C20,スコア表['#],0),MATCH(BU$5,スコア表[#Headers],0))
-
INDEX(スコア表2[],MATCH("average",スコア表2[maxmin],0),MATCH(BU$5,スコア表2[#Headers],0)))
/
INDEX(スコア表2[],MATCH("stdev.p",スコア表2[maxmin],0),MATCH(BU$5,スコア表2[#Headers],0))
*10+50,"-")</f>
        <v>57.876951171023464</v>
      </c>
      <c r="BV20" s="4">
        <f>IFERROR(
(INDEX(スコア表[],MATCH($C20,スコア表['#],0),MATCH(BV$5,スコア表[#Headers],0))
-
INDEX(スコア表2[],MATCH("average",スコア表2[maxmin],0),MATCH(BV$5,スコア表2[#Headers],0)))
/
INDEX(スコア表2[],MATCH("stdev.p",スコア表2[maxmin],0),MATCH(BV$5,スコア表2[#Headers],0))
*10+50,"-")</f>
        <v>36.819222979793864</v>
      </c>
      <c r="BW20" s="4">
        <f>IFERROR(
(INDEX(スコア表[],MATCH($C20,スコア表['#],0),MATCH(BW$5,スコア表[#Headers],0))
-
INDEX(スコア表2[],MATCH("average",スコア表2[maxmin],0),MATCH(BW$5,スコア表2[#Headers],0)))
/
INDEX(スコア表2[],MATCH("stdev.p",スコア表2[maxmin],0),MATCH(BW$5,スコア表2[#Headers],0))
*10+50,"-")</f>
        <v>42.982235196695058</v>
      </c>
      <c r="BX20" s="4">
        <f>IFERROR(
(INDEX(スコア表[],MATCH($C20,スコア表['#],0),MATCH(BX$5,スコア表[#Headers],0))
-
INDEX(スコア表2[],MATCH("average",スコア表2[maxmin],0),MATCH(BX$5,スコア表2[#Headers],0)))
/
INDEX(スコア表2[],MATCH("stdev.p",スコア表2[maxmin],0),MATCH(BX$5,スコア表2[#Headers],0))
*10+50,"-")</f>
        <v>53.849872756578954</v>
      </c>
      <c r="BY20" s="4">
        <f>IFERROR(
(INDEX(スコア表[],MATCH($C20,スコア表['#],0),MATCH(BY$5,スコア表[#Headers],0))
-
INDEX(スコア表2[],MATCH("average",スコア表2[maxmin],0),MATCH(BY$5,スコア表2[#Headers],0)))
/
INDEX(スコア表2[],MATCH("stdev.p",スコア表2[maxmin],0),MATCH(BY$5,スコア表2[#Headers],0))
*10+50,"-")</f>
        <v>64.132850795131162</v>
      </c>
      <c r="BZ20" s="4">
        <f>IFERROR(
(INDEX(スコア表[],MATCH($C20,スコア表['#],0),MATCH(BZ$5,スコア表[#Headers],0))
-
INDEX(スコア表2[],MATCH("average",スコア表2[maxmin],0),MATCH(BZ$5,スコア表2[#Headers],0)))
/
INDEX(スコア表2[],MATCH("stdev.p",スコア表2[maxmin],0),MATCH(BZ$5,スコア表2[#Headers],0))
*10+50,"-")</f>
        <v>59.43794099069769</v>
      </c>
      <c r="CA20" s="4">
        <f>IFERROR(
(INDEX(スコア表[],MATCH($C20,スコア表['#],0),MATCH(CA$5,スコア表[#Headers],0))
-
INDEX(スコア表2[],MATCH("average",スコア表2[maxmin],0),MATCH(CA$5,スコア表2[#Headers],0)))
/
INDEX(スコア表2[],MATCH("stdev.p",スコア表2[maxmin],0),MATCH(CA$5,スコア表2[#Headers],0))
*10+50,"-")</f>
        <v>40.957774855687965</v>
      </c>
      <c r="CB20" s="4">
        <f>IFERROR(
(INDEX(スコア表[],MATCH($C20,スコア表['#],0),MATCH(CB$5,スコア表[#Headers],0))
-
INDEX(スコア表2[],MATCH("average",スコア表2[maxmin],0),MATCH(CB$5,スコア表2[#Headers],0)))
/
INDEX(スコア表2[],MATCH("stdev.p",スコア表2[maxmin],0),MATCH(CB$5,スコア表2[#Headers],0))
*10+50,"-")</f>
        <v>56.174066059289601</v>
      </c>
      <c r="CC20" s="4">
        <f>IFERROR(
(INDEX(スコア表[],MATCH($C20,スコア表['#],0),MATCH(CC$5,スコア表[#Headers],0))
-
INDEX(スコア表2[],MATCH("average",スコア表2[maxmin],0),MATCH(CC$5,スコア表2[#Headers],0)))
/
INDEX(スコア表2[],MATCH("stdev.p",スコア表2[maxmin],0),MATCH(CC$5,スコア表2[#Headers],0))
*10+50,"-")</f>
        <v>78.919382892921561</v>
      </c>
      <c r="CD20" s="4">
        <f>IFERROR(
(INDEX(スコア表[],MATCH($C20,スコア表['#],0),MATCH(CD$5,スコア表[#Headers],0))
-
INDEX(スコア表2[],MATCH("average",スコア表2[maxmin],0),MATCH(CD$5,スコア表2[#Headers],0)))
/
INDEX(スコア表2[],MATCH("stdev.p",スコア表2[maxmin],0),MATCH(CD$5,スコア表2[#Headers],0))
*10+50,"-")</f>
        <v>49.080927892393305</v>
      </c>
      <c r="CE20" s="4">
        <f>IFERROR(
(INDEX(スコア表[],MATCH($C20,スコア表['#],0),MATCH(CE$5,スコア表[#Headers],0))
-
INDEX(スコア表2[],MATCH("average",スコア表2[maxmin],0),MATCH(CE$5,スコア表2[#Headers],0)))
/
INDEX(スコア表2[],MATCH("stdev.p",スコア表2[maxmin],0),MATCH(CE$5,スコア表2[#Headers],0))
*10+50,"-")</f>
        <v>50.555396276114706</v>
      </c>
      <c r="CF20" s="4">
        <f>IFERROR(
(INDEX(スコア表[],MATCH($C20,スコア表['#],0),MATCH(CF$5,スコア表[#Headers],0))
-
INDEX(スコア表2[],MATCH("average",スコア表2[maxmin],0),MATCH(CF$5,スコア表2[#Headers],0)))
/
INDEX(スコア表2[],MATCH("stdev.p",スコア表2[maxmin],0),MATCH(CF$5,スコア表2[#Headers],0))
*10+50,"-")</f>
        <v>56.96393536162622</v>
      </c>
      <c r="CG20" s="4">
        <f>IFERROR(
(INDEX(スコア表[],MATCH($C20,スコア表['#],0),MATCH(CG$5,スコア表[#Headers],0))
-
INDEX(スコア表2[],MATCH("average",スコア表2[maxmin],0),MATCH(CG$5,スコア表2[#Headers],0)))
/
INDEX(スコア表2[],MATCH("stdev.p",スコア表2[maxmin],0),MATCH(CG$5,スコア表2[#Headers],0))
*10+50,"-")</f>
        <v>59.422323993526462</v>
      </c>
      <c r="CH20" s="4">
        <f>IFERROR(
(INDEX(スコア表[],MATCH($C20,スコア表['#],0),MATCH(CH$5,スコア表[#Headers],0))
-
INDEX(スコア表2[],MATCH("average",スコア表2[maxmin],0),MATCH(CH$5,スコア表2[#Headers],0)))
/
INDEX(スコア表2[],MATCH("stdev.p",スコア表2[maxmin],0),MATCH(CH$5,スコア表2[#Headers],0))
*10+50,"-")</f>
        <v>48.126232970989115</v>
      </c>
      <c r="CI20" s="4">
        <f>IFERROR(
(INDEX(スコア表[],MATCH($C20,スコア表['#],0),MATCH(CI$5,スコア表[#Headers],0))
-
INDEX(スコア表2[],MATCH("average",スコア表2[maxmin],0),MATCH(CI$5,スコア表2[#Headers],0)))
/
INDEX(スコア表2[],MATCH("stdev.p",スコア表2[maxmin],0),MATCH(CI$5,スコア表2[#Headers],0))
*10+50,"-")</f>
        <v>44.221198193760962</v>
      </c>
      <c r="CJ20" s="4">
        <f>IFERROR(
(INDEX(スコア表[],MATCH($C20,スコア表['#],0),MATCH(CJ$5,スコア表[#Headers],0))
-
INDEX(スコア表2[],MATCH("average",スコア表2[maxmin],0),MATCH(CJ$5,スコア表2[#Headers],0)))
/
INDEX(スコア表2[],MATCH("stdev.p",スコア表2[maxmin],0),MATCH(CJ$5,スコア表2[#Headers],0))
*10+50,"-")</f>
        <v>47.958961453596821</v>
      </c>
      <c r="CK20" s="4">
        <f>IFERROR(
(INDEX(スコア表[],MATCH($C20,スコア表['#],0),MATCH(CK$5,スコア表[#Headers],0))
-
INDEX(スコア表2[],MATCH("average",スコア表2[maxmin],0),MATCH(CK$5,スコア表2[#Headers],0)))
/
INDEX(スコア表2[],MATCH("stdev.p",スコア表2[maxmin],0),MATCH(CK$5,スコア表2[#Headers],0))
*10+50,"-")</f>
        <v>48.88472160287175</v>
      </c>
      <c r="CL20" s="4">
        <f>IFERROR(
(INDEX(スコア表[],MATCH($C20,スコア表['#],0),MATCH(CL$5,スコア表[#Headers],0))
-
INDEX(スコア表2[],MATCH("average",スコア表2[maxmin],0),MATCH(CL$5,スコア表2[#Headers],0)))
/
INDEX(スコア表2[],MATCH("stdev.p",スコア表2[maxmin],0),MATCH(CL$5,スコア表2[#Headers],0))
*10+50,"-")</f>
        <v>60.323169073553721</v>
      </c>
      <c r="CM20" s="4">
        <f>IFERROR(
(INDEX(スコア表[],MATCH($C20,スコア表['#],0),MATCH(CM$5,スコア表[#Headers],0))
-
INDEX(スコア表2[],MATCH("average",スコア表2[maxmin],0),MATCH(CM$5,スコア表2[#Headers],0)))
/
INDEX(スコア表2[],MATCH("stdev.p",スコア表2[maxmin],0),MATCH(CM$5,スコア表2[#Headers],0))
*10+50,"-")</f>
        <v>44.017032523884708</v>
      </c>
      <c r="CN20" s="4">
        <f>IFERROR(
(INDEX(スコア表[],MATCH($C20,スコア表['#],0),MATCH(CN$5,スコア表[#Headers],0))
-
INDEX(スコア表2[],MATCH("average",スコア表2[maxmin],0),MATCH(CN$5,スコア表2[#Headers],0)))
/
INDEX(スコア表2[],MATCH("stdev.p",スコア表2[maxmin],0),MATCH(CN$5,スコア表2[#Headers],0))
*10+50,"-")</f>
        <v>66.014463831704376</v>
      </c>
      <c r="CO20" s="4">
        <f>IFERROR(
(INDEX(スコア表[],MATCH($C20,スコア表['#],0),MATCH(CO$5,スコア表[#Headers],0))
-
INDEX(スコア表2[],MATCH("average",スコア表2[maxmin],0),MATCH(CO$5,スコア表2[#Headers],0)))
/
INDEX(スコア表2[],MATCH("stdev.p",スコア表2[maxmin],0),MATCH(CO$5,スコア表2[#Headers],0))
*10+50,"-")</f>
        <v>55.589273814697378</v>
      </c>
      <c r="CP20" s="4">
        <f>IFERROR(
(INDEX(スコア表[],MATCH($C20,スコア表['#],0),MATCH(CP$5,スコア表[#Headers],0))
-
INDEX(スコア表2[],MATCH("average",スコア表2[maxmin],0),MATCH(CP$5,スコア表2[#Headers],0)))
/
INDEX(スコア表2[],MATCH("stdev.p",スコア表2[maxmin],0),MATCH(CP$5,スコア表2[#Headers],0))
*10+50,"-")</f>
        <v>52.180144902184544</v>
      </c>
      <c r="CQ20" s="4">
        <f>IFERROR(
(INDEX(スコア表[],MATCH($C20,スコア表['#],0),MATCH(CQ$5,スコア表[#Headers],0))
-
INDEX(スコア表2[],MATCH("average",スコア表2[maxmin],0),MATCH(CQ$5,スコア表2[#Headers],0)))
/
INDEX(スコア表2[],MATCH("stdev.p",スコア表2[maxmin],0),MATCH(CQ$5,スコア表2[#Headers],0))
*10+50,"-")</f>
        <v>28.894711434301993</v>
      </c>
      <c r="CR20" s="4">
        <f>IFERROR(
(INDEX(スコア表[],MATCH($C20,スコア表['#],0),MATCH(CR$5,スコア表[#Headers],0))
-
INDEX(スコア表2[],MATCH("average",スコア表2[maxmin],0),MATCH(CR$5,スコア表2[#Headers],0)))
/
INDEX(スコア表2[],MATCH("stdev.p",スコア表2[maxmin],0),MATCH(CR$5,スコア表2[#Headers],0))
*10+50,"-")</f>
        <v>52.767460611710959</v>
      </c>
      <c r="CS20" s="4">
        <f>IFERROR(
(INDEX(スコア表[],MATCH($C20,スコア表['#],0),MATCH(CS$5,スコア表[#Headers],0))
-
INDEX(スコア表2[],MATCH("average",スコア表2[maxmin],0),MATCH(CS$5,スコア表2[#Headers],0)))
/
INDEX(スコア表2[],MATCH("stdev.p",スコア表2[maxmin],0),MATCH(CS$5,スコア表2[#Headers],0))
*10+50,"-")</f>
        <v>48.895110570553449</v>
      </c>
      <c r="CT20" s="4">
        <f>IFERROR(
(INDEX(スコア表[],MATCH($C20,スコア表['#],0),MATCH(CT$5,スコア表[#Headers],0))
-
INDEX(スコア表2[],MATCH("average",スコア表2[maxmin],0),MATCH(CT$5,スコア表2[#Headers],0)))
/
INDEX(スコア表2[],MATCH("stdev.p",スコア表2[maxmin],0),MATCH(CT$5,スコア表2[#Headers],0))
*10+50,"-")</f>
        <v>41.898765264453303</v>
      </c>
      <c r="CU20" s="4">
        <f>IFERROR(
(INDEX(スコア表[],MATCH($C20,スコア表['#],0),MATCH(CU$5,スコア表[#Headers],0))
-
INDEX(スコア表2[],MATCH("average",スコア表2[maxmin],0),MATCH(CU$5,スコア表2[#Headers],0)))
/
INDEX(スコア表2[],MATCH("stdev.p",スコア表2[maxmin],0),MATCH(CU$5,スコア表2[#Headers],0))
*10+50,"-")</f>
        <v>47.398761460152556</v>
      </c>
      <c r="CV20" s="4">
        <f>IFERROR(
(INDEX(スコア表[],MATCH($C20,スコア表['#],0),MATCH(CV$5,スコア表[#Headers],0))
-
INDEX(スコア表2[],MATCH("average",スコア表2[maxmin],0),MATCH(CV$5,スコア表2[#Headers],0)))
/
INDEX(スコア表2[],MATCH("stdev.p",スコア表2[maxmin],0),MATCH(CV$5,スコア表2[#Headers],0))
*10+50,"-")</f>
        <v>68.023864702435844</v>
      </c>
      <c r="CW20" s="4">
        <f>IFERROR(
(INDEX(スコア表[],MATCH($C20,スコア表['#],0),MATCH(CW$5,スコア表[#Headers],0))
-
INDEX(スコア表2[],MATCH("average",スコア表2[maxmin],0),MATCH(CW$5,スコア表2[#Headers],0)))
/
INDEX(スコア表2[],MATCH("stdev.p",スコア表2[maxmin],0),MATCH(CW$5,スコア表2[#Headers],0))
*10+50,"-")</f>
        <v>51.57382770487856</v>
      </c>
      <c r="CX20" s="4">
        <f>IFERROR(
(INDEX(スコア表[],MATCH($C20,スコア表['#],0),MATCH(CX$5,スコア表[#Headers],0))
-
INDEX(スコア表2[],MATCH("average",スコア表2[maxmin],0),MATCH(CX$5,スコア表2[#Headers],0)))
/
INDEX(スコア表2[],MATCH("stdev.p",スコア表2[maxmin],0),MATCH(CX$5,スコア表2[#Headers],0))
*10+50,"-")</f>
        <v>47.637902044259377</v>
      </c>
      <c r="CY20" s="4">
        <f>IFERROR(
(INDEX(スコア表[],MATCH($C20,スコア表['#],0),MATCH(CY$5,スコア表[#Headers],0))
-
INDEX(スコア表2[],MATCH("average",スコア表2[maxmin],0),MATCH(CY$5,スコア表2[#Headers],0)))
/
INDEX(スコア表2[],MATCH("stdev.p",スコア表2[maxmin],0),MATCH(CY$5,スコア表2[#Headers],0))
*10+50,"-")</f>
        <v>54.012347447524348</v>
      </c>
      <c r="CZ20" s="4">
        <f>IFERROR(
(INDEX(スコア表[],MATCH($C20,スコア表['#],0),MATCH(CZ$5,スコア表[#Headers],0))
-
INDEX(スコア表2[],MATCH("average",スコア表2[maxmin],0),MATCH(CZ$5,スコア表2[#Headers],0)))
/
INDEX(スコア表2[],MATCH("stdev.p",スコア表2[maxmin],0),MATCH(CZ$5,スコア表2[#Headers],0))
*10+50,"-")</f>
        <v>57.34851343747313</v>
      </c>
      <c r="DA20" s="4">
        <f>IFERROR(
(INDEX(スコア表[],MATCH($C20,スコア表['#],0),MATCH(DA$5,スコア表[#Headers],0))
-
INDEX(スコア表2[],MATCH("average",スコア表2[maxmin],0),MATCH(DA$5,スコア表2[#Headers],0)))
/
INDEX(スコア表2[],MATCH("stdev.p",スコア表2[maxmin],0),MATCH(DA$5,スコア表2[#Headers],0))
*10+50,"-")</f>
        <v>55.271936907682658</v>
      </c>
      <c r="DB20" s="4">
        <f>IFERROR(
(INDEX(スコア表[],MATCH($C20,スコア表['#],0),MATCH(DB$5,スコア表[#Headers],0))
-
INDEX(スコア表2[],MATCH("average",スコア表2[maxmin],0),MATCH(DB$5,スコア表2[#Headers],0)))
/
INDEX(スコア表2[],MATCH("stdev.p",スコア表2[maxmin],0),MATCH(DB$5,スコア表2[#Headers],0))
*10+50,"-")</f>
        <v>49.125257685917532</v>
      </c>
      <c r="DC20" s="4">
        <f>IFERROR(
(INDEX(スコア表[],MATCH($C20,スコア表['#],0),MATCH(DC$5,スコア表[#Headers],0))
-
INDEX(スコア表2[],MATCH("average",スコア表2[maxmin],0),MATCH(DC$5,スコア表2[#Headers],0)))
/
INDEX(スコア表2[],MATCH("stdev.p",スコア表2[maxmin],0),MATCH(DC$5,スコア表2[#Headers],0))
*10+50,"-")</f>
        <v>49.119400343246554</v>
      </c>
      <c r="DD20" s="4">
        <f>IFERROR(
(INDEX(スコア表[],MATCH($C20,スコア表['#],0),MATCH(DD$5,スコア表[#Headers],0))
-
INDEX(スコア表2[],MATCH("average",スコア表2[maxmin],0),MATCH(DD$5,スコア表2[#Headers],0)))
/
INDEX(スコア表2[],MATCH("stdev.p",スコア表2[maxmin],0),MATCH(DD$5,スコア表2[#Headers],0))
*10+50,"-")</f>
        <v>45.045379391631599</v>
      </c>
      <c r="DE20" s="4">
        <f>IFERROR(
(INDEX(スコア表[],MATCH($C20,スコア表['#],0),MATCH(DE$5,スコア表[#Headers],0))
-
INDEX(スコア表2[],MATCH("average",スコア表2[maxmin],0),MATCH(DE$5,スコア表2[#Headers],0)))
/
INDEX(スコア表2[],MATCH("stdev.p",スコア表2[maxmin],0),MATCH(DE$5,スコア表2[#Headers],0))
*10+50,"-")</f>
        <v>59.2232653328468</v>
      </c>
      <c r="DF20" s="76">
        <f>IFERROR(
(INDEX(スコア表[],MATCH($C20,スコア表['#],0),MATCH(DF$5,スコア表[#Headers],0))
-
INDEX(スコア表2[],MATCH("average",スコア表2[maxmin],0),MATCH(DF$5,スコア表2[#Headers],0)))
/
INDEX(スコア表2[],MATCH("stdev.p",スコア表2[maxmin],0),MATCH(DF$5,スコア表2[#Headers],0))
*10+50,"-")</f>
        <v>54.272331972622659</v>
      </c>
      <c r="DG20" s="4">
        <f>IFERROR(_xlfn.STDEV.P(偏差値表[[#This Row],[Economy]:[Accessibility]]),"")</f>
        <v>5.079037638523471</v>
      </c>
    </row>
    <row r="21" spans="1:111">
      <c r="A21" s="2">
        <v>16</v>
      </c>
      <c r="B21" s="58">
        <f>INDEX(順位表[Comprehensive],MATCH($C21,順位表['#],0))</f>
        <v>16</v>
      </c>
      <c r="C21" s="3">
        <v>14</v>
      </c>
      <c r="D21" s="1" t="str">
        <f>INDEX(都市マスタ[City Name],MATCH($C21,都市マスタ['#],0))</f>
        <v>Stockholm</v>
      </c>
      <c r="E21" s="4">
        <f>IFERROR(
(INDEX(スコア表[],MATCH($C21,スコア表['#],0),MATCH(E$5,スコア表[#Headers],0))
-
INDEX(スコア表2[],MATCH("average",スコア表2[maxmin],0),MATCH(E$5,スコア表2[#Headers],0)))
/
INDEX(スコア表2[],MATCH("stdev.p",スコア表2[maxmin],0),MATCH(E$5,スコア表2[#Headers],0))
*10+50,"-")</f>
        <v>42.248795697029003</v>
      </c>
      <c r="F21" s="4">
        <f>IFERROR(
(INDEX(スコア表[],MATCH($C21,スコア表['#],0),MATCH(F$5,スコア表[#Headers],0))
-
INDEX(スコア表2[],MATCH("average",スコア表2[maxmin],0),MATCH(F$5,スコア表2[#Headers],0)))
/
INDEX(スコア表2[],MATCH("stdev.p",スコア表2[maxmin],0),MATCH(F$5,スコア表2[#Headers],0))
*10+50,"-")</f>
        <v>45.350064985883193</v>
      </c>
      <c r="G21" s="4">
        <f>IFERROR(
(INDEX(スコア表[],MATCH($C21,スコア表['#],0),MATCH(G$5,スコア表[#Headers],0))
-
INDEX(スコア表2[],MATCH("average",スコア表2[maxmin],0),MATCH(G$5,スコア表2[#Headers],0)))
/
INDEX(スコア表2[],MATCH("stdev.p",スコア表2[maxmin],0),MATCH(G$5,スコア表2[#Headers],0))
*10+50,"-")</f>
        <v>48.375707197697139</v>
      </c>
      <c r="H21" s="4">
        <f>IFERROR(
(INDEX(スコア表[],MATCH($C21,スコア表['#],0),MATCH(H$5,スコア表[#Headers],0))
-
INDEX(スコア表2[],MATCH("average",スコア表2[maxmin],0),MATCH(H$5,スコア表2[#Headers],0)))
/
INDEX(スコア表2[],MATCH("stdev.p",スコア表2[maxmin],0),MATCH(H$5,スコア表2[#Headers],0))
*10+50,"-")</f>
        <v>43.530119242141502</v>
      </c>
      <c r="I21" s="4">
        <f>IFERROR(
(INDEX(スコア表[],MATCH($C21,スコア表['#],0),MATCH(I$5,スコア表[#Headers],0))
-
INDEX(スコア表2[],MATCH("average",スコア表2[maxmin],0),MATCH(I$5,スコア表2[#Headers],0)))
/
INDEX(スコア表2[],MATCH("stdev.p",スコア表2[maxmin],0),MATCH(I$5,スコア表2[#Headers],0))
*10+50,"-")</f>
        <v>52.646110213604778</v>
      </c>
      <c r="J21" s="4">
        <f>IFERROR(
(INDEX(スコア表[],MATCH($C21,スコア表['#],0),MATCH(J$5,スコア表[#Headers],0))
-
INDEX(スコア表2[],MATCH("average",スコア表2[maxmin],0),MATCH(J$5,スコア表2[#Headers],0)))
/
INDEX(スコア表2[],MATCH("stdev.p",スコア表2[maxmin],0),MATCH(J$5,スコア表2[#Headers],0))
*10+50,"-")</f>
        <v>50.083643976231627</v>
      </c>
      <c r="K21" s="4">
        <f>IFERROR(
(INDEX(スコア表[],MATCH($C21,スコア表['#],0),MATCH(K$5,スコア表[#Headers],0))
-
INDEX(スコア表2[],MATCH("average",スコア表2[maxmin],0),MATCH(K$5,スコア表2[#Headers],0)))
/
INDEX(スコア表2[],MATCH("stdev.p",スコア表2[maxmin],0),MATCH(K$5,スコア表2[#Headers],0))
*10+50,"-")</f>
        <v>59.950109345684112</v>
      </c>
      <c r="L21" s="4">
        <f>IFERROR(
(INDEX(スコア表[],MATCH($C21,スコア表['#],0),MATCH(L$5,スコア表[#Headers],0))
-
INDEX(スコア表2[],MATCH("average",スコア表2[maxmin],0),MATCH(L$5,スコア表2[#Headers],0)))
/
INDEX(スコア表2[],MATCH("stdev.p",スコア表2[maxmin],0),MATCH(L$5,スコア表2[#Headers],0))
*10+50,"-")</f>
        <v>48.405865705734527</v>
      </c>
      <c r="M21" s="4">
        <f>IFERROR(
(INDEX(スコア表[],MATCH($C21,スコア表['#],0),MATCH(M$5,スコア表[#Headers],0))
-
INDEX(スコア表2[],MATCH("average",スコア表2[maxmin],0),MATCH(M$5,スコア表2[#Headers],0)))
/
INDEX(スコア表2[],MATCH("stdev.p",スコア表2[maxmin],0),MATCH(M$5,スコア表2[#Headers],0))
*10+50,"-")</f>
        <v>45.544318921595732</v>
      </c>
      <c r="N21" s="4">
        <f>IFERROR(
(INDEX(スコア表[],MATCH($C21,スコア表['#],0),MATCH(N$5,スコア表[#Headers],0))
-
INDEX(スコア表2[],MATCH("average",スコア表2[maxmin],0),MATCH(N$5,スコア表2[#Headers],0)))
/
INDEX(スコア表2[],MATCH("stdev.p",スコア表2[maxmin],0),MATCH(N$5,スコア表2[#Headers],0))
*10+50,"-")</f>
        <v>42.49027196150201</v>
      </c>
      <c r="O21" s="4">
        <f>IFERROR(
(INDEX(スコア表[],MATCH($C21,スコア表['#],0),MATCH(O$5,スコア表[#Headers],0))
-
INDEX(スコア表2[],MATCH("average",スコア表2[maxmin],0),MATCH(O$5,スコア表2[#Headers],0)))
/
INDEX(スコア表2[],MATCH("stdev.p",スコア表2[maxmin],0),MATCH(O$5,スコア表2[#Headers],0))
*10+50,"-")</f>
        <v>57.418965026069955</v>
      </c>
      <c r="P21" s="4">
        <f>IFERROR(
(INDEX(スコア表[],MATCH($C21,スコア表['#],0),MATCH(P$5,スコア表[#Headers],0))
-
INDEX(スコア表2[],MATCH("average",スコア表2[maxmin],0),MATCH(P$5,スコア表2[#Headers],0)))
/
INDEX(スコア表2[],MATCH("stdev.p",スコア表2[maxmin],0),MATCH(P$5,スコア表2[#Headers],0))
*10+50,"-")</f>
        <v>51.146907673098859</v>
      </c>
      <c r="Q21" s="4">
        <f>IFERROR(
(INDEX(スコア表[],MATCH($C21,スコア表['#],0),MATCH(Q$5,スコア表[#Headers],0))
-
INDEX(スコア表2[],MATCH("average",スコア表2[maxmin],0),MATCH(Q$5,スコア表2[#Headers],0)))
/
INDEX(スコア表2[],MATCH("stdev.p",スコア表2[maxmin],0),MATCH(Q$5,スコア表2[#Headers],0))
*10+50,"-")</f>
        <v>56.829756050549435</v>
      </c>
      <c r="R21" s="4">
        <f>IFERROR(
(INDEX(スコア表[],MATCH($C21,スコア表['#],0),MATCH(R$5,スコア表[#Headers],0))
-
INDEX(スコア表2[],MATCH("average",スコア表2[maxmin],0),MATCH(R$5,スコア表2[#Headers],0)))
/
INDEX(スコア表2[],MATCH("stdev.p",スコア表2[maxmin],0),MATCH(R$5,スコア表2[#Headers],0))
*10+50,"-")</f>
        <v>46.457758035493903</v>
      </c>
      <c r="S21" s="4">
        <f>IFERROR(
(INDEX(スコア表[],MATCH($C21,スコア表['#],0),MATCH(S$5,スコア表[#Headers],0))
-
INDEX(スコア表2[],MATCH("average",スコア表2[maxmin],0),MATCH(S$5,スコア表2[#Headers],0)))
/
INDEX(スコア表2[],MATCH("stdev.p",スコア表2[maxmin],0),MATCH(S$5,スコア表2[#Headers],0))
*10+50,"-")</f>
        <v>57.813497817161362</v>
      </c>
      <c r="T21" s="4">
        <f>IFERROR(
(INDEX(スコア表[],MATCH($C21,スコア表['#],0),MATCH(T$5,スコア表[#Headers],0))
-
INDEX(スコア表2[],MATCH("average",スコア表2[maxmin],0),MATCH(T$5,スコア表2[#Headers],0)))
/
INDEX(スコア表2[],MATCH("stdev.p",スコア表2[maxmin],0),MATCH(T$5,スコア表2[#Headers],0))
*10+50,"-")</f>
        <v>56.16895436781914</v>
      </c>
      <c r="U21" s="4">
        <f>IFERROR(
(INDEX(スコア表[],MATCH($C21,スコア表['#],0),MATCH(U$5,スコア表[#Headers],0))
-
INDEX(スコア表2[],MATCH("average",スコア表2[maxmin],0),MATCH(U$5,スコア表2[#Headers],0)))
/
INDEX(スコア表2[],MATCH("stdev.p",スコア表2[maxmin],0),MATCH(U$5,スコア表2[#Headers],0))
*10+50,"-")</f>
        <v>45.030057747588486</v>
      </c>
      <c r="V21" s="4">
        <f>IFERROR(
(INDEX(スコア表[],MATCH($C21,スコア表['#],0),MATCH(V$5,スコア表[#Headers],0))
-
INDEX(スコア表2[],MATCH("average",スコア表2[maxmin],0),MATCH(V$5,スコア表2[#Headers],0)))
/
INDEX(スコア表2[],MATCH("stdev.p",スコア表2[maxmin],0),MATCH(V$5,スコア表2[#Headers],0))
*10+50,"-")</f>
        <v>51.014820418115022</v>
      </c>
      <c r="W21" s="4">
        <f>IFERROR(
(INDEX(スコア表[],MATCH($C21,スコア表['#],0),MATCH(W$5,スコア表[#Headers],0))
-
INDEX(スコア表2[],MATCH("average",スコア表2[maxmin],0),MATCH(W$5,スコア表2[#Headers],0)))
/
INDEX(スコア表2[],MATCH("stdev.p",スコア表2[maxmin],0),MATCH(W$5,スコア表2[#Headers],0))
*10+50,"-")</f>
        <v>46.276263621518616</v>
      </c>
      <c r="X21" s="4">
        <f>IFERROR(
(INDEX(スコア表[],MATCH($C21,スコア表['#],0),MATCH(X$5,スコア表[#Headers],0))
-
INDEX(スコア表2[],MATCH("average",スコア表2[maxmin],0),MATCH(X$5,スコア表2[#Headers],0)))
/
INDEX(スコア表2[],MATCH("stdev.p",スコア表2[maxmin],0),MATCH(X$5,スコア表2[#Headers],0))
*10+50,"-")</f>
        <v>43.879087687603281</v>
      </c>
      <c r="Y21" s="4">
        <f>IFERROR(
(INDEX(スコア表[],MATCH($C21,スコア表['#],0),MATCH(Y$5,スコア表[#Headers],0))
-
INDEX(スコア表2[],MATCH("average",スコア表2[maxmin],0),MATCH(Y$5,スコア表2[#Headers],0)))
/
INDEX(スコア表2[],MATCH("stdev.p",スコア表2[maxmin],0),MATCH(Y$5,スコア表2[#Headers],0))
*10+50,"-")</f>
        <v>53.904923584096792</v>
      </c>
      <c r="Z21" s="4">
        <f>IFERROR(
(INDEX(スコア表[],MATCH($C21,スコア表['#],0),MATCH(Z$5,スコア表[#Headers],0))
-
INDEX(スコア表2[],MATCH("average",スコア表2[maxmin],0),MATCH(Z$5,スコア表2[#Headers],0)))
/
INDEX(スコア表2[],MATCH("stdev.p",スコア表2[maxmin],0),MATCH(Z$5,スコア表2[#Headers],0))
*10+50,"-")</f>
        <v>44.101759734848301</v>
      </c>
      <c r="AA21" s="4">
        <f>IFERROR(
(INDEX(スコア表[],MATCH($C21,スコア表['#],0),MATCH(AA$5,スコア表[#Headers],0))
-
INDEX(スコア表2[],MATCH("average",スコア表2[maxmin],0),MATCH(AA$5,スコア表2[#Headers],0)))
/
INDEX(スコア表2[],MATCH("stdev.p",スコア表2[maxmin],0),MATCH(AA$5,スコア表2[#Headers],0))
*10+50,"-")</f>
        <v>46.393945933633859</v>
      </c>
      <c r="AB21" s="4">
        <f>IFERROR(
(INDEX(スコア表[],MATCH($C21,スコア表['#],0),MATCH(AB$5,スコア表[#Headers],0))
-
INDEX(スコア表2[],MATCH("average",スコア表2[maxmin],0),MATCH(AB$5,スコア表2[#Headers],0)))
/
INDEX(スコア表2[],MATCH("stdev.p",スコア表2[maxmin],0),MATCH(AB$5,スコア表2[#Headers],0))
*10+50,"-")</f>
        <v>47.836338847207628</v>
      </c>
      <c r="AC21" s="4">
        <f>IFERROR(
(INDEX(スコア表[],MATCH($C21,スコア表['#],0),MATCH(AC$5,スコア表[#Headers],0))
-
INDEX(スコア表2[],MATCH("average",スコア表2[maxmin],0),MATCH(AC$5,スコア表2[#Headers],0)))
/
INDEX(スコア表2[],MATCH("stdev.p",スコア表2[maxmin],0),MATCH(AC$5,スコア表2[#Headers],0))
*10+50,"-")</f>
        <v>49.330627315320207</v>
      </c>
      <c r="AD21" s="4">
        <f>IFERROR(
(INDEX(スコア表[],MATCH($C21,スコア表['#],0),MATCH(AD$5,スコア表[#Headers],0))
-
INDEX(スコア表2[],MATCH("average",スコア表2[maxmin],0),MATCH(AD$5,スコア表2[#Headers],0)))
/
INDEX(スコア表2[],MATCH("stdev.p",スコア表2[maxmin],0),MATCH(AD$5,スコア表2[#Headers],0))
*10+50,"-")</f>
        <v>53.064972063990716</v>
      </c>
      <c r="AE21" s="4">
        <f>IFERROR(
(INDEX(スコア表[],MATCH($C21,スコア表['#],0),MATCH(AE$5,スコア表[#Headers],0))
-
INDEX(スコア表2[],MATCH("average",スコア表2[maxmin],0),MATCH(AE$5,スコア表2[#Headers],0)))
/
INDEX(スコア表2[],MATCH("stdev.p",スコア表2[maxmin],0),MATCH(AE$5,スコア表2[#Headers],0))
*10+50,"-")</f>
        <v>65.744230684929605</v>
      </c>
      <c r="AF21" s="4">
        <f>IFERROR(
(INDEX(スコア表[],MATCH($C21,スコア表['#],0),MATCH(AF$5,スコア表[#Headers],0))
-
INDEX(スコア表2[],MATCH("average",スコア表2[maxmin],0),MATCH(AF$5,スコア表2[#Headers],0)))
/
INDEX(スコア表2[],MATCH("stdev.p",スコア表2[maxmin],0),MATCH(AF$5,スコア表2[#Headers],0))
*10+50,"-")</f>
        <v>47.296617238693564</v>
      </c>
      <c r="AG21" s="4">
        <f>IFERROR(
(INDEX(スコア表[],MATCH($C21,スコア表['#],0),MATCH(AG$5,スコア表[#Headers],0))
-
INDEX(スコア表2[],MATCH("average",スコア表2[maxmin],0),MATCH(AG$5,スコア表2[#Headers],0)))
/
INDEX(スコア表2[],MATCH("stdev.p",スコア表2[maxmin],0),MATCH(AG$5,スコア表2[#Headers],0))
*10+50,"-")</f>
        <v>43.574797147341577</v>
      </c>
      <c r="AH21" s="4">
        <f>IFERROR(
(INDEX(スコア表[],MATCH($C21,スコア表['#],0),MATCH(AH$5,スコア表[#Headers],0))
-
INDEX(スコア表2[],MATCH("average",スコア表2[maxmin],0),MATCH(AH$5,スコア表2[#Headers],0)))
/
INDEX(スコア表2[],MATCH("stdev.p",スコア表2[maxmin],0),MATCH(AH$5,スコア表2[#Headers],0))
*10+50,"-")</f>
        <v>46.727657634345938</v>
      </c>
      <c r="AI21" s="4">
        <f>IFERROR(
(INDEX(スコア表[],MATCH($C21,スコア表['#],0),MATCH(AI$5,スコア表[#Headers],0))
-
INDEX(スコア表2[],MATCH("average",スコア表2[maxmin],0),MATCH(AI$5,スコア表2[#Headers],0)))
/
INDEX(スコア表2[],MATCH("stdev.p",スコア表2[maxmin],0),MATCH(AI$5,スコア表2[#Headers],0))
*10+50,"-")</f>
        <v>41.171724120370811</v>
      </c>
      <c r="AJ21" s="4">
        <f>IFERROR(
(INDEX(スコア表[],MATCH($C21,スコア表['#],0),MATCH(AJ$5,スコア表[#Headers],0))
-
INDEX(スコア表2[],MATCH("average",スコア表2[maxmin],0),MATCH(AJ$5,スコア表2[#Headers],0)))
/
INDEX(スコア表2[],MATCH("stdev.p",スコア表2[maxmin],0),MATCH(AJ$5,スコア表2[#Headers],0))
*10+50,"-")</f>
        <v>46.116607041108267</v>
      </c>
      <c r="AK21" s="4">
        <f>IFERROR(
(INDEX(スコア表[],MATCH($C21,スコア表['#],0),MATCH(AK$5,スコア表[#Headers],0))
-
INDEX(スコア表2[],MATCH("average",スコア表2[maxmin],0),MATCH(AK$5,スコア表2[#Headers],0)))
/
INDEX(スコア表2[],MATCH("stdev.p",スコア表2[maxmin],0),MATCH(AK$5,スコア表2[#Headers],0))
*10+50,"-")</f>
        <v>49.210166895492968</v>
      </c>
      <c r="AL21" s="4">
        <f>IFERROR(
(INDEX(スコア表[],MATCH($C21,スコア表['#],0),MATCH(AL$5,スコア表[#Headers],0))
-
INDEX(スコア表2[],MATCH("average",スコア表2[maxmin],0),MATCH(AL$5,スコア表2[#Headers],0)))
/
INDEX(スコア表2[],MATCH("stdev.p",スコア表2[maxmin],0),MATCH(AL$5,スコア表2[#Headers],0))
*10+50,"-")</f>
        <v>44.054187174868872</v>
      </c>
      <c r="AM21" s="4">
        <f>IFERROR(
(INDEX(スコア表[],MATCH($C21,スコア表['#],0),MATCH(AM$5,スコア表[#Headers],0))
-
INDEX(スコア表2[],MATCH("average",スコア表2[maxmin],0),MATCH(AM$5,スコア表2[#Headers],0)))
/
INDEX(スコア表2[],MATCH("stdev.p",スコア表2[maxmin],0),MATCH(AM$5,スコア表2[#Headers],0))
*10+50,"-")</f>
        <v>43.001301038981346</v>
      </c>
      <c r="AN21" s="4">
        <f>IFERROR(
(INDEX(スコア表[],MATCH($C21,スコア表['#],0),MATCH(AN$5,スコア表[#Headers],0))
-
INDEX(スコア表2[],MATCH("average",スコア表2[maxmin],0),MATCH(AN$5,スコア表2[#Headers],0)))
/
INDEX(スコア表2[],MATCH("stdev.p",スコア表2[maxmin],0),MATCH(AN$5,スコア表2[#Headers],0))
*10+50,"-")</f>
        <v>42.348164655013321</v>
      </c>
      <c r="AO21" s="4">
        <f>IFERROR(
(INDEX(スコア表[],MATCH($C21,スコア表['#],0),MATCH(AO$5,スコア表[#Headers],0))
-
INDEX(スコア表2[],MATCH("average",スコア表2[maxmin],0),MATCH(AO$5,スコア表2[#Headers],0)))
/
INDEX(スコア表2[],MATCH("stdev.p",スコア表2[maxmin],0),MATCH(AO$5,スコア表2[#Headers],0))
*10+50,"-")</f>
        <v>38.33339757574258</v>
      </c>
      <c r="AP21" s="4">
        <f>IFERROR(
(INDEX(スコア表[],MATCH($C21,スコア表['#],0),MATCH(AP$5,スコア表[#Headers],0))
-
INDEX(スコア表2[],MATCH("average",スコア表2[maxmin],0),MATCH(AP$5,スコア表2[#Headers],0)))
/
INDEX(スコア表2[],MATCH("stdev.p",スコア表2[maxmin],0),MATCH(AP$5,スコア表2[#Headers],0))
*10+50,"-")</f>
        <v>40.602525592201587</v>
      </c>
      <c r="AQ21" s="4">
        <f>IFERROR(
(INDEX(スコア表[],MATCH($C21,スコア表['#],0),MATCH(AQ$5,スコア表[#Headers],0))
-
INDEX(スコア表2[],MATCH("average",スコア表2[maxmin],0),MATCH(AQ$5,スコア表2[#Headers],0)))
/
INDEX(スコア表2[],MATCH("stdev.p",スコア表2[maxmin],0),MATCH(AQ$5,スコア表2[#Headers],0))
*10+50,"-")</f>
        <v>44.08369743093111</v>
      </c>
      <c r="AR21" s="4">
        <f>IFERROR(
(INDEX(スコア表[],MATCH($C21,スコア表['#],0),MATCH(AR$5,スコア表[#Headers],0))
-
INDEX(スコア表2[],MATCH("average",スコア表2[maxmin],0),MATCH(AR$5,スコア表2[#Headers],0)))
/
INDEX(スコア表2[],MATCH("stdev.p",スコア表2[maxmin],0),MATCH(AR$5,スコア表2[#Headers],0))
*10+50,"-")</f>
        <v>54.306792409496005</v>
      </c>
      <c r="AS21" s="4">
        <f>IFERROR(
(INDEX(スコア表[],MATCH($C21,スコア表['#],0),MATCH(AS$5,スコア表[#Headers],0))
-
INDEX(スコア表2[],MATCH("average",スコア表2[maxmin],0),MATCH(AS$5,スコア表2[#Headers],0)))
/
INDEX(スコア表2[],MATCH("stdev.p",スコア表2[maxmin],0),MATCH(AS$5,スコア表2[#Headers],0))
*10+50,"-")</f>
        <v>46.435428756590468</v>
      </c>
      <c r="AT21" s="4">
        <f>IFERROR(
(INDEX(スコア表[],MATCH($C21,スコア表['#],0),MATCH(AT$5,スコア表[#Headers],0))
-
INDEX(スコア表2[],MATCH("average",スコア表2[maxmin],0),MATCH(AT$5,スコア表2[#Headers],0)))
/
INDEX(スコア表2[],MATCH("stdev.p",スコア表2[maxmin],0),MATCH(AT$5,スコア表2[#Headers],0))
*10+50,"-")</f>
        <v>57.879544631724933</v>
      </c>
      <c r="AU21" s="4">
        <f>IFERROR(
(INDEX(スコア表[],MATCH($C21,スコア表['#],0),MATCH(AU$5,スコア表[#Headers],0))
-
INDEX(スコア表2[],MATCH("average",スコア表2[maxmin],0),MATCH(AU$5,スコア表2[#Headers],0)))
/
INDEX(スコア表2[],MATCH("stdev.p",スコア表2[maxmin],0),MATCH(AU$5,スコア表2[#Headers],0))
*10+50,"-")</f>
        <v>50.367906012299393</v>
      </c>
      <c r="AV21" s="4">
        <f>IFERROR(
(INDEX(スコア表[],MATCH($C21,スコア表['#],0),MATCH(AV$5,スコア表[#Headers],0))
-
INDEX(スコア表2[],MATCH("average",スコア表2[maxmin],0),MATCH(AV$5,スコア表2[#Headers],0)))
/
INDEX(スコア表2[],MATCH("stdev.p",スコア表2[maxmin],0),MATCH(AV$5,スコア表2[#Headers],0))
*10+50,"-")</f>
        <v>50.662464800581617</v>
      </c>
      <c r="AW21" s="4">
        <f>IFERROR(
(INDEX(スコア表[],MATCH($C21,スコア表['#],0),MATCH(AW$5,スコア表[#Headers],0))
-
INDEX(スコア表2[],MATCH("average",スコア表2[maxmin],0),MATCH(AW$5,スコア表2[#Headers],0)))
/
INDEX(スコア表2[],MATCH("stdev.p",スコア表2[maxmin],0),MATCH(AW$5,スコア表2[#Headers],0))
*10+50,"-")</f>
        <v>47.908960287502389</v>
      </c>
      <c r="AX21" s="4">
        <f>IFERROR(
(INDEX(スコア表[],MATCH($C21,スコア表['#],0),MATCH(AX$5,スコア表[#Headers],0))
-
INDEX(スコア表2[],MATCH("average",スコア表2[maxmin],0),MATCH(AX$5,スコア表2[#Headers],0)))
/
INDEX(スコア表2[],MATCH("stdev.p",スコア表2[maxmin],0),MATCH(AX$5,スコア表2[#Headers],0))
*10+50,"-")</f>
        <v>49.518966792409678</v>
      </c>
      <c r="AY21" s="4">
        <f>IFERROR(
(INDEX(スコア表[],MATCH($C21,スコア表['#],0),MATCH(AY$5,スコア表[#Headers],0))
-
INDEX(スコア表2[],MATCH("average",スコア表2[maxmin],0),MATCH(AY$5,スコア表2[#Headers],0)))
/
INDEX(スコア表2[],MATCH("stdev.p",スコア表2[maxmin],0),MATCH(AY$5,スコア表2[#Headers],0))
*10+50,"-")</f>
        <v>54.234761160025627</v>
      </c>
      <c r="AZ21" s="4">
        <f>IFERROR(
(INDEX(スコア表[],MATCH($C21,スコア表['#],0),MATCH(AZ$5,スコア表[#Headers],0))
-
INDEX(スコア表2[],MATCH("average",スコア表2[maxmin],0),MATCH(AZ$5,スコア表2[#Headers],0)))
/
INDEX(スコア表2[],MATCH("stdev.p",スコア表2[maxmin],0),MATCH(AZ$5,スコア表2[#Headers],0))
*10+50,"-")</f>
        <v>56.112670181601672</v>
      </c>
      <c r="BA21" s="4">
        <f>IFERROR(
(INDEX(スコア表[],MATCH($C21,スコア表['#],0),MATCH(BA$5,スコア表[#Headers],0))
-
INDEX(スコア表2[],MATCH("average",スコア表2[maxmin],0),MATCH(BA$5,スコア表2[#Headers],0)))
/
INDEX(スコア表2[],MATCH("stdev.p",スコア表2[maxmin],0),MATCH(BA$5,スコア表2[#Headers],0))
*10+50,"-")</f>
        <v>63.009297369040951</v>
      </c>
      <c r="BB21" s="4">
        <f>IFERROR(
(INDEX(スコア表[],MATCH($C21,スコア表['#],0),MATCH(BB$5,スコア表[#Headers],0))
-
INDEX(スコア表2[],MATCH("average",スコア表2[maxmin],0),MATCH(BB$5,スコア表2[#Headers],0)))
/
INDEX(スコア表2[],MATCH("stdev.p",スコア表2[maxmin],0),MATCH(BB$5,スコア表2[#Headers],0))
*10+50,"-")</f>
        <v>51.443413368895285</v>
      </c>
      <c r="BC21" s="4">
        <f>IFERROR(
(INDEX(スコア表[],MATCH($C21,スコア表['#],0),MATCH(BC$5,スコア表[#Headers],0))
-
INDEX(スコア表2[],MATCH("average",スコア表2[maxmin],0),MATCH(BC$5,スコア表2[#Headers],0)))
/
INDEX(スコア表2[],MATCH("stdev.p",スコア表2[maxmin],0),MATCH(BC$5,スコア表2[#Headers],0))
*10+50,"-")</f>
        <v>70.474591502733574</v>
      </c>
      <c r="BD21" s="4">
        <f>IFERROR(
(INDEX(スコア表[],MATCH($C21,スコア表['#],0),MATCH(BD$5,スコア表[#Headers],0))
-
INDEX(スコア表2[],MATCH("average",スコア表2[maxmin],0),MATCH(BD$5,スコア表2[#Headers],0)))
/
INDEX(スコア表2[],MATCH("stdev.p",スコア表2[maxmin],0),MATCH(BD$5,スコア表2[#Headers],0))
*10+50,"-")</f>
        <v>55.161307497288902</v>
      </c>
      <c r="BE21" s="4">
        <f>IFERROR(
(INDEX(スコア表[],MATCH($C21,スコア表['#],0),MATCH(BE$5,スコア表[#Headers],0))
-
INDEX(スコア表2[],MATCH("average",スコア表2[maxmin],0),MATCH(BE$5,スコア表2[#Headers],0)))
/
INDEX(スコア表2[],MATCH("stdev.p",スコア表2[maxmin],0),MATCH(BE$5,スコア表2[#Headers],0))
*10+50,"-")</f>
        <v>35.570757578165058</v>
      </c>
      <c r="BF21" s="4">
        <f>IFERROR(
(INDEX(スコア表[],MATCH($C21,スコア表['#],0),MATCH(BF$5,スコア表[#Headers],0))
-
INDEX(スコア表2[],MATCH("average",スコア表2[maxmin],0),MATCH(BF$5,スコア表2[#Headers],0)))
/
INDEX(スコア表2[],MATCH("stdev.p",スコア表2[maxmin],0),MATCH(BF$5,スコア表2[#Headers],0))
*10+50,"-")</f>
        <v>42.372351114931043</v>
      </c>
      <c r="BG21" s="4">
        <f>IFERROR(
(INDEX(スコア表[],MATCH($C21,スコア表['#],0),MATCH(BG$5,スコア表[#Headers],0))
-
INDEX(スコア表2[],MATCH("average",スコア表2[maxmin],0),MATCH(BG$5,スコア表2[#Headers],0)))
/
INDEX(スコア表2[],MATCH("stdev.p",スコア表2[maxmin],0),MATCH(BG$5,スコア表2[#Headers],0))
*10+50,"-")</f>
        <v>59.348779816993613</v>
      </c>
      <c r="BH21" s="4">
        <f>IFERROR(
(INDEX(スコア表[],MATCH($C21,スコア表['#],0),MATCH(BH$5,スコア表[#Headers],0))
-
INDEX(スコア表2[],MATCH("average",スコア表2[maxmin],0),MATCH(BH$5,スコア表2[#Headers],0)))
/
INDEX(スコア表2[],MATCH("stdev.p",スコア表2[maxmin],0),MATCH(BH$5,スコア表2[#Headers],0))
*10+50,"-")</f>
        <v>79.025612187457767</v>
      </c>
      <c r="BI21" s="4">
        <f>IFERROR(
(INDEX(スコア表[],MATCH($C21,スコア表['#],0),MATCH(BI$5,スコア表[#Headers],0))
-
INDEX(スコア表2[],MATCH("average",スコア表2[maxmin],0),MATCH(BI$5,スコア表2[#Headers],0)))
/
INDEX(スコア表2[],MATCH("stdev.p",スコア表2[maxmin],0),MATCH(BI$5,スコア表2[#Headers],0))
*10+50,"-")</f>
        <v>50.003564952180021</v>
      </c>
      <c r="BJ21" s="4">
        <f>IFERROR(
(INDEX(スコア表[],MATCH($C21,スコア表['#],0),MATCH(BJ$5,スコア表[#Headers],0))
-
INDEX(スコア表2[],MATCH("average",スコア表2[maxmin],0),MATCH(BJ$5,スコア表2[#Headers],0)))
/
INDEX(スコア表2[],MATCH("stdev.p",スコア表2[maxmin],0),MATCH(BJ$5,スコア表2[#Headers],0))
*10+50,"-")</f>
        <v>58.138565985325442</v>
      </c>
      <c r="BK21" s="4">
        <f>IFERROR(
(INDEX(スコア表[],MATCH($C21,スコア表['#],0),MATCH(BK$5,スコア表[#Headers],0))
-
INDEX(スコア表2[],MATCH("average",スコア表2[maxmin],0),MATCH(BK$5,スコア表2[#Headers],0)))
/
INDEX(スコア表2[],MATCH("stdev.p",スコア表2[maxmin],0),MATCH(BK$5,スコア表2[#Headers],0))
*10+50,"-")</f>
        <v>58.118369384637113</v>
      </c>
      <c r="BL21" s="4">
        <f>IFERROR(
(INDEX(スコア表[],MATCH($C21,スコア表['#],0),MATCH(BL$5,スコア表[#Headers],0))
-
INDEX(スコア表2[],MATCH("average",スコア表2[maxmin],0),MATCH(BL$5,スコア表2[#Headers],0)))
/
INDEX(スコア表2[],MATCH("stdev.p",スコア表2[maxmin],0),MATCH(BL$5,スコア表2[#Headers],0))
*10+50,"-")</f>
        <v>43.278541841930846</v>
      </c>
      <c r="BM21" s="4">
        <f>IFERROR(
(INDEX(スコア表[],MATCH($C21,スコア表['#],0),MATCH(BM$5,スコア表[#Headers],0))
-
INDEX(スコア表2[],MATCH("average",スコア表2[maxmin],0),MATCH(BM$5,スコア表2[#Headers],0)))
/
INDEX(スコア表2[],MATCH("stdev.p",スコア表2[maxmin],0),MATCH(BM$5,スコア表2[#Headers],0))
*10+50,"-")</f>
        <v>66.099028348552338</v>
      </c>
      <c r="BN21" s="4">
        <f>IFERROR(
(INDEX(スコア表[],MATCH($C21,スコア表['#],0),MATCH(BN$5,スコア表[#Headers],0))
-
INDEX(スコア表2[],MATCH("average",スコア表2[maxmin],0),MATCH(BN$5,スコア表2[#Headers],0)))
/
INDEX(スコア表2[],MATCH("stdev.p",スコア表2[maxmin],0),MATCH(BN$5,スコア表2[#Headers],0))
*10+50,"-")</f>
        <v>63.307636458095224</v>
      </c>
      <c r="BO21" s="4">
        <f>IFERROR(
(INDEX(スコア表[],MATCH($C21,スコア表['#],0),MATCH(BO$5,スコア表[#Headers],0))
-
INDEX(スコア表2[],MATCH("average",スコア表2[maxmin],0),MATCH(BO$5,スコア表2[#Headers],0)))
/
INDEX(スコア表2[],MATCH("stdev.p",スコア表2[maxmin],0),MATCH(BO$5,スコア表2[#Headers],0))
*10+50,"-")</f>
        <v>57.948650516638182</v>
      </c>
      <c r="BP21" s="4">
        <f>IFERROR(
(INDEX(スコア表[],MATCH($C21,スコア表['#],0),MATCH(BP$5,スコア表[#Headers],0))
-
INDEX(スコア表2[],MATCH("average",スコア表2[maxmin],0),MATCH(BP$5,スコア表2[#Headers],0)))
/
INDEX(スコア表2[],MATCH("stdev.p",スコア表2[maxmin],0),MATCH(BP$5,スコア表2[#Headers],0))
*10+50,"-")</f>
        <v>52.772674379093608</v>
      </c>
      <c r="BQ21" s="4">
        <f>IFERROR(
(INDEX(スコア表[],MATCH($C21,スコア表['#],0),MATCH(BQ$5,スコア表[#Headers],0))
-
INDEX(スコア表2[],MATCH("average",スコア表2[maxmin],0),MATCH(BQ$5,スコア表2[#Headers],0)))
/
INDEX(スコア表2[],MATCH("stdev.p",スコア表2[maxmin],0),MATCH(BQ$5,スコア表2[#Headers],0))
*10+50,"-")</f>
        <v>42.314726748157454</v>
      </c>
      <c r="BR21" s="4">
        <f>IFERROR(
(INDEX(スコア表[],MATCH($C21,スコア表['#],0),MATCH(BR$5,スコア表[#Headers],0))
-
INDEX(スコア表2[],MATCH("average",スコア表2[maxmin],0),MATCH(BR$5,スコア表2[#Headers],0)))
/
INDEX(スコア表2[],MATCH("stdev.p",スコア表2[maxmin],0),MATCH(BR$5,スコア表2[#Headers],0))
*10+50,"-")</f>
        <v>42.819907795100434</v>
      </c>
      <c r="BS21" s="4">
        <f>IFERROR(
(INDEX(スコア表[],MATCH($C21,スコア表['#],0),MATCH(BS$5,スコア表[#Headers],0))
-
INDEX(スコア表2[],MATCH("average",スコア表2[maxmin],0),MATCH(BS$5,スコア表2[#Headers],0)))
/
INDEX(スコア表2[],MATCH("stdev.p",スコア表2[maxmin],0),MATCH(BS$5,スコア表2[#Headers],0))
*10+50,"-")</f>
        <v>43.693683591286721</v>
      </c>
      <c r="BT21" s="4">
        <f>IFERROR(
(INDEX(スコア表[],MATCH($C21,スコア表['#],0),MATCH(BT$5,スコア表[#Headers],0))
-
INDEX(スコア表2[],MATCH("average",スコア表2[maxmin],0),MATCH(BT$5,スコア表2[#Headers],0)))
/
INDEX(スコア表2[],MATCH("stdev.p",スコア表2[maxmin],0),MATCH(BT$5,スコア表2[#Headers],0))
*10+50,"-")</f>
        <v>49.164134784838353</v>
      </c>
      <c r="BU21" s="4">
        <f>IFERROR(
(INDEX(スコア表[],MATCH($C21,スコア表['#],0),MATCH(BU$5,スコア表[#Headers],0))
-
INDEX(スコア表2[],MATCH("average",スコア表2[maxmin],0),MATCH(BU$5,スコア表2[#Headers],0)))
/
INDEX(スコア表2[],MATCH("stdev.p",スコア表2[maxmin],0),MATCH(BU$5,スコア表2[#Headers],0))
*10+50,"-")</f>
        <v>63.284195051374496</v>
      </c>
      <c r="BV21" s="4">
        <f>IFERROR(
(INDEX(スコア表[],MATCH($C21,スコア表['#],0),MATCH(BV$5,スコア表[#Headers],0))
-
INDEX(スコア表2[],MATCH("average",スコア表2[maxmin],0),MATCH(BV$5,スコア表2[#Headers],0)))
/
INDEX(スコア表2[],MATCH("stdev.p",スコア表2[maxmin],0),MATCH(BV$5,スコア表2[#Headers],0))
*10+50,"-")</f>
        <v>52.456006728902814</v>
      </c>
      <c r="BW21" s="4">
        <f>IFERROR(
(INDEX(スコア表[],MATCH($C21,スコア表['#],0),MATCH(BW$5,スコア表[#Headers],0))
-
INDEX(スコア表2[],MATCH("average",スコア表2[maxmin],0),MATCH(BW$5,スコア表2[#Headers],0)))
/
INDEX(スコア表2[],MATCH("stdev.p",スコア表2[maxmin],0),MATCH(BW$5,スコア表2[#Headers],0))
*10+50,"-")</f>
        <v>56.398257390315024</v>
      </c>
      <c r="BX21" s="4">
        <f>IFERROR(
(INDEX(スコア表[],MATCH($C21,スコア表['#],0),MATCH(BX$5,スコア表[#Headers],0))
-
INDEX(スコア表2[],MATCH("average",スコア表2[maxmin],0),MATCH(BX$5,スコア表2[#Headers],0)))
/
INDEX(スコア表2[],MATCH("stdev.p",スコア表2[maxmin],0),MATCH(BX$5,スコア表2[#Headers],0))
*10+50,"-")</f>
        <v>63.703665214465119</v>
      </c>
      <c r="BY21" s="4">
        <f>IFERROR(
(INDEX(スコア表[],MATCH($C21,スコア表['#],0),MATCH(BY$5,スコア表[#Headers],0))
-
INDEX(スコア表2[],MATCH("average",スコア表2[maxmin],0),MATCH(BY$5,スコア表2[#Headers],0)))
/
INDEX(スコア表2[],MATCH("stdev.p",スコア表2[maxmin],0),MATCH(BY$5,スコア表2[#Headers],0))
*10+50,"-")</f>
        <v>33.533955372592601</v>
      </c>
      <c r="BZ21" s="4">
        <f>IFERROR(
(INDEX(スコア表[],MATCH($C21,スコア表['#],0),MATCH(BZ$5,スコア表[#Headers],0))
-
INDEX(スコア表2[],MATCH("average",スコア表2[maxmin],0),MATCH(BZ$5,スコア表2[#Headers],0)))
/
INDEX(スコア表2[],MATCH("stdev.p",スコア表2[maxmin],0),MATCH(BZ$5,スコア表2[#Headers],0))
*10+50,"-")</f>
        <v>47.262397955561049</v>
      </c>
      <c r="CA21" s="4">
        <f>IFERROR(
(INDEX(スコア表[],MATCH($C21,スコア表['#],0),MATCH(CA$5,スコア表[#Headers],0))
-
INDEX(スコア表2[],MATCH("average",スコア表2[maxmin],0),MATCH(CA$5,スコア表2[#Headers],0)))
/
INDEX(スコア表2[],MATCH("stdev.p",スコア表2[maxmin],0),MATCH(CA$5,スコア表2[#Headers],0))
*10+50,"-")</f>
        <v>58.130780511474818</v>
      </c>
      <c r="CB21" s="4">
        <f>IFERROR(
(INDEX(スコア表[],MATCH($C21,スコア表['#],0),MATCH(CB$5,スコア表[#Headers],0))
-
INDEX(スコア表2[],MATCH("average",スコア表2[maxmin],0),MATCH(CB$5,スコア表2[#Headers],0)))
/
INDEX(スコア表2[],MATCH("stdev.p",スコア表2[maxmin],0),MATCH(CB$5,スコア表2[#Headers],0))
*10+50,"-")</f>
        <v>46.014087420303156</v>
      </c>
      <c r="CC21" s="4">
        <f>IFERROR(
(INDEX(スコア表[],MATCH($C21,スコア表['#],0),MATCH(CC$5,スコア表[#Headers],0))
-
INDEX(スコア表2[],MATCH("average",スコア表2[maxmin],0),MATCH(CC$5,スコア表2[#Headers],0)))
/
INDEX(スコア表2[],MATCH("stdev.p",スコア表2[maxmin],0),MATCH(CC$5,スコア表2[#Headers],0))
*10+50,"-")</f>
        <v>50.06886460031928</v>
      </c>
      <c r="CD21" s="4">
        <f>IFERROR(
(INDEX(スコア表[],MATCH($C21,スコア表['#],0),MATCH(CD$5,スコア表[#Headers],0))
-
INDEX(スコア表2[],MATCH("average",スコア表2[maxmin],0),MATCH(CD$5,スコア表2[#Headers],0)))
/
INDEX(スコア表2[],MATCH("stdev.p",スコア表2[maxmin],0),MATCH(CD$5,スコア表2[#Headers],0))
*10+50,"-")</f>
        <v>52.079254582663417</v>
      </c>
      <c r="CE21" s="4">
        <f>IFERROR(
(INDEX(スコア表[],MATCH($C21,スコア表['#],0),MATCH(CE$5,スコア表[#Headers],0))
-
INDEX(スコア表2[],MATCH("average",スコア表2[maxmin],0),MATCH(CE$5,スコア表2[#Headers],0)))
/
INDEX(スコア表2[],MATCH("stdev.p",スコア表2[maxmin],0),MATCH(CE$5,スコア表2[#Headers],0))
*10+50,"-")</f>
        <v>59.023231405690332</v>
      </c>
      <c r="CF21" s="4">
        <f>IFERROR(
(INDEX(スコア表[],MATCH($C21,スコア表['#],0),MATCH(CF$5,スコア表[#Headers],0))
-
INDEX(スコア表2[],MATCH("average",スコア表2[maxmin],0),MATCH(CF$5,スコア表2[#Headers],0)))
/
INDEX(スコア表2[],MATCH("stdev.p",スコア表2[maxmin],0),MATCH(CF$5,スコア表2[#Headers],0))
*10+50,"-")</f>
        <v>47.897221912568476</v>
      </c>
      <c r="CG21" s="4">
        <f>IFERROR(
(INDEX(スコア表[],MATCH($C21,スコア表['#],0),MATCH(CG$5,スコア表[#Headers],0))
-
INDEX(スコア表2[],MATCH("average",スコア表2[maxmin],0),MATCH(CG$5,スコア表2[#Headers],0)))
/
INDEX(スコア表2[],MATCH("stdev.p",スコア表2[maxmin],0),MATCH(CG$5,スコア表2[#Headers],0))
*10+50,"-")</f>
        <v>47.819336322392829</v>
      </c>
      <c r="CH21" s="4">
        <f>IFERROR(
(INDEX(スコア表[],MATCH($C21,スコア表['#],0),MATCH(CH$5,スコア表[#Headers],0))
-
INDEX(スコア表2[],MATCH("average",スコア表2[maxmin],0),MATCH(CH$5,スコア表2[#Headers],0)))
/
INDEX(スコア表2[],MATCH("stdev.p",スコア表2[maxmin],0),MATCH(CH$5,スコア表2[#Headers],0))
*10+50,"-")</f>
        <v>44.751331327273192</v>
      </c>
      <c r="CI21" s="4">
        <f>IFERROR(
(INDEX(スコア表[],MATCH($C21,スコア表['#],0),MATCH(CI$5,スコア表[#Headers],0))
-
INDEX(スコア表2[],MATCH("average",スコア表2[maxmin],0),MATCH(CI$5,スコア表2[#Headers],0)))
/
INDEX(スコア表2[],MATCH("stdev.p",スコア表2[maxmin],0),MATCH(CI$5,スコア表2[#Headers],0))
*10+50,"-")</f>
        <v>56.724530425689586</v>
      </c>
      <c r="CJ21" s="4">
        <f>IFERROR(
(INDEX(スコア表[],MATCH($C21,スコア表['#],0),MATCH(CJ$5,スコア表[#Headers],0))
-
INDEX(スコア表2[],MATCH("average",スコア表2[maxmin],0),MATCH(CJ$5,スコア表2[#Headers],0)))
/
INDEX(スコア表2[],MATCH("stdev.p",スコア表2[maxmin],0),MATCH(CJ$5,スコア表2[#Headers],0))
*10+50,"-")</f>
        <v>41.324883903520103</v>
      </c>
      <c r="CK21" s="4">
        <f>IFERROR(
(INDEX(スコア表[],MATCH($C21,スコア表['#],0),MATCH(CK$5,スコア表[#Headers],0))
-
INDEX(スコア表2[],MATCH("average",スコア表2[maxmin],0),MATCH(CK$5,スコア表2[#Headers],0)))
/
INDEX(スコア表2[],MATCH("stdev.p",スコア表2[maxmin],0),MATCH(CK$5,スコア表2[#Headers],0))
*10+50,"-")</f>
        <v>45.750080417682859</v>
      </c>
      <c r="CL21" s="4">
        <f>IFERROR(
(INDEX(スコア表[],MATCH($C21,スコア表['#],0),MATCH(CL$5,スコア表[#Headers],0))
-
INDEX(スコア表2[],MATCH("average",スコア表2[maxmin],0),MATCH(CL$5,スコア表2[#Headers],0)))
/
INDEX(スコア表2[],MATCH("stdev.p",スコア表2[maxmin],0),MATCH(CL$5,スコア表2[#Headers],0))
*10+50,"-")</f>
        <v>39.164886364881568</v>
      </c>
      <c r="CM21" s="4">
        <f>IFERROR(
(INDEX(スコア表[],MATCH($C21,スコア表['#],0),MATCH(CM$5,スコア表[#Headers],0))
-
INDEX(スコア表2[],MATCH("average",スコア表2[maxmin],0),MATCH(CM$5,スコア表2[#Headers],0)))
/
INDEX(スコア表2[],MATCH("stdev.p",スコア表2[maxmin],0),MATCH(CM$5,スコア表2[#Headers],0))
*10+50,"-")</f>
        <v>49.611063199864113</v>
      </c>
      <c r="CN21" s="4">
        <f>IFERROR(
(INDEX(スコア表[],MATCH($C21,スコア表['#],0),MATCH(CN$5,スコア表[#Headers],0))
-
INDEX(スコア表2[],MATCH("average",スコア表2[maxmin],0),MATCH(CN$5,スコア表2[#Headers],0)))
/
INDEX(スコア表2[],MATCH("stdev.p",スコア表2[maxmin],0),MATCH(CN$5,スコア表2[#Headers],0))
*10+50,"-")</f>
        <v>53.533746615933119</v>
      </c>
      <c r="CO21" s="4">
        <f>IFERROR(
(INDEX(スコア表[],MATCH($C21,スコア表['#],0),MATCH(CO$5,スコア表[#Headers],0))
-
INDEX(スコア表2[],MATCH("average",スコア表2[maxmin],0),MATCH(CO$5,スコア表2[#Headers],0)))
/
INDEX(スコア表2[],MATCH("stdev.p",スコア表2[maxmin],0),MATCH(CO$5,スコア表2[#Headers],0))
*10+50,"-")</f>
        <v>49.353220715577351</v>
      </c>
      <c r="CP21" s="4">
        <f>IFERROR(
(INDEX(スコア表[],MATCH($C21,スコア表['#],0),MATCH(CP$5,スコア表[#Headers],0))
-
INDEX(スコア表2[],MATCH("average",スコア表2[maxmin],0),MATCH(CP$5,スコア表2[#Headers],0)))
/
INDEX(スコア表2[],MATCH("stdev.p",スコア表2[maxmin],0),MATCH(CP$5,スコア表2[#Headers],0))
*10+50,"-")</f>
        <v>52.176529480488611</v>
      </c>
      <c r="CQ21" s="4">
        <f>IFERROR(
(INDEX(スコア表[],MATCH($C21,スコア表['#],0),MATCH(CQ$5,スコア表[#Headers],0))
-
INDEX(スコア表2[],MATCH("average",スコア表2[maxmin],0),MATCH(CQ$5,スコア表2[#Headers],0)))
/
INDEX(スコア表2[],MATCH("stdev.p",スコア表2[maxmin],0),MATCH(CQ$5,スコア表2[#Headers],0))
*10+50,"-")</f>
        <v>59.234161622657972</v>
      </c>
      <c r="CR21" s="4">
        <f>IFERROR(
(INDEX(スコア表[],MATCH($C21,スコア表['#],0),MATCH(CR$5,スコア表[#Headers],0))
-
INDEX(スコア表2[],MATCH("average",スコア表2[maxmin],0),MATCH(CR$5,スコア表2[#Headers],0)))
/
INDEX(スコア表2[],MATCH("stdev.p",スコア表2[maxmin],0),MATCH(CR$5,スコア表2[#Headers],0))
*10+50,"-")</f>
        <v>52.866043546533476</v>
      </c>
      <c r="CS21" s="4">
        <f>IFERROR(
(INDEX(スコア表[],MATCH($C21,スコア表['#],0),MATCH(CS$5,スコア表[#Headers],0))
-
INDEX(スコア表2[],MATCH("average",スコア表2[maxmin],0),MATCH(CS$5,スコア表2[#Headers],0)))
/
INDEX(スコア表2[],MATCH("stdev.p",スコア表2[maxmin],0),MATCH(CS$5,スコア表2[#Headers],0))
*10+50,"-")</f>
        <v>75.032400324426362</v>
      </c>
      <c r="CT21" s="4">
        <f>IFERROR(
(INDEX(スコア表[],MATCH($C21,スコア表['#],0),MATCH(CT$5,スコア表[#Headers],0))
-
INDEX(スコア表2[],MATCH("average",スコア表2[maxmin],0),MATCH(CT$5,スコア表2[#Headers],0)))
/
INDEX(スコア表2[],MATCH("stdev.p",スコア表2[maxmin],0),MATCH(CT$5,スコア表2[#Headers],0))
*10+50,"-")</f>
        <v>56.03794105182952</v>
      </c>
      <c r="CU21" s="4">
        <f>IFERROR(
(INDEX(スコア表[],MATCH($C21,スコア表['#],0),MATCH(CU$5,スコア表[#Headers],0))
-
INDEX(スコア表2[],MATCH("average",スコア表2[maxmin],0),MATCH(CU$5,スコア表2[#Headers],0)))
/
INDEX(スコア表2[],MATCH("stdev.p",スコア表2[maxmin],0),MATCH(CU$5,スコア表2[#Headers],0))
*10+50,"-")</f>
        <v>64.75804946480288</v>
      </c>
      <c r="CV21" s="4">
        <f>IFERROR(
(INDEX(スコア表[],MATCH($C21,スコア表['#],0),MATCH(CV$5,スコア表[#Headers],0))
-
INDEX(スコア表2[],MATCH("average",スコア表2[maxmin],0),MATCH(CV$5,スコア表2[#Headers],0)))
/
INDEX(スコア表2[],MATCH("stdev.p",スコア表2[maxmin],0),MATCH(CV$5,スコア表2[#Headers],0))
*10+50,"-")</f>
        <v>46.813149920704717</v>
      </c>
      <c r="CW21" s="4">
        <f>IFERROR(
(INDEX(スコア表[],MATCH($C21,スコア表['#],0),MATCH(CW$5,スコア表[#Headers],0))
-
INDEX(スコア表2[],MATCH("average",スコア表2[maxmin],0),MATCH(CW$5,スコア表2[#Headers],0)))
/
INDEX(スコア表2[],MATCH("stdev.p",スコア表2[maxmin],0),MATCH(CW$5,スコア表2[#Headers],0))
*10+50,"-")</f>
        <v>43.120881950056251</v>
      </c>
      <c r="CX21" s="4">
        <f>IFERROR(
(INDEX(スコア表[],MATCH($C21,スコア表['#],0),MATCH(CX$5,スコア表[#Headers],0))
-
INDEX(スコア表2[],MATCH("average",スコア表2[maxmin],0),MATCH(CX$5,スコア表2[#Headers],0)))
/
INDEX(スコア表2[],MATCH("stdev.p",スコア表2[maxmin],0),MATCH(CX$5,スコア表2[#Headers],0))
*10+50,"-")</f>
        <v>59.033849531944156</v>
      </c>
      <c r="CY21" s="4">
        <f>IFERROR(
(INDEX(スコア表[],MATCH($C21,スコア表['#],0),MATCH(CY$5,スコア表[#Headers],0))
-
INDEX(スコア表2[],MATCH("average",スコア表2[maxmin],0),MATCH(CY$5,スコア表2[#Headers],0)))
/
INDEX(スコア表2[],MATCH("stdev.p",スコア表2[maxmin],0),MATCH(CY$5,スコア表2[#Headers],0))
*10+50,"-")</f>
        <v>52.626957640008264</v>
      </c>
      <c r="CZ21" s="4">
        <f>IFERROR(
(INDEX(スコア表[],MATCH($C21,スコア表['#],0),MATCH(CZ$5,スコア表[#Headers],0))
-
INDEX(スコア表2[],MATCH("average",スコア表2[maxmin],0),MATCH(CZ$5,スコア表2[#Headers],0)))
/
INDEX(スコア表2[],MATCH("stdev.p",スコア表2[maxmin],0),MATCH(CZ$5,スコア表2[#Headers],0))
*10+50,"-")</f>
        <v>53.894519265531223</v>
      </c>
      <c r="DA21" s="4">
        <f>IFERROR(
(INDEX(スコア表[],MATCH($C21,スコア表['#],0),MATCH(DA$5,スコア表[#Headers],0))
-
INDEX(スコア表2[],MATCH("average",スコア表2[maxmin],0),MATCH(DA$5,スコア表2[#Headers],0)))
/
INDEX(スコア表2[],MATCH("stdev.p",スコア表2[maxmin],0),MATCH(DA$5,スコア表2[#Headers],0))
*10+50,"-")</f>
        <v>46.716964229160872</v>
      </c>
      <c r="DB21" s="4">
        <f>IFERROR(
(INDEX(スコア表[],MATCH($C21,スコア表['#],0),MATCH(DB$5,スコア表[#Headers],0))
-
INDEX(スコア表2[],MATCH("average",スコア表2[maxmin],0),MATCH(DB$5,スコア表2[#Headers],0)))
/
INDEX(スコア表2[],MATCH("stdev.p",スコア表2[maxmin],0),MATCH(DB$5,スコア表2[#Headers],0))
*10+50,"-")</f>
        <v>44.750463540865937</v>
      </c>
      <c r="DC21" s="4">
        <f>IFERROR(
(INDEX(スコア表[],MATCH($C21,スコア表['#],0),MATCH(DC$5,スコア表[#Headers],0))
-
INDEX(スコア表2[],MATCH("average",スコア表2[maxmin],0),MATCH(DC$5,スコア表2[#Headers],0)))
/
INDEX(スコア表2[],MATCH("stdev.p",スコア表2[maxmin],0),MATCH(DC$5,スコア表2[#Headers],0))
*10+50,"-")</f>
        <v>58.756771624359239</v>
      </c>
      <c r="DD21" s="4">
        <f>IFERROR(
(INDEX(スコア表[],MATCH($C21,スコア表['#],0),MATCH(DD$5,スコア表[#Headers],0))
-
INDEX(スコア表2[],MATCH("average",スコア表2[maxmin],0),MATCH(DD$5,スコア表2[#Headers],0)))
/
INDEX(スコア表2[],MATCH("stdev.p",スコア表2[maxmin],0),MATCH(DD$5,スコア表2[#Headers],0))
*10+50,"-")</f>
        <v>70.341467359180612</v>
      </c>
      <c r="DE21" s="4">
        <f>IFERROR(
(INDEX(スコア表[],MATCH($C21,スコア表['#],0),MATCH(DE$5,スコア表[#Headers],0))
-
INDEX(スコア表2[],MATCH("average",スコア表2[maxmin],0),MATCH(DE$5,スコア表2[#Headers],0)))
/
INDEX(スコア表2[],MATCH("stdev.p",スコア表2[maxmin],0),MATCH(DE$5,スコア表2[#Headers],0))
*10+50,"-")</f>
        <v>49.511838599352679</v>
      </c>
      <c r="DF21" s="76">
        <f>IFERROR(
(INDEX(スコア表[],MATCH($C21,スコア表['#],0),MATCH(DF$5,スコア表[#Headers],0))
-
INDEX(スコア表2[],MATCH("average",スコア表2[maxmin],0),MATCH(DF$5,スコア表2[#Headers],0)))
/
INDEX(スコア表2[],MATCH("stdev.p",スコア表2[maxmin],0),MATCH(DF$5,スコア表2[#Headers],0))
*10+50,"-")</f>
        <v>53.56335462871214</v>
      </c>
      <c r="DG21" s="4">
        <f>IFERROR(_xlfn.STDEV.P(偏差値表[[#This Row],[Economy]:[Accessibility]]),"")</f>
        <v>8.6450521011757004</v>
      </c>
    </row>
    <row r="22" spans="1:111">
      <c r="A22" s="2">
        <v>17</v>
      </c>
      <c r="B22" s="58">
        <f>INDEX(順位表[Comprehensive],MATCH($C22,順位表['#],0))</f>
        <v>17</v>
      </c>
      <c r="C22" s="3">
        <v>23</v>
      </c>
      <c r="D22" s="1" t="str">
        <f>INDEX(都市マスタ[City Name],MATCH($C22,都市マスタ['#],0))</f>
        <v>Beijing</v>
      </c>
      <c r="E22" s="4">
        <f>IFERROR(
(INDEX(スコア表[],MATCH($C22,スコア表['#],0),MATCH(E$5,スコア表[#Headers],0))
-
INDEX(スコア表2[],MATCH("average",スコア表2[maxmin],0),MATCH(E$5,スコア表2[#Headers],0)))
/
INDEX(スコア表2[],MATCH("stdev.p",スコア表2[maxmin],0),MATCH(E$5,スコア表2[#Headers],0))
*10+50,"-")</f>
        <v>79.497555430151209</v>
      </c>
      <c r="F22" s="4">
        <f>IFERROR(
(INDEX(スコア表[],MATCH($C22,スコア表['#],0),MATCH(F$5,スコア表[#Headers],0))
-
INDEX(スコア表2[],MATCH("average",スコア表2[maxmin],0),MATCH(F$5,スコア表2[#Headers],0)))
/
INDEX(スコア表2[],MATCH("stdev.p",スコア表2[maxmin],0),MATCH(F$5,スコア表2[#Headers],0))
*10+50,"-")</f>
        <v>95.150471958247209</v>
      </c>
      <c r="G22" s="4">
        <f>IFERROR(
(INDEX(スコア表[],MATCH($C22,スコア表['#],0),MATCH(G$5,スコア表[#Headers],0))
-
INDEX(スコア表2[],MATCH("average",スコア表2[maxmin],0),MATCH(G$5,スコア表2[#Headers],0)))
/
INDEX(スコア表2[],MATCH("stdev.p",スコア表2[maxmin],0),MATCH(G$5,スコア表2[#Headers],0))
*10+50,"-")</f>
        <v>48.359724408250621</v>
      </c>
      <c r="H22" s="4">
        <f>IFERROR(
(INDEX(スコア表[],MATCH($C22,スコア表['#],0),MATCH(H$5,スコア表[#Headers],0))
-
INDEX(スコア表2[],MATCH("average",スコア表2[maxmin],0),MATCH(H$5,スコア表2[#Headers],0)))
/
INDEX(スコア表2[],MATCH("stdev.p",スコア表2[maxmin],0),MATCH(H$5,スコア表2[#Headers],0))
*10+50,"-")</f>
        <v>69.208660120368194</v>
      </c>
      <c r="I22" s="4">
        <f>IFERROR(
(INDEX(スコア表[],MATCH($C22,スコア表['#],0),MATCH(I$5,スコア表[#Headers],0))
-
INDEX(スコア表2[],MATCH("average",スコア表2[maxmin],0),MATCH(I$5,スコア表2[#Headers],0)))
/
INDEX(スコア表2[],MATCH("stdev.p",スコア表2[maxmin],0),MATCH(I$5,スコア表2[#Headers],0))
*10+50,"-")</f>
        <v>42.106314419768587</v>
      </c>
      <c r="J22" s="4">
        <f>IFERROR(
(INDEX(スコア表[],MATCH($C22,スコア表['#],0),MATCH(J$5,スコア表[#Headers],0))
-
INDEX(スコア表2[],MATCH("average",スコア表2[maxmin],0),MATCH(J$5,スコア表2[#Headers],0)))
/
INDEX(スコア表2[],MATCH("stdev.p",スコア表2[maxmin],0),MATCH(J$5,スコア表2[#Headers],0))
*10+50,"-")</f>
        <v>62.284002080410232</v>
      </c>
      <c r="K22" s="4">
        <f>IFERROR(
(INDEX(スコア表[],MATCH($C22,スコア表['#],0),MATCH(K$5,スコア表[#Headers],0))
-
INDEX(スコア表2[],MATCH("average",スコア表2[maxmin],0),MATCH(K$5,スコア表2[#Headers],0)))
/
INDEX(スコア表2[],MATCH("stdev.p",スコア表2[maxmin],0),MATCH(K$5,スコア表2[#Headers],0))
*10+50,"-")</f>
        <v>30.301508395480198</v>
      </c>
      <c r="L22" s="4">
        <f>IFERROR(
(INDEX(スコア表[],MATCH($C22,スコア表['#],0),MATCH(L$5,スコア表[#Headers],0))
-
INDEX(スコア表2[],MATCH("average",スコア表2[maxmin],0),MATCH(L$5,スコア表2[#Headers],0)))
/
INDEX(スコア表2[],MATCH("stdev.p",スコア表2[maxmin],0),MATCH(L$5,スコア表2[#Headers],0))
*10+50,"-")</f>
        <v>46.907303340311344</v>
      </c>
      <c r="M22" s="4">
        <f>IFERROR(
(INDEX(スコア表[],MATCH($C22,スコア表['#],0),MATCH(M$5,スコア表[#Headers],0))
-
INDEX(スコア表2[],MATCH("average",スコア表2[maxmin],0),MATCH(M$5,スコア表2[#Headers],0)))
/
INDEX(スコア表2[],MATCH("stdev.p",スコア表2[maxmin],0),MATCH(M$5,スコア表2[#Headers],0))
*10+50,"-")</f>
        <v>109.59339218778055</v>
      </c>
      <c r="N22" s="4">
        <f>IFERROR(
(INDEX(スコア表[],MATCH($C22,スコア表['#],0),MATCH(N$5,スコア表[#Headers],0))
-
INDEX(スコア表2[],MATCH("average",スコア表2[maxmin],0),MATCH(N$5,スコア表2[#Headers],0)))
/
INDEX(スコア表2[],MATCH("stdev.p",スコア表2[maxmin],0),MATCH(N$5,スコア表2[#Headers],0))
*10+50,"-")</f>
        <v>79.414225719797585</v>
      </c>
      <c r="O22" s="4">
        <f>IFERROR(
(INDEX(スコア表[],MATCH($C22,スコア表['#],0),MATCH(O$5,スコア表[#Headers],0))
-
INDEX(スコア表2[],MATCH("average",スコア表2[maxmin],0),MATCH(O$5,スコア表2[#Headers],0)))
/
INDEX(スコア表2[],MATCH("stdev.p",スコア表2[maxmin],0),MATCH(O$5,スコア表2[#Headers],0))
*10+50,"-")</f>
        <v>61.633821516401795</v>
      </c>
      <c r="P22" s="4">
        <f>IFERROR(
(INDEX(スコア表[],MATCH($C22,スコア表['#],0),MATCH(P$5,スコア表[#Headers],0))
-
INDEX(スコア表2[],MATCH("average",スコア表2[maxmin],0),MATCH(P$5,スコア表2[#Headers],0)))
/
INDEX(スコア表2[],MATCH("stdev.p",スコア表2[maxmin],0),MATCH(P$5,スコア表2[#Headers],0))
*10+50,"-")</f>
        <v>42.890286940697877</v>
      </c>
      <c r="Q22" s="4">
        <f>IFERROR(
(INDEX(スコア表[],MATCH($C22,スコア表['#],0),MATCH(Q$5,スコア表[#Headers],0))
-
INDEX(スコア表2[],MATCH("average",スコア表2[maxmin],0),MATCH(Q$5,スコア表2[#Headers],0)))
/
INDEX(スコア表2[],MATCH("stdev.p",スコア表2[maxmin],0),MATCH(Q$5,スコア表2[#Headers],0))
*10+50,"-")</f>
        <v>42.000822103059775</v>
      </c>
      <c r="R22" s="4">
        <f>IFERROR(
(INDEX(スコア表[],MATCH($C22,スコア表['#],0),MATCH(R$5,スコア表[#Headers],0))
-
INDEX(スコア表2[],MATCH("average",スコア表2[maxmin],0),MATCH(R$5,スコア表2[#Headers],0)))
/
INDEX(スコア表2[],MATCH("stdev.p",スコア表2[maxmin],0),MATCH(R$5,スコア表2[#Headers],0))
*10+50,"-")</f>
        <v>66.660895272027588</v>
      </c>
      <c r="S22" s="4">
        <f>IFERROR(
(INDEX(スコア表[],MATCH($C22,スコア表['#],0),MATCH(S$5,スコア表[#Headers],0))
-
INDEX(スコア表2[],MATCH("average",スコア表2[maxmin],0),MATCH(S$5,スコア表2[#Headers],0)))
/
INDEX(スコア表2[],MATCH("stdev.p",スコア表2[maxmin],0),MATCH(S$5,スコア表2[#Headers],0))
*10+50,"-")</f>
        <v>50.030127927689456</v>
      </c>
      <c r="T22" s="4">
        <f>IFERROR(
(INDEX(スコア表[],MATCH($C22,スコア表['#],0),MATCH(T$5,スコア表[#Headers],0))
-
INDEX(スコア表2[],MATCH("average",スコア表2[maxmin],0),MATCH(T$5,スコア表2[#Headers],0)))
/
INDEX(スコア表2[],MATCH("stdev.p",スコア表2[maxmin],0),MATCH(T$5,スコア表2[#Headers],0))
*10+50,"-")</f>
        <v>51.273709002575742</v>
      </c>
      <c r="U22" s="4">
        <f>IFERROR(
(INDEX(スコア表[],MATCH($C22,スコア表['#],0),MATCH(U$5,スコア表[#Headers],0))
-
INDEX(スコア表2[],MATCH("average",スコア表2[maxmin],0),MATCH(U$5,スコア表2[#Headers],0)))
/
INDEX(スコア表2[],MATCH("stdev.p",スコア表2[maxmin],0),MATCH(U$5,スコア表2[#Headers],0))
*10+50,"-")</f>
        <v>55.911179170059242</v>
      </c>
      <c r="V22" s="4">
        <f>IFERROR(
(INDEX(スコア表[],MATCH($C22,スコア表['#],0),MATCH(V$5,スコア表[#Headers],0))
-
INDEX(スコア表2[],MATCH("average",スコア表2[maxmin],0),MATCH(V$5,スコア表2[#Headers],0)))
/
INDEX(スコア表2[],MATCH("stdev.p",スコア表2[maxmin],0),MATCH(V$5,スコア表2[#Headers],0))
*10+50,"-")</f>
        <v>58.264665895418133</v>
      </c>
      <c r="W22" s="4">
        <f>IFERROR(
(INDEX(スコア表[],MATCH($C22,スコア表['#],0),MATCH(W$5,スコア表[#Headers],0))
-
INDEX(スコア表2[],MATCH("average",スコア表2[maxmin],0),MATCH(W$5,スコア表2[#Headers],0)))
/
INDEX(スコア表2[],MATCH("stdev.p",スコア表2[maxmin],0),MATCH(W$5,スコア表2[#Headers],0))
*10+50,"-")</f>
        <v>50.105471094834286</v>
      </c>
      <c r="X22" s="4">
        <f>IFERROR(
(INDEX(スコア表[],MATCH($C22,スコア表['#],0),MATCH(X$5,スコア表[#Headers],0))
-
INDEX(スコア表2[],MATCH("average",スコア表2[maxmin],0),MATCH(X$5,スコア表2[#Headers],0)))
/
INDEX(スコア表2[],MATCH("stdev.p",スコア表2[maxmin],0),MATCH(X$5,スコア表2[#Headers],0))
*10+50,"-")</f>
        <v>49.711854848362634</v>
      </c>
      <c r="Y22" s="4">
        <f>IFERROR(
(INDEX(スコア表[],MATCH($C22,スコア表['#],0),MATCH(Y$5,スコア表[#Headers],0))
-
INDEX(スコア表2[],MATCH("average",スコア表2[maxmin],0),MATCH(Y$5,スコア表2[#Headers],0)))
/
INDEX(スコア表2[],MATCH("stdev.p",スコア表2[maxmin],0),MATCH(Y$5,スコア表2[#Headers],0))
*10+50,"-")</f>
        <v>68.458811555712927</v>
      </c>
      <c r="Z22" s="4">
        <f>IFERROR(
(INDEX(スコア表[],MATCH($C22,スコア表['#],0),MATCH(Z$5,スコア表[#Headers],0))
-
INDEX(スコア表2[],MATCH("average",スコア表2[maxmin],0),MATCH(Z$5,スコア表2[#Headers],0)))
/
INDEX(スコア表2[],MATCH("stdev.p",スコア表2[maxmin],0),MATCH(Z$5,スコア表2[#Headers],0))
*10+50,"-")</f>
        <v>53.992337218101312</v>
      </c>
      <c r="AA22" s="4">
        <f>IFERROR(
(INDEX(スコア表[],MATCH($C22,スコア表['#],0),MATCH(AA$5,スコア表[#Headers],0))
-
INDEX(スコア表2[],MATCH("average",スコア表2[maxmin],0),MATCH(AA$5,スコア表2[#Headers],0)))
/
INDEX(スコア表2[],MATCH("stdev.p",スコア表2[maxmin],0),MATCH(AA$5,スコア表2[#Headers],0))
*10+50,"-")</f>
        <v>46.708370266375603</v>
      </c>
      <c r="AB22" s="4">
        <f>IFERROR(
(INDEX(スコア表[],MATCH($C22,スコア表['#],0),MATCH(AB$5,スコア表[#Headers],0))
-
INDEX(スコア表2[],MATCH("average",スコア表2[maxmin],0),MATCH(AB$5,スコア表2[#Headers],0)))
/
INDEX(スコア表2[],MATCH("stdev.p",スコア表2[maxmin],0),MATCH(AB$5,スコア表2[#Headers],0))
*10+50,"-")</f>
        <v>44.051550015289315</v>
      </c>
      <c r="AC22" s="4">
        <f>IFERROR(
(INDEX(スコア表[],MATCH($C22,スコア表['#],0),MATCH(AC$5,スコア表[#Headers],0))
-
INDEX(スコア表2[],MATCH("average",スコア表2[maxmin],0),MATCH(AC$5,スコア表2[#Headers],0)))
/
INDEX(スコア表2[],MATCH("stdev.p",スコア表2[maxmin],0),MATCH(AC$5,スコア表2[#Headers],0))
*10+50,"-")</f>
        <v>45.419162583963157</v>
      </c>
      <c r="AD22" s="4">
        <f>IFERROR(
(INDEX(スコア表[],MATCH($C22,スコア表['#],0),MATCH(AD$5,スコア表[#Headers],0))
-
INDEX(スコア表2[],MATCH("average",スコア表2[maxmin],0),MATCH(AD$5,スコア表2[#Headers],0)))
/
INDEX(スコア表2[],MATCH("stdev.p",スコア表2[maxmin],0),MATCH(AD$5,スコア表2[#Headers],0))
*10+50,"-")</f>
        <v>71.855061502874648</v>
      </c>
      <c r="AE22" s="4">
        <f>IFERROR(
(INDEX(スコア表[],MATCH($C22,スコア表['#],0),MATCH(AE$5,スコア表[#Headers],0))
-
INDEX(スコア表2[],MATCH("average",スコア表2[maxmin],0),MATCH(AE$5,スコア表2[#Headers],0)))
/
INDEX(スコア表2[],MATCH("stdev.p",スコア表2[maxmin],0),MATCH(AE$5,スコア表2[#Headers],0))
*10+50,"-")</f>
        <v>46.654256797944299</v>
      </c>
      <c r="AF22" s="4">
        <f>IFERROR(
(INDEX(スコア表[],MATCH($C22,スコア表['#],0),MATCH(AF$5,スコア表[#Headers],0))
-
INDEX(スコア表2[],MATCH("average",スコア表2[maxmin],0),MATCH(AF$5,スコア表2[#Headers],0)))
/
INDEX(スコア表2[],MATCH("stdev.p",スコア表2[maxmin],0),MATCH(AF$5,スコア表2[#Headers],0))
*10+50,"-")</f>
        <v>53.570460043093277</v>
      </c>
      <c r="AG22" s="4">
        <f>IFERROR(
(INDEX(スコア表[],MATCH($C22,スコア表['#],0),MATCH(AG$5,スコア表[#Headers],0))
-
INDEX(スコア表2[],MATCH("average",スコア表2[maxmin],0),MATCH(AG$5,スコア表2[#Headers],0)))
/
INDEX(スコア表2[],MATCH("stdev.p",スコア表2[maxmin],0),MATCH(AG$5,スコア表2[#Headers],0))
*10+50,"-")</f>
        <v>55.375728587895232</v>
      </c>
      <c r="AH22" s="4">
        <f>IFERROR(
(INDEX(スコア表[],MATCH($C22,スコア表['#],0),MATCH(AH$5,スコア表[#Headers],0))
-
INDEX(スコア表2[],MATCH("average",スコア表2[maxmin],0),MATCH(AH$5,スコア表2[#Headers],0)))
/
INDEX(スコア表2[],MATCH("stdev.p",スコア表2[maxmin],0),MATCH(AH$5,スコア表2[#Headers],0))
*10+50,"-")</f>
        <v>54.484321019600003</v>
      </c>
      <c r="AI22" s="4">
        <f>IFERROR(
(INDEX(スコア表[],MATCH($C22,スコア表['#],0),MATCH(AI$5,スコア表[#Headers],0))
-
INDEX(スコア表2[],MATCH("average",スコア表2[maxmin],0),MATCH(AI$5,スコア表2[#Headers],0)))
/
INDEX(スコア表2[],MATCH("stdev.p",スコア表2[maxmin],0),MATCH(AI$5,スコア表2[#Headers],0))
*10+50,"-")</f>
        <v>46.050047281335488</v>
      </c>
      <c r="AJ22" s="4">
        <f>IFERROR(
(INDEX(スコア表[],MATCH($C22,スコア表['#],0),MATCH(AJ$5,スコア表[#Headers],0))
-
INDEX(スコア表2[],MATCH("average",スコア表2[maxmin],0),MATCH(AJ$5,スコア表2[#Headers],0)))
/
INDEX(スコア表2[],MATCH("stdev.p",スコア表2[maxmin],0),MATCH(AJ$5,スコア表2[#Headers],0))
*10+50,"-")</f>
        <v>44.898287681481179</v>
      </c>
      <c r="AK22" s="4">
        <f>IFERROR(
(INDEX(スコア表[],MATCH($C22,スコア表['#],0),MATCH(AK$5,スコア表[#Headers],0))
-
INDEX(スコア表2[],MATCH("average",スコア表2[maxmin],0),MATCH(AK$5,スコア表2[#Headers],0)))
/
INDEX(スコア表2[],MATCH("stdev.p",スコア表2[maxmin],0),MATCH(AK$5,スコア表2[#Headers],0))
*10+50,"-")</f>
        <v>49.953539229137284</v>
      </c>
      <c r="AL22" s="4">
        <f>IFERROR(
(INDEX(スコア表[],MATCH($C22,スコア表['#],0),MATCH(AL$5,スコア表[#Headers],0))
-
INDEX(スコア表2[],MATCH("average",スコア表2[maxmin],0),MATCH(AL$5,スコア表2[#Headers],0)))
/
INDEX(スコア表2[],MATCH("stdev.p",スコア表2[maxmin],0),MATCH(AL$5,スコア表2[#Headers],0))
*10+50,"-")</f>
        <v>63.81258056297191</v>
      </c>
      <c r="AM22" s="4">
        <f>IFERROR(
(INDEX(スコア表[],MATCH($C22,スコア表['#],0),MATCH(AM$5,スコア表[#Headers],0))
-
INDEX(スコア表2[],MATCH("average",スコア表2[maxmin],0),MATCH(AM$5,スコア表2[#Headers],0)))
/
INDEX(スコア表2[],MATCH("stdev.p",スコア表2[maxmin],0),MATCH(AM$5,スコア表2[#Headers],0))
*10+50,"-")</f>
        <v>53.952561823848214</v>
      </c>
      <c r="AN22" s="4">
        <f>IFERROR(
(INDEX(スコア表[],MATCH($C22,スコア表['#],0),MATCH(AN$5,スコア表[#Headers],0))
-
INDEX(スコア表2[],MATCH("average",スコア表2[maxmin],0),MATCH(AN$5,スコア表2[#Headers],0)))
/
INDEX(スコア表2[],MATCH("stdev.p",スコア表2[maxmin],0),MATCH(AN$5,スコア表2[#Headers],0))
*10+50,"-")</f>
        <v>63.624524272315945</v>
      </c>
      <c r="AO22" s="4">
        <f>IFERROR(
(INDEX(スコア表[],MATCH($C22,スコア表['#],0),MATCH(AO$5,スコア表[#Headers],0))
-
INDEX(スコア表2[],MATCH("average",スコア表2[maxmin],0),MATCH(AO$5,スコア表2[#Headers],0)))
/
INDEX(スコア表2[],MATCH("stdev.p",スコア表2[maxmin],0),MATCH(AO$5,スコア表2[#Headers],0))
*10+50,"-")</f>
        <v>46.465859739660395</v>
      </c>
      <c r="AP22" s="4">
        <f>IFERROR(
(INDEX(スコア表[],MATCH($C22,スコア表['#],0),MATCH(AP$5,スコア表[#Headers],0))
-
INDEX(スコア表2[],MATCH("average",スコア表2[maxmin],0),MATCH(AP$5,スコア表2[#Headers],0)))
/
INDEX(スコア表2[],MATCH("stdev.p",スコア表2[maxmin],0),MATCH(AP$5,スコア表2[#Headers],0))
*10+50,"-")</f>
        <v>49.213459102171463</v>
      </c>
      <c r="AQ22" s="4">
        <f>IFERROR(
(INDEX(スコア表[],MATCH($C22,スコア表['#],0),MATCH(AQ$5,スコア表[#Headers],0))
-
INDEX(スコア表2[],MATCH("average",スコア表2[maxmin],0),MATCH(AQ$5,スコア表2[#Headers],0)))
/
INDEX(スコア表2[],MATCH("stdev.p",スコア表2[maxmin],0),MATCH(AQ$5,スコア表2[#Headers],0))
*10+50,"-")</f>
        <v>43.379727040055116</v>
      </c>
      <c r="AR22" s="4">
        <f>IFERROR(
(INDEX(スコア表[],MATCH($C22,スコア表['#],0),MATCH(AR$5,スコア表[#Headers],0))
-
INDEX(スコア表2[],MATCH("average",スコア表2[maxmin],0),MATCH(AR$5,スコア表2[#Headers],0)))
/
INDEX(スコア表2[],MATCH("stdev.p",スコア表2[maxmin],0),MATCH(AR$5,スコア表2[#Headers],0))
*10+50,"-")</f>
        <v>42.7061609583915</v>
      </c>
      <c r="AS22" s="4">
        <f>IFERROR(
(INDEX(スコア表[],MATCH($C22,スコア表['#],0),MATCH(AS$5,スコア表[#Headers],0))
-
INDEX(スコア表2[],MATCH("average",スコア表2[maxmin],0),MATCH(AS$5,スコア表2[#Headers],0)))
/
INDEX(スコア表2[],MATCH("stdev.p",スコア表2[maxmin],0),MATCH(AS$5,スコア表2[#Headers],0))
*10+50,"-")</f>
        <v>55.718146863744153</v>
      </c>
      <c r="AT22" s="4">
        <f>IFERROR(
(INDEX(スコア表[],MATCH($C22,スコア表['#],0),MATCH(AT$5,スコア表[#Headers],0))
-
INDEX(スコア表2[],MATCH("average",スコア表2[maxmin],0),MATCH(AT$5,スコア表2[#Headers],0)))
/
INDEX(スコア表2[],MATCH("stdev.p",スコア表2[maxmin],0),MATCH(AT$5,スコア表2[#Headers],0))
*10+50,"-")</f>
        <v>49.714327113532391</v>
      </c>
      <c r="AU22" s="4">
        <f>IFERROR(
(INDEX(スコア表[],MATCH($C22,スコア表['#],0),MATCH(AU$5,スコア表[#Headers],0))
-
INDEX(スコア表2[],MATCH("average",スコア表2[maxmin],0),MATCH(AU$5,スコア表2[#Headers],0)))
/
INDEX(スコア表2[],MATCH("stdev.p",スコア表2[maxmin],0),MATCH(AU$5,スコア表2[#Headers],0))
*10+50,"-")</f>
        <v>56.109597609925153</v>
      </c>
      <c r="AV22" s="4">
        <f>IFERROR(
(INDEX(スコア表[],MATCH($C22,スコア表['#],0),MATCH(AV$5,スコア表[#Headers],0))
-
INDEX(スコア表2[],MATCH("average",スコア表2[maxmin],0),MATCH(AV$5,スコア表2[#Headers],0)))
/
INDEX(スコア表2[],MATCH("stdev.p",スコア表2[maxmin],0),MATCH(AV$5,スコア表2[#Headers],0))
*10+50,"-")</f>
        <v>54.897197105686729</v>
      </c>
      <c r="AW22" s="4">
        <f>IFERROR(
(INDEX(スコア表[],MATCH($C22,スコア表['#],0),MATCH(AW$5,スコア表[#Headers],0))
-
INDEX(スコア表2[],MATCH("average",スコア表2[maxmin],0),MATCH(AW$5,スコア表2[#Headers],0)))
/
INDEX(スコア表2[],MATCH("stdev.p",スコア表2[maxmin],0),MATCH(AW$5,スコア表2[#Headers],0))
*10+50,"-")</f>
        <v>62.646751085815026</v>
      </c>
      <c r="AX22" s="4">
        <f>IFERROR(
(INDEX(スコア表[],MATCH($C22,スコア表['#],0),MATCH(AX$5,スコア表[#Headers],0))
-
INDEX(スコア表2[],MATCH("average",スコア表2[maxmin],0),MATCH(AX$5,スコア表2[#Headers],0)))
/
INDEX(スコア表2[],MATCH("stdev.p",スコア表2[maxmin],0),MATCH(AX$5,スコア表2[#Headers],0))
*10+50,"-")</f>
        <v>54.758753916939611</v>
      </c>
      <c r="AY22" s="4">
        <f>IFERROR(
(INDEX(スコア表[],MATCH($C22,スコア表['#],0),MATCH(AY$5,スコア表[#Headers],0))
-
INDEX(スコア表2[],MATCH("average",スコア表2[maxmin],0),MATCH(AY$5,スコア表2[#Headers],0)))
/
INDEX(スコア表2[],MATCH("stdev.p",スコア表2[maxmin],0),MATCH(AY$5,スコア表2[#Headers],0))
*10+50,"-")</f>
        <v>51.181623131313138</v>
      </c>
      <c r="AZ22" s="4">
        <f>IFERROR(
(INDEX(スコア表[],MATCH($C22,スコア表['#],0),MATCH(AZ$5,スコア表[#Headers],0))
-
INDEX(スコア表2[],MATCH("average",スコア表2[maxmin],0),MATCH(AZ$5,スコア表2[#Headers],0)))
/
INDEX(スコア表2[],MATCH("stdev.p",スコア表2[maxmin],0),MATCH(AZ$5,スコア表2[#Headers],0))
*10+50,"-")</f>
        <v>44.275711965731425</v>
      </c>
      <c r="BA22" s="4">
        <f>IFERROR(
(INDEX(スコア表[],MATCH($C22,スコア表['#],0),MATCH(BA$5,スコア表[#Headers],0))
-
INDEX(スコア表2[],MATCH("average",スコア表2[maxmin],0),MATCH(BA$5,スコア表2[#Headers],0)))
/
INDEX(スコア表2[],MATCH("stdev.p",スコア表2[maxmin],0),MATCH(BA$5,スコア表2[#Headers],0))
*10+50,"-")</f>
        <v>29.622153534041786</v>
      </c>
      <c r="BB22" s="4">
        <f>IFERROR(
(INDEX(スコア表[],MATCH($C22,スコア表['#],0),MATCH(BB$5,スコア表[#Headers],0))
-
INDEX(スコア表2[],MATCH("average",スコア表2[maxmin],0),MATCH(BB$5,スコア表2[#Headers],0)))
/
INDEX(スコア表2[],MATCH("stdev.p",スコア表2[maxmin],0),MATCH(BB$5,スコア表2[#Headers],0))
*10+50,"-")</f>
        <v>30.94112609373861</v>
      </c>
      <c r="BC22" s="4">
        <f>IFERROR(
(INDEX(スコア表[],MATCH($C22,スコア表['#],0),MATCH(BC$5,スコア表[#Headers],0))
-
INDEX(スコア表2[],MATCH("average",スコア表2[maxmin],0),MATCH(BC$5,スコア表2[#Headers],0)))
/
INDEX(スコア表2[],MATCH("stdev.p",スコア表2[maxmin],0),MATCH(BC$5,スコア表2[#Headers],0))
*10+50,"-")</f>
        <v>42.497528053501377</v>
      </c>
      <c r="BD22" s="4">
        <f>IFERROR(
(INDEX(スコア表[],MATCH($C22,スコア表['#],0),MATCH(BD$5,スコア表[#Headers],0))
-
INDEX(スコア表2[],MATCH("average",スコア表2[maxmin],0),MATCH(BD$5,スコア表2[#Headers],0)))
/
INDEX(スコア表2[],MATCH("stdev.p",スコア表2[maxmin],0),MATCH(BD$5,スコア表2[#Headers],0))
*10+50,"-")</f>
        <v>55.463917689965989</v>
      </c>
      <c r="BE22" s="4">
        <f>IFERROR(
(INDEX(スコア表[],MATCH($C22,スコア表['#],0),MATCH(BE$5,スコア表[#Headers],0))
-
INDEX(スコア表2[],MATCH("average",スコア表2[maxmin],0),MATCH(BE$5,スコア表2[#Headers],0)))
/
INDEX(スコア表2[],MATCH("stdev.p",スコア表2[maxmin],0),MATCH(BE$5,スコア表2[#Headers],0))
*10+50,"-")</f>
        <v>47.327922628802199</v>
      </c>
      <c r="BF22" s="4">
        <f>IFERROR(
(INDEX(スコア表[],MATCH($C22,スコア表['#],0),MATCH(BF$5,スコア表[#Headers],0))
-
INDEX(スコア表2[],MATCH("average",スコア表2[maxmin],0),MATCH(BF$5,スコア表2[#Headers],0)))
/
INDEX(スコア表2[],MATCH("stdev.p",スコア表2[maxmin],0),MATCH(BF$5,スコア表2[#Headers],0))
*10+50,"-")</f>
        <v>58.263756786602457</v>
      </c>
      <c r="BG22" s="4">
        <f>IFERROR(
(INDEX(スコア表[],MATCH($C22,スコア表['#],0),MATCH(BG$5,スコア表[#Headers],0))
-
INDEX(スコア表2[],MATCH("average",スコア表2[maxmin],0),MATCH(BG$5,スコア表2[#Headers],0)))
/
INDEX(スコア表2[],MATCH("stdev.p",スコア表2[maxmin],0),MATCH(BG$5,スコア表2[#Headers],0))
*10+50,"-")</f>
        <v>43.394514364409915</v>
      </c>
      <c r="BH22" s="4">
        <f>IFERROR(
(INDEX(スコア表[],MATCH($C22,スコア表['#],0),MATCH(BH$5,スコア表[#Headers],0))
-
INDEX(スコア表2[],MATCH("average",スコア表2[maxmin],0),MATCH(BH$5,スコア表2[#Headers],0)))
/
INDEX(スコア表2[],MATCH("stdev.p",スコア表2[maxmin],0),MATCH(BH$5,スコア表2[#Headers],0))
*10+50,"-")</f>
        <v>46.648006673497918</v>
      </c>
      <c r="BI22" s="4">
        <f>IFERROR(
(INDEX(スコア表[],MATCH($C22,スコア表['#],0),MATCH(BI$5,スコア表[#Headers],0))
-
INDEX(スコア表2[],MATCH("average",スコア表2[maxmin],0),MATCH(BI$5,スコア表2[#Headers],0)))
/
INDEX(スコア表2[],MATCH("stdev.p",スコア表2[maxmin],0),MATCH(BI$5,スコア表2[#Headers],0))
*10+50,"-")</f>
        <v>59.444357121353775</v>
      </c>
      <c r="BJ22" s="4">
        <f>IFERROR(
(INDEX(スコア表[],MATCH($C22,スコア表['#],0),MATCH(BJ$5,スコア表[#Headers],0))
-
INDEX(スコア表2[],MATCH("average",スコア表2[maxmin],0),MATCH(BJ$5,スコア表2[#Headers],0)))
/
INDEX(スコア表2[],MATCH("stdev.p",スコア表2[maxmin],0),MATCH(BJ$5,スコア表2[#Headers],0))
*10+50,"-")</f>
        <v>45.050364757641631</v>
      </c>
      <c r="BK22" s="4">
        <f>IFERROR(
(INDEX(スコア表[],MATCH($C22,スコア表['#],0),MATCH(BK$5,スコア表[#Headers],0))
-
INDEX(スコア表2[],MATCH("average",スコア表2[maxmin],0),MATCH(BK$5,スコア表2[#Headers],0)))
/
INDEX(スコア表2[],MATCH("stdev.p",スコア表2[maxmin],0),MATCH(BK$5,スコア表2[#Headers],0))
*10+50,"-")</f>
        <v>35.828690696160493</v>
      </c>
      <c r="BL22" s="4">
        <f>IFERROR(
(INDEX(スコア表[],MATCH($C22,スコア表['#],0),MATCH(BL$5,スコア表[#Headers],0))
-
INDEX(スコア表2[],MATCH("average",スコア表2[maxmin],0),MATCH(BL$5,スコア表2[#Headers],0)))
/
INDEX(スコア表2[],MATCH("stdev.p",スコア表2[maxmin],0),MATCH(BL$5,スコア表2[#Headers],0))
*10+50,"-")</f>
        <v>45.101480686002084</v>
      </c>
      <c r="BM22" s="4">
        <f>IFERROR(
(INDEX(スコア表[],MATCH($C22,スコア表['#],0),MATCH(BM$5,スコア表[#Headers],0))
-
INDEX(スコア表2[],MATCH("average",スコア表2[maxmin],0),MATCH(BM$5,スコア表2[#Headers],0)))
/
INDEX(スコア表2[],MATCH("stdev.p",スコア表2[maxmin],0),MATCH(BM$5,スコア表2[#Headers],0))
*10+50,"-")</f>
        <v>36.261934363539126</v>
      </c>
      <c r="BN22" s="4">
        <f>IFERROR(
(INDEX(スコア表[],MATCH($C22,スコア表['#],0),MATCH(BN$5,スコア表[#Headers],0))
-
INDEX(スコア表2[],MATCH("average",スコア表2[maxmin],0),MATCH(BN$5,スコア表2[#Headers],0)))
/
INDEX(スコア表2[],MATCH("stdev.p",スコア表2[maxmin],0),MATCH(BN$5,スコア表2[#Headers],0))
*10+50,"-")</f>
        <v>50.531253102281646</v>
      </c>
      <c r="BO22" s="4">
        <f>IFERROR(
(INDEX(スコア表[],MATCH($C22,スコア表['#],0),MATCH(BO$5,スコア表[#Headers],0))
-
INDEX(スコア表2[],MATCH("average",スコア表2[maxmin],0),MATCH(BO$5,スコア表2[#Headers],0)))
/
INDEX(スコア表2[],MATCH("stdev.p",スコア表2[maxmin],0),MATCH(BO$5,スコア表2[#Headers],0))
*10+50,"-")</f>
        <v>59.305019098498562</v>
      </c>
      <c r="BP22" s="4">
        <f>IFERROR(
(INDEX(スコア表[],MATCH($C22,スコア表['#],0),MATCH(BP$5,スコア表[#Headers],0))
-
INDEX(スコア表2[],MATCH("average",スコア表2[maxmin],0),MATCH(BP$5,スコア表2[#Headers],0)))
/
INDEX(スコア表2[],MATCH("stdev.p",スコア表2[maxmin],0),MATCH(BP$5,スコア表2[#Headers],0))
*10+50,"-")</f>
        <v>41.371526093948887</v>
      </c>
      <c r="BQ22" s="4">
        <f>IFERROR(
(INDEX(スコア表[],MATCH($C22,スコア表['#],0),MATCH(BQ$5,スコア表[#Headers],0))
-
INDEX(スコア表2[],MATCH("average",スコア表2[maxmin],0),MATCH(BQ$5,スコア表2[#Headers],0)))
/
INDEX(スコア表2[],MATCH("stdev.p",スコア表2[maxmin],0),MATCH(BQ$5,スコア表2[#Headers],0))
*10+50,"-")</f>
        <v>45.295831790349347</v>
      </c>
      <c r="BR22" s="4">
        <f>IFERROR(
(INDEX(スコア表[],MATCH($C22,スコア表['#],0),MATCH(BR$5,スコア表[#Headers],0))
-
INDEX(スコア表2[],MATCH("average",スコア表2[maxmin],0),MATCH(BR$5,スコア表2[#Headers],0)))
/
INDEX(スコア表2[],MATCH("stdev.p",スコア表2[maxmin],0),MATCH(BR$5,スコア表2[#Headers],0))
*10+50,"-")</f>
        <v>40.583687927344535</v>
      </c>
      <c r="BS22" s="4">
        <f>IFERROR(
(INDEX(スコア表[],MATCH($C22,スコア表['#],0),MATCH(BS$5,スコア表[#Headers],0))
-
INDEX(スコア表2[],MATCH("average",スコア表2[maxmin],0),MATCH(BS$5,スコア表2[#Headers],0)))
/
INDEX(スコア表2[],MATCH("stdev.p",スコア表2[maxmin],0),MATCH(BS$5,スコア表2[#Headers],0))
*10+50,"-")</f>
        <v>46.84743721666058</v>
      </c>
      <c r="BT22" s="4">
        <f>IFERROR(
(INDEX(スコア表[],MATCH($C22,スコア表['#],0),MATCH(BT$5,スコア表[#Headers],0))
-
INDEX(スコア表2[],MATCH("average",スコア表2[maxmin],0),MATCH(BT$5,スコア表2[#Headers],0)))
/
INDEX(スコア表2[],MATCH("stdev.p",スコア表2[maxmin],0),MATCH(BT$5,スコア表2[#Headers],0))
*10+50,"-")</f>
        <v>48.691977911352801</v>
      </c>
      <c r="BU22" s="4">
        <f>IFERROR(
(INDEX(スコア表[],MATCH($C22,スコア表['#],0),MATCH(BU$5,スコア表[#Headers],0))
-
INDEX(スコア表2[],MATCH("average",スコア表2[maxmin],0),MATCH(BU$5,スコア表2[#Headers],0)))
/
INDEX(スコア表2[],MATCH("stdev.p",スコア表2[maxmin],0),MATCH(BU$5,スコア表2[#Headers],0))
*10+50,"-")</f>
        <v>49.797738527790223</v>
      </c>
      <c r="BV22" s="4">
        <f>IFERROR(
(INDEX(スコア表[],MATCH($C22,スコア表['#],0),MATCH(BV$5,スコア表[#Headers],0))
-
INDEX(スコア表2[],MATCH("average",スコア表2[maxmin],0),MATCH(BV$5,スコア表2[#Headers],0)))
/
INDEX(スコア表2[],MATCH("stdev.p",スコア表2[maxmin],0),MATCH(BV$5,スコア表2[#Headers],0))
*10+50,"-")</f>
        <v>38.872305240646057</v>
      </c>
      <c r="BW22" s="4">
        <f>IFERROR(
(INDEX(スコア表[],MATCH($C22,スコア表['#],0),MATCH(BW$5,スコア表[#Headers],0))
-
INDEX(スコア表2[],MATCH("average",スコア表2[maxmin],0),MATCH(BW$5,スコア表2[#Headers],0)))
/
INDEX(スコア表2[],MATCH("stdev.p",スコア表2[maxmin],0),MATCH(BW$5,スコア表2[#Headers],0))
*10+50,"-")</f>
        <v>45.936836967676435</v>
      </c>
      <c r="BX22" s="4">
        <f>IFERROR(
(INDEX(スコア表[],MATCH($C22,スコア表['#],0),MATCH(BX$5,スコア表[#Headers],0))
-
INDEX(スコア表2[],MATCH("average",スコア表2[maxmin],0),MATCH(BX$5,スコア表2[#Headers],0)))
/
INDEX(スコア表2[],MATCH("stdev.p",スコア表2[maxmin],0),MATCH(BX$5,スコア表2[#Headers],0))
*10+50,"-")</f>
        <v>41.720026030881954</v>
      </c>
      <c r="BY22" s="4">
        <f>IFERROR(
(INDEX(スコア表[],MATCH($C22,スコア表['#],0),MATCH(BY$5,スコア表[#Headers],0))
-
INDEX(スコア表2[],MATCH("average",スコア表2[maxmin],0),MATCH(BY$5,スコア表2[#Headers],0)))
/
INDEX(スコア表2[],MATCH("stdev.p",スコア表2[maxmin],0),MATCH(BY$5,スコア表2[#Headers],0))
*10+50,"-")</f>
        <v>68.790456007031992</v>
      </c>
      <c r="BZ22" s="4">
        <f>IFERROR(
(INDEX(スコア表[],MATCH($C22,スコア表['#],0),MATCH(BZ$5,スコア表[#Headers],0))
-
INDEX(スコア表2[],MATCH("average",スコア表2[maxmin],0),MATCH(BZ$5,スコア表2[#Headers],0)))
/
INDEX(スコア表2[],MATCH("stdev.p",スコア表2[maxmin],0),MATCH(BZ$5,スコア表2[#Headers],0))
*10+50,"-")</f>
        <v>58.101031377925963</v>
      </c>
      <c r="CA22" s="4">
        <f>IFERROR(
(INDEX(スコア表[],MATCH($C22,スコア表['#],0),MATCH(CA$5,スコア表[#Headers],0))
-
INDEX(スコア表2[],MATCH("average",スコア表2[maxmin],0),MATCH(CA$5,スコア表2[#Headers],0)))
/
INDEX(スコア表2[],MATCH("stdev.p",スコア表2[maxmin],0),MATCH(CA$5,スコア表2[#Headers],0))
*10+50,"-")</f>
        <v>40.785400225176588</v>
      </c>
      <c r="CB22" s="4">
        <f>IFERROR(
(INDEX(スコア表[],MATCH($C22,スコア表['#],0),MATCH(CB$5,スコア表[#Headers],0))
-
INDEX(スコア表2[],MATCH("average",スコア表2[maxmin],0),MATCH(CB$5,スコア表2[#Headers],0)))
/
INDEX(スコア表2[],MATCH("stdev.p",スコア表2[maxmin],0),MATCH(CB$5,スコア表2[#Headers],0))
*10+50,"-")</f>
        <v>88.163946857278972</v>
      </c>
      <c r="CC22" s="4">
        <f>IFERROR(
(INDEX(スコア表[],MATCH($C22,スコア表['#],0),MATCH(CC$5,スコア表[#Headers],0))
-
INDEX(スコア表2[],MATCH("average",スコア表2[maxmin],0),MATCH(CC$5,スコア表2[#Headers],0)))
/
INDEX(スコア表2[],MATCH("stdev.p",スコア表2[maxmin],0),MATCH(CC$5,スコア表2[#Headers],0))
*10+50,"-")</f>
        <v>81.895763893435927</v>
      </c>
      <c r="CD22" s="4">
        <f>IFERROR(
(INDEX(スコア表[],MATCH($C22,スコア表['#],0),MATCH(CD$5,スコア表[#Headers],0))
-
INDEX(スコア表2[],MATCH("average",スコア表2[maxmin],0),MATCH(CD$5,スコア表2[#Headers],0)))
/
INDEX(スコア表2[],MATCH("stdev.p",スコア表2[maxmin],0),MATCH(CD$5,スコア表2[#Headers],0))
*10+50,"-")</f>
        <v>49.703372586991655</v>
      </c>
      <c r="CE22" s="4">
        <f>IFERROR(
(INDEX(スコア表[],MATCH($C22,スコア表['#],0),MATCH(CE$5,スコア表[#Headers],0))
-
INDEX(スコア表2[],MATCH("average",スコア表2[maxmin],0),MATCH(CE$5,スコア表2[#Headers],0)))
/
INDEX(スコア表2[],MATCH("stdev.p",スコア表2[maxmin],0),MATCH(CE$5,スコア表2[#Headers],0))
*10+50,"-")</f>
        <v>50.861813297176468</v>
      </c>
      <c r="CF22" s="4">
        <f>IFERROR(
(INDEX(スコア表[],MATCH($C22,スコア表['#],0),MATCH(CF$5,スコア表[#Headers],0))
-
INDEX(スコア表2[],MATCH("average",スコア表2[maxmin],0),MATCH(CF$5,スコア表2[#Headers],0)))
/
INDEX(スコア表2[],MATCH("stdev.p",スコア表2[maxmin],0),MATCH(CF$5,スコア表2[#Headers],0))
*10+50,"-")</f>
        <v>58.353073378335992</v>
      </c>
      <c r="CG22" s="4">
        <f>IFERROR(
(INDEX(スコア表[],MATCH($C22,スコア表['#],0),MATCH(CG$5,スコア表[#Headers],0))
-
INDEX(スコア表2[],MATCH("average",スコア表2[maxmin],0),MATCH(CG$5,スコア表2[#Headers],0)))
/
INDEX(スコア表2[],MATCH("stdev.p",スコア表2[maxmin],0),MATCH(CG$5,スコア表2[#Headers],0))
*10+50,"-")</f>
        <v>59.797644881447042</v>
      </c>
      <c r="CH22" s="4">
        <f>IFERROR(
(INDEX(スコア表[],MATCH($C22,スコア表['#],0),MATCH(CH$5,スコア表[#Headers],0))
-
INDEX(スコア表2[],MATCH("average",スコア表2[maxmin],0),MATCH(CH$5,スコア表2[#Headers],0)))
/
INDEX(スコア表2[],MATCH("stdev.p",スコア表2[maxmin],0),MATCH(CH$5,スコア表2[#Headers],0))
*10+50,"-")</f>
        <v>47.930214613523979</v>
      </c>
      <c r="CI22" s="4">
        <f>IFERROR(
(INDEX(スコア表[],MATCH($C22,スコア表['#],0),MATCH(CI$5,スコア表[#Headers],0))
-
INDEX(スコア表2[],MATCH("average",スコア表2[maxmin],0),MATCH(CI$5,スコア表2[#Headers],0)))
/
INDEX(スコア表2[],MATCH("stdev.p",スコア表2[maxmin],0),MATCH(CI$5,スコア表2[#Headers],0))
*10+50,"-")</f>
        <v>55.933604404102958</v>
      </c>
      <c r="CJ22" s="4">
        <f>IFERROR(
(INDEX(スコア表[],MATCH($C22,スコア表['#],0),MATCH(CJ$5,スコア表[#Headers],0))
-
INDEX(スコア表2[],MATCH("average",スコア表2[maxmin],0),MATCH(CJ$5,スコア表2[#Headers],0)))
/
INDEX(スコア表2[],MATCH("stdev.p",スコア表2[maxmin],0),MATCH(CJ$5,スコア表2[#Headers],0))
*10+50,"-")</f>
        <v>53.141601076780034</v>
      </c>
      <c r="CK22" s="4">
        <f>IFERROR(
(INDEX(スコア表[],MATCH($C22,スコア表['#],0),MATCH(CK$5,スコア表[#Headers],0))
-
INDEX(スコア表2[],MATCH("average",スコア表2[maxmin],0),MATCH(CK$5,スコア表2[#Headers],0)))
/
INDEX(スコア表2[],MATCH("stdev.p",スコア表2[maxmin],0),MATCH(CK$5,スコア表2[#Headers],0))
*10+50,"-")</f>
        <v>53.496993860921691</v>
      </c>
      <c r="CL22" s="4">
        <f>IFERROR(
(INDEX(スコア表[],MATCH($C22,スコア表['#],0),MATCH(CL$5,スコア表[#Headers],0))
-
INDEX(スコア表2[],MATCH("average",スコア表2[maxmin],0),MATCH(CL$5,スコア表2[#Headers],0)))
/
INDEX(スコア表2[],MATCH("stdev.p",スコア表2[maxmin],0),MATCH(CL$5,スコア表2[#Headers],0))
*10+50,"-")</f>
        <v>54.414647543263641</v>
      </c>
      <c r="CM22" s="4">
        <f>IFERROR(
(INDEX(スコア表[],MATCH($C22,スコア表['#],0),MATCH(CM$5,スコア表[#Headers],0))
-
INDEX(スコア表2[],MATCH("average",スコア表2[maxmin],0),MATCH(CM$5,スコア表2[#Headers],0)))
/
INDEX(スコア表2[],MATCH("stdev.p",スコア表2[maxmin],0),MATCH(CM$5,スコア表2[#Headers],0))
*10+50,"-")</f>
        <v>42.008721731005387</v>
      </c>
      <c r="CN22" s="4">
        <f>IFERROR(
(INDEX(スコア表[],MATCH($C22,スコア表['#],0),MATCH(CN$5,スコア表[#Headers],0))
-
INDEX(スコア表2[],MATCH("average",スコア表2[maxmin],0),MATCH(CN$5,スコア表2[#Headers],0)))
/
INDEX(スコア表2[],MATCH("stdev.p",スコア表2[maxmin],0),MATCH(CN$5,スコア表2[#Headers],0))
*10+50,"-")</f>
        <v>57.265113300786538</v>
      </c>
      <c r="CO22" s="4">
        <f>IFERROR(
(INDEX(スコア表[],MATCH($C22,スコア表['#],0),MATCH(CO$5,スコア表[#Headers],0))
-
INDEX(スコア表2[],MATCH("average",スコア表2[maxmin],0),MATCH(CO$5,スコア表2[#Headers],0)))
/
INDEX(スコア表2[],MATCH("stdev.p",スコア表2[maxmin],0),MATCH(CO$5,スコア表2[#Headers],0))
*10+50,"-")</f>
        <v>59.210214144661258</v>
      </c>
      <c r="CP22" s="4">
        <f>IFERROR(
(INDEX(スコア表[],MATCH($C22,スコア表['#],0),MATCH(CP$5,スコア表[#Headers],0))
-
INDEX(スコア表2[],MATCH("average",スコア表2[maxmin],0),MATCH(CP$5,スコア表2[#Headers],0)))
/
INDEX(スコア表2[],MATCH("stdev.p",スコア表2[maxmin],0),MATCH(CP$5,スコア表2[#Headers],0))
*10+50,"-")</f>
        <v>54.753439639236028</v>
      </c>
      <c r="CQ22" s="4">
        <f>IFERROR(
(INDEX(スコア表[],MATCH($C22,スコア表['#],0),MATCH(CQ$5,スコア表[#Headers],0))
-
INDEX(スコア表2[],MATCH("average",スコア表2[maxmin],0),MATCH(CQ$5,スコア表2[#Headers],0)))
/
INDEX(スコア表2[],MATCH("stdev.p",スコア表2[maxmin],0),MATCH(CQ$5,スコア表2[#Headers],0))
*10+50,"-")</f>
        <v>28.894711434301993</v>
      </c>
      <c r="CR22" s="4">
        <f>IFERROR(
(INDEX(スコア表[],MATCH($C22,スコア表['#],0),MATCH(CR$5,スコア表[#Headers],0))
-
INDEX(スコア表2[],MATCH("average",スコア表2[maxmin],0),MATCH(CR$5,スコア表2[#Headers],0)))
/
INDEX(スコア表2[],MATCH("stdev.p",スコア表2[maxmin],0),MATCH(CR$5,スコア表2[#Headers],0))
*10+50,"-")</f>
        <v>51.705506460691424</v>
      </c>
      <c r="CS22" s="4">
        <f>IFERROR(
(INDEX(スコア表[],MATCH($C22,スコア表['#],0),MATCH(CS$5,スコア表[#Headers],0))
-
INDEX(スコア表2[],MATCH("average",スコア表2[maxmin],0),MATCH(CS$5,スコア表2[#Headers],0)))
/
INDEX(スコア表2[],MATCH("stdev.p",スコア表2[maxmin],0),MATCH(CS$5,スコア表2[#Headers],0))
*10+50,"-")</f>
        <v>49.63117032352735</v>
      </c>
      <c r="CT22" s="4">
        <f>IFERROR(
(INDEX(スコア表[],MATCH($C22,スコア表['#],0),MATCH(CT$5,スコア表[#Headers],0))
-
INDEX(スコア表2[],MATCH("average",スコア表2[maxmin],0),MATCH(CT$5,スコア表2[#Headers],0)))
/
INDEX(スコア表2[],MATCH("stdev.p",スコア表2[maxmin],0),MATCH(CT$5,スコア表2[#Headers],0))
*10+50,"-")</f>
        <v>35.713451124234119</v>
      </c>
      <c r="CU22" s="4">
        <f>IFERROR(
(INDEX(スコア表[],MATCH($C22,スコア表['#],0),MATCH(CU$5,スコア表[#Headers],0))
-
INDEX(スコア表2[],MATCH("average",スコア表2[maxmin],0),MATCH(CU$5,スコア表2[#Headers],0)))
/
INDEX(スコア表2[],MATCH("stdev.p",スコア表2[maxmin],0),MATCH(CU$5,スコア表2[#Headers],0))
*10+50,"-")</f>
        <v>48.125733194416668</v>
      </c>
      <c r="CV22" s="4">
        <f>IFERROR(
(INDEX(スコア表[],MATCH($C22,スコア表['#],0),MATCH(CV$5,スコア表[#Headers],0))
-
INDEX(スコア表2[],MATCH("average",スコア表2[maxmin],0),MATCH(CV$5,スコア表2[#Headers],0)))
/
INDEX(スコア表2[],MATCH("stdev.p",スコア表2[maxmin],0),MATCH(CV$5,スコア表2[#Headers],0))
*10+50,"-")</f>
        <v>40.826666248610387</v>
      </c>
      <c r="CW22" s="4">
        <f>IFERROR(
(INDEX(スコア表[],MATCH($C22,スコア表['#],0),MATCH(CW$5,スコア表[#Headers],0))
-
INDEX(スコア表2[],MATCH("average",スコア表2[maxmin],0),MATCH(CW$5,スコア表2[#Headers],0)))
/
INDEX(スコア表2[],MATCH("stdev.p",スコア表2[maxmin],0),MATCH(CW$5,スコア表2[#Headers],0))
*10+50,"-")</f>
        <v>43.373868581602871</v>
      </c>
      <c r="CX22" s="4">
        <f>IFERROR(
(INDEX(スコア表[],MATCH($C22,スコア表['#],0),MATCH(CX$5,スコア表[#Headers],0))
-
INDEX(スコア表2[],MATCH("average",スコア表2[maxmin],0),MATCH(CX$5,スコア表2[#Headers],0)))
/
INDEX(スコア表2[],MATCH("stdev.p",スコア表2[maxmin],0),MATCH(CX$5,スコア表2[#Headers],0))
*10+50,"-")</f>
        <v>42.425906653805775</v>
      </c>
      <c r="CY22" s="4">
        <f>IFERROR(
(INDEX(スコア表[],MATCH($C22,スコア表['#],0),MATCH(CY$5,スコア表[#Headers],0))
-
INDEX(スコア表2[],MATCH("average",スコア表2[maxmin],0),MATCH(CY$5,スコア表2[#Headers],0)))
/
INDEX(スコア表2[],MATCH("stdev.p",スコア表2[maxmin],0),MATCH(CY$5,スコア表2[#Headers],0))
*10+50,"-")</f>
        <v>52.45331628424497</v>
      </c>
      <c r="CZ22" s="4">
        <f>IFERROR(
(INDEX(スコア表[],MATCH($C22,スコア表['#],0),MATCH(CZ$5,スコア表[#Headers],0))
-
INDEX(スコア表2[],MATCH("average",スコア表2[maxmin],0),MATCH(CZ$5,スコア表2[#Headers],0)))
/
INDEX(スコア表2[],MATCH("stdev.p",スコア表2[maxmin],0),MATCH(CZ$5,スコア表2[#Headers],0))
*10+50,"-")</f>
        <v>63.705496570109943</v>
      </c>
      <c r="DA22" s="4">
        <f>IFERROR(
(INDEX(スコア表[],MATCH($C22,スコア表['#],0),MATCH(DA$5,スコア表[#Headers],0))
-
INDEX(スコア表2[],MATCH("average",スコア表2[maxmin],0),MATCH(DA$5,スコア表2[#Headers],0)))
/
INDEX(スコア表2[],MATCH("stdev.p",スコア表2[maxmin],0),MATCH(DA$5,スコア表2[#Headers],0))
*10+50,"-")</f>
        <v>55.948620313883346</v>
      </c>
      <c r="DB22" s="4">
        <f>IFERROR(
(INDEX(スコア表[],MATCH($C22,スコア表['#],0),MATCH(DB$5,スコア表[#Headers],0))
-
INDEX(スコア表2[],MATCH("average",スコア表2[maxmin],0),MATCH(DB$5,スコア表2[#Headers],0)))
/
INDEX(スコア表2[],MATCH("stdev.p",スコア表2[maxmin],0),MATCH(DB$5,スコア表2[#Headers],0))
*10+50,"-")</f>
        <v>51.854873605611147</v>
      </c>
      <c r="DC22" s="4">
        <f>IFERROR(
(INDEX(スコア表[],MATCH($C22,スコア表['#],0),MATCH(DC$5,スコア表[#Headers],0))
-
INDEX(スコア表2[],MATCH("average",スコア表2[maxmin],0),MATCH(DC$5,スコア表2[#Headers],0)))
/
INDEX(スコア表2[],MATCH("stdev.p",スコア表2[maxmin],0),MATCH(DC$5,スコア表2[#Headers],0))
*10+50,"-")</f>
        <v>48.939067171045103</v>
      </c>
      <c r="DD22" s="4">
        <f>IFERROR(
(INDEX(スコア表[],MATCH($C22,スコア表['#],0),MATCH(DD$5,スコア表[#Headers],0))
-
INDEX(スコア表2[],MATCH("average",スコア表2[maxmin],0),MATCH(DD$5,スコア表2[#Headers],0)))
/
INDEX(スコア表2[],MATCH("stdev.p",スコア表2[maxmin],0),MATCH(DD$5,スコア表2[#Headers],0))
*10+50,"-")</f>
        <v>43.51065115719701</v>
      </c>
      <c r="DE22" s="4">
        <f>IFERROR(
(INDEX(スコア表[],MATCH($C22,スコア表['#],0),MATCH(DE$5,スコア表[#Headers],0))
-
INDEX(スコア表2[],MATCH("average",スコア表2[maxmin],0),MATCH(DE$5,スコア表2[#Headers],0)))
/
INDEX(スコア表2[],MATCH("stdev.p",スコア表2[maxmin],0),MATCH(DE$5,スコア表2[#Headers],0))
*10+50,"-")</f>
        <v>40.65631725883231</v>
      </c>
      <c r="DF22" s="76">
        <f>IFERROR(
(INDEX(スコア表[],MATCH($C22,スコア表['#],0),MATCH(DF$5,スコア表[#Headers],0))
-
INDEX(スコア表2[],MATCH("average",スコア表2[maxmin],0),MATCH(DF$5,スコア表2[#Headers],0)))
/
INDEX(スコア表2[],MATCH("stdev.p",スコア表2[maxmin],0),MATCH(DF$5,スコア表2[#Headers],0))
*10+50,"-")</f>
        <v>53.436162959179278</v>
      </c>
      <c r="DG22" s="4">
        <f>IFERROR(_xlfn.STDEV.P(偏差値表[[#This Row],[Economy]:[Accessibility]]),"")</f>
        <v>7.6774471204318386</v>
      </c>
    </row>
    <row r="23" spans="1:111">
      <c r="A23" s="2">
        <v>18</v>
      </c>
      <c r="B23" s="58">
        <f>INDEX(順位表[Comprehensive],MATCH($C23,順位表['#],0))</f>
        <v>18</v>
      </c>
      <c r="C23" s="3">
        <v>22</v>
      </c>
      <c r="D23" s="1" t="str">
        <f>INDEX(都市マスタ[City Name],MATCH($C23,都市マスタ['#],0))</f>
        <v>Hong Kong</v>
      </c>
      <c r="E23" s="4">
        <f>IFERROR(
(INDEX(スコア表[],MATCH($C23,スコア表['#],0),MATCH(E$5,スコア表[#Headers],0))
-
INDEX(スコア表2[],MATCH("average",スコア表2[maxmin],0),MATCH(E$5,スコア表2[#Headers],0)))
/
INDEX(スコア表2[],MATCH("stdev.p",スコア表2[maxmin],0),MATCH(E$5,スコア表2[#Headers],0))
*10+50,"-")</f>
        <v>53.585555438782322</v>
      </c>
      <c r="F23" s="4">
        <f>IFERROR(
(INDEX(スコア表[],MATCH($C23,スコア表['#],0),MATCH(F$5,スコア表[#Headers],0))
-
INDEX(スコア表2[],MATCH("average",スコア表2[maxmin],0),MATCH(F$5,スコア表2[#Headers],0)))
/
INDEX(スコア表2[],MATCH("stdev.p",スコア表2[maxmin],0),MATCH(F$5,スコア表2[#Headers],0))
*10+50,"-")</f>
        <v>48.197008692638796</v>
      </c>
      <c r="G23" s="4">
        <f>IFERROR(
(INDEX(スコア表[],MATCH($C23,スコア表['#],0),MATCH(G$5,スコア表[#Headers],0))
-
INDEX(スコア表2[],MATCH("average",スコア表2[maxmin],0),MATCH(G$5,スコア表2[#Headers],0)))
/
INDEX(スコア表2[],MATCH("stdev.p",スコア表2[maxmin],0),MATCH(G$5,スコア表2[#Headers],0))
*10+50,"-")</f>
        <v>48.364912218107051</v>
      </c>
      <c r="H23" s="4">
        <f>IFERROR(
(INDEX(スコア表[],MATCH($C23,スコア表['#],0),MATCH(H$5,スコア表[#Headers],0))
-
INDEX(スコア表2[],MATCH("average",スコア表2[maxmin],0),MATCH(H$5,スコア表2[#Headers],0)))
/
INDEX(スコア表2[],MATCH("stdev.p",スコア表2[maxmin],0),MATCH(H$5,スコア表2[#Headers],0))
*10+50,"-")</f>
        <v>57.082997262164007</v>
      </c>
      <c r="I23" s="4">
        <f>IFERROR(
(INDEX(スコア表[],MATCH($C23,スコア表['#],0),MATCH(I$5,スコア表[#Headers],0))
-
INDEX(スコア表2[],MATCH("average",スコア表2[maxmin],0),MATCH(I$5,スコア表2[#Headers],0)))
/
INDEX(スコア表2[],MATCH("stdev.p",スコア表2[maxmin],0),MATCH(I$5,スコア表2[#Headers],0))
*10+50,"-")</f>
        <v>46.035989289708581</v>
      </c>
      <c r="J23" s="4">
        <f>IFERROR(
(INDEX(スコア表[],MATCH($C23,スコア表['#],0),MATCH(J$5,スコア表[#Headers],0))
-
INDEX(スコア表2[],MATCH("average",スコア表2[maxmin],0),MATCH(J$5,スコア表2[#Headers],0)))
/
INDEX(スコア表2[],MATCH("stdev.p",スコア表2[maxmin],0),MATCH(J$5,スコア表2[#Headers],0))
*10+50,"-")</f>
        <v>43.987960199650495</v>
      </c>
      <c r="K23" s="4">
        <f>IFERROR(
(INDEX(スコア表[],MATCH($C23,スコア表['#],0),MATCH(K$5,スコア表[#Headers],0))
-
INDEX(スコア表2[],MATCH("average",スコア表2[maxmin],0),MATCH(K$5,スコア表2[#Headers],0)))
/
INDEX(スコア表2[],MATCH("stdev.p",スコア表2[maxmin],0),MATCH(K$5,スコア表2[#Headers],0))
*10+50,"-")</f>
        <v>30.301508395480198</v>
      </c>
      <c r="L23" s="4">
        <f>IFERROR(
(INDEX(スコア表[],MATCH($C23,スコア表['#],0),MATCH(L$5,スコア表[#Headers],0))
-
INDEX(スコア表2[],MATCH("average",スコア表2[maxmin],0),MATCH(L$5,スコア表2[#Headers],0)))
/
INDEX(スコア表2[],MATCH("stdev.p",スコア表2[maxmin],0),MATCH(L$5,スコア表2[#Headers],0))
*10+50,"-")</f>
        <v>54.700586160653749</v>
      </c>
      <c r="M23" s="4">
        <f>IFERROR(
(INDEX(スコア表[],MATCH($C23,スコア表['#],0),MATCH(M$5,スコア表[#Headers],0))
-
INDEX(スコア表2[],MATCH("average",スコア表2[maxmin],0),MATCH(M$5,スコア表2[#Headers],0)))
/
INDEX(スコア表2[],MATCH("stdev.p",スコア表2[maxmin],0),MATCH(M$5,スコア表2[#Headers],0))
*10+50,"-")</f>
        <v>50.012629601856048</v>
      </c>
      <c r="N23" s="4">
        <f>IFERROR(
(INDEX(スコア表[],MATCH($C23,スコア表['#],0),MATCH(N$5,スコア表[#Headers],0))
-
INDEX(スコア表2[],MATCH("average",スコア表2[maxmin],0),MATCH(N$5,スコア表2[#Headers],0)))
/
INDEX(スコア表2[],MATCH("stdev.p",スコア表2[maxmin],0),MATCH(N$5,スコア表2[#Headers],0))
*10+50,"-")</f>
        <v>52.525270985821898</v>
      </c>
      <c r="O23" s="4">
        <f>IFERROR(
(INDEX(スコア表[],MATCH($C23,スコア表['#],0),MATCH(O$5,スコア表[#Headers],0))
-
INDEX(スコア表2[],MATCH("average",スコア表2[maxmin],0),MATCH(O$5,スコア表2[#Headers],0)))
/
INDEX(スコア表2[],MATCH("stdev.p",スコア表2[maxmin],0),MATCH(O$5,スコア表2[#Headers],0))
*10+50,"-")</f>
        <v>50.094708402954353</v>
      </c>
      <c r="P23" s="4">
        <f>IFERROR(
(INDEX(スコア表[],MATCH($C23,スコア表['#],0),MATCH(P$5,スコア表[#Headers],0))
-
INDEX(スコア表2[],MATCH("average",スコア表2[maxmin],0),MATCH(P$5,スコア表2[#Headers],0)))
/
INDEX(スコア表2[],MATCH("stdev.p",スコア表2[maxmin],0),MATCH(P$5,スコア表2[#Headers],0))
*10+50,"-")</f>
        <v>49.28099839655188</v>
      </c>
      <c r="Q23" s="4">
        <f>IFERROR(
(INDEX(スコア表[],MATCH($C23,スコア表['#],0),MATCH(Q$5,スコア表[#Headers],0))
-
INDEX(スコア表2[],MATCH("average",スコア表2[maxmin],0),MATCH(Q$5,スコア表2[#Headers],0)))
/
INDEX(スコア表2[],MATCH("stdev.p",スコア表2[maxmin],0),MATCH(Q$5,スコア表2[#Headers],0))
*10+50,"-")</f>
        <v>45.214790863544415</v>
      </c>
      <c r="R23" s="4">
        <f>IFERROR(
(INDEX(スコア表[],MATCH($C23,スコア表['#],0),MATCH(R$5,スコア表[#Headers],0))
-
INDEX(スコア表2[],MATCH("average",スコア表2[maxmin],0),MATCH(R$5,スコア表2[#Headers],0)))
/
INDEX(スコア表2[],MATCH("stdev.p",スコア表2[maxmin],0),MATCH(R$5,スコア表2[#Headers],0))
*10+50,"-")</f>
        <v>65.669117785246826</v>
      </c>
      <c r="S23" s="4">
        <f>IFERROR(
(INDEX(スコア表[],MATCH($C23,スコア表['#],0),MATCH(S$5,スコア表[#Headers],0))
-
INDEX(スコア表2[],MATCH("average",スコア表2[maxmin],0),MATCH(S$5,スコア表2[#Headers],0)))
/
INDEX(スコア表2[],MATCH("stdev.p",スコア表2[maxmin],0),MATCH(S$5,スコア表2[#Headers],0))
*10+50,"-")</f>
        <v>65.066183395963407</v>
      </c>
      <c r="T23" s="4">
        <f>IFERROR(
(INDEX(スコア表[],MATCH($C23,スコア表['#],0),MATCH(T$5,スコア表[#Headers],0))
-
INDEX(スコア表2[],MATCH("average",スコア表2[maxmin],0),MATCH(T$5,スコア表2[#Headers],0)))
/
INDEX(スコア表2[],MATCH("stdev.p",スコア表2[maxmin],0),MATCH(T$5,スコア表2[#Headers],0))
*10+50,"-")</f>
        <v>58.986552765510716</v>
      </c>
      <c r="U23" s="4">
        <f>IFERROR(
(INDEX(スコア表[],MATCH($C23,スコア表['#],0),MATCH(U$5,スコア表[#Headers],0))
-
INDEX(スコア表2[],MATCH("average",スコア表2[maxmin],0),MATCH(U$5,スコア表2[#Headers],0)))
/
INDEX(スコア表2[],MATCH("stdev.p",スコア表2[maxmin],0),MATCH(U$5,スコア表2[#Headers],0))
*10+50,"-")</f>
        <v>54.59622017762144</v>
      </c>
      <c r="V23" s="4">
        <f>IFERROR(
(INDEX(スコア表[],MATCH($C23,スコア表['#],0),MATCH(V$5,スコア表[#Headers],0))
-
INDEX(スコア表2[],MATCH("average",スコア表2[maxmin],0),MATCH(V$5,スコア表2[#Headers],0)))
/
INDEX(スコア表2[],MATCH("stdev.p",スコア表2[maxmin],0),MATCH(V$5,スコア表2[#Headers],0))
*10+50,"-")</f>
        <v>73.332972181537755</v>
      </c>
      <c r="W23" s="4">
        <f>IFERROR(
(INDEX(スコア表[],MATCH($C23,スコア表['#],0),MATCH(W$5,スコア表[#Headers],0))
-
INDEX(スコア表2[],MATCH("average",スコア表2[maxmin],0),MATCH(W$5,スコア表2[#Headers],0)))
/
INDEX(スコア表2[],MATCH("stdev.p",スコア表2[maxmin],0),MATCH(W$5,スコア表2[#Headers],0))
*10+50,"-")</f>
        <v>47.383097400563393</v>
      </c>
      <c r="X23" s="4">
        <f>IFERROR(
(INDEX(スコア表[],MATCH($C23,スコア表['#],0),MATCH(X$5,スコア表[#Headers],0))
-
INDEX(スコア表2[],MATCH("average",スコア表2[maxmin],0),MATCH(X$5,スコア表2[#Headers],0)))
/
INDEX(スコア表2[],MATCH("stdev.p",スコア表2[maxmin],0),MATCH(X$5,スコア表2[#Headers],0))
*10+50,"-")</f>
        <v>54.188501372545318</v>
      </c>
      <c r="Y23" s="4">
        <f>IFERROR(
(INDEX(スコア表[],MATCH($C23,スコア表['#],0),MATCH(Y$5,スコア表[#Headers],0))
-
INDEX(スコア表2[],MATCH("average",スコア表2[maxmin],0),MATCH(Y$5,スコア表2[#Headers],0)))
/
INDEX(スコア表2[],MATCH("stdev.p",スコア表2[maxmin],0),MATCH(Y$5,スコア表2[#Headers],0))
*10+50,"-")</f>
        <v>59.307021739501756</v>
      </c>
      <c r="Z23" s="4">
        <f>IFERROR(
(INDEX(スコア表[],MATCH($C23,スコア表['#],0),MATCH(Z$5,スコア表[#Headers],0))
-
INDEX(スコア表2[],MATCH("average",スコア表2[maxmin],0),MATCH(Z$5,スコア表2[#Headers],0)))
/
INDEX(スコア表2[],MATCH("stdev.p",スコア表2[maxmin],0),MATCH(Z$5,スコア表2[#Headers],0))
*10+50,"-")</f>
        <v>56.183329811629349</v>
      </c>
      <c r="AA23" s="4">
        <f>IFERROR(
(INDEX(スコア表[],MATCH($C23,スコア表['#],0),MATCH(AA$5,スコア表[#Headers],0))
-
INDEX(スコア表2[],MATCH("average",スコア表2[maxmin],0),MATCH(AA$5,スコア表2[#Headers],0)))
/
INDEX(スコア表2[],MATCH("stdev.p",スコア表2[maxmin],0),MATCH(AA$5,スコア表2[#Headers],0))
*10+50,"-")</f>
        <v>44.664612103409482</v>
      </c>
      <c r="AB23" s="4">
        <f>IFERROR(
(INDEX(スコア表[],MATCH($C23,スコア表['#],0),MATCH(AB$5,スコア表[#Headers],0))
-
INDEX(スコア表2[],MATCH("average",スコア表2[maxmin],0),MATCH(AB$5,スコア表2[#Headers],0)))
/
INDEX(スコア表2[],MATCH("stdev.p",スコア表2[maxmin],0),MATCH(AB$5,スコア表2[#Headers],0))
*10+50,"-")</f>
        <v>46.433519105993724</v>
      </c>
      <c r="AC23" s="4">
        <f>IFERROR(
(INDEX(スコア表[],MATCH($C23,スコア表['#],0),MATCH(AC$5,スコア表[#Headers],0))
-
INDEX(スコア表2[],MATCH("average",スコア表2[maxmin],0),MATCH(AC$5,スコア表2[#Headers],0)))
/
INDEX(スコア表2[],MATCH("stdev.p",スコア表2[maxmin],0),MATCH(AC$5,スコア表2[#Headers],0))
*10+50,"-")</f>
        <v>45.000077077054186</v>
      </c>
      <c r="AD23" s="4">
        <f>IFERROR(
(INDEX(スコア表[],MATCH($C23,スコア表['#],0),MATCH(AD$5,スコア表[#Headers],0))
-
INDEX(スコア表2[],MATCH("average",スコア表2[maxmin],0),MATCH(AD$5,スコア表2[#Headers],0)))
/
INDEX(スコア表2[],MATCH("stdev.p",スコア表2[maxmin],0),MATCH(AD$5,スコア表2[#Headers],0))
*10+50,"-")</f>
        <v>44.514425746264045</v>
      </c>
      <c r="AE23" s="4">
        <f>IFERROR(
(INDEX(スコア表[],MATCH($C23,スコア表['#],0),MATCH(AE$5,スコア表[#Headers],0))
-
INDEX(スコア表2[],MATCH("average",スコア表2[maxmin],0),MATCH(AE$5,スコア表2[#Headers],0)))
/
INDEX(スコア表2[],MATCH("stdev.p",スコア表2[maxmin],0),MATCH(AE$5,スコア表2[#Headers],0))
*10+50,"-")</f>
        <v>63.530649542049375</v>
      </c>
      <c r="AF23" s="4">
        <f>IFERROR(
(INDEX(スコア表[],MATCH($C23,スコア表['#],0),MATCH(AF$5,スコア表[#Headers],0))
-
INDEX(スコア表2[],MATCH("average",スコア表2[maxmin],0),MATCH(AF$5,スコア表2[#Headers],0)))
/
INDEX(スコア表2[],MATCH("stdev.p",スコア表2[maxmin],0),MATCH(AF$5,スコア表2[#Headers],0))
*10+50,"-")</f>
        <v>48.323324157021453</v>
      </c>
      <c r="AG23" s="4">
        <f>IFERROR(
(INDEX(スコア表[],MATCH($C23,スコア表['#],0),MATCH(AG$5,スコア表[#Headers],0))
-
INDEX(スコア表2[],MATCH("average",スコア表2[maxmin],0),MATCH(AG$5,スコア表2[#Headers],0)))
/
INDEX(スコア表2[],MATCH("stdev.p",スコア表2[maxmin],0),MATCH(AG$5,スコア表2[#Headers],0))
*10+50,"-")</f>
        <v>46.535647721738535</v>
      </c>
      <c r="AH23" s="4">
        <f>IFERROR(
(INDEX(スコア表[],MATCH($C23,スコア表['#],0),MATCH(AH$5,スコア表[#Headers],0))
-
INDEX(スコア表2[],MATCH("average",スコア表2[maxmin],0),MATCH(AH$5,スコア表2[#Headers],0)))
/
INDEX(スコア表2[],MATCH("stdev.p",スコア表2[maxmin],0),MATCH(AH$5,スコア表2[#Headers],0))
*10+50,"-")</f>
        <v>42.849325941718909</v>
      </c>
      <c r="AI23" s="4">
        <f>IFERROR(
(INDEX(スコア表[],MATCH($C23,スコア表['#],0),MATCH(AI$5,スコア表[#Headers],0))
-
INDEX(スコア表2[],MATCH("average",スコア表2[maxmin],0),MATCH(AI$5,スコア表2[#Headers],0)))
/
INDEX(スコア表2[],MATCH("stdev.p",スコア表2[maxmin],0),MATCH(AI$5,スコア表2[#Headers],0))
*10+50,"-")</f>
        <v>42.803875647770042</v>
      </c>
      <c r="AJ23" s="4">
        <f>IFERROR(
(INDEX(スコア表[],MATCH($C23,スコア表['#],0),MATCH(AJ$5,スコア表[#Headers],0))
-
INDEX(スコア表2[],MATCH("average",スコア表2[maxmin],0),MATCH(AJ$5,スコア表2[#Headers],0)))
/
INDEX(スコア表2[],MATCH("stdev.p",スコア表2[maxmin],0),MATCH(AJ$5,スコア表2[#Headers],0))
*10+50,"-")</f>
        <v>42.113557716559349</v>
      </c>
      <c r="AK23" s="4">
        <f>IFERROR(
(INDEX(スコア表[],MATCH($C23,スコア表['#],0),MATCH(AK$5,スコア表[#Headers],0))
-
INDEX(スコア表2[],MATCH("average",スコア表2[maxmin],0),MATCH(AK$5,スコア表2[#Headers],0)))
/
INDEX(スコア表2[],MATCH("stdev.p",スコア表2[maxmin],0),MATCH(AK$5,スコア表2[#Headers],0))
*10+50,"-")</f>
        <v>42.51981589260734</v>
      </c>
      <c r="AL23" s="4">
        <f>IFERROR(
(INDEX(スコア表[],MATCH($C23,スコア表['#],0),MATCH(AL$5,スコア表[#Headers],0))
-
INDEX(スコア表2[],MATCH("average",スコア表2[maxmin],0),MATCH(AL$5,スコア表2[#Headers],0)))
/
INDEX(スコア表2[],MATCH("stdev.p",スコア表2[maxmin],0),MATCH(AL$5,スコア表2[#Headers],0))
*10+50,"-")</f>
        <v>48.444941261127894</v>
      </c>
      <c r="AM23" s="4">
        <f>IFERROR(
(INDEX(スコア表[],MATCH($C23,スコア表['#],0),MATCH(AM$5,スコア表[#Headers],0))
-
INDEX(スコア表2[],MATCH("average",スコア表2[maxmin],0),MATCH(AM$5,スコア表2[#Headers],0)))
/
INDEX(スコア表2[],MATCH("stdev.p",スコア表2[maxmin],0),MATCH(AM$5,スコア表2[#Headers],0))
*10+50,"-")</f>
        <v>53.217581386945831</v>
      </c>
      <c r="AN23" s="4">
        <f>IFERROR(
(INDEX(スコア表[],MATCH($C23,スコア表['#],0),MATCH(AN$5,スコア表[#Headers],0))
-
INDEX(スコア表2[],MATCH("average",スコア表2[maxmin],0),MATCH(AN$5,スコア表2[#Headers],0)))
/
INDEX(スコア表2[],MATCH("stdev.p",スコア表2[maxmin],0),MATCH(AN$5,スコア表2[#Headers],0))
*10+50,"-")</f>
        <v>60.381629967730902</v>
      </c>
      <c r="AO23" s="4">
        <f>IFERROR(
(INDEX(スコア表[],MATCH($C23,スコア表['#],0),MATCH(AO$5,スコア表[#Headers],0))
-
INDEX(スコア表2[],MATCH("average",スコア表2[maxmin],0),MATCH(AO$5,スコア表2[#Headers],0)))
/
INDEX(スコア表2[],MATCH("stdev.p",スコア表2[maxmin],0),MATCH(AO$5,スコア表2[#Headers],0))
*10+50,"-")</f>
        <v>51.208401677795031</v>
      </c>
      <c r="AP23" s="4">
        <f>IFERROR(
(INDEX(スコア表[],MATCH($C23,スコア表['#],0),MATCH(AP$5,スコア表[#Headers],0))
-
INDEX(スコア表2[],MATCH("average",スコア表2[maxmin],0),MATCH(AP$5,スコア表2[#Headers],0)))
/
INDEX(スコア表2[],MATCH("stdev.p",スコア表2[maxmin],0),MATCH(AP$5,スコア表2[#Headers],0))
*10+50,"-")</f>
        <v>51.499993421135066</v>
      </c>
      <c r="AQ23" s="4">
        <f>IFERROR(
(INDEX(スコア表[],MATCH($C23,スコア表['#],0),MATCH(AQ$5,スコア表[#Headers],0))
-
INDEX(スコア表2[],MATCH("average",スコア表2[maxmin],0),MATCH(AQ$5,スコア表2[#Headers],0)))
/
INDEX(スコア表2[],MATCH("stdev.p",スコア表2[maxmin],0),MATCH(AQ$5,スコア表2[#Headers],0))
*10+50,"-")</f>
        <v>52.808103930801671</v>
      </c>
      <c r="AR23" s="4">
        <f>IFERROR(
(INDEX(スコア表[],MATCH($C23,スコア表['#],0),MATCH(AR$5,スコア表[#Headers],0))
-
INDEX(スコア表2[],MATCH("average",スコア表2[maxmin],0),MATCH(AR$5,スコア表2[#Headers],0)))
/
INDEX(スコア表2[],MATCH("stdev.p",スコア表2[maxmin],0),MATCH(AR$5,スコア表2[#Headers],0))
*10+50,"-")</f>
        <v>42.723215126668819</v>
      </c>
      <c r="AS23" s="4">
        <f>IFERROR(
(INDEX(スコア表[],MATCH($C23,スコア表['#],0),MATCH(AS$5,スコア表[#Headers],0))
-
INDEX(スコア表2[],MATCH("average",スコア表2[maxmin],0),MATCH(AS$5,スコア表2[#Headers],0)))
/
INDEX(スコア表2[],MATCH("stdev.p",スコア表2[maxmin],0),MATCH(AS$5,スコア表2[#Headers],0))
*10+50,"-")</f>
        <v>53.719654233011219</v>
      </c>
      <c r="AT23" s="4">
        <f>IFERROR(
(INDEX(スコア表[],MATCH($C23,スコア表['#],0),MATCH(AT$5,スコア表[#Headers],0))
-
INDEX(スコア表2[],MATCH("average",スコア表2[maxmin],0),MATCH(AT$5,スコア表2[#Headers],0)))
/
INDEX(スコア表2[],MATCH("stdev.p",スコア表2[maxmin],0),MATCH(AT$5,スコア表2[#Headers],0))
*10+50,"-")</f>
        <v>51.785572523871011</v>
      </c>
      <c r="AU23" s="4">
        <f>IFERROR(
(INDEX(スコア表[],MATCH($C23,スコア表['#],0),MATCH(AU$5,スコア表[#Headers],0))
-
INDEX(スコア表2[],MATCH("average",スコア表2[maxmin],0),MATCH(AU$5,スコア表2[#Headers],0)))
/
INDEX(スコア表2[],MATCH("stdev.p",スコア表2[maxmin],0),MATCH(AU$5,スコア表2[#Headers],0))
*10+50,"-")</f>
        <v>47.349518293166305</v>
      </c>
      <c r="AV23" s="4">
        <f>IFERROR(
(INDEX(スコア表[],MATCH($C23,スコア表['#],0),MATCH(AV$5,スコア表[#Headers],0))
-
INDEX(スコア表2[],MATCH("average",スコア表2[maxmin],0),MATCH(AV$5,スコア表2[#Headers],0)))
/
INDEX(スコア表2[],MATCH("stdev.p",スコア表2[maxmin],0),MATCH(AV$5,スコア表2[#Headers],0))
*10+50,"-")</f>
        <v>42.494213414696517</v>
      </c>
      <c r="AW23" s="4">
        <f>IFERROR(
(INDEX(スコア表[],MATCH($C23,スコア表['#],0),MATCH(AW$5,スコア表[#Headers],0))
-
INDEX(スコア表2[],MATCH("average",スコア表2[maxmin],0),MATCH(AW$5,スコア表2[#Headers],0)))
/
INDEX(スコア表2[],MATCH("stdev.p",スコア表2[maxmin],0),MATCH(AW$5,スコア表2[#Headers],0))
*10+50,"-")</f>
        <v>47.782976712117531</v>
      </c>
      <c r="AX23" s="4">
        <f>IFERROR(
(INDEX(スコア表[],MATCH($C23,スコア表['#],0),MATCH(AX$5,スコア表[#Headers],0))
-
INDEX(スコア表2[],MATCH("average",スコア表2[maxmin],0),MATCH(AX$5,スコア表2[#Headers],0)))
/
INDEX(スコア表2[],MATCH("stdev.p",スコア表2[maxmin],0),MATCH(AX$5,スコア表2[#Headers],0))
*10+50,"-")</f>
        <v>54.830687352128436</v>
      </c>
      <c r="AY23" s="4">
        <f>IFERROR(
(INDEX(スコア表[],MATCH($C23,スコア表['#],0),MATCH(AY$5,スコア表[#Headers],0))
-
INDEX(スコア表2[],MATCH("average",スコア表2[maxmin],0),MATCH(AY$5,スコア表2[#Headers],0)))
/
INDEX(スコア表2[],MATCH("stdev.p",スコア表2[maxmin],0),MATCH(AY$5,スコア表2[#Headers],0))
*10+50,"-")</f>
        <v>51.651336674175916</v>
      </c>
      <c r="AZ23" s="4">
        <f>IFERROR(
(INDEX(スコア表[],MATCH($C23,スコア表['#],0),MATCH(AZ$5,スコア表[#Headers],0))
-
INDEX(スコア表2[],MATCH("average",スコア表2[maxmin],0),MATCH(AZ$5,スコア表2[#Headers],0)))
/
INDEX(スコア表2[],MATCH("stdev.p",スコア表2[maxmin],0),MATCH(AZ$5,スコア表2[#Headers],0))
*10+50,"-")</f>
        <v>63.434261897564284</v>
      </c>
      <c r="BA23" s="4">
        <f>IFERROR(
(INDEX(スコア表[],MATCH($C23,スコア表['#],0),MATCH(BA$5,スコア表[#Headers],0))
-
INDEX(スコア表2[],MATCH("average",スコア表2[maxmin],0),MATCH(BA$5,スコア表2[#Headers],0)))
/
INDEX(スコア表2[],MATCH("stdev.p",スコア表2[maxmin],0),MATCH(BA$5,スコア表2[#Headers],0))
*10+50,"-")</f>
        <v>42.06115876993487</v>
      </c>
      <c r="BB23" s="4">
        <f>IFERROR(
(INDEX(スコア表[],MATCH($C23,スコア表['#],0),MATCH(BB$5,スコア表[#Headers],0))
-
INDEX(スコア表2[],MATCH("average",スコア表2[maxmin],0),MATCH(BB$5,スコア表2[#Headers],0)))
/
INDEX(スコア表2[],MATCH("stdev.p",スコア表2[maxmin],0),MATCH(BB$5,スコア表2[#Headers],0))
*10+50,"-")</f>
        <v>52.077685142349011</v>
      </c>
      <c r="BC23" s="4">
        <f>IFERROR(
(INDEX(スコア表[],MATCH($C23,スコア表['#],0),MATCH(BC$5,スコア表[#Headers],0))
-
INDEX(スコア表2[],MATCH("average",スコア表2[maxmin],0),MATCH(BC$5,スコア表2[#Headers],0)))
/
INDEX(スコア表2[],MATCH("stdev.p",スコア表2[maxmin],0),MATCH(BC$5,スコア表2[#Headers],0))
*10+50,"-")</f>
        <v>44.874668968881345</v>
      </c>
      <c r="BD23" s="4">
        <f>IFERROR(
(INDEX(スコア表[],MATCH($C23,スコア表['#],0),MATCH(BD$5,スコア表[#Headers],0))
-
INDEX(スコア表2[],MATCH("average",スコア表2[maxmin],0),MATCH(BD$5,スコア表2[#Headers],0)))
/
INDEX(スコア表2[],MATCH("stdev.p",スコア表2[maxmin],0),MATCH(BD$5,スコア表2[#Headers],0))
*10+50,"-")</f>
        <v>46.947229840284912</v>
      </c>
      <c r="BE23" s="4">
        <f>IFERROR(
(INDEX(スコア表[],MATCH($C23,スコア表['#],0),MATCH(BE$5,スコア表[#Headers],0))
-
INDEX(スコア表2[],MATCH("average",スコア表2[maxmin],0),MATCH(BE$5,スコア表2[#Headers],0)))
/
INDEX(スコア表2[],MATCH("stdev.p",スコア表2[maxmin],0),MATCH(BE$5,スコア表2[#Headers],0))
*10+50,"-")</f>
        <v>50.721999217608861</v>
      </c>
      <c r="BF23" s="4">
        <f>IFERROR(
(INDEX(スコア表[],MATCH($C23,スコア表['#],0),MATCH(BF$5,スコア表[#Headers],0))
-
INDEX(スコア表2[],MATCH("average",スコア表2[maxmin],0),MATCH(BF$5,スコア表2[#Headers],0)))
/
INDEX(スコア表2[],MATCH("stdev.p",スコア表2[maxmin],0),MATCH(BF$5,スコア表2[#Headers],0))
*10+50,"-")</f>
        <v>60.133414969535593</v>
      </c>
      <c r="BG23" s="4">
        <f>IFERROR(
(INDEX(スコア表[],MATCH($C23,スコア表['#],0),MATCH(BG$5,スコア表[#Headers],0))
-
INDEX(スコア表2[],MATCH("average",スコア表2[maxmin],0),MATCH(BG$5,スコア表2[#Headers],0)))
/
INDEX(スコア表2[],MATCH("stdev.p",スコア表2[maxmin],0),MATCH(BG$5,スコア表2[#Headers],0))
*10+50,"-")</f>
        <v>44.428158582861741</v>
      </c>
      <c r="BH23" s="4">
        <f>IFERROR(
(INDEX(スコア表[],MATCH($C23,スコア表['#],0),MATCH(BH$5,スコア表[#Headers],0))
-
INDEX(スコア表2[],MATCH("average",スコア表2[maxmin],0),MATCH(BH$5,スコア表2[#Headers],0)))
/
INDEX(スコア表2[],MATCH("stdev.p",スコア表2[maxmin],0),MATCH(BH$5,スコア表2[#Headers],0))
*10+50,"-")</f>
        <v>38.3032629843389</v>
      </c>
      <c r="BI23" s="4">
        <f>IFERROR(
(INDEX(スコア表[],MATCH($C23,スコア表['#],0),MATCH(BI$5,スコア表[#Headers],0))
-
INDEX(スコア表2[],MATCH("average",スコア表2[maxmin],0),MATCH(BI$5,スコア表2[#Headers],0)))
/
INDEX(スコア表2[],MATCH("stdev.p",スコア表2[maxmin],0),MATCH(BI$5,スコア表2[#Headers],0))
*10+50,"-")</f>
        <v>57.076563416299621</v>
      </c>
      <c r="BJ23" s="4">
        <f>IFERROR(
(INDEX(スコア表[],MATCH($C23,スコア表['#],0),MATCH(BJ$5,スコア表[#Headers],0))
-
INDEX(スコア表2[],MATCH("average",スコア表2[maxmin],0),MATCH(BJ$5,スコア表2[#Headers],0)))
/
INDEX(スコア表2[],MATCH("stdev.p",スコア表2[maxmin],0),MATCH(BJ$5,スコア表2[#Headers],0))
*10+50,"-")</f>
        <v>58.293295573414149</v>
      </c>
      <c r="BK23" s="4">
        <f>IFERROR(
(INDEX(スコア表[],MATCH($C23,スコア表['#],0),MATCH(BK$5,スコア表[#Headers],0))
-
INDEX(スコア表2[],MATCH("average",スコア表2[maxmin],0),MATCH(BK$5,スコア表2[#Headers],0)))
/
INDEX(スコア表2[],MATCH("stdev.p",スコア表2[maxmin],0),MATCH(BK$5,スコア表2[#Headers],0))
*10+50,"-")</f>
        <v>50.753084252789307</v>
      </c>
      <c r="BL23" s="4">
        <f>IFERROR(
(INDEX(スコア表[],MATCH($C23,スコア表['#],0),MATCH(BL$5,スコア表[#Headers],0))
-
INDEX(スコア表2[],MATCH("average",スコア表2[maxmin],0),MATCH(BL$5,スコア表2[#Headers],0)))
/
INDEX(スコア表2[],MATCH("stdev.p",スコア表2[maxmin],0),MATCH(BL$5,スコア表2[#Headers],0))
*10+50,"-")</f>
        <v>51.425192765751802</v>
      </c>
      <c r="BM23" s="4">
        <f>IFERROR(
(INDEX(スコア表[],MATCH($C23,スコア表['#],0),MATCH(BM$5,スコア表[#Headers],0))
-
INDEX(スコア表2[],MATCH("average",スコア表2[maxmin],0),MATCH(BM$5,スコア表2[#Headers],0)))
/
INDEX(スコア表2[],MATCH("stdev.p",スコア表2[maxmin],0),MATCH(BM$5,スコア表2[#Headers],0))
*10+50,"-")</f>
        <v>44.692966425361725</v>
      </c>
      <c r="BN23" s="4">
        <f>IFERROR(
(INDEX(スコア表[],MATCH($C23,スコア表['#],0),MATCH(BN$5,スコア表[#Headers],0))
-
INDEX(スコア表2[],MATCH("average",スコア表2[maxmin],0),MATCH(BN$5,スコア表2[#Headers],0)))
/
INDEX(スコア表2[],MATCH("stdev.p",スコア表2[maxmin],0),MATCH(BN$5,スコア表2[#Headers],0))
*10+50,"-")</f>
        <v>56.556928262072127</v>
      </c>
      <c r="BO23" s="4">
        <f>IFERROR(
(INDEX(スコア表[],MATCH($C23,スコア表['#],0),MATCH(BO$5,スコア表[#Headers],0))
-
INDEX(スコア表2[],MATCH("average",スコア表2[maxmin],0),MATCH(BO$5,スコア表2[#Headers],0)))
/
INDEX(スコア表2[],MATCH("stdev.p",スコア表2[maxmin],0),MATCH(BO$5,スコア表2[#Headers],0))
*10+50,"-")</f>
        <v>48.704692160164683</v>
      </c>
      <c r="BP23" s="4">
        <f>IFERROR(
(INDEX(スコア表[],MATCH($C23,スコア表['#],0),MATCH(BP$5,スコア表[#Headers],0))
-
INDEX(スコア表2[],MATCH("average",スコア表2[maxmin],0),MATCH(BP$5,スコア表2[#Headers],0)))
/
INDEX(スコア表2[],MATCH("stdev.p",スコア表2[maxmin],0),MATCH(BP$5,スコア表2[#Headers],0))
*10+50,"-")</f>
        <v>46.141394254093655</v>
      </c>
      <c r="BQ23" s="4">
        <f>IFERROR(
(INDEX(スコア表[],MATCH($C23,スコア表['#],0),MATCH(BQ$5,スコア表[#Headers],0))
-
INDEX(スコア表2[],MATCH("average",スコア表2[maxmin],0),MATCH(BQ$5,スコア表2[#Headers],0)))
/
INDEX(スコア表2[],MATCH("stdev.p",スコア表2[maxmin],0),MATCH(BQ$5,スコア表2[#Headers],0))
*10+50,"-")</f>
        <v>79.344086386181615</v>
      </c>
      <c r="BR23" s="4">
        <f>IFERROR(
(INDEX(スコア表[],MATCH($C23,スコア表['#],0),MATCH(BR$5,スコア表[#Headers],0))
-
INDEX(スコア表2[],MATCH("average",スコア表2[maxmin],0),MATCH(BR$5,スコア表2[#Headers],0)))
/
INDEX(スコア表2[],MATCH("stdev.p",スコア表2[maxmin],0),MATCH(BR$5,スコア表2[#Headers],0))
*10+50,"-")</f>
        <v>38.078677393745565</v>
      </c>
      <c r="BS23" s="4">
        <f>IFERROR(
(INDEX(スコア表[],MATCH($C23,スコア表['#],0),MATCH(BS$5,スコア表[#Headers],0))
-
INDEX(スコア表2[],MATCH("average",スコア表2[maxmin],0),MATCH(BS$5,スコア表2[#Headers],0)))
/
INDEX(スコア表2[],MATCH("stdev.p",スコア表2[maxmin],0),MATCH(BS$5,スコア表2[#Headers],0))
*10+50,"-")</f>
        <v>39.123554562983131</v>
      </c>
      <c r="BT23" s="4">
        <f>IFERROR(
(INDEX(スコア表[],MATCH($C23,スコア表['#],0),MATCH(BT$5,スコア表[#Headers],0))
-
INDEX(スコア表2[],MATCH("average",スコア表2[maxmin],0),MATCH(BT$5,スコア表2[#Headers],0)))
/
INDEX(スコア表2[],MATCH("stdev.p",スコア表2[maxmin],0),MATCH(BT$5,スコア表2[#Headers],0))
*10+50,"-")</f>
        <v>47.570605336734765</v>
      </c>
      <c r="BU23" s="4">
        <f>IFERROR(
(INDEX(スコア表[],MATCH($C23,スコア表['#],0),MATCH(BU$5,スコア表[#Headers],0))
-
INDEX(スコア表2[],MATCH("average",スコア表2[maxmin],0),MATCH(BU$5,スコア表2[#Headers],0)))
/
INDEX(スコア表2[],MATCH("stdev.p",スコア表2[maxmin],0),MATCH(BU$5,スコア表2[#Headers],0))
*10+50,"-")</f>
        <v>66.489874806094519</v>
      </c>
      <c r="BV23" s="4">
        <f>IFERROR(
(INDEX(スコア表[],MATCH($C23,スコア表['#],0),MATCH(BV$5,スコア表[#Headers],0))
-
INDEX(スコア表2[],MATCH("average",スコア表2[maxmin],0),MATCH(BV$5,スコア表2[#Headers],0)))
/
INDEX(スコア表2[],MATCH("stdev.p",スコア表2[maxmin],0),MATCH(BV$5,スコア表2[#Headers],0))
*10+50,"-")</f>
        <v>51.043469864147959</v>
      </c>
      <c r="BW23" s="4">
        <f>IFERROR(
(INDEX(スコア表[],MATCH($C23,スコア表['#],0),MATCH(BW$5,スコア表[#Headers],0))
-
INDEX(スコア表2[],MATCH("average",スコア表2[maxmin],0),MATCH(BW$5,スコア表2[#Headers],0)))
/
INDEX(スコア表2[],MATCH("stdev.p",スコア表2[maxmin],0),MATCH(BW$5,スコア表2[#Headers],0))
*10+50,"-")</f>
        <v>39.968462495758075</v>
      </c>
      <c r="BX23" s="4">
        <f>IFERROR(
(INDEX(スコア表[],MATCH($C23,スコア表['#],0),MATCH(BX$5,スコア表[#Headers],0))
-
INDEX(スコア表2[],MATCH("average",スコア表2[maxmin],0),MATCH(BX$5,スコア表2[#Headers],0)))
/
INDEX(スコア表2[],MATCH("stdev.p",スコア表2[maxmin],0),MATCH(BX$5,スコア表2[#Headers],0))
*10+50,"-")</f>
        <v>59.597948310907412</v>
      </c>
      <c r="BY23" s="4">
        <f>IFERROR(
(INDEX(スコア表[],MATCH($C23,スコア表['#],0),MATCH(BY$5,スコア表[#Headers],0))
-
INDEX(スコア表2[],MATCH("average",スコア表2[maxmin],0),MATCH(BY$5,スコア表2[#Headers],0)))
/
INDEX(スコア表2[],MATCH("stdev.p",スコア表2[maxmin],0),MATCH(BY$5,スコア表2[#Headers],0))
*10+50,"-")</f>
        <v>45.518769417088656</v>
      </c>
      <c r="BZ23" s="4">
        <f>IFERROR(
(INDEX(スコア表[],MATCH($C23,スコア表['#],0),MATCH(BZ$5,スコア表[#Headers],0))
-
INDEX(スコア表2[],MATCH("average",スコア表2[maxmin],0),MATCH(BZ$5,スコア表2[#Headers],0)))
/
INDEX(スコア表2[],MATCH("stdev.p",スコア表2[maxmin],0),MATCH(BZ$5,スコア表2[#Headers],0))
*10+50,"-")</f>
        <v>52.237384448202477</v>
      </c>
      <c r="CA23" s="4">
        <f>IFERROR(
(INDEX(スコア表[],MATCH($C23,スコア表['#],0),MATCH(CA$5,スコア表[#Headers],0))
-
INDEX(スコア表2[],MATCH("average",スコア表2[maxmin],0),MATCH(CA$5,スコア表2[#Headers],0)))
/
INDEX(スコア表2[],MATCH("stdev.p",スコア表2[maxmin],0),MATCH(CA$5,スコア表2[#Headers],0))
*10+50,"-")</f>
        <v>30.671372855809899</v>
      </c>
      <c r="CB23" s="4">
        <f>IFERROR(
(INDEX(スコア表[],MATCH($C23,スコア表['#],0),MATCH(CB$5,スコア表[#Headers],0))
-
INDEX(スコア表2[],MATCH("average",スコア表2[maxmin],0),MATCH(CB$5,スコア表2[#Headers],0)))
/
INDEX(スコア表2[],MATCH("stdev.p",スコア表2[maxmin],0),MATCH(CB$5,スコア表2[#Headers],0))
*10+50,"-")</f>
        <v>52.924764319651459</v>
      </c>
      <c r="CC23" s="4">
        <f>IFERROR(
(INDEX(スコア表[],MATCH($C23,スコア表['#],0),MATCH(CC$5,スコア表[#Headers],0))
-
INDEX(スコア表2[],MATCH("average",スコア表2[maxmin],0),MATCH(CC$5,スコア表2[#Headers],0)))
/
INDEX(スコア表2[],MATCH("stdev.p",スコア表2[maxmin],0),MATCH(CC$5,スコア表2[#Headers],0))
*10+50,"-")</f>
        <v>52.023685406416838</v>
      </c>
      <c r="CD23" s="4">
        <f>IFERROR(
(INDEX(スコア表[],MATCH($C23,スコア表['#],0),MATCH(CD$5,スコア表[#Headers],0))
-
INDEX(スコア表2[],MATCH("average",スコア表2[maxmin],0),MATCH(CD$5,スコア表2[#Headers],0)))
/
INDEX(スコア表2[],MATCH("stdev.p",スコア表2[maxmin],0),MATCH(CD$5,スコア表2[#Headers],0))
*10+50,"-")</f>
        <v>53.392897219806677</v>
      </c>
      <c r="CE23" s="4">
        <f>IFERROR(
(INDEX(スコア表[],MATCH($C23,スコア表['#],0),MATCH(CE$5,スコア表[#Headers],0))
-
INDEX(スコア表2[],MATCH("average",スコア表2[maxmin],0),MATCH(CE$5,スコア表2[#Headers],0)))
/
INDEX(スコア表2[],MATCH("stdev.p",スコア表2[maxmin],0),MATCH(CE$5,スコア表2[#Headers],0))
*10+50,"-")</f>
        <v>65.474337255868903</v>
      </c>
      <c r="CF23" s="4">
        <f>IFERROR(
(INDEX(スコア表[],MATCH($C23,スコア表['#],0),MATCH(CF$5,スコア表[#Headers],0))
-
INDEX(スコア表2[],MATCH("average",スコア表2[maxmin],0),MATCH(CF$5,スコア表2[#Headers],0)))
/
INDEX(スコア表2[],MATCH("stdev.p",スコア表2[maxmin],0),MATCH(CF$5,スコア表2[#Headers],0))
*10+50,"-")</f>
        <v>66.940745307781128</v>
      </c>
      <c r="CG23" s="4">
        <f>IFERROR(
(INDEX(スコア表[],MATCH($C23,スコア表['#],0),MATCH(CG$5,スコア表[#Headers],0))
-
INDEX(スコア表2[],MATCH("average",スコア表2[maxmin],0),MATCH(CG$5,スコア表2[#Headers],0)))
/
INDEX(スコア表2[],MATCH("stdev.p",スコア表2[maxmin],0),MATCH(CG$5,スコア表2[#Headers],0))
*10+50,"-")</f>
        <v>55.445958823595703</v>
      </c>
      <c r="CH23" s="4">
        <f>IFERROR(
(INDEX(スコア表[],MATCH($C23,スコア表['#],0),MATCH(CH$5,スコア表[#Headers],0))
-
INDEX(スコア表2[],MATCH("average",スコア表2[maxmin],0),MATCH(CH$5,スコア表2[#Headers],0)))
/
INDEX(スコア表2[],MATCH("stdev.p",スコア表2[maxmin],0),MATCH(CH$5,スコア表2[#Headers],0))
*10+50,"-")</f>
        <v>49.001277778736316</v>
      </c>
      <c r="CI23" s="4">
        <f>IFERROR(
(INDEX(スコア表[],MATCH($C23,スコア表['#],0),MATCH(CI$5,スコア表[#Headers],0))
-
INDEX(スコア表2[],MATCH("average",スコア表2[maxmin],0),MATCH(CI$5,スコア表2[#Headers],0)))
/
INDEX(スコア表2[],MATCH("stdev.p",スコア表2[maxmin],0),MATCH(CI$5,スコア表2[#Headers],0))
*10+50,"-")</f>
        <v>50.918579546140897</v>
      </c>
      <c r="CJ23" s="4">
        <f>IFERROR(
(INDEX(スコア表[],MATCH($C23,スコア表['#],0),MATCH(CJ$5,スコア表[#Headers],0))
-
INDEX(スコア表2[],MATCH("average",スコア表2[maxmin],0),MATCH(CJ$5,スコア表2[#Headers],0)))
/
INDEX(スコア表2[],MATCH("stdev.p",スコア表2[maxmin],0),MATCH(CJ$5,スコア表2[#Headers],0))
*10+50,"-")</f>
        <v>41.261603689333015</v>
      </c>
      <c r="CK23" s="4">
        <f>IFERROR(
(INDEX(スコア表[],MATCH($C23,スコア表['#],0),MATCH(CK$5,スコア表[#Headers],0))
-
INDEX(スコア表2[],MATCH("average",スコア表2[maxmin],0),MATCH(CK$5,スコア表2[#Headers],0)))
/
INDEX(スコア表2[],MATCH("stdev.p",スコア表2[maxmin],0),MATCH(CK$5,スコア表2[#Headers],0))
*10+50,"-")</f>
        <v>43.329479733052409</v>
      </c>
      <c r="CL23" s="4">
        <f>IFERROR(
(INDEX(スコア表[],MATCH($C23,スコア表['#],0),MATCH(CL$5,スコア表[#Headers],0))
-
INDEX(スコア表2[],MATCH("average",スコア表2[maxmin],0),MATCH(CL$5,スコア表2[#Headers],0)))
/
INDEX(スコア表2[],MATCH("stdev.p",スコア表2[maxmin],0),MATCH(CL$5,スコア表2[#Headers],0))
*10+50,"-")</f>
        <v>55.191675177606932</v>
      </c>
      <c r="CM23" s="4">
        <f>IFERROR(
(INDEX(スコア表[],MATCH($C23,スコア表['#],0),MATCH(CM$5,スコア表[#Headers],0))
-
INDEX(スコア表2[],MATCH("average",スコア表2[maxmin],0),MATCH(CM$5,スコア表2[#Headers],0)))
/
INDEX(スコア表2[],MATCH("stdev.p",スコア表2[maxmin],0),MATCH(CM$5,スコア表2[#Headers],0))
*10+50,"-")</f>
        <v>46.920533952625853</v>
      </c>
      <c r="CN23" s="4">
        <f>IFERROR(
(INDEX(スコア表[],MATCH($C23,スコア表['#],0),MATCH(CN$5,スコア表[#Headers],0))
-
INDEX(スコア表2[],MATCH("average",スコア表2[maxmin],0),MATCH(CN$5,スコア表2[#Headers],0)))
/
INDEX(スコア表2[],MATCH("stdev.p",スコア表2[maxmin],0),MATCH(CN$5,スコア表2[#Headers],0))
*10+50,"-")</f>
        <v>50.783713090530213</v>
      </c>
      <c r="CO23" s="4">
        <f>IFERROR(
(INDEX(スコア表[],MATCH($C23,スコア表['#],0),MATCH(CO$5,スコア表[#Headers],0))
-
INDEX(スコア表2[],MATCH("average",スコア表2[maxmin],0),MATCH(CO$5,スコア表2[#Headers],0)))
/
INDEX(スコア表2[],MATCH("stdev.p",スコア表2[maxmin],0),MATCH(CO$5,スコア表2[#Headers],0))
*10+50,"-")</f>
        <v>44.429777022008835</v>
      </c>
      <c r="CP23" s="4">
        <f>IFERROR(
(INDEX(スコア表[],MATCH($C23,スコア表['#],0),MATCH(CP$5,スコア表[#Headers],0))
-
INDEX(スコア表2[],MATCH("average",スコア表2[maxmin],0),MATCH(CP$5,スコア表2[#Headers],0)))
/
INDEX(スコア表2[],MATCH("stdev.p",スコア表2[maxmin],0),MATCH(CP$5,スコア表2[#Headers],0))
*10+50,"-")</f>
        <v>55.101022245813709</v>
      </c>
      <c r="CQ23" s="4">
        <f>IFERROR(
(INDEX(スコア表[],MATCH($C23,スコア表['#],0),MATCH(CQ$5,スコア表[#Headers],0))
-
INDEX(スコア表2[],MATCH("average",スコア表2[maxmin],0),MATCH(CQ$5,スコア表2[#Headers],0)))
/
INDEX(スコア表2[],MATCH("stdev.p",スコア表2[maxmin],0),MATCH(CQ$5,スコア表2[#Headers],0))
*10+50,"-")</f>
        <v>52.383204893037899</v>
      </c>
      <c r="CR23" s="4">
        <f>IFERROR(
(INDEX(スコア表[],MATCH($C23,スコア表['#],0),MATCH(CR$5,スコア表[#Headers],0))
-
INDEX(スコア表2[],MATCH("average",スコア表2[maxmin],0),MATCH(CR$5,スコア表2[#Headers],0)))
/
INDEX(スコア表2[],MATCH("stdev.p",スコア表2[maxmin],0),MATCH(CR$5,スコア表2[#Headers],0))
*10+50,"-")</f>
        <v>50.646695146237455</v>
      </c>
      <c r="CS23" s="4">
        <f>IFERROR(
(INDEX(スコア表[],MATCH($C23,スコア表['#],0),MATCH(CS$5,スコア表[#Headers],0))
-
INDEX(スコア表2[],MATCH("average",スコア表2[maxmin],0),MATCH(CS$5,スコア表2[#Headers],0)))
/
INDEX(スコア表2[],MATCH("stdev.p",スコア表2[maxmin],0),MATCH(CS$5,スコア表2[#Headers],0))
*10+50,"-")</f>
        <v>43.224041712136149</v>
      </c>
      <c r="CT23" s="4">
        <f>IFERROR(
(INDEX(スコア表[],MATCH($C23,スコア表['#],0),MATCH(CT$5,スコア表[#Headers],0))
-
INDEX(スコア表2[],MATCH("average",スコア表2[maxmin],0),MATCH(CT$5,スコア表2[#Headers],0)))
/
INDEX(スコア表2[],MATCH("stdev.p",スコア表2[maxmin],0),MATCH(CT$5,スコア表2[#Headers],0))
*10+50,"-")</f>
        <v>55.887987614681109</v>
      </c>
      <c r="CU23" s="4">
        <f>IFERROR(
(INDEX(スコア表[],MATCH($C23,スコア表['#],0),MATCH(CU$5,スコア表[#Headers],0))
-
INDEX(スコア表2[],MATCH("average",スコア表2[maxmin],0),MATCH(CU$5,スコア表2[#Headers],0)))
/
INDEX(スコア表2[],MATCH("stdev.p",スコア表2[maxmin],0),MATCH(CU$5,スコア表2[#Headers],0))
*10+50,"-")</f>
        <v>49.660334063757318</v>
      </c>
      <c r="CV23" s="4">
        <f>IFERROR(
(INDEX(スコア表[],MATCH($C23,スコア表['#],0),MATCH(CV$5,スコア表[#Headers],0))
-
INDEX(スコア表2[],MATCH("average",スコア表2[maxmin],0),MATCH(CV$5,スコア表2[#Headers],0)))
/
INDEX(スコア表2[],MATCH("stdev.p",スコア表2[maxmin],0),MATCH(CV$5,スコア表2[#Headers],0))
*10+50,"-")</f>
        <v>66.874318471956855</v>
      </c>
      <c r="CW23" s="4">
        <f>IFERROR(
(INDEX(スコア表[],MATCH($C23,スコア表['#],0),MATCH(CW$5,スコア表[#Headers],0))
-
INDEX(スコア表2[],MATCH("average",スコア表2[maxmin],0),MATCH(CW$5,スコア表2[#Headers],0)))
/
INDEX(スコア表2[],MATCH("stdev.p",スコア表2[maxmin],0),MATCH(CW$5,スコア表2[#Headers],0))
*10+50,"-")</f>
        <v>38.388417018272591</v>
      </c>
      <c r="CX23" s="4">
        <f>IFERROR(
(INDEX(スコア表[],MATCH($C23,スコア表['#],0),MATCH(CX$5,スコア表[#Headers],0))
-
INDEX(スコア表2[],MATCH("average",スコア表2[maxmin],0),MATCH(CX$5,スコア表2[#Headers],0)))
/
INDEX(スコア表2[],MATCH("stdev.p",スコア表2[maxmin],0),MATCH(CX$5,スコア表2[#Headers],0))
*10+50,"-")</f>
        <v>59.362292777008733</v>
      </c>
      <c r="CY23" s="4">
        <f>IFERROR(
(INDEX(スコア表[],MATCH($C23,スコア表['#],0),MATCH(CY$5,スコア表[#Headers],0))
-
INDEX(スコア表2[],MATCH("average",スコア表2[maxmin],0),MATCH(CY$5,スコア表2[#Headers],0)))
/
INDEX(スコア表2[],MATCH("stdev.p",スコア表2[maxmin],0),MATCH(CY$5,スコア表2[#Headers],0))
*10+50,"-")</f>
        <v>46.003894413860337</v>
      </c>
      <c r="CZ23" s="4">
        <f>IFERROR(
(INDEX(スコア表[],MATCH($C23,スコア表['#],0),MATCH(CZ$5,スコア表[#Headers],0))
-
INDEX(スコア表2[],MATCH("average",スコア表2[maxmin],0),MATCH(CZ$5,スコア表2[#Headers],0)))
/
INDEX(スコア表2[],MATCH("stdev.p",スコア表2[maxmin],0),MATCH(CZ$5,スコア表2[#Headers],0))
*10+50,"-")</f>
        <v>51.768501408504648</v>
      </c>
      <c r="DA23" s="4">
        <f>IFERROR(
(INDEX(スコア表[],MATCH($C23,スコア表['#],0),MATCH(DA$5,スコア表[#Headers],0))
-
INDEX(スコア表2[],MATCH("average",スコア表2[maxmin],0),MATCH(DA$5,スコア表2[#Headers],0)))
/
INDEX(スコア表2[],MATCH("stdev.p",スコア表2[maxmin],0),MATCH(DA$5,スコア表2[#Headers],0))
*10+50,"-")</f>
        <v>58.952589552929695</v>
      </c>
      <c r="DB23" s="4">
        <f>IFERROR(
(INDEX(スコア表[],MATCH($C23,スコア表['#],0),MATCH(DB$5,スコア表[#Headers],0))
-
INDEX(スコア表2[],MATCH("average",スコア表2[maxmin],0),MATCH(DB$5,スコア表2[#Headers],0)))
/
INDEX(スコア表2[],MATCH("stdev.p",スコア表2[maxmin],0),MATCH(DB$5,スコア表2[#Headers],0))
*10+50,"-")</f>
        <v>46.527731016854169</v>
      </c>
      <c r="DC23" s="4">
        <f>IFERROR(
(INDEX(スコア表[],MATCH($C23,スコア表['#],0),MATCH(DC$5,スコア表[#Headers],0))
-
INDEX(スコア表2[],MATCH("average",スコア表2[maxmin],0),MATCH(DC$5,スコア表2[#Headers],0)))
/
INDEX(スコア表2[],MATCH("stdev.p",スコア表2[maxmin],0),MATCH(DC$5,スコア表2[#Headers],0))
*10+50,"-")</f>
        <v>50.146152733854073</v>
      </c>
      <c r="DD23" s="4">
        <f>IFERROR(
(INDEX(スコア表[],MATCH($C23,スコア表['#],0),MATCH(DD$5,スコア表[#Headers],0))
-
INDEX(スコア表2[],MATCH("average",スコア表2[maxmin],0),MATCH(DD$5,スコア表2[#Headers],0)))
/
INDEX(スコア表2[],MATCH("stdev.p",スコア表2[maxmin],0),MATCH(DD$5,スコア表2[#Headers],0))
*10+50,"-")</f>
        <v>49.492773200287019</v>
      </c>
      <c r="DE23" s="4">
        <f>IFERROR(
(INDEX(スコア表[],MATCH($C23,スコア表['#],0),MATCH(DE$5,スコア表[#Headers],0))
-
INDEX(スコア表2[],MATCH("average",スコア表2[maxmin],0),MATCH(DE$5,スコア表2[#Headers],0)))
/
INDEX(スコア表2[],MATCH("stdev.p",スコア表2[maxmin],0),MATCH(DE$5,スコア表2[#Headers],0))
*10+50,"-")</f>
        <v>53.309478568775617</v>
      </c>
      <c r="DF23" s="76">
        <f>IFERROR(
(INDEX(スコア表[],MATCH($C23,スコア表['#],0),MATCH(DF$5,スコア表[#Headers],0))
-
INDEX(スコア表2[],MATCH("average",スコア表2[maxmin],0),MATCH(DF$5,スコア表2[#Headers],0)))
/
INDEX(スコア表2[],MATCH("stdev.p",スコア表2[maxmin],0),MATCH(DF$5,スコア表2[#Headers],0))
*10+50,"-")</f>
        <v>52.218613218381606</v>
      </c>
      <c r="DG23" s="4">
        <f>IFERROR(_xlfn.STDEV.P(偏差値表[[#This Row],[Economy]:[Accessibility]]),"")</f>
        <v>3.8564626614166584</v>
      </c>
    </row>
    <row r="24" spans="1:111">
      <c r="A24" s="2">
        <v>19</v>
      </c>
      <c r="B24" s="58">
        <f>INDEX(順位表[Comprehensive],MATCH($C24,順位表['#],0))</f>
        <v>19</v>
      </c>
      <c r="C24" s="3">
        <v>11</v>
      </c>
      <c r="D24" s="1" t="str">
        <f>INDEX(都市マスタ[City Name],MATCH($C24,都市マスタ['#],0))</f>
        <v>Zurich</v>
      </c>
      <c r="E24" s="4">
        <f>IFERROR(
(INDEX(スコア表[],MATCH($C24,スコア表['#],0),MATCH(E$5,スコア表[#Headers],0))
-
INDEX(スコア表2[],MATCH("average",スコア表2[maxmin],0),MATCH(E$5,スコア表2[#Headers],0)))
/
INDEX(スコア表2[],MATCH("stdev.p",スコア表2[maxmin],0),MATCH(E$5,スコア表2[#Headers],0))
*10+50,"-")</f>
        <v>41.283631215639389</v>
      </c>
      <c r="F24" s="4">
        <f>IFERROR(
(INDEX(スコア表[],MATCH($C24,スコア表['#],0),MATCH(F$5,スコア表[#Headers],0))
-
INDEX(スコア表2[],MATCH("average",スコア表2[maxmin],0),MATCH(F$5,スコア表2[#Headers],0)))
/
INDEX(スコア表2[],MATCH("stdev.p",スコア表2[maxmin],0),MATCH(F$5,スコア表2[#Headers],0))
*10+50,"-")</f>
        <v>45.045132901309493</v>
      </c>
      <c r="G24" s="4">
        <f>IFERROR(
(INDEX(スコア表[],MATCH($C24,スコア表['#],0),MATCH(G$5,スコア表[#Headers],0))
-
INDEX(スコア表2[],MATCH("average",スコア表2[maxmin],0),MATCH(G$5,スコア表2[#Headers],0)))
/
INDEX(スコア表2[],MATCH("stdev.p",スコア表2[maxmin],0),MATCH(G$5,スコア表2[#Headers],0))
*10+50,"-")</f>
        <v>48.332513143634152</v>
      </c>
      <c r="H24" s="4">
        <f>IFERROR(
(INDEX(スコア表[],MATCH($C24,スコア表['#],0),MATCH(H$5,スコア表[#Headers],0))
-
INDEX(スコア表2[],MATCH("average",スコア表2[maxmin],0),MATCH(H$5,スコア表2[#Headers],0)))
/
INDEX(スコア表2[],MATCH("stdev.p",スコア表2[maxmin],0),MATCH(H$5,スコア表2[#Headers],0))
*10+50,"-")</f>
        <v>43.809895734552796</v>
      </c>
      <c r="I24" s="4">
        <f>IFERROR(
(INDEX(スコア表[],MATCH($C24,スコア表['#],0),MATCH(I$5,スコア表[#Headers],0))
-
INDEX(スコア表2[],MATCH("average",スコア表2[maxmin],0),MATCH(I$5,スコア表2[#Headers],0)))
/
INDEX(スコア表2[],MATCH("stdev.p",スコア表2[maxmin],0),MATCH(I$5,スコア表2[#Headers],0))
*10+50,"-")</f>
        <v>74.260408187067313</v>
      </c>
      <c r="J24" s="4">
        <f>IFERROR(
(INDEX(スコア表[],MATCH($C24,スコア表['#],0),MATCH(J$5,スコア表[#Headers],0))
-
INDEX(スコア表2[],MATCH("average",スコア表2[maxmin],0),MATCH(J$5,スコア表2[#Headers],0)))
/
INDEX(スコア表2[],MATCH("stdev.p",スコア表2[maxmin],0),MATCH(J$5,スコア表2[#Headers],0))
*10+50,"-")</f>
        <v>48.23593131404553</v>
      </c>
      <c r="K24" s="4">
        <f>IFERROR(
(INDEX(スコア表[],MATCH($C24,スコア表['#],0),MATCH(K$5,スコア表[#Headers],0))
-
INDEX(スコア表2[],MATCH("average",スコア表2[maxmin],0),MATCH(K$5,スコア表2[#Headers],0)))
/
INDEX(スコア表2[],MATCH("stdev.p",スコア表2[maxmin],0),MATCH(K$5,スコア表2[#Headers],0))
*10+50,"-")</f>
        <v>66.312433801487927</v>
      </c>
      <c r="L24" s="4">
        <f>IFERROR(
(INDEX(スコア表[],MATCH($C24,スコア表['#],0),MATCH(L$5,スコア表[#Headers],0))
-
INDEX(スコア表2[],MATCH("average",スコア表2[maxmin],0),MATCH(L$5,スコア表2[#Headers],0)))
/
INDEX(スコア表2[],MATCH("stdev.p",スコア表2[maxmin],0),MATCH(L$5,スコア表2[#Headers],0))
*10+50,"-")</f>
        <v>49.985672712800465</v>
      </c>
      <c r="M24" s="4">
        <f>IFERROR(
(INDEX(スコア表[],MATCH($C24,スコア表['#],0),MATCH(M$5,スコア表[#Headers],0))
-
INDEX(スコア表2[],MATCH("average",スコア表2[maxmin],0),MATCH(M$5,スコア表2[#Headers],0)))
/
INDEX(スコア表2[],MATCH("stdev.p",スコア表2[maxmin],0),MATCH(M$5,スコア表2[#Headers],0))
*10+50,"-")</f>
        <v>48.04679566928673</v>
      </c>
      <c r="N24" s="4">
        <f>IFERROR(
(INDEX(スコア表[],MATCH($C24,スコア表['#],0),MATCH(N$5,スコア表[#Headers],0))
-
INDEX(スコア表2[],MATCH("average",スコア表2[maxmin],0),MATCH(N$5,スコア表2[#Headers],0)))
/
INDEX(スコア表2[],MATCH("stdev.p",スコア表2[maxmin],0),MATCH(N$5,スコア表2[#Headers],0))
*10+50,"-")</f>
        <v>41.879132521988012</v>
      </c>
      <c r="O24" s="4">
        <f>IFERROR(
(INDEX(スコア表[],MATCH($C24,スコア表['#],0),MATCH(O$5,スコア表[#Headers],0))
-
INDEX(スコア表2[],MATCH("average",スコア表2[maxmin],0),MATCH(O$5,スコア表2[#Headers],0)))
/
INDEX(スコア表2[],MATCH("stdev.p",スコア表2[maxmin],0),MATCH(O$5,スコア表2[#Headers],0))
*10+50,"-")</f>
        <v>56.698352399523117</v>
      </c>
      <c r="P24" s="4">
        <f>IFERROR(
(INDEX(スコア表[],MATCH($C24,スコア表['#],0),MATCH(P$5,スコア表[#Headers],0))
-
INDEX(スコア表2[],MATCH("average",スコア表2[maxmin],0),MATCH(P$5,スコア表2[#Headers],0)))
/
INDEX(スコア表2[],MATCH("stdev.p",スコア表2[maxmin],0),MATCH(P$5,スコア表2[#Headers],0))
*10+50,"-")</f>
        <v>68.481618008300345</v>
      </c>
      <c r="Q24" s="4">
        <f>IFERROR(
(INDEX(スコア表[],MATCH($C24,スコア表['#],0),MATCH(Q$5,スコア表[#Headers],0))
-
INDEX(スコア表2[],MATCH("average",スコア表2[maxmin],0),MATCH(Q$5,スコア表2[#Headers],0)))
/
INDEX(スコア表2[],MATCH("stdev.p",スコア表2[maxmin],0),MATCH(Q$5,スコア表2[#Headers],0))
*10+50,"-")</f>
        <v>58.217072833404195</v>
      </c>
      <c r="R24" s="4">
        <f>IFERROR(
(INDEX(スコア表[],MATCH($C24,スコア表['#],0),MATCH(R$5,スコア表[#Headers],0))
-
INDEX(スコア表2[],MATCH("average",スコア表2[maxmin],0),MATCH(R$5,スコア表2[#Headers],0)))
/
INDEX(スコア表2[],MATCH("stdev.p",スコア表2[maxmin],0),MATCH(R$5,スコア表2[#Headers],0))
*10+50,"-")</f>
        <v>54.808546565904841</v>
      </c>
      <c r="S24" s="4">
        <f>IFERROR(
(INDEX(スコア表[],MATCH($C24,スコア表['#],0),MATCH(S$5,スコア表[#Headers],0))
-
INDEX(スコア表2[],MATCH("average",スコア表2[maxmin],0),MATCH(S$5,スコア表2[#Headers],0)))
/
INDEX(スコア表2[],MATCH("stdev.p",スコア表2[maxmin],0),MATCH(S$5,スコア表2[#Headers],0))
*10+50,"-")</f>
        <v>59.493998134228903</v>
      </c>
      <c r="T24" s="4">
        <f>IFERROR(
(INDEX(スコア表[],MATCH($C24,スコア表['#],0),MATCH(T$5,スコア表[#Headers],0))
-
INDEX(スコア表2[],MATCH("average",スコア表2[maxmin],0),MATCH(T$5,スコア表2[#Headers],0)))
/
INDEX(スコア表2[],MATCH("stdev.p",スコア表2[maxmin],0),MATCH(T$5,スコア表2[#Headers],0))
*10+50,"-")</f>
        <v>51.614374028464709</v>
      </c>
      <c r="U24" s="4">
        <f>IFERROR(
(INDEX(スコア表[],MATCH($C24,スコア表['#],0),MATCH(U$5,スコア表[#Headers],0))
-
INDEX(スコア表2[],MATCH("average",スコア表2[maxmin],0),MATCH(U$5,スコア表2[#Headers],0)))
/
INDEX(スコア表2[],MATCH("stdev.p",スコア表2[maxmin],0),MATCH(U$5,スコア表2[#Headers],0))
*10+50,"-")</f>
        <v>42.202635444992687</v>
      </c>
      <c r="V24" s="4">
        <f>IFERROR(
(INDEX(スコア表[],MATCH($C24,スコア表['#],0),MATCH(V$5,スコア表[#Headers],0))
-
INDEX(スコア表2[],MATCH("average",スコア表2[maxmin],0),MATCH(V$5,スコア表2[#Headers],0)))
/
INDEX(スコア表2[],MATCH("stdev.p",スコア表2[maxmin],0),MATCH(V$5,スコア表2[#Headers],0))
*10+50,"-")</f>
        <v>55.089896960903268</v>
      </c>
      <c r="W24" s="4">
        <f>IFERROR(
(INDEX(スコア表[],MATCH($C24,スコア表['#],0),MATCH(W$5,スコア表[#Headers],0))
-
INDEX(スコア表2[],MATCH("average",スコア表2[maxmin],0),MATCH(W$5,スコア表2[#Headers],0)))
/
INDEX(スコア表2[],MATCH("stdev.p",スコア表2[maxmin],0),MATCH(W$5,スコア表2[#Headers],0))
*10+50,"-")</f>
        <v>45.793366633708999</v>
      </c>
      <c r="X24" s="4">
        <f>IFERROR(
(INDEX(スコア表[],MATCH($C24,スコア表['#],0),MATCH(X$5,スコア表[#Headers],0))
-
INDEX(スコア表2[],MATCH("average",スコア表2[maxmin],0),MATCH(X$5,スコア表2[#Headers],0)))
/
INDEX(スコア表2[],MATCH("stdev.p",スコア表2[maxmin],0),MATCH(X$5,スコア表2[#Headers],0))
*10+50,"-")</f>
        <v>47.017812905842149</v>
      </c>
      <c r="Y24" s="4">
        <f>IFERROR(
(INDEX(スコア表[],MATCH($C24,スコア表['#],0),MATCH(Y$5,スコア表[#Headers],0))
-
INDEX(スコア表2[],MATCH("average",スコア表2[maxmin],0),MATCH(Y$5,スコア表2[#Headers],0)))
/
INDEX(スコア表2[],MATCH("stdev.p",スコア表2[maxmin],0),MATCH(Y$5,スコア表2[#Headers],0))
*10+50,"-")</f>
        <v>53.078720336797403</v>
      </c>
      <c r="Z24" s="4">
        <f>IFERROR(
(INDEX(スコア表[],MATCH($C24,スコア表['#],0),MATCH(Z$5,スコア表[#Headers],0))
-
INDEX(スコア表2[],MATCH("average",スコア表2[maxmin],0),MATCH(Z$5,スコア表2[#Headers],0)))
/
INDEX(スコア表2[],MATCH("stdev.p",スコア表2[maxmin],0),MATCH(Z$5,スコア表2[#Headers],0))
*10+50,"-")</f>
        <v>43.996349517476382</v>
      </c>
      <c r="AA24" s="4">
        <f>IFERROR(
(INDEX(スコア表[],MATCH($C24,スコア表['#],0),MATCH(AA$5,スコア表[#Headers],0))
-
INDEX(スコア表2[],MATCH("average",スコア表2[maxmin],0),MATCH(AA$5,スコア表2[#Headers],0)))
/
INDEX(スコア表2[],MATCH("stdev.p",スコア表2[maxmin],0),MATCH(AA$5,スコア表2[#Headers],0))
*10+50,"-")</f>
        <v>47.180006765536476</v>
      </c>
      <c r="AB24" s="4">
        <f>IFERROR(
(INDEX(スコア表[],MATCH($C24,スコア表['#],0),MATCH(AB$5,スコア表[#Headers],0))
-
INDEX(スコア表2[],MATCH("average",スコア表2[maxmin],0),MATCH(AB$5,スコア表2[#Headers],0)))
/
INDEX(スコア表2[],MATCH("stdev.p",スコア表2[maxmin],0),MATCH(AB$5,スコア表2[#Headers],0))
*10+50,"-")</f>
        <v>46.35819992527594</v>
      </c>
      <c r="AC24" s="4">
        <f>IFERROR(
(INDEX(スコア表[],MATCH($C24,スコア表['#],0),MATCH(AC$5,スコア表[#Headers],0))
-
INDEX(スコア表2[],MATCH("average",スコア表2[maxmin],0),MATCH(AC$5,スコア表2[#Headers],0)))
/
INDEX(スコア表2[],MATCH("stdev.p",スコア表2[maxmin],0),MATCH(AC$5,スコア表2[#Headers],0))
*10+50,"-")</f>
        <v>44.860381908055004</v>
      </c>
      <c r="AD24" s="4">
        <f>IFERROR(
(INDEX(スコア表[],MATCH($C24,スコア表['#],0),MATCH(AD$5,スコア表[#Headers],0))
-
INDEX(スコア表2[],MATCH("average",スコア表2[maxmin],0),MATCH(AD$5,スコア表2[#Headers],0)))
/
INDEX(スコア表2[],MATCH("stdev.p",スコア表2[maxmin],0),MATCH(AD$5,スコア表2[#Headers],0))
*10+50,"-")</f>
        <v>38.814061534515943</v>
      </c>
      <c r="AE24" s="4">
        <f>IFERROR(
(INDEX(スコア表[],MATCH($C24,スコア表['#],0),MATCH(AE$5,スコア表[#Headers],0))
-
INDEX(スコア表2[],MATCH("average",スコア表2[maxmin],0),MATCH(AE$5,スコア表2[#Headers],0)))
/
INDEX(スコア表2[],MATCH("stdev.p",スコア表2[maxmin],0),MATCH(AE$5,スコア表2[#Headers],0))
*10+50,"-")</f>
        <v>44.227441117343588</v>
      </c>
      <c r="AF24" s="4">
        <f>IFERROR(
(INDEX(スコア表[],MATCH($C24,スコア表['#],0),MATCH(AF$5,スコア表[#Headers],0))
-
INDEX(スコア表2[],MATCH("average",スコア表2[maxmin],0),MATCH(AF$5,スコア表2[#Headers],0)))
/
INDEX(スコア表2[],MATCH("stdev.p",スコア表2[maxmin],0),MATCH(AF$5,スコア表2[#Headers],0))
*10+50,"-")</f>
        <v>47.338312995932647</v>
      </c>
      <c r="AG24" s="4">
        <f>IFERROR(
(INDEX(スコア表[],MATCH($C24,スコア表['#],0),MATCH(AG$5,スコア表[#Headers],0))
-
INDEX(スコア表2[],MATCH("average",スコア表2[maxmin],0),MATCH(AG$5,スコア表2[#Headers],0)))
/
INDEX(スコア表2[],MATCH("stdev.p",スコア表2[maxmin],0),MATCH(AG$5,スコア表2[#Headers],0))
*10+50,"-")</f>
        <v>34.343163458140616</v>
      </c>
      <c r="AH24" s="4">
        <f>IFERROR(
(INDEX(スコア表[],MATCH($C24,スコア表['#],0),MATCH(AH$5,スコア表[#Headers],0))
-
INDEX(スコア表2[],MATCH("average",スコア表2[maxmin],0),MATCH(AH$5,スコア表2[#Headers],0)))
/
INDEX(スコア表2[],MATCH("stdev.p",スコア表2[maxmin],0),MATCH(AH$5,スコア表2[#Headers],0))
*10+50,"-")</f>
        <v>52.033665051509175</v>
      </c>
      <c r="AI24" s="4">
        <f>IFERROR(
(INDEX(スコア表[],MATCH($C24,スコア表['#],0),MATCH(AI$5,スコア表[#Headers],0))
-
INDEX(スコア表2[],MATCH("average",スコア表2[maxmin],0),MATCH(AI$5,スコア表2[#Headers],0)))
/
INDEX(スコア表2[],MATCH("stdev.p",スコア表2[maxmin],0),MATCH(AI$5,スコア表2[#Headers],0))
*10+50,"-")</f>
        <v>42.757181056287408</v>
      </c>
      <c r="AJ24" s="4">
        <f>IFERROR(
(INDEX(スコア表[],MATCH($C24,スコア表['#],0),MATCH(AJ$5,スコア表[#Headers],0))
-
INDEX(スコア表2[],MATCH("average",スコア表2[maxmin],0),MATCH(AJ$5,スコア表2[#Headers],0)))
/
INDEX(スコア表2[],MATCH("stdev.p",スコア表2[maxmin],0),MATCH(AJ$5,スコア表2[#Headers],0))
*10+50,"-")</f>
        <v>43.854013944645978</v>
      </c>
      <c r="AK24" s="4">
        <f>IFERROR(
(INDEX(スコア表[],MATCH($C24,スコア表['#],0),MATCH(AK$5,スコア表[#Headers],0))
-
INDEX(スコア表2[],MATCH("average",スコア表2[maxmin],0),MATCH(AK$5,スコア表2[#Headers],0)))
/
INDEX(スコア表2[],MATCH("stdev.p",スコア表2[maxmin],0),MATCH(AK$5,スコア表2[#Headers],0))
*10+50,"-")</f>
        <v>46.088003094152128</v>
      </c>
      <c r="AL24" s="4">
        <f>IFERROR(
(INDEX(スコア表[],MATCH($C24,スコア表['#],0),MATCH(AL$5,スコア表[#Headers],0))
-
INDEX(スコア表2[],MATCH("average",スコア表2[maxmin],0),MATCH(AL$5,スコア表2[#Headers],0)))
/
INDEX(スコア表2[],MATCH("stdev.p",スコア表2[maxmin],0),MATCH(AL$5,スコア表2[#Headers],0))
*10+50,"-")</f>
        <v>41.858810131760215</v>
      </c>
      <c r="AM24" s="4">
        <f>IFERROR(
(INDEX(スコア表[],MATCH($C24,スコア表['#],0),MATCH(AM$5,スコア表[#Headers],0))
-
INDEX(スコア表2[],MATCH("average",スコア表2[maxmin],0),MATCH(AM$5,スコア表2[#Headers],0)))
/
INDEX(スコア表2[],MATCH("stdev.p",スコア表2[maxmin],0),MATCH(AM$5,スコア表2[#Headers],0))
*10+50,"-")</f>
        <v>40.235976350927956</v>
      </c>
      <c r="AN24" s="4">
        <f>IFERROR(
(INDEX(スコア表[],MATCH($C24,スコア表['#],0),MATCH(AN$5,スコア表[#Headers],0))
-
INDEX(スコア表2[],MATCH("average",スコア表2[maxmin],0),MATCH(AN$5,スコア表2[#Headers],0)))
/
INDEX(スコア表2[],MATCH("stdev.p",スコア表2[maxmin],0),MATCH(AN$5,スコア表2[#Headers],0))
*10+50,"-")</f>
        <v>42.874955687977156</v>
      </c>
      <c r="AO24" s="4">
        <f>IFERROR(
(INDEX(スコア表[],MATCH($C24,スコア表['#],0),MATCH(AO$5,スコア表[#Headers],0))
-
INDEX(スコア表2[],MATCH("average",スコア表2[maxmin],0),MATCH(AO$5,スコア表2[#Headers],0)))
/
INDEX(スコア表2[],MATCH("stdev.p",スコア表2[maxmin],0),MATCH(AO$5,スコア表2[#Headers],0))
*10+50,"-")</f>
        <v>43.903485522838345</v>
      </c>
      <c r="AP24" s="4">
        <f>IFERROR(
(INDEX(スコア表[],MATCH($C24,スコア表['#],0),MATCH(AP$5,スコア表[#Headers],0))
-
INDEX(スコア表2[],MATCH("average",スコア表2[maxmin],0),MATCH(AP$5,スコア表2[#Headers],0)))
/
INDEX(スコア表2[],MATCH("stdev.p",スコア表2[maxmin],0),MATCH(AP$5,スコア表2[#Headers],0))
*10+50,"-")</f>
        <v>32.913632794319057</v>
      </c>
      <c r="AQ24" s="4">
        <f>IFERROR(
(INDEX(スコア表[],MATCH($C24,スコア表['#],0),MATCH(AQ$5,スコア表[#Headers],0))
-
INDEX(スコア表2[],MATCH("average",スコア表2[maxmin],0),MATCH(AQ$5,スコア表2[#Headers],0)))
/
INDEX(スコア表2[],MATCH("stdev.p",スコア表2[maxmin],0),MATCH(AQ$5,スコア表2[#Headers],0))
*10+50,"-")</f>
        <v>44.670482881638733</v>
      </c>
      <c r="AR24" s="4">
        <f>IFERROR(
(INDEX(スコア表[],MATCH($C24,スコア表['#],0),MATCH(AR$5,スコア表[#Headers],0))
-
INDEX(スコア表2[],MATCH("average",スコア表2[maxmin],0),MATCH(AR$5,スコア表2[#Headers],0)))
/
INDEX(スコア表2[],MATCH("stdev.p",スコア表2[maxmin],0),MATCH(AR$5,スコア表2[#Headers],0))
*10+50,"-")</f>
        <v>45.060239500775651</v>
      </c>
      <c r="AS24" s="4">
        <f>IFERROR(
(INDEX(スコア表[],MATCH($C24,スコア表['#],0),MATCH(AS$5,スコア表[#Headers],0))
-
INDEX(スコア表2[],MATCH("average",スコア表2[maxmin],0),MATCH(AS$5,スコア表2[#Headers],0)))
/
INDEX(スコア表2[],MATCH("stdev.p",スコア表2[maxmin],0),MATCH(AS$5,スコア表2[#Headers],0))
*10+50,"-")</f>
        <v>58.37777186647422</v>
      </c>
      <c r="AT24" s="4">
        <f>IFERROR(
(INDEX(スコア表[],MATCH($C24,スコア表['#],0),MATCH(AT$5,スコア表[#Headers],0))
-
INDEX(スコア表2[],MATCH("average",スコア表2[maxmin],0),MATCH(AT$5,スコア表2[#Headers],0)))
/
INDEX(スコア表2[],MATCH("stdev.p",スコア表2[maxmin],0),MATCH(AT$5,スコア表2[#Headers],0))
*10+50,"-")</f>
        <v>55.911793643488785</v>
      </c>
      <c r="AU24" s="4">
        <f>IFERROR(
(INDEX(スコア表[],MATCH($C24,スコア表['#],0),MATCH(AU$5,スコア表[#Headers],0))
-
INDEX(スコア表2[],MATCH("average",スコア表2[maxmin],0),MATCH(AU$5,スコア表2[#Headers],0)))
/
INDEX(スコア表2[],MATCH("stdev.p",スコア表2[maxmin],0),MATCH(AU$5,スコア表2[#Headers],0))
*10+50,"-")</f>
        <v>46.933195186175695</v>
      </c>
      <c r="AV24" s="4">
        <f>IFERROR(
(INDEX(スコア表[],MATCH($C24,スコア表['#],0),MATCH(AV$5,スコア表[#Headers],0))
-
INDEX(スコア表2[],MATCH("average",スコア表2[maxmin],0),MATCH(AV$5,スコア表2[#Headers],0)))
/
INDEX(スコア表2[],MATCH("stdev.p",スコア表2[maxmin],0),MATCH(AV$5,スコア表2[#Headers],0))
*10+50,"-")</f>
        <v>39.363228313925454</v>
      </c>
      <c r="AW24" s="4">
        <f>IFERROR(
(INDEX(スコア表[],MATCH($C24,スコア表['#],0),MATCH(AW$5,スコア表[#Headers],0))
-
INDEX(スコア表2[],MATCH("average",スコア表2[maxmin],0),MATCH(AW$5,スコア表2[#Headers],0)))
/
INDEX(スコア表2[],MATCH("stdev.p",スコア表2[maxmin],0),MATCH(AW$5,スコア表2[#Headers],0))
*10+50,"-")</f>
        <v>23.784099163463011</v>
      </c>
      <c r="AX24" s="4">
        <f>IFERROR(
(INDEX(スコア表[],MATCH($C24,スコア表['#],0),MATCH(AX$5,スコア表[#Headers],0))
-
INDEX(スコア表2[],MATCH("average",スコア表2[maxmin],0),MATCH(AX$5,スコア表2[#Headers],0)))
/
INDEX(スコア表2[],MATCH("stdev.p",スコア表2[maxmin],0),MATCH(AX$5,スコア表2[#Headers],0))
*10+50,"-")</f>
        <v>55.054735636397588</v>
      </c>
      <c r="AY24" s="4">
        <f>IFERROR(
(INDEX(スコア表[],MATCH($C24,スコア表['#],0),MATCH(AY$5,スコア表[#Headers],0))
-
INDEX(スコア表2[],MATCH("average",スコア表2[maxmin],0),MATCH(AY$5,スコア表2[#Headers],0)))
/
INDEX(スコア表2[],MATCH("stdev.p",スコア表2[maxmin],0),MATCH(AY$5,スコア表2[#Headers],0))
*10+50,"-")</f>
        <v>52.825620531367662</v>
      </c>
      <c r="AZ24" s="4">
        <f>IFERROR(
(INDEX(スコア表[],MATCH($C24,スコア表['#],0),MATCH(AZ$5,スコア表[#Headers],0))
-
INDEX(スコア表2[],MATCH("average",スコア表2[maxmin],0),MATCH(AZ$5,スコア表2[#Headers],0)))
/
INDEX(スコア表2[],MATCH("stdev.p",スコア表2[maxmin],0),MATCH(AZ$5,スコア表2[#Headers],0))
*10+50,"-")</f>
        <v>58.480061824785281</v>
      </c>
      <c r="BA24" s="4">
        <f>IFERROR(
(INDEX(スコア表[],MATCH($C24,スコア表['#],0),MATCH(BA$5,スコア表[#Headers],0))
-
INDEX(スコア表2[],MATCH("average",スコア表2[maxmin],0),MATCH(BA$5,スコア表2[#Headers],0)))
/
INDEX(スコア表2[],MATCH("stdev.p",スコア表2[maxmin],0),MATCH(BA$5,スコア表2[#Headers],0))
*10+50,"-")</f>
        <v>60.345717621666701</v>
      </c>
      <c r="BB24" s="4">
        <f>IFERROR(
(INDEX(スコア表[],MATCH($C24,スコア表['#],0),MATCH(BB$5,スコア表[#Headers],0))
-
INDEX(スコア表2[],MATCH("average",スコア表2[maxmin],0),MATCH(BB$5,スコア表2[#Headers],0)))
/
INDEX(スコア表2[],MATCH("stdev.p",スコア表2[maxmin],0),MATCH(BB$5,スコア表2[#Headers],0))
*10+50,"-")</f>
        <v>54.879560100637356</v>
      </c>
      <c r="BC24" s="4">
        <f>IFERROR(
(INDEX(スコア表[],MATCH($C24,スコア表['#],0),MATCH(BC$5,スコア表[#Headers],0))
-
INDEX(スコア表2[],MATCH("average",スコア表2[maxmin],0),MATCH(BC$5,スコア表2[#Headers],0)))
/
INDEX(スコア表2[],MATCH("stdev.p",スコア表2[maxmin],0),MATCH(BC$5,スコア表2[#Headers],0))
*10+50,"-")</f>
        <v>72.886853868832191</v>
      </c>
      <c r="BD24" s="4">
        <f>IFERROR(
(INDEX(スコア表[],MATCH($C24,スコア表['#],0),MATCH(BD$5,スコア表[#Headers],0))
-
INDEX(スコア表2[],MATCH("average",スコア表2[maxmin],0),MATCH(BD$5,スコア表2[#Headers],0)))
/
INDEX(スコア表2[],MATCH("stdev.p",スコア表2[maxmin],0),MATCH(BD$5,スコア表2[#Headers],0))
*10+50,"-")</f>
        <v>52.503796304179055</v>
      </c>
      <c r="BE24" s="4">
        <f>IFERROR(
(INDEX(スコア表[],MATCH($C24,スコア表['#],0),MATCH(BE$5,スコア表[#Headers],0))
-
INDEX(スコア表2[],MATCH("average",スコア表2[maxmin],0),MATCH(BE$5,スコア表2[#Headers],0)))
/
INDEX(スコア表2[],MATCH("stdev.p",スコア表2[maxmin],0),MATCH(BE$5,スコア表2[#Headers],0))
*10+50,"-")</f>
        <v>36.387606580121677</v>
      </c>
      <c r="BF24" s="4">
        <f>IFERROR(
(INDEX(スコア表[],MATCH($C24,スコア表['#],0),MATCH(BF$5,スコア表[#Headers],0))
-
INDEX(スコア表2[],MATCH("average",スコア表2[maxmin],0),MATCH(BF$5,スコア表2[#Headers],0)))
/
INDEX(スコア表2[],MATCH("stdev.p",スコア表2[maxmin],0),MATCH(BF$5,スコア表2[#Headers],0))
*10+50,"-")</f>
        <v>40.435392357896518</v>
      </c>
      <c r="BG24" s="4">
        <f>IFERROR(
(INDEX(スコア表[],MATCH($C24,スコア表['#],0),MATCH(BG$5,スコア表[#Headers],0))
-
INDEX(スコア表2[],MATCH("average",スコア表2[maxmin],0),MATCH(BG$5,スコア表2[#Headers],0)))
/
INDEX(スコア表2[],MATCH("stdev.p",スコア表2[maxmin],0),MATCH(BG$5,スコア表2[#Headers],0))
*10+50,"-")</f>
        <v>36.888873727381366</v>
      </c>
      <c r="BH24" s="4">
        <f>IFERROR(
(INDEX(スコア表[],MATCH($C24,スコア表['#],0),MATCH(BH$5,スコア表[#Headers],0))
-
INDEX(スコア表2[],MATCH("average",スコア表2[maxmin],0),MATCH(BH$5,スコア表2[#Headers],0)))
/
INDEX(スコア表2[],MATCH("stdev.p",スコア表2[maxmin],0),MATCH(BH$5,スコア表2[#Headers],0))
*10+50,"-")</f>
        <v>59.593636072389387</v>
      </c>
      <c r="BI24" s="4">
        <f>IFERROR(
(INDEX(スコア表[],MATCH($C24,スコア表['#],0),MATCH(BI$5,スコア表[#Headers],0))
-
INDEX(スコア表2[],MATCH("average",スコア表2[maxmin],0),MATCH(BI$5,スコア表2[#Headers],0)))
/
INDEX(スコア表2[],MATCH("stdev.p",スコア表2[maxmin],0),MATCH(BI$5,スコア表2[#Headers],0))
*10+50,"-")</f>
        <v>52.909946263326788</v>
      </c>
      <c r="BJ24" s="4">
        <f>IFERROR(
(INDEX(スコア表[],MATCH($C24,スコア表['#],0),MATCH(BJ$5,スコア表[#Headers],0))
-
INDEX(スコア表2[],MATCH("average",スコア表2[maxmin],0),MATCH(BJ$5,スコア表2[#Headers],0)))
/
INDEX(スコア表2[],MATCH("stdev.p",スコア表2[maxmin],0),MATCH(BJ$5,スコア表2[#Headers],0))
*10+50,"-")</f>
        <v>53.97917936898466</v>
      </c>
      <c r="BK24" s="4">
        <f>IFERROR(
(INDEX(スコア表[],MATCH($C24,スコア表['#],0),MATCH(BK$5,スコア表[#Headers],0))
-
INDEX(スコア表2[],MATCH("average",スコア表2[maxmin],0),MATCH(BK$5,スコア表2[#Headers],0)))
/
INDEX(スコア表2[],MATCH("stdev.p",スコア表2[maxmin],0),MATCH(BK$5,スコア表2[#Headers],0))
*10+50,"-")</f>
        <v>54.629550111667875</v>
      </c>
      <c r="BL24" s="4">
        <f>IFERROR(
(INDEX(スコア表[],MATCH($C24,スコア表['#],0),MATCH(BL$5,スコア表[#Headers],0))
-
INDEX(スコア表2[],MATCH("average",スコア表2[maxmin],0),MATCH(BL$5,スコア表2[#Headers],0)))
/
INDEX(スコア表2[],MATCH("stdev.p",スコア表2[maxmin],0),MATCH(BL$5,スコア表2[#Headers],0))
*10+50,"-")</f>
        <v>50.532944869377083</v>
      </c>
      <c r="BM24" s="4">
        <f>IFERROR(
(INDEX(スコア表[],MATCH($C24,スコア表['#],0),MATCH(BM$5,スコア表[#Headers],0))
-
INDEX(スコア表2[],MATCH("average",スコア表2[maxmin],0),MATCH(BM$5,スコア表2[#Headers],0)))
/
INDEX(スコア表2[],MATCH("stdev.p",スコア表2[maxmin],0),MATCH(BM$5,スコア表2[#Headers],0))
*10+50,"-")</f>
        <v>65.223076965502884</v>
      </c>
      <c r="BN24" s="4">
        <f>IFERROR(
(INDEX(スコア表[],MATCH($C24,スコア表['#],0),MATCH(BN$5,スコア表[#Headers],0))
-
INDEX(スコア表2[],MATCH("average",スコア表2[maxmin],0),MATCH(BN$5,スコア表2[#Headers],0)))
/
INDEX(スコア表2[],MATCH("stdev.p",スコア表2[maxmin],0),MATCH(BN$5,スコア表2[#Headers],0))
*10+50,"-")</f>
        <v>59.825510293403127</v>
      </c>
      <c r="BO24" s="4">
        <f>IFERROR(
(INDEX(スコア表[],MATCH($C24,スコア表['#],0),MATCH(BO$5,スコア表[#Headers],0))
-
INDEX(スコア表2[],MATCH("average",スコア表2[maxmin],0),MATCH(BO$5,スコア表2[#Headers],0)))
/
INDEX(スコア表2[],MATCH("stdev.p",スコア表2[maxmin],0),MATCH(BO$5,スコア表2[#Headers],0))
*10+50,"-")</f>
        <v>66.752952094308256</v>
      </c>
      <c r="BP24" s="4">
        <f>IFERROR(
(INDEX(スコア表[],MATCH($C24,スコア表['#],0),MATCH(BP$5,スコア表[#Headers],0))
-
INDEX(スコア表2[],MATCH("average",スコア表2[maxmin],0),MATCH(BP$5,スコア表2[#Headers],0)))
/
INDEX(スコア表2[],MATCH("stdev.p",スコア表2[maxmin],0),MATCH(BP$5,スコア表2[#Headers],0))
*10+50,"-")</f>
        <v>58.007895530452174</v>
      </c>
      <c r="BQ24" s="4">
        <f>IFERROR(
(INDEX(スコア表[],MATCH($C24,スコア表['#],0),MATCH(BQ$5,スコア表[#Headers],0))
-
INDEX(スコア表2[],MATCH("average",スコア表2[maxmin],0),MATCH(BQ$5,スコア表2[#Headers],0)))
/
INDEX(スコア表2[],MATCH("stdev.p",スコア表2[maxmin],0),MATCH(BQ$5,スコア表2[#Headers],0))
*10+50,"-")</f>
        <v>43.433709535569747</v>
      </c>
      <c r="BR24" s="4">
        <f>IFERROR(
(INDEX(スコア表[],MATCH($C24,スコア表['#],0),MATCH(BR$5,スコア表[#Headers],0))
-
INDEX(スコア表2[],MATCH("average",スコア表2[maxmin],0),MATCH(BR$5,スコア表2[#Headers],0)))
/
INDEX(スコア表2[],MATCH("stdev.p",スコア表2[maxmin],0),MATCH(BR$5,スコア表2[#Headers],0))
*10+50,"-")</f>
        <v>44.064367985103097</v>
      </c>
      <c r="BS24" s="4">
        <f>IFERROR(
(INDEX(スコア表[],MATCH($C24,スコア表['#],0),MATCH(BS$5,スコア表[#Headers],0))
-
INDEX(スコア表2[],MATCH("average",スコア表2[maxmin],0),MATCH(BS$5,スコア表2[#Headers],0)))
/
INDEX(スコア表2[],MATCH("stdev.p",スコア表2[maxmin],0),MATCH(BS$5,スコア表2[#Headers],0))
*10+50,"-")</f>
        <v>44.545122006316348</v>
      </c>
      <c r="BT24" s="4">
        <f>IFERROR(
(INDEX(スコア表[],MATCH($C24,スコア表['#],0),MATCH(BT$5,スコア表[#Headers],0))
-
INDEX(スコア表2[],MATCH("average",スコア表2[maxmin],0),MATCH(BT$5,スコア表2[#Headers],0)))
/
INDEX(スコア表2[],MATCH("stdev.p",スコア表2[maxmin],0),MATCH(BT$5,スコア表2[#Headers],0))
*10+50,"-")</f>
        <v>54.003742738347654</v>
      </c>
      <c r="BU24" s="4">
        <f>IFERROR(
(INDEX(スコア表[],MATCH($C24,スコア表['#],0),MATCH(BU$5,スコア表[#Headers],0))
-
INDEX(スコア表2[],MATCH("average",スコア表2[maxmin],0),MATCH(BU$5,スコア表2[#Headers],0)))
/
INDEX(スコア表2[],MATCH("stdev.p",スコア表2[maxmin],0),MATCH(BU$5,スコア表2[#Headers],0))
*10+50,"-")</f>
        <v>61.850594875345237</v>
      </c>
      <c r="BV24" s="4">
        <f>IFERROR(
(INDEX(スコア表[],MATCH($C24,スコア表['#],0),MATCH(BV$5,スコア表[#Headers],0))
-
INDEX(スコア表2[],MATCH("average",スコア表2[maxmin],0),MATCH(BV$5,スコア表2[#Headers],0)))
/
INDEX(スコア表2[],MATCH("stdev.p",スコア表2[maxmin],0),MATCH(BV$5,スコア表2[#Headers],0))
*10+50,"-")</f>
        <v>65.822741192623397</v>
      </c>
      <c r="BW24" s="4">
        <f>IFERROR(
(INDEX(スコア表[],MATCH($C24,スコア表['#],0),MATCH(BW$5,スコア表[#Headers],0))
-
INDEX(スコア表2[],MATCH("average",スコア表2[maxmin],0),MATCH(BW$5,スコア表2[#Headers],0)))
/
INDEX(スコア表2[],MATCH("stdev.p",スコア表2[maxmin],0),MATCH(BW$5,スコア表2[#Headers],0))
*10+50,"-")</f>
        <v>58.997833581312698</v>
      </c>
      <c r="BX24" s="4">
        <f>IFERROR(
(INDEX(スコア表[],MATCH($C24,スコア表['#],0),MATCH(BX$5,スコア表[#Headers],0))
-
INDEX(スコア表2[],MATCH("average",スコア表2[maxmin],0),MATCH(BX$5,スコア表2[#Headers],0)))
/
INDEX(スコア表2[],MATCH("stdev.p",スコア表2[maxmin],0),MATCH(BX$5,スコア表2[#Headers],0))
*10+50,"-")</f>
        <v>48.034908868272446</v>
      </c>
      <c r="BY24" s="4">
        <f>IFERROR(
(INDEX(スコア表[],MATCH($C24,スコア表['#],0),MATCH(BY$5,スコア表[#Headers],0))
-
INDEX(スコア表2[],MATCH("average",スコア表2[maxmin],0),MATCH(BY$5,スコア表2[#Headers],0)))
/
INDEX(スコア表2[],MATCH("stdev.p",スコア表2[maxmin],0),MATCH(BY$5,スコア表2[#Headers],0))
*10+50,"-")</f>
        <v>27.20716200778627</v>
      </c>
      <c r="BZ24" s="4">
        <f>IFERROR(
(INDEX(スコア表[],MATCH($C24,スコア表['#],0),MATCH(BZ$5,スコア表[#Headers],0))
-
INDEX(スコア表2[],MATCH("average",スコア表2[maxmin],0),MATCH(BZ$5,スコア表2[#Headers],0)))
/
INDEX(スコア表2[],MATCH("stdev.p",スコア表2[maxmin],0),MATCH(BZ$5,スコア表2[#Headers],0))
*10+50,"-")</f>
        <v>62.848377204563768</v>
      </c>
      <c r="CA24" s="4">
        <f>IFERROR(
(INDEX(スコア表[],MATCH($C24,スコア表['#],0),MATCH(CA$5,スコア表[#Headers],0))
-
INDEX(スコア表2[],MATCH("average",スコア表2[maxmin],0),MATCH(CA$5,スコア表2[#Headers],0)))
/
INDEX(スコア表2[],MATCH("stdev.p",スコア表2[maxmin],0),MATCH(CA$5,スコア表2[#Headers],0))
*10+50,"-")</f>
        <v>62.278806179330012</v>
      </c>
      <c r="CB24" s="4">
        <f>IFERROR(
(INDEX(スコア表[],MATCH($C24,スコア表['#],0),MATCH(CB$5,スコア表[#Headers],0))
-
INDEX(スコア表2[],MATCH("average",スコア表2[maxmin],0),MATCH(CB$5,スコア表2[#Headers],0)))
/
INDEX(スコア表2[],MATCH("stdev.p",スコア表2[maxmin],0),MATCH(CB$5,スコア表2[#Headers],0))
*10+50,"-")</f>
        <v>48.677380881468039</v>
      </c>
      <c r="CC24" s="4">
        <f>IFERROR(
(INDEX(スコア表[],MATCH($C24,スコア表['#],0),MATCH(CC$5,スコア表[#Headers],0))
-
INDEX(スコア表2[],MATCH("average",スコア表2[maxmin],0),MATCH(CC$5,スコア表2[#Headers],0)))
/
INDEX(スコア表2[],MATCH("stdev.p",スコア表2[maxmin],0),MATCH(CC$5,スコア表2[#Headers],0))
*10+50,"-")</f>
        <v>49.027621506657724</v>
      </c>
      <c r="CD24" s="4">
        <f>IFERROR(
(INDEX(スコア表[],MATCH($C24,スコア表['#],0),MATCH(CD$5,スコア表[#Headers],0))
-
INDEX(スコア表2[],MATCH("average",スコア表2[maxmin],0),MATCH(CD$5,スコア表2[#Headers],0)))
/
INDEX(スコア表2[],MATCH("stdev.p",スコア表2[maxmin],0),MATCH(CD$5,スコア表2[#Headers],0))
*10+50,"-")</f>
        <v>63.016494782349028</v>
      </c>
      <c r="CE24" s="4">
        <f>IFERROR(
(INDEX(スコア表[],MATCH($C24,スコア表['#],0),MATCH(CE$5,スコア表[#Headers],0))
-
INDEX(スコア表2[],MATCH("average",スコア表2[maxmin],0),MATCH(CE$5,スコア表2[#Headers],0)))
/
INDEX(スコア表2[],MATCH("stdev.p",スコア表2[maxmin],0),MATCH(CE$5,スコア表2[#Headers],0))
*10+50,"-")</f>
        <v>57.072457616569324</v>
      </c>
      <c r="CF24" s="4">
        <f>IFERROR(
(INDEX(スコア表[],MATCH($C24,スコア表['#],0),MATCH(CF$5,スコア表[#Headers],0))
-
INDEX(スコア表2[],MATCH("average",スコア表2[maxmin],0),MATCH(CF$5,スコア表2[#Headers],0)))
/
INDEX(スコア表2[],MATCH("stdev.p",スコア表2[maxmin],0),MATCH(CF$5,スコア表2[#Headers],0))
*10+50,"-")</f>
        <v>48.862014497635236</v>
      </c>
      <c r="CG24" s="4">
        <f>IFERROR(
(INDEX(スコア表[],MATCH($C24,スコア表['#],0),MATCH(CG$5,スコア表[#Headers],0))
-
INDEX(スコア表2[],MATCH("average",スコア表2[maxmin],0),MATCH(CG$5,スコア表2[#Headers],0)))
/
INDEX(スコア表2[],MATCH("stdev.p",スコア表2[maxmin],0),MATCH(CG$5,スコア表2[#Headers],0))
*10+50,"-")</f>
        <v>48.432018556161886</v>
      </c>
      <c r="CH24" s="4">
        <f>IFERROR(
(INDEX(スコア表[],MATCH($C24,スコア表['#],0),MATCH(CH$5,スコア表[#Headers],0))
-
INDEX(スコア表2[],MATCH("average",スコア表2[maxmin],0),MATCH(CH$5,スコア表2[#Headers],0)))
/
INDEX(スコア表2[],MATCH("stdev.p",スコア表2[maxmin],0),MATCH(CH$5,スコア表2[#Headers],0))
*10+50,"-")</f>
        <v>44.451091492225828</v>
      </c>
      <c r="CI24" s="4">
        <f>IFERROR(
(INDEX(スコア表[],MATCH($C24,スコア表['#],0),MATCH(CI$5,スコア表[#Headers],0))
-
INDEX(スコア表2[],MATCH("average",スコア表2[maxmin],0),MATCH(CI$5,スコア表2[#Headers],0)))
/
INDEX(スコア表2[],MATCH("stdev.p",スコア表2[maxmin],0),MATCH(CI$5,スコア表2[#Headers],0))
*10+50,"-")</f>
        <v>40.162658862730332</v>
      </c>
      <c r="CJ24" s="4">
        <f>IFERROR(
(INDEX(スコア表[],MATCH($C24,スコア表['#],0),MATCH(CJ$5,スコア表[#Headers],0))
-
INDEX(スコア表2[],MATCH("average",スコア表2[maxmin],0),MATCH(CJ$5,スコア表2[#Headers],0)))
/
INDEX(スコア表2[],MATCH("stdev.p",スコア表2[maxmin],0),MATCH(CJ$5,スコア表2[#Headers],0))
*10+50,"-")</f>
        <v>40.771522205571621</v>
      </c>
      <c r="CK24" s="4">
        <f>IFERROR(
(INDEX(スコア表[],MATCH($C24,スコア表['#],0),MATCH(CK$5,スコア表[#Headers],0))
-
INDEX(スコア表2[],MATCH("average",スコア表2[maxmin],0),MATCH(CK$5,スコア表2[#Headers],0)))
/
INDEX(スコア表2[],MATCH("stdev.p",スコア表2[maxmin],0),MATCH(CK$5,スコア表2[#Headers],0))
*10+50,"-")</f>
        <v>42.755557148942131</v>
      </c>
      <c r="CL24" s="4">
        <f>IFERROR(
(INDEX(スコア表[],MATCH($C24,スコア表['#],0),MATCH(CL$5,スコア表[#Headers],0))
-
INDEX(スコア表2[],MATCH("average",スコア表2[maxmin],0),MATCH(CL$5,スコア表2[#Headers],0)))
/
INDEX(スコア表2[],MATCH("stdev.p",スコア表2[maxmin],0),MATCH(CL$5,スコア表2[#Headers],0))
*10+50,"-")</f>
        <v>38.144648541683537</v>
      </c>
      <c r="CM24" s="4">
        <f>IFERROR(
(INDEX(スコア表[],MATCH($C24,スコア表['#],0),MATCH(CM$5,スコア表[#Headers],0))
-
INDEX(スコア表2[],MATCH("average",スコア表2[maxmin],0),MATCH(CM$5,スコア表2[#Headers],0)))
/
INDEX(スコア表2[],MATCH("stdev.p",スコア表2[maxmin],0),MATCH(CM$5,スコア表2[#Headers],0))
*10+50,"-")</f>
        <v>44.148156367711785</v>
      </c>
      <c r="CN24" s="4">
        <f>IFERROR(
(INDEX(スコア表[],MATCH($C24,スコア表['#],0),MATCH(CN$5,スコア表[#Headers],0))
-
INDEX(スコア表2[],MATCH("average",スコア表2[maxmin],0),MATCH(CN$5,スコア表2[#Headers],0)))
/
INDEX(スコア表2[],MATCH("stdev.p",スコア表2[maxmin],0),MATCH(CN$5,スコア表2[#Headers],0))
*10+50,"-")</f>
        <v>55.209867129119154</v>
      </c>
      <c r="CO24" s="4">
        <f>IFERROR(
(INDEX(スコア表[],MATCH($C24,スコア表['#],0),MATCH(CO$5,スコア表[#Headers],0))
-
INDEX(スコア表2[],MATCH("average",スコア表2[maxmin],0),MATCH(CO$5,スコア表2[#Headers],0)))
/
INDEX(スコア表2[],MATCH("stdev.p",スコア表2[maxmin],0),MATCH(CO$5,スコア表2[#Headers],0))
*10+50,"-")</f>
        <v>30.619090055597752</v>
      </c>
      <c r="CP24" s="4">
        <f>IFERROR(
(INDEX(スコア表[],MATCH($C24,スコア表['#],0),MATCH(CP$5,スコア表[#Headers],0))
-
INDEX(スコア表2[],MATCH("average",スコア表2[maxmin],0),MATCH(CP$5,スコア表2[#Headers],0)))
/
INDEX(スコア表2[],MATCH("stdev.p",スコア表2[maxmin],0),MATCH(CP$5,スコア表2[#Headers],0))
*10+50,"-")</f>
        <v>56.007444629841778</v>
      </c>
      <c r="CQ24" s="4">
        <f>IFERROR(
(INDEX(スコア表[],MATCH($C24,スコア表['#],0),MATCH(CQ$5,スコア表[#Headers],0))
-
INDEX(スコア表2[],MATCH("average",スコア表2[maxmin],0),MATCH(CQ$5,スコア表2[#Headers],0)))
/
INDEX(スコア表2[],MATCH("stdev.p",スコア表2[maxmin],0),MATCH(CQ$5,スコア表2[#Headers],0))
*10+50,"-")</f>
        <v>60.53621319134681</v>
      </c>
      <c r="CR24" s="4">
        <f>IFERROR(
(INDEX(スコア表[],MATCH($C24,スコア表['#],0),MATCH(CR$5,スコア表[#Headers],0))
-
INDEX(スコア表2[],MATCH("average",スコア表2[maxmin],0),MATCH(CR$5,スコア表2[#Headers],0)))
/
INDEX(スコア表2[],MATCH("stdev.p",スコア表2[maxmin],0),MATCH(CR$5,スコア表2[#Headers],0))
*10+50,"-")</f>
        <v>52.146135251962463</v>
      </c>
      <c r="CS24" s="4">
        <f>IFERROR(
(INDEX(スコア表[],MATCH($C24,スコア表['#],0),MATCH(CS$5,スコア表[#Headers],0))
-
INDEX(スコア表2[],MATCH("average",スコア表2[maxmin],0),MATCH(CS$5,スコア表2[#Headers],0)))
/
INDEX(スコア表2[],MATCH("stdev.p",スコア表2[maxmin],0),MATCH(CS$5,スコア表2[#Headers],0))
*10+50,"-")</f>
        <v>50.229426328330554</v>
      </c>
      <c r="CT24" s="4">
        <f>IFERROR(
(INDEX(スコア表[],MATCH($C24,スコア表['#],0),MATCH(CT$5,スコア表[#Headers],0))
-
INDEX(スコア表2[],MATCH("average",スコア表2[maxmin],0),MATCH(CT$5,スコア表2[#Headers],0)))
/
INDEX(スコア表2[],MATCH("stdev.p",スコア表2[maxmin],0),MATCH(CT$5,スコア表2[#Headers],0))
*10+50,"-")</f>
        <v>55.418191265299797</v>
      </c>
      <c r="CU24" s="4">
        <f>IFERROR(
(INDEX(スコア表[],MATCH($C24,スコア表['#],0),MATCH(CU$5,スコア表[#Headers],0))
-
INDEX(スコア表2[],MATCH("average",スコア表2[maxmin],0),MATCH(CU$5,スコア表2[#Headers],0)))
/
INDEX(スコア表2[],MATCH("stdev.p",スコア表2[maxmin],0),MATCH(CU$5,スコア表2[#Headers],0))
*10+50,"-")</f>
        <v>66.606611656729342</v>
      </c>
      <c r="CV24" s="4">
        <f>IFERROR(
(INDEX(スコア表[],MATCH($C24,スコア表['#],0),MATCH(CV$5,スコア表[#Headers],0))
-
INDEX(スコア表2[],MATCH("average",スコア表2[maxmin],0),MATCH(CV$5,スコア表2[#Headers],0)))
/
INDEX(スコア表2[],MATCH("stdev.p",スコア表2[maxmin],0),MATCH(CV$5,スコア表2[#Headers],0))
*10+50,"-")</f>
        <v>51.221519545783615</v>
      </c>
      <c r="CW24" s="4">
        <f>IFERROR(
(INDEX(スコア表[],MATCH($C24,スコア表['#],0),MATCH(CW$5,スコア表[#Headers],0))
-
INDEX(スコア表2[],MATCH("average",スコア表2[maxmin],0),MATCH(CW$5,スコア表2[#Headers],0)))
/
INDEX(スコア表2[],MATCH("stdev.p",スコア表2[maxmin],0),MATCH(CW$5,スコア表2[#Headers],0))
*10+50,"-")</f>
        <v>44.200103317818545</v>
      </c>
      <c r="CX24" s="4">
        <f>IFERROR(
(INDEX(スコア表[],MATCH($C24,スコア表['#],0),MATCH(CX$5,スコア表[#Headers],0))
-
INDEX(スコア表2[],MATCH("average",スコア表2[maxmin],0),MATCH(CX$5,スコア表2[#Headers],0)))
/
INDEX(スコア表2[],MATCH("stdev.p",スコア表2[maxmin],0),MATCH(CX$5,スコア表2[#Headers],0))
*10+50,"-")</f>
        <v>68.574148956305677</v>
      </c>
      <c r="CY24" s="4">
        <f>IFERROR(
(INDEX(スコア表[],MATCH($C24,スコア表['#],0),MATCH(CY$5,スコア表[#Headers],0))
-
INDEX(スコア表2[],MATCH("average",スコア表2[maxmin],0),MATCH(CY$5,スコア表2[#Headers],0)))
/
INDEX(スコア表2[],MATCH("stdev.p",スコア表2[maxmin],0),MATCH(CY$5,スコア表2[#Headers],0))
*10+50,"-")</f>
        <v>44.030422607333492</v>
      </c>
      <c r="CZ24" s="4">
        <f>IFERROR(
(INDEX(スコア表[],MATCH($C24,スコア表['#],0),MATCH(CZ$5,スコア表[#Headers],0))
-
INDEX(スコア表2[],MATCH("average",スコア表2[maxmin],0),MATCH(CZ$5,スコア表2[#Headers],0)))
/
INDEX(スコア表2[],MATCH("stdev.p",スコア表2[maxmin],0),MATCH(CZ$5,スコア表2[#Headers],0))
*10+50,"-")</f>
        <v>62.654743718216153</v>
      </c>
      <c r="DA24" s="4">
        <f>IFERROR(
(INDEX(スコア表[],MATCH($C24,スコア表['#],0),MATCH(DA$5,スコア表[#Headers],0))
-
INDEX(スコア表2[],MATCH("average",スコア表2[maxmin],0),MATCH(DA$5,スコア表2[#Headers],0)))
/
INDEX(スコア表2[],MATCH("stdev.p",スコア表2[maxmin],0),MATCH(DA$5,スコア表2[#Headers],0))
*10+50,"-")</f>
        <v>47.235026530182296</v>
      </c>
      <c r="DB24" s="4">
        <f>IFERROR(
(INDEX(スコア表[],MATCH($C24,スコア表['#],0),MATCH(DB$5,スコア表[#Headers],0))
-
INDEX(スコア表2[],MATCH("average",スコア表2[maxmin],0),MATCH(DB$5,スコア表2[#Headers],0)))
/
INDEX(スコア表2[],MATCH("stdev.p",スコア表2[maxmin],0),MATCH(DB$5,スコア表2[#Headers],0))
*10+50,"-")</f>
        <v>38.51937957495241</v>
      </c>
      <c r="DC24" s="4">
        <f>IFERROR(
(INDEX(スコア表[],MATCH($C24,スコア表['#],0),MATCH(DC$5,スコア表[#Headers],0))
-
INDEX(スコア表2[],MATCH("average",スコア表2[maxmin],0),MATCH(DC$5,スコア表2[#Headers],0)))
/
INDEX(スコア表2[],MATCH("stdev.p",スコア表2[maxmin],0),MATCH(DC$5,スコア表2[#Headers],0))
*10+50,"-")</f>
        <v>48.087645784416367</v>
      </c>
      <c r="DD24" s="4">
        <f>IFERROR(
(INDEX(スコア表[],MATCH($C24,スコア表['#],0),MATCH(DD$5,スコア表[#Headers],0))
-
INDEX(スコア表2[],MATCH("average",スコア表2[maxmin],0),MATCH(DD$5,スコア表2[#Headers],0)))
/
INDEX(スコア表2[],MATCH("stdev.p",スコア表2[maxmin],0),MATCH(DD$5,スコア表2[#Headers],0))
*10+50,"-")</f>
        <v>62.334592612579002</v>
      </c>
      <c r="DE24" s="4">
        <f>IFERROR(
(INDEX(スコア表[],MATCH($C24,スコア表['#],0),MATCH(DE$5,スコア表[#Headers],0))
-
INDEX(スコア表2[],MATCH("average",スコア表2[maxmin],0),MATCH(DE$5,スコア表2[#Headers],0)))
/
INDEX(スコア表2[],MATCH("stdev.p",スコア表2[maxmin],0),MATCH(DE$5,スコア表2[#Headers],0))
*10+50,"-")</f>
        <v>52.328709570737843</v>
      </c>
      <c r="DF24" s="76">
        <f>IFERROR(
(INDEX(スコア表[],MATCH($C24,スコア表['#],0),MATCH(DF$5,スコア表[#Headers],0))
-
INDEX(スコア表2[],MATCH("average",スコア表2[maxmin],0),MATCH(DF$5,スコア表2[#Headers],0)))
/
INDEX(スコア表2[],MATCH("stdev.p",スコア表2[maxmin],0),MATCH(DF$5,スコア表2[#Headers],0))
*10+50,"-")</f>
        <v>52.049613380321524</v>
      </c>
      <c r="DG24" s="4">
        <f>IFERROR(_xlfn.STDEV.P(偏差値表[[#This Row],[Economy]:[Accessibility]]),"")</f>
        <v>8.5640377962259731</v>
      </c>
    </row>
    <row r="25" spans="1:111">
      <c r="A25" s="2">
        <v>20</v>
      </c>
      <c r="B25" s="58">
        <f>INDEX(順位表[Comprehensive],MATCH($C25,順位表['#],0))</f>
        <v>20</v>
      </c>
      <c r="C25" s="3">
        <v>8</v>
      </c>
      <c r="D25" s="1" t="str">
        <f>INDEX(都市マスタ[City Name],MATCH($C25,都市マスタ['#],0))</f>
        <v>Frankfurt</v>
      </c>
      <c r="E25" s="4">
        <f>IFERROR(
(INDEX(スコア表[],MATCH($C25,スコア表['#],0),MATCH(E$5,スコア表[#Headers],0))
-
INDEX(スコア表2[],MATCH("average",スコア表2[maxmin],0),MATCH(E$5,スコア表2[#Headers],0)))
/
INDEX(スコア表2[],MATCH("stdev.p",スコア表2[maxmin],0),MATCH(E$5,スコア表2[#Headers],0))
*10+50,"-")</f>
        <v>41.856238672160345</v>
      </c>
      <c r="F25" s="4">
        <f>IFERROR(
(INDEX(スコア表[],MATCH($C25,スコア表['#],0),MATCH(F$5,スコア表[#Headers],0))
-
INDEX(スコア表2[],MATCH("average",スコア表2[maxmin],0),MATCH(F$5,スコア表2[#Headers],0)))
/
INDEX(スコア表2[],MATCH("stdev.p",スコア表2[maxmin],0),MATCH(F$5,スコア表2[#Headers],0))
*10+50,"-")</f>
        <v>45.53764227970224</v>
      </c>
      <c r="G25" s="4">
        <f>IFERROR(
(INDEX(スコア表[],MATCH($C25,スコア表['#],0),MATCH(G$5,スコア表[#Headers],0))
-
INDEX(スコア表2[],MATCH("average",スコア表2[maxmin],0),MATCH(G$5,スコア表2[#Headers],0)))
/
INDEX(スコア表2[],MATCH("stdev.p",スコア表2[maxmin],0),MATCH(G$5,スコア表2[#Headers],0))
*10+50,"-")</f>
        <v>48.33249429603066</v>
      </c>
      <c r="H25" s="4">
        <f>IFERROR(
(INDEX(スコア表[],MATCH($C25,スコア表['#],0),MATCH(H$5,スコア表[#Headers],0))
-
INDEX(スコア表2[],MATCH("average",スコア表2[maxmin],0),MATCH(H$5,スコア表2[#Headers],0)))
/
INDEX(スコア表2[],MATCH("stdev.p",スコア表2[maxmin],0),MATCH(H$5,スコア表2[#Headers],0))
*10+50,"-")</f>
        <v>43.711341872989799</v>
      </c>
      <c r="I25" s="4">
        <f>IFERROR(
(INDEX(スコア表[],MATCH($C25,スコア表['#],0),MATCH(I$5,スコア表[#Headers],0))
-
INDEX(スコア表2[],MATCH("average",スコア表2[maxmin],0),MATCH(I$5,スコア表2[#Headers],0)))
/
INDEX(スコア表2[],MATCH("stdev.p",スコア表2[maxmin],0),MATCH(I$5,スコア表2[#Headers],0))
*10+50,"-")</f>
        <v>58.306473644140951</v>
      </c>
      <c r="J25" s="4">
        <f>IFERROR(
(INDEX(スコア表[],MATCH($C25,スコア表['#],0),MATCH(J$5,スコア表[#Headers],0))
-
INDEX(スコア表2[],MATCH("average",スコア表2[maxmin],0),MATCH(J$5,スコア表2[#Headers],0)))
/
INDEX(スコア表2[],MATCH("stdev.p",スコア表2[maxmin],0),MATCH(J$5,スコア表2[#Headers],0))
*10+50,"-")</f>
        <v>40.699364627038079</v>
      </c>
      <c r="K25" s="4">
        <f>IFERROR(
(INDEX(スコア表[],MATCH($C25,スコア表['#],0),MATCH(K$5,スコア表[#Headers],0))
-
INDEX(スコア表2[],MATCH("average",スコア表2[maxmin],0),MATCH(K$5,スコア表2[#Headers],0)))
/
INDEX(スコア表2[],MATCH("stdev.p",スコア表2[maxmin],0),MATCH(K$5,スコア表2[#Headers],0))
*10+50,"-")</f>
        <v>56.105676905555036</v>
      </c>
      <c r="L25" s="4">
        <f>IFERROR(
(INDEX(スコア表[],MATCH($C25,スコア表['#],0),MATCH(L$5,スコア表[#Headers],0))
-
INDEX(スコア表2[],MATCH("average",スコア表2[maxmin],0),MATCH(L$5,スコア表2[#Headers],0)))
/
INDEX(スコア表2[],MATCH("stdev.p",スコア表2[maxmin],0),MATCH(L$5,スコア表2[#Headers],0))
*10+50,"-")</f>
        <v>50.087576161574795</v>
      </c>
      <c r="M25" s="4">
        <f>IFERROR(
(INDEX(スコア表[],MATCH($C25,スコア表['#],0),MATCH(M$5,スコア表[#Headers],0))
-
INDEX(スコア表2[],MATCH("average",スコア表2[maxmin],0),MATCH(M$5,スコア表2[#Headers],0)))
/
INDEX(スコア表2[],MATCH("stdev.p",スコア表2[maxmin],0),MATCH(M$5,スコア表2[#Headers],0))
*10+50,"-")</f>
        <v>46.582614528254375</v>
      </c>
      <c r="N25" s="4">
        <f>IFERROR(
(INDEX(スコア表[],MATCH($C25,スコア表['#],0),MATCH(N$5,スコア表[#Headers],0))
-
INDEX(スコア表2[],MATCH("average",スコア表2[maxmin],0),MATCH(N$5,スコア表2[#Headers],0)))
/
INDEX(スコア表2[],MATCH("stdev.p",スコア表2[maxmin],0),MATCH(N$5,スコア表2[#Headers],0))
*10+50,"-")</f>
        <v>42.637365830867381</v>
      </c>
      <c r="O25" s="4">
        <f>IFERROR(
(INDEX(スコア表[],MATCH($C25,スコア表['#],0),MATCH(O$5,スコア表[#Headers],0))
-
INDEX(スコア表2[],MATCH("average",スコア表2[maxmin],0),MATCH(O$5,スコア表2[#Headers],0)))
/
INDEX(スコア表2[],MATCH("stdev.p",スコア表2[maxmin],0),MATCH(O$5,スコア表2[#Headers],0))
*10+50,"-")</f>
        <v>65.325486792946123</v>
      </c>
      <c r="P25" s="4">
        <f>IFERROR(
(INDEX(スコア表[],MATCH($C25,スコア表['#],0),MATCH(P$5,スコア表[#Headers],0))
-
INDEX(スコア表2[],MATCH("average",スコア表2[maxmin],0),MATCH(P$5,スコア表2[#Headers],0)))
/
INDEX(スコア表2[],MATCH("stdev.p",スコア表2[maxmin],0),MATCH(P$5,スコア表2[#Headers],0))
*10+50,"-")</f>
        <v>53.95758846317878</v>
      </c>
      <c r="Q25" s="4">
        <f>IFERROR(
(INDEX(スコア表[],MATCH($C25,スコア表['#],0),MATCH(Q$5,スコア表[#Headers],0))
-
INDEX(スコア表2[],MATCH("average",スコア表2[maxmin],0),MATCH(Q$5,スコア表2[#Headers],0)))
/
INDEX(スコア表2[],MATCH("stdev.p",スコア表2[maxmin],0),MATCH(Q$5,スコア表2[#Headers],0))
*10+50,"-")</f>
        <v>50.02504327189461</v>
      </c>
      <c r="R25" s="4">
        <f>IFERROR(
(INDEX(スコア表[],MATCH($C25,スコア表['#],0),MATCH(R$5,スコア表[#Headers],0))
-
INDEX(スコア表2[],MATCH("average",スコア表2[maxmin],0),MATCH(R$5,スコア表2[#Headers],0)))
/
INDEX(スコア表2[],MATCH("stdev.p",スコア表2[maxmin],0),MATCH(R$5,スコア表2[#Headers],0))
*10+50,"-")</f>
        <v>41.764697939963959</v>
      </c>
      <c r="S25" s="4">
        <f>IFERROR(
(INDEX(スコア表[],MATCH($C25,スコア表['#],0),MATCH(S$5,スコア表[#Headers],0))
-
INDEX(スコア表2[],MATCH("average",スコア表2[maxmin],0),MATCH(S$5,スコア表2[#Headers],0)))
/
INDEX(スコア表2[],MATCH("stdev.p",スコア表2[maxmin],0),MATCH(S$5,スコア表2[#Headers],0))
*10+50,"-")</f>
        <v>37.780165090305758</v>
      </c>
      <c r="T25" s="4">
        <f>IFERROR(
(INDEX(スコア表[],MATCH($C25,スコア表['#],0),MATCH(T$5,スコア表[#Headers],0))
-
INDEX(スコア表2[],MATCH("average",スコア表2[maxmin],0),MATCH(T$5,スコア表2[#Headers],0)))
/
INDEX(スコア表2[],MATCH("stdev.p",スコア表2[maxmin],0),MATCH(T$5,スコア表2[#Headers],0))
*10+50,"-")</f>
        <v>54.234929523005263</v>
      </c>
      <c r="U25" s="4">
        <f>IFERROR(
(INDEX(スコア表[],MATCH($C25,スコア表['#],0),MATCH(U$5,スコア表[#Headers],0))
-
INDEX(スコア表2[],MATCH("average",スコア表2[maxmin],0),MATCH(U$5,スコア表2[#Headers],0)))
/
INDEX(スコア表2[],MATCH("stdev.p",スコア表2[maxmin],0),MATCH(U$5,スコア表2[#Headers],0))
*10+50,"-")</f>
        <v>43.375176695187193</v>
      </c>
      <c r="V25" s="4">
        <f>IFERROR(
(INDEX(スコア表[],MATCH($C25,スコア表['#],0),MATCH(V$5,スコア表[#Headers],0))
-
INDEX(スコア表2[],MATCH("average",スコア表2[maxmin],0),MATCH(V$5,スコア表2[#Headers],0)))
/
INDEX(スコア表2[],MATCH("stdev.p",スコア表2[maxmin],0),MATCH(V$5,スコア表2[#Headers],0))
*10+50,"-")</f>
        <v>40.590206006334618</v>
      </c>
      <c r="W25" s="4">
        <f>IFERROR(
(INDEX(スコア表[],MATCH($C25,スコア表['#],0),MATCH(W$5,スコア表[#Headers],0))
-
INDEX(スコア表2[],MATCH("average",スコア表2[maxmin],0),MATCH(W$5,スコア表2[#Headers],0)))
/
INDEX(スコア表2[],MATCH("stdev.p",スコア表2[maxmin],0),MATCH(W$5,スコア表2[#Headers],0))
*10+50,"-")</f>
        <v>45.532181126591453</v>
      </c>
      <c r="X25" s="4">
        <f>IFERROR(
(INDEX(スコア表[],MATCH($C25,スコア表['#],0),MATCH(X$5,スコア表[#Headers],0))
-
INDEX(スコア表2[],MATCH("average",スコア表2[maxmin],0),MATCH(X$5,スコア表2[#Headers],0)))
/
INDEX(スコア表2[],MATCH("stdev.p",スコア表2[maxmin],0),MATCH(X$5,スコア表2[#Headers],0))
*10+50,"-")</f>
        <v>45.464813211029337</v>
      </c>
      <c r="Y25" s="4">
        <f>IFERROR(
(INDEX(スコア表[],MATCH($C25,スコア表['#],0),MATCH(Y$5,スコア表[#Headers],0))
-
INDEX(スコア表2[],MATCH("average",スコア表2[maxmin],0),MATCH(Y$5,スコア表2[#Headers],0)))
/
INDEX(スコア表2[],MATCH("stdev.p",スコア表2[maxmin],0),MATCH(Y$5,スコア表2[#Headers],0))
*10+50,"-")</f>
        <v>53.523599008406045</v>
      </c>
      <c r="Z25" s="4">
        <f>IFERROR(
(INDEX(スコア表[],MATCH($C25,スコア表['#],0),MATCH(Z$5,スコア表[#Headers],0))
-
INDEX(スコア表2[],MATCH("average",スコア表2[maxmin],0),MATCH(Z$5,スコア表2[#Headers],0)))
/
INDEX(スコア表2[],MATCH("stdev.p",スコア表2[maxmin],0),MATCH(Z$5,スコア表2[#Headers],0))
*10+50,"-")</f>
        <v>44.321493755613453</v>
      </c>
      <c r="AA25" s="4">
        <f>IFERROR(
(INDEX(スコア表[],MATCH($C25,スコア表['#],0),MATCH(AA$5,スコア表[#Headers],0))
-
INDEX(スコア表2[],MATCH("average",スコア表2[maxmin],0),MATCH(AA$5,スコア表2[#Headers],0)))
/
INDEX(スコア表2[],MATCH("stdev.p",スコア表2[maxmin],0),MATCH(AA$5,スコア表2[#Headers],0))
*10+50,"-")</f>
        <v>44.664612103409482</v>
      </c>
      <c r="AB25" s="4">
        <f>IFERROR(
(INDEX(スコア表[],MATCH($C25,スコア表['#],0),MATCH(AB$5,スコア表[#Headers],0))
-
INDEX(スコア表2[],MATCH("average",スコア表2[maxmin],0),MATCH(AB$5,スコア表2[#Headers],0)))
/
INDEX(スコア表2[],MATCH("stdev.p",スコア表2[maxmin],0),MATCH(AB$5,スコア表2[#Headers],0))
*10+50,"-")</f>
        <v>44.10803940082765</v>
      </c>
      <c r="AC25" s="4">
        <f>IFERROR(
(INDEX(スコア表[],MATCH($C25,スコア表['#],0),MATCH(AC$5,スコア表[#Headers],0))
-
INDEX(スコア表2[],MATCH("average",スコア表2[maxmin],0),MATCH(AC$5,スコア表2[#Headers],0)))
/
INDEX(スコア表2[],MATCH("stdev.p",スコア表2[maxmin],0),MATCH(AC$5,スコア表2[#Headers],0))
*10+50,"-")</f>
        <v>43.323735049329734</v>
      </c>
      <c r="AD25" s="4">
        <f>IFERROR(
(INDEX(スコア表[],MATCH($C25,スコア表['#],0),MATCH(AD$5,スコア表[#Headers],0))
-
INDEX(スコア表2[],MATCH("average",スコア表2[maxmin],0),MATCH(AD$5,スコア表2[#Headers],0)))
/
INDEX(スコア表2[],MATCH("stdev.p",スコア表2[maxmin],0),MATCH(AD$5,スコア表2[#Headers],0))
*10+50,"-")</f>
        <v>42.192055141481653</v>
      </c>
      <c r="AE25" s="4">
        <f>IFERROR(
(INDEX(スコア表[],MATCH($C25,スコア表['#],0),MATCH(AE$5,スコア表[#Headers],0))
-
INDEX(スコア表2[],MATCH("average",スコア表2[maxmin],0),MATCH(AE$5,スコア表2[#Headers],0)))
/
INDEX(スコア表2[],MATCH("stdev.p",スコア表2[maxmin],0),MATCH(AE$5,スコア表2[#Headers],0))
*10+50,"-")</f>
        <v>45.742305486258658</v>
      </c>
      <c r="AF25" s="4">
        <f>IFERROR(
(INDEX(スコア表[],MATCH($C25,スコア表['#],0),MATCH(AF$5,スコア表[#Headers],0))
-
INDEX(スコア表2[],MATCH("average",スコア表2[maxmin],0),MATCH(AF$5,スコア表2[#Headers],0)))
/
INDEX(スコア表2[],MATCH("stdev.p",スコア表2[maxmin],0),MATCH(AF$5,スコア表2[#Headers],0))
*10+50,"-")</f>
        <v>47.048990950418116</v>
      </c>
      <c r="AG25" s="4">
        <f>IFERROR(
(INDEX(スコア表[],MATCH($C25,スコア表['#],0),MATCH(AG$5,スコア表[#Headers],0))
-
INDEX(スコア表2[],MATCH("average",スコア表2[maxmin],0),MATCH(AG$5,スコア表2[#Headers],0)))
/
INDEX(スコア表2[],MATCH("stdev.p",スコア表2[maxmin],0),MATCH(AG$5,スコア表2[#Headers],0))
*10+50,"-")</f>
        <v>35.543354298032895</v>
      </c>
      <c r="AH25" s="4">
        <f>IFERROR(
(INDEX(スコア表[],MATCH($C25,スコア表['#],0),MATCH(AH$5,スコア表[#Headers],0))
-
INDEX(スコア表2[],MATCH("average",スコア表2[maxmin],0),MATCH(AH$5,スコア表2[#Headers],0)))
/
INDEX(スコア表2[],MATCH("stdev.p",スコア表2[maxmin],0),MATCH(AH$5,スコア表2[#Headers],0))
*10+50,"-")</f>
        <v>67.088899020637868</v>
      </c>
      <c r="AI25" s="4">
        <f>IFERROR(
(INDEX(スコア表[],MATCH($C25,スコア表['#],0),MATCH(AI$5,スコア表[#Headers],0))
-
INDEX(スコア表2[],MATCH("average",スコア表2[maxmin],0),MATCH(AI$5,スコア表2[#Headers],0)))
/
INDEX(スコア表2[],MATCH("stdev.p",スコア表2[maxmin],0),MATCH(AI$5,スコア表2[#Headers],0))
*10+50,"-")</f>
        <v>46.489052698433348</v>
      </c>
      <c r="AJ25" s="4">
        <f>IFERROR(
(INDEX(スコア表[],MATCH($C25,スコア表['#],0),MATCH(AJ$5,スコア表[#Headers],0))
-
INDEX(スコア表2[],MATCH("average",スコア表2[maxmin],0),MATCH(AJ$5,スコア表2[#Headers],0)))
/
INDEX(スコア表2[],MATCH("stdev.p",スコア表2[maxmin],0),MATCH(AJ$5,スコア表2[#Headers],0))
*10+50,"-")</f>
        <v>45.420424549898783</v>
      </c>
      <c r="AK25" s="4">
        <f>IFERROR(
(INDEX(スコア表[],MATCH($C25,スコア表['#],0),MATCH(AK$5,スコア表[#Headers],0))
-
INDEX(スコア表2[],MATCH("average",スコア表2[maxmin],0),MATCH(AK$5,スコア表2[#Headers],0)))
/
INDEX(スコア表2[],MATCH("stdev.p",スコア表2[maxmin],0),MATCH(AK$5,スコア表2[#Headers],0))
*10+50,"-")</f>
        <v>45.493305227227999</v>
      </c>
      <c r="AL25" s="4">
        <f>IFERROR(
(INDEX(スコア表[],MATCH($C25,スコア表['#],0),MATCH(AL$5,スコア表[#Headers],0))
-
INDEX(スコア表2[],MATCH("average",スコア表2[maxmin],0),MATCH(AL$5,スコア表2[#Headers],0)))
/
INDEX(スコア表2[],MATCH("stdev.p",スコア表2[maxmin],0),MATCH(AL$5,スコア表2[#Headers],0))
*10+50,"-")</f>
        <v>39.66343308860985</v>
      </c>
      <c r="AM25" s="4">
        <f>IFERROR(
(INDEX(スコア表[],MATCH($C25,スコア表['#],0),MATCH(AM$5,スコア表[#Headers],0))
-
INDEX(スコア表2[],MATCH("average",スコア表2[maxmin],0),MATCH(AM$5,スコア表2[#Headers],0)))
/
INDEX(スコア表2[],MATCH("stdev.p",スコア表2[maxmin],0),MATCH(AM$5,スコア表2[#Headers],0))
*10+50,"-")</f>
        <v>45.959518885778046</v>
      </c>
      <c r="AN25" s="4">
        <f>IFERROR(
(INDEX(スコア表[],MATCH($C25,スコア表['#],0),MATCH(AN$5,スコア表[#Headers],0))
-
INDEX(スコア表2[],MATCH("average",スコア表2[maxmin],0),MATCH(AN$5,スコア表2[#Headers],0)))
/
INDEX(スコア表2[],MATCH("stdev.p",スコア表2[maxmin],0),MATCH(AN$5,スコア表2[#Headers],0))
*10+50,"-")</f>
        <v>43.08228186187938</v>
      </c>
      <c r="AO25" s="4">
        <f>IFERROR(
(INDEX(スコア表[],MATCH($C25,スコア表['#],0),MATCH(AO$5,スコア表[#Headers],0))
-
INDEX(スコア表2[],MATCH("average",スコア表2[maxmin],0),MATCH(AO$5,スコア表2[#Headers],0)))
/
INDEX(スコア表2[],MATCH("stdev.p",スコア表2[maxmin],0),MATCH(AO$5,スコア表2[#Headers],0))
*10+50,"-")</f>
        <v>40.971796968973223</v>
      </c>
      <c r="AP25" s="4">
        <f>IFERROR(
(INDEX(スコア表[],MATCH($C25,スコア表['#],0),MATCH(AP$5,スコア表[#Headers],0))
-
INDEX(スコア表2[],MATCH("average",スコア表2[maxmin],0),MATCH(AP$5,スコア表2[#Headers],0)))
/
INDEX(スコア表2[],MATCH("stdev.p",スコア表2[maxmin],0),MATCH(AP$5,スコア表2[#Headers],0))
*10+50,"-")</f>
        <v>33.813719290592985</v>
      </c>
      <c r="AQ25" s="4">
        <f>IFERROR(
(INDEX(スコア表[],MATCH($C25,スコア表['#],0),MATCH(AQ$5,スコア表[#Headers],0))
-
INDEX(スコア表2[],MATCH("average",スコア表2[maxmin],0),MATCH(AQ$5,スコア表2[#Headers],0)))
/
INDEX(スコア表2[],MATCH("stdev.p",スコア表2[maxmin],0),MATCH(AQ$5,スコア表2[#Headers],0))
*10+50,"-")</f>
        <v>46.103308555665144</v>
      </c>
      <c r="AR25" s="4">
        <f>IFERROR(
(INDEX(スコア表[],MATCH($C25,スコア表['#],0),MATCH(AR$5,スコア表[#Headers],0))
-
INDEX(スコア表2[],MATCH("average",スコア表2[maxmin],0),MATCH(AR$5,スコア表2[#Headers],0)))
/
INDEX(スコア表2[],MATCH("stdev.p",スコア表2[maxmin],0),MATCH(AR$5,スコア表2[#Headers],0))
*10+50,"-")</f>
        <v>47.016453374115784</v>
      </c>
      <c r="AS25" s="4">
        <f>IFERROR(
(INDEX(スコア表[],MATCH($C25,スコア表['#],0),MATCH(AS$5,スコア表[#Headers],0))
-
INDEX(スコア表2[],MATCH("average",スコア表2[maxmin],0),MATCH(AS$5,スコア表2[#Headers],0)))
/
INDEX(スコア表2[],MATCH("stdev.p",スコア表2[maxmin],0),MATCH(AS$5,スコア表2[#Headers],0))
*10+50,"-")</f>
        <v>50.855600141551179</v>
      </c>
      <c r="AT25" s="4">
        <f>IFERROR(
(INDEX(スコア表[],MATCH($C25,スコア表['#],0),MATCH(AT$5,スコア表[#Headers],0))
-
INDEX(スコア表2[],MATCH("average",スコア表2[maxmin],0),MATCH(AT$5,スコア表2[#Headers],0)))
/
INDEX(スコア表2[],MATCH("stdev.p",スコア表2[maxmin],0),MATCH(AT$5,スコア表2[#Headers],0))
*10+50,"-")</f>
        <v>63.772520816505889</v>
      </c>
      <c r="AU25" s="4">
        <f>IFERROR(
(INDEX(スコア表[],MATCH($C25,スコア表['#],0),MATCH(AU$5,スコア表[#Headers],0))
-
INDEX(スコア表2[],MATCH("average",スコア表2[maxmin],0),MATCH(AU$5,スコア表2[#Headers],0)))
/
INDEX(スコア表2[],MATCH("stdev.p",スコア表2[maxmin],0),MATCH(AU$5,スコア表2[#Headers],0))
*10+50,"-")</f>
        <v>43.608929851920195</v>
      </c>
      <c r="AV25" s="4">
        <f>IFERROR(
(INDEX(スコア表[],MATCH($C25,スコア表['#],0),MATCH(AV$5,スコア表[#Headers],0))
-
INDEX(スコア表2[],MATCH("average",スコア表2[maxmin],0),MATCH(AV$5,スコア表2[#Headers],0)))
/
INDEX(スコア表2[],MATCH("stdev.p",スコア表2[maxmin],0),MATCH(AV$5,スコア表2[#Headers],0))
*10+50,"-")</f>
        <v>53.327297760150181</v>
      </c>
      <c r="AW25" s="4">
        <f>IFERROR(
(INDEX(スコア表[],MATCH($C25,スコア表['#],0),MATCH(AW$5,スコア表[#Headers],0))
-
INDEX(スコア表2[],MATCH("average",スコア表2[maxmin],0),MATCH(AW$5,スコア表2[#Headers],0)))
/
INDEX(スコア表2[],MATCH("stdev.p",スコア表2[maxmin],0),MATCH(AW$5,スコア表2[#Headers],0))
*10+50,"-")</f>
        <v>52.193914046347899</v>
      </c>
      <c r="AX25" s="4">
        <f>IFERROR(
(INDEX(スコア表[],MATCH($C25,スコア表['#],0),MATCH(AX$5,スコア表[#Headers],0))
-
INDEX(スコア表2[],MATCH("average",スコア表2[maxmin],0),MATCH(AX$5,スコア表2[#Headers],0)))
/
INDEX(スコア表2[],MATCH("stdev.p",スコア表2[maxmin],0),MATCH(AX$5,スコア表2[#Headers],0))
*10+50,"-")</f>
        <v>44.085820381209103</v>
      </c>
      <c r="AY25" s="4">
        <f>IFERROR(
(INDEX(スコア表[],MATCH($C25,スコア表['#],0),MATCH(AY$5,スコア表[#Headers],0))
-
INDEX(スコア表2[],MATCH("average",スコア表2[maxmin],0),MATCH(AY$5,スコア表2[#Headers],0)))
/
INDEX(スコア表2[],MATCH("stdev.p",スコア表2[maxmin],0),MATCH(AY$5,スコア表2[#Headers],0))
*10+50,"-")</f>
        <v>53.060477302833874</v>
      </c>
      <c r="AZ25" s="4">
        <f>IFERROR(
(INDEX(スコア表[],MATCH($C25,スコア表['#],0),MATCH(AZ$5,スコア表[#Headers],0))
-
INDEX(スコア表2[],MATCH("average",スコア表2[maxmin],0),MATCH(AZ$5,スコア表2[#Headers],0)))
/
INDEX(スコア表2[],MATCH("stdev.p",スコア表2[maxmin],0),MATCH(AZ$5,スコア表2[#Headers],0))
*10+50,"-")</f>
        <v>54.455496031354016</v>
      </c>
      <c r="BA25" s="4">
        <f>IFERROR(
(INDEX(スコア表[],MATCH($C25,スコア表['#],0),MATCH(BA$5,スコア表[#Headers],0))
-
INDEX(スコア表2[],MATCH("average",スコア表2[maxmin],0),MATCH(BA$5,スコア表2[#Headers],0)))
/
INDEX(スコア表2[],MATCH("stdev.p",スコア表2[maxmin],0),MATCH(BA$5,スコア表2[#Headers],0))
*10+50,"-")</f>
        <v>60.636956799808765</v>
      </c>
      <c r="BB25" s="4">
        <f>IFERROR(
(INDEX(スコア表[],MATCH($C25,スコア表['#],0),MATCH(BB$5,スコア表[#Headers],0))
-
INDEX(スコア表2[],MATCH("average",スコア表2[maxmin],0),MATCH(BB$5,スコア表2[#Headers],0)))
/
INDEX(スコア表2[],MATCH("stdev.p",スコア表2[maxmin],0),MATCH(BB$5,スコア表2[#Headers],0))
*10+50,"-")</f>
        <v>54.816296856250965</v>
      </c>
      <c r="BC25" s="4">
        <f>IFERROR(
(INDEX(スコア表[],MATCH($C25,スコア表['#],0),MATCH(BC$5,スコア表[#Headers],0))
-
INDEX(スコア表2[],MATCH("average",スコア表2[maxmin],0),MATCH(BC$5,スコア表2[#Headers],0)))
/
INDEX(スコア表2[],MATCH("stdev.p",スコア表2[maxmin],0),MATCH(BC$5,スコア表2[#Headers],0))
*10+50,"-")</f>
        <v>69.914001398479058</v>
      </c>
      <c r="BD25" s="4">
        <f>IFERROR(
(INDEX(スコア表[],MATCH($C25,スコア表['#],0),MATCH(BD$5,スコア表[#Headers],0))
-
INDEX(スコア表2[],MATCH("average",スコア表2[maxmin],0),MATCH(BD$5,スコア表2[#Headers],0)))
/
INDEX(スコア表2[],MATCH("stdev.p",スコア表2[maxmin],0),MATCH(BD$5,スコア表2[#Headers],0))
*10+50,"-")</f>
        <v>55.664332903296</v>
      </c>
      <c r="BE25" s="4">
        <f>IFERROR(
(INDEX(スコア表[],MATCH($C25,スコア表['#],0),MATCH(BE$5,スコア表[#Headers],0))
-
INDEX(スコア表2[],MATCH("average",スコア表2[maxmin],0),MATCH(BE$5,スコア表2[#Headers],0)))
/
INDEX(スコア表2[],MATCH("stdev.p",スコア表2[maxmin],0),MATCH(BE$5,スコア表2[#Headers],0))
*10+50,"-")</f>
        <v>39.601969926621784</v>
      </c>
      <c r="BF25" s="4">
        <f>IFERROR(
(INDEX(スコア表[],MATCH($C25,スコア表['#],0),MATCH(BF$5,スコア表[#Headers],0))
-
INDEX(スコア表2[],MATCH("average",スコア表2[maxmin],0),MATCH(BF$5,スコア表2[#Headers],0)))
/
INDEX(スコア表2[],MATCH("stdev.p",スコア表2[maxmin],0),MATCH(BF$5,スコア表2[#Headers],0))
*10+50,"-")</f>
        <v>36.67262879321197</v>
      </c>
      <c r="BG25" s="4">
        <f>IFERROR(
(INDEX(スコア表[],MATCH($C25,スコア表['#],0),MATCH(BG$5,スコア表[#Headers],0))
-
INDEX(スコア表2[],MATCH("average",スコア表2[maxmin],0),MATCH(BG$5,スコア表2[#Headers],0)))
/
INDEX(スコア表2[],MATCH("stdev.p",スコア表2[maxmin],0),MATCH(BG$5,スコア表2[#Headers],0))
*10+50,"-")</f>
        <v>35.830986254338612</v>
      </c>
      <c r="BH25" s="4">
        <f>IFERROR(
(INDEX(スコア表[],MATCH($C25,スコア表['#],0),MATCH(BH$5,スコア表[#Headers],0))
-
INDEX(スコア表2[],MATCH("average",スコア表2[maxmin],0),MATCH(BH$5,スコア表2[#Headers],0)))
/
INDEX(スコア表2[],MATCH("stdev.p",スコア表2[maxmin],0),MATCH(BH$5,スコア表2[#Headers],0))
*10+50,"-")</f>
        <v>51.727023643227469</v>
      </c>
      <c r="BI25" s="4">
        <f>IFERROR(
(INDEX(スコア表[],MATCH($C25,スコア表['#],0),MATCH(BI$5,スコア表[#Headers],0))
-
INDEX(スコア表2[],MATCH("average",スコア表2[maxmin],0),MATCH(BI$5,スコア表2[#Headers],0)))
/
INDEX(スコア表2[],MATCH("stdev.p",スコア表2[maxmin],0),MATCH(BI$5,スコア表2[#Headers],0))
*10+50,"-")</f>
        <v>66.076254942755654</v>
      </c>
      <c r="BJ25" s="4">
        <f>IFERROR(
(INDEX(スコア表[],MATCH($C25,スコア表['#],0),MATCH(BJ$5,スコア表[#Headers],0))
-
INDEX(スコア表2[],MATCH("average",スコア表2[maxmin],0),MATCH(BJ$5,スコア表2[#Headers],0)))
/
INDEX(スコア表2[],MATCH("stdev.p",スコア表2[maxmin],0),MATCH(BJ$5,スコア表2[#Headers],0))
*10+50,"-")</f>
        <v>44.350571397358621</v>
      </c>
      <c r="BK25" s="4">
        <f>IFERROR(
(INDEX(スコア表[],MATCH($C25,スコア表['#],0),MATCH(BK$5,スコア表[#Headers],0))
-
INDEX(スコア表2[],MATCH("average",スコア表2[maxmin],0),MATCH(BK$5,スコア表2[#Headers],0)))
/
INDEX(スコア表2[],MATCH("stdev.p",スコア表2[maxmin],0),MATCH(BK$5,スコア表2[#Headers],0))
*10+50,"-")</f>
        <v>55.01719669753426</v>
      </c>
      <c r="BL25" s="4">
        <f>IFERROR(
(INDEX(スコア表[],MATCH($C25,スコア表['#],0),MATCH(BL$5,スコア表[#Headers],0))
-
INDEX(スコア表2[],MATCH("average",スコア表2[maxmin],0),MATCH(BL$5,スコア表2[#Headers],0)))
/
INDEX(スコア表2[],MATCH("stdev.p",スコア表2[maxmin],0),MATCH(BL$5,スコア表2[#Headers],0))
*10+50,"-")</f>
        <v>51.032615037361069</v>
      </c>
      <c r="BM25" s="4">
        <f>IFERROR(
(INDEX(スコア表[],MATCH($C25,スコア表['#],0),MATCH(BM$5,スコア表[#Headers],0))
-
INDEX(スコア表2[],MATCH("average",スコア表2[maxmin],0),MATCH(BM$5,スコア表2[#Headers],0)))
/
INDEX(スコア表2[],MATCH("stdev.p",スコア表2[maxmin],0),MATCH(BM$5,スコア表2[#Headers],0))
*10+50,"-")</f>
        <v>60.624332204512172</v>
      </c>
      <c r="BN25" s="4">
        <f>IFERROR(
(INDEX(スコア表[],MATCH($C25,スコア表['#],0),MATCH(BN$5,スコア表[#Headers],0))
-
INDEX(スコア表2[],MATCH("average",スコア表2[maxmin],0),MATCH(BN$5,スコア表2[#Headers],0)))
/
INDEX(スコア表2[],MATCH("stdev.p",スコア表2[maxmin],0),MATCH(BN$5,スコア表2[#Headers],0))
*10+50,"-")</f>
        <v>62.894568852539763</v>
      </c>
      <c r="BO25" s="4">
        <f>IFERROR(
(INDEX(スコア表[],MATCH($C25,スコア表['#],0),MATCH(BO$5,スコア表[#Headers],0))
-
INDEX(スコア表2[],MATCH("average",スコア表2[maxmin],0),MATCH(BO$5,スコア表2[#Headers],0)))
/
INDEX(スコア表2[],MATCH("stdev.p",スコア表2[maxmin],0),MATCH(BO$5,スコア表2[#Headers],0))
*10+50,"-")</f>
        <v>47.885356818990893</v>
      </c>
      <c r="BP25" s="4">
        <f>IFERROR(
(INDEX(スコア表[],MATCH($C25,スコア表['#],0),MATCH(BP$5,スコア表[#Headers],0))
-
INDEX(スコア表2[],MATCH("average",スコア表2[maxmin],0),MATCH(BP$5,スコア表2[#Headers],0)))
/
INDEX(スコア表2[],MATCH("stdev.p",スコア表2[maxmin],0),MATCH(BP$5,スコア表2[#Headers],0))
*10+50,"-")</f>
        <v>69.52538206343246</v>
      </c>
      <c r="BQ25" s="4">
        <f>IFERROR(
(INDEX(スコア表[],MATCH($C25,スコア表['#],0),MATCH(BQ$5,スコア表[#Headers],0))
-
INDEX(スコア表2[],MATCH("average",スコア表2[maxmin],0),MATCH(BQ$5,スコア表2[#Headers],0)))
/
INDEX(スコア表2[],MATCH("stdev.p",スコア表2[maxmin],0),MATCH(BQ$5,スコア表2[#Headers],0))
*10+50,"-")</f>
        <v>55.618389628044945</v>
      </c>
      <c r="BR25" s="4">
        <f>IFERROR(
(INDEX(スコア表[],MATCH($C25,スコア表['#],0),MATCH(BR$5,スコア表[#Headers],0))
-
INDEX(スコア表2[],MATCH("average",スコア表2[maxmin],0),MATCH(BR$5,スコア表2[#Headers],0)))
/
INDEX(スコア表2[],MATCH("stdev.p",スコア表2[maxmin],0),MATCH(BR$5,スコア表2[#Headers],0))
*10+50,"-")</f>
        <v>53.935520258202338</v>
      </c>
      <c r="BS25" s="4">
        <f>IFERROR(
(INDEX(スコア表[],MATCH($C25,スコア表['#],0),MATCH(BS$5,スコア表[#Headers],0))
-
INDEX(スコア表2[],MATCH("average",スコア表2[maxmin],0),MATCH(BS$5,スコア表2[#Headers],0)))
/
INDEX(スコア表2[],MATCH("stdev.p",スコア表2[maxmin],0),MATCH(BS$5,スコア表2[#Headers],0))
*10+50,"-")</f>
        <v>52.992974417286725</v>
      </c>
      <c r="BT25" s="4">
        <f>IFERROR(
(INDEX(スコア表[],MATCH($C25,スコア表['#],0),MATCH(BT$5,スコア表[#Headers],0))
-
INDEX(スコア表2[],MATCH("average",スコア表2[maxmin],0),MATCH(BT$5,スコア表2[#Headers],0)))
/
INDEX(スコア表2[],MATCH("stdev.p",スコア表2[maxmin],0),MATCH(BT$5,スコア表2[#Headers],0))
*10+50,"-")</f>
        <v>52.587272117839653</v>
      </c>
      <c r="BU25" s="4">
        <f>IFERROR(
(INDEX(スコア表[],MATCH($C25,スコア表['#],0),MATCH(BU$5,スコア表[#Headers],0))
-
INDEX(スコア表2[],MATCH("average",スコア表2[maxmin],0),MATCH(BU$5,スコア表2[#Headers],0)))
/
INDEX(スコア表2[],MATCH("stdev.p",スコア表2[maxmin],0),MATCH(BU$5,スコア表2[#Headers],0))
*10+50,"-")</f>
        <v>52.722708882095603</v>
      </c>
      <c r="BV25" s="4">
        <f>IFERROR(
(INDEX(スコア表[],MATCH($C25,スコア表['#],0),MATCH(BV$5,スコア表[#Headers],0))
-
INDEX(スコア表2[],MATCH("average",スコア表2[maxmin],0),MATCH(BV$5,スコア表2[#Headers],0)))
/
INDEX(スコア表2[],MATCH("stdev.p",スコア表2[maxmin],0),MATCH(BV$5,スコア表2[#Headers],0))
*10+50,"-")</f>
        <v>61.59601536702165</v>
      </c>
      <c r="BW25" s="4">
        <f>IFERROR(
(INDEX(スコア表[],MATCH($C25,スコア表['#],0),MATCH(BW$5,スコア表[#Headers],0))
-
INDEX(スコア表2[],MATCH("average",スコア表2[maxmin],0),MATCH(BW$5,スコア表2[#Headers],0)))
/
INDEX(スコア表2[],MATCH("stdev.p",スコア表2[maxmin],0),MATCH(BW$5,スコア表2[#Headers],0))
*10+50,"-")</f>
        <v>66.946461843612326</v>
      </c>
      <c r="BX25" s="4">
        <f>IFERROR(
(INDEX(スコア表[],MATCH($C25,スコア表['#],0),MATCH(BX$5,スコア表[#Headers],0))
-
INDEX(スコア表2[],MATCH("average",スコア表2[maxmin],0),MATCH(BX$5,スコア表2[#Headers],0)))
/
INDEX(スコア表2[],MATCH("stdev.p",スコア表2[maxmin],0),MATCH(BX$5,スコア表2[#Headers],0))
*10+50,"-")</f>
        <v>64.994033384143563</v>
      </c>
      <c r="BY25" s="4">
        <f>IFERROR(
(INDEX(スコア表[],MATCH($C25,スコア表['#],0),MATCH(BY$5,スコア表[#Headers],0))
-
INDEX(スコア表2[],MATCH("average",スコア表2[maxmin],0),MATCH(BY$5,スコア表2[#Headers],0)))
/
INDEX(スコア表2[],MATCH("stdev.p",スコア表2[maxmin],0),MATCH(BY$5,スコア表2[#Headers],0))
*10+50,"-")</f>
        <v>51.313074342661395</v>
      </c>
      <c r="BZ25" s="4">
        <f>IFERROR(
(INDEX(スコア表[],MATCH($C25,スコア表['#],0),MATCH(BZ$5,スコア表[#Headers],0))
-
INDEX(スコア表2[],MATCH("average",スコア表2[maxmin],0),MATCH(BZ$5,スコア表2[#Headers],0)))
/
INDEX(スコア表2[],MATCH("stdev.p",スコア表2[maxmin],0),MATCH(BZ$5,スコア表2[#Headers],0))
*10+50,"-")</f>
        <v>51.421170844213847</v>
      </c>
      <c r="CA25" s="4">
        <f>IFERROR(
(INDEX(スコア表[],MATCH($C25,スコア表['#],0),MATCH(CA$5,スコア表[#Headers],0))
-
INDEX(スコア表2[],MATCH("average",スコア表2[maxmin],0),MATCH(CA$5,スコア表2[#Headers],0)))
/
INDEX(スコア表2[],MATCH("stdev.p",スコア表2[maxmin],0),MATCH(CA$5,スコア表2[#Headers],0))
*10+50,"-")</f>
        <v>49.819531850449664</v>
      </c>
      <c r="CB25" s="4">
        <f>IFERROR(
(INDEX(スコア表[],MATCH($C25,スコア表['#],0),MATCH(CB$5,スコア表[#Headers],0))
-
INDEX(スコア表2[],MATCH("average",スコア表2[maxmin],0),MATCH(CB$5,スコア表2[#Headers],0)))
/
INDEX(スコア表2[],MATCH("stdev.p",スコア表2[maxmin],0),MATCH(CB$5,スコア表2[#Headers],0))
*10+50,"-")</f>
        <v>47.755790242175749</v>
      </c>
      <c r="CC25" s="4">
        <f>IFERROR(
(INDEX(スコア表[],MATCH($C25,スコア表['#],0),MATCH(CC$5,スコア表[#Headers],0))
-
INDEX(スコア表2[],MATCH("average",スコア表2[maxmin],0),MATCH(CC$5,スコア表2[#Headers],0)))
/
INDEX(スコア表2[],MATCH("stdev.p",スコア表2[maxmin],0),MATCH(CC$5,スコア表2[#Headers],0))
*10+50,"-")</f>
        <v>56.43210512829306</v>
      </c>
      <c r="CD25" s="4">
        <f>IFERROR(
(INDEX(スコア表[],MATCH($C25,スコア表['#],0),MATCH(CD$5,スコア表[#Headers],0))
-
INDEX(スコア表2[],MATCH("average",スコア表2[maxmin],0),MATCH(CD$5,スコア表2[#Headers],0)))
/
INDEX(スコア表2[],MATCH("stdev.p",スコア表2[maxmin],0),MATCH(CD$5,スコア表2[#Headers],0))
*10+50,"-")</f>
        <v>48.671296677092734</v>
      </c>
      <c r="CE25" s="4">
        <f>IFERROR(
(INDEX(スコア表[],MATCH($C25,スコア表['#],0),MATCH(CE$5,スコア表[#Headers],0))
-
INDEX(スコア表2[],MATCH("average",スコア表2[maxmin],0),MATCH(CE$5,スコア表2[#Headers],0)))
/
INDEX(スコア表2[],MATCH("stdev.p",スコア表2[maxmin],0),MATCH(CE$5,スコア表2[#Headers],0))
*10+50,"-")</f>
        <v>45.073877150280502</v>
      </c>
      <c r="CF25" s="4">
        <f>IFERROR(
(INDEX(スコア表[],MATCH($C25,スコア表['#],0),MATCH(CF$5,スコア表[#Headers],0))
-
INDEX(スコア表2[],MATCH("average",スコア表2[maxmin],0),MATCH(CF$5,スコア表2[#Headers],0)))
/
INDEX(スコア表2[],MATCH("stdev.p",スコア表2[maxmin],0),MATCH(CF$5,スコア表2[#Headers],0))
*10+50,"-")</f>
        <v>40.547436313544203</v>
      </c>
      <c r="CG25" s="4">
        <f>IFERROR(
(INDEX(スコア表[],MATCH($C25,スコア表['#],0),MATCH(CG$5,スコア表[#Headers],0))
-
INDEX(スコア表2[],MATCH("average",スコア表2[maxmin],0),MATCH(CG$5,スコア表2[#Headers],0)))
/
INDEX(スコア表2[],MATCH("stdev.p",スコア表2[maxmin],0),MATCH(CG$5,スコア表2[#Headers],0))
*10+50,"-")</f>
        <v>47.911066333060326</v>
      </c>
      <c r="CH25" s="4">
        <f>IFERROR(
(INDEX(スコア表[],MATCH($C25,スコア表['#],0),MATCH(CH$5,スコア表[#Headers],0))
-
INDEX(スコア表2[],MATCH("average",スコア表2[maxmin],0),MATCH(CH$5,スコア表2[#Headers],0)))
/
INDEX(スコア表2[],MATCH("stdev.p",スコア表2[maxmin],0),MATCH(CH$5,スコア表2[#Headers],0))
*10+50,"-")</f>
        <v>42.545687247780421</v>
      </c>
      <c r="CI25" s="4">
        <f>IFERROR(
(INDEX(スコア表[],MATCH($C25,スコア表['#],0),MATCH(CI$5,スコア表[#Headers],0))
-
INDEX(スコア表2[],MATCH("average",スコア表2[maxmin],0),MATCH(CI$5,スコア表2[#Headers],0)))
/
INDEX(スコア表2[],MATCH("stdev.p",スコア表2[maxmin],0),MATCH(CI$5,スコア表2[#Headers],0))
*10+50,"-")</f>
        <v>41.311291957678904</v>
      </c>
      <c r="CJ25" s="4">
        <f>IFERROR(
(INDEX(スコア表[],MATCH($C25,スコア表['#],0),MATCH(CJ$5,スコア表[#Headers],0))
-
INDEX(スコア表2[],MATCH("average",スコア表2[maxmin],0),MATCH(CJ$5,スコア表2[#Headers],0)))
/
INDEX(スコア表2[],MATCH("stdev.p",スコア表2[maxmin],0),MATCH(CJ$5,スコア表2[#Headers],0))
*10+50,"-")</f>
        <v>51.28805099564493</v>
      </c>
      <c r="CK25" s="4">
        <f>IFERROR(
(INDEX(スコア表[],MATCH($C25,スコア表['#],0),MATCH(CK$5,スコア表[#Headers],0))
-
INDEX(スコア表2[],MATCH("average",スコア表2[maxmin],0),MATCH(CK$5,スコア表2[#Headers],0)))
/
INDEX(スコア表2[],MATCH("stdev.p",スコア表2[maxmin],0),MATCH(CK$5,スコア表2[#Headers],0))
*10+50,"-")</f>
        <v>42.269266294747986</v>
      </c>
      <c r="CL25" s="4">
        <f>IFERROR(
(INDEX(スコア表[],MATCH($C25,スコア表['#],0),MATCH(CL$5,スコア表[#Headers],0))
-
INDEX(スコア表2[],MATCH("average",スコア表2[maxmin],0),MATCH(CL$5,スコア表2[#Headers],0)))
/
INDEX(スコア表2[],MATCH("stdev.p",スコア表2[maxmin],0),MATCH(CL$5,スコア表2[#Headers],0))
*10+50,"-")</f>
        <v>39.378299904350719</v>
      </c>
      <c r="CM25" s="4">
        <f>IFERROR(
(INDEX(スコア表[],MATCH($C25,スコア表['#],0),MATCH(CM$5,スコア表[#Headers],0))
-
INDEX(スコア表2[],MATCH("average",スコア表2[maxmin],0),MATCH(CM$5,スコア表2[#Headers],0)))
/
INDEX(スコア表2[],MATCH("stdev.p",スコア表2[maxmin],0),MATCH(CM$5,スコア表2[#Headers],0))
*10+50,"-")</f>
        <v>46.113258204501243</v>
      </c>
      <c r="CN25" s="4">
        <f>IFERROR(
(INDEX(スコア表[],MATCH($C25,スコア表['#],0),MATCH(CN$5,スコア表[#Headers],0))
-
INDEX(スコア表2[],MATCH("average",スコア表2[maxmin],0),MATCH(CN$5,スコア表2[#Headers],0)))
/
INDEX(スコア表2[],MATCH("stdev.p",スコア表2[maxmin],0),MATCH(CN$5,スコア表2[#Headers],0))
*10+50,"-")</f>
        <v>53.999014824145178</v>
      </c>
      <c r="CO25" s="4">
        <f>IFERROR(
(INDEX(スコア表[],MATCH($C25,スコア表['#],0),MATCH(CO$5,スコア表[#Headers],0))
-
INDEX(スコア表2[],MATCH("average",スコア表2[maxmin],0),MATCH(CO$5,スコア表2[#Headers],0)))
/
INDEX(スコア表2[],MATCH("stdev.p",スコア表2[maxmin],0),MATCH(CO$5,スコア表2[#Headers],0))
*10+50,"-")</f>
        <v>53.072202947611949</v>
      </c>
      <c r="CP25" s="4">
        <f>IFERROR(
(INDEX(スコア表[],MATCH($C25,スコア表['#],0),MATCH(CP$5,スコア表[#Headers],0))
-
INDEX(スコア表2[],MATCH("average",スコア表2[maxmin],0),MATCH(CP$5,スコア表2[#Headers],0)))
/
INDEX(スコア表2[],MATCH("stdev.p",スコア表2[maxmin],0),MATCH(CP$5,スコア表2[#Headers],0))
*10+50,"-")</f>
        <v>46.856113630738172</v>
      </c>
      <c r="CQ25" s="4">
        <f>IFERROR(
(INDEX(スコア表[],MATCH($C25,スコア表['#],0),MATCH(CQ$5,スコア表[#Headers],0))
-
INDEX(スコア表2[],MATCH("average",スコア表2[maxmin],0),MATCH(CQ$5,スコア表2[#Headers],0)))
/
INDEX(スコア表2[],MATCH("stdev.p",スコア表2[maxmin],0),MATCH(CQ$5,スコア表2[#Headers],0))
*10+50,"-")</f>
        <v>59.099439727261043</v>
      </c>
      <c r="CR25" s="4">
        <f>IFERROR(
(INDEX(スコア表[],MATCH($C25,スコア表['#],0),MATCH(CR$5,スコア表[#Headers],0))
-
INDEX(スコア表2[],MATCH("average",スコア表2[maxmin],0),MATCH(CR$5,スコア表2[#Headers],0)))
/
INDEX(スコア表2[],MATCH("stdev.p",スコア表2[maxmin],0),MATCH(CR$5,スコア表2[#Headers],0))
*10+50,"-")</f>
        <v>52.127935198360632</v>
      </c>
      <c r="CS25" s="4">
        <f>IFERROR(
(INDEX(スコア表[],MATCH($C25,スコア表['#],0),MATCH(CS$5,スコア表[#Headers],0))
-
INDEX(スコア表2[],MATCH("average",スコア表2[maxmin],0),MATCH(CS$5,スコア表2[#Headers],0)))
/
INDEX(スコア表2[],MATCH("stdev.p",スコア表2[maxmin],0),MATCH(CS$5,スコア表2[#Headers],0))
*10+50,"-")</f>
        <v>52.545795847484882</v>
      </c>
      <c r="CT25" s="4">
        <f>IFERROR(
(INDEX(スコア表[],MATCH($C25,スコア表['#],0),MATCH(CT$5,スコア表[#Headers],0))
-
INDEX(スコア表2[],MATCH("average",スコア表2[maxmin],0),MATCH(CT$5,スコア表2[#Headers],0)))
/
INDEX(スコア表2[],MATCH("stdev.p",スコア表2[maxmin],0),MATCH(CT$5,スコア表2[#Headers],0))
*10+50,"-")</f>
        <v>50.530548150913546</v>
      </c>
      <c r="CU25" s="4">
        <f>IFERROR(
(INDEX(スコア表[],MATCH($C25,スコア表['#],0),MATCH(CU$5,スコア表[#Headers],0))
-
INDEX(スコア表2[],MATCH("average",スコア表2[maxmin],0),MATCH(CU$5,スコア表2[#Headers],0)))
/
INDEX(スコア表2[],MATCH("stdev.p",スコア表2[maxmin],0),MATCH(CU$5,スコア表2[#Headers],0))
*10+50,"-")</f>
        <v>58.326382941414934</v>
      </c>
      <c r="CV25" s="4">
        <f>IFERROR(
(INDEX(スコア表[],MATCH($C25,スコア表['#],0),MATCH(CV$5,スコア表[#Headers],0))
-
INDEX(スコア表2[],MATCH("average",スコア表2[maxmin],0),MATCH(CV$5,スコア表2[#Headers],0)))
/
INDEX(スコア表2[],MATCH("stdev.p",スコア表2[maxmin],0),MATCH(CV$5,スコア表2[#Headers],0))
*10+50,"-")</f>
        <v>67.405404585936324</v>
      </c>
      <c r="CW25" s="4">
        <f>IFERROR(
(INDEX(スコア表[],MATCH($C25,スコア表['#],0),MATCH(CW$5,スコア表[#Headers],0))
-
INDEX(スコア表2[],MATCH("average",スコア表2[maxmin],0),MATCH(CW$5,スコア表2[#Headers],0)))
/
INDEX(スコア表2[],MATCH("stdev.p",スコア表2[maxmin],0),MATCH(CW$5,スコア表2[#Headers],0))
*10+50,"-")</f>
        <v>53.553550441201075</v>
      </c>
      <c r="CX25" s="4">
        <f>IFERROR(
(INDEX(スコア表[],MATCH($C25,スコア表['#],0),MATCH(CX$5,スコア表[#Headers],0))
-
INDEX(スコア表2[],MATCH("average",スコア表2[maxmin],0),MATCH(CX$5,スコア表2[#Headers],0)))
/
INDEX(スコア表2[],MATCH("stdev.p",スコア表2[maxmin],0),MATCH(CX$5,スコア表2[#Headers],0))
*10+50,"-")</f>
        <v>59.921769169360999</v>
      </c>
      <c r="CY25" s="4">
        <f>IFERROR(
(INDEX(スコア表[],MATCH($C25,スコア表['#],0),MATCH(CY$5,スコア表[#Headers],0))
-
INDEX(スコア表2[],MATCH("average",スコア表2[maxmin],0),MATCH(CY$5,スコア表2[#Headers],0)))
/
INDEX(スコア表2[],MATCH("stdev.p",スコア表2[maxmin],0),MATCH(CY$5,スコア表2[#Headers],0))
*10+50,"-")</f>
        <v>68.256045503538644</v>
      </c>
      <c r="CZ25" s="4">
        <f>IFERROR(
(INDEX(スコア表[],MATCH($C25,スコア表['#],0),MATCH(CZ$5,スコア表[#Headers],0))
-
INDEX(スコア表2[],MATCH("average",スコア表2[maxmin],0),MATCH(CZ$5,スコア表2[#Headers],0)))
/
INDEX(スコア表2[],MATCH("stdev.p",スコア表2[maxmin],0),MATCH(CZ$5,スコア表2[#Headers],0))
*10+50,"-")</f>
        <v>49.536818619202002</v>
      </c>
      <c r="DA25" s="4">
        <f>IFERROR(
(INDEX(スコア表[],MATCH($C25,スコア表['#],0),MATCH(DA$5,スコア表[#Headers],0))
-
INDEX(スコア表2[],MATCH("average",スコア表2[maxmin],0),MATCH(DA$5,スコア表2[#Headers],0)))
/
INDEX(スコア表2[],MATCH("stdev.p",スコア表2[maxmin],0),MATCH(DA$5,スコア表2[#Headers],0))
*10+50,"-")</f>
        <v>42.6843075675854</v>
      </c>
      <c r="DB25" s="4">
        <f>IFERROR(
(INDEX(スコア表[],MATCH($C25,スコア表['#],0),MATCH(DB$5,スコア表[#Headers],0))
-
INDEX(スコア表2[],MATCH("average",スコア表2[maxmin],0),MATCH(DB$5,スコア表2[#Headers],0)))
/
INDEX(スコア表2[],MATCH("stdev.p",スコア表2[maxmin],0),MATCH(DB$5,スコア表2[#Headers],0))
*10+50,"-")</f>
        <v>42.080198624339658</v>
      </c>
      <c r="DC25" s="4">
        <f>IFERROR(
(INDEX(スコア表[],MATCH($C25,スコア表['#],0),MATCH(DC$5,スコア表[#Headers],0))
-
INDEX(スコア表2[],MATCH("average",スコア表2[maxmin],0),MATCH(DC$5,スコア表2[#Headers],0)))
/
INDEX(スコア表2[],MATCH("stdev.p",スコア表2[maxmin],0),MATCH(DC$5,スコア表2[#Headers],0))
*10+50,"-")</f>
        <v>59.022741314490446</v>
      </c>
      <c r="DD25" s="4">
        <f>IFERROR(
(INDEX(スコア表[],MATCH($C25,スコア表['#],0),MATCH(DD$5,スコア表[#Headers],0))
-
INDEX(スコア表2[],MATCH("average",スコア表2[maxmin],0),MATCH(DD$5,スコア表2[#Headers],0)))
/
INDEX(スコア表2[],MATCH("stdev.p",スコア表2[maxmin],0),MATCH(DD$5,スコア表2[#Headers],0))
*10+50,"-")</f>
        <v>56.264094433063285</v>
      </c>
      <c r="DE25" s="4">
        <f>IFERROR(
(INDEX(スコア表[],MATCH($C25,スコア表['#],0),MATCH(DE$5,スコア表[#Headers],0))
-
INDEX(スコア表2[],MATCH("average",スコア表2[maxmin],0),MATCH(DE$5,スコア表2[#Headers],0)))
/
INDEX(スコア表2[],MATCH("stdev.p",スコア表2[maxmin],0),MATCH(DE$5,スコア表2[#Headers],0))
*10+50,"-")</f>
        <v>70.112173042518464</v>
      </c>
      <c r="DF25" s="76">
        <f>IFERROR(
(INDEX(スコア表[],MATCH($C25,スコア表['#],0),MATCH(DF$5,スコア表[#Headers],0))
-
INDEX(スコア表2[],MATCH("average",スコア表2[maxmin],0),MATCH(DF$5,スコア表2[#Headers],0)))
/
INDEX(スコア表2[],MATCH("stdev.p",スコア表2[maxmin],0),MATCH(DF$5,スコア表2[#Headers],0))
*10+50,"-")</f>
        <v>51.929156338720645</v>
      </c>
      <c r="DG25" s="4">
        <f>IFERROR(_xlfn.STDEV.P(偏差値表[[#This Row],[Economy]:[Accessibility]]),"")</f>
        <v>9.8057936415228291</v>
      </c>
    </row>
    <row r="26" spans="1:111">
      <c r="A26" s="2">
        <v>21</v>
      </c>
      <c r="B26" s="58">
        <f>INDEX(順位表[Comprehensive],MATCH($C26,順位表['#],0))</f>
        <v>21</v>
      </c>
      <c r="C26" s="3">
        <v>33</v>
      </c>
      <c r="D26" s="1" t="str">
        <f>INDEX(都市マスタ[City Name],MATCH($C26,都市マスタ['#],0))</f>
        <v>Los Angeles</v>
      </c>
      <c r="E26" s="4">
        <f>IFERROR(
(INDEX(スコア表[],MATCH($C26,スコア表['#],0),MATCH(E$5,スコア表[#Headers],0))
-
INDEX(スコア表2[],MATCH("average",スコア表2[maxmin],0),MATCH(E$5,スコア表2[#Headers],0)))
/
INDEX(スコア表2[],MATCH("stdev.p",スコア表2[maxmin],0),MATCH(E$5,スコア表2[#Headers],0))
*10+50,"-")</f>
        <v>47.353795983380621</v>
      </c>
      <c r="F26" s="4">
        <f>IFERROR(
(INDEX(スコア表[],MATCH($C26,スコア表['#],0),MATCH(F$5,スコア表[#Headers],0))
-
INDEX(スコア表2[],MATCH("average",スコア表2[maxmin],0),MATCH(F$5,スコア表2[#Headers],0)))
/
INDEX(スコア表2[],MATCH("stdev.p",スコア表2[maxmin],0),MATCH(F$5,スコア表2[#Headers],0))
*10+50,"-")</f>
        <v>48.508893649744763</v>
      </c>
      <c r="G26" s="4">
        <f>IFERROR(
(INDEX(スコア表[],MATCH($C26,スコア表['#],0),MATCH(G$5,スコア表[#Headers],0))
-
INDEX(スコア表2[],MATCH("average",スコア表2[maxmin],0),MATCH(G$5,スコア表2[#Headers],0)))
/
INDEX(スコア表2[],MATCH("stdev.p",スコア表2[maxmin],0),MATCH(G$5,スコア表2[#Headers],0))
*10+50,"-")</f>
        <v>48.332725179453242</v>
      </c>
      <c r="H26" s="4">
        <f>IFERROR(
(INDEX(スコア表[],MATCH($C26,スコア表['#],0),MATCH(H$5,スコア表[#Headers],0))
-
INDEX(スコア表2[],MATCH("average",スコア表2[maxmin],0),MATCH(H$5,スコア表2[#Headers],0)))
/
INDEX(スコア表2[],MATCH("stdev.p",スコア表2[maxmin],0),MATCH(H$5,スコア表2[#Headers],0))
*10+50,"-")</f>
        <v>55.031213750934711</v>
      </c>
      <c r="I26" s="4">
        <f>IFERROR(
(INDEX(スコア表[],MATCH($C26,スコア表['#],0),MATCH(I$5,スコア表[#Headers],0))
-
INDEX(スコア表2[],MATCH("average",スコア表2[maxmin],0),MATCH(I$5,スコア表2[#Headers],0)))
/
INDEX(スコア表2[],MATCH("stdev.p",スコア表2[maxmin],0),MATCH(I$5,スコア表2[#Headers],0))
*10+50,"-")</f>
        <v>52.48311079332715</v>
      </c>
      <c r="J26" s="4">
        <f>IFERROR(
(INDEX(スコア表[],MATCH($C26,スコア表['#],0),MATCH(J$5,スコア表[#Headers],0))
-
INDEX(スコア表2[],MATCH("average",スコア表2[maxmin],0),MATCH(J$5,スコア表2[#Headers],0)))
/
INDEX(スコア表2[],MATCH("stdev.p",スコア表2[maxmin],0),MATCH(J$5,スコア表2[#Headers],0))
*10+50,"-")</f>
        <v>48.918393633240278</v>
      </c>
      <c r="K26" s="4">
        <f>IFERROR(
(INDEX(スコア表[],MATCH($C26,スコア表['#],0),MATCH(K$5,スコア表[#Headers],0))
-
INDEX(スコア表2[],MATCH("average",スコア表2[maxmin],0),MATCH(K$5,スコア表2[#Headers],0)))
/
INDEX(スコア表2[],MATCH("stdev.p",スコア表2[maxmin],0),MATCH(K$5,スコア表2[#Headers],0))
*10+50,"-")</f>
        <v>52.937188630764282</v>
      </c>
      <c r="L26" s="4">
        <f>IFERROR(
(INDEX(スコア表[],MATCH($C26,スコア表['#],0),MATCH(L$5,スコア表[#Headers],0))
-
INDEX(スコア表2[],MATCH("average",スコア表2[maxmin],0),MATCH(L$5,スコア表2[#Headers],0)))
/
INDEX(スコア表2[],MATCH("stdev.p",スコア表2[maxmin],0),MATCH(L$5,スコア表2[#Headers],0))
*10+50,"-")</f>
        <v>46.831481232281661</v>
      </c>
      <c r="M26" s="4">
        <f>IFERROR(
(INDEX(スコア表[],MATCH($C26,スコア表['#],0),MATCH(M$5,スコア表[#Headers],0))
-
INDEX(スコア表2[],MATCH("average",スコア表2[maxmin],0),MATCH(M$5,スコア表2[#Headers],0)))
/
INDEX(スコア表2[],MATCH("stdev.p",スコア表2[maxmin],0),MATCH(M$5,スコア表2[#Headers],0))
*10+50,"-")</f>
        <v>46.551958516961172</v>
      </c>
      <c r="N26" s="4">
        <f>IFERROR(
(INDEX(スコア表[],MATCH($C26,スコア表['#],0),MATCH(N$5,スコア表[#Headers],0))
-
INDEX(スコア表2[],MATCH("average",スコア表2[maxmin],0),MATCH(N$5,スコア表2[#Headers],0)))
/
INDEX(スコア表2[],MATCH("stdev.p",スコア表2[maxmin],0),MATCH(N$5,スコア表2[#Headers],0))
*10+50,"-")</f>
        <v>48.65888982069476</v>
      </c>
      <c r="O26" s="4">
        <f>IFERROR(
(INDEX(スコア表[],MATCH($C26,スコア表['#],0),MATCH(O$5,スコア表[#Headers],0))
-
INDEX(スコア表2[],MATCH("average",スコア表2[maxmin],0),MATCH(O$5,スコア表2[#Headers],0)))
/
INDEX(スコア表2[],MATCH("stdev.p",スコア表2[maxmin],0),MATCH(O$5,スコア表2[#Headers],0))
*10+50,"-")</f>
        <v>41.844911466374384</v>
      </c>
      <c r="P26" s="4">
        <f>IFERROR(
(INDEX(スコア表[],MATCH($C26,スコア表['#],0),MATCH(P$5,スコア表[#Headers],0))
-
INDEX(スコア表2[],MATCH("average",スコア表2[maxmin],0),MATCH(P$5,スコア表2[#Headers],0)))
/
INDEX(スコア表2[],MATCH("stdev.p",スコア表2[maxmin],0),MATCH(P$5,スコア表2[#Headers],0))
*10+50,"-")</f>
        <v>65.069308526731845</v>
      </c>
      <c r="Q26" s="4">
        <f>IFERROR(
(INDEX(スコア表[],MATCH($C26,スコア表['#],0),MATCH(Q$5,スコア表[#Headers],0))
-
INDEX(スコア表2[],MATCH("average",スコア表2[maxmin],0),MATCH(Q$5,スコア表2[#Headers],0)))
/
INDEX(スコア表2[],MATCH("stdev.p",スコア表2[maxmin],0),MATCH(Q$5,スコア表2[#Headers],0))
*10+50,"-")</f>
        <v>61.808772222697428</v>
      </c>
      <c r="R26" s="4">
        <f>IFERROR(
(INDEX(スコア表[],MATCH($C26,スコア表['#],0),MATCH(R$5,スコア表[#Headers],0))
-
INDEX(スコア表2[],MATCH("average",スコア表2[maxmin],0),MATCH(R$5,スコア表2[#Headers],0)))
/
INDEX(スコア表2[],MATCH("stdev.p",スコア表2[maxmin],0),MATCH(R$5,スコア表2[#Headers],0))
*10+50,"-")</f>
        <v>58.862159684202155</v>
      </c>
      <c r="S26" s="4">
        <f>IFERROR(
(INDEX(スコア表[],MATCH($C26,スコア表['#],0),MATCH(S$5,スコア表[#Headers],0))
-
INDEX(スコア表2[],MATCH("average",スコア表2[maxmin],0),MATCH(S$5,スコア表2[#Headers],0)))
/
INDEX(スコア表2[],MATCH("stdev.p",スコア表2[maxmin],0),MATCH(S$5,スコア表2[#Headers],0))
*10+50,"-")</f>
        <v>44.752295563592767</v>
      </c>
      <c r="T26" s="4">
        <f>IFERROR(
(INDEX(スコア表[],MATCH($C26,スコア表['#],0),MATCH(T$5,スコア表[#Headers],0))
-
INDEX(スコア表2[],MATCH("average",スコア表2[maxmin],0),MATCH(T$5,スコア表2[#Headers],0)))
/
INDEX(スコア表2[],MATCH("stdev.p",スコア表2[maxmin],0),MATCH(T$5,スコア表2[#Headers],0))
*10+50,"-")</f>
        <v>56.325758968155256</v>
      </c>
      <c r="U26" s="4">
        <f>IFERROR(
(INDEX(スコア表[],MATCH($C26,スコア表['#],0),MATCH(U$5,スコア表[#Headers],0))
-
INDEX(スコア表2[],MATCH("average",スコア表2[maxmin],0),MATCH(U$5,スコア表2[#Headers],0)))
/
INDEX(スコア表2[],MATCH("stdev.p",スコア表2[maxmin],0),MATCH(U$5,スコア表2[#Headers],0))
*10+50,"-")</f>
        <v>69.734238816703837</v>
      </c>
      <c r="V26" s="4">
        <f>IFERROR(
(INDEX(スコア表[],MATCH($C26,スコア表['#],0),MATCH(V$5,スコア表[#Headers],0))
-
INDEX(スコア表2[],MATCH("average",スコア表2[maxmin],0),MATCH(V$5,スコア表2[#Headers],0)))
/
INDEX(スコア表2[],MATCH("stdev.p",スコア表2[maxmin],0),MATCH(V$5,スコア表2[#Headers],0))
*10+50,"-")</f>
        <v>64.708972986341706</v>
      </c>
      <c r="W26" s="4">
        <f>IFERROR(
(INDEX(スコア表[],MATCH($C26,スコア表['#],0),MATCH(W$5,スコア表[#Headers],0))
-
INDEX(スコア表2[],MATCH("average",スコア表2[maxmin],0),MATCH(W$5,スコア表2[#Headers],0)))
/
INDEX(スコア表2[],MATCH("stdev.p",スコア表2[maxmin],0),MATCH(W$5,スコア表2[#Headers],0))
*10+50,"-")</f>
        <v>79.266722587391115</v>
      </c>
      <c r="X26" s="4">
        <f>IFERROR(
(INDEX(スコア表[],MATCH($C26,スコア表['#],0),MATCH(X$5,スコア表[#Headers],0))
-
INDEX(スコア表2[],MATCH("average",スコア表2[maxmin],0),MATCH(X$5,スコア表2[#Headers],0)))
/
INDEX(スコア表2[],MATCH("stdev.p",スコア表2[maxmin],0),MATCH(X$5,スコア表2[#Headers],0))
*10+50,"-")</f>
        <v>48.215625569384038</v>
      </c>
      <c r="Y26" s="4">
        <f>IFERROR(
(INDEX(スコア表[],MATCH($C26,スコア表['#],0),MATCH(Y$5,スコア表[#Headers],0))
-
INDEX(スコア表2[],MATCH("average",スコア表2[maxmin],0),MATCH(Y$5,スコア表2[#Headers],0)))
/
INDEX(スコア表2[],MATCH("stdev.p",スコア表2[maxmin],0),MATCH(Y$5,スコア表2[#Headers],0))
*10+50,"-")</f>
        <v>52.506733473261285</v>
      </c>
      <c r="Z26" s="4">
        <f>IFERROR(
(INDEX(スコア表[],MATCH($C26,スコア表['#],0),MATCH(Z$5,スコア表[#Headers],0))
-
INDEX(スコア表2[],MATCH("average",スコア表2[maxmin],0),MATCH(Z$5,スコア表2[#Headers],0)))
/
INDEX(スコア表2[],MATCH("stdev.p",スコア表2[maxmin],0),MATCH(Z$5,スコア表2[#Headers],0))
*10+50,"-")</f>
        <v>65.886190914221203</v>
      </c>
      <c r="AA26" s="4">
        <f>IFERROR(
(INDEX(スコア表[],MATCH($C26,スコア表['#],0),MATCH(AA$5,スコア表[#Headers],0))
-
INDEX(スコア表2[],MATCH("average",スコア表2[maxmin],0),MATCH(AA$5,スコア表2[#Headers],0)))
/
INDEX(スコア表2[],MATCH("stdev.p",スコア表2[maxmin],0),MATCH(AA$5,スコア表2[#Headers],0))
*10+50,"-")</f>
        <v>63.844496402007167</v>
      </c>
      <c r="AB26" s="4">
        <f>IFERROR(
(INDEX(スコア表[],MATCH($C26,スコア表['#],0),MATCH(AB$5,スコア表[#Headers],0))
-
INDEX(スコア表2[],MATCH("average",スコア表2[maxmin],0),MATCH(AB$5,スコア表2[#Headers],0)))
/
INDEX(スコア表2[],MATCH("stdev.p",スコア表2[maxmin],0),MATCH(AB$5,スコア表2[#Headers],0))
*10+50,"-")</f>
        <v>60.188684487632528</v>
      </c>
      <c r="AC26" s="4">
        <f>IFERROR(
(INDEX(スコア表[],MATCH($C26,スコア表['#],0),MATCH(AC$5,スコア表[#Headers],0))
-
INDEX(スコア表2[],MATCH("average",スコア表2[maxmin],0),MATCH(AC$5,スコア表2[#Headers],0)))
/
INDEX(スコア表2[],MATCH("stdev.p",スコア表2[maxmin],0),MATCH(AC$5,スコア表2[#Headers],0))
*10+50,"-")</f>
        <v>43.323735049329734</v>
      </c>
      <c r="AD26" s="4">
        <f>IFERROR(
(INDEX(スコア表[],MATCH($C26,スコア表['#],0),MATCH(AD$5,スコア表[#Headers],0))
-
INDEX(スコア表2[],MATCH("average",スコア表2[maxmin],0),MATCH(AD$5,スコア表2[#Headers],0)))
/
INDEX(スコア表2[],MATCH("stdev.p",スコア表2[maxmin],0),MATCH(AD$5,スコア表2[#Headers],0))
*10+50,"-")</f>
        <v>46.414547150214915</v>
      </c>
      <c r="AE26" s="4">
        <f>IFERROR(
(INDEX(スコア表[],MATCH($C26,スコア表['#],0),MATCH(AE$5,スコア表[#Headers],0))
-
INDEX(スコア表2[],MATCH("average",スコア表2[maxmin],0),MATCH(AE$5,スコア表2[#Headers],0)))
/
INDEX(スコア表2[],MATCH("stdev.p",スコア表2[maxmin],0),MATCH(AE$5,スコア表2[#Headers],0))
*10+50,"-")</f>
        <v>62.218226983933967</v>
      </c>
      <c r="AF26" s="4">
        <f>IFERROR(
(INDEX(スコア表[],MATCH($C26,スコア表['#],0),MATCH(AF$5,スコア表[#Headers],0))
-
INDEX(スコア表2[],MATCH("average",スコア表2[maxmin],0),MATCH(AF$5,スコア表2[#Headers],0)))
/
INDEX(スコア表2[],MATCH("stdev.p",スコア表2[maxmin],0),MATCH(AF$5,スコア表2[#Headers],0))
*10+50,"-")</f>
        <v>60.347954136749784</v>
      </c>
      <c r="AG26" s="4">
        <f>IFERROR(
(INDEX(スコア表[],MATCH($C26,スコア表['#],0),MATCH(AG$5,スコア表[#Headers],0))
-
INDEX(スコア表2[],MATCH("average",スコア表2[maxmin],0),MATCH(AG$5,スコア表2[#Headers],0)))
/
INDEX(スコア表2[],MATCH("stdev.p",スコア表2[maxmin],0),MATCH(AG$5,スコア表2[#Headers],0))
*10+50,"-")</f>
        <v>52.049471857485067</v>
      </c>
      <c r="AH26" s="4">
        <f>IFERROR(
(INDEX(スコア表[],MATCH($C26,スコア表['#],0),MATCH(AH$5,スコア表[#Headers],0))
-
INDEX(スコア表2[],MATCH("average",スコア表2[maxmin],0),MATCH(AH$5,スコア表2[#Headers],0)))
/
INDEX(スコア表2[],MATCH("stdev.p",スコア表2[maxmin],0),MATCH(AH$5,スコア表2[#Headers],0))
*10+50,"-")</f>
        <v>41.39495155698377</v>
      </c>
      <c r="AI26" s="4">
        <f>IFERROR(
(INDEX(スコア表[],MATCH($C26,スコア表['#],0),MATCH(AI$5,スコア表[#Headers],0))
-
INDEX(スコア表2[],MATCH("average",スコア表2[maxmin],0),MATCH(AI$5,スコア表2[#Headers],0)))
/
INDEX(スコア表2[],MATCH("stdev.p",スコア表2[maxmin],0),MATCH(AI$5,スコア表2[#Headers],0))
*10+50,"-")</f>
        <v>47.327797446871514</v>
      </c>
      <c r="AJ26" s="4">
        <f>IFERROR(
(INDEX(スコア表[],MATCH($C26,スコア表['#],0),MATCH(AJ$5,スコア表[#Headers],0))
-
INDEX(スコア表2[],MATCH("average",スコア表2[maxmin],0),MATCH(AJ$5,スコア表2[#Headers],0)))
/
INDEX(スコア表2[],MATCH("stdev.p",スコア表2[maxmin],0),MATCH(AJ$5,スコア表2[#Headers],0))
*10+50,"-")</f>
        <v>51.686066970951934</v>
      </c>
      <c r="AK26" s="4">
        <f>IFERROR(
(INDEX(スコア表[],MATCH($C26,スコア表['#],0),MATCH(AK$5,スコア表[#Headers],0))
-
INDEX(スコア表2[],MATCH("average",スコア表2[maxmin],0),MATCH(AK$5,スコア表2[#Headers],0)))
/
INDEX(スコア表2[],MATCH("stdev.p",スコア表2[maxmin],0),MATCH(AK$5,スコア表2[#Headers],0))
*10+50,"-")</f>
        <v>47.872096694924529</v>
      </c>
      <c r="AL26" s="4">
        <f>IFERROR(
(INDEX(スコア表[],MATCH($C26,スコア表['#],0),MATCH(AL$5,スコア表[#Headers],0))
-
INDEX(スコア表2[],MATCH("average",スコア表2[maxmin],0),MATCH(AL$5,スコア表2[#Headers],0)))
/
INDEX(スコア表2[],MATCH("stdev.p",スコア表2[maxmin],0),MATCH(AL$5,スコア表2[#Headers],0))
*10+50,"-")</f>
        <v>44.054187174868872</v>
      </c>
      <c r="AM26" s="4">
        <f>IFERROR(
(INDEX(スコア表[],MATCH($C26,スコア表['#],0),MATCH(AM$5,スコア表[#Headers],0))
-
INDEX(スコア表2[],MATCH("average",スコア表2[maxmin],0),MATCH(AM$5,スコア表2[#Headers],0)))
/
INDEX(スコア表2[],MATCH("stdev.p",スコア表2[maxmin],0),MATCH(AM$5,スコア表2[#Headers],0))
*10+50,"-")</f>
        <v>40.898556510137283</v>
      </c>
      <c r="AN26" s="4">
        <f>IFERROR(
(INDEX(スコア表[],MATCH($C26,スコア表['#],0),MATCH(AN$5,スコア表[#Headers],0))
-
INDEX(スコア表2[],MATCH("average",スコア表2[maxmin],0),MATCH(AN$5,スコア表2[#Headers],0)))
/
INDEX(スコア表2[],MATCH("stdev.p",スコア表2[maxmin],0),MATCH(AN$5,スコア表2[#Headers],0))
*10+50,"-")</f>
        <v>41.166796645341748</v>
      </c>
      <c r="AO26" s="4">
        <f>IFERROR(
(INDEX(スコア表[],MATCH($C26,スコア表['#],0),MATCH(AO$5,スコア表[#Headers],0))
-
INDEX(スコア表2[],MATCH("average",スコア表2[maxmin],0),MATCH(AO$5,スコア表2[#Headers],0)))
/
INDEX(スコア表2[],MATCH("stdev.p",スコア表2[maxmin],0),MATCH(AO$5,スコア表2[#Headers],0))
*10+50,"-")</f>
        <v>47.284393884964842</v>
      </c>
      <c r="AP26" s="4">
        <f>IFERROR(
(INDEX(スコア表[],MATCH($C26,スコア表['#],0),MATCH(AP$5,スコア表[#Headers],0))
-
INDEX(スコア表2[],MATCH("average",スコア表2[maxmin],0),MATCH(AP$5,スコア表2[#Headers],0)))
/
INDEX(スコア表2[],MATCH("stdev.p",スコア表2[maxmin],0),MATCH(AP$5,スコア表2[#Headers],0))
*10+50,"-")</f>
        <v>47.35708063039592</v>
      </c>
      <c r="AQ26" s="4">
        <f>IFERROR(
(INDEX(スコア表[],MATCH($C26,スコア表['#],0),MATCH(AQ$5,スコア表[#Headers],0))
-
INDEX(スコア表2[],MATCH("average",スコア表2[maxmin],0),MATCH(AQ$5,スコア表2[#Headers],0)))
/
INDEX(スコア表2[],MATCH("stdev.p",スコア表2[maxmin],0),MATCH(AQ$5,スコア表2[#Headers],0))
*10+50,"-")</f>
        <v>52.852263470862539</v>
      </c>
      <c r="AR26" s="4">
        <f>IFERROR(
(INDEX(スコア表[],MATCH($C26,スコア表['#],0),MATCH(AR$5,スコア表[#Headers],0))
-
INDEX(スコア表2[],MATCH("average",スコア表2[maxmin],0),MATCH(AR$5,スコア表2[#Headers],0)))
/
INDEX(スコア表2[],MATCH("stdev.p",スコア表2[maxmin],0),MATCH(AR$5,スコア表2[#Headers],0))
*10+50,"-")</f>
        <v>45.606598741884206</v>
      </c>
      <c r="AS26" s="4">
        <f>IFERROR(
(INDEX(スコア表[],MATCH($C26,スコア表['#],0),MATCH(AS$5,スコア表[#Headers],0))
-
INDEX(スコア表2[],MATCH("average",スコア表2[maxmin],0),MATCH(AS$5,スコア表2[#Headers],0)))
/
INDEX(スコア表2[],MATCH("stdev.p",スコア表2[maxmin],0),MATCH(AS$5,スコア表2[#Headers],0))
*10+50,"-")</f>
        <v>52.412229147522915</v>
      </c>
      <c r="AT26" s="4">
        <f>IFERROR(
(INDEX(スコア表[],MATCH($C26,スコア表['#],0),MATCH(AT$5,スコア表[#Headers],0))
-
INDEX(スコア表2[],MATCH("average",スコア表2[maxmin],0),MATCH(AT$5,スコア表2[#Headers],0)))
/
INDEX(スコア表2[],MATCH("stdev.p",スコア表2[maxmin],0),MATCH(AT$5,スコア表2[#Headers],0))
*10+50,"-")</f>
        <v>51.212595316346132</v>
      </c>
      <c r="AU26" s="4">
        <f>IFERROR(
(INDEX(スコア表[],MATCH($C26,スコア表['#],0),MATCH(AU$5,スコア表[#Headers],0))
-
INDEX(スコア表2[],MATCH("average",スコア表2[maxmin],0),MATCH(AU$5,スコア表2[#Headers],0)))
/
INDEX(スコア表2[],MATCH("stdev.p",スコア表2[maxmin],0),MATCH(AU$5,スコア表2[#Headers],0))
*10+50,"-")</f>
        <v>48.418381538334522</v>
      </c>
      <c r="AV26" s="4">
        <f>IFERROR(
(INDEX(スコア表[],MATCH($C26,スコア表['#],0),MATCH(AV$5,スコア表[#Headers],0))
-
INDEX(スコア表2[],MATCH("average",スコア表2[maxmin],0),MATCH(AV$5,スコア表2[#Headers],0)))
/
INDEX(スコア表2[],MATCH("stdev.p",スコア表2[maxmin],0),MATCH(AV$5,スコア表2[#Headers],0))
*10+50,"-")</f>
        <v>37.61319657974596</v>
      </c>
      <c r="AW26" s="4">
        <f>IFERROR(
(INDEX(スコア表[],MATCH($C26,スコア表['#],0),MATCH(AW$5,スコア表[#Headers],0))
-
INDEX(スコア表2[],MATCH("average",スコア表2[maxmin],0),MATCH(AW$5,スコア表2[#Headers],0)))
/
INDEX(スコア表2[],MATCH("stdev.p",スコア表2[maxmin],0),MATCH(AW$5,スコア表2[#Headers],0))
*10+50,"-")</f>
        <v>41.792770316766052</v>
      </c>
      <c r="AX26" s="4">
        <f>IFERROR(
(INDEX(スコア表[],MATCH($C26,スコア表['#],0),MATCH(AX$5,スコア表[#Headers],0))
-
INDEX(スコア表2[],MATCH("average",スコア表2[maxmin],0),MATCH(AX$5,スコア表2[#Headers],0)))
/
INDEX(スコア表2[],MATCH("stdev.p",スコア表2[maxmin],0),MATCH(AX$5,スコア表2[#Headers],0))
*10+50,"-")</f>
        <v>44.156576904317177</v>
      </c>
      <c r="AY26" s="4">
        <f>IFERROR(
(INDEX(スコア表[],MATCH($C26,スコア表['#],0),MATCH(AY$5,スコア表[#Headers],0))
-
INDEX(スコア表2[],MATCH("average",スコア表2[maxmin],0),MATCH(AY$5,スコア表2[#Headers],0)))
/
INDEX(スコア表2[],MATCH("stdev.p",スコア表2[maxmin],0),MATCH(AY$5,スコア表2[#Headers],0))
*10+50,"-")</f>
        <v>48.715627031196533</v>
      </c>
      <c r="AZ26" s="4">
        <f>IFERROR(
(INDEX(スコア表[],MATCH($C26,スコア表['#],0),MATCH(AZ$5,スコア表[#Headers],0))
-
INDEX(スコア表2[],MATCH("average",スコア表2[maxmin],0),MATCH(AZ$5,スコア表2[#Headers],0)))
/
INDEX(スコア表2[],MATCH("stdev.p",スコア表2[maxmin],0),MATCH(AZ$5,スコア表2[#Headers],0))
*10+50,"-")</f>
        <v>46.879842773195158</v>
      </c>
      <c r="BA26" s="4">
        <f>IFERROR(
(INDEX(スコア表[],MATCH($C26,スコア表['#],0),MATCH(BA$5,スコア表[#Headers],0))
-
INDEX(スコア表2[],MATCH("average",スコア表2[maxmin],0),MATCH(BA$5,スコア表2[#Headers],0)))
/
INDEX(スコア表2[],MATCH("stdev.p",スコア表2[maxmin],0),MATCH(BA$5,スコア表2[#Headers],0))
*10+50,"-")</f>
        <v>52.951837775060355</v>
      </c>
      <c r="BB26" s="4">
        <f>IFERROR(
(INDEX(スコア表[],MATCH($C26,スコア表['#],0),MATCH(BB$5,スコア表[#Headers],0))
-
INDEX(スコア表2[],MATCH("average",スコア表2[maxmin],0),MATCH(BB$5,スコア表2[#Headers],0)))
/
INDEX(スコア表2[],MATCH("stdev.p",スコア表2[maxmin],0),MATCH(BB$5,スコア表2[#Headers],0))
*10+50,"-")</f>
        <v>35.317106367078722</v>
      </c>
      <c r="BC26" s="4">
        <f>IFERROR(
(INDEX(スコア表[],MATCH($C26,スコア表['#],0),MATCH(BC$5,スコア表[#Headers],0))
-
INDEX(スコア表2[],MATCH("average",スコア表2[maxmin],0),MATCH(BC$5,スコア表2[#Headers],0)))
/
INDEX(スコア表2[],MATCH("stdev.p",スコア表2[maxmin],0),MATCH(BC$5,スコア表2[#Headers],0))
*10+50,"-")</f>
        <v>45.336404446564067</v>
      </c>
      <c r="BD26" s="4">
        <f>IFERROR(
(INDEX(スコア表[],MATCH($C26,スコア表['#],0),MATCH(BD$5,スコア表[#Headers],0))
-
INDEX(スコア表2[],MATCH("average",スコア表2[maxmin],0),MATCH(BD$5,スコア表2[#Headers],0)))
/
INDEX(スコア表2[],MATCH("stdev.p",スコア表2[maxmin],0),MATCH(BD$5,スコア表2[#Headers],0))
*10+50,"-")</f>
        <v>64.760994110607086</v>
      </c>
      <c r="BE26" s="4">
        <f>IFERROR(
(INDEX(スコア表[],MATCH($C26,スコア表['#],0),MATCH(BE$5,スコア表[#Headers],0))
-
INDEX(スコア表2[],MATCH("average",スコア表2[maxmin],0),MATCH(BE$5,スコア表2[#Headers],0)))
/
INDEX(スコア表2[],MATCH("stdev.p",スコア表2[maxmin],0),MATCH(BE$5,スコア表2[#Headers],0))
*10+50,"-")</f>
        <v>41.585419615318145</v>
      </c>
      <c r="BF26" s="4">
        <f>IFERROR(
(INDEX(スコア表[],MATCH($C26,スコア表['#],0),MATCH(BF$5,スコア表[#Headers],0))
-
INDEX(スコア表2[],MATCH("average",スコア表2[maxmin],0),MATCH(BF$5,スコア表2[#Headers],0)))
/
INDEX(スコア表2[],MATCH("stdev.p",スコア表2[maxmin],0),MATCH(BF$5,スコア表2[#Headers],0))
*10+50,"-")</f>
        <v>48.813171035630425</v>
      </c>
      <c r="BG26" s="4">
        <f>IFERROR(
(INDEX(スコア表[],MATCH($C26,スコア表['#],0),MATCH(BG$5,スコア表[#Headers],0))
-
INDEX(スコア表2[],MATCH("average",スコア表2[maxmin],0),MATCH(BG$5,スコア表2[#Headers],0)))
/
INDEX(スコア表2[],MATCH("stdev.p",スコア表2[maxmin],0),MATCH(BG$5,スコア表2[#Headers],0))
*10+50,"-")</f>
        <v>56.645289608161171</v>
      </c>
      <c r="BH26" s="4">
        <f>IFERROR(
(INDEX(スコア表[],MATCH($C26,スコア表['#],0),MATCH(BH$5,スコア表[#Headers],0))
-
INDEX(スコア表2[],MATCH("average",スコア表2[maxmin],0),MATCH(BH$5,スコア表2[#Headers],0)))
/
INDEX(スコア表2[],MATCH("stdev.p",スコア表2[maxmin],0),MATCH(BH$5,スコア表2[#Headers],0))
*10+50,"-")</f>
        <v>44.834716423197847</v>
      </c>
      <c r="BI26" s="4">
        <f>IFERROR(
(INDEX(スコア表[],MATCH($C26,スコア表['#],0),MATCH(BI$5,スコア表[#Headers],0))
-
INDEX(スコア表2[],MATCH("average",スコア表2[maxmin],0),MATCH(BI$5,スコア表2[#Headers],0)))
/
INDEX(スコア表2[],MATCH("stdev.p",スコア表2[maxmin],0),MATCH(BI$5,スコア表2[#Headers],0))
*10+50,"-")</f>
        <v>48.034957318581462</v>
      </c>
      <c r="BJ26" s="4">
        <f>IFERROR(
(INDEX(スコア表[],MATCH($C26,スコア表['#],0),MATCH(BJ$5,スコア表[#Headers],0))
-
INDEX(スコア表2[],MATCH("average",スコア表2[maxmin],0),MATCH(BJ$5,スコア表2[#Headers],0)))
/
INDEX(スコア表2[],MATCH("stdev.p",スコア表2[maxmin],0),MATCH(BJ$5,スコア表2[#Headers],0))
*10+50,"-")</f>
        <v>45.110795670169125</v>
      </c>
      <c r="BK26" s="4">
        <f>IFERROR(
(INDEX(スコア表[],MATCH($C26,スコア表['#],0),MATCH(BK$5,スコア表[#Headers],0))
-
INDEX(スコア表2[],MATCH("average",スコア表2[maxmin],0),MATCH(BK$5,スコア表2[#Headers],0)))
/
INDEX(スコア表2[],MATCH("stdev.p",スコア表2[maxmin],0),MATCH(BK$5,スコア表2[#Headers],0))
*10+50,"-")</f>
        <v>54.532638465158342</v>
      </c>
      <c r="BL26" s="4">
        <f>IFERROR(
(INDEX(スコア表[],MATCH($C26,スコア表['#],0),MATCH(BL$5,スコア表[#Headers],0))
-
INDEX(スコア表2[],MATCH("average",スコア表2[maxmin],0),MATCH(BL$5,スコア表2[#Headers],0)))
/
INDEX(スコア表2[],MATCH("stdev.p",スコア表2[maxmin],0),MATCH(BL$5,スコア表2[#Headers],0))
*10+50,"-")</f>
        <v>66.891696051360981</v>
      </c>
      <c r="BM26" s="4">
        <f>IFERROR(
(INDEX(スコア表[],MATCH($C26,スコア表['#],0),MATCH(BM$5,スコア表[#Headers],0))
-
INDEX(スコア表2[],MATCH("average",スコア表2[maxmin],0),MATCH(BM$5,スコア表2[#Headers],0)))
/
INDEX(スコア表2[],MATCH("stdev.p",スコア表2[maxmin],0),MATCH(BM$5,スコア表2[#Headers],0))
*10+50,"-")</f>
        <v>40.367956471597537</v>
      </c>
      <c r="BN26" s="4">
        <f>IFERROR(
(INDEX(スコア表[],MATCH($C26,スコア表['#],0),MATCH(BN$5,スコア表[#Headers],0))
-
INDEX(スコア表2[],MATCH("average",スコア表2[maxmin],0),MATCH(BN$5,スコア表2[#Headers],0)))
/
INDEX(スコア表2[],MATCH("stdev.p",スコア表2[maxmin],0),MATCH(BN$5,スコア表2[#Headers],0))
*10+50,"-")</f>
        <v>37.190297399347436</v>
      </c>
      <c r="BO26" s="4">
        <f>IFERROR(
(INDEX(スコア表[],MATCH($C26,スコア表['#],0),MATCH(BO$5,スコア表[#Headers],0))
-
INDEX(スコア表2[],MATCH("average",スコア表2[maxmin],0),MATCH(BO$5,スコア表2[#Headers],0)))
/
INDEX(スコア表2[],MATCH("stdev.p",スコア表2[maxmin],0),MATCH(BO$5,スコア表2[#Headers],0))
*10+50,"-")</f>
        <v>36.080006437650646</v>
      </c>
      <c r="BP26" s="4">
        <f>IFERROR(
(INDEX(スコア表[],MATCH($C26,スコア表['#],0),MATCH(BP$5,スコア表[#Headers],0))
-
INDEX(スコア表2[],MATCH("average",スコア表2[maxmin],0),MATCH(BP$5,スコア表2[#Headers],0)))
/
INDEX(スコア表2[],MATCH("stdev.p",スコア表2[maxmin],0),MATCH(BP$5,スコア表2[#Headers],0))
*10+50,"-")</f>
        <v>43.116599811096947</v>
      </c>
      <c r="BQ26" s="4">
        <f>IFERROR(
(INDEX(スコア表[],MATCH($C26,スコア表['#],0),MATCH(BQ$5,スコア表[#Headers],0))
-
INDEX(スコア表2[],MATCH("average",スコア表2[maxmin],0),MATCH(BQ$5,スコア表2[#Headers],0)))
/
INDEX(スコア表2[],MATCH("stdev.p",スコア表2[maxmin],0),MATCH(BQ$5,スコア表2[#Headers],0))
*10+50,"-")</f>
        <v>58.087217666331277</v>
      </c>
      <c r="BR26" s="4">
        <f>IFERROR(
(INDEX(スコア表[],MATCH($C26,スコア表['#],0),MATCH(BR$5,スコア表[#Headers],0))
-
INDEX(スコア表2[],MATCH("average",スコア表2[maxmin],0),MATCH(BR$5,スコア表2[#Headers],0)))
/
INDEX(スコア表2[],MATCH("stdev.p",スコア表2[maxmin],0),MATCH(BR$5,スコア表2[#Headers],0))
*10+50,"-")</f>
        <v>59.486459529594256</v>
      </c>
      <c r="BS26" s="4">
        <f>IFERROR(
(INDEX(スコア表[],MATCH($C26,スコア表['#],0),MATCH(BS$5,スコア表[#Headers],0))
-
INDEX(スコア表2[],MATCH("average",スコア表2[maxmin],0),MATCH(BS$5,スコア表2[#Headers],0)))
/
INDEX(スコア表2[],MATCH("stdev.p",スコア表2[maxmin],0),MATCH(BS$5,スコア表2[#Headers],0))
*10+50,"-")</f>
        <v>57.999499435312266</v>
      </c>
      <c r="BT26" s="4">
        <f>IFERROR(
(INDEX(スコア表[],MATCH($C26,スコア表['#],0),MATCH(BT$5,スコア表[#Headers],0))
-
INDEX(スコア表2[],MATCH("average",スコア表2[maxmin],0),MATCH(BT$5,スコア表2[#Headers],0)))
/
INDEX(スコア表2[],MATCH("stdev.p",スコア表2[maxmin],0),MATCH(BT$5,スコア表2[#Headers],0))
*10+50,"-")</f>
        <v>40.429232624893537</v>
      </c>
      <c r="BU26" s="4">
        <f>IFERROR(
(INDEX(スコア表[],MATCH($C26,スコア表['#],0),MATCH(BU$5,スコア表[#Headers],0))
-
INDEX(スコア表2[],MATCH("average",スコア表2[maxmin],0),MATCH(BU$5,スコア表2[#Headers],0)))
/
INDEX(スコア表2[],MATCH("stdev.p",スコア表2[maxmin],0),MATCH(BU$5,スコア表2[#Headers],0))
*10+50,"-")</f>
        <v>31.512510084865053</v>
      </c>
      <c r="BV26" s="4">
        <f>IFERROR(
(INDEX(スコア表[],MATCH($C26,スコア表['#],0),MATCH(BV$5,スコア表[#Headers],0))
-
INDEX(スコア表2[],MATCH("average",スコア表2[maxmin],0),MATCH(BV$5,スコア表2[#Headers],0)))
/
INDEX(スコア表2[],MATCH("stdev.p",スコア表2[maxmin],0),MATCH(BV$5,スコア表2[#Headers],0))
*10+50,"-")</f>
        <v>43.219149749044803</v>
      </c>
      <c r="BW26" s="4">
        <f>IFERROR(
(INDEX(スコア表[],MATCH($C26,スコア表['#],0),MATCH(BW$5,スコア表[#Headers],0))
-
INDEX(スコア表2[],MATCH("average",スコア表2[maxmin],0),MATCH(BW$5,スコア表2[#Headers],0)))
/
INDEX(スコア表2[],MATCH("stdev.p",スコア表2[maxmin],0),MATCH(BW$5,スコア表2[#Headers],0))
*10+50,"-")</f>
        <v>38.911275213227263</v>
      </c>
      <c r="BX26" s="4">
        <f>IFERROR(
(INDEX(スコア表[],MATCH($C26,スコア表['#],0),MATCH(BX$5,スコア表[#Headers],0))
-
INDEX(スコア表2[],MATCH("average",スコア表2[maxmin],0),MATCH(BX$5,スコア表2[#Headers],0)))
/
INDEX(スコア表2[],MATCH("stdev.p",スコア表2[maxmin],0),MATCH(BX$5,スコア表2[#Headers],0))
*10+50,"-")</f>
        <v>67.040824274023635</v>
      </c>
      <c r="BY26" s="4">
        <f>IFERROR(
(INDEX(スコア表[],MATCH($C26,スコア表['#],0),MATCH(BY$5,スコア表[#Headers],0))
-
INDEX(スコア表2[],MATCH("average",スコア表2[maxmin],0),MATCH(BY$5,スコア表2[#Headers],0)))
/
INDEX(スコア表2[],MATCH("stdev.p",スコア表2[maxmin],0),MATCH(BY$5,スコア表2[#Headers],0))
*10+50,"-")</f>
        <v>40.974461914124163</v>
      </c>
      <c r="BZ26" s="4">
        <f>IFERROR(
(INDEX(スコア表[],MATCH($C26,スコア表['#],0),MATCH(BZ$5,スコア表[#Headers],0))
-
INDEX(スコア表2[],MATCH("average",スコア表2[maxmin],0),MATCH(BZ$5,スコア表2[#Headers],0)))
/
INDEX(スコア表2[],MATCH("stdev.p",スコア表2[maxmin],0),MATCH(BZ$5,スコア表2[#Headers],0))
*10+50,"-")</f>
        <v>55.361243857111084</v>
      </c>
      <c r="CA26" s="4">
        <f>IFERROR(
(INDEX(スコア表[],MATCH($C26,スコア表['#],0),MATCH(CA$5,スコア表[#Headers],0))
-
INDEX(スコア表2[],MATCH("average",スコア表2[maxmin],0),MATCH(CA$5,スコア表2[#Headers],0)))
/
INDEX(スコア表2[],MATCH("stdev.p",スコア表2[maxmin],0),MATCH(CA$5,スコア表2[#Headers],0))
*10+50,"-")</f>
        <v>51.788578356378558</v>
      </c>
      <c r="CB26" s="4">
        <f>IFERROR(
(INDEX(スコア表[],MATCH($C26,スコア表['#],0),MATCH(CB$5,スコア表[#Headers],0))
-
INDEX(スコア表2[],MATCH("average",スコア表2[maxmin],0),MATCH(CB$5,スコア表2[#Headers],0)))
/
INDEX(スコア表2[],MATCH("stdev.p",スコア表2[maxmin],0),MATCH(CB$5,スコア表2[#Headers],0))
*10+50,"-")</f>
        <v>45.715071650008987</v>
      </c>
      <c r="CC26" s="4">
        <f>IFERROR(
(INDEX(スコア表[],MATCH($C26,スコア表['#],0),MATCH(CC$5,スコア表[#Headers],0))
-
INDEX(スコア表2[],MATCH("average",スコア表2[maxmin],0),MATCH(CC$5,スコア表2[#Headers],0)))
/
INDEX(スコア表2[],MATCH("stdev.p",スコア表2[maxmin],0),MATCH(CC$5,スコア表2[#Headers],0))
*10+50,"-")</f>
        <v>42.518823305464728</v>
      </c>
      <c r="CD26" s="4">
        <f>IFERROR(
(INDEX(スコア表[],MATCH($C26,スコア表['#],0),MATCH(CD$5,スコア表[#Headers],0))
-
INDEX(スコア表2[],MATCH("average",スコア表2[maxmin],0),MATCH(CD$5,スコア表2[#Headers],0)))
/
INDEX(スコア表2[],MATCH("stdev.p",スコア表2[maxmin],0),MATCH(CD$5,スコア表2[#Headers],0))
*10+50,"-")</f>
        <v>64.578363474871821</v>
      </c>
      <c r="CE26" s="4">
        <f>IFERROR(
(INDEX(スコア表[],MATCH($C26,スコア表['#],0),MATCH(CE$5,スコア表[#Headers],0))
-
INDEX(スコア表2[],MATCH("average",スコア表2[maxmin],0),MATCH(CE$5,スコア表2[#Headers],0)))
/
INDEX(スコア表2[],MATCH("stdev.p",スコア表2[maxmin],0),MATCH(CE$5,スコア表2[#Headers],0))
*10+50,"-")</f>
        <v>50.866679046235078</v>
      </c>
      <c r="CF26" s="4">
        <f>IFERROR(
(INDEX(スコア表[],MATCH($C26,スコア表['#],0),MATCH(CF$5,スコア表[#Headers],0))
-
INDEX(スコア表2[],MATCH("average",スコア表2[maxmin],0),MATCH(CF$5,スコア表2[#Headers],0)))
/
INDEX(スコア表2[],MATCH("stdev.p",スコア表2[maxmin],0),MATCH(CF$5,スコア表2[#Headers],0))
*10+50,"-")</f>
        <v>69.92710901737405</v>
      </c>
      <c r="CG26" s="4">
        <f>IFERROR(
(INDEX(スコア表[],MATCH($C26,スコア表['#],0),MATCH(CG$5,スコア表[#Headers],0))
-
INDEX(スコア表2[],MATCH("average",スコア表2[maxmin],0),MATCH(CG$5,スコア表2[#Headers],0)))
/
INDEX(スコア表2[],MATCH("stdev.p",スコア表2[maxmin],0),MATCH(CG$5,スコア表2[#Headers],0))
*10+50,"-")</f>
        <v>64.484748401493334</v>
      </c>
      <c r="CH26" s="4">
        <f>IFERROR(
(INDEX(スコア表[],MATCH($C26,スコア表['#],0),MATCH(CH$5,スコア表[#Headers],0))
-
INDEX(スコア表2[],MATCH("average",スコア表2[maxmin],0),MATCH(CH$5,スコア表2[#Headers],0)))
/
INDEX(スコア表2[],MATCH("stdev.p",スコア表2[maxmin],0),MATCH(CH$5,スコア表2[#Headers],0))
*10+50,"-")</f>
        <v>67.786857094437494</v>
      </c>
      <c r="CI26" s="4">
        <f>IFERROR(
(INDEX(スコア表[],MATCH($C26,スコア表['#],0),MATCH(CI$5,スコア表[#Headers],0))
-
INDEX(スコア表2[],MATCH("average",スコア表2[maxmin],0),MATCH(CI$5,スコア表2[#Headers],0)))
/
INDEX(スコア表2[],MATCH("stdev.p",スコア表2[maxmin],0),MATCH(CI$5,スコア表2[#Headers],0))
*10+50,"-")</f>
        <v>54.089046087228397</v>
      </c>
      <c r="CJ26" s="4">
        <f>IFERROR(
(INDEX(スコア表[],MATCH($C26,スコア表['#],0),MATCH(CJ$5,スコア表[#Headers],0))
-
INDEX(スコア表2[],MATCH("average",スコア表2[maxmin],0),MATCH(CJ$5,スコア表2[#Headers],0)))
/
INDEX(スコア表2[],MATCH("stdev.p",スコア表2[maxmin],0),MATCH(CJ$5,スコア表2[#Headers],0))
*10+50,"-")</f>
        <v>44.988753356214261</v>
      </c>
      <c r="CK26" s="4">
        <f>IFERROR(
(INDEX(スコア表[],MATCH($C26,スコア表['#],0),MATCH(CK$5,スコア表[#Headers],0))
-
INDEX(スコア表2[],MATCH("average",スコア表2[maxmin],0),MATCH(CK$5,スコア表2[#Headers],0)))
/
INDEX(スコア表2[],MATCH("stdev.p",スコア表2[maxmin],0),MATCH(CK$5,スコア表2[#Headers],0))
*10+50,"-")</f>
        <v>47.460618158843062</v>
      </c>
      <c r="CL26" s="4">
        <f>IFERROR(
(INDEX(スコア表[],MATCH($C26,スコア表['#],0),MATCH(CL$5,スコア表[#Headers],0))
-
INDEX(スコア表2[],MATCH("average",スコア表2[maxmin],0),MATCH(CL$5,スコア表2[#Headers],0)))
/
INDEX(スコア表2[],MATCH("stdev.p",スコア表2[maxmin],0),MATCH(CL$5,スコア表2[#Headers],0))
*10+50,"-")</f>
        <v>42.658336363067569</v>
      </c>
      <c r="CM26" s="4">
        <f>IFERROR(
(INDEX(スコア表[],MATCH($C26,スコア表['#],0),MATCH(CM$5,スコア表[#Headers],0))
-
INDEX(スコア表2[],MATCH("average",スコア表2[maxmin],0),MATCH(CM$5,スコア表2[#Headers],0)))
/
INDEX(スコア表2[],MATCH("stdev.p",スコア表2[maxmin],0),MATCH(CM$5,スコア表2[#Headers],0))
*10+50,"-")</f>
        <v>48.742124589278248</v>
      </c>
      <c r="CN26" s="4">
        <f>IFERROR(
(INDEX(スコア表[],MATCH($C26,スコア表['#],0),MATCH(CN$5,スコア表[#Headers],0))
-
INDEX(スコア表2[],MATCH("average",スコア表2[maxmin],0),MATCH(CN$5,スコア表2[#Headers],0)))
/
INDEX(スコア表2[],MATCH("stdev.p",スコア表2[maxmin],0),MATCH(CN$5,スコア表2[#Headers],0))
*10+50,"-")</f>
        <v>50.649450146586766</v>
      </c>
      <c r="CO26" s="4">
        <f>IFERROR(
(INDEX(スコア表[],MATCH($C26,スコア表['#],0),MATCH(CO$5,スコア表[#Headers],0))
-
INDEX(スコア表2[],MATCH("average",スコア表2[maxmin],0),MATCH(CO$5,スコア表2[#Headers],0)))
/
INDEX(スコア表2[],MATCH("stdev.p",スコア表2[maxmin],0),MATCH(CO$5,スコア表2[#Headers],0))
*10+50,"-")</f>
        <v>38.543061692438783</v>
      </c>
      <c r="CP26" s="4">
        <f>IFERROR(
(INDEX(スコア表[],MATCH($C26,スコア表['#],0),MATCH(CP$5,スコア表[#Headers],0))
-
INDEX(スコア表2[],MATCH("average",スコア表2[maxmin],0),MATCH(CP$5,スコア表2[#Headers],0)))
/
INDEX(スコア表2[],MATCH("stdev.p",スコア表2[maxmin],0),MATCH(CP$5,スコア表2[#Headers],0))
*10+50,"-")</f>
        <v>44.264752493589427</v>
      </c>
      <c r="CQ26" s="4">
        <f>IFERROR(
(INDEX(スコア表[],MATCH($C26,スコア表['#],0),MATCH(CQ$5,スコア表[#Headers],0))
-
INDEX(スコア表2[],MATCH("average",スコア表2[maxmin],0),MATCH(CQ$5,スコア表2[#Headers],0)))
/
INDEX(スコア表2[],MATCH("stdev.p",スコア表2[maxmin],0),MATCH(CQ$5,スコア表2[#Headers],0))
*10+50,"-")</f>
        <v>43.110330614679377</v>
      </c>
      <c r="CR26" s="4">
        <f>IFERROR(
(INDEX(スコア表[],MATCH($C26,スコア表['#],0),MATCH(CR$5,スコア表[#Headers],0))
-
INDEX(スコア表2[],MATCH("average",スコア表2[maxmin],0),MATCH(CR$5,スコア表2[#Headers],0)))
/
INDEX(スコア表2[],MATCH("stdev.p",スコア表2[maxmin],0),MATCH(CR$5,スコア表2[#Headers],0))
*10+50,"-")</f>
        <v>51.415338210621044</v>
      </c>
      <c r="CS26" s="4">
        <f>IFERROR(
(INDEX(スコア表[],MATCH($C26,スコア表['#],0),MATCH(CS$5,スコア表[#Headers],0))
-
INDEX(スコア表2[],MATCH("average",スコア表2[maxmin],0),MATCH(CS$5,スコア表2[#Headers],0)))
/
INDEX(スコア表2[],MATCH("stdev.p",スコア表2[maxmin],0),MATCH(CS$5,スコア表2[#Headers],0))
*10+50,"-")</f>
        <v>49.376571210625805</v>
      </c>
      <c r="CT26" s="4">
        <f>IFERROR(
(INDEX(スコア表[],MATCH($C26,スコア表['#],0),MATCH(CT$5,スコア表[#Headers],0))
-
INDEX(スコア表2[],MATCH("average",スコア表2[maxmin],0),MATCH(CT$5,スコア表2[#Headers],0)))
/
INDEX(スコア表2[],MATCH("stdev.p",スコア表2[maxmin],0),MATCH(CT$5,スコア表2[#Headers],0))
*10+50,"-")</f>
        <v>59.175629807288047</v>
      </c>
      <c r="CU26" s="4">
        <f>IFERROR(
(INDEX(スコア表[],MATCH($C26,スコア表['#],0),MATCH(CU$5,スコア表[#Headers],0))
-
INDEX(スコア表2[],MATCH("average",スコア表2[maxmin],0),MATCH(CU$5,スコア表2[#Headers],0)))
/
INDEX(スコア表2[],MATCH("stdev.p",スコア表2[maxmin],0),MATCH(CU$5,スコア表2[#Headers],0))
*10+50,"-")</f>
        <v>35.767228592582896</v>
      </c>
      <c r="CV26" s="4">
        <f>IFERROR(
(INDEX(スコア表[],MATCH($C26,スコア表['#],0),MATCH(CV$5,スコア表[#Headers],0))
-
INDEX(スコア表2[],MATCH("average",スコア表2[maxmin],0),MATCH(CV$5,スコア表2[#Headers],0)))
/
INDEX(スコア表2[],MATCH("stdev.p",スコア表2[maxmin],0),MATCH(CV$5,スコア表2[#Headers],0))
*10+50,"-")</f>
        <v>50.579554754651149</v>
      </c>
      <c r="CW26" s="4">
        <f>IFERROR(
(INDEX(スコア表[],MATCH($C26,スコア表['#],0),MATCH(CW$5,スコア表[#Headers],0))
-
INDEX(スコア表2[],MATCH("average",スコア表2[maxmin],0),MATCH(CW$5,スコア表2[#Headers],0)))
/
INDEX(スコア表2[],MATCH("stdev.p",スコア表2[maxmin],0),MATCH(CW$5,スコア表2[#Headers],0))
*10+50,"-")</f>
        <v>58.933170604118459</v>
      </c>
      <c r="CX26" s="4">
        <f>IFERROR(
(INDEX(スコア表[],MATCH($C26,スコア表['#],0),MATCH(CX$5,スコア表[#Headers],0))
-
INDEX(スコア表2[],MATCH("average",スコア表2[maxmin],0),MATCH(CX$5,スコア表2[#Headers],0)))
/
INDEX(スコア表2[],MATCH("stdev.p",スコア表2[maxmin],0),MATCH(CX$5,スコア表2[#Headers],0))
*10+50,"-")</f>
        <v>30.629102753434413</v>
      </c>
      <c r="CY26" s="4">
        <f>IFERROR(
(INDEX(スコア表[],MATCH($C26,スコア表['#],0),MATCH(CY$5,スコア表[#Headers],0))
-
INDEX(スコア表2[],MATCH("average",スコア表2[maxmin],0),MATCH(CY$5,スコア表2[#Headers],0)))
/
INDEX(スコア表2[],MATCH("stdev.p",スコア表2[maxmin],0),MATCH(CY$5,スコア表2[#Headers],0))
*10+50,"-")</f>
        <v>46.64297874747281</v>
      </c>
      <c r="CZ26" s="4">
        <f>IFERROR(
(INDEX(スコア表[],MATCH($C26,スコア表['#],0),MATCH(CZ$5,スコア表[#Headers],0))
-
INDEX(スコア表2[],MATCH("average",スコア表2[maxmin],0),MATCH(CZ$5,スコア表2[#Headers],0)))
/
INDEX(スコア表2[],MATCH("stdev.p",スコア表2[maxmin],0),MATCH(CZ$5,スコア表2[#Headers],0))
*10+50,"-")</f>
        <v>54.830183817765018</v>
      </c>
      <c r="DA26" s="4">
        <f>IFERROR(
(INDEX(スコア表[],MATCH($C26,スコア表['#],0),MATCH(DA$5,スコア表[#Headers],0))
-
INDEX(スコア表2[],MATCH("average",スコア表2[maxmin],0),MATCH(DA$5,スコア表2[#Headers],0)))
/
INDEX(スコア表2[],MATCH("stdev.p",スコア表2[maxmin],0),MATCH(DA$5,スコア表2[#Headers],0))
*10+50,"-")</f>
        <v>68.991603464687174</v>
      </c>
      <c r="DB26" s="4">
        <f>IFERROR(
(INDEX(スコア表[],MATCH($C26,スコア表['#],0),MATCH(DB$5,スコア表[#Headers],0))
-
INDEX(スコア表2[],MATCH("average",スコア表2[maxmin],0),MATCH(DB$5,スコア表2[#Headers],0)))
/
INDEX(スコア表2[],MATCH("stdev.p",スコア表2[maxmin],0),MATCH(DB$5,スコア表2[#Headers],0))
*10+50,"-")</f>
        <v>46.369586253399575</v>
      </c>
      <c r="DC26" s="4">
        <f>IFERROR(
(INDEX(スコア表[],MATCH($C26,スコア表['#],0),MATCH(DC$5,スコア表[#Headers],0))
-
INDEX(スコア表2[],MATCH("average",スコア表2[maxmin],0),MATCH(DC$5,スコア表2[#Headers],0)))
/
INDEX(スコア表2[],MATCH("stdev.p",スコア表2[maxmin],0),MATCH(DC$5,スコア表2[#Headers],0))
*10+50,"-")</f>
        <v>36.223154640472423</v>
      </c>
      <c r="DD26" s="4">
        <f>IFERROR(
(INDEX(スコア表[],MATCH($C26,スコア表['#],0),MATCH(DD$5,スコア表[#Headers],0))
-
INDEX(スコア表2[],MATCH("average",スコア表2[maxmin],0),MATCH(DD$5,スコア表2[#Headers],0)))
/
INDEX(スコア表2[],MATCH("stdev.p",スコア表2[maxmin],0),MATCH(DD$5,スコア表2[#Headers],0))
*10+50,"-")</f>
        <v>44.301284693622442</v>
      </c>
      <c r="DE26" s="4">
        <f>IFERROR(
(INDEX(スコア表[],MATCH($C26,スコア表['#],0),MATCH(DE$5,スコア表[#Headers],0))
-
INDEX(スコア表2[],MATCH("average",スコア表2[maxmin],0),MATCH(DE$5,スコア表2[#Headers],0)))
/
INDEX(スコア表2[],MATCH("stdev.p",スコア表2[maxmin],0),MATCH(DE$5,スコア表2[#Headers],0))
*10+50,"-")</f>
        <v>46.204043819094871</v>
      </c>
      <c r="DF26" s="76">
        <f>IFERROR(
(INDEX(スコア表[],MATCH($C26,スコア表['#],0),MATCH(DF$5,スコア表[#Headers],0))
-
INDEX(スコア表2[],MATCH("average",スコア表2[maxmin],0),MATCH(DF$5,スコア表2[#Headers],0)))
/
INDEX(スコア表2[],MATCH("stdev.p",スコア表2[maxmin],0),MATCH(DF$5,スコア表2[#Headers],0))
*10+50,"-")</f>
        <v>51.179198185099459</v>
      </c>
      <c r="DG26" s="4">
        <f>IFERROR(_xlfn.STDEV.P(偏差値表[[#This Row],[Economy]:[Accessibility]]),"")</f>
        <v>10.265609866385413</v>
      </c>
    </row>
    <row r="27" spans="1:111">
      <c r="A27" s="2">
        <v>22</v>
      </c>
      <c r="B27" s="58">
        <f>INDEX(順位表[Comprehensive],MATCH($C27,順位表['#],0))</f>
        <v>22</v>
      </c>
      <c r="C27" s="3">
        <v>2</v>
      </c>
      <c r="D27" s="1" t="str">
        <f>INDEX(都市マスタ[City Name],MATCH($C27,都市マスタ['#],0))</f>
        <v>Barcelona</v>
      </c>
      <c r="E27" s="4">
        <f>IFERROR(
(INDEX(スコア表[],MATCH($C27,スコア表['#],0),MATCH(E$5,スコア表[#Headers],0))
-
INDEX(スコア表2[],MATCH("average",スコア表2[maxmin],0),MATCH(E$5,スコア表2[#Headers],0)))
/
INDEX(スコア表2[],MATCH("stdev.p",スコア表2[maxmin],0),MATCH(E$5,スコア表2[#Headers],0))
*10+50,"-")</f>
        <v>43.409755733533387</v>
      </c>
      <c r="F27" s="4">
        <f>IFERROR(
(INDEX(スコア表[],MATCH($C27,スコア表['#],0),MATCH(F$5,スコア表[#Headers],0))
-
INDEX(スコア表2[],MATCH("average",スコア表2[maxmin],0),MATCH(F$5,スコア表2[#Headers],0)))
/
INDEX(スコア表2[],MATCH("stdev.p",スコア表2[maxmin],0),MATCH(F$5,スコア表2[#Headers],0))
*10+50,"-")</f>
        <v>45.086584750456524</v>
      </c>
      <c r="G27" s="4">
        <f>IFERROR(
(INDEX(スコア表[],MATCH($C27,スコア表['#],0),MATCH(G$5,スコア表[#Headers],0))
-
INDEX(スコア表2[],MATCH("average",スコア表2[maxmin],0),MATCH(G$5,スコア表2[#Headers],0)))
/
INDEX(スコア表2[],MATCH("stdev.p",スコア表2[maxmin],0),MATCH(G$5,スコア表2[#Headers],0))
*10+50,"-")</f>
        <v>48.33249429603066</v>
      </c>
      <c r="H27" s="4">
        <f>IFERROR(
(INDEX(スコア表[],MATCH($C27,スコア表['#],0),MATCH(H$5,スコア表[#Headers],0))
-
INDEX(スコア表2[],MATCH("average",スコア表2[maxmin],0),MATCH(H$5,スコア表2[#Headers],0)))
/
INDEX(スコア表2[],MATCH("stdev.p",スコア表2[maxmin],0),MATCH(H$5,スコア表2[#Headers],0))
*10+50,"-")</f>
        <v>44.267747897348542</v>
      </c>
      <c r="I27" s="4">
        <f>IFERROR(
(INDEX(スコア表[],MATCH($C27,スコア表['#],0),MATCH(I$5,スコア表[#Headers],0))
-
INDEX(スコア表2[],MATCH("average",スコア表2[maxmin],0),MATCH(I$5,スコア表2[#Headers],0)))
/
INDEX(スコア表2[],MATCH("stdev.p",スコア表2[maxmin],0),MATCH(I$5,スコア表2[#Headers],0))
*10+50,"-")</f>
        <v>48.043152602100669</v>
      </c>
      <c r="J27" s="4">
        <f>IFERROR(
(INDEX(スコア表[],MATCH($C27,スコア表['#],0),MATCH(J$5,スコア表[#Headers],0))
-
INDEX(スコア表2[],MATCH("average",スコア表2[maxmin],0),MATCH(J$5,スコア表2[#Headers],0)))
/
INDEX(スコア表2[],MATCH("stdev.p",スコア表2[maxmin],0),MATCH(J$5,スコア表2[#Headers],0))
*10+50,"-")</f>
        <v>44.308039418181309</v>
      </c>
      <c r="K27" s="4">
        <f>IFERROR(
(INDEX(スコア表[],MATCH($C27,スコア表['#],0),MATCH(K$5,スコア表[#Headers],0))
-
INDEX(スコア表2[],MATCH("average",スコア表2[maxmin],0),MATCH(K$5,スコア表2[#Headers],0)))
/
INDEX(スコア表2[],MATCH("stdev.p",スコア表2[maxmin],0),MATCH(K$5,スコア表2[#Headers],0))
*10+50,"-")</f>
        <v>47.200112527818</v>
      </c>
      <c r="L27" s="4">
        <f>IFERROR(
(INDEX(スコア表[],MATCH($C27,スコア表['#],0),MATCH(L$5,スコア表[#Headers],0))
-
INDEX(スコア表2[],MATCH("average",スコア表2[maxmin],0),MATCH(L$5,スコア表2[#Headers],0)))
/
INDEX(スコア表2[],MATCH("stdev.p",スコア表2[maxmin],0),MATCH(L$5,スコア表2[#Headers],0))
*10+50,"-")</f>
        <v>46.831481232281661</v>
      </c>
      <c r="M27" s="4">
        <f>IFERROR(
(INDEX(スコア表[],MATCH($C27,スコア表['#],0),MATCH(M$5,スコア表[#Headers],0))
-
INDEX(スコア表2[],MATCH("average",スコア表2[maxmin],0),MATCH(M$5,スコア表2[#Headers],0)))
/
INDEX(スコア表2[],MATCH("stdev.p",スコア表2[maxmin],0),MATCH(M$5,スコア表2[#Headers],0))
*10+50,"-")</f>
        <v>45.544318921595732</v>
      </c>
      <c r="N27" s="4">
        <f>IFERROR(
(INDEX(スコア表[],MATCH($C27,スコア表['#],0),MATCH(N$5,スコア表[#Headers],0))
-
INDEX(スコア表2[],MATCH("average",スコア表2[maxmin],0),MATCH(N$5,スコア表2[#Headers],0)))
/
INDEX(スコア表2[],MATCH("stdev.p",スコア表2[maxmin],0),MATCH(N$5,スコア表2[#Headers],0))
*10+50,"-")</f>
        <v>42.474184523694305</v>
      </c>
      <c r="O27" s="4">
        <f>IFERROR(
(INDEX(スコア表[],MATCH($C27,スコア表['#],0),MATCH(O$5,スコア表[#Headers],0))
-
INDEX(スコア表2[],MATCH("average",スコア表2[maxmin],0),MATCH(O$5,スコア表2[#Headers],0)))
/
INDEX(スコア表2[],MATCH("stdev.p",スコア表2[maxmin],0),MATCH(O$5,スコア表2[#Headers],0))
*10+50,"-")</f>
        <v>51.022527172812147</v>
      </c>
      <c r="P27" s="4">
        <f>IFERROR(
(INDEX(スコア表[],MATCH($C27,スコア表['#],0),MATCH(P$5,スコア表[#Headers],0))
-
INDEX(スコア表2[],MATCH("average",スコア表2[maxmin],0),MATCH(P$5,スコア表2[#Headers],0)))
/
INDEX(スコア表2[],MATCH("stdev.p",スコア表2[maxmin],0),MATCH(P$5,スコア表2[#Headers],0))
*10+50,"-")</f>
        <v>44.006660668681256</v>
      </c>
      <c r="Q27" s="4">
        <f>IFERROR(
(INDEX(スコア表[],MATCH($C27,スコア表['#],0),MATCH(Q$5,スコア表[#Headers],0))
-
INDEX(スコア表2[],MATCH("average",スコア表2[maxmin],0),MATCH(Q$5,スコア表2[#Headers],0)))
/
INDEX(スコア表2[],MATCH("stdev.p",スコア表2[maxmin],0),MATCH(Q$5,スコア表2[#Headers],0))
*10+50,"-")</f>
        <v>48.073004583652683</v>
      </c>
      <c r="R27" s="4">
        <f>IFERROR(
(INDEX(スコア表[],MATCH($C27,スコア表['#],0),MATCH(R$5,スコア表[#Headers],0))
-
INDEX(スコア表2[],MATCH("average",スコア表2[maxmin],0),MATCH(R$5,スコア表2[#Headers],0)))
/
INDEX(スコア表2[],MATCH("stdev.p",スコア表2[maxmin],0),MATCH(R$5,スコア表2[#Headers],0))
*10+50,"-")</f>
        <v>59.435314205853061</v>
      </c>
      <c r="S27" s="4">
        <f>IFERROR(
(INDEX(スコア表[],MATCH($C27,スコア表['#],0),MATCH(S$5,スコア表[#Headers],0))
-
INDEX(スコア表2[],MATCH("average",スコア表2[maxmin],0),MATCH(S$5,スコア表2[#Headers],0)))
/
INDEX(スコア表2[],MATCH("stdev.p",スコア表2[maxmin],0),MATCH(S$5,スコア表2[#Headers],0))
*10+50,"-")</f>
        <v>50.030127927689456</v>
      </c>
      <c r="T27" s="4">
        <f>IFERROR(
(INDEX(スコア表[],MATCH($C27,スコア表['#],0),MATCH(T$5,スコア表[#Headers],0))
-
INDEX(スコア表2[],MATCH("average",スコア表2[maxmin],0),MATCH(T$5,スコア表2[#Headers],0)))
/
INDEX(スコア表2[],MATCH("stdev.p",スコア表2[maxmin],0),MATCH(T$5,スコア表2[#Headers],0))
*10+50,"-")</f>
        <v>51.571386656518186</v>
      </c>
      <c r="U27" s="4">
        <f>IFERROR(
(INDEX(スコア表[],MATCH($C27,スコア表['#],0),MATCH(U$5,スコア表[#Headers],0))
-
INDEX(スコア表2[],MATCH("average",スコア表2[maxmin],0),MATCH(U$5,スコア表2[#Headers],0)))
/
INDEX(スコア表2[],MATCH("stdev.p",スコア表2[maxmin],0),MATCH(U$5,スコア表2[#Headers],0))
*10+50,"-")</f>
        <v>42.437014522411005</v>
      </c>
      <c r="V27" s="4">
        <f>IFERROR(
(INDEX(スコア表[],MATCH($C27,スコア表['#],0),MATCH(V$5,スコア表[#Headers],0))
-
INDEX(スコア表2[],MATCH("average",スコア表2[maxmin],0),MATCH(V$5,スコア表2[#Headers],0)))
/
INDEX(スコア表2[],MATCH("stdev.p",スコア表2[maxmin],0),MATCH(V$5,スコア表2[#Headers],0))
*10+50,"-")</f>
        <v>43.101590387329509</v>
      </c>
      <c r="W27" s="4">
        <f>IFERROR(
(INDEX(スコア表[],MATCH($C27,スコア表['#],0),MATCH(W$5,スコア表[#Headers],0))
-
INDEX(スコア表2[],MATCH("average",スコア表2[maxmin],0),MATCH(W$5,スコア表2[#Headers],0)))
/
INDEX(スコア表2[],MATCH("stdev.p",スコア表2[maxmin],0),MATCH(W$5,スコア表2[#Headers],0))
*10+50,"-")</f>
        <v>43.958471804784438</v>
      </c>
      <c r="X27" s="4">
        <f>IFERROR(
(INDEX(スコア表[],MATCH($C27,スコア表['#],0),MATCH(X$5,スコア表[#Headers],0))
-
INDEX(スコア表2[],MATCH("average",スコア表2[maxmin],0),MATCH(X$5,スコア表2[#Headers],0)))
/
INDEX(スコア表2[],MATCH("stdev.p",スコア表2[maxmin],0),MATCH(X$5,スコア表2[#Headers],0))
*10+50,"-")</f>
        <v>49.925513131661383</v>
      </c>
      <c r="Y27" s="4">
        <f>IFERROR(
(INDEX(スコア表[],MATCH($C27,スコア表['#],0),MATCH(Y$5,スコア表[#Headers],0))
-
INDEX(スコア表2[],MATCH("average",スコア表2[maxmin],0),MATCH(Y$5,スコア表2[#Headers],0)))
/
INDEX(スコア表2[],MATCH("stdev.p",スコア表2[maxmin],0),MATCH(Y$5,スコア表2[#Headers],0))
*10+50,"-")</f>
        <v>49.496880335218442</v>
      </c>
      <c r="Z27" s="4">
        <f>IFERROR(
(INDEX(スコア表[],MATCH($C27,スコア表['#],0),MATCH(Z$5,スコア表[#Headers],0))
-
INDEX(スコア表2[],MATCH("average",スコア表2[maxmin],0),MATCH(Z$5,スコア表2[#Headers],0)))
/
INDEX(スコア表2[],MATCH("stdev.p",スコア表2[maxmin],0),MATCH(Z$5,スコア表2[#Headers],0))
*10+50,"-")</f>
        <v>44.010425434662068</v>
      </c>
      <c r="AA27" s="4">
        <f>IFERROR(
(INDEX(スコア表[],MATCH($C27,スコア表['#],0),MATCH(AA$5,スコア表[#Headers],0))
-
INDEX(スコア表2[],MATCH("average",スコア表2[maxmin],0),MATCH(AA$5,スコア表2[#Headers],0)))
/
INDEX(スコア表2[],MATCH("stdev.p",スコア表2[maxmin],0),MATCH(AA$5,スコア表2[#Headers],0))
*10+50,"-")</f>
        <v>44.664612103409482</v>
      </c>
      <c r="AB27" s="4">
        <f>IFERROR(
(INDEX(スコア表[],MATCH($C27,スコア表['#],0),MATCH(AB$5,スコア表[#Headers],0))
-
INDEX(スコア表2[],MATCH("average",スコア表2[maxmin],0),MATCH(AB$5,スコア表2[#Headers],0)))
/
INDEX(スコア表2[],MATCH("stdev.p",スコア表2[maxmin],0),MATCH(AB$5,スコア表2[#Headers],0))
*10+50,"-")</f>
        <v>47.262030094101767</v>
      </c>
      <c r="AC27" s="4">
        <f>IFERROR(
(INDEX(スコア表[],MATCH($C27,スコア表['#],0),MATCH(AC$5,スコア表[#Headers],0))
-
INDEX(スコア表2[],MATCH("average",スコア表2[maxmin],0),MATCH(AC$5,スコア表2[#Headers],0)))
/
INDEX(スコア表2[],MATCH("stdev.p",スコア表2[maxmin],0),MATCH(AC$5,スコア表2[#Headers],0))
*10+50,"-")</f>
        <v>52.543616201769929</v>
      </c>
      <c r="AD27" s="4">
        <f>IFERROR(
(INDEX(スコア表[],MATCH($C27,スコア表['#],0),MATCH(AD$5,スコア表[#Headers],0))
-
INDEX(スコア表2[],MATCH("average",スコア表2[maxmin],0),MATCH(AD$5,スコア表2[#Headers],0)))
/
INDEX(スコア表2[],MATCH("stdev.p",スコア表2[maxmin],0),MATCH(AD$5,スコア表2[#Headers],0))
*10+50,"-")</f>
        <v>56.865214871840202</v>
      </c>
      <c r="AE27" s="4">
        <f>IFERROR(
(INDEX(スコア表[],MATCH($C27,スコア表['#],0),MATCH(AE$5,スコア表[#Headers],0))
-
INDEX(スコア表2[],MATCH("average",スコア表2[maxmin],0),MATCH(AE$5,スコア表2[#Headers],0)))
/
INDEX(スコア表2[],MATCH("stdev.p",スコア表2[maxmin],0),MATCH(AE$5,スコア表2[#Headers],0))
*10+50,"-")</f>
        <v>45.440189258398618</v>
      </c>
      <c r="AF27" s="4">
        <f>IFERROR(
(INDEX(スコア表[],MATCH($C27,スコア表['#],0),MATCH(AF$5,スコア表[#Headers],0))
-
INDEX(スコア表2[],MATCH("average",スコア表2[maxmin],0),MATCH(AF$5,スコア表2[#Headers],0)))
/
INDEX(スコア表2[],MATCH("stdev.p",スコア表2[maxmin],0),MATCH(AF$5,スコア表2[#Headers],0))
*10+50,"-")</f>
        <v>48.071189836503088</v>
      </c>
      <c r="AG27" s="4">
        <f>IFERROR(
(INDEX(スコア表[],MATCH($C27,スコア表['#],0),MATCH(AG$5,スコア表[#Headers],0))
-
INDEX(スコア表2[],MATCH("average",スコア表2[maxmin],0),MATCH(AG$5,スコア表2[#Headers],0)))
/
INDEX(スコア表2[],MATCH("stdev.p",スコア表2[maxmin],0),MATCH(AG$5,スコア表2[#Headers],0))
*10+50,"-")</f>
        <v>63.714409004802121</v>
      </c>
      <c r="AH27" s="4">
        <f>IFERROR(
(INDEX(スコア表[],MATCH($C27,スコア表['#],0),MATCH(AH$5,スコア表[#Headers],0))
-
INDEX(スコア表2[],MATCH("average",スコア表2[maxmin],0),MATCH(AH$5,スコア表2[#Headers],0)))
/
INDEX(スコア表2[],MATCH("stdev.p",スコア表2[maxmin],0),MATCH(AH$5,スコア表2[#Headers],0))
*10+50,"-")</f>
        <v>48.66682348065946</v>
      </c>
      <c r="AI27" s="4">
        <f>IFERROR(
(INDEX(スコア表[],MATCH($C27,スコア表['#],0),MATCH(AI$5,スコア表[#Headers],0))
-
INDEX(スコア表2[],MATCH("average",スコア表2[maxmin],0),MATCH(AI$5,スコア表2[#Headers],0)))
/
INDEX(スコア表2[],MATCH("stdev.p",スコア表2[maxmin],0),MATCH(AI$5,スコア表2[#Headers],0))
*10+50,"-")</f>
        <v>66.484581512859179</v>
      </c>
      <c r="AJ27" s="4">
        <f>IFERROR(
(INDEX(スコア表[],MATCH($C27,スコア表['#],0),MATCH(AJ$5,スコア表[#Headers],0))
-
INDEX(スコア表2[],MATCH("average",スコア表2[maxmin],0),MATCH(AJ$5,スコア表2[#Headers],0)))
/
INDEX(スコア表2[],MATCH("stdev.p",スコア表2[maxmin],0),MATCH(AJ$5,スコア表2[#Headers],0))
*10+50,"-")</f>
        <v>50.206679177074101</v>
      </c>
      <c r="AK27" s="4">
        <f>IFERROR(
(INDEX(スコア表[],MATCH($C27,スコア表['#],0),MATCH(AK$5,スコア表[#Headers],0))
-
INDEX(スコア表2[],MATCH("average",スコア表2[maxmin],0),MATCH(AK$5,スコア表2[#Headers],0)))
/
INDEX(スコア表2[],MATCH("stdev.p",スコア表2[maxmin],0),MATCH(AK$5,スコア表2[#Headers],0))
*10+50,"-")</f>
        <v>46.831375427796445</v>
      </c>
      <c r="AL27" s="4">
        <f>IFERROR(
(INDEX(スコア表[],MATCH($C27,スコア表['#],0),MATCH(AL$5,スコア表[#Headers],0))
-
INDEX(スコア表2[],MATCH("average",スコア表2[maxmin],0),MATCH(AL$5,スコア表2[#Headers],0)))
/
INDEX(スコア表2[],MATCH("stdev.p",スコア表2[maxmin],0),MATCH(AL$5,スコア表2[#Headers],0))
*10+50,"-")</f>
        <v>44.054187174868872</v>
      </c>
      <c r="AM27" s="4">
        <f>IFERROR(
(INDEX(スコア表[],MATCH($C27,スコア表['#],0),MATCH(AM$5,スコア表[#Headers],0))
-
INDEX(スコア表2[],MATCH("average",スコア表2[maxmin],0),MATCH(AM$5,スコア表2[#Headers],0)))
/
INDEX(スコア表2[],MATCH("stdev.p",スコア表2[maxmin],0),MATCH(AM$5,スコア表2[#Headers],0))
*10+50,"-")</f>
        <v>50.013934439753875</v>
      </c>
      <c r="AN27" s="4">
        <f>IFERROR(
(INDEX(スコア表[],MATCH($C27,スコア表['#],0),MATCH(AN$5,スコア表[#Headers],0))
-
INDEX(スコア表2[],MATCH("average",スコア表2[maxmin],0),MATCH(AN$5,スコア表2[#Headers],0)))
/
INDEX(スコア表2[],MATCH("stdev.p",スコア表2[maxmin],0),MATCH(AN$5,スコア表2[#Headers],0))
*10+50,"-")</f>
        <v>49.566766532876677</v>
      </c>
      <c r="AO27" s="4">
        <f>IFERROR(
(INDEX(スコア表[],MATCH($C27,スコア表['#],0),MATCH(AO$5,スコア表[#Headers],0))
-
INDEX(スコア表2[],MATCH("average",スコア表2[maxmin],0),MATCH(AO$5,スコア表2[#Headers],0)))
/
INDEX(スコア表2[],MATCH("stdev.p",スコア表2[maxmin],0),MATCH(AO$5,スコア表2[#Headers],0))
*10+50,"-")</f>
        <v>62.739483682795068</v>
      </c>
      <c r="AP27" s="4">
        <f>IFERROR(
(INDEX(スコア表[],MATCH($C27,スコア表['#],0),MATCH(AP$5,スコア表[#Headers],0))
-
INDEX(スコア表2[],MATCH("average",スコア表2[maxmin],0),MATCH(AP$5,スコア表2[#Headers],0)))
/
INDEX(スコア表2[],MATCH("stdev.p",スコア表2[maxmin],0),MATCH(AP$5,スコア表2[#Headers],0))
*10+50,"-")</f>
        <v>60.900312937885587</v>
      </c>
      <c r="AQ27" s="4">
        <f>IFERROR(
(INDEX(スコア表[],MATCH($C27,スコア表['#],0),MATCH(AQ$5,スコア表[#Headers],0))
-
INDEX(スコア表2[],MATCH("average",スコア表2[maxmin],0),MATCH(AQ$5,スコア表2[#Headers],0)))
/
INDEX(スコア表2[],MATCH("stdev.p",スコア表2[maxmin],0),MATCH(AQ$5,スコア表2[#Headers],0))
*10+50,"-")</f>
        <v>47.93967219127844</v>
      </c>
      <c r="AR27" s="4">
        <f>IFERROR(
(INDEX(スコア表[],MATCH($C27,スコア表['#],0),MATCH(AR$5,スコア表[#Headers],0))
-
INDEX(スコア表2[],MATCH("average",スコア表2[maxmin],0),MATCH(AR$5,スコア表2[#Headers],0)))
/
INDEX(スコア表2[],MATCH("stdev.p",スコア表2[maxmin],0),MATCH(AR$5,スコア表2[#Headers],0))
*10+50,"-")</f>
        <v>56.550471079513756</v>
      </c>
      <c r="AS27" s="4">
        <f>IFERROR(
(INDEX(スコア表[],MATCH($C27,スコア表['#],0),MATCH(AS$5,スコア表[#Headers],0))
-
INDEX(スコア表2[],MATCH("average",スコア表2[maxmin],0),MATCH(AS$5,スコア表2[#Headers],0)))
/
INDEX(スコア表2[],MATCH("stdev.p",スコア表2[maxmin],0),MATCH(AS$5,スコア表2[#Headers],0))
*10+50,"-")</f>
        <v>43.633803573336856</v>
      </c>
      <c r="AT27" s="4">
        <f>IFERROR(
(INDEX(スコア表[],MATCH($C27,スコア表['#],0),MATCH(AT$5,スコア表[#Headers],0))
-
INDEX(スコア表2[],MATCH("average",スコア表2[maxmin],0),MATCH(AT$5,スコア表2[#Headers],0)))
/
INDEX(スコア表2[],MATCH("stdev.p",スコア表2[maxmin],0),MATCH(AT$5,スコア表2[#Headers],0))
*10+50,"-")</f>
        <v>59.684695797846445</v>
      </c>
      <c r="AU27" s="4">
        <f>IFERROR(
(INDEX(スコア表[],MATCH($C27,スコア表['#],0),MATCH(AU$5,スコア表[#Headers],0))
-
INDEX(スコア表2[],MATCH("average",スコア表2[maxmin],0),MATCH(AU$5,スコア表2[#Headers],0)))
/
INDEX(スコア表2[],MATCH("stdev.p",スコア表2[maxmin],0),MATCH(AU$5,スコア表2[#Headers],0))
*10+50,"-")</f>
        <v>28.032816980319947</v>
      </c>
      <c r="AV27" s="4">
        <f>IFERROR(
(INDEX(スコア表[],MATCH($C27,スコア表['#],0),MATCH(AV$5,スコア表[#Headers],0))
-
INDEX(スコア表2[],MATCH("average",スコア表2[maxmin],0),MATCH(AV$5,スコア表2[#Headers],0)))
/
INDEX(スコア表2[],MATCH("stdev.p",スコア表2[maxmin],0),MATCH(AV$5,スコア表2[#Headers],0))
*10+50,"-")</f>
        <v>54.813623256671491</v>
      </c>
      <c r="AW27" s="4">
        <f>IFERROR(
(INDEX(スコア表[],MATCH($C27,スコア表['#],0),MATCH(AW$5,スコア表[#Headers],0))
-
INDEX(スコア表2[],MATCH("average",スコア表2[maxmin],0),MATCH(AW$5,スコア表2[#Headers],0)))
/
INDEX(スコア表2[],MATCH("stdev.p",スコア表2[maxmin],0),MATCH(AW$5,スコア表2[#Headers],0))
*10+50,"-")</f>
        <v>54.933426574861343</v>
      </c>
      <c r="AX27" s="4">
        <f>IFERROR(
(INDEX(スコア表[],MATCH($C27,スコア表['#],0),MATCH(AX$5,スコア表[#Headers],0))
-
INDEX(スコア表2[],MATCH("average",スコア表2[maxmin],0),MATCH(AX$5,スコア表2[#Headers],0)))
/
INDEX(スコア表2[],MATCH("stdev.p",スコア表2[maxmin],0),MATCH(AX$5,スコア表2[#Headers],0))
*10+50,"-")</f>
        <v>52.266588652379653</v>
      </c>
      <c r="AY27" s="4">
        <f>IFERROR(
(INDEX(スコア表[],MATCH($C27,スコア表['#],0),MATCH(AY$5,スコア表[#Headers],0))
-
INDEX(スコア表2[],MATCH("average",スコア表2[maxmin],0),MATCH(AY$5,スコア表2[#Headers],0)))
/
INDEX(スコア表2[],MATCH("stdev.p",スコア表2[maxmin],0),MATCH(AY$5,スコア表2[#Headers],0))
*10+50,"-")</f>
        <v>52.121050217038686</v>
      </c>
      <c r="AZ27" s="4">
        <f>IFERROR(
(INDEX(スコア表[],MATCH($C27,スコア表['#],0),MATCH(AZ$5,スコア表[#Headers],0))
-
INDEX(スコア表2[],MATCH("average",スコア表2[maxmin],0),MATCH(AZ$5,スコア表2[#Headers],0)))
/
INDEX(スコア表2[],MATCH("stdev.p",スコア表2[maxmin],0),MATCH(AZ$5,スコア表2[#Headers],0))
*10+50,"-")</f>
        <v>58.006583496129437</v>
      </c>
      <c r="BA27" s="4">
        <f>IFERROR(
(INDEX(スコア表[],MATCH($C27,スコア表['#],0),MATCH(BA$5,スコア表[#Headers],0))
-
INDEX(スコア表2[],MATCH("average",スコア表2[maxmin],0),MATCH(BA$5,スコア表2[#Headers],0)))
/
INDEX(スコア表2[],MATCH("stdev.p",スコア表2[maxmin],0),MATCH(BA$5,スコア表2[#Headers],0))
*10+50,"-")</f>
        <v>54.810018501533598</v>
      </c>
      <c r="BB27" s="4">
        <f>IFERROR(
(INDEX(スコア表[],MATCH($C27,スコア表['#],0),MATCH(BB$5,スコア表[#Headers],0))
-
INDEX(スコア表2[],MATCH("average",スコア表2[maxmin],0),MATCH(BB$5,スコア表2[#Headers],0)))
/
INDEX(スコア表2[],MATCH("stdev.p",スコア表2[maxmin],0),MATCH(BB$5,スコア表2[#Headers],0))
*10+50,"-")</f>
        <v>59.767250672166085</v>
      </c>
      <c r="BC27" s="4">
        <f>IFERROR(
(INDEX(スコア表[],MATCH($C27,スコア表['#],0),MATCH(BC$5,スコア表[#Headers],0))
-
INDEX(スコア表2[],MATCH("average",スコア表2[maxmin],0),MATCH(BC$5,スコア表2[#Headers],0)))
/
INDEX(スコア表2[],MATCH("stdev.p",スコア表2[maxmin],0),MATCH(BC$5,スコア表2[#Headers],0))
*10+50,"-")</f>
        <v>51.358859113013466</v>
      </c>
      <c r="BD27" s="4">
        <f>IFERROR(
(INDEX(スコア表[],MATCH($C27,スコア表['#],0),MATCH(BD$5,スコア表[#Headers],0))
-
INDEX(スコア表2[],MATCH("average",スコア表2[maxmin],0),MATCH(BD$5,スコア表2[#Headers],0)))
/
INDEX(スコア表2[],MATCH("stdev.p",スコア表2[maxmin],0),MATCH(BD$5,スコア表2[#Headers],0))
*10+50,"-")</f>
        <v>45.759922861070145</v>
      </c>
      <c r="BE27" s="4">
        <f>IFERROR(
(INDEX(スコア表[],MATCH($C27,スコア表['#],0),MATCH(BE$5,スコア表[#Headers],0))
-
INDEX(スコア表2[],MATCH("average",スコア表2[maxmin],0),MATCH(BE$5,スコア表2[#Headers],0)))
/
INDEX(スコア表2[],MATCH("stdev.p",スコア表2[maxmin],0),MATCH(BE$5,スコア表2[#Headers],0))
*10+50,"-")</f>
        <v>64.614069889544297</v>
      </c>
      <c r="BF27" s="4">
        <f>IFERROR(
(INDEX(スコア表[],MATCH($C27,スコア表['#],0),MATCH(BF$5,スコア表[#Headers],0))
-
INDEX(スコア表2[],MATCH("average",スコア表2[maxmin],0),MATCH(BF$5,スコア表2[#Headers],0)))
/
INDEX(スコア表2[],MATCH("stdev.p",スコア表2[maxmin],0),MATCH(BF$5,スコア表2[#Headers],0))
*10+50,"-")</f>
        <v>68.457792336250066</v>
      </c>
      <c r="BG27" s="4">
        <f>IFERROR(
(INDEX(スコア表[],MATCH($C27,スコア表['#],0),MATCH(BG$5,スコア表[#Headers],0))
-
INDEX(スコア表2[],MATCH("average",スコア表2[maxmin],0),MATCH(BG$5,スコア表2[#Headers],0)))
/
INDEX(スコア表2[],MATCH("stdev.p",スコア表2[maxmin],0),MATCH(BG$5,スコア表2[#Headers],0))
*10+50,"-")</f>
        <v>48.702627155321203</v>
      </c>
      <c r="BH27" s="4">
        <f>IFERROR(
(INDEX(スコア表[],MATCH($C27,スコア表['#],0),MATCH(BH$5,スコア表[#Headers],0))
-
INDEX(スコア表2[],MATCH("average",スコア表2[maxmin],0),MATCH(BH$5,スコア表2[#Headers],0)))
/
INDEX(スコア表2[],MATCH("stdev.p",スコア表2[maxmin],0),MATCH(BH$5,スコア表2[#Headers],0))
*10+50,"-")</f>
        <v>52.656222129718522</v>
      </c>
      <c r="BI27" s="4">
        <f>IFERROR(
(INDEX(スコア表[],MATCH($C27,スコア表['#],0),MATCH(BI$5,スコア表[#Headers],0))
-
INDEX(スコア表2[],MATCH("average",スコア表2[maxmin],0),MATCH(BI$5,スコア表2[#Headers],0)))
/
INDEX(スコア表2[],MATCH("stdev.p",スコア表2[maxmin],0),MATCH(BI$5,スコア表2[#Headers],0))
*10+50,"-")</f>
        <v>45.006378631891089</v>
      </c>
      <c r="BJ27" s="4">
        <f>IFERROR(
(INDEX(スコア表[],MATCH($C27,スコア表['#],0),MATCH(BJ$5,スコア表[#Headers],0))
-
INDEX(スコア表2[],MATCH("average",スコア表2[maxmin],0),MATCH(BJ$5,スコア表2[#Headers],0)))
/
INDEX(スコア表2[],MATCH("stdev.p",スコア表2[maxmin],0),MATCH(BJ$5,スコア表2[#Headers],0))
*10+50,"-")</f>
        <v>53.361538585691967</v>
      </c>
      <c r="BK27" s="4">
        <f>IFERROR(
(INDEX(スコア表[],MATCH($C27,スコア表['#],0),MATCH(BK$5,スコア表[#Headers],0))
-
INDEX(スコア表2[],MATCH("average",スコア表2[maxmin],0),MATCH(BK$5,スコア表2[#Headers],0)))
/
INDEX(スコア表2[],MATCH("stdev.p",スコア表2[maxmin],0),MATCH(BK$5,スコア表2[#Headers],0))
*10+50,"-")</f>
        <v>52.109847303407534</v>
      </c>
      <c r="BL27" s="4">
        <f>IFERROR(
(INDEX(スコア表[],MATCH($C27,スコア表['#],0),MATCH(BL$5,スコア表[#Headers],0))
-
INDEX(スコア表2[],MATCH("average",スコア表2[maxmin],0),MATCH(BL$5,スコア表2[#Headers],0)))
/
INDEX(スコア表2[],MATCH("stdev.p",スコア表2[maxmin],0),MATCH(BL$5,スコア表2[#Headers],0))
*10+50,"-")</f>
        <v>58.670221441434265</v>
      </c>
      <c r="BM27" s="4">
        <f>IFERROR(
(INDEX(スコア表[],MATCH($C27,スコア表['#],0),MATCH(BM$5,スコア表[#Headers],0))
-
INDEX(スコア表2[],MATCH("average",スコア表2[maxmin],0),MATCH(BM$5,スコア表2[#Headers],0)))
/
INDEX(スコア表2[],MATCH("stdev.p",スコア表2[maxmin],0),MATCH(BM$5,スコア表2[#Headers],0))
*10+50,"-")</f>
        <v>46.171134384271802</v>
      </c>
      <c r="BN27" s="4">
        <f>IFERROR(
(INDEX(スコア表[],MATCH($C27,スコア表['#],0),MATCH(BN$5,スコア表[#Headers],0))
-
INDEX(スコア表2[],MATCH("average",スコア表2[maxmin],0),MATCH(BN$5,スコア表2[#Headers],0)))
/
INDEX(スコア表2[],MATCH("stdev.p",スコア表2[maxmin],0),MATCH(BN$5,スコア表2[#Headers],0))
*10+50,"-")</f>
        <v>38.963516505173423</v>
      </c>
      <c r="BO27" s="4">
        <f>IFERROR(
(INDEX(スコア表[],MATCH($C27,スコア表['#],0),MATCH(BO$5,スコア表[#Headers],0))
-
INDEX(スコア表2[],MATCH("average",スコア表2[maxmin],0),MATCH(BO$5,スコア表2[#Headers],0)))
/
INDEX(スコア表2[],MATCH("stdev.p",スコア表2[maxmin],0),MATCH(BO$5,スコア表2[#Headers],0))
*10+50,"-")</f>
        <v>43.351030344997767</v>
      </c>
      <c r="BP27" s="4">
        <f>IFERROR(
(INDEX(スコア表[],MATCH($C27,スコア表['#],0),MATCH(BP$5,スコア表[#Headers],0))
-
INDEX(スコア表2[],MATCH("average",スコア表2[maxmin],0),MATCH(BP$5,スコア表2[#Headers],0)))
/
INDEX(スコア表2[],MATCH("stdev.p",スコア表2[maxmin],0),MATCH(BP$5,スコア表2[#Headers],0))
*10+50,"-")</f>
        <v>53.354365618142964</v>
      </c>
      <c r="BQ27" s="4">
        <f>IFERROR(
(INDEX(スコア表[],MATCH($C27,スコア表['#],0),MATCH(BQ$5,スコア表[#Headers],0))
-
INDEX(スコア表2[],MATCH("average",スコア表2[maxmin],0),MATCH(BQ$5,スコア表2[#Headers],0)))
/
INDEX(スコア表2[],MATCH("stdev.p",スコア表2[maxmin],0),MATCH(BQ$5,スコア表2[#Headers],0))
*10+50,"-")</f>
        <v>44.70285991031944</v>
      </c>
      <c r="BR27" s="4">
        <f>IFERROR(
(INDEX(スコア表[],MATCH($C27,スコア表['#],0),MATCH(BR$5,スコア表[#Headers],0))
-
INDEX(スコア表2[],MATCH("average",スコア表2[maxmin],0),MATCH(BR$5,スコア表2[#Headers],0)))
/
INDEX(スコア表2[],MATCH("stdev.p",スコア表2[maxmin],0),MATCH(BR$5,スコア表2[#Headers],0))
*10+50,"-")</f>
        <v>50.852858575552851</v>
      </c>
      <c r="BS27" s="4">
        <f>IFERROR(
(INDEX(スコア表[],MATCH($C27,スコア表['#],0),MATCH(BS$5,スコア表[#Headers],0))
-
INDEX(スコア表2[],MATCH("average",スコア表2[maxmin],0),MATCH(BS$5,スコア表2[#Headers],0)))
/
INDEX(スコア表2[],MATCH("stdev.p",スコア表2[maxmin],0),MATCH(BS$5,スコア表2[#Headers],0))
*10+50,"-")</f>
        <v>48.405501445792318</v>
      </c>
      <c r="BT27" s="4">
        <f>IFERROR(
(INDEX(スコア表[],MATCH($C27,スコア表['#],0),MATCH(BT$5,スコア表[#Headers],0))
-
INDEX(スコア表2[],MATCH("average",スコア表2[maxmin],0),MATCH(BT$5,スコア表2[#Headers],0)))
/
INDEX(スコア表2[],MATCH("stdev.p",スコア表2[maxmin],0),MATCH(BT$5,スコア表2[#Headers],0))
*10+50,"-")</f>
        <v>53.767664301604881</v>
      </c>
      <c r="BU27" s="4">
        <f>IFERROR(
(INDEX(スコア表[],MATCH($C27,スコア表['#],0),MATCH(BU$5,スコア表[#Headers],0))
-
INDEX(スコア表2[],MATCH("average",スコア表2[maxmin],0),MATCH(BU$5,スコア表2[#Headers],0)))
/
INDEX(スコア表2[],MATCH("stdev.p",スコア表2[maxmin],0),MATCH(BU$5,スコア表2[#Headers],0))
*10+50,"-")</f>
        <v>51.419565429193646</v>
      </c>
      <c r="BV27" s="4">
        <f>IFERROR(
(INDEX(スコア表[],MATCH($C27,スコア表['#],0),MATCH(BV$5,スコア表[#Headers],0))
-
INDEX(スコア表2[],MATCH("average",スコア表2[maxmin],0),MATCH(BV$5,スコア表2[#Headers],0)))
/
INDEX(スコア表2[],MATCH("stdev.p",スコア表2[maxmin],0),MATCH(BV$5,スコア表2[#Headers],0))
*10+50,"-")</f>
        <v>57.998421077556756</v>
      </c>
      <c r="BW27" s="4">
        <f>IFERROR(
(INDEX(スコア表[],MATCH($C27,スコア表['#],0),MATCH(BW$5,スコア表[#Headers],0))
-
INDEX(スコア表2[],MATCH("average",スコア表2[maxmin],0),MATCH(BW$5,スコア表2[#Headers],0)))
/
INDEX(スコア表2[],MATCH("stdev.p",スコア表2[maxmin],0),MATCH(BW$5,スコア表2[#Headers],0))
*10+50,"-")</f>
        <v>61.514570470308215</v>
      </c>
      <c r="BX27" s="4">
        <f>IFERROR(
(INDEX(スコア表[],MATCH($C27,スコア表['#],0),MATCH(BX$5,スコア表[#Headers],0))
-
INDEX(スコア表2[],MATCH("average",スコア表2[maxmin],0),MATCH(BX$5,スコア表2[#Headers],0)))
/
INDEX(スコア表2[],MATCH("stdev.p",スコア表2[maxmin],0),MATCH(BX$5,スコア表2[#Headers],0))
*10+50,"-")</f>
        <v>55.10121074990974</v>
      </c>
      <c r="BY27" s="4">
        <f>IFERROR(
(INDEX(スコア表[],MATCH($C27,スコア表['#],0),MATCH(BY$5,スコア表[#Headers],0))
-
INDEX(スコア表2[],MATCH("average",スコア表2[maxmin],0),MATCH(BY$5,スコア表2[#Headers],0)))
/
INDEX(スコア表2[],MATCH("stdev.p",スコア表2[maxmin],0),MATCH(BY$5,スコア表2[#Headers],0))
*10+50,"-")</f>
        <v>51.532792633973926</v>
      </c>
      <c r="BZ27" s="4">
        <f>IFERROR(
(INDEX(スコア表[],MATCH($C27,スコア表['#],0),MATCH(BZ$5,スコア表[#Headers],0))
-
INDEX(スコア表2[],MATCH("average",スコア表2[maxmin],0),MATCH(BZ$5,スコア表2[#Headers],0)))
/
INDEX(スコア表2[],MATCH("stdev.p",スコア表2[maxmin],0),MATCH(BZ$5,スコア表2[#Headers],0))
*10+50,"-")</f>
        <v>44.512646802683264</v>
      </c>
      <c r="CA27" s="4">
        <f>IFERROR(
(INDEX(スコア表[],MATCH($C27,スコア表['#],0),MATCH(CA$5,スコア表[#Headers],0))
-
INDEX(スコア表2[],MATCH("average",スコア表2[maxmin],0),MATCH(CA$5,スコア表2[#Headers],0)))
/
INDEX(スコア表2[],MATCH("stdev.p",スコア表2[maxmin],0),MATCH(CA$5,スコア表2[#Headers],0))
*10+50,"-")</f>
        <v>44.57856120837576</v>
      </c>
      <c r="CB27" s="4">
        <f>IFERROR(
(INDEX(スコア表[],MATCH($C27,スコア表['#],0),MATCH(CB$5,スコア表[#Headers],0))
-
INDEX(スコア表2[],MATCH("average",スコア表2[maxmin],0),MATCH(CB$5,スコア表2[#Headers],0)))
/
INDEX(スコア表2[],MATCH("stdev.p",スコア表2[maxmin],0),MATCH(CB$5,スコア表2[#Headers],0))
*10+50,"-")</f>
        <v>45.037330597417544</v>
      </c>
      <c r="CC27" s="4">
        <f>IFERROR(
(INDEX(スコア表[],MATCH($C27,スコア表['#],0),MATCH(CC$5,スコア表[#Headers],0))
-
INDEX(スコア表2[],MATCH("average",スコア表2[maxmin],0),MATCH(CC$5,スコア表2[#Headers],0)))
/
INDEX(スコア表2[],MATCH("stdev.p",スコア表2[maxmin],0),MATCH(CC$5,スコア表2[#Headers],0))
*10+50,"-")</f>
        <v>45.000373922368667</v>
      </c>
      <c r="CD27" s="4">
        <f>IFERROR(
(INDEX(スコア表[],MATCH($C27,スコア表['#],0),MATCH(CD$5,スコア表[#Headers],0))
-
INDEX(スコア表2[],MATCH("average",スコア表2[maxmin],0),MATCH(CD$5,スコア表2[#Headers],0)))
/
INDEX(スコア表2[],MATCH("stdev.p",スコア表2[maxmin],0),MATCH(CD$5,スコア表2[#Headers],0))
*10+50,"-")</f>
        <v>50.104658823273319</v>
      </c>
      <c r="CE27" s="4">
        <f>IFERROR(
(INDEX(スコア表[],MATCH($C27,スコア表['#],0),MATCH(CE$5,スコア表[#Headers],0))
-
INDEX(スコア表2[],MATCH("average",スコア表2[maxmin],0),MATCH(CE$5,スコア表2[#Headers],0)))
/
INDEX(スコア表2[],MATCH("stdev.p",スコア表2[maxmin],0),MATCH(CE$5,スコア表2[#Headers],0))
*10+50,"-")</f>
        <v>51.058774033831426</v>
      </c>
      <c r="CF27" s="4">
        <f>IFERROR(
(INDEX(スコア表[],MATCH($C27,スコア表['#],0),MATCH(CF$5,スコア表[#Headers],0))
-
INDEX(スコア表2[],MATCH("average",スコア表2[maxmin],0),MATCH(CF$5,スコア表2[#Headers],0)))
/
INDEX(スコア表2[],MATCH("stdev.p",スコア表2[maxmin],0),MATCH(CF$5,スコア表2[#Headers],0))
*10+50,"-")</f>
        <v>41.583796832649355</v>
      </c>
      <c r="CG27" s="4">
        <f>IFERROR(
(INDEX(スコア表[],MATCH($C27,スコア表['#],0),MATCH(CG$5,スコア表[#Headers],0))
-
INDEX(スコア表2[],MATCH("average",スコア表2[maxmin],0),MATCH(CG$5,スコア表2[#Headers],0)))
/
INDEX(スコア表2[],MATCH("stdev.p",スコア表2[maxmin],0),MATCH(CG$5,スコア表2[#Headers],0))
*10+50,"-")</f>
        <v>46.836540195202872</v>
      </c>
      <c r="CH27" s="4">
        <f>IFERROR(
(INDEX(スコア表[],MATCH($C27,スコア表['#],0),MATCH(CH$5,スコア表[#Headers],0))
-
INDEX(スコア表2[],MATCH("average",スコア表2[maxmin],0),MATCH(CH$5,スコア表2[#Headers],0)))
/
INDEX(スコア表2[],MATCH("stdev.p",スコア表2[maxmin],0),MATCH(CH$5,スコア表2[#Headers],0))
*10+50,"-")</f>
        <v>43.69390846836972</v>
      </c>
      <c r="CI27" s="4">
        <f>IFERROR(
(INDEX(スコア表[],MATCH($C27,スコア表['#],0),MATCH(CI$5,スコア表[#Headers],0))
-
INDEX(スコア表2[],MATCH("average",スコア表2[maxmin],0),MATCH(CI$5,スコア表2[#Headers],0)))
/
INDEX(スコア表2[],MATCH("stdev.p",スコア表2[maxmin],0),MATCH(CI$5,スコア表2[#Headers],0))
*10+50,"-")</f>
        <v>51.199074051266763</v>
      </c>
      <c r="CJ27" s="4">
        <f>IFERROR(
(INDEX(スコア表[],MATCH($C27,スコア表['#],0),MATCH(CJ$5,スコア表[#Headers],0))
-
INDEX(スコア表2[],MATCH("average",スコア表2[maxmin],0),MATCH(CJ$5,スコア表2[#Headers],0)))
/
INDEX(スコア表2[],MATCH("stdev.p",スコア表2[maxmin],0),MATCH(CJ$5,スコア表2[#Headers],0))
*10+50,"-")</f>
        <v>62.874164796296547</v>
      </c>
      <c r="CK27" s="4">
        <f>IFERROR(
(INDEX(スコア表[],MATCH($C27,スコア表['#],0),MATCH(CK$5,スコア表[#Headers],0))
-
INDEX(スコア表2[],MATCH("average",スコア表2[maxmin],0),MATCH(CK$5,スコア表2[#Headers],0)))
/
INDEX(スコア表2[],MATCH("stdev.p",スコア表2[maxmin],0),MATCH(CK$5,スコア表2[#Headers],0))
*10+50,"-")</f>
        <v>46.466718250420051</v>
      </c>
      <c r="CL27" s="4">
        <f>IFERROR(
(INDEX(スコア表[],MATCH($C27,スコア表['#],0),MATCH(CL$5,スコア表[#Headers],0))
-
INDEX(スコア表2[],MATCH("average",スコア表2[maxmin],0),MATCH(CL$5,スコア表2[#Headers],0)))
/
INDEX(スコア表2[],MATCH("stdev.p",スコア表2[maxmin],0),MATCH(CL$5,スコア表2[#Headers],0))
*10+50,"-")</f>
        <v>56.683663882107297</v>
      </c>
      <c r="CM27" s="4">
        <f>IFERROR(
(INDEX(スコア表[],MATCH($C27,スコア表['#],0),MATCH(CM$5,スコア表[#Headers],0))
-
INDEX(スコア表2[],MATCH("average",スコア表2[maxmin],0),MATCH(CM$5,スコア表2[#Headers],0)))
/
INDEX(スコア表2[],MATCH("stdev.p",スコア表2[maxmin],0),MATCH(CM$5,スコア表2[#Headers],0))
*10+50,"-")</f>
        <v>53.015114553673271</v>
      </c>
      <c r="CN27" s="4">
        <f>IFERROR(
(INDEX(スコア表[],MATCH($C27,スコア表['#],0),MATCH(CN$5,スコア表[#Headers],0))
-
INDEX(スコア表2[],MATCH("average",スコア表2[maxmin],0),MATCH(CN$5,スコア表2[#Headers],0)))
/
INDEX(スコア表2[],MATCH("stdev.p",スコア表2[maxmin],0),MATCH(CN$5,スコア表2[#Headers],0))
*10+50,"-")</f>
        <v>35.913729548192684</v>
      </c>
      <c r="CO27" s="4">
        <f>IFERROR(
(INDEX(スコア表[],MATCH($C27,スコア表['#],0),MATCH(CO$5,スコア表[#Headers],0))
-
INDEX(スコア表2[],MATCH("average",スコア表2[maxmin],0),MATCH(CO$5,スコア表2[#Headers],0)))
/
INDEX(スコア表2[],MATCH("stdev.p",スコア表2[maxmin],0),MATCH(CO$5,スコア表2[#Headers],0))
*10+50,"-")</f>
        <v>55.320507601249574</v>
      </c>
      <c r="CP27" s="4">
        <f>IFERROR(
(INDEX(スコア表[],MATCH($C27,スコア表['#],0),MATCH(CP$5,スコア表[#Headers],0))
-
INDEX(スコア表2[],MATCH("average",スコア表2[maxmin],0),MATCH(CP$5,スコア表2[#Headers],0)))
/
INDEX(スコア表2[],MATCH("stdev.p",スコア表2[maxmin],0),MATCH(CP$5,スコア表2[#Headers],0))
*10+50,"-")</f>
        <v>53.214930551096749</v>
      </c>
      <c r="CQ27" s="4">
        <f>IFERROR(
(INDEX(スコア表[],MATCH($C27,スコア表['#],0),MATCH(CQ$5,スコア表[#Headers],0))
-
INDEX(スコア表2[],MATCH("average",スコア表2[maxmin],0),MATCH(CQ$5,スコア表2[#Headers],0)))
/
INDEX(スコア表2[],MATCH("stdev.p",スコア表2[maxmin],0),MATCH(CQ$5,スコア表2[#Headers],0))
*10+50,"-")</f>
        <v>60.082752464595309</v>
      </c>
      <c r="CR27" s="4">
        <f>IFERROR(
(INDEX(スコア表[],MATCH($C27,スコア表['#],0),MATCH(CR$5,スコア表[#Headers],0))
-
INDEX(スコア表2[],MATCH("average",スコア表2[maxmin],0),MATCH(CR$5,スコア表2[#Headers],0)))
/
INDEX(スコア表2[],MATCH("stdev.p",スコア表2[maxmin],0),MATCH(CR$5,スコア表2[#Headers],0))
*10+50,"-")</f>
        <v>62.103608343889931</v>
      </c>
      <c r="CS27" s="4">
        <f>IFERROR(
(INDEX(スコア表[],MATCH($C27,スコア表['#],0),MATCH(CS$5,スコア表[#Headers],0))
-
INDEX(スコア表2[],MATCH("average",スコア表2[maxmin],0),MATCH(CS$5,スコア表2[#Headers],0)))
/
INDEX(スコア表2[],MATCH("stdev.p",スコア表2[maxmin],0),MATCH(CS$5,スコア表2[#Headers],0))
*10+50,"-")</f>
        <v>47.869910954016376</v>
      </c>
      <c r="CT27" s="4">
        <f>IFERROR(
(INDEX(スコア表[],MATCH($C27,スコア表['#],0),MATCH(CT$5,スコア表[#Headers],0))
-
INDEX(スコア表2[],MATCH("average",スコア表2[maxmin],0),MATCH(CT$5,スコア表2[#Headers],0)))
/
INDEX(スコア表2[],MATCH("stdev.p",スコア表2[maxmin],0),MATCH(CT$5,スコア表2[#Headers],0))
*10+50,"-")</f>
        <v>57.866020273024979</v>
      </c>
      <c r="CU27" s="4">
        <f>IFERROR(
(INDEX(スコア表[],MATCH($C27,スコア表['#],0),MATCH(CU$5,スコア表[#Headers],0))
-
INDEX(スコア表2[],MATCH("average",スコア表2[maxmin],0),MATCH(CU$5,スコア表2[#Headers],0)))
/
INDEX(スコア表2[],MATCH("stdev.p",スコア表2[maxmin],0),MATCH(CU$5,スコア表2[#Headers],0))
*10+50,"-")</f>
        <v>41.727360302311538</v>
      </c>
      <c r="CV27" s="4">
        <f>IFERROR(
(INDEX(スコア表[],MATCH($C27,スコア表['#],0),MATCH(CV$5,スコア表[#Headers],0))
-
INDEX(スコア表2[],MATCH("average",スコア表2[maxmin],0),MATCH(CV$5,スコア表2[#Headers],0)))
/
INDEX(スコア表2[],MATCH("stdev.p",スコア表2[maxmin],0),MATCH(CV$5,スコア表2[#Headers],0))
*10+50,"-")</f>
        <v>48.812991022732696</v>
      </c>
      <c r="CW27" s="4">
        <f>IFERROR(
(INDEX(スコア表[],MATCH($C27,スコア表['#],0),MATCH(CW$5,スコア表[#Headers],0))
-
INDEX(スコア表2[],MATCH("average",スコア表2[maxmin],0),MATCH(CW$5,スコア表2[#Headers],0)))
/
INDEX(スコア表2[],MATCH("stdev.p",スコア表2[maxmin],0),MATCH(CW$5,スコア表2[#Headers],0))
*10+50,"-")</f>
        <v>49.720171411728316</v>
      </c>
      <c r="CX27" s="4">
        <f>IFERROR(
(INDEX(スコア表[],MATCH($C27,スコア表['#],0),MATCH(CX$5,スコア表[#Headers],0))
-
INDEX(スコア表2[],MATCH("average",スコア表2[maxmin],0),MATCH(CX$5,スコア表2[#Headers],0)))
/
INDEX(スコア表2[],MATCH("stdev.p",スコア表2[maxmin],0),MATCH(CX$5,スコア表2[#Headers],0))
*10+50,"-")</f>
        <v>57.443505766178923</v>
      </c>
      <c r="CY27" s="4">
        <f>IFERROR(
(INDEX(スコア表[],MATCH($C27,スコア表['#],0),MATCH(CY$5,スコア表[#Headers],0))
-
INDEX(スコア表2[],MATCH("average",スコア表2[maxmin],0),MATCH(CY$5,スコア表2[#Headers],0)))
/
INDEX(スコア表2[],MATCH("stdev.p",スコア表2[maxmin],0),MATCH(CY$5,スコア表2[#Headers],0))
*10+50,"-")</f>
        <v>60.350404064358699</v>
      </c>
      <c r="CZ27" s="4">
        <f>IFERROR(
(INDEX(スコア表[],MATCH($C27,スコア表['#],0),MATCH(CZ$5,スコア表[#Headers],0))
-
INDEX(スコア表2[],MATCH("average",スコア表2[maxmin],0),MATCH(CZ$5,スコア表2[#Headers],0)))
/
INDEX(スコア表2[],MATCH("stdev.p",スコア表2[maxmin],0),MATCH(CZ$5,スコア表2[#Headers],0))
*10+50,"-")</f>
        <v>45.450211827857913</v>
      </c>
      <c r="DA27" s="4">
        <f>IFERROR(
(INDEX(スコア表[],MATCH($C27,スコア表['#],0),MATCH(DA$5,スコア表[#Headers],0))
-
INDEX(スコア表2[],MATCH("average",スコア表2[maxmin],0),MATCH(DA$5,スコア表2[#Headers],0)))
/
INDEX(スコア表2[],MATCH("stdev.p",スコア表2[maxmin],0),MATCH(DA$5,スコア表2[#Headers],0))
*10+50,"-")</f>
        <v>43.21872484951281</v>
      </c>
      <c r="DB27" s="4">
        <f>IFERROR(
(INDEX(スコア表[],MATCH($C27,スコア表['#],0),MATCH(DB$5,スコア表[#Headers],0))
-
INDEX(スコア表2[],MATCH("average",スコア表2[maxmin],0),MATCH(DB$5,スコア表2[#Headers],0)))
/
INDEX(スコア表2[],MATCH("stdev.p",スコア表2[maxmin],0),MATCH(DB$5,スコア表2[#Headers],0))
*10+50,"-")</f>
        <v>55.039858059326754</v>
      </c>
      <c r="DC27" s="4">
        <f>IFERROR(
(INDEX(スコア表[],MATCH($C27,スコア表['#],0),MATCH(DC$5,スコア表[#Headers],0))
-
INDEX(スコア表2[],MATCH("average",スコア表2[maxmin],0),MATCH(DC$5,スコア表2[#Headers],0)))
/
INDEX(スコア表2[],MATCH("stdev.p",スコア表2[maxmin],0),MATCH(DC$5,スコア表2[#Headers],0))
*10+50,"-")</f>
        <v>61.572065430410731</v>
      </c>
      <c r="DD27" s="4">
        <f>IFERROR(
(INDEX(スコア表[],MATCH($C27,スコア表['#],0),MATCH(DD$5,スコア表[#Headers],0))
-
INDEX(スコア表2[],MATCH("average",スコア表2[maxmin],0),MATCH(DD$5,スコア表2[#Headers],0)))
/
INDEX(スコア表2[],MATCH("stdev.p",スコア表2[maxmin],0),MATCH(DD$5,スコア表2[#Headers],0))
*10+50,"-")</f>
        <v>46.972740705815298</v>
      </c>
      <c r="DE27" s="4">
        <f>IFERROR(
(INDEX(スコア表[],MATCH($C27,スコア表['#],0),MATCH(DE$5,スコア表[#Headers],0))
-
INDEX(スコア表2[],MATCH("average",スコア表2[maxmin],0),MATCH(DE$5,スコア表2[#Headers],0)))
/
INDEX(スコア表2[],MATCH("stdev.p",スコア表2[maxmin],0),MATCH(DE$5,スコア表2[#Headers],0))
*10+50,"-")</f>
        <v>56.13819196901656</v>
      </c>
      <c r="DF27" s="76">
        <f>IFERROR(
(INDEX(スコア表[],MATCH($C27,スコア表['#],0),MATCH(DF$5,スコア表[#Headers],0))
-
INDEX(スコア表2[],MATCH("average",スコア表2[maxmin],0),MATCH(DF$5,スコア表2[#Headers],0)))
/
INDEX(スコア表2[],MATCH("stdev.p",スコア表2[maxmin],0),MATCH(DF$5,スコア表2[#Headers],0))
*10+50,"-")</f>
        <v>50.965364677228351</v>
      </c>
      <c r="DG27" s="4">
        <f>IFERROR(_xlfn.STDEV.P(偏差値表[[#This Row],[Economy]:[Accessibility]]),"")</f>
        <v>6.5967643705191588</v>
      </c>
    </row>
    <row r="28" spans="1:111">
      <c r="A28" s="2">
        <v>23</v>
      </c>
      <c r="B28" s="58">
        <f>INDEX(順位表[Comprehensive],MATCH($C28,順位表['#],0))</f>
        <v>23</v>
      </c>
      <c r="C28" s="3">
        <v>36</v>
      </c>
      <c r="D28" s="1" t="str">
        <f>INDEX(都市マスタ[City Name],MATCH($C28,都市マスタ['#],0))</f>
        <v>Toronto</v>
      </c>
      <c r="E28" s="4">
        <f>IFERROR(
(INDEX(スコア表[],MATCH($C28,スコア表['#],0),MATCH(E$5,スコア表[#Headers],0))
-
INDEX(スコア表2[],MATCH("average",スコア表2[maxmin],0),MATCH(E$5,スコア表2[#Headers],0)))
/
INDEX(スコア表2[],MATCH("stdev.p",スコア表2[maxmin],0),MATCH(E$5,スコア表2[#Headers],0))
*10+50,"-")</f>
        <v>45.885944155457736</v>
      </c>
      <c r="F28" s="4">
        <f>IFERROR(
(INDEX(スコア表[],MATCH($C28,スコア表['#],0),MATCH(F$5,スコア表[#Headers],0))
-
INDEX(スコア表2[],MATCH("average",スコア表2[maxmin],0),MATCH(F$5,スコア表2[#Headers],0)))
/
INDEX(スコア表2[],MATCH("stdev.p",スコア表2[maxmin],0),MATCH(F$5,スコア表2[#Headers],0))
*10+50,"-")</f>
        <v>46.709654933912063</v>
      </c>
      <c r="G28" s="4">
        <f>IFERROR(
(INDEX(スコア表[],MATCH($C28,スコア表['#],0),MATCH(G$5,スコア表[#Headers],0))
-
INDEX(スコア表2[],MATCH("average",スコア表2[maxmin],0),MATCH(G$5,スコア表2[#Headers],0)))
/
INDEX(スコア表2[],MATCH("stdev.p",スコア表2[maxmin],0),MATCH(G$5,スコア表2[#Headers],0))
*10+50,"-")</f>
        <v>48.334143463574691</v>
      </c>
      <c r="H28" s="4">
        <f>IFERROR(
(INDEX(スコア表[],MATCH($C28,スコア表['#],0),MATCH(H$5,スコア表[#Headers],0))
-
INDEX(スコア表2[],MATCH("average",スコア表2[maxmin],0),MATCH(H$5,スコア表2[#Headers],0)))
/
INDEX(スコア表2[],MATCH("stdev.p",スコア表2[maxmin],0),MATCH(H$5,スコア表2[#Headers],0))
*10+50,"-")</f>
        <v>46.597381675203188</v>
      </c>
      <c r="I28" s="4">
        <f>IFERROR(
(INDEX(スコア表[],MATCH($C28,スコア表['#],0),MATCH(I$5,スコア表[#Headers],0))
-
INDEX(スコア表2[],MATCH("average",スコア表2[maxmin],0),MATCH(I$5,スコア表2[#Headers],0)))
/
INDEX(スコア表2[],MATCH("stdev.p",スコア表2[maxmin],0),MATCH(I$5,スコア表2[#Headers],0))
*10+50,"-")</f>
        <v>46.643829071124848</v>
      </c>
      <c r="J28" s="4">
        <f>IFERROR(
(INDEX(スコア表[],MATCH($C28,スコア表['#],0),MATCH(J$5,スコア表[#Headers],0))
-
INDEX(スコア表2[],MATCH("average",スコア表2[maxmin],0),MATCH(J$5,スコア表2[#Headers],0)))
/
INDEX(スコア表2[],MATCH("stdev.p",スコア表2[maxmin],0),MATCH(J$5,スコア表2[#Headers],0))
*10+50,"-")</f>
        <v>55.933967882630093</v>
      </c>
      <c r="K28" s="4">
        <f>IFERROR(
(INDEX(スコア表[],MATCH($C28,スコア表['#],0),MATCH(K$5,スコア表[#Headers],0))
-
INDEX(スコア表2[],MATCH("average",スコア表2[maxmin],0),MATCH(K$5,スコア表2[#Headers],0)))
/
INDEX(スコア表2[],MATCH("stdev.p",スコア表2[maxmin],0),MATCH(K$5,スコア表2[#Headers],0))
*10+50,"-")</f>
        <v>56.029633186960346</v>
      </c>
      <c r="L28" s="4">
        <f>IFERROR(
(INDEX(スコア表[],MATCH($C28,スコア表['#],0),MATCH(L$5,スコア表[#Headers],0))
-
INDEX(スコア表2[],MATCH("average",スコア表2[maxmin],0),MATCH(L$5,スコア表2[#Headers],0)))
/
INDEX(スコア表2[],MATCH("stdev.p",スコア表2[maxmin],0),MATCH(L$5,スコア表2[#Headers],0))
*10+50,"-")</f>
        <v>51.560929526356851</v>
      </c>
      <c r="M28" s="4">
        <f>IFERROR(
(INDEX(スコア表[],MATCH($C28,スコア表['#],0),MATCH(M$5,スコア表[#Headers],0))
-
INDEX(スコア表2[],MATCH("average",スコア表2[maxmin],0),MATCH(M$5,スコア表2[#Headers],0)))
/
INDEX(スコア表2[],MATCH("stdev.p",スコア表2[maxmin],0),MATCH(M$5,スコア表2[#Headers],0))
*10+50,"-")</f>
        <v>49.302031858891894</v>
      </c>
      <c r="N28" s="4">
        <f>IFERROR(
(INDEX(スコア表[],MATCH($C28,スコア表['#],0),MATCH(N$5,スコア表[#Headers],0))
-
INDEX(スコア表2[],MATCH("average",スコア表2[maxmin],0),MATCH(N$5,スコア表2[#Headers],0)))
/
INDEX(スコア表2[],MATCH("stdev.p",スコア表2[maxmin],0),MATCH(N$5,スコア表2[#Headers],0))
*10+50,"-")</f>
        <v>45.588758582484026</v>
      </c>
      <c r="O28" s="4">
        <f>IFERROR(
(INDEX(スコア表[],MATCH($C28,スコア表['#],0),MATCH(O$5,スコア表[#Headers],0))
-
INDEX(スコア表2[],MATCH("average",スコア表2[maxmin],0),MATCH(O$5,スコア表2[#Headers],0)))
/
INDEX(スコア表2[],MATCH("stdev.p",スコア表2[maxmin],0),MATCH(O$5,スコア表2[#Headers],0))
*10+50,"-")</f>
        <v>56.82357416254667</v>
      </c>
      <c r="P28" s="4">
        <f>IFERROR(
(INDEX(スコア表[],MATCH($C28,スコア表['#],0),MATCH(P$5,スコア表[#Headers],0))
-
INDEX(スコア表2[],MATCH("average",スコア表2[maxmin],0),MATCH(P$5,スコア表2[#Headers],0)))
/
INDEX(スコア表2[],MATCH("stdev.p",スコア表2[maxmin],0),MATCH(P$5,スコア表2[#Headers],0))
*10+50,"-")</f>
        <v>52.090121429477904</v>
      </c>
      <c r="Q28" s="4">
        <f>IFERROR(
(INDEX(スコア表[],MATCH($C28,スコア表['#],0),MATCH(Q$5,スコア表[#Headers],0))
-
INDEX(スコア表2[],MATCH("average",スコア表2[maxmin],0),MATCH(Q$5,スコア表2[#Headers],0)))
/
INDEX(スコア表2[],MATCH("stdev.p",スコア表2[maxmin],0),MATCH(Q$5,スコア表2[#Headers],0))
*10+50,"-")</f>
        <v>63.259316730948484</v>
      </c>
      <c r="R28" s="4">
        <f>IFERROR(
(INDEX(スコア表[],MATCH($C28,スコア表['#],0),MATCH(R$5,スコア表[#Headers],0))
-
INDEX(スコア表2[],MATCH("average",スコア表2[maxmin],0),MATCH(R$5,スコア表2[#Headers],0)))
/
INDEX(スコア表2[],MATCH("stdev.p",スコア表2[maxmin],0),MATCH(R$5,スコア表2[#Headers],0))
*10+50,"-")</f>
        <v>52.148826210140513</v>
      </c>
      <c r="S28" s="4">
        <f>IFERROR(
(INDEX(スコア表[],MATCH($C28,スコア表['#],0),MATCH(S$5,スコア表[#Headers],0))
-
INDEX(スコア表2[],MATCH("average",スコア表2[maxmin],0),MATCH(S$5,スコア表2[#Headers],0)))
/
INDEX(スコア表2[],MATCH("stdev.p",スコア表2[maxmin],0),MATCH(S$5,スコア表2[#Headers],0))
*10+50,"-")</f>
        <v>47.376706374478168</v>
      </c>
      <c r="T28" s="4">
        <f>IFERROR(
(INDEX(スコア表[],MATCH($C28,スコア表['#],0),MATCH(T$5,スコア表[#Headers],0))
-
INDEX(スコア表2[],MATCH("average",スコア表2[maxmin],0),MATCH(T$5,スコア表2[#Headers],0)))
/
INDEX(スコア表2[],MATCH("stdev.p",スコア表2[maxmin],0),MATCH(T$5,スコア表2[#Headers],0))
*10+50,"-")</f>
        <v>54.175925834954086</v>
      </c>
      <c r="U28" s="4">
        <f>IFERROR(
(INDEX(スコア表[],MATCH($C28,スコア表['#],0),MATCH(U$5,スコア表[#Headers],0))
-
INDEX(スコア表2[],MATCH("average",スコア表2[maxmin],0),MATCH(U$5,スコア表2[#Headers],0)))
/
INDEX(スコア表2[],MATCH("stdev.p",スコア表2[maxmin],0),MATCH(U$5,スコア表2[#Headers],0))
*10+50,"-")</f>
        <v>45.947699079065551</v>
      </c>
      <c r="V28" s="4">
        <f>IFERROR(
(INDEX(スコア表[],MATCH($C28,スコア表['#],0),MATCH(V$5,スコア表[#Headers],0))
-
INDEX(スコア表2[],MATCH("average",スコア表2[maxmin],0),MATCH(V$5,スコア表2[#Headers],0)))
/
INDEX(スコア表2[],MATCH("stdev.p",スコア表2[maxmin],0),MATCH(V$5,スコア表2[#Headers],0))
*10+50,"-")</f>
        <v>49.214205201530667</v>
      </c>
      <c r="W28" s="4">
        <f>IFERROR(
(INDEX(スコア表[],MATCH($C28,スコア表['#],0),MATCH(W$5,スコア表[#Headers],0))
-
INDEX(スコア表2[],MATCH("average",スコア表2[maxmin],0),MATCH(W$5,スコア表2[#Headers],0)))
/
INDEX(スコア表2[],MATCH("stdev.p",スコア表2[maxmin],0),MATCH(W$5,スコア表2[#Headers],0))
*10+50,"-")</f>
        <v>45.88625886945605</v>
      </c>
      <c r="X28" s="4">
        <f>IFERROR(
(INDEX(スコア表[],MATCH($C28,スコア表['#],0),MATCH(X$5,スコア表[#Headers],0))
-
INDEX(スコア表2[],MATCH("average",スコア表2[maxmin],0),MATCH(X$5,スコア表2[#Headers],0)))
/
INDEX(スコア表2[],MATCH("stdev.p",スコア表2[maxmin],0),MATCH(X$5,スコア表2[#Headers],0))
*10+50,"-")</f>
        <v>55.887509910817627</v>
      </c>
      <c r="Y28" s="4">
        <f>IFERROR(
(INDEX(スコア表[],MATCH($C28,スコア表['#],0),MATCH(Y$5,スコア表[#Headers],0))
-
INDEX(スコア表2[],MATCH("average",スコア表2[maxmin],0),MATCH(Y$5,スコア表2[#Headers],0)))
/
INDEX(スコア表2[],MATCH("stdev.p",スコア表2[maxmin],0),MATCH(Y$5,スコア表2[#Headers],0))
*10+50,"-")</f>
        <v>56.637749709758225</v>
      </c>
      <c r="Z28" s="4">
        <f>IFERROR(
(INDEX(スコア表[],MATCH($C28,スコア表['#],0),MATCH(Z$5,スコア表[#Headers],0))
-
INDEX(スコア表2[],MATCH("average",スコア表2[maxmin],0),MATCH(Z$5,スコア表2[#Headers],0)))
/
INDEX(スコア表2[],MATCH("stdev.p",スコア表2[maxmin],0),MATCH(Z$5,スコア表2[#Headers],0))
*10+50,"-")</f>
        <v>47.018003423314767</v>
      </c>
      <c r="AA28" s="4">
        <f>IFERROR(
(INDEX(スコア表[],MATCH($C28,スコア表['#],0),MATCH(AA$5,スコア表[#Headers],0))
-
INDEX(スコア表2[],MATCH("average",スコア表2[maxmin],0),MATCH(AA$5,スコア表2[#Headers],0)))
/
INDEX(スコア表2[],MATCH("stdev.p",スコア表2[maxmin],0),MATCH(AA$5,スコア表2[#Headers],0))
*10+50,"-")</f>
        <v>44.664612103409482</v>
      </c>
      <c r="AB28" s="4">
        <f>IFERROR(
(INDEX(スコア表[],MATCH($C28,スコア表['#],0),MATCH(AB$5,スコア表[#Headers],0))
-
INDEX(スコア表2[],MATCH("average",スコア表2[maxmin],0),MATCH(AB$5,スコア表2[#Headers],0)))
/
INDEX(スコア表2[],MATCH("stdev.p",スコア表2[maxmin],0),MATCH(AB$5,スコア表2[#Headers],0))
*10+50,"-")</f>
        <v>54.342033083113485</v>
      </c>
      <c r="AC28" s="4">
        <f>IFERROR(
(INDEX(スコア表[],MATCH($C28,スコア表['#],0),MATCH(AC$5,スコア表[#Headers],0))
-
INDEX(スコア表2[],MATCH("average",スコア表2[maxmin],0),MATCH(AC$5,スコア表2[#Headers],0)))
/
INDEX(スコア表2[],MATCH("stdev.p",スコア表2[maxmin],0),MATCH(AC$5,スコア表2[#Headers],0))
*10+50,"-")</f>
        <v>45.419162583963157</v>
      </c>
      <c r="AD28" s="4">
        <f>IFERROR(
(INDEX(スコア表[],MATCH($C28,スコア表['#],0),MATCH(AD$5,スコア表[#Headers],0))
-
INDEX(スコア表2[],MATCH("average",スコア表2[maxmin],0),MATCH(AD$5,スコア表2[#Headers],0)))
/
INDEX(スコア表2[],MATCH("stdev.p",スコア表2[maxmin],0),MATCH(AD$5,スコア表2[#Headers],0))
*10+50,"-")</f>
        <v>54.965093467889332</v>
      </c>
      <c r="AE28" s="4">
        <f>IFERROR(
(INDEX(スコア表[],MATCH($C28,スコア表['#],0),MATCH(AE$5,スコア表[#Headers],0))
-
INDEX(スコア表2[],MATCH("average",スコア表2[maxmin],0),MATCH(AE$5,スコア表2[#Headers],0)))
/
INDEX(スコア表2[],MATCH("stdev.p",スコア表2[maxmin],0),MATCH(AE$5,スコア表2[#Headers],0))
*10+50,"-")</f>
        <v>52.651920456636553</v>
      </c>
      <c r="AF28" s="4">
        <f>IFERROR(
(INDEX(スコア表[],MATCH($C28,スコア表['#],0),MATCH(AF$5,スコア表[#Headers],0))
-
INDEX(スコア表2[],MATCH("average",スコア表2[maxmin],0),MATCH(AF$5,スコア表2[#Headers],0)))
/
INDEX(スコア表2[],MATCH("stdev.p",スコア表2[maxmin],0),MATCH(AF$5,スコア表2[#Headers],0))
*10+50,"-")</f>
        <v>48.716314847447549</v>
      </c>
      <c r="AG28" s="4">
        <f>IFERROR(
(INDEX(スコア表[],MATCH($C28,スコア表['#],0),MATCH(AG$5,スコア表[#Headers],0))
-
INDEX(スコア表2[],MATCH("average",スコア表2[maxmin],0),MATCH(AG$5,スコア表2[#Headers],0)))
/
INDEX(スコア表2[],MATCH("stdev.p",スコア表2[maxmin],0),MATCH(AG$5,スコア表2[#Headers],0))
*10+50,"-")</f>
        <v>49.674473372727661</v>
      </c>
      <c r="AH28" s="4">
        <f>IFERROR(
(INDEX(スコア表[],MATCH($C28,スコア表['#],0),MATCH(AH$5,スコア表[#Headers],0))
-
INDEX(スコア表2[],MATCH("average",スコア表2[maxmin],0),MATCH(AH$5,スコア表2[#Headers],0)))
/
INDEX(スコア表2[],MATCH("stdev.p",スコア表2[maxmin],0),MATCH(AH$5,スコア表2[#Headers],0))
*10+50,"-")</f>
        <v>40.910160095405388</v>
      </c>
      <c r="AI28" s="4">
        <f>IFERROR(
(INDEX(スコア表[],MATCH($C28,スコア表['#],0),MATCH(AI$5,スコア表[#Headers],0))
-
INDEX(スコア表2[],MATCH("average",スコア表2[maxmin],0),MATCH(AI$5,スコア表2[#Headers],0)))
/
INDEX(スコア表2[],MATCH("stdev.p",スコア表2[maxmin],0),MATCH(AI$5,スコア表2[#Headers],0))
*10+50,"-")</f>
        <v>47.874564017326904</v>
      </c>
      <c r="AJ28" s="4">
        <f>IFERROR(
(INDEX(スコア表[],MATCH($C28,スコア表['#],0),MATCH(AJ$5,スコア表[#Headers],0))
-
INDEX(スコア表2[],MATCH("average",スコア表2[maxmin],0),MATCH(AJ$5,スコア表2[#Headers],0)))
/
INDEX(スコア表2[],MATCH("stdev.p",スコア表2[maxmin],0),MATCH(AJ$5,スコア表2[#Headers],0))
*10+50,"-")</f>
        <v>49.597519497239588</v>
      </c>
      <c r="AK28" s="4">
        <f>IFERROR(
(INDEX(スコア表[],MATCH($C28,スコア表['#],0),MATCH(AK$5,スコア表[#Headers],0))
-
INDEX(スコア表2[],MATCH("average",スコア表2[maxmin],0),MATCH(AK$5,スコア表2[#Headers],0)))
/
INDEX(スコア表2[],MATCH("stdev.p",スコア表2[maxmin],0),MATCH(AK$5,スコア表2[#Headers],0))
*10+50,"-")</f>
        <v>49.358841362213155</v>
      </c>
      <c r="AL28" s="4">
        <f>IFERROR(
(INDEX(スコア表[],MATCH($C28,スコア表['#],0),MATCH(AL$5,スコア表[#Headers],0))
-
INDEX(スコア表2[],MATCH("average",スコア表2[maxmin],0),MATCH(AL$5,スコア表2[#Headers],0)))
/
INDEX(スコア表2[],MATCH("stdev.p",スコア表2[maxmin],0),MATCH(AL$5,スコア表2[#Headers],0))
*10+50,"-")</f>
        <v>44.054187174868872</v>
      </c>
      <c r="AM28" s="4">
        <f>IFERROR(
(INDEX(スコア表[],MATCH($C28,スコア表['#],0),MATCH(AM$5,スコア表[#Headers],0))
-
INDEX(スコア表2[],MATCH("average",スコア表2[maxmin],0),MATCH(AM$5,スコア表2[#Headers],0)))
/
INDEX(スコア表2[],MATCH("stdev.p",スコア表2[maxmin],0),MATCH(AM$5,スコア表2[#Headers],0))
*10+50,"-")</f>
        <v>41.100859091261484</v>
      </c>
      <c r="AN28" s="4">
        <f>IFERROR(
(INDEX(スコア表[],MATCH($C28,スコア表['#],0),MATCH(AN$5,スコア表[#Headers],0))
-
INDEX(スコア表2[],MATCH("average",スコア表2[maxmin],0),MATCH(AN$5,スコア表2[#Headers],0)))
/
INDEX(スコア表2[],MATCH("stdev.p",スコア表2[maxmin],0),MATCH(AN$5,スコア表2[#Headers],0))
*10+50,"-")</f>
        <v>42.7002279691186</v>
      </c>
      <c r="AO28" s="4">
        <f>IFERROR(
(INDEX(スコア表[],MATCH($C28,スコア表['#],0),MATCH(AO$5,スコア表[#Headers],0))
-
INDEX(スコア表2[],MATCH("average",スコア表2[maxmin],0),MATCH(AO$5,スコア表2[#Headers],0)))
/
INDEX(スコア表2[],MATCH("stdev.p",スコア表2[maxmin],0),MATCH(AO$5,スコア表2[#Headers],0))
*10+50,"-")</f>
        <v>46.43283895213051</v>
      </c>
      <c r="AP28" s="4">
        <f>IFERROR(
(INDEX(スコア表[],MATCH($C28,スコア表['#],0),MATCH(AP$5,スコア表[#Headers],0))
-
INDEX(スコア表2[],MATCH("average",スコア表2[maxmin],0),MATCH(AP$5,スコア表2[#Headers],0)))
/
INDEX(スコア表2[],MATCH("stdev.p",スコア表2[maxmin],0),MATCH(AP$5,スコア表2[#Headers],0))
*10+50,"-")</f>
        <v>51.059987723737272</v>
      </c>
      <c r="AQ28" s="4">
        <f>IFERROR(
(INDEX(スコア表[],MATCH($C28,スコア表['#],0),MATCH(AQ$5,スコア表[#Headers],0))
-
INDEX(スコア表2[],MATCH("average",スコア表2[maxmin],0),MATCH(AQ$5,スコア表2[#Headers],0)))
/
INDEX(スコア表2[],MATCH("stdev.p",スコア表2[maxmin],0),MATCH(AQ$5,スコア表2[#Headers],0))
*10+50,"-")</f>
        <v>49.749552399324081</v>
      </c>
      <c r="AR28" s="4">
        <f>IFERROR(
(INDEX(スコア表[],MATCH($C28,スコア表['#],0),MATCH(AR$5,スコア表[#Headers],0))
-
INDEX(スコア表2[],MATCH("average",スコア表2[maxmin],0),MATCH(AR$5,スコア表2[#Headers],0)))
/
INDEX(スコア表2[],MATCH("stdev.p",スコア表2[maxmin],0),MATCH(AR$5,スコア表2[#Headers],0))
*10+50,"-")</f>
        <v>46.712403011401335</v>
      </c>
      <c r="AS28" s="4">
        <f>IFERROR(
(INDEX(スコア表[],MATCH($C28,スコア表['#],0),MATCH(AS$5,スコア表[#Headers],0))
-
INDEX(スコア表2[],MATCH("average",スコア表2[maxmin],0),MATCH(AS$5,スコア表2[#Headers],0)))
/
INDEX(スコア表2[],MATCH("stdev.p",スコア表2[maxmin],0),MATCH(AS$5,スコア表2[#Headers],0))
*10+50,"-")</f>
        <v>49.79737897648193</v>
      </c>
      <c r="AT28" s="4">
        <f>IFERROR(
(INDEX(スコア表[],MATCH($C28,スコア表['#],0),MATCH(AT$5,スコア表[#Headers],0))
-
INDEX(スコア表2[],MATCH("average",スコア表2[maxmin],0),MATCH(AT$5,スコア表2[#Headers],0)))
/
INDEX(スコア表2[],MATCH("stdev.p",スコア表2[maxmin],0),MATCH(AT$5,スコア表2[#Headers],0))
*10+50,"-")</f>
        <v>52.023269187048747</v>
      </c>
      <c r="AU28" s="4">
        <f>IFERROR(
(INDEX(スコア表[],MATCH($C28,スコア表['#],0),MATCH(AU$5,スコア表[#Headers],0))
-
INDEX(スコア表2[],MATCH("average",スコア表2[maxmin],0),MATCH(AU$5,スコア表2[#Headers],0)))
/
INDEX(スコア表2[],MATCH("stdev.p",スコア表2[maxmin],0),MATCH(AU$5,スコア表2[#Headers],0))
*10+50,"-")</f>
        <v>54.459100247225997</v>
      </c>
      <c r="AV28" s="4">
        <f>IFERROR(
(INDEX(スコア表[],MATCH($C28,スコア表['#],0),MATCH(AV$5,スコア表[#Headers],0))
-
INDEX(スコア表2[],MATCH("average",スコア表2[maxmin],0),MATCH(AV$5,スコア表2[#Headers],0)))
/
INDEX(スコア表2[],MATCH("stdev.p",スコア表2[maxmin],0),MATCH(AV$5,スコア表2[#Headers],0))
*10+50,"-")</f>
        <v>46.281892992721353</v>
      </c>
      <c r="AW28" s="4">
        <f>IFERROR(
(INDEX(スコア表[],MATCH($C28,スコア表['#],0),MATCH(AW$5,スコア表[#Headers],0))
-
INDEX(スコア表2[],MATCH("average",スコア表2[maxmin],0),MATCH(AW$5,スコア表2[#Headers],0)))
/
INDEX(スコア表2[],MATCH("stdev.p",スコア表2[maxmin],0),MATCH(AW$5,スコア表2[#Headers],0))
*10+50,"-")</f>
        <v>43.996189569502405</v>
      </c>
      <c r="AX28" s="4">
        <f>IFERROR(
(INDEX(スコア表[],MATCH($C28,スコア表['#],0),MATCH(AX$5,スコア表[#Headers],0))
-
INDEX(スコア表2[],MATCH("average",スコア表2[maxmin],0),MATCH(AX$5,スコア表2[#Headers],0)))
/
INDEX(スコア表2[],MATCH("stdev.p",スコア表2[maxmin],0),MATCH(AX$5,スコア表2[#Headers],0))
*10+50,"-")</f>
        <v>52.354608921301889</v>
      </c>
      <c r="AY28" s="4">
        <f>IFERROR(
(INDEX(スコア表[],MATCH($C28,スコア表['#],0),MATCH(AY$5,スコア表[#Headers],0))
-
INDEX(スコア表2[],MATCH("average",スコア表2[maxmin],0),MATCH(AY$5,スコア表2[#Headers],0)))
/
INDEX(スコア表2[],MATCH("stdev.p",スコア表2[maxmin],0),MATCH(AY$5,スコア表2[#Headers],0))
*10+50,"-")</f>
        <v>53.999904388559422</v>
      </c>
      <c r="AZ28" s="4">
        <f>IFERROR(
(INDEX(スコア表[],MATCH($C28,スコア表['#],0),MATCH(AZ$5,スコア表[#Headers],0))
-
INDEX(スコア表2[],MATCH("average",スコア表2[maxmin],0),MATCH(AZ$5,スコア表2[#Headers],0)))
/
INDEX(スコア表2[],MATCH("stdev.p",スコア表2[maxmin],0),MATCH(AZ$5,スコア表2[#Headers],0))
*10+50,"-")</f>
        <v>55.639191852945828</v>
      </c>
      <c r="BA28" s="4">
        <f>IFERROR(
(INDEX(スコア表[],MATCH($C28,スコア表['#],0),MATCH(BA$5,スコア表[#Headers],0))
-
INDEX(スコア表2[],MATCH("average",スコア表2[maxmin],0),MATCH(BA$5,スコア表2[#Headers],0)))
/
INDEX(スコア表2[],MATCH("stdev.p",スコア表2[maxmin],0),MATCH(BA$5,スコア表2[#Headers],0))
*10+50,"-")</f>
        <v>58.490601467199099</v>
      </c>
      <c r="BB28" s="4">
        <f>IFERROR(
(INDEX(スコア表[],MATCH($C28,スコア表['#],0),MATCH(BB$5,スコア表[#Headers],0))
-
INDEX(スコア表2[],MATCH("average",スコア表2[maxmin],0),MATCH(BB$5,スコア表2[#Headers],0)))
/
INDEX(スコア表2[],MATCH("stdev.p",スコア表2[maxmin],0),MATCH(BB$5,スコア表2[#Headers],0))
*10+50,"-")</f>
        <v>53.375392910101262</v>
      </c>
      <c r="BC28" s="4">
        <f>IFERROR(
(INDEX(スコア表[],MATCH($C28,スコア表['#],0),MATCH(BC$5,スコア表[#Headers],0))
-
INDEX(スコア表2[],MATCH("average",スコア表2[maxmin],0),MATCH(BC$5,スコア表2[#Headers],0)))
/
INDEX(スコア表2[],MATCH("stdev.p",スコア表2[maxmin],0),MATCH(BC$5,スコア表2[#Headers],0))
*10+50,"-")</f>
        <v>43.831068326778258</v>
      </c>
      <c r="BD28" s="4">
        <f>IFERROR(
(INDEX(スコア表[],MATCH($C28,スコア表['#],0),MATCH(BD$5,スコア表[#Headers],0))
-
INDEX(スコア表2[],MATCH("average",スコア表2[maxmin],0),MATCH(BD$5,スコア表2[#Headers],0)))
/
INDEX(スコア表2[],MATCH("stdev.p",スコア表2[maxmin],0),MATCH(BD$5,スコア表2[#Headers],0))
*10+50,"-")</f>
        <v>56.496315231089895</v>
      </c>
      <c r="BE28" s="4">
        <f>IFERROR(
(INDEX(スコア表[],MATCH($C28,スコア表['#],0),MATCH(BE$5,スコア表[#Headers],0))
-
INDEX(スコア表2[],MATCH("average",スコア表2[maxmin],0),MATCH(BE$5,スコア表2[#Headers],0)))
/
INDEX(スコア表2[],MATCH("stdev.p",スコア表2[maxmin],0),MATCH(BE$5,スコア表2[#Headers],0))
*10+50,"-")</f>
        <v>49.904957671614156</v>
      </c>
      <c r="BF28" s="4">
        <f>IFERROR(
(INDEX(スコア表[],MATCH($C28,スコア表['#],0),MATCH(BF$5,スコア表[#Headers],0))
-
INDEX(スコア表2[],MATCH("average",スコア表2[maxmin],0),MATCH(BF$5,スコア表2[#Headers],0)))
/
INDEX(スコア表2[],MATCH("stdev.p",スコア表2[maxmin],0),MATCH(BF$5,スコア表2[#Headers],0))
*10+50,"-")</f>
        <v>50.828504630421925</v>
      </c>
      <c r="BG28" s="4">
        <f>IFERROR(
(INDEX(スコア表[],MATCH($C28,スコア表['#],0),MATCH(BG$5,スコア表[#Headers],0))
-
INDEX(スコア表2[],MATCH("average",スコア表2[maxmin],0),MATCH(BG$5,スコア表2[#Headers],0)))
/
INDEX(スコア表2[],MATCH("stdev.p",スコア表2[maxmin],0),MATCH(BG$5,スコア表2[#Headers],0))
*10+50,"-")</f>
        <v>53.031759047087434</v>
      </c>
      <c r="BH28" s="4">
        <f>IFERROR(
(INDEX(スコア表[],MATCH($C28,スコア表['#],0),MATCH(BH$5,スコア表[#Headers],0))
-
INDEX(スコア表2[],MATCH("average",スコア表2[maxmin],0),MATCH(BH$5,スコア表2[#Headers],0)))
/
INDEX(スコア表2[],MATCH("stdev.p",スコア表2[maxmin],0),MATCH(BH$5,スコア表2[#Headers],0))
*10+50,"-")</f>
        <v>52.151026836095888</v>
      </c>
      <c r="BI28" s="4">
        <f>IFERROR(
(INDEX(スコア表[],MATCH($C28,スコア表['#],0),MATCH(BI$5,スコア表[#Headers],0))
-
INDEX(スコア表2[],MATCH("average",スコア表2[maxmin],0),MATCH(BI$5,スコア表2[#Headers],0)))
/
INDEX(スコア表2[],MATCH("stdev.p",スコア表2[maxmin],0),MATCH(BI$5,スコア表2[#Headers],0))
*10+50,"-")</f>
        <v>44.972529945157262</v>
      </c>
      <c r="BJ28" s="4">
        <f>IFERROR(
(INDEX(スコア表[],MATCH($C28,スコア表['#],0),MATCH(BJ$5,スコア表[#Headers],0))
-
INDEX(スコア表2[],MATCH("average",スコア表2[maxmin],0),MATCH(BJ$5,スコア表2[#Headers],0)))
/
INDEX(スコア表2[],MATCH("stdev.p",スコア表2[maxmin],0),MATCH(BJ$5,スコア表2[#Headers],0))
*10+50,"-")</f>
        <v>47.578168066304855</v>
      </c>
      <c r="BK28" s="4">
        <f>IFERROR(
(INDEX(スコア表[],MATCH($C28,スコア表['#],0),MATCH(BK$5,スコア表[#Headers],0))
-
INDEX(スコア表2[],MATCH("average",スコア表2[maxmin],0),MATCH(BK$5,スコア表2[#Headers],0)))
/
INDEX(スコア表2[],MATCH("stdev.p",スコア表2[maxmin],0),MATCH(BK$5,スコア表2[#Headers],0))
*10+50,"-")</f>
        <v>56.470871394619095</v>
      </c>
      <c r="BL28" s="4">
        <f>IFERROR(
(INDEX(スコア表[],MATCH($C28,スコア表['#],0),MATCH(BL$5,スコア表[#Headers],0))
-
INDEX(スコア表2[],MATCH("average",スコア表2[maxmin],0),MATCH(BL$5,スコア表2[#Headers],0)))
/
INDEX(スコア表2[],MATCH("stdev.p",スコア表2[maxmin],0),MATCH(BL$5,スコア表2[#Headers],0))
*10+50,"-")</f>
        <v>44.445563809163112</v>
      </c>
      <c r="BM28" s="4">
        <f>IFERROR(
(INDEX(スコア表[],MATCH($C28,スコア表['#],0),MATCH(BM$5,スコア表[#Headers],0))
-
INDEX(スコア表2[],MATCH("average",スコア表2[maxmin],0),MATCH(BM$5,スコア表2[#Headers],0)))
/
INDEX(スコア表2[],MATCH("stdev.p",スコア表2[maxmin],0),MATCH(BM$5,スコア表2[#Headers],0))
*10+50,"-")</f>
        <v>53.014504564293709</v>
      </c>
      <c r="BN28" s="4">
        <f>IFERROR(
(INDEX(スコア表[],MATCH($C28,スコア表['#],0),MATCH(BN$5,スコア表[#Headers],0))
-
INDEX(スコア表2[],MATCH("average",スコア表2[maxmin],0),MATCH(BN$5,スコア表2[#Headers],0)))
/
INDEX(スコア表2[],MATCH("stdev.p",スコア表2[maxmin],0),MATCH(BN$5,スコア表2[#Headers],0))
*10+50,"-")</f>
        <v>53.605119080109489</v>
      </c>
      <c r="BO28" s="4">
        <f>IFERROR(
(INDEX(スコア表[],MATCH($C28,スコア表['#],0),MATCH(BO$5,スコア表[#Headers],0))
-
INDEX(スコア表2[],MATCH("average",スコア表2[maxmin],0),MATCH(BO$5,スコア表2[#Headers],0)))
/
INDEX(スコア表2[],MATCH("stdev.p",スコア表2[maxmin],0),MATCH(BO$5,スコア表2[#Headers],0))
*10+50,"-")</f>
        <v>55.106178941725858</v>
      </c>
      <c r="BP28" s="4">
        <f>IFERROR(
(INDEX(スコア表[],MATCH($C28,スコア表['#],0),MATCH(BP$5,スコア表[#Headers],0))
-
INDEX(スコア表2[],MATCH("average",スコア表2[maxmin],0),MATCH(BP$5,スコア表2[#Headers],0)))
/
INDEX(スコア表2[],MATCH("stdev.p",スコア表2[maxmin],0),MATCH(BP$5,スコア表2[#Headers],0))
*10+50,"-")</f>
        <v>52.307321387879817</v>
      </c>
      <c r="BQ28" s="4">
        <f>IFERROR(
(INDEX(スコア表[],MATCH($C28,スコア表['#],0),MATCH(BQ$5,スコア表[#Headers],0))
-
INDEX(スコア表2[],MATCH("average",スコア表2[maxmin],0),MATCH(BQ$5,スコア表2[#Headers],0)))
/
INDEX(スコア表2[],MATCH("stdev.p",スコア表2[maxmin],0),MATCH(BQ$5,スコア表2[#Headers],0))
*10+50,"-")</f>
        <v>43.946104691986235</v>
      </c>
      <c r="BR28" s="4">
        <f>IFERROR(
(INDEX(スコア表[],MATCH($C28,スコア表['#],0),MATCH(BR$5,スコア表[#Headers],0))
-
INDEX(スコア表2[],MATCH("average",スコア表2[maxmin],0),MATCH(BR$5,スコア表2[#Headers],0)))
/
INDEX(スコア表2[],MATCH("stdev.p",スコア表2[maxmin],0),MATCH(BR$5,スコア表2[#Headers],0))
*10+50,"-")</f>
        <v>48.725758519802419</v>
      </c>
      <c r="BS28" s="4">
        <f>IFERROR(
(INDEX(スコア表[],MATCH($C28,スコア表['#],0),MATCH(BS$5,スコア表[#Headers],0))
-
INDEX(スコア表2[],MATCH("average",スコア表2[maxmin],0),MATCH(BS$5,スコア表2[#Headers],0)))
/
INDEX(スコア表2[],MATCH("stdev.p",スコア表2[maxmin],0),MATCH(BS$5,スコア表2[#Headers],0))
*10+50,"-")</f>
        <v>50.759335627098039</v>
      </c>
      <c r="BT28" s="4">
        <f>IFERROR(
(INDEX(スコア表[],MATCH($C28,スコア表['#],0),MATCH(BT$5,スコア表[#Headers],0))
-
INDEX(スコア表2[],MATCH("average",スコア表2[maxmin],0),MATCH(BT$5,スコア表2[#Headers],0)))
/
INDEX(スコア表2[],MATCH("stdev.p",スコア表2[maxmin],0),MATCH(BT$5,スコア表2[#Headers],0))
*10+50,"-")</f>
        <v>54.948056485370103</v>
      </c>
      <c r="BU28" s="4">
        <f>IFERROR(
(INDEX(スコア表[],MATCH($C28,スコア表['#],0),MATCH(BU$5,スコア表[#Headers],0))
-
INDEX(スコア表2[],MATCH("average",スコア表2[maxmin],0),MATCH(BU$5,スコア表2[#Headers],0)))
/
INDEX(スコア表2[],MATCH("stdev.p",スコア表2[maxmin],0),MATCH(BU$5,スコア表2[#Headers],0))
*10+50,"-")</f>
        <v>44.574155752300001</v>
      </c>
      <c r="BV28" s="4">
        <f>IFERROR(
(INDEX(スコア表[],MATCH($C28,スコア表['#],0),MATCH(BV$5,スコア表[#Headers],0))
-
INDEX(スコア表2[],MATCH("average",スコア表2[maxmin],0),MATCH(BV$5,スコア表2[#Headers],0)))
/
INDEX(スコア表2[],MATCH("stdev.p",スコア表2[maxmin],0),MATCH(BV$5,スコア表2[#Headers],0))
*10+50,"-")</f>
        <v>52.78220766750016</v>
      </c>
      <c r="BW28" s="4">
        <f>IFERROR(
(INDEX(スコア表[],MATCH($C28,スコア表['#],0),MATCH(BW$5,スコア表[#Headers],0))
-
INDEX(スコア表2[],MATCH("average",スコア表2[maxmin],0),MATCH(BW$5,スコア表2[#Headers],0)))
/
INDEX(スコア表2[],MATCH("stdev.p",スコア表2[maxmin],0),MATCH(BW$5,スコア表2[#Headers],0))
*10+50,"-")</f>
        <v>49.352971992547317</v>
      </c>
      <c r="BX28" s="4">
        <f>IFERROR(
(INDEX(スコア表[],MATCH($C28,スコア表['#],0),MATCH(BX$5,スコア表[#Headers],0))
-
INDEX(スコア表2[],MATCH("average",スコア表2[maxmin],0),MATCH(BX$5,スコア表2[#Headers],0)))
/
INDEX(スコア表2[],MATCH("stdev.p",スコア表2[maxmin],0),MATCH(BX$5,スコア表2[#Headers],0))
*10+50,"-")</f>
        <v>45.208388115627258</v>
      </c>
      <c r="BY28" s="4">
        <f>IFERROR(
(INDEX(スコア表[],MATCH($C28,スコア表['#],0),MATCH(BY$5,スコア表[#Headers],0))
-
INDEX(スコア表2[],MATCH("average",スコア表2[maxmin],0),MATCH(BY$5,スコア表2[#Headers],0)))
/
INDEX(スコア表2[],MATCH("stdev.p",スコア表2[maxmin],0),MATCH(BY$5,スコア表2[#Headers],0))
*10+50,"-")</f>
        <v>57.213985797328618</v>
      </c>
      <c r="BZ28" s="4">
        <f>IFERROR(
(INDEX(スコア表[],MATCH($C28,スコア表['#],0),MATCH(BZ$5,スコア表[#Headers],0))
-
INDEX(スコア表2[],MATCH("average",スコア表2[maxmin],0),MATCH(BZ$5,スコア表2[#Headers],0)))
/
INDEX(スコア表2[],MATCH("stdev.p",スコア表2[maxmin],0),MATCH(BZ$5,スコア表2[#Headers],0))
*10+50,"-")</f>
        <v>45.180523544823572</v>
      </c>
      <c r="CA28" s="4">
        <f>IFERROR(
(INDEX(スコア表[],MATCH($C28,スコア表['#],0),MATCH(CA$5,スコア表[#Headers],0))
-
INDEX(スコア表2[],MATCH("average",スコア表2[maxmin],0),MATCH(CA$5,スコア表2[#Headers],0)))
/
INDEX(スコア表2[],MATCH("stdev.p",スコア表2[maxmin],0),MATCH(CA$5,スコア表2[#Headers],0))
*10+50,"-")</f>
        <v>58.17941394067455</v>
      </c>
      <c r="CB28" s="4">
        <f>IFERROR(
(INDEX(スコア表[],MATCH($C28,スコア表['#],0),MATCH(CB$5,スコア表[#Headers],0))
-
INDEX(スコア表2[],MATCH("average",スコア表2[maxmin],0),MATCH(CB$5,スコア表2[#Headers],0)))
/
INDEX(スコア表2[],MATCH("stdev.p",スコア表2[maxmin],0),MATCH(CB$5,スコア表2[#Headers],0))
*10+50,"-")</f>
        <v>50.498954084646563</v>
      </c>
      <c r="CC28" s="4">
        <f>IFERROR(
(INDEX(スコア表[],MATCH($C28,スコア表['#],0),MATCH(CC$5,スコア表[#Headers],0))
-
INDEX(スコア表2[],MATCH("average",スコア表2[maxmin],0),MATCH(CC$5,スコア表2[#Headers],0)))
/
INDEX(スコア表2[],MATCH("stdev.p",スコア表2[maxmin],0),MATCH(CC$5,スコア表2[#Headers],0))
*10+50,"-")</f>
        <v>51.989426532659024</v>
      </c>
      <c r="CD28" s="4">
        <f>IFERROR(
(INDEX(スコア表[],MATCH($C28,スコア表['#],0),MATCH(CD$5,スコア表[#Headers],0))
-
INDEX(スコア表2[],MATCH("average",スコア表2[maxmin],0),MATCH(CD$5,スコア表2[#Headers],0)))
/
INDEX(スコア表2[],MATCH("stdev.p",スコア表2[maxmin],0),MATCH(CD$5,スコア表2[#Headers],0))
*10+50,"-")</f>
        <v>57.274078387143014</v>
      </c>
      <c r="CE28" s="4">
        <f>IFERROR(
(INDEX(スコア表[],MATCH($C28,スコア表['#],0),MATCH(CE$5,スコア表[#Headers],0))
-
INDEX(スコア表2[],MATCH("average",スコア表2[maxmin],0),MATCH(CE$5,スコア表2[#Headers],0)))
/
INDEX(スコア表2[],MATCH("stdev.p",スコア表2[maxmin],0),MATCH(CE$5,スコア表2[#Headers],0))
*10+50,"-")</f>
        <v>51.10398279712858</v>
      </c>
      <c r="CF28" s="4">
        <f>IFERROR(
(INDEX(スコア表[],MATCH($C28,スコア表['#],0),MATCH(CF$5,スコア表[#Headers],0))
-
INDEX(スコア表2[],MATCH("average",スコア表2[maxmin],0),MATCH(CF$5,スコア表2[#Headers],0)))
/
INDEX(スコア表2[],MATCH("stdev.p",スコア表2[maxmin],0),MATCH(CF$5,スコア表2[#Headers],0))
*10+50,"-")</f>
        <v>47.288737520485867</v>
      </c>
      <c r="CG28" s="4">
        <f>IFERROR(
(INDEX(スコア表[],MATCH($C28,スコア表['#],0),MATCH(CG$5,スコア表[#Headers],0))
-
INDEX(スコア表2[],MATCH("average",スコア表2[maxmin],0),MATCH(CG$5,スコア表2[#Headers],0)))
/
INDEX(スコア表2[],MATCH("stdev.p",スコア表2[maxmin],0),MATCH(CG$5,スコア表2[#Headers],0))
*10+50,"-")</f>
        <v>54.004331852273282</v>
      </c>
      <c r="CH28" s="4">
        <f>IFERROR(
(INDEX(スコア表[],MATCH($C28,スコア表['#],0),MATCH(CH$5,スコア表[#Headers],0))
-
INDEX(スコア表2[],MATCH("average",スコア表2[maxmin],0),MATCH(CH$5,スコア表2[#Headers],0)))
/
INDEX(スコア表2[],MATCH("stdev.p",スコア表2[maxmin],0),MATCH(CH$5,スコア表2[#Headers],0))
*10+50,"-")</f>
        <v>47.990520695286335</v>
      </c>
      <c r="CI28" s="4">
        <f>IFERROR(
(INDEX(スコア表[],MATCH($C28,スコア表['#],0),MATCH(CI$5,スコア表[#Headers],0))
-
INDEX(スコア表2[],MATCH("average",スコア表2[maxmin],0),MATCH(CI$5,スコア表2[#Headers],0)))
/
INDEX(スコア表2[],MATCH("stdev.p",スコア表2[maxmin],0),MATCH(CI$5,スコア表2[#Headers],0))
*10+50,"-")</f>
        <v>50.561240400044419</v>
      </c>
      <c r="CJ28" s="4">
        <f>IFERROR(
(INDEX(スコア表[],MATCH($C28,スコア表['#],0),MATCH(CJ$5,スコア表[#Headers],0))
-
INDEX(スコア表2[],MATCH("average",スコア表2[maxmin],0),MATCH(CJ$5,スコア表2[#Headers],0)))
/
INDEX(スコア表2[],MATCH("stdev.p",スコア表2[maxmin],0),MATCH(CJ$5,スコア表2[#Headers],0))
*10+50,"-")</f>
        <v>43.888810185447539</v>
      </c>
      <c r="CK28" s="4">
        <f>IFERROR(
(INDEX(スコア表[],MATCH($C28,スコア表['#],0),MATCH(CK$5,スコア表[#Headers],0))
-
INDEX(スコア表2[],MATCH("average",スコア表2[maxmin],0),MATCH(CK$5,スコア表2[#Headers],0)))
/
INDEX(スコア表2[],MATCH("stdev.p",スコア表2[maxmin],0),MATCH(CK$5,スコア表2[#Headers],0))
*10+50,"-")</f>
        <v>47.199805853762435</v>
      </c>
      <c r="CL28" s="4">
        <f>IFERROR(
(INDEX(スコア表[],MATCH($C28,スコア表['#],0),MATCH(CL$5,スコア表[#Headers],0))
-
INDEX(スコア表2[],MATCH("average",スコア表2[maxmin],0),MATCH(CL$5,スコア表2[#Headers],0)))
/
INDEX(スコア表2[],MATCH("stdev.p",スコア表2[maxmin],0),MATCH(CL$5,スコア表2[#Headers],0))
*10+50,"-")</f>
        <v>43.937664338398434</v>
      </c>
      <c r="CM28" s="4">
        <f>IFERROR(
(INDEX(スコア表[],MATCH($C28,スコア表['#],0),MATCH(CM$5,スコア表[#Headers],0))
-
INDEX(スコア表2[],MATCH("average",スコア表2[maxmin],0),MATCH(CM$5,スコア表2[#Headers],0)))
/
INDEX(スコア表2[],MATCH("stdev.p",スコア表2[maxmin],0),MATCH(CM$5,スコア表2[#Headers],0))
*10+50,"-")</f>
        <v>47.819028633217613</v>
      </c>
      <c r="CN28" s="4">
        <f>IFERROR(
(INDEX(スコア表[],MATCH($C28,スコア表['#],0),MATCH(CN$5,スコア表[#Headers],0))
-
INDEX(スコア表2[],MATCH("average",スコア表2[maxmin],0),MATCH(CN$5,スコア表2[#Headers],0)))
/
INDEX(スコア表2[],MATCH("stdev.p",スコア表2[maxmin],0),MATCH(CN$5,スコア表2[#Headers],0))
*10+50,"-")</f>
        <v>54.647818056562095</v>
      </c>
      <c r="CO28" s="4">
        <f>IFERROR(
(INDEX(スコア表[],MATCH($C28,スコア表['#],0),MATCH(CO$5,スコア表[#Headers],0))
-
INDEX(スコア表2[],MATCH("average",スコア表2[maxmin],0),MATCH(CO$5,スコア表2[#Headers],0)))
/
INDEX(スコア表2[],MATCH("stdev.p",スコア表2[maxmin],0),MATCH(CO$5,スコア表2[#Headers],0))
*10+50,"-")</f>
        <v>44.798530977913998</v>
      </c>
      <c r="CP28" s="4">
        <f>IFERROR(
(INDEX(スコア表[],MATCH($C28,スコア表['#],0),MATCH(CP$5,スコア表[#Headers],0))
-
INDEX(スコア表2[],MATCH("average",スコア表2[maxmin],0),MATCH(CP$5,スコア表2[#Headers],0)))
/
INDEX(スコア表2[],MATCH("stdev.p",スコア表2[maxmin],0),MATCH(CP$5,スコア表2[#Headers],0))
*10+50,"-")</f>
        <v>54.43603130693748</v>
      </c>
      <c r="CQ28" s="4">
        <f>IFERROR(
(INDEX(スコア表[],MATCH($C28,スコア表['#],0),MATCH(CQ$5,スコア表[#Headers],0))
-
INDEX(スコア表2[],MATCH("average",スコア表2[maxmin],0),MATCH(CQ$5,スコア表2[#Headers],0)))
/
INDEX(スコア表2[],MATCH("stdev.p",スコア表2[maxmin],0),MATCH(CQ$5,スコア表2[#Headers],0))
*10+50,"-")</f>
        <v>57.836053673071063</v>
      </c>
      <c r="CR28" s="4">
        <f>IFERROR(
(INDEX(スコア表[],MATCH($C28,スコア表['#],0),MATCH(CR$5,スコア表[#Headers],0))
-
INDEX(スコア表2[],MATCH("average",スコア表2[maxmin],0),MATCH(CR$5,スコア表2[#Headers],0)))
/
INDEX(スコア表2[],MATCH("stdev.p",スコア表2[maxmin],0),MATCH(CR$5,スコア表2[#Headers],0))
*10+50,"-")</f>
        <v>50.781205703457793</v>
      </c>
      <c r="CS28" s="4">
        <f>IFERROR(
(INDEX(スコア表[],MATCH($C28,スコア表['#],0),MATCH(CS$5,スコア表[#Headers],0))
-
INDEX(スコア表2[],MATCH("average",スコア表2[maxmin],0),MATCH(CS$5,スコア表2[#Headers],0)))
/
INDEX(スコア表2[],MATCH("stdev.p",スコア表2[maxmin],0),MATCH(CS$5,スコア表2[#Headers],0))
*10+50,"-")</f>
        <v>50.145923716001739</v>
      </c>
      <c r="CT28" s="4">
        <f>IFERROR(
(INDEX(スコア表[],MATCH($C28,スコア表['#],0),MATCH(CT$5,スコア表[#Headers],0))
-
INDEX(スコア表2[],MATCH("average",スコア表2[maxmin],0),MATCH(CT$5,スコア表2[#Headers],0)))
/
INDEX(スコア表2[],MATCH("stdev.p",スコア表2[maxmin],0),MATCH(CT$5,スコア表2[#Headers],0))
*10+50,"-")</f>
        <v>49.711358369723293</v>
      </c>
      <c r="CU28" s="4">
        <f>IFERROR(
(INDEX(スコア表[],MATCH($C28,スコア表['#],0),MATCH(CU$5,スコア表[#Headers],0))
-
INDEX(スコア表2[],MATCH("average",スコア表2[maxmin],0),MATCH(CU$5,スコア表2[#Headers],0)))
/
INDEX(スコア表2[],MATCH("stdev.p",スコア表2[maxmin],0),MATCH(CU$5,スコア表2[#Headers],0))
*10+50,"-")</f>
        <v>54.603778177369456</v>
      </c>
      <c r="CV28" s="4">
        <f>IFERROR(
(INDEX(スコア表[],MATCH($C28,スコア表['#],0),MATCH(CV$5,スコア表[#Headers],0))
-
INDEX(スコア表2[],MATCH("average",スコア表2[maxmin],0),MATCH(CV$5,スコア表2[#Headers],0)))
/
INDEX(スコア表2[],MATCH("stdev.p",スコア表2[maxmin],0),MATCH(CV$5,スコア表2[#Headers],0))
*10+50,"-")</f>
        <v>47.575818016654054</v>
      </c>
      <c r="CW28" s="4">
        <f>IFERROR(
(INDEX(スコア表[],MATCH($C28,スコア表['#],0),MATCH(CW$5,スコア表[#Headers],0))
-
INDEX(スコア表2[],MATCH("average",スコア表2[maxmin],0),MATCH(CW$5,スコア表2[#Headers],0)))
/
INDEX(スコア表2[],MATCH("stdev.p",スコア表2[maxmin],0),MATCH(CW$5,スコア表2[#Headers],0))
*10+50,"-")</f>
        <v>49.65843199976689</v>
      </c>
      <c r="CX28" s="4">
        <f>IFERROR(
(INDEX(スコア表[],MATCH($C28,スコア表['#],0),MATCH(CX$5,スコア表[#Headers],0))
-
INDEX(スコア表2[],MATCH("average",スコア表2[maxmin],0),MATCH(CX$5,スコア表2[#Headers],0)))
/
INDEX(スコア表2[],MATCH("stdev.p",スコア表2[maxmin],0),MATCH(CX$5,スコア表2[#Headers],0))
*10+50,"-")</f>
        <v>50.675745381513714</v>
      </c>
      <c r="CY28" s="4">
        <f>IFERROR(
(INDEX(スコア表[],MATCH($C28,スコア表['#],0),MATCH(CY$5,スコア表[#Headers],0))
-
INDEX(スコア表2[],MATCH("average",スコア表2[maxmin],0),MATCH(CY$5,スコア表2[#Headers],0)))
/
INDEX(スコア表2[],MATCH("stdev.p",スコア表2[maxmin],0),MATCH(CY$5,スコア表2[#Headers],0))
*10+50,"-")</f>
        <v>50.771011521303436</v>
      </c>
      <c r="CZ28" s="4">
        <f>IFERROR(
(INDEX(スコア表[],MATCH($C28,スコア表['#],0),MATCH(CZ$5,スコア表[#Headers],0))
-
INDEX(スコア表2[],MATCH("average",スコア表2[maxmin],0),MATCH(CZ$5,スコア表2[#Headers],0)))
/
INDEX(スコア表2[],MATCH("stdev.p",スコア表2[maxmin],0),MATCH(CZ$5,スコア表2[#Headers],0))
*10+50,"-")</f>
        <v>54.303473103689306</v>
      </c>
      <c r="DA28" s="4">
        <f>IFERROR(
(INDEX(スコア表[],MATCH($C28,スコア表['#],0),MATCH(DA$5,スコア表[#Headers],0))
-
INDEX(スコア表2[],MATCH("average",スコア表2[maxmin],0),MATCH(DA$5,スコア表2[#Headers],0)))
/
INDEX(スコア表2[],MATCH("stdev.p",スコア表2[maxmin],0),MATCH(DA$5,スコア表2[#Headers],0))
*10+50,"-")</f>
        <v>49.266865044041694</v>
      </c>
      <c r="DB28" s="4">
        <f>IFERROR(
(INDEX(スコア表[],MATCH($C28,スコア表['#],0),MATCH(DB$5,スコア表[#Headers],0))
-
INDEX(スコア表2[],MATCH("average",スコア表2[maxmin],0),MATCH(DB$5,スコア表2[#Headers],0)))
/
INDEX(スコア表2[],MATCH("stdev.p",スコア表2[maxmin],0),MATCH(DB$5,スコア表2[#Headers],0))
*10+50,"-")</f>
        <v>45.411409880994313</v>
      </c>
      <c r="DC28" s="4">
        <f>IFERROR(
(INDEX(スコア表[],MATCH($C28,スコア表['#],0),MATCH(DC$5,スコア表[#Headers],0))
-
INDEX(スコア表2[],MATCH("average",スコア表2[maxmin],0),MATCH(DC$5,スコア表2[#Headers],0)))
/
INDEX(スコア表2[],MATCH("stdev.p",スコア表2[maxmin],0),MATCH(DC$5,スコア表2[#Headers],0))
*10+50,"-")</f>
        <v>55.019961542594842</v>
      </c>
      <c r="DD28" s="4">
        <f>IFERROR(
(INDEX(スコア表[],MATCH($C28,スコア表['#],0),MATCH(DD$5,スコア表[#Headers],0))
-
INDEX(スコア表2[],MATCH("average",スコア表2[maxmin],0),MATCH(DD$5,スコア表2[#Headers],0)))
/
INDEX(スコア表2[],MATCH("stdev.p",スコア表2[maxmin],0),MATCH(DD$5,スコア表2[#Headers],0))
*10+50,"-")</f>
        <v>52.797784071552613</v>
      </c>
      <c r="DE28" s="4">
        <f>IFERROR(
(INDEX(スコア表[],MATCH($C28,スコア表['#],0),MATCH(DE$5,スコア表[#Headers],0))
-
INDEX(スコア表2[],MATCH("average",スコア表2[maxmin],0),MATCH(DE$5,スコア表2[#Headers],0)))
/
INDEX(スコア表2[],MATCH("stdev.p",スコア表2[maxmin],0),MATCH(DE$5,スコア表2[#Headers],0))
*10+50,"-")</f>
        <v>49.329619394615982</v>
      </c>
      <c r="DF28" s="76">
        <f>IFERROR(
(INDEX(スコア表[],MATCH($C28,スコア表['#],0),MATCH(DF$5,スコア表[#Headers],0))
-
INDEX(スコア表2[],MATCH("average",スコア表2[maxmin],0),MATCH(DF$5,スコア表2[#Headers],0)))
/
INDEX(スコア表2[],MATCH("stdev.p",スコア表2[maxmin],0),MATCH(DF$5,スコア表2[#Headers],0))
*10+50,"-")</f>
        <v>50.845332200666718</v>
      </c>
      <c r="DG28" s="4">
        <f>IFERROR(_xlfn.STDEV.P(偏差値表[[#This Row],[Economy]:[Accessibility]]),"")</f>
        <v>3.3498393547696814</v>
      </c>
    </row>
    <row r="29" spans="1:111">
      <c r="A29" s="2">
        <v>24</v>
      </c>
      <c r="B29" s="58">
        <f>INDEX(順位表[Comprehensive],MATCH($C29,順位表['#],0))</f>
        <v>24</v>
      </c>
      <c r="C29" s="3">
        <v>5</v>
      </c>
      <c r="D29" s="1" t="str">
        <f>INDEX(都市マスタ[City Name],MATCH($C29,都市マスタ['#],0))</f>
        <v>Brussels</v>
      </c>
      <c r="E29" s="4">
        <f>IFERROR(
(INDEX(スコア表[],MATCH($C29,スコア表['#],0),MATCH(E$5,スコア表[#Headers],0))
-
INDEX(スコア表2[],MATCH("average",スコア表2[maxmin],0),MATCH(E$5,スコア表2[#Headers],0)))
/
INDEX(スコア表2[],MATCH("stdev.p",スコア表2[maxmin],0),MATCH(E$5,スコア表2[#Headers],0))
*10+50,"-")</f>
        <v>42.672744951562642</v>
      </c>
      <c r="F29" s="4">
        <f>IFERROR(
(INDEX(スコア表[],MATCH($C29,スコア表['#],0),MATCH(F$5,スコア表[#Headers],0))
-
INDEX(スコア表2[],MATCH("average",スコア表2[maxmin],0),MATCH(F$5,スコア表2[#Headers],0)))
/
INDEX(スコア表2[],MATCH("stdev.p",スコア表2[maxmin],0),MATCH(F$5,スコア表2[#Headers],0))
*10+50,"-")</f>
        <v>45.273946451667861</v>
      </c>
      <c r="G29" s="4">
        <f>IFERROR(
(INDEX(スコア表[],MATCH($C29,スコア表['#],0),MATCH(G$5,スコア表[#Headers],0))
-
INDEX(スコア表2[],MATCH("average",スコア表2[maxmin],0),MATCH(G$5,スコア表2[#Headers],0)))
/
INDEX(スコア表2[],MATCH("stdev.p",スコア表2[maxmin],0),MATCH(G$5,スコア表2[#Headers],0))
*10+50,"-")</f>
        <v>48.33249429603066</v>
      </c>
      <c r="H29" s="4">
        <f>IFERROR(
(INDEX(スコア表[],MATCH($C29,スコア表['#],0),MATCH(H$5,スコア表[#Headers],0))
-
INDEX(スコア表2[],MATCH("average",スコア表2[maxmin],0),MATCH(H$5,スコア表2[#Headers],0)))
/
INDEX(スコア表2[],MATCH("stdev.p",スコア表2[maxmin],0),MATCH(H$5,スコア表2[#Headers],0))
*10+50,"-")</f>
        <v>44.654476413078335</v>
      </c>
      <c r="I29" s="4">
        <f>IFERROR(
(INDEX(スコア表[],MATCH($C29,スコア表['#],0),MATCH(I$5,スコア表[#Headers],0))
-
INDEX(スコア表2[],MATCH("average",スコア表2[maxmin],0),MATCH(I$5,スコア表2[#Headers],0)))
/
INDEX(スコア表2[],MATCH("stdev.p",スコア表2[maxmin],0),MATCH(I$5,スコア表2[#Headers],0))
*10+50,"-")</f>
        <v>53.106883038504719</v>
      </c>
      <c r="J29" s="4">
        <f>IFERROR(
(INDEX(スコア表[],MATCH($C29,スコア表['#],0),MATCH(J$5,スコア表[#Headers],0))
-
INDEX(スコア表2[],MATCH("average",スコア表2[maxmin],0),MATCH(J$5,スコア表2[#Headers],0)))
/
INDEX(スコア表2[],MATCH("stdev.p",スコア表2[maxmin],0),MATCH(J$5,スコア表2[#Headers],0))
*10+50,"-")</f>
        <v>42.605421077956144</v>
      </c>
      <c r="K29" s="4">
        <f>IFERROR(
(INDEX(スコア表[],MATCH($C29,スコア表['#],0),MATCH(K$5,スコア表[#Headers],0))
-
INDEX(スコア表2[],MATCH("average",スコア表2[maxmin],0),MATCH(K$5,スコア表2[#Headers],0)))
/
INDEX(スコア表2[],MATCH("stdev.p",スコア表2[maxmin],0),MATCH(K$5,スコア表2[#Headers],0))
*10+50,"-")</f>
        <v>49.371583158827782</v>
      </c>
      <c r="L29" s="4">
        <f>IFERROR(
(INDEX(スコア表[],MATCH($C29,スコア表['#],0),MATCH(L$5,スコア表[#Headers],0))
-
INDEX(スコア表2[],MATCH("average",スコア表2[maxmin],0),MATCH(L$5,スコア表2[#Headers],0)))
/
INDEX(スコア表2[],MATCH("stdev.p",スコア表2[maxmin],0),MATCH(L$5,スコア表2[#Headers],0))
*10+50,"-")</f>
        <v>47.410571398505148</v>
      </c>
      <c r="M29" s="4">
        <f>IFERROR(
(INDEX(スコア表[],MATCH($C29,スコア表['#],0),MATCH(M$5,スコア表[#Headers],0))
-
INDEX(スコア表2[],MATCH("average",スコア表2[maxmin],0),MATCH(M$5,スコア表2[#Headers],0)))
/
INDEX(スコア表2[],MATCH("stdev.p",スコア表2[maxmin],0),MATCH(M$5,スコア表2[#Headers],0))
*10+50,"-")</f>
        <v>45.544318921595732</v>
      </c>
      <c r="N29" s="4">
        <f>IFERROR(
(INDEX(スコア表[],MATCH($C29,スコア表['#],0),MATCH(N$5,スコア表[#Headers],0))
-
INDEX(スコア表2[],MATCH("average",スコア表2[maxmin],0),MATCH(N$5,スコア表2[#Headers],0)))
/
INDEX(スコア表2[],MATCH("stdev.p",スコア表2[maxmin],0),MATCH(N$5,スコア表2[#Headers],0))
*10+50,"-")</f>
        <v>42.827847835981103</v>
      </c>
      <c r="O29" s="4">
        <f>IFERROR(
(INDEX(スコア表[],MATCH($C29,スコア表['#],0),MATCH(O$5,スコア表[#Headers],0))
-
INDEX(スコア表2[],MATCH("average",スコア表2[maxmin],0),MATCH(O$5,スコア表2[#Headers],0)))
/
INDEX(スコア表2[],MATCH("stdev.p",スコア表2[maxmin],0),MATCH(O$5,スコア表2[#Headers],0))
*10+50,"-")</f>
        <v>55.270299706938523</v>
      </c>
      <c r="P29" s="4">
        <f>IFERROR(
(INDEX(スコア表[],MATCH($C29,スコア表['#],0),MATCH(P$5,スコア表[#Headers],0))
-
INDEX(スコア表2[],MATCH("average",スコア表2[maxmin],0),MATCH(P$5,スコア表2[#Headers],0)))
/
INDEX(スコア表2[],MATCH("stdev.p",スコア表2[maxmin],0),MATCH(P$5,スコア表2[#Headers],0))
*10+50,"-")</f>
        <v>50.024158267182948</v>
      </c>
      <c r="Q29" s="4">
        <f>IFERROR(
(INDEX(スコア表[],MATCH($C29,スコア表['#],0),MATCH(Q$5,スコア表[#Headers],0))
-
INDEX(スコア表2[],MATCH("average",スコア表2[maxmin],0),MATCH(Q$5,スコア表2[#Headers],0)))
/
INDEX(スコア表2[],MATCH("stdev.p",スコア表2[maxmin],0),MATCH(Q$5,スコア表2[#Headers],0))
*10+50,"-")</f>
        <v>56.147935315620956</v>
      </c>
      <c r="R29" s="4">
        <f>IFERROR(
(INDEX(スコア表[],MATCH($C29,スコア表['#],0),MATCH(R$5,スコア表[#Headers],0))
-
INDEX(スコア表2[],MATCH("average",スコア表2[maxmin],0),MATCH(R$5,スコア表2[#Headers],0)))
/
INDEX(スコア表2[],MATCH("stdev.p",スコア表2[maxmin],0),MATCH(R$5,スコア表2[#Headers],0))
*10+50,"-")</f>
        <v>40.429644693112579</v>
      </c>
      <c r="S29" s="4">
        <f>IFERROR(
(INDEX(スコア表[],MATCH($C29,スコア表['#],0),MATCH(S$5,スコア表[#Headers],0))
-
INDEX(スコア表2[],MATCH("average",スコア表2[maxmin],0),MATCH(S$5,スコア表2[#Headers],0)))
/
INDEX(スコア表2[],MATCH("stdev.p",スコア表2[maxmin],0),MATCH(S$5,スコア表2[#Headers],0))
*10+50,"-")</f>
        <v>50.030127927689456</v>
      </c>
      <c r="T29" s="4">
        <f>IFERROR(
(INDEX(スコア表[],MATCH($C29,スコア表['#],0),MATCH(T$5,スコア表[#Headers],0))
-
INDEX(スコア表2[],MATCH("average",スコア表2[maxmin],0),MATCH(T$5,スコア表2[#Headers],0)))
/
INDEX(スコア表2[],MATCH("stdev.p",スコア表2[maxmin],0),MATCH(T$5,スコア表2[#Headers],0))
*10+50,"-")</f>
        <v>50.23297227515031</v>
      </c>
      <c r="U29" s="4">
        <f>IFERROR(
(INDEX(スコア表[],MATCH($C29,スコア表['#],0),MATCH(U$5,スコア表[#Headers],0))
-
INDEX(スコア表2[],MATCH("average",スコア表2[maxmin],0),MATCH(U$5,スコア表2[#Headers],0)))
/
INDEX(スコア表2[],MATCH("stdev.p",スコア表2[maxmin],0),MATCH(U$5,スコア表2[#Headers],0))
*10+50,"-")</f>
        <v>44.762269901226482</v>
      </c>
      <c r="V29" s="4">
        <f>IFERROR(
(INDEX(スコア表[],MATCH($C29,スコア表['#],0),MATCH(V$5,スコア表[#Headers],0))
-
INDEX(スコア表2[],MATCH("average",スコア表2[maxmin],0),MATCH(V$5,スコア表2[#Headers],0)))
/
INDEX(スコア表2[],MATCH("stdev.p",スコア表2[maxmin],0),MATCH(V$5,スコア表2[#Headers],0))
*10+50,"-")</f>
        <v>57.316973676141458</v>
      </c>
      <c r="W29" s="4">
        <f>IFERROR(
(INDEX(スコア表[],MATCH($C29,スコア表['#],0),MATCH(W$5,スコア表[#Headers],0))
-
INDEX(スコア表2[],MATCH("average",スコア表2[maxmin],0),MATCH(W$5,スコア表2[#Headers],0)))
/
INDEX(スコア表2[],MATCH("stdev.p",スコア表2[maxmin],0),MATCH(W$5,スコア表2[#Headers],0))
*10+50,"-")</f>
        <v>46.624573329768538</v>
      </c>
      <c r="X29" s="4">
        <f>IFERROR(
(INDEX(スコア表[],MATCH($C29,スコア表['#],0),MATCH(X$5,スコア表[#Headers],0))
-
INDEX(スコア表2[],MATCH("average",スコア表2[maxmin],0),MATCH(X$5,スコア表2[#Headers],0)))
/
INDEX(スコア表2[],MATCH("stdev.p",スコア表2[maxmin],0),MATCH(X$5,スコア表2[#Headers],0))
*10+50,"-")</f>
        <v>54.872341436542271</v>
      </c>
      <c r="Y29" s="4">
        <f>IFERROR(
(INDEX(スコア表[],MATCH($C29,スコア表['#],0),MATCH(Y$5,スコア表[#Headers],0))
-
INDEX(スコア表2[],MATCH("average",スコア表2[maxmin],0),MATCH(Y$5,スコア表2[#Headers],0)))
/
INDEX(スコア表2[],MATCH("stdev.p",スコア表2[maxmin],0),MATCH(Y$5,スコア表2[#Headers],0))
*10+50,"-")</f>
        <v>53.460044912488151</v>
      </c>
      <c r="Z29" s="4">
        <f>IFERROR(
(INDEX(スコア表[],MATCH($C29,スコア表['#],0),MATCH(Z$5,スコア表[#Headers],0))
-
INDEX(スコア表2[],MATCH("average",スコア表2[maxmin],0),MATCH(Z$5,スコア表2[#Headers],0)))
/
INDEX(スコア表2[],MATCH("stdev.p",スコア表2[maxmin],0),MATCH(Z$5,スコア表2[#Headers],0))
*10+50,"-")</f>
        <v>44.145539407061634</v>
      </c>
      <c r="AA29" s="4">
        <f>IFERROR(
(INDEX(スコア表[],MATCH($C29,スコア表['#],0),MATCH(AA$5,スコア表[#Headers],0))
-
INDEX(スコア表2[],MATCH("average",スコア表2[maxmin],0),MATCH(AA$5,スコア表2[#Headers],0)))
/
INDEX(スコア表2[],MATCH("stdev.p",スコア表2[maxmin],0),MATCH(AA$5,スコア表2[#Headers],0))
*10+50,"-")</f>
        <v>46.393945933633859</v>
      </c>
      <c r="AB29" s="4">
        <f>IFERROR(
(INDEX(スコア表[],MATCH($C29,スコア表['#],0),MATCH(AB$5,スコア表[#Headers],0))
-
INDEX(スコア表2[],MATCH("average",スコア表2[maxmin],0),MATCH(AB$5,スコア表2[#Headers],0)))
/
INDEX(スコア表2[],MATCH("stdev.p",スコア表2[maxmin],0),MATCH(AB$5,スコア表2[#Headers],0))
*10+50,"-")</f>
        <v>43.844422268262306</v>
      </c>
      <c r="AC29" s="4">
        <f>IFERROR(
(INDEX(スコア表[],MATCH($C29,スコア表['#],0),MATCH(AC$5,スコア表[#Headers],0))
-
INDEX(スコア表2[],MATCH("average",スコア表2[maxmin],0),MATCH(AC$5,スコア表2[#Headers],0)))
/
INDEX(スコア表2[],MATCH("stdev.p",スコア表2[maxmin],0),MATCH(AC$5,スコア表2[#Headers],0))
*10+50,"-")</f>
        <v>87.327713276985861</v>
      </c>
      <c r="AD29" s="4">
        <f>IFERROR(
(INDEX(スコア表[],MATCH($C29,スコア表['#],0),MATCH(AD$5,スコア表[#Headers],0))
-
INDEX(スコア表2[],MATCH("average",スコア表2[maxmin],0),MATCH(AD$5,スコア表2[#Headers],0)))
/
INDEX(スコア表2[],MATCH("stdev.p",スコア表2[maxmin],0),MATCH(AD$5,スコア表2[#Headers],0))
*10+50,"-")</f>
        <v>47.364607852190353</v>
      </c>
      <c r="AE29" s="4">
        <f>IFERROR(
(INDEX(スコア表[],MATCH($C29,スコア表['#],0),MATCH(AE$5,スコア表[#Headers],0))
-
INDEX(スコア表2[],MATCH("average",スコア表2[maxmin],0),MATCH(AE$5,スコア表2[#Headers],0)))
/
INDEX(スコア表2[],MATCH("stdev.p",スコア表2[maxmin],0),MATCH(AE$5,スコア表2[#Headers],0))
*10+50,"-")</f>
        <v>49.108128802138623</v>
      </c>
      <c r="AF29" s="4">
        <f>IFERROR(
(INDEX(スコア表[],MATCH($C29,スコア表['#],0),MATCH(AF$5,スコア表[#Headers],0))
-
INDEX(スコア表2[],MATCH("average",スコア表2[maxmin],0),MATCH(AF$5,スコア表2[#Headers],0)))
/
INDEX(スコア表2[],MATCH("stdev.p",スコア表2[maxmin],0),MATCH(AF$5,スコア表2[#Headers],0))
*10+50,"-")</f>
        <v>48.206813170989896</v>
      </c>
      <c r="AG29" s="4">
        <f>IFERROR(
(INDEX(スコア表[],MATCH($C29,スコア表['#],0),MATCH(AG$5,スコア表[#Headers],0))
-
INDEX(スコア表2[],MATCH("average",スコア表2[maxmin],0),MATCH(AG$5,スコア表2[#Headers],0)))
/
INDEX(スコア表2[],MATCH("stdev.p",スコア表2[maxmin],0),MATCH(AG$5,スコア表2[#Headers],0))
*10+50,"-")</f>
        <v>40.499644907038927</v>
      </c>
      <c r="AH29" s="4">
        <f>IFERROR(
(INDEX(スコア表[],MATCH($C29,スコア表['#],0),MATCH(AH$5,スコア表[#Headers],0))
-
INDEX(スコア表2[],MATCH("average",スコア表2[maxmin],0),MATCH(AH$5,スコア表2[#Headers],0)))
/
INDEX(スコア表2[],MATCH("stdev.p",スコア表2[maxmin],0),MATCH(AH$5,スコア表2[#Headers],0))
*10+50,"-")</f>
        <v>77.996706906151388</v>
      </c>
      <c r="AI29" s="4">
        <f>IFERROR(
(INDEX(スコア表[],MATCH($C29,スコア表['#],0),MATCH(AI$5,スコア表[#Headers],0))
-
INDEX(スコア表2[],MATCH("average",スコア表2[maxmin],0),MATCH(AI$5,スコア表2[#Headers],0)))
/
INDEX(スコア表2[],MATCH("stdev.p",スコア表2[maxmin],0),MATCH(AI$5,スコア表2[#Headers],0))
*10+50,"-")</f>
        <v>38.439744370263988</v>
      </c>
      <c r="AJ29" s="4">
        <f>IFERROR(
(INDEX(スコア表[],MATCH($C29,スコア表['#],0),MATCH(AJ$5,スコア表[#Headers],0))
-
INDEX(スコア表2[],MATCH("average",スコア表2[maxmin],0),MATCH(AJ$5,スコア表2[#Headers],0)))
/
INDEX(スコア表2[],MATCH("stdev.p",スコア表2[maxmin],0),MATCH(AJ$5,スコア表2[#Headers],0))
*10+50,"-")</f>
        <v>47.160880777943468</v>
      </c>
      <c r="AK29" s="4">
        <f>IFERROR(
(INDEX(スコア表[],MATCH($C29,スコア表['#],0),MATCH(AK$5,スコア表[#Headers],0))
-
INDEX(スコア表2[],MATCH("average",スコア表2[maxmin],0),MATCH(AK$5,スコア表2[#Headers],0)))
/
INDEX(スコア表2[],MATCH("stdev.p",スコア表2[maxmin],0),MATCH(AK$5,スコア表2[#Headers],0))
*10+50,"-")</f>
        <v>50.250888162621052</v>
      </c>
      <c r="AL29" s="4">
        <f>IFERROR(
(INDEX(スコア表[],MATCH($C29,スコア表['#],0),MATCH(AL$5,スコア表[#Headers],0))
-
INDEX(スコア表2[],MATCH("average",スコア表2[maxmin],0),MATCH(AL$5,スコア表2[#Headers],0)))
/
INDEX(スコア表2[],MATCH("stdev.p",スコア表2[maxmin],0),MATCH(AL$5,スコア表2[#Headers],0))
*10+50,"-")</f>
        <v>44.054187174868872</v>
      </c>
      <c r="AM29" s="4">
        <f>IFERROR(
(INDEX(スコア表[],MATCH($C29,スコア表['#],0),MATCH(AM$5,スコア表[#Headers],0))
-
INDEX(スコア表2[],MATCH("average",スコア表2[maxmin],0),MATCH(AM$5,スコア表2[#Headers],0)))
/
INDEX(スコア表2[],MATCH("stdev.p",スコア表2[maxmin],0),MATCH(AM$5,スコア表2[#Headers],0))
*10+50,"-")</f>
        <v>42.030823669725933</v>
      </c>
      <c r="AN29" s="4">
        <f>IFERROR(
(INDEX(スコア表[],MATCH($C29,スコア表['#],0),MATCH(AN$5,スコア表[#Headers],0))
-
INDEX(スコア表2[],MATCH("average",スコア表2[maxmin],0),MATCH(AN$5,スコア表2[#Headers],0)))
/
INDEX(スコア表2[],MATCH("stdev.p",スコア表2[maxmin],0),MATCH(AN$5,スコア表2[#Headers],0))
*10+50,"-")</f>
        <v>43.010565260842945</v>
      </c>
      <c r="AO29" s="4">
        <f>IFERROR(
(INDEX(スコア表[],MATCH($C29,スコア表['#],0),MATCH(AO$5,スコア表[#Headers],0))
-
INDEX(スコア表2[],MATCH("average",スコア表2[maxmin],0),MATCH(AO$5,スコア表2[#Headers],0)))
/
INDEX(スコア表2[],MATCH("stdev.p",スコア表2[maxmin],0),MATCH(AO$5,スコア表2[#Headers],0))
*10+50,"-")</f>
        <v>43.940158838285335</v>
      </c>
      <c r="AP29" s="4">
        <f>IFERROR(
(INDEX(スコア表[],MATCH($C29,スコア表['#],0),MATCH(AP$5,スコア表[#Headers],0))
-
INDEX(スコア表2[],MATCH("average",スコア表2[maxmin],0),MATCH(AP$5,スコア表2[#Headers],0)))
/
INDEX(スコア表2[],MATCH("stdev.p",スコア表2[maxmin],0),MATCH(AP$5,スコア表2[#Headers],0))
*10+50,"-")</f>
        <v>45.942076580948864</v>
      </c>
      <c r="AQ29" s="4">
        <f>IFERROR(
(INDEX(スコア表[],MATCH($C29,スコア表['#],0),MATCH(AQ$5,スコア表[#Headers],0))
-
INDEX(スコア表2[],MATCH("average",スコア表2[maxmin],0),MATCH(AQ$5,スコア表2[#Headers],0)))
/
INDEX(スコア表2[],MATCH("stdev.p",スコア表2[maxmin],0),MATCH(AQ$5,スコア表2[#Headers],0))
*10+50,"-")</f>
        <v>49.157894489756295</v>
      </c>
      <c r="AR29" s="4">
        <f>IFERROR(
(INDEX(スコア表[],MATCH($C29,スコア表['#],0),MATCH(AR$5,スコア表[#Headers],0))
-
INDEX(スコア表2[],MATCH("average",スコア表2[maxmin],0),MATCH(AR$5,スコア表2[#Headers],0)))
/
INDEX(スコア表2[],MATCH("stdev.p",スコア表2[maxmin],0),MATCH(AR$5,スコア表2[#Headers],0))
*10+50,"-")</f>
        <v>46.527513484897874</v>
      </c>
      <c r="AS29" s="4">
        <f>IFERROR(
(INDEX(スコア表[],MATCH($C29,スコア表['#],0),MATCH(AS$5,スコア表[#Headers],0))
-
INDEX(スコア表2[],MATCH("average",スコア表2[maxmin],0),MATCH(AS$5,スコア表2[#Headers],0)))
/
INDEX(スコア表2[],MATCH("stdev.p",スコア表2[maxmin],0),MATCH(AS$5,スコア表2[#Headers],0))
*10+50,"-")</f>
        <v>40.225258736080335</v>
      </c>
      <c r="AT29" s="4">
        <f>IFERROR(
(INDEX(スコア表[],MATCH($C29,スコア表['#],0),MATCH(AT$5,スコア表[#Headers],0))
-
INDEX(スコア表2[],MATCH("average",スコア表2[maxmin],0),MATCH(AT$5,スコア表2[#Headers],0)))
/
INDEX(スコア表2[],MATCH("stdev.p",スコア表2[maxmin],0),MATCH(AT$5,スコア表2[#Headers],0))
*10+50,"-")</f>
        <v>58.00996271712971</v>
      </c>
      <c r="AU29" s="4">
        <f>IFERROR(
(INDEX(スコア表[],MATCH($C29,スコア表['#],0),MATCH(AU$5,スコア表[#Headers],0))
-
INDEX(スコア表2[],MATCH("average",スコア表2[maxmin],0),MATCH(AU$5,スコア表2[#Headers],0)))
/
INDEX(スコア表2[],MATCH("stdev.p",スコア表2[maxmin],0),MATCH(AU$5,スコア表2[#Headers],0))
*10+50,"-")</f>
        <v>37.468585296316235</v>
      </c>
      <c r="AV29" s="4">
        <f>IFERROR(
(INDEX(スコア表[],MATCH($C29,スコア表['#],0),MATCH(AV$5,スコア表[#Headers],0))
-
INDEX(スコア表2[],MATCH("average",スコア表2[maxmin],0),MATCH(AV$5,スコア表2[#Headers],0)))
/
INDEX(スコア表2[],MATCH("stdev.p",スコア表2[maxmin],0),MATCH(AV$5,スコア表2[#Headers],0))
*10+50,"-")</f>
        <v>54.769716300167055</v>
      </c>
      <c r="AW29" s="4">
        <f>IFERROR(
(INDEX(スコア表[],MATCH($C29,スコア表['#],0),MATCH(AW$5,スコア表[#Headers],0))
-
INDEX(スコア表2[],MATCH("average",スコア表2[maxmin],0),MATCH(AW$5,スコア表2[#Headers],0)))
/
INDEX(スコア表2[],MATCH("stdev.p",スコア表2[maxmin],0),MATCH(AW$5,スコア表2[#Headers],0))
*10+50,"-")</f>
        <v>51.693946225096575</v>
      </c>
      <c r="AX29" s="4">
        <f>IFERROR(
(INDEX(スコア表[],MATCH($C29,スコア表['#],0),MATCH(AX$5,スコア表[#Headers],0))
-
INDEX(スコア表2[],MATCH("average",スコア表2[maxmin],0),MATCH(AX$5,スコア表2[#Headers],0)))
/
INDEX(スコア表2[],MATCH("stdev.p",スコア表2[maxmin],0),MATCH(AX$5,スコア表2[#Headers],0))
*10+50,"-")</f>
        <v>55.138688104883499</v>
      </c>
      <c r="AY29" s="4">
        <f>IFERROR(
(INDEX(スコア表[],MATCH($C29,スコア表['#],0),MATCH(AY$5,スコア表[#Headers],0))
-
INDEX(スコア表2[],MATCH("average",スコア表2[maxmin],0),MATCH(AY$5,スコア表2[#Headers],0)))
/
INDEX(スコア表2[],MATCH("stdev.p",スコア表2[maxmin],0),MATCH(AY$5,スコア表2[#Headers],0))
*10+50,"-")</f>
        <v>52.70819214563457</v>
      </c>
      <c r="AZ29" s="4">
        <f>IFERROR(
(INDEX(スコア表[],MATCH($C29,スコア表['#],0),MATCH(AZ$5,スコア表[#Headers],0))
-
INDEX(スコア表2[],MATCH("average",スコア表2[maxmin],0),MATCH(AZ$5,スコア表2[#Headers],0)))
/
INDEX(スコア表2[],MATCH("stdev.p",スコア表2[maxmin],0),MATCH(AZ$5,スコア表2[#Headers],0))
*10+50,"-")</f>
        <v>53.745278538418063</v>
      </c>
      <c r="BA29" s="4">
        <f>IFERROR(
(INDEX(スコア表[],MATCH($C29,スコア表['#],0),MATCH(BA$5,スコア表[#Headers],0))
-
INDEX(スコア表2[],MATCH("average",スコア表2[maxmin],0),MATCH(BA$5,スコア表2[#Headers],0)))
/
INDEX(スコア表2[],MATCH("stdev.p",スコア表2[maxmin],0),MATCH(BA$5,スコア表2[#Headers],0))
*10+50,"-")</f>
        <v>58.131358462378138</v>
      </c>
      <c r="BB29" s="4">
        <f>IFERROR(
(INDEX(スコア表[],MATCH($C29,スコア表['#],0),MATCH(BB$5,スコア表[#Headers],0))
-
INDEX(スコア表2[],MATCH("average",スコア表2[maxmin],0),MATCH(BB$5,スコア表2[#Headers],0)))
/
INDEX(スコア表2[],MATCH("stdev.p",スコア表2[maxmin],0),MATCH(BB$5,スコア表2[#Headers],0))
*10+50,"-")</f>
        <v>49.315111190859405</v>
      </c>
      <c r="BC29" s="4">
        <f>IFERROR(
(INDEX(スコア表[],MATCH($C29,スコア表['#],0),MATCH(BC$5,スコア表[#Headers],0))
-
INDEX(スコア表2[],MATCH("average",スコア表2[maxmin],0),MATCH(BC$5,スコア表2[#Headers],0)))
/
INDEX(スコア表2[],MATCH("stdev.p",スコア表2[maxmin],0),MATCH(BC$5,スコア表2[#Headers],0))
*10+50,"-")</f>
        <v>67.149517982012583</v>
      </c>
      <c r="BD29" s="4">
        <f>IFERROR(
(INDEX(スコア表[],MATCH($C29,スコア表['#],0),MATCH(BD$5,スコア表[#Headers],0))
-
INDEX(スコア表2[],MATCH("average",スコア表2[maxmin],0),MATCH(BD$5,スコア表2[#Headers],0)))
/
INDEX(スコア表2[],MATCH("stdev.p",スコア表2[maxmin],0),MATCH(BD$5,スコア表2[#Headers],0))
*10+50,"-")</f>
        <v>50.535376064548878</v>
      </c>
      <c r="BE29" s="4">
        <f>IFERROR(
(INDEX(スコア表[],MATCH($C29,スコア表['#],0),MATCH(BE$5,スコア表[#Headers],0))
-
INDEX(スコア表2[],MATCH("average",スコア表2[maxmin],0),MATCH(BE$5,スコア表2[#Headers],0)))
/
INDEX(スコア表2[],MATCH("stdev.p",スコア表2[maxmin],0),MATCH(BE$5,スコア表2[#Headers],0))
*10+50,"-")</f>
        <v>51.068099004292158</v>
      </c>
      <c r="BF29" s="4">
        <f>IFERROR(
(INDEX(スコア表[],MATCH($C29,スコア表['#],0),MATCH(BF$5,スコア表[#Headers],0))
-
INDEX(スコア表2[],MATCH("average",スコア表2[maxmin],0),MATCH(BF$5,スコア表2[#Headers],0)))
/
INDEX(スコア表2[],MATCH("stdev.p",スコア表2[maxmin],0),MATCH(BF$5,スコア表2[#Headers],0))
*10+50,"-")</f>
        <v>49.258262398747711</v>
      </c>
      <c r="BG29" s="4">
        <f>IFERROR(
(INDEX(スコア表[],MATCH($C29,スコア表['#],0),MATCH(BG$5,スコア表[#Headers],0))
-
INDEX(スコア表2[],MATCH("average",スコア表2[maxmin],0),MATCH(BG$5,スコア表2[#Headers],0)))
/
INDEX(スコア表2[],MATCH("stdev.p",スコア表2[maxmin],0),MATCH(BG$5,スコア表2[#Headers],0))
*10+50,"-")</f>
        <v>43.528219586737237</v>
      </c>
      <c r="BH29" s="4">
        <f>IFERROR(
(INDEX(スコア表[],MATCH($C29,スコア表['#],0),MATCH(BH$5,スコア表[#Headers],0))
-
INDEX(スコア表2[],MATCH("average",スコア表2[maxmin],0),MATCH(BH$5,スコア表2[#Headers],0)))
/
INDEX(スコア表2[],MATCH("stdev.p",スコア表2[maxmin],0),MATCH(BH$5,スコア表2[#Headers],0))
*10+50,"-")</f>
        <v>45.610552052708698</v>
      </c>
      <c r="BI29" s="4">
        <f>IFERROR(
(INDEX(スコア表[],MATCH($C29,スコア表['#],0),MATCH(BI$5,スコア表[#Headers],0))
-
INDEX(スコア表2[],MATCH("average",スコア表2[maxmin],0),MATCH(BI$5,スコア表2[#Headers],0)))
/
INDEX(スコア表2[],MATCH("stdev.p",スコア表2[maxmin],0),MATCH(BI$5,スコア表2[#Headers],0))
*10+50,"-")</f>
        <v>54.803342729506276</v>
      </c>
      <c r="BJ29" s="4">
        <f>IFERROR(
(INDEX(スコア表[],MATCH($C29,スコア表['#],0),MATCH(BJ$5,スコア表[#Headers],0))
-
INDEX(スコア表2[],MATCH("average",スコア表2[maxmin],0),MATCH(BJ$5,スコア表2[#Headers],0)))
/
INDEX(スコア表2[],MATCH("stdev.p",スコア表2[maxmin],0),MATCH(BJ$5,スコア表2[#Headers],0))
*10+50,"-")</f>
        <v>48.99347319334246</v>
      </c>
      <c r="BK29" s="4">
        <f>IFERROR(
(INDEX(スコア表[],MATCH($C29,スコア表['#],0),MATCH(BK$5,スコア表[#Headers],0))
-
INDEX(スコア表2[],MATCH("average",スコア表2[maxmin],0),MATCH(BK$5,スコア表2[#Headers],0)))
/
INDEX(スコア表2[],MATCH("stdev.p",スコア表2[maxmin],0),MATCH(BK$5,スコア表2[#Headers],0))
*10+50,"-")</f>
        <v>54.435726818691748</v>
      </c>
      <c r="BL29" s="4">
        <f>IFERROR(
(INDEX(スコア表[],MATCH($C29,スコア表['#],0),MATCH(BL$5,スコア表[#Headers],0))
-
INDEX(スコア表2[],MATCH("average",スコア表2[maxmin],0),MATCH(BL$5,スコア表2[#Headers],0)))
/
INDEX(スコア表2[],MATCH("stdev.p",スコア表2[maxmin],0),MATCH(BL$5,スコア表2[#Headers],0))
*10+50,"-")</f>
        <v>51.262806603371175</v>
      </c>
      <c r="BM29" s="4">
        <f>IFERROR(
(INDEX(スコア表[],MATCH($C29,スコア表['#],0),MATCH(BM$5,スコア表[#Headers],0))
-
INDEX(スコア表2[],MATCH("average",スコア表2[maxmin],0),MATCH(BM$5,スコア表2[#Headers],0)))
/
INDEX(スコア表2[],MATCH("stdev.p",スコア表2[maxmin],0),MATCH(BM$5,スコア表2[#Headers],0))
*10+50,"-")</f>
        <v>49.455952070688355</v>
      </c>
      <c r="BN29" s="4">
        <f>IFERROR(
(INDEX(スコア表[],MATCH($C29,スコア表['#],0),MATCH(BN$5,スコア表[#Headers],0))
-
INDEX(スコア表2[],MATCH("average",スコア表2[maxmin],0),MATCH(BN$5,スコア表2[#Headers],0)))
/
INDEX(スコア表2[],MATCH("stdev.p",スコア表2[maxmin],0),MATCH(BN$5,スコア表2[#Headers],0))
*10+50,"-")</f>
        <v>55.749063866596813</v>
      </c>
      <c r="BO29" s="4">
        <f>IFERROR(
(INDEX(スコア表[],MATCH($C29,スコア表['#],0),MATCH(BO$5,スコア表[#Headers],0))
-
INDEX(スコア表2[],MATCH("average",スコア表2[maxmin],0),MATCH(BO$5,スコア表2[#Headers],0)))
/
INDEX(スコア表2[],MATCH("stdev.p",スコア表2[maxmin],0),MATCH(BO$5,スコア表2[#Headers],0))
*10+50,"-")</f>
        <v>41.815564307543298</v>
      </c>
      <c r="BP29" s="4">
        <f>IFERROR(
(INDEX(スコア表[],MATCH($C29,スコア表['#],0),MATCH(BP$5,スコア表[#Headers],0))
-
INDEX(スコア表2[],MATCH("average",スコア表2[maxmin],0),MATCH(BP$5,スコア表2[#Headers],0)))
/
INDEX(スコア表2[],MATCH("stdev.p",スコア表2[maxmin],0),MATCH(BP$5,スコア表2[#Headers],0))
*10+50,"-")</f>
        <v>64.406499159866641</v>
      </c>
      <c r="BQ29" s="4">
        <f>IFERROR(
(INDEX(スコア表[],MATCH($C29,スコア表['#],0),MATCH(BQ$5,スコア表[#Headers],0))
-
INDEX(スコア表2[],MATCH("average",スコア表2[maxmin],0),MATCH(BQ$5,スコア表2[#Headers],0)))
/
INDEX(スコア表2[],MATCH("stdev.p",スコア表2[maxmin],0),MATCH(BQ$5,スコア表2[#Headers],0))
*10+50,"-")</f>
        <v>45.769997511520174</v>
      </c>
      <c r="BR29" s="4">
        <f>IFERROR(
(INDEX(スコア表[],MATCH($C29,スコア表['#],0),MATCH(BR$5,スコア表[#Headers],0))
-
INDEX(スコア表2[],MATCH("average",スコア表2[maxmin],0),MATCH(BR$5,スコア表2[#Headers],0)))
/
INDEX(スコア表2[],MATCH("stdev.p",スコア表2[maxmin],0),MATCH(BR$5,スコア表2[#Headers],0))
*10+50,"-")</f>
        <v>45.713907080876702</v>
      </c>
      <c r="BS29" s="4">
        <f>IFERROR(
(INDEX(スコア表[],MATCH($C29,スコア表['#],0),MATCH(BS$5,スコア表[#Headers],0))
-
INDEX(スコア表2[],MATCH("average",スコア表2[maxmin],0),MATCH(BS$5,スコア表2[#Headers],0)))
/
INDEX(スコア表2[],MATCH("stdev.p",スコア表2[maxmin],0),MATCH(BS$5,スコア表2[#Headers],0))
*10+50,"-")</f>
        <v>44.911396247234691</v>
      </c>
      <c r="BT29" s="4">
        <f>IFERROR(
(INDEX(スコア表[],MATCH($C29,スコア表['#],0),MATCH(BT$5,スコア表[#Headers],0))
-
INDEX(スコア表2[],MATCH("average",スコア表2[maxmin],0),MATCH(BT$5,スコア表2[#Headers],0)))
/
INDEX(スコア表2[],MATCH("stdev.p",スコア表2[maxmin],0),MATCH(BT$5,スコア表2[#Headers],0))
*10+50,"-")</f>
        <v>60.377860530762021</v>
      </c>
      <c r="BU29" s="4">
        <f>IFERROR(
(INDEX(スコア表[],MATCH($C29,スコア表['#],0),MATCH(BU$5,スコア表[#Headers],0))
-
INDEX(スコア表2[],MATCH("average",スコア表2[maxmin],0),MATCH(BU$5,スコア表2[#Headers],0)))
/
INDEX(スコア表2[],MATCH("stdev.p",スコア表2[maxmin],0),MATCH(BU$5,スコア表2[#Headers],0))
*10+50,"-")</f>
        <v>50.233074576344428</v>
      </c>
      <c r="BV29" s="4">
        <f>IFERROR(
(INDEX(スコア表[],MATCH($C29,スコア表['#],0),MATCH(BV$5,スコア表[#Headers],0))
-
INDEX(スコア表2[],MATCH("average",スコア表2[maxmin],0),MATCH(BV$5,スコア表2[#Headers],0)))
/
INDEX(スコア表2[],MATCH("stdev.p",スコア表2[maxmin],0),MATCH(BV$5,スコア表2[#Headers],0))
*10+50,"-")</f>
        <v>49.646678350337694</v>
      </c>
      <c r="BW29" s="4">
        <f>IFERROR(
(INDEX(スコア表[],MATCH($C29,スコア表['#],0),MATCH(BW$5,スコア表[#Headers],0))
-
INDEX(スコア表2[],MATCH("average",スコア表2[maxmin],0),MATCH(BW$5,スコア表2[#Headers],0)))
/
INDEX(スコア表2[],MATCH("stdev.p",スコア表2[maxmin],0),MATCH(BW$5,スコア表2[#Headers],0))
*10+50,"-")</f>
        <v>55.104386387818892</v>
      </c>
      <c r="BX29" s="4">
        <f>IFERROR(
(INDEX(スコア表[],MATCH($C29,スコア表['#],0),MATCH(BX$5,スコア表[#Headers],0))
-
INDEX(スコア表2[],MATCH("average",スコア表2[maxmin],0),MATCH(BX$5,スコア表2[#Headers],0)))
/
INDEX(スコア表2[],MATCH("stdev.p",スコア表2[maxmin],0),MATCH(BX$5,スコア表2[#Headers],0))
*10+50,"-")</f>
        <v>40.552942170076832</v>
      </c>
      <c r="BY29" s="4">
        <f>IFERROR(
(INDEX(スコア表[],MATCH($C29,スコア表['#],0),MATCH(BY$5,スコア表[#Headers],0))
-
INDEX(スコア表2[],MATCH("average",スコア表2[maxmin],0),MATCH(BY$5,スコア表2[#Headers],0)))
/
INDEX(スコア表2[],MATCH("stdev.p",スコア表2[maxmin],0),MATCH(BY$5,スコア表2[#Headers],0))
*10+50,"-")</f>
        <v>40.877761048266876</v>
      </c>
      <c r="BZ29" s="4">
        <f>IFERROR(
(INDEX(スコア表[],MATCH($C29,スコア表['#],0),MATCH(BZ$5,スコア表[#Headers],0))
-
INDEX(スコア表2[],MATCH("average",スコア表2[maxmin],0),MATCH(BZ$5,スコア表2[#Headers],0)))
/
INDEX(スコア表2[],MATCH("stdev.p",スコア表2[maxmin],0),MATCH(BZ$5,スコア表2[#Headers],0))
*10+50,"-")</f>
        <v>48.393492857341485</v>
      </c>
      <c r="CA29" s="4">
        <f>IFERROR(
(INDEX(スコア表[],MATCH($C29,スコア表['#],0),MATCH(CA$5,スコア表[#Headers],0))
-
INDEX(スコア表2[],MATCH("average",スコア表2[maxmin],0),MATCH(CA$5,スコア表2[#Headers],0)))
/
INDEX(スコア表2[],MATCH("stdev.p",スコア表2[maxmin],0),MATCH(CA$5,スコア表2[#Headers],0))
*10+50,"-")</f>
        <v>45.401693072812257</v>
      </c>
      <c r="CB29" s="4">
        <f>IFERROR(
(INDEX(スコア表[],MATCH($C29,スコア表['#],0),MATCH(CB$5,スコア表[#Headers],0))
-
INDEX(スコア表2[],MATCH("average",スコア表2[maxmin],0),MATCH(CB$5,スコア表2[#Headers],0)))
/
INDEX(スコア表2[],MATCH("stdev.p",スコア表2[maxmin],0),MATCH(CB$5,スコア表2[#Headers],0))
*10+50,"-")</f>
        <v>45.39660133494219</v>
      </c>
      <c r="CC29" s="4">
        <f>IFERROR(
(INDEX(スコア表[],MATCH($C29,スコア表['#],0),MATCH(CC$5,スコア表[#Headers],0))
-
INDEX(スコア表2[],MATCH("average",スコア表2[maxmin],0),MATCH(CC$5,スコア表2[#Headers],0)))
/
INDEX(スコア表2[],MATCH("stdev.p",スコア表2[maxmin],0),MATCH(CC$5,スコア表2[#Headers],0))
*10+50,"-")</f>
        <v>48.630965163023824</v>
      </c>
      <c r="CD29" s="4">
        <f>IFERROR(
(INDEX(スコア表[],MATCH($C29,スコア表['#],0),MATCH(CD$5,スコア表[#Headers],0))
-
INDEX(スコア表2[],MATCH("average",スコア表2[maxmin],0),MATCH(CD$5,スコア表2[#Headers],0)))
/
INDEX(スコア表2[],MATCH("stdev.p",スコア表2[maxmin],0),MATCH(CD$5,スコア表2[#Headers],0))
*10+50,"-")</f>
        <v>49.117289593158155</v>
      </c>
      <c r="CE29" s="4">
        <f>IFERROR(
(INDEX(スコア表[],MATCH($C29,スコア表['#],0),MATCH(CE$5,スコア表[#Headers],0))
-
INDEX(スコア表2[],MATCH("average",スコア表2[maxmin],0),MATCH(CE$5,スコア表2[#Headers],0)))
/
INDEX(スコア表2[],MATCH("stdev.p",スコア表2[maxmin],0),MATCH(CE$5,スコア表2[#Headers],0))
*10+50,"-")</f>
        <v>50.173201741076177</v>
      </c>
      <c r="CF29" s="4">
        <f>IFERROR(
(INDEX(スコア表[],MATCH($C29,スコア表['#],0),MATCH(CF$5,スコア表[#Headers],0))
-
INDEX(スコア表2[],MATCH("average",スコア表2[maxmin],0),MATCH(CF$5,スコア表2[#Headers],0)))
/
INDEX(スコア表2[],MATCH("stdev.p",スコア表2[maxmin],0),MATCH(CF$5,スコア表2[#Headers],0))
*10+50,"-")</f>
        <v>51.643910541931866</v>
      </c>
      <c r="CG29" s="4">
        <f>IFERROR(
(INDEX(スコア表[],MATCH($C29,スコア表['#],0),MATCH(CG$5,スコア表[#Headers],0))
-
INDEX(スコア表2[],MATCH("average",スコア表2[maxmin],0),MATCH(CG$5,スコア表2[#Headers],0)))
/
INDEX(スコア表2[],MATCH("stdev.p",スコア表2[maxmin],0),MATCH(CG$5,スコア表2[#Headers],0))
*10+50,"-")</f>
        <v>52.240974877028968</v>
      </c>
      <c r="CH29" s="4">
        <f>IFERROR(
(INDEX(スコア表[],MATCH($C29,スコア表['#],0),MATCH(CH$5,スコア表[#Headers],0))
-
INDEX(スコア表2[],MATCH("average",スコア表2[maxmin],0),MATCH(CH$5,スコア表2[#Headers],0)))
/
INDEX(スコア表2[],MATCH("stdev.p",スコア表2[maxmin],0),MATCH(CH$5,スコア表2[#Headers],0))
*10+50,"-")</f>
        <v>43.135730684654234</v>
      </c>
      <c r="CI29" s="4">
        <f>IFERROR(
(INDEX(スコア表[],MATCH($C29,スコア表['#],0),MATCH(CI$5,スコア表[#Headers],0))
-
INDEX(スコア表2[],MATCH("average",スコア表2[maxmin],0),MATCH(CI$5,スコア表2[#Headers],0)))
/
INDEX(スコア表2[],MATCH("stdev.p",スコア表2[maxmin],0),MATCH(CI$5,スコア表2[#Headers],0))
*10+50,"-")</f>
        <v>64.774433318954564</v>
      </c>
      <c r="CJ29" s="4">
        <f>IFERROR(
(INDEX(スコア表[],MATCH($C29,スコア表['#],0),MATCH(CJ$5,スコア表[#Headers],0))
-
INDEX(スコア表2[],MATCH("average",スコア表2[maxmin],0),MATCH(CJ$5,スコア表2[#Headers],0)))
/
INDEX(スコア表2[],MATCH("stdev.p",スコア表2[maxmin],0),MATCH(CJ$5,スコア表2[#Headers],0))
*10+50,"-")</f>
        <v>55.943768385193458</v>
      </c>
      <c r="CK29" s="4">
        <f>IFERROR(
(INDEX(スコア表[],MATCH($C29,スコア表['#],0),MATCH(CK$5,スコア表[#Headers],0))
-
INDEX(スコア表2[],MATCH("average",スコア表2[maxmin],0),MATCH(CK$5,スコア表2[#Headers],0)))
/
INDEX(スコア表2[],MATCH("stdev.p",スコア表2[maxmin],0),MATCH(CK$5,スコア表2[#Headers],0))
*10+50,"-")</f>
        <v>46.569946521073028</v>
      </c>
      <c r="CL29" s="4">
        <f>IFERROR(
(INDEX(スコア表[],MATCH($C29,スコア表['#],0),MATCH(CL$5,スコア表[#Headers],0))
-
INDEX(スコア表2[],MATCH("average",スコア表2[maxmin],0),MATCH(CL$5,スコア表2[#Headers],0)))
/
INDEX(スコア表2[],MATCH("stdev.p",スコア表2[maxmin],0),MATCH(CL$5,スコア表2[#Headers],0))
*10+50,"-")</f>
        <v>42.214814538591412</v>
      </c>
      <c r="CM29" s="4">
        <f>IFERROR(
(INDEX(スコア表[],MATCH($C29,スコア表['#],0),MATCH(CM$5,スコア表[#Headers],0))
-
INDEX(スコア表2[],MATCH("average",スコア表2[maxmin],0),MATCH(CM$5,スコア表2[#Headers],0)))
/
INDEX(スコア表2[],MATCH("stdev.p",スコア表2[maxmin],0),MATCH(CM$5,スコア表2[#Headers],0))
*10+50,"-")</f>
        <v>47.396132968596824</v>
      </c>
      <c r="CN29" s="4">
        <f>IFERROR(
(INDEX(スコア表[],MATCH($C29,スコア表['#],0),MATCH(CN$5,スコア表[#Headers],0))
-
INDEX(スコア表2[],MATCH("average",スコア表2[maxmin],0),MATCH(CN$5,スコア表2[#Headers],0)))
/
INDEX(スコア表2[],MATCH("stdev.p",スコア表2[maxmin],0),MATCH(CN$5,スコア表2[#Headers],0))
*10+50,"-")</f>
        <v>40.641446577805354</v>
      </c>
      <c r="CO29" s="4">
        <f>IFERROR(
(INDEX(スコア表[],MATCH($C29,スコア表['#],0),MATCH(CO$5,スコア表[#Headers],0))
-
INDEX(スコア表2[],MATCH("average",スコア表2[maxmin],0),MATCH(CO$5,スコア表2[#Headers],0)))
/
INDEX(スコア表2[],MATCH("stdev.p",スコア表2[maxmin],0),MATCH(CO$5,スコア表2[#Headers],0))
*10+50,"-")</f>
        <v>53.681648377413708</v>
      </c>
      <c r="CP29" s="4">
        <f>IFERROR(
(INDEX(スコア表[],MATCH($C29,スコア表['#],0),MATCH(CP$5,スコア表[#Headers],0))
-
INDEX(スコア表2[],MATCH("average",スコア表2[maxmin],0),MATCH(CP$5,スコア表2[#Headers],0)))
/
INDEX(スコア表2[],MATCH("stdev.p",スコア表2[maxmin],0),MATCH(CP$5,スコア表2[#Headers],0))
*10+50,"-")</f>
        <v>56.006925557123587</v>
      </c>
      <c r="CQ29" s="4">
        <f>IFERROR(
(INDEX(スコア表[],MATCH($C29,スコア表['#],0),MATCH(CQ$5,スコア表[#Headers],0))
-
INDEX(スコア表2[],MATCH("average",スコア表2[maxmin],0),MATCH(CQ$5,スコア表2[#Headers],0)))
/
INDEX(スコア表2[],MATCH("stdev.p",スコア表2[maxmin],0),MATCH(CQ$5,スコア表2[#Headers],0))
*10+50,"-")</f>
        <v>54.975721438331234</v>
      </c>
      <c r="CR29" s="4">
        <f>IFERROR(
(INDEX(スコア表[],MATCH($C29,スコア表['#],0),MATCH(CR$5,スコア表[#Headers],0))
-
INDEX(スコア表2[],MATCH("average",スコア表2[maxmin],0),MATCH(CR$5,スコア表2[#Headers],0)))
/
INDEX(スコア表2[],MATCH("stdev.p",スコア表2[maxmin],0),MATCH(CR$5,スコア表2[#Headers],0))
*10+50,"-")</f>
        <v>58.185190502560808</v>
      </c>
      <c r="CS29" s="4">
        <f>IFERROR(
(INDEX(スコア表[],MATCH($C29,スコア表['#],0),MATCH(CS$5,スコア表[#Headers],0))
-
INDEX(スコア表2[],MATCH("average",スコア表2[maxmin],0),MATCH(CS$5,スコア表2[#Headers],0)))
/
INDEX(スコア表2[],MATCH("stdev.p",スコア表2[maxmin],0),MATCH(CS$5,スコア表2[#Headers],0))
*10+50,"-")</f>
        <v>46.129933067735635</v>
      </c>
      <c r="CT29" s="4">
        <f>IFERROR(
(INDEX(スコア表[],MATCH($C29,スコア表['#],0),MATCH(CT$5,スコア表[#Headers],0))
-
INDEX(スコア表2[],MATCH("average",スコア表2[maxmin],0),MATCH(CT$5,スコア表2[#Headers],0)))
/
INDEX(スコア表2[],MATCH("stdev.p",スコア表2[maxmin],0),MATCH(CT$5,スコア表2[#Headers],0))
*10+50,"-")</f>
        <v>52.893344876407355</v>
      </c>
      <c r="CU29" s="4">
        <f>IFERROR(
(INDEX(スコア表[],MATCH($C29,スコア表['#],0),MATCH(CU$5,スコア表[#Headers],0))
-
INDEX(スコア表2[],MATCH("average",スコア表2[maxmin],0),MATCH(CU$5,スコア表2[#Headers],0)))
/
INDEX(スコア表2[],MATCH("stdev.p",スコア表2[maxmin],0),MATCH(CU$5,スコア表2[#Headers],0))
*10+50,"-")</f>
        <v>48.630811473527558</v>
      </c>
      <c r="CV29" s="4">
        <f>IFERROR(
(INDEX(スコア表[],MATCH($C29,スコア表['#],0),MATCH(CV$5,スコア表[#Headers],0))
-
INDEX(スコア表2[],MATCH("average",スコア表2[maxmin],0),MATCH(CV$5,スコア表2[#Headers],0)))
/
INDEX(スコア表2[],MATCH("stdev.p",スコア表2[maxmin],0),MATCH(CV$5,スコア表2[#Headers],0))
*10+50,"-")</f>
        <v>57.255639762046286</v>
      </c>
      <c r="CW29" s="4">
        <f>IFERROR(
(INDEX(スコア表[],MATCH($C29,スコア表['#],0),MATCH(CW$5,スコア表[#Headers],0))
-
INDEX(スコア表2[],MATCH("average",スコア表2[maxmin],0),MATCH(CW$5,スコア表2[#Headers],0)))
/
INDEX(スコア表2[],MATCH("stdev.p",スコア表2[maxmin],0),MATCH(CW$5,スコア表2[#Headers],0))
*10+50,"-")</f>
        <v>45.27380753385507</v>
      </c>
      <c r="CX29" s="4">
        <f>IFERROR(
(INDEX(スコア表[],MATCH($C29,スコア表['#],0),MATCH(CX$5,スコア表[#Headers],0))
-
INDEX(スコア表2[],MATCH("average",スコア表2[maxmin],0),MATCH(CX$5,スコア表2[#Headers],0)))
/
INDEX(スコア表2[],MATCH("stdev.p",スコア表2[maxmin],0),MATCH(CX$5,スコア表2[#Headers],0))
*10+50,"-")</f>
        <v>54.483009384379741</v>
      </c>
      <c r="CY29" s="4">
        <f>IFERROR(
(INDEX(スコア表[],MATCH($C29,スコア表['#],0),MATCH(CY$5,スコア表[#Headers],0))
-
INDEX(スコア表2[],MATCH("average",スコア表2[maxmin],0),MATCH(CY$5,スコア表2[#Headers],0)))
/
INDEX(スコア表2[],MATCH("stdev.p",スコア表2[maxmin],0),MATCH(CY$5,スコア表2[#Headers],0))
*10+50,"-")</f>
        <v>44.548533525800373</v>
      </c>
      <c r="CZ29" s="4">
        <f>IFERROR(
(INDEX(スコア表[],MATCH($C29,スコア表['#],0),MATCH(CZ$5,スコア表[#Headers],0))
-
INDEX(スコア表2[],MATCH("average",スコア表2[maxmin],0),MATCH(CZ$5,スコア表2[#Headers],0)))
/
INDEX(スコア表2[],MATCH("stdev.p",スコア表2[maxmin],0),MATCH(CZ$5,スコア表2[#Headers],0))
*10+50,"-")</f>
        <v>46.958469091236303</v>
      </c>
      <c r="DA29" s="4">
        <f>IFERROR(
(INDEX(スコア表[],MATCH($C29,スコア表['#],0),MATCH(DA$5,スコア表[#Headers],0))
-
INDEX(スコア表2[],MATCH("average",スコア表2[maxmin],0),MATCH(DA$5,スコア表2[#Headers],0)))
/
INDEX(スコア表2[],MATCH("stdev.p",スコア表2[maxmin],0),MATCH(DA$5,スコア表2[#Headers],0))
*10+50,"-")</f>
        <v>49.17046330608116</v>
      </c>
      <c r="DB29" s="4">
        <f>IFERROR(
(INDEX(スコア表[],MATCH($C29,スコア表['#],0),MATCH(DB$5,スコア表[#Headers],0))
-
INDEX(スコア表2[],MATCH("average",スコア表2[maxmin],0),MATCH(DB$5,スコア表2[#Headers],0)))
/
INDEX(スコア表2[],MATCH("stdev.p",スコア表2[maxmin],0),MATCH(DB$5,スコア表2[#Headers],0))
*10+50,"-")</f>
        <v>50.324120627042639</v>
      </c>
      <c r="DC29" s="4">
        <f>IFERROR(
(INDEX(スコア表[],MATCH($C29,スコア表['#],0),MATCH(DC$5,スコア表[#Headers],0))
-
INDEX(スコア表2[],MATCH("average",スコア表2[maxmin],0),MATCH(DC$5,スコア表2[#Headers],0)))
/
INDEX(スコア表2[],MATCH("stdev.p",スコア表2[maxmin],0),MATCH(DC$5,スコア表2[#Headers],0))
*10+50,"-")</f>
        <v>58.34257964030958</v>
      </c>
      <c r="DD29" s="4">
        <f>IFERROR(
(INDEX(スコア表[],MATCH($C29,スコア表['#],0),MATCH(DD$5,スコア表[#Headers],0))
-
INDEX(スコア表2[],MATCH("average",スコア表2[maxmin],0),MATCH(DD$5,スコア表2[#Headers],0)))
/
INDEX(スコア表2[],MATCH("stdev.p",スコア表2[maxmin],0),MATCH(DD$5,スコア表2[#Headers],0))
*10+50,"-")</f>
        <v>48.811939092777969</v>
      </c>
      <c r="DE29" s="4">
        <f>IFERROR(
(INDEX(スコア表[],MATCH($C29,スコア表['#],0),MATCH(DE$5,スコア表[#Headers],0))
-
INDEX(スコア表2[],MATCH("average",スコア表2[maxmin],0),MATCH(DE$5,スコア表2[#Headers],0)))
/
INDEX(スコア表2[],MATCH("stdev.p",スコア表2[maxmin],0),MATCH(DE$5,スコア表2[#Headers],0))
*10+50,"-")</f>
        <v>50.309209311011358</v>
      </c>
      <c r="DF29" s="76">
        <f>IFERROR(
(INDEX(スコア表[],MATCH($C29,スコア表['#],0),MATCH(DF$5,スコア表[#Headers],0))
-
INDEX(スコア表2[],MATCH("average",スコア表2[maxmin],0),MATCH(DF$5,スコア表2[#Headers],0)))
/
INDEX(スコア表2[],MATCH("stdev.p",スコア表2[maxmin],0),MATCH(DF$5,スコア表2[#Headers],0))
*10+50,"-")</f>
        <v>50.020621990867511</v>
      </c>
      <c r="DG29" s="4">
        <f>IFERROR(_xlfn.STDEV.P(偏差値表[[#This Row],[Economy]:[Accessibility]]),"")</f>
        <v>3.6192302916861276</v>
      </c>
    </row>
    <row r="30" spans="1:111">
      <c r="A30" s="2">
        <v>25</v>
      </c>
      <c r="B30" s="58">
        <f>INDEX(順位表[Comprehensive],MATCH($C30,順位表['#],0))</f>
        <v>25</v>
      </c>
      <c r="C30" s="3">
        <v>35</v>
      </c>
      <c r="D30" s="1" t="str">
        <f>INDEX(都市マスタ[City Name],MATCH($C30,都市マスタ['#],0))</f>
        <v>Chicago</v>
      </c>
      <c r="E30" s="4">
        <f>IFERROR(
(INDEX(スコア表[],MATCH($C30,スコア表['#],0),MATCH(E$5,スコア表[#Headers],0))
-
INDEX(スコア表2[],MATCH("average",スコア表2[maxmin],0),MATCH(E$5,スコア表2[#Headers],0)))
/
INDEX(スコア表2[],MATCH("stdev.p",スコア表2[maxmin],0),MATCH(E$5,スコア表2[#Headers],0))
*10+50,"-")</f>
        <v>45.299459248306917</v>
      </c>
      <c r="F30" s="4">
        <f>IFERROR(
(INDEX(スコア表[],MATCH($C30,スコア表['#],0),MATCH(F$5,スコア表[#Headers],0))
-
INDEX(スコア表2[],MATCH("average",スコア表2[maxmin],0),MATCH(F$5,スコア表2[#Headers],0)))
/
INDEX(スコア表2[],MATCH("stdev.p",スコア表2[maxmin],0),MATCH(F$5,スコア表2[#Headers],0))
*10+50,"-")</f>
        <v>46.586277105619992</v>
      </c>
      <c r="G30" s="4">
        <f>IFERROR(
(INDEX(スコア表[],MATCH($C30,スコア表['#],0),MATCH(G$5,スコア表[#Headers],0))
-
INDEX(スコア表2[],MATCH("average",スコア表2[maxmin],0),MATCH(G$5,スコア表2[#Headers],0)))
/
INDEX(スコア表2[],MATCH("stdev.p",スコア表2[maxmin],0),MATCH(G$5,スコア表2[#Headers],0))
*10+50,"-")</f>
        <v>48.332725179453242</v>
      </c>
      <c r="H30" s="4">
        <f>IFERROR(
(INDEX(スコア表[],MATCH($C30,スコア表['#],0),MATCH(H$5,スコア表[#Headers],0))
-
INDEX(スコア表2[],MATCH("average",スコア表2[maxmin],0),MATCH(H$5,スコア表2[#Headers],0)))
/
INDEX(スコア表2[],MATCH("stdev.p",スコア表2[maxmin],0),MATCH(H$5,スコア表2[#Headers],0))
*10+50,"-")</f>
        <v>50.384623273528696</v>
      </c>
      <c r="I30" s="4">
        <f>IFERROR(
(INDEX(スコア表[],MATCH($C30,スコア表['#],0),MATCH(I$5,スコア表[#Headers],0))
-
INDEX(スコア表2[],MATCH("average",スコア表2[maxmin],0),MATCH(I$5,スコア表2[#Headers],0)))
/
INDEX(スコア表2[],MATCH("stdev.p",スコア表2[maxmin],0),MATCH(I$5,スコア表2[#Headers],0))
*10+50,"-")</f>
        <v>52.46645564410619</v>
      </c>
      <c r="J30" s="4">
        <f>IFERROR(
(INDEX(スコア表[],MATCH($C30,スコア表['#],0),MATCH(J$5,スコア表[#Headers],0))
-
INDEX(スコア表2[],MATCH("average",スコア表2[maxmin],0),MATCH(J$5,スコア表2[#Headers],0)))
/
INDEX(スコア表2[],MATCH("stdev.p",スコア表2[maxmin],0),MATCH(J$5,スコア表2[#Headers],0))
*10+50,"-")</f>
        <v>44.259749039787998</v>
      </c>
      <c r="K30" s="4">
        <f>IFERROR(
(INDEX(スコア表[],MATCH($C30,スコア表['#],0),MATCH(K$5,スコア表[#Headers],0))
-
INDEX(スコア表2[],MATCH("average",スコア表2[maxmin],0),MATCH(K$5,スコア表2[#Headers],0)))
/
INDEX(スコア表2[],MATCH("stdev.p",スコア表2[maxmin],0),MATCH(K$5,スコア表2[#Headers],0))
*10+50,"-")</f>
        <v>52.937188630764282</v>
      </c>
      <c r="L30" s="4">
        <f>IFERROR(
(INDEX(スコア表[],MATCH($C30,スコア表['#],0),MATCH(L$5,スコア表[#Headers],0))
-
INDEX(スコア表2[],MATCH("average",スコア表2[maxmin],0),MATCH(L$5,スコア表2[#Headers],0)))
/
INDEX(スコア表2[],MATCH("stdev.p",スコア表2[maxmin],0),MATCH(L$5,スコア表2[#Headers],0))
*10+50,"-")</f>
        <v>46.831481232281661</v>
      </c>
      <c r="M30" s="4">
        <f>IFERROR(
(INDEX(スコア表[],MATCH($C30,スコア表['#],0),MATCH(M$5,スコア表[#Headers],0))
-
INDEX(スコア表2[],MATCH("average",スコア表2[maxmin],0),MATCH(M$5,スコア表2[#Headers],0)))
/
INDEX(スコア表2[],MATCH("stdev.p",スコア表2[maxmin],0),MATCH(M$5,スコア表2[#Headers],0))
*10+50,"-")</f>
        <v>47.712628457724421</v>
      </c>
      <c r="N30" s="4">
        <f>IFERROR(
(INDEX(スコア表[],MATCH($C30,スコア表['#],0),MATCH(N$5,スコア表[#Headers],0))
-
INDEX(スコア表2[],MATCH("average",スコア表2[maxmin],0),MATCH(N$5,スコア表2[#Headers],0)))
/
INDEX(スコア表2[],MATCH("stdev.p",スコア表2[maxmin],0),MATCH(N$5,スコア表2[#Headers],0))
*10+50,"-")</f>
        <v>46.198135435029563</v>
      </c>
      <c r="O30" s="4">
        <f>IFERROR(
(INDEX(スコア表[],MATCH($C30,スコア表['#],0),MATCH(O$5,スコア表[#Headers],0))
-
INDEX(スコア表2[],MATCH("average",スコア表2[maxmin],0),MATCH(O$5,スコア表2[#Headers],0)))
/
INDEX(スコア表2[],MATCH("stdev.p",スコア表2[maxmin],0),MATCH(O$5,スコア表2[#Headers],0))
*10+50,"-")</f>
        <v>46.730700368263918</v>
      </c>
      <c r="P30" s="4">
        <f>IFERROR(
(INDEX(スコア表[],MATCH($C30,スコア表['#],0),MATCH(P$5,スコア表[#Headers],0))
-
INDEX(スコア表2[],MATCH("average",スコア表2[maxmin],0),MATCH(P$5,スコア表2[#Headers],0)))
/
INDEX(スコア表2[],MATCH("stdev.p",スコア表2[maxmin],0),MATCH(P$5,スコア表2[#Headers],0))
*10+50,"-")</f>
        <v>66.819504783651837</v>
      </c>
      <c r="Q30" s="4">
        <f>IFERROR(
(INDEX(スコア表[],MATCH($C30,スコア表['#],0),MATCH(Q$5,スコア表[#Headers],0))
-
INDEX(スコア表2[],MATCH("average",スコア表2[maxmin],0),MATCH(Q$5,スコア表2[#Headers],0)))
/
INDEX(スコア表2[],MATCH("stdev.p",スコア表2[maxmin],0),MATCH(Q$5,スコア表2[#Headers],0))
*10+50,"-")</f>
        <v>61.816786418219934</v>
      </c>
      <c r="R30" s="4">
        <f>IFERROR(
(INDEX(スコア表[],MATCH($C30,スコア表['#],0),MATCH(R$5,スコア表[#Headers],0))
-
INDEX(スコア表2[],MATCH("average",スコア表2[maxmin],0),MATCH(R$5,スコア表2[#Headers],0)))
/
INDEX(スコア表2[],MATCH("stdev.p",スコア表2[maxmin],0),MATCH(R$5,スコア表2[#Headers],0))
*10+50,"-")</f>
        <v>47.385593986759446</v>
      </c>
      <c r="S30" s="4">
        <f>IFERROR(
(INDEX(スコア表[],MATCH($C30,スコア表['#],0),MATCH(S$5,スコア表[#Headers],0))
-
INDEX(スコア表2[],MATCH("average",スコア表2[maxmin],0),MATCH(S$5,スコア表2[#Headers],0)))
/
INDEX(スコア表2[],MATCH("stdev.p",スコア表2[maxmin],0),MATCH(S$5,スコア表2[#Headers],0))
*10+50,"-")</f>
        <v>43.829966231684523</v>
      </c>
      <c r="T30" s="4">
        <f>IFERROR(
(INDEX(スコア表[],MATCH($C30,スコア表['#],0),MATCH(T$5,スコア表[#Headers],0))
-
INDEX(スコア表2[],MATCH("average",スコア表2[maxmin],0),MATCH(T$5,スコア表2[#Headers],0)))
/
INDEX(スコア表2[],MATCH("stdev.p",スコア表2[maxmin],0),MATCH(T$5,スコア表2[#Headers],0))
*10+50,"-")</f>
        <v>57.868688668550007</v>
      </c>
      <c r="U30" s="4">
        <f>IFERROR(
(INDEX(スコア表[],MATCH($C30,スコア表['#],0),MATCH(U$5,スコア表[#Headers],0))
-
INDEX(スコア表2[],MATCH("average",スコア表2[maxmin],0),MATCH(U$5,スコア表2[#Headers],0)))
/
INDEX(スコア表2[],MATCH("stdev.p",スコア表2[maxmin],0),MATCH(U$5,スコア表2[#Headers],0))
*10+50,"-")</f>
        <v>60.565645451705691</v>
      </c>
      <c r="V30" s="4">
        <f>IFERROR(
(INDEX(スコア表[],MATCH($C30,スコア表['#],0),MATCH(V$5,スコア表[#Headers],0))
-
INDEX(スコア表2[],MATCH("average",スコア表2[maxmin],0),MATCH(V$5,スコア表2[#Headers],0)))
/
INDEX(スコア表2[],MATCH("stdev.p",スコア表2[maxmin],0),MATCH(V$5,スコア表2[#Headers],0))
*10+50,"-")</f>
        <v>57.790819785761009</v>
      </c>
      <c r="W30" s="4">
        <f>IFERROR(
(INDEX(スコア表[],MATCH($C30,スコア表['#],0),MATCH(W$5,スコア表[#Headers],0))
-
INDEX(スコア表2[],MATCH("average",スコア表2[maxmin],0),MATCH(W$5,スコア表2[#Headers],0)))
/
INDEX(スコア表2[],MATCH("stdev.p",スコア表2[maxmin],0),MATCH(W$5,スコア表2[#Headers],0))
*10+50,"-")</f>
        <v>68.408933854963806</v>
      </c>
      <c r="X30" s="4">
        <f>IFERROR(
(INDEX(スコア表[],MATCH($C30,スコア表['#],0),MATCH(X$5,スコア表[#Headers],0))
-
INDEX(スコア表2[],MATCH("average",スコア表2[maxmin],0),MATCH(X$5,スコア表2[#Headers],0)))
/
INDEX(スコア表2[],MATCH("stdev.p",スコア表2[maxmin],0),MATCH(X$5,スコア表2[#Headers],0))
*10+50,"-")</f>
        <v>48.322467390491788</v>
      </c>
      <c r="Y30" s="4">
        <f>IFERROR(
(INDEX(スコア表[],MATCH($C30,スコア表['#],0),MATCH(Y$5,スコア表[#Headers],0))
-
INDEX(スコア表2[],MATCH("average",スコア表2[maxmin],0),MATCH(Y$5,スコア表2[#Headers],0)))
/
INDEX(スコア表2[],MATCH("stdev.p",スコア表2[maxmin],0),MATCH(Y$5,スコア表2[#Headers],0))
*10+50,"-")</f>
        <v>52.506733473261285</v>
      </c>
      <c r="Z30" s="4">
        <f>IFERROR(
(INDEX(スコア表[],MATCH($C30,スコア表['#],0),MATCH(Z$5,スコア表[#Headers],0))
-
INDEX(スコア表2[],MATCH("average",スコア表2[maxmin],0),MATCH(Z$5,スコア表2[#Headers],0)))
/
INDEX(スコア表2[],MATCH("stdev.p",スコア表2[maxmin],0),MATCH(Z$5,スコア表2[#Headers],0))
*10+50,"-")</f>
        <v>59.094802533151181</v>
      </c>
      <c r="AA30" s="4">
        <f>IFERROR(
(INDEX(スコア表[],MATCH($C30,スコア表['#],0),MATCH(AA$5,スコア表[#Headers],0))
-
INDEX(スコア表2[],MATCH("average",スコア表2[maxmin],0),MATCH(AA$5,スコア表2[#Headers],0)))
/
INDEX(スコア表2[],MATCH("stdev.p",スコア表2[maxmin],0),MATCH(AA$5,スコア表2[#Headers],0))
*10+50,"-")</f>
        <v>57.870434079479686</v>
      </c>
      <c r="AB30" s="4">
        <f>IFERROR(
(INDEX(スコア表[],MATCH($C30,スコア表['#],0),MATCH(AB$5,スコア表[#Headers],0))
-
INDEX(スコア表2[],MATCH("average",スコア表2[maxmin],0),MATCH(AB$5,スコア表2[#Headers],0)))
/
INDEX(スコア表2[],MATCH("stdev.p",スコア表2[maxmin],0),MATCH(AB$5,スコア表2[#Headers],0))
*10+50,"-")</f>
        <v>50.745542203042739</v>
      </c>
      <c r="AC30" s="4">
        <f>IFERROR(
(INDEX(スコア表[],MATCH($C30,スコア表['#],0),MATCH(AC$5,スコア表[#Headers],0))
-
INDEX(スコア表2[],MATCH("average",スコア表2[maxmin],0),MATCH(AC$5,スコア表2[#Headers],0)))
/
INDEX(スコア表2[],MATCH("stdev.p",スコア表2[maxmin],0),MATCH(AC$5,スコア表2[#Headers],0))
*10+50,"-")</f>
        <v>46.257333597825379</v>
      </c>
      <c r="AD30" s="4">
        <f>IFERROR(
(INDEX(スコア表[],MATCH($C30,スコア表['#],0),MATCH(AD$5,スコア表[#Headers],0))
-
INDEX(スコア表2[],MATCH("average",スコア表2[maxmin],0),MATCH(AD$5,スコア表2[#Headers],0)))
/
INDEX(スコア表2[],MATCH("stdev.p",スコア表2[maxmin],0),MATCH(AD$5,スコア表2[#Headers],0))
*10+50,"-")</f>
        <v>40.714182938414559</v>
      </c>
      <c r="AE30" s="4">
        <f>IFERROR(
(INDEX(スコア表[],MATCH($C30,スコア表['#],0),MATCH(AE$5,スコア表[#Headers],0))
-
INDEX(スコア表2[],MATCH("average",スコア表2[maxmin],0),MATCH(AE$5,スコア表2[#Headers],0)))
/
INDEX(スコア表2[],MATCH("stdev.p",スコア表2[maxmin],0),MATCH(AE$5,スコア表2[#Headers],0))
*10+50,"-")</f>
        <v>53.911284331275489</v>
      </c>
      <c r="AF30" s="4">
        <f>IFERROR(
(INDEX(スコア表[],MATCH($C30,スコア表['#],0),MATCH(AF$5,スコア表[#Headers],0))
-
INDEX(スコア表2[],MATCH("average",スコア表2[maxmin],0),MATCH(AF$5,スコア表2[#Headers],0)))
/
INDEX(スコア表2[],MATCH("stdev.p",スコア表2[maxmin],0),MATCH(AF$5,スコア表2[#Headers],0))
*10+50,"-")</f>
        <v>49.946498092928977</v>
      </c>
      <c r="AG30" s="4">
        <f>IFERROR(
(INDEX(スコア表[],MATCH($C30,スコア表['#],0),MATCH(AG$5,スコア表[#Headers],0))
-
INDEX(スコア表2[],MATCH("average",スコア表2[maxmin],0),MATCH(AG$5,スコア表2[#Headers],0)))
/
INDEX(スコア表2[],MATCH("stdev.p",スコア表2[maxmin],0),MATCH(AG$5,スコア表2[#Headers],0))
*10+50,"-")</f>
        <v>48.961946003141392</v>
      </c>
      <c r="AH30" s="4">
        <f>IFERROR(
(INDEX(スコア表[],MATCH($C30,スコア表['#],0),MATCH(AH$5,スコア表[#Headers],0))
-
INDEX(スコア表2[],MATCH("average",スコア表2[maxmin],0),MATCH(AH$5,スコア表2[#Headers],0)))
/
INDEX(スコア表2[],MATCH("stdev.p",スコア表2[maxmin],0),MATCH(AH$5,スコア表2[#Headers],0))
*10+50,"-")</f>
        <v>41.879743018562152</v>
      </c>
      <c r="AI30" s="4">
        <f>IFERROR(
(INDEX(スコア表[],MATCH($C30,スコア表['#],0),MATCH(AI$5,スコア表[#Headers],0))
-
INDEX(スコア表2[],MATCH("average",スコア表2[maxmin],0),MATCH(AI$5,スコア表2[#Headers],0)))
/
INDEX(スコア表2[],MATCH("stdev.p",スコア表2[maxmin],0),MATCH(AI$5,スコア表2[#Headers],0))
*10+50,"-")</f>
        <v>53.885611419952689</v>
      </c>
      <c r="AJ30" s="4">
        <f>IFERROR(
(INDEX(スコア表[],MATCH($C30,スコア表['#],0),MATCH(AJ$5,スコア表[#Headers],0))
-
INDEX(スコア表2[],MATCH("average",スコア表2[maxmin],0),MATCH(AJ$5,スコア表2[#Headers],0)))
/
INDEX(スコア表2[],MATCH("stdev.p",スコア表2[maxmin],0),MATCH(AJ$5,スコア表2[#Headers],0))
*10+50,"-")</f>
        <v>53.42652319899662</v>
      </c>
      <c r="AK30" s="4">
        <f>IFERROR(
(INDEX(スコア表[],MATCH($C30,スコア表['#],0),MATCH(AK$5,スコア表[#Headers],0))
-
INDEX(スコア表2[],MATCH("average",スコア表2[maxmin],0),MATCH(AK$5,スコア表2[#Headers],0)))
/
INDEX(スコア表2[],MATCH("stdev.p",スコア表2[maxmin],0),MATCH(AK$5,スコア表2[#Headers],0))
*10+50,"-")</f>
        <v>49.656190295696923</v>
      </c>
      <c r="AL30" s="4">
        <f>IFERROR(
(INDEX(スコア表[],MATCH($C30,スコア表['#],0),MATCH(AL$5,スコア表[#Headers],0))
-
INDEX(スコア表2[],MATCH("average",スコア表2[maxmin],0),MATCH(AL$5,スコア表2[#Headers],0)))
/
INDEX(スコア表2[],MATCH("stdev.p",スコア表2[maxmin],0),MATCH(AL$5,スコア表2[#Headers],0))
*10+50,"-")</f>
        <v>44.054187174868872</v>
      </c>
      <c r="AM30" s="4">
        <f>IFERROR(
(INDEX(スコア表[],MATCH($C30,スコア表['#],0),MATCH(AM$5,スコア表[#Headers],0))
-
INDEX(スコア表2[],MATCH("average",スコア表2[maxmin],0),MATCH(AM$5,スコア表2[#Headers],0)))
/
INDEX(スコア表2[],MATCH("stdev.p",スコア表2[maxmin],0),MATCH(AM$5,スコア表2[#Headers],0))
*10+50,"-")</f>
        <v>48.279464247874678</v>
      </c>
      <c r="AN30" s="4">
        <f>IFERROR(
(INDEX(スコア表[],MATCH($C30,スコア表['#],0),MATCH(AN$5,スコア表[#Headers],0))
-
INDEX(スコア表2[],MATCH("average",スコア表2[maxmin],0),MATCH(AN$5,スコア表2[#Headers],0)))
/
INDEX(スコア表2[],MATCH("stdev.p",スコア表2[maxmin],0),MATCH(AN$5,スコア表2[#Headers],0))
*10+50,"-")</f>
        <v>43.590817760083503</v>
      </c>
      <c r="AO30" s="4">
        <f>IFERROR(
(INDEX(スコア表[],MATCH($C30,スコア表['#],0),MATCH(AO$5,スコア表[#Headers],0))
-
INDEX(スコア表2[],MATCH("average",スコア表2[maxmin],0),MATCH(AO$5,スコア表2[#Headers],0)))
/
INDEX(スコア表2[],MATCH("stdev.p",スコア表2[maxmin],0),MATCH(AO$5,スコア表2[#Headers],0))
*10+50,"-")</f>
        <v>51.302554412804021</v>
      </c>
      <c r="AP30" s="4">
        <f>IFERROR(
(INDEX(スコア表[],MATCH($C30,スコア表['#],0),MATCH(AP$5,スコア表[#Headers],0))
-
INDEX(スコア表2[],MATCH("average",スコア表2[maxmin],0),MATCH(AP$5,スコア表2[#Headers],0)))
/
INDEX(スコア表2[],MATCH("stdev.p",スコア表2[maxmin],0),MATCH(AP$5,スコア表2[#Headers],0))
*10+50,"-")</f>
        <v>53.932934110390704</v>
      </c>
      <c r="AQ30" s="4">
        <f>IFERROR(
(INDEX(スコア表[],MATCH($C30,スコア表['#],0),MATCH(AQ$5,スコア表[#Headers],0))
-
INDEX(スコア表2[],MATCH("average",スコア表2[maxmin],0),MATCH(AQ$5,スコア表2[#Headers],0)))
/
INDEX(スコア表2[],MATCH("stdev.p",スコア表2[maxmin],0),MATCH(AQ$5,スコア表2[#Headers],0))
*10+50,"-")</f>
        <v>46.692614773725801</v>
      </c>
      <c r="AR30" s="4">
        <f>IFERROR(
(INDEX(スコア表[],MATCH($C30,スコア表['#],0),MATCH(AR$5,スコア表[#Headers],0))
-
INDEX(スコア表2[],MATCH("average",スコア表2[maxmin],0),MATCH(AR$5,スコア表2[#Headers],0)))
/
INDEX(スコア表2[],MATCH("stdev.p",スコア表2[maxmin],0),MATCH(AR$5,スコア表2[#Headers],0))
*10+50,"-")</f>
        <v>44.048030716208814</v>
      </c>
      <c r="AS30" s="4">
        <f>IFERROR(
(INDEX(スコア表[],MATCH($C30,スコア表['#],0),MATCH(AS$5,スコア表[#Headers],0))
-
INDEX(スコア表2[],MATCH("average",スコア表2[maxmin],0),MATCH(AS$5,スコア表2[#Headers],0)))
/
INDEX(スコア表2[],MATCH("stdev.p",スコア表2[maxmin],0),MATCH(AS$5,スコア表2[#Headers],0))
*10+50,"-")</f>
        <v>51.851904110885073</v>
      </c>
      <c r="AT30" s="4">
        <f>IFERROR(
(INDEX(スコア表[],MATCH($C30,スコア表['#],0),MATCH(AT$5,スコア表[#Headers],0))
-
INDEX(スコア表2[],MATCH("average",スコア表2[maxmin],0),MATCH(AT$5,スコア表2[#Headers],0)))
/
INDEX(スコア表2[],MATCH("stdev.p",スコア表2[maxmin],0),MATCH(AT$5,スコア表2[#Headers],0))
*10+50,"-")</f>
        <v>45.750586437650277</v>
      </c>
      <c r="AU30" s="4">
        <f>IFERROR(
(INDEX(スコア表[],MATCH($C30,スコア表['#],0),MATCH(AU$5,スコア表[#Headers],0))
-
INDEX(スコア表2[],MATCH("average",スコア表2[maxmin],0),MATCH(AU$5,スコア表2[#Headers],0)))
/
INDEX(スコア表2[],MATCH("stdev.p",スコア表2[maxmin],0),MATCH(AU$5,スコア表2[#Headers],0))
*10+50,"-")</f>
        <v>58.4738235618819</v>
      </c>
      <c r="AV30" s="4">
        <f>IFERROR(
(INDEX(スコア表[],MATCH($C30,スコア表['#],0),MATCH(AV$5,スコア表[#Headers],0))
-
INDEX(スコア表2[],MATCH("average",スコア表2[maxmin],0),MATCH(AV$5,スコア表2[#Headers],0)))
/
INDEX(スコア表2[],MATCH("stdev.p",スコア表2[maxmin],0),MATCH(AV$5,スコア表2[#Headers],0))
*10+50,"-")</f>
        <v>43.712830810285098</v>
      </c>
      <c r="AW30" s="4">
        <f>IFERROR(
(INDEX(スコア表[],MATCH($C30,スコア表['#],0),MATCH(AW$5,スコア表[#Headers],0))
-
INDEX(スコア表2[],MATCH("average",スコア表2[maxmin],0),MATCH(AW$5,スコア表2[#Headers],0)))
/
INDEX(スコア表2[],MATCH("stdev.p",スコア表2[maxmin],0),MATCH(AW$5,スコア表2[#Headers],0))
*10+50,"-")</f>
        <v>46.450747052832511</v>
      </c>
      <c r="AX30" s="4">
        <f>IFERROR(
(INDEX(スコア表[],MATCH($C30,スコア表['#],0),MATCH(AX$5,スコア表[#Headers],0))
-
INDEX(スコア表2[],MATCH("average",スコア表2[maxmin],0),MATCH(AX$5,スコア表2[#Headers],0)))
/
INDEX(スコア表2[],MATCH("stdev.p",スコア表2[maxmin],0),MATCH(AX$5,スコア表2[#Headers],0))
*10+50,"-")</f>
        <v>18.837474559034092</v>
      </c>
      <c r="AY30" s="4">
        <f>IFERROR(
(INDEX(スコア表[],MATCH($C30,スコア表['#],0),MATCH(AY$5,スコア表[#Headers],0))
-
INDEX(スコア表2[],MATCH("average",スコア表2[maxmin],0),MATCH(AY$5,スコア表2[#Headers],0)))
/
INDEX(スコア表2[],MATCH("stdev.p",スコア表2[maxmin],0),MATCH(AY$5,スコア表2[#Headers],0))
*10+50,"-")</f>
        <v>52.590763759971097</v>
      </c>
      <c r="AZ30" s="4">
        <f>IFERROR(
(INDEX(スコア表[],MATCH($C30,スコア表['#],0),MATCH(AZ$5,スコア表[#Headers],0))
-
INDEX(スコア表2[],MATCH("average",スコア表2[maxmin],0),MATCH(AZ$5,スコア表2[#Headers],0)))
/
INDEX(スコア表2[],MATCH("stdev.p",スコア表2[maxmin],0),MATCH(AZ$5,スコア表2[#Headers],0))
*10+50,"-")</f>
        <v>46.879842773195158</v>
      </c>
      <c r="BA30" s="4">
        <f>IFERROR(
(INDEX(スコア表[],MATCH($C30,スコア表['#],0),MATCH(BA$5,スコア表[#Headers],0))
-
INDEX(スコア表2[],MATCH("average",スコア表2[maxmin],0),MATCH(BA$5,スコア表2[#Headers],0)))
/
INDEX(スコア表2[],MATCH("stdev.p",スコア表2[maxmin],0),MATCH(BA$5,スコア表2[#Headers],0))
*10+50,"-")</f>
        <v>52.951837775060355</v>
      </c>
      <c r="BB30" s="4">
        <f>IFERROR(
(INDEX(スコア表[],MATCH($C30,スコア表['#],0),MATCH(BB$5,スコア表[#Headers],0))
-
INDEX(スコア表2[],MATCH("average",スコア表2[maxmin],0),MATCH(BB$5,スコア表2[#Headers],0)))
/
INDEX(スコア表2[],MATCH("stdev.p",スコア表2[maxmin],0),MATCH(BB$5,スコア表2[#Headers],0))
*10+50,"-")</f>
        <v>35.317106367078722</v>
      </c>
      <c r="BC30" s="4">
        <f>IFERROR(
(INDEX(スコア表[],MATCH($C30,スコア表['#],0),MATCH(BC$5,スコア表[#Headers],0))
-
INDEX(スコア表2[],MATCH("average",スコア表2[maxmin],0),MATCH(BC$5,スコア表2[#Headers],0)))
/
INDEX(スコア表2[],MATCH("stdev.p",スコア表2[maxmin],0),MATCH(BC$5,スコア表2[#Headers],0))
*10+50,"-")</f>
        <v>46.505748897125876</v>
      </c>
      <c r="BD30" s="4">
        <f>IFERROR(
(INDEX(スコア表[],MATCH($C30,スコア表['#],0),MATCH(BD$5,スコア表[#Headers],0))
-
INDEX(スコア表2[],MATCH("average",スコア表2[maxmin],0),MATCH(BD$5,スコア表2[#Headers],0)))
/
INDEX(スコア表2[],MATCH("stdev.p",スコア表2[maxmin],0),MATCH(BD$5,スコア表2[#Headers],0))
*10+50,"-")</f>
        <v>64.760994110607086</v>
      </c>
      <c r="BE30" s="4">
        <f>IFERROR(
(INDEX(スコア表[],MATCH($C30,スコア表['#],0),MATCH(BE$5,スコア表[#Headers],0))
-
INDEX(スコア表2[],MATCH("average",スコア表2[maxmin],0),MATCH(BE$5,スコア表2[#Headers],0)))
/
INDEX(スコア表2[],MATCH("stdev.p",スコア表2[maxmin],0),MATCH(BE$5,スコア表2[#Headers],0))
*10+50,"-")</f>
        <v>41.795605069340979</v>
      </c>
      <c r="BF30" s="4">
        <f>IFERROR(
(INDEX(スコア表[],MATCH($C30,スコア表['#],0),MATCH(BF$5,スコア表[#Headers],0))
-
INDEX(スコア表2[],MATCH("average",スコア表2[maxmin],0),MATCH(BF$5,スコア表2[#Headers],0)))
/
INDEX(スコア表2[],MATCH("stdev.p",スコア表2[maxmin],0),MATCH(BF$5,スコア表2[#Headers],0))
*10+50,"-")</f>
        <v>48.586425538560121</v>
      </c>
      <c r="BG30" s="4">
        <f>IFERROR(
(INDEX(スコア表[],MATCH($C30,スコア表['#],0),MATCH(BG$5,スコア表[#Headers],0))
-
INDEX(スコア表2[],MATCH("average",スコア表2[maxmin],0),MATCH(BG$5,スコア表2[#Headers],0)))
/
INDEX(スコア表2[],MATCH("stdev.p",スコア表2[maxmin],0),MATCH(BG$5,スコア表2[#Headers],0))
*10+50,"-")</f>
        <v>50.67694529135747</v>
      </c>
      <c r="BH30" s="4">
        <f>IFERROR(
(INDEX(スコア表[],MATCH($C30,スコア表['#],0),MATCH(BH$5,スコア表[#Headers],0))
-
INDEX(スコア表2[],MATCH("average",スコア表2[maxmin],0),MATCH(BH$5,スコア表2[#Headers],0)))
/
INDEX(スコア表2[],MATCH("stdev.p",スコア表2[maxmin],0),MATCH(BH$5,スコア表2[#Headers],0))
*10+50,"-")</f>
        <v>44.834716423197847</v>
      </c>
      <c r="BI30" s="4">
        <f>IFERROR(
(INDEX(スコア表[],MATCH($C30,スコア表['#],0),MATCH(BI$5,スコア表[#Headers],0))
-
INDEX(スコア表2[],MATCH("average",スコア表2[maxmin],0),MATCH(BI$5,スコア表2[#Headers],0)))
/
INDEX(スコア表2[],MATCH("stdev.p",スコア表2[maxmin],0),MATCH(BI$5,スコア表2[#Headers],0))
*10+50,"-")</f>
        <v>48.034957318581462</v>
      </c>
      <c r="BJ30" s="4">
        <f>IFERROR(
(INDEX(スコア表[],MATCH($C30,スコア表['#],0),MATCH(BJ$5,スコア表[#Headers],0))
-
INDEX(スコア表2[],MATCH("average",スコア表2[maxmin],0),MATCH(BJ$5,スコア表2[#Headers],0)))
/
INDEX(スコア表2[],MATCH("stdev.p",スコア表2[maxmin],0),MATCH(BJ$5,スコア表2[#Headers],0))
*10+50,"-")</f>
        <v>45.130316434219608</v>
      </c>
      <c r="BK30" s="4">
        <f>IFERROR(
(INDEX(スコア表[],MATCH($C30,スコア表['#],0),MATCH(BK$5,スコア表[#Headers],0))
-
INDEX(スコア表2[],MATCH("average",スコア表2[maxmin],0),MATCH(BK$5,スコア表2[#Headers],0)))
/
INDEX(スコア表2[],MATCH("stdev.p",スコア表2[maxmin],0),MATCH(BK$5,スコア表2[#Headers],0))
*10+50,"-")</f>
        <v>53.272787061049641</v>
      </c>
      <c r="BL30" s="4">
        <f>IFERROR(
(INDEX(スコア表[],MATCH($C30,スコア表['#],0),MATCH(BL$5,スコア表[#Headers],0))
-
INDEX(スコア表2[],MATCH("average",スコア表2[maxmin],0),MATCH(BL$5,スコア表2[#Headers],0)))
/
INDEX(スコア表2[],MATCH("stdev.p",スコア表2[maxmin],0),MATCH(BL$5,スコア表2[#Headers],0))
*10+50,"-")</f>
        <v>45.4537489367722</v>
      </c>
      <c r="BM30" s="4">
        <f>IFERROR(
(INDEX(スコア表[],MATCH($C30,スコア表['#],0),MATCH(BM$5,スコア表[#Headers],0))
-
INDEX(スコア表2[],MATCH("average",スコア表2[maxmin],0),MATCH(BM$5,スコア表2[#Headers],0)))
/
INDEX(スコア表2[],MATCH("stdev.p",スコア表2[maxmin],0),MATCH(BM$5,スコア表2[#Headers],0))
*10+50,"-")</f>
        <v>44.254990733837005</v>
      </c>
      <c r="BN30" s="4">
        <f>IFERROR(
(INDEX(スコア表[],MATCH($C30,スコア表['#],0),MATCH(BN$5,スコア表[#Headers],0))
-
INDEX(スコア表2[],MATCH("average",スコア表2[maxmin],0),MATCH(BN$5,スコア表2[#Headers],0)))
/
INDEX(スコア表2[],MATCH("stdev.p",スコア表2[maxmin],0),MATCH(BN$5,スコア表2[#Headers],0))
*10+50,"-")</f>
        <v>48.239261637429401</v>
      </c>
      <c r="BO30" s="4">
        <f>IFERROR(
(INDEX(スコア表[],MATCH($C30,スコア表['#],0),MATCH(BO$5,スコア表[#Headers],0))
-
INDEX(スコア表2[],MATCH("average",スコア表2[maxmin],0),MATCH(BO$5,スコア表2[#Headers],0)))
/
INDEX(スコア表2[],MATCH("stdev.p",スコア表2[maxmin],0),MATCH(BO$5,スコア表2[#Headers],0))
*10+50,"-")</f>
        <v>48.097154458335524</v>
      </c>
      <c r="BP30" s="4">
        <f>IFERROR(
(INDEX(スコア表[],MATCH($C30,スコア表['#],0),MATCH(BP$5,スコア表[#Headers],0))
-
INDEX(スコア表2[],MATCH("average",スコア表2[maxmin],0),MATCH(BP$5,スコア表2[#Headers],0)))
/
INDEX(スコア表2[],MATCH("stdev.p",スコア表2[maxmin],0),MATCH(BP$5,スコア表2[#Headers],0))
*10+50,"-")</f>
        <v>43.00026156326139</v>
      </c>
      <c r="BQ30" s="4">
        <f>IFERROR(
(INDEX(スコア表[],MATCH($C30,スコア表['#],0),MATCH(BQ$5,スコア表[#Headers],0))
-
INDEX(スコア表2[],MATCH("average",スコア表2[maxmin],0),MATCH(BQ$5,スコア表2[#Headers],0)))
/
INDEX(スコア表2[],MATCH("stdev.p",スコア表2[maxmin],0),MATCH(BQ$5,スコア表2[#Headers],0))
*10+50,"-")</f>
        <v>52.501503533433841</v>
      </c>
      <c r="BR30" s="4">
        <f>IFERROR(
(INDEX(スコア表[],MATCH($C30,スコア表['#],0),MATCH(BR$5,スコア表[#Headers],0))
-
INDEX(スコア表2[],MATCH("average",スコア表2[maxmin],0),MATCH(BR$5,スコア表2[#Headers],0)))
/
INDEX(スコア表2[],MATCH("stdev.p",スコア表2[maxmin],0),MATCH(BR$5,スコア表2[#Headers],0))
*10+50,"-")</f>
        <v>60.344677183163377</v>
      </c>
      <c r="BS30" s="4">
        <f>IFERROR(
(INDEX(スコア表[],MATCH($C30,スコア表['#],0),MATCH(BS$5,スコア表[#Headers],0))
-
INDEX(スコア表2[],MATCH("average",スコア表2[maxmin],0),MATCH(BS$5,スコア表2[#Headers],0)))
/
INDEX(スコア表2[],MATCH("stdev.p",スコア表2[maxmin],0),MATCH(BS$5,スコア表2[#Headers],0))
*10+50,"-")</f>
        <v>66.945011119242665</v>
      </c>
      <c r="BT30" s="4">
        <f>IFERROR(
(INDEX(スコア表[],MATCH($C30,スコア表['#],0),MATCH(BT$5,スコア表[#Headers],0))
-
INDEX(スコア表2[],MATCH("average",スコア表2[maxmin],0),MATCH(BT$5,スコア表2[#Headers],0)))
/
INDEX(スコア表2[],MATCH("stdev.p",スコア表2[maxmin],0),MATCH(BT$5,スコア表2[#Headers],0))
*10+50,"-")</f>
        <v>43.911389567042022</v>
      </c>
      <c r="BU30" s="4">
        <f>IFERROR(
(INDEX(スコア表[],MATCH($C30,スコア表['#],0),MATCH(BU$5,スコア表[#Headers],0))
-
INDEX(スコア表2[],MATCH("average",スコア表2[maxmin],0),MATCH(BU$5,スコア表2[#Headers],0)))
/
INDEX(スコア表2[],MATCH("stdev.p",スコア表2[maxmin],0),MATCH(BU$5,スコア表2[#Headers],0))
*10+50,"-")</f>
        <v>41.971403516423507</v>
      </c>
      <c r="BV30" s="4">
        <f>IFERROR(
(INDEX(スコア表[],MATCH($C30,スコア表['#],0),MATCH(BV$5,スコア表[#Headers],0))
-
INDEX(スコア表2[],MATCH("average",スコア表2[maxmin],0),MATCH(BV$5,スコア表2[#Headers],0)))
/
INDEX(スコア表2[],MATCH("stdev.p",スコア表2[maxmin],0),MATCH(BV$5,スコア表2[#Headers],0))
*10+50,"-")</f>
        <v>57.998421077556756</v>
      </c>
      <c r="BW30" s="4">
        <f>IFERROR(
(INDEX(スコア表[],MATCH($C30,スコア表['#],0),MATCH(BW$5,スコア表[#Headers],0))
-
INDEX(スコア表2[],MATCH("average",スコア表2[maxmin],0),MATCH(BW$5,スコア表2[#Headers],0)))
/
INDEX(スコア表2[],MATCH("stdev.p",スコア表2[maxmin],0),MATCH(BW$5,スコア表2[#Headers],0))
*10+50,"-")</f>
        <v>48.816488893968781</v>
      </c>
      <c r="BX30" s="4">
        <f>IFERROR(
(INDEX(スコア表[],MATCH($C30,スコア表['#],0),MATCH(BX$5,スコア表[#Headers],0))
-
INDEX(スコア表2[],MATCH("average",スコア表2[maxmin],0),MATCH(BX$5,スコア表2[#Headers],0)))
/
INDEX(スコア表2[],MATCH("stdev.p",スコア表2[maxmin],0),MATCH(BX$5,スコア表2[#Headers],0))
*10+50,"-")</f>
        <v>55.10121074990974</v>
      </c>
      <c r="BY30" s="4">
        <f>IFERROR(
(INDEX(スコア表[],MATCH($C30,スコア表['#],0),MATCH(BY$5,スコア表[#Headers],0))
-
INDEX(スコア表2[],MATCH("average",スコア表2[maxmin],0),MATCH(BY$5,スコア表2[#Headers],0)))
/
INDEX(スコア表2[],MATCH("stdev.p",スコア表2[maxmin],0),MATCH(BY$5,スコア表2[#Headers],0))
*10+50,"-")</f>
        <v>44.071916356186115</v>
      </c>
      <c r="BZ30" s="4">
        <f>IFERROR(
(INDEX(スコア表[],MATCH($C30,スコア表['#],0),MATCH(BZ$5,スコア表[#Headers],0))
-
INDEX(スコア表2[],MATCH("average",スコア表2[maxmin],0),MATCH(BZ$5,スコア表2[#Headers],0)))
/
INDEX(スコア表2[],MATCH("stdev.p",スコア表2[maxmin],0),MATCH(BZ$5,スコア表2[#Headers],0))
*10+50,"-")</f>
        <v>52.030471621218055</v>
      </c>
      <c r="CA30" s="4">
        <f>IFERROR(
(INDEX(スコア表[],MATCH($C30,スコア表['#],0),MATCH(CA$5,スコア表[#Headers],0))
-
INDEX(スコア表2[],MATCH("average",スコア表2[maxmin],0),MATCH(CA$5,スコア表2[#Headers],0)))
/
INDEX(スコア表2[],MATCH("stdev.p",スコア表2[maxmin],0),MATCH(CA$5,スコア表2[#Headers],0))
*10+50,"-")</f>
        <v>49.213285884410737</v>
      </c>
      <c r="CB30" s="4">
        <f>IFERROR(
(INDEX(スコア表[],MATCH($C30,スコア表['#],0),MATCH(CB$5,スコア表[#Headers],0))
-
INDEX(スコア表2[],MATCH("average",スコア表2[maxmin],0),MATCH(CB$5,スコア表2[#Headers],0)))
/
INDEX(スコア表2[],MATCH("stdev.p",スコア表2[maxmin],0),MATCH(CB$5,スコア表2[#Headers],0))
*10+50,"-")</f>
        <v>46.495741317003201</v>
      </c>
      <c r="CC30" s="4">
        <f>IFERROR(
(INDEX(スコア表[],MATCH($C30,スコア表['#],0),MATCH(CC$5,スコア表[#Headers],0))
-
INDEX(スコア表2[],MATCH("average",スコア表2[maxmin],0),MATCH(CC$5,スコア表2[#Headers],0)))
/
INDEX(スコア表2[],MATCH("stdev.p",スコア表2[maxmin],0),MATCH(CC$5,スコア表2[#Headers],0))
*10+50,"-")</f>
        <v>44.481770034114689</v>
      </c>
      <c r="CD30" s="4">
        <f>IFERROR(
(INDEX(スコア表[],MATCH($C30,スコア表['#],0),MATCH(CD$5,スコア表[#Headers],0))
-
INDEX(スコア表2[],MATCH("average",スコア表2[maxmin],0),MATCH(CD$5,スコア表2[#Headers],0)))
/
INDEX(スコア表2[],MATCH("stdev.p",スコア表2[maxmin],0),MATCH(CD$5,スコア表2[#Headers],0))
*10+50,"-")</f>
        <v>61.129402136411215</v>
      </c>
      <c r="CE30" s="4">
        <f>IFERROR(
(INDEX(スコア表[],MATCH($C30,スコア表['#],0),MATCH(CE$5,スコア表[#Headers],0))
-
INDEX(スコア表2[],MATCH("average",スコア表2[maxmin],0),MATCH(CE$5,スコア表2[#Headers],0)))
/
INDEX(スコア表2[],MATCH("stdev.p",スコア表2[maxmin],0),MATCH(CE$5,スコア表2[#Headers],0))
*10+50,"-")</f>
        <v>51.304261243644476</v>
      </c>
      <c r="CF30" s="4">
        <f>IFERROR(
(INDEX(スコア表[],MATCH($C30,スコア表['#],0),MATCH(CF$5,スコア表[#Headers],0))
-
INDEX(スコア表2[],MATCH("average",スコア表2[maxmin],0),MATCH(CF$5,スコア表2[#Headers],0)))
/
INDEX(スコア表2[],MATCH("stdev.p",スコア表2[maxmin],0),MATCH(CF$5,スコア表2[#Headers],0))
*10+50,"-")</f>
        <v>60.616813557423626</v>
      </c>
      <c r="CG30" s="4">
        <f>IFERROR(
(INDEX(スコア表[],MATCH($C30,スコア表['#],0),MATCH(CG$5,スコア表[#Headers],0))
-
INDEX(スコア表2[],MATCH("average",スコア表2[maxmin],0),MATCH(CG$5,スコア表2[#Headers],0)))
/
INDEX(スコア表2[],MATCH("stdev.p",スコア表2[maxmin],0),MATCH(CG$5,スコア表2[#Headers],0))
*10+50,"-")</f>
        <v>59.381067240020919</v>
      </c>
      <c r="CH30" s="4">
        <f>IFERROR(
(INDEX(スコア表[],MATCH($C30,スコア表['#],0),MATCH(CH$5,スコア表[#Headers],0))
-
INDEX(スコア表2[],MATCH("average",スコア表2[maxmin],0),MATCH(CH$5,スコア表2[#Headers],0)))
/
INDEX(スコア表2[],MATCH("stdev.p",スコア表2[maxmin],0),MATCH(CH$5,スコア表2[#Headers],0))
*10+50,"-")</f>
        <v>58.0730376562381</v>
      </c>
      <c r="CI30" s="4">
        <f>IFERROR(
(INDEX(スコア表[],MATCH($C30,スコア表['#],0),MATCH(CI$5,スコア表[#Headers],0))
-
INDEX(スコア表2[],MATCH("average",スコア表2[maxmin],0),MATCH(CI$5,スコア表2[#Headers],0)))
/
INDEX(スコア表2[],MATCH("stdev.p",スコア表2[maxmin],0),MATCH(CI$5,スコア表2[#Headers],0))
*10+50,"-")</f>
        <v>46.449467088532288</v>
      </c>
      <c r="CJ30" s="4">
        <f>IFERROR(
(INDEX(スコア表[],MATCH($C30,スコア表['#],0),MATCH(CJ$5,スコア表[#Headers],0))
-
INDEX(スコア表2[],MATCH("average",スコア表2[maxmin],0),MATCH(CJ$5,スコア表2[#Headers],0)))
/
INDEX(スコア表2[],MATCH("stdev.p",スコア表2[maxmin],0),MATCH(CJ$5,スコア表2[#Headers],0))
*10+50,"-")</f>
        <v>46.793353332409374</v>
      </c>
      <c r="CK30" s="4">
        <f>IFERROR(
(INDEX(スコア表[],MATCH($C30,スコア表['#],0),MATCH(CK$5,スコア表[#Headers],0))
-
INDEX(スコア表2[],MATCH("average",スコア表2[maxmin],0),MATCH(CK$5,スコア表2[#Headers],0)))
/
INDEX(スコア表2[],MATCH("stdev.p",スコア表2[maxmin],0),MATCH(CK$5,スコア表2[#Headers],0))
*10+50,"-")</f>
        <v>48.846213329782373</v>
      </c>
      <c r="CL30" s="4">
        <f>IFERROR(
(INDEX(スコア表[],MATCH($C30,スコア表['#],0),MATCH(CL$5,スコア表[#Headers],0))
-
INDEX(スコア表2[],MATCH("average",スコア表2[maxmin],0),MATCH(CL$5,スコア表2[#Headers],0)))
/
INDEX(スコア表2[],MATCH("stdev.p",スコア表2[maxmin],0),MATCH(CL$5,スコア表2[#Headers],0))
*10+50,"-")</f>
        <v>48.796806950373899</v>
      </c>
      <c r="CM30" s="4">
        <f>IFERROR(
(INDEX(スコア表[],MATCH($C30,スコア表['#],0),MATCH(CM$5,スコア表[#Headers],0))
-
INDEX(スコア表2[],MATCH("average",スコア表2[maxmin],0),MATCH(CM$5,スコア表2[#Headers],0)))
/
INDEX(スコア表2[],MATCH("stdev.p",スコア表2[maxmin],0),MATCH(CM$5,スコア表2[#Headers],0))
*10+50,"-")</f>
        <v>44.567916693231155</v>
      </c>
      <c r="CN30" s="4">
        <f>IFERROR(
(INDEX(スコア表[],MATCH($C30,スコア表['#],0),MATCH(CN$5,スコア表[#Headers],0))
-
INDEX(スコア表2[],MATCH("average",スコア表2[maxmin],0),MATCH(CN$5,スコア表2[#Headers],0)))
/
INDEX(スコア表2[],MATCH("stdev.p",スコア表2[maxmin],0),MATCH(CN$5,スコア表2[#Headers],0))
*10+50,"-")</f>
        <v>54.831169017428657</v>
      </c>
      <c r="CO30" s="4">
        <f>IFERROR(
(INDEX(スコア表[],MATCH($C30,スコア表['#],0),MATCH(CO$5,スコア表[#Headers],0))
-
INDEX(スコア表2[],MATCH("average",スコア表2[maxmin],0),MATCH(CO$5,スコア表2[#Headers],0)))
/
INDEX(スコア表2[],MATCH("stdev.p",スコア表2[maxmin],0),MATCH(CO$5,スコア表2[#Headers],0))
*10+50,"-")</f>
        <v>44.491713674422343</v>
      </c>
      <c r="CP30" s="4">
        <f>IFERROR(
(INDEX(スコア表[],MATCH($C30,スコア表['#],0),MATCH(CP$5,スコア表[#Headers],0))
-
INDEX(スコア表2[],MATCH("average",スコア表2[maxmin],0),MATCH(CP$5,スコア表2[#Headers],0)))
/
INDEX(スコア表2[],MATCH("stdev.p",スコア表2[maxmin],0),MATCH(CP$5,スコア表2[#Headers],0))
*10+50,"-")</f>
        <v>25.174987854384892</v>
      </c>
      <c r="CQ30" s="4">
        <f>IFERROR(
(INDEX(スコア表[],MATCH($C30,スコア表['#],0),MATCH(CQ$5,スコア表[#Headers],0))
-
INDEX(スコア表2[],MATCH("average",スコア表2[maxmin],0),MATCH(CQ$5,スコア表2[#Headers],0)))
/
INDEX(スコア表2[],MATCH("stdev.p",スコア表2[maxmin],0),MATCH(CQ$5,スコア表2[#Headers],0))
*10+50,"-")</f>
        <v>43.110330614679377</v>
      </c>
      <c r="CR30" s="4">
        <f>IFERROR(
(INDEX(スコア表[],MATCH($C30,スコア表['#],0),MATCH(CR$5,スコア表[#Headers],0))
-
INDEX(スコア表2[],MATCH("average",スコア表2[maxmin],0),MATCH(CR$5,スコア表2[#Headers],0)))
/
INDEX(スコア表2[],MATCH("stdev.p",スコア表2[maxmin],0),MATCH(CR$5,スコア表2[#Headers],0))
*10+50,"-")</f>
        <v>51.937429604464896</v>
      </c>
      <c r="CS30" s="4">
        <f>IFERROR(
(INDEX(スコア表[],MATCH($C30,スコア表['#],0),MATCH(CS$5,スコア表[#Headers],0))
-
INDEX(スコア表2[],MATCH("average",スコア表2[maxmin],0),MATCH(CS$5,スコア表2[#Headers],0)))
/
INDEX(スコア表2[],MATCH("stdev.p",スコア表2[maxmin],0),MATCH(CS$5,スコア表2[#Headers],0))
*10+50,"-")</f>
        <v>45.74554627520876</v>
      </c>
      <c r="CT30" s="4">
        <f>IFERROR(
(INDEX(スコア表[],MATCH($C30,スコア表['#],0),MATCH(CT$5,スコア表[#Headers],0))
-
INDEX(スコア表2[],MATCH("average",スコア表2[maxmin],0),MATCH(CT$5,スコア表2[#Headers],0)))
/
INDEX(スコア表2[],MATCH("stdev.p",スコア表2[maxmin],0),MATCH(CT$5,スコア表2[#Headers],0))
*10+50,"-")</f>
        <v>46.876860141461236</v>
      </c>
      <c r="CU30" s="4">
        <f>IFERROR(
(INDEX(スコア表[],MATCH($C30,スコア表['#],0),MATCH(CU$5,スコア表[#Headers],0))
-
INDEX(スコア表2[],MATCH("average",スコア表2[maxmin],0),MATCH(CU$5,スコア表2[#Headers],0)))
/
INDEX(スコア表2[],MATCH("stdev.p",スコア表2[maxmin],0),MATCH(CU$5,スコア表2[#Headers],0))
*10+50,"-")</f>
        <v>46.195731655071846</v>
      </c>
      <c r="CV30" s="4">
        <f>IFERROR(
(INDEX(スコア表[],MATCH($C30,スコア表['#],0),MATCH(CV$5,スコア表[#Headers],0))
-
INDEX(スコア表2[],MATCH("average",スコア表2[maxmin],0),MATCH(CV$5,スコア表2[#Headers],0)))
/
INDEX(スコア表2[],MATCH("stdev.p",スコア表2[maxmin],0),MATCH(CV$5,スコア表2[#Headers],0))
*10+50,"-")</f>
        <v>46.772342134566387</v>
      </c>
      <c r="CW30" s="4">
        <f>IFERROR(
(INDEX(スコア表[],MATCH($C30,スコア表['#],0),MATCH(CW$5,スコア表[#Headers],0))
-
INDEX(スコア表2[],MATCH("average",スコア表2[maxmin],0),MATCH(CW$5,スコア表2[#Headers],0)))
/
INDEX(スコア表2[],MATCH("stdev.p",スコア表2[maxmin],0),MATCH(CW$5,スコア表2[#Headers],0))
*10+50,"-")</f>
        <v>63.589658261592952</v>
      </c>
      <c r="CX30" s="4">
        <f>IFERROR(
(INDEX(スコア表[],MATCH($C30,スコア表['#],0),MATCH(CX$5,スコア表[#Headers],0))
-
INDEX(スコア表2[],MATCH("average",スコア表2[maxmin],0),MATCH(CX$5,スコア表2[#Headers],0)))
/
INDEX(スコア表2[],MATCH("stdev.p",スコア表2[maxmin],0),MATCH(CX$5,スコア表2[#Headers],0))
*10+50,"-")</f>
        <v>47.502993556548958</v>
      </c>
      <c r="CY30" s="4">
        <f>IFERROR(
(INDEX(スコア表[],MATCH($C30,スコア表['#],0),MATCH(CY$5,スコア表[#Headers],0))
-
INDEX(スコア表2[],MATCH("average",スコア表2[maxmin],0),MATCH(CY$5,スコア表2[#Headers],0)))
/
INDEX(スコア表2[],MATCH("stdev.p",スコア表2[maxmin],0),MATCH(CY$5,スコア表2[#Headers],0))
*10+50,"-")</f>
        <v>48.823034881785432</v>
      </c>
      <c r="CZ30" s="4">
        <f>IFERROR(
(INDEX(スコア表[],MATCH($C30,スコア表['#],0),MATCH(CZ$5,スコア表[#Headers],0))
-
INDEX(スコア表2[],MATCH("average",スコア表2[maxmin],0),MATCH(CZ$5,スコア表2[#Headers],0)))
/
INDEX(スコア表2[],MATCH("stdev.p",スコア表2[maxmin],0),MATCH(CZ$5,スコア表2[#Headers],0))
*10+50,"-")</f>
        <v>52.749116184415755</v>
      </c>
      <c r="DA30" s="4">
        <f>IFERROR(
(INDEX(スコア表[],MATCH($C30,スコア表['#],0),MATCH(DA$5,スコア表[#Headers],0))
-
INDEX(スコア表2[],MATCH("average",スコア表2[maxmin],0),MATCH(DA$5,スコア表2[#Headers],0)))
/
INDEX(スコア表2[],MATCH("stdev.p",スコア表2[maxmin],0),MATCH(DA$5,スコア表2[#Headers],0))
*10+50,"-")</f>
        <v>60.14245165327381</v>
      </c>
      <c r="DB30" s="4">
        <f>IFERROR(
(INDEX(スコア表[],MATCH($C30,スコア表['#],0),MATCH(DB$5,スコア表[#Headers],0))
-
INDEX(スコア表2[],MATCH("average",スコア表2[maxmin],0),MATCH(DB$5,スコア表2[#Headers],0)))
/
INDEX(スコア表2[],MATCH("stdev.p",スコア表2[maxmin],0),MATCH(DB$5,スコア表2[#Headers],0))
*10+50,"-")</f>
        <v>46.206402307743105</v>
      </c>
      <c r="DC30" s="4">
        <f>IFERROR(
(INDEX(スコア表[],MATCH($C30,スコア表['#],0),MATCH(DC$5,スコア表[#Headers],0))
-
INDEX(スコア表2[],MATCH("average",スコア表2[maxmin],0),MATCH(DC$5,スコア表2[#Headers],0)))
/
INDEX(スコア表2[],MATCH("stdev.p",スコア表2[maxmin],0),MATCH(DC$5,スコア表2[#Headers],0))
*10+50,"-")</f>
        <v>34.633194524274785</v>
      </c>
      <c r="DD30" s="4">
        <f>IFERROR(
(INDEX(スコア表[],MATCH($C30,スコア表['#],0),MATCH(DD$5,スコア表[#Headers],0))
-
INDEX(スコア表2[],MATCH("average",スコア表2[maxmin],0),MATCH(DD$5,スコア表2[#Headers],0)))
/
INDEX(スコア表2[],MATCH("stdev.p",スコア表2[maxmin],0),MATCH(DD$5,スコア表2[#Headers],0))
*10+50,"-")</f>
        <v>44.977734434139109</v>
      </c>
      <c r="DE30" s="4">
        <f>IFERROR(
(INDEX(スコア表[],MATCH($C30,スコア表['#],0),MATCH(DE$5,スコア表[#Headers],0))
-
INDEX(スコア表2[],MATCH("average",スコア表2[maxmin],0),MATCH(DE$5,スコア表2[#Headers],0)))
/
INDEX(スコア表2[],MATCH("stdev.p",スコア表2[maxmin],0),MATCH(DE$5,スコア表2[#Headers],0))
*10+50,"-")</f>
        <v>54.246141957111611</v>
      </c>
      <c r="DF30" s="76">
        <f>IFERROR(
(INDEX(スコア表[],MATCH($C30,スコア表['#],0),MATCH(DF$5,スコア表[#Headers],0))
-
INDEX(スコア表2[],MATCH("average",スコア表2[maxmin],0),MATCH(DF$5,スコア表2[#Headers],0)))
/
INDEX(スコア表2[],MATCH("stdev.p",スコア表2[maxmin],0),MATCH(DF$5,スコア表2[#Headers],0))
*10+50,"-")</f>
        <v>49.756654873087598</v>
      </c>
      <c r="DG30" s="4">
        <f>IFERROR(_xlfn.STDEV.P(偏差値表[[#This Row],[Economy]:[Accessibility]]),"")</f>
        <v>8.1234026584280219</v>
      </c>
    </row>
    <row r="31" spans="1:111">
      <c r="A31" s="2">
        <v>26</v>
      </c>
      <c r="B31" s="58">
        <f>INDEX(順位表[Comprehensive],MATCH($C31,順位表['#],0))</f>
        <v>26</v>
      </c>
      <c r="C31" s="3">
        <v>7</v>
      </c>
      <c r="D31" s="1" t="str">
        <f>INDEX(都市マスタ[City Name],MATCH($C31,都市マスタ['#],0))</f>
        <v>Geneva</v>
      </c>
      <c r="E31" s="4">
        <f>IFERROR(
(INDEX(スコア表[],MATCH($C31,スコア表['#],0),MATCH(E$5,スコア表[#Headers],0))
-
INDEX(スコア表2[],MATCH("average",スコア表2[maxmin],0),MATCH(E$5,スコア表2[#Headers],0)))
/
INDEX(スコア表2[],MATCH("stdev.p",スコア表2[maxmin],0),MATCH(E$5,スコア表2[#Headers],0))
*10+50,"-")</f>
        <v>40.858798024340231</v>
      </c>
      <c r="F31" s="4">
        <f>IFERROR(
(INDEX(スコア表[],MATCH($C31,スコア表['#],0),MATCH(F$5,スコア表[#Headers],0))
-
INDEX(スコア表2[],MATCH("average",スコア表2[maxmin],0),MATCH(F$5,スコア表2[#Headers],0)))
/
INDEX(スコア表2[],MATCH("stdev.p",スコア表2[maxmin],0),MATCH(F$5,スコア表2[#Headers],0))
*10+50,"-")</f>
        <v>44.82402566725326</v>
      </c>
      <c r="G31" s="4">
        <f>IFERROR(
(INDEX(スコア表[],MATCH($C31,スコア表['#],0),MATCH(G$5,スコア表[#Headers],0))
-
INDEX(スコア表2[],MATCH("average",スコア表2[maxmin],0),MATCH(G$5,スコア表2[#Headers],0)))
/
INDEX(スコア表2[],MATCH("stdev.p",スコア表2[maxmin],0),MATCH(G$5,スコア表2[#Headers],0))
*10+50,"-")</f>
        <v>48.332513143634152</v>
      </c>
      <c r="H31" s="4">
        <f>IFERROR(
(INDEX(スコア表[],MATCH($C31,スコア表['#],0),MATCH(H$5,スコア表[#Headers],0))
-
INDEX(スコア表2[],MATCH("average",スコア表2[maxmin],0),MATCH(H$5,スコア表2[#Headers],0)))
/
INDEX(スコア表2[],MATCH("stdev.p",スコア表2[maxmin],0),MATCH(H$5,スコア表2[#Headers],0))
*10+50,"-")</f>
        <v>40.709336247079911</v>
      </c>
      <c r="I31" s="4">
        <f>IFERROR(
(INDEX(スコア表[],MATCH($C31,スコア表['#],0),MATCH(I$5,スコア表[#Headers],0))
-
INDEX(スコア表2[],MATCH("average",スコア表2[maxmin],0),MATCH(I$5,スコア表2[#Headers],0)))
/
INDEX(スコア表2[],MATCH("stdev.p",スコア表2[maxmin],0),MATCH(I$5,スコア表2[#Headers],0))
*10+50,"-")</f>
        <v>59.38222499428683</v>
      </c>
      <c r="J31" s="4">
        <f>IFERROR(
(INDEX(スコア表[],MATCH($C31,スコア表['#],0),MATCH(J$5,スコア表[#Headers],0))
-
INDEX(スコア表2[],MATCH("average",スコア表2[maxmin],0),MATCH(J$5,スコア表2[#Headers],0)))
/
INDEX(スコア表2[],MATCH("stdev.p",スコア表2[maxmin],0),MATCH(J$5,スコア表2[#Headers],0))
*10+50,"-")</f>
        <v>48.86112713083083</v>
      </c>
      <c r="K31" s="4">
        <f>IFERROR(
(INDEX(スコア表[],MATCH($C31,スコア表['#],0),MATCH(K$5,スコア表[#Headers],0))
-
INDEX(スコア表2[],MATCH("average",スコア表2[maxmin],0),MATCH(K$5,スコア表2[#Headers],0)))
/
INDEX(スコア表2[],MATCH("stdev.p",スコア表2[maxmin],0),MATCH(K$5,スコア表2[#Headers],0))
*10+50,"-")</f>
        <v>66.312433801487927</v>
      </c>
      <c r="L31" s="4">
        <f>IFERROR(
(INDEX(スコア表[],MATCH($C31,スコア表['#],0),MATCH(L$5,スコア表[#Headers],0))
-
INDEX(スコア表2[],MATCH("average",スコア表2[maxmin],0),MATCH(L$5,スコア表2[#Headers],0)))
/
INDEX(スコア表2[],MATCH("stdev.p",スコア表2[maxmin],0),MATCH(L$5,スコア表2[#Headers],0))
*10+50,"-")</f>
        <v>46.831481232281661</v>
      </c>
      <c r="M31" s="4">
        <f>IFERROR(
(INDEX(スコア表[],MATCH($C31,スコア表['#],0),MATCH(M$5,スコア表[#Headers],0))
-
INDEX(スコア表2[],MATCH("average",スコア表2[maxmin],0),MATCH(M$5,スコア表2[#Headers],0)))
/
INDEX(スコア表2[],MATCH("stdev.p",スコア表2[maxmin],0),MATCH(M$5,スコア表2[#Headers],0))
*10+50,"-")</f>
        <v>45.544318921595732</v>
      </c>
      <c r="N31" s="4">
        <f>IFERROR(
(INDEX(スコア表[],MATCH($C31,スコア表['#],0),MATCH(N$5,スコア表[#Headers],0))
-
INDEX(スコア表2[],MATCH("average",スコア表2[maxmin],0),MATCH(N$5,スコア表2[#Headers],0)))
/
INDEX(スコア表2[],MATCH("stdev.p",スコア表2[maxmin],0),MATCH(N$5,スコア表2[#Headers],0))
*10+50,"-")</f>
        <v>40.697704461116125</v>
      </c>
      <c r="O31" s="4">
        <f>IFERROR(
(INDEX(スコア表[],MATCH($C31,スコア表['#],0),MATCH(O$5,スコア表[#Headers],0))
-
INDEX(スコア表2[],MATCH("average",スコア表2[maxmin],0),MATCH(O$5,スコア表2[#Headers],0)))
/
INDEX(スコア表2[],MATCH("stdev.p",スコア表2[maxmin],0),MATCH(O$5,スコア表2[#Headers],0))
*10+50,"-")</f>
        <v>56.066437352516374</v>
      </c>
      <c r="P31" s="4">
        <f>IFERROR(
(INDEX(スコア表[],MATCH($C31,スコア表['#],0),MATCH(P$5,スコア表[#Headers],0))
-
INDEX(スコア表2[],MATCH("average",スコア表2[maxmin],0),MATCH(P$5,スコア表2[#Headers],0)))
/
INDEX(スコア表2[],MATCH("stdev.p",スコア表2[maxmin],0),MATCH(P$5,スコア表2[#Headers],0))
*10+50,"-")</f>
        <v>64.727372946289933</v>
      </c>
      <c r="Q31" s="4">
        <f>IFERROR(
(INDEX(スコア表[],MATCH($C31,スコア表['#],0),MATCH(Q$5,スコア表[#Headers],0))
-
INDEX(スコア表2[],MATCH("average",スコア表2[maxmin],0),MATCH(Q$5,スコア表2[#Headers],0)))
/
INDEX(スコア表2[],MATCH("stdev.p",スコア表2[maxmin],0),MATCH(Q$5,スコア表2[#Headers],0))
*10+50,"-")</f>
        <v>51.995846286896537</v>
      </c>
      <c r="R31" s="4">
        <f>IFERROR(
(INDEX(スコア表[],MATCH($C31,スコア表['#],0),MATCH(R$5,スコア表[#Headers],0))
-
INDEX(スコア表2[],MATCH("average",スコア表2[maxmin],0),MATCH(R$5,スコア表2[#Headers],0)))
/
INDEX(スコア表2[],MATCH("stdev.p",スコア表2[maxmin],0),MATCH(R$5,スコア表2[#Headers],0))
*10+50,"-")</f>
        <v>51.810314443427075</v>
      </c>
      <c r="S31" s="4">
        <f>IFERROR(
(INDEX(スコア表[],MATCH($C31,スコア表['#],0),MATCH(S$5,スコア表[#Headers],0))
-
INDEX(スコア表2[],MATCH("average",スコア表2[maxmin],0),MATCH(S$5,スコア表2[#Headers],0)))
/
INDEX(スコア表2[],MATCH("stdev.p",スコア表2[maxmin],0),MATCH(S$5,スコア表2[#Headers],0))
*10+50,"-")</f>
        <v>69.488552651346211</v>
      </c>
      <c r="T31" s="4">
        <f>IFERROR(
(INDEX(スコア表[],MATCH($C31,スコア表['#],0),MATCH(T$5,スコア表[#Headers],0))
-
INDEX(スコア表2[],MATCH("average",スコア表2[maxmin],0),MATCH(T$5,スコア表2[#Headers],0)))
/
INDEX(スコア表2[],MATCH("stdev.p",スコア表2[maxmin],0),MATCH(T$5,スコア表2[#Headers],0))
*10+50,"-")</f>
        <v>51.614374028464709</v>
      </c>
      <c r="U31" s="4">
        <f>IFERROR(
(INDEX(スコア表[],MATCH($C31,スコア表['#],0),MATCH(U$5,スコア表[#Headers],0))
-
INDEX(スコア表2[],MATCH("average",スコア表2[maxmin],0),MATCH(U$5,スコア表2[#Headers],0)))
/
INDEX(スコア表2[],MATCH("stdev.p",スコア表2[maxmin],0),MATCH(U$5,スコア表2[#Headers],0))
*10+50,"-")</f>
        <v>40.952298489506546</v>
      </c>
      <c r="V31" s="4">
        <f>IFERROR(
(INDEX(スコア表[],MATCH($C31,スコア表['#],0),MATCH(V$5,スコア表[#Headers],0))
-
INDEX(スコア表2[],MATCH("average",スコア表2[maxmin],0),MATCH(V$5,スコア表2[#Headers],0)))
/
INDEX(スコア表2[],MATCH("stdev.p",スコア表2[maxmin],0),MATCH(V$5,スコア表2[#Headers],0))
*10+50,"-")</f>
        <v>51.204358861977873</v>
      </c>
      <c r="W31" s="4">
        <f>IFERROR(
(INDEX(スコア表[],MATCH($C31,スコア表['#],0),MATCH(W$5,スコア表[#Headers],0))
-
INDEX(スコア表2[],MATCH("average",スコア表2[maxmin],0),MATCH(W$5,スコア表2[#Headers],0)))
/
INDEX(スコア表2[],MATCH("stdev.p",スコア表2[maxmin],0),MATCH(W$5,スコア表2[#Headers],0))
*10+50,"-")</f>
        <v>44.120646791752762</v>
      </c>
      <c r="X31" s="4">
        <f>IFERROR(
(INDEX(スコア表[],MATCH($C31,スコア表['#],0),MATCH(X$5,スコア表[#Headers],0))
-
INDEX(スコア表2[],MATCH("average",スコア表2[maxmin],0),MATCH(X$5,スコア表2[#Headers],0)))
/
INDEX(スコア表2[],MATCH("stdev.p",スコア表2[maxmin],0),MATCH(X$5,スコア表2[#Headers],0))
*10+50,"-")</f>
        <v>48.517182478124028</v>
      </c>
      <c r="Y31" s="4">
        <f>IFERROR(
(INDEX(スコア表[],MATCH($C31,スコア表['#],0),MATCH(Y$5,スコア表[#Headers],0))
-
INDEX(スコア表2[],MATCH("average",スコア表2[maxmin],0),MATCH(Y$5,スコア表2[#Headers],0)))
/
INDEX(スコア表2[],MATCH("stdev.p",スコア表2[maxmin],0),MATCH(Y$5,スコア表2[#Headers],0))
*10+50,"-")</f>
        <v>53.078720336797403</v>
      </c>
      <c r="Z31" s="4">
        <f>IFERROR(
(INDEX(スコア表[],MATCH($C31,スコア表['#],0),MATCH(Z$5,スコア表[#Headers],0))
-
INDEX(スコア表2[],MATCH("average",スコア表2[maxmin],0),MATCH(Z$5,スコア表2[#Headers],0)))
/
INDEX(スコア表2[],MATCH("stdev.p",スコア表2[maxmin],0),MATCH(Z$5,スコア表2[#Headers],0))
*10+50,"-")</f>
        <v>43.926475235840336</v>
      </c>
      <c r="AA31" s="4">
        <f>IFERROR(
(INDEX(スコア表[],MATCH($C31,スコア表['#],0),MATCH(AA$5,スコア表[#Headers],0))
-
INDEX(スコア表2[],MATCH("average",スコア表2[maxmin],0),MATCH(AA$5,スコア表2[#Headers],0)))
/
INDEX(スコア表2[],MATCH("stdev.p",スコア表2[maxmin],0),MATCH(AA$5,スコア表2[#Headers],0))
*10+50,"-")</f>
        <v>61.014677407138436</v>
      </c>
      <c r="AB31" s="4">
        <f>IFERROR(
(INDEX(スコア表[],MATCH($C31,スコア表['#],0),MATCH(AB$5,スコア表[#Headers],0))
-
INDEX(スコア表2[],MATCH("average",スコア表2[maxmin],0),MATCH(AB$5,スコア表2[#Headers],0)))
/
INDEX(スコア表2[],MATCH("stdev.p",スコア表2[maxmin],0),MATCH(AB$5,スコア表2[#Headers],0))
*10+50,"-")</f>
        <v>43.590220033260131</v>
      </c>
      <c r="AC31" s="4">
        <f>IFERROR(
(INDEX(スコア表[],MATCH($C31,スコア表['#],0),MATCH(AC$5,スコア表[#Headers],0))
-
INDEX(スコア表2[],MATCH("average",スコア表2[maxmin],0),MATCH(AC$5,スコア表2[#Headers],0)))
/
INDEX(スコア表2[],MATCH("stdev.p",スコア表2[maxmin],0),MATCH(AC$5,スコア表2[#Headers],0))
*10+50,"-")</f>
        <v>54.918434074401709</v>
      </c>
      <c r="AD31" s="4">
        <f>IFERROR(
(INDEX(スコア表[],MATCH($C31,スコア表['#],0),MATCH(AD$5,スコア表[#Headers],0))
-
INDEX(スコア表2[],MATCH("average",スコア表2[maxmin],0),MATCH(AD$5,スコア表2[#Headers],0)))
/
INDEX(スコア表2[],MATCH("stdev.p",スコア表2[maxmin],0),MATCH(AD$5,スコア表2[#Headers],0))
*10+50,"-")</f>
        <v>49.264729256141223</v>
      </c>
      <c r="AE31" s="4">
        <f>IFERROR(
(INDEX(スコア表[],MATCH($C31,スコア表['#],0),MATCH(AE$5,スコア表[#Headers],0))
-
INDEX(スコア表2[],MATCH("average",スコア表2[maxmin],0),MATCH(AE$5,スコア表2[#Headers],0)))
/
INDEX(スコア表2[],MATCH("stdev.p",スコア表2[maxmin],0),MATCH(AE$5,スコア表2[#Headers],0))
*10+50,"-")</f>
        <v>43.602475738085886</v>
      </c>
      <c r="AF31" s="4">
        <f>IFERROR(
(INDEX(スコア表[],MATCH($C31,スコア表['#],0),MATCH(AF$5,スコア表[#Headers],0))
-
INDEX(スコア表2[],MATCH("average",スコア表2[maxmin],0),MATCH(AF$5,スコア表2[#Headers],0)))
/
INDEX(スコア表2[],MATCH("stdev.p",スコア表2[maxmin],0),MATCH(AF$5,スコア表2[#Headers],0))
*10+50,"-")</f>
        <v>46.626540830295838</v>
      </c>
      <c r="AG31" s="4">
        <f>IFERROR(
(INDEX(スコア表[],MATCH($C31,スコア表['#],0),MATCH(AG$5,スコア表[#Headers],0))
-
INDEX(スコア表2[],MATCH("average",スコア表2[maxmin],0),MATCH(AG$5,スコア表2[#Headers],0)))
/
INDEX(スコア表2[],MATCH("stdev.p",スコア表2[maxmin],0),MATCH(AG$5,スコア表2[#Headers],0))
*10+50,"-")</f>
        <v>32.525158883837683</v>
      </c>
      <c r="AH31" s="4">
        <f>IFERROR(
(INDEX(スコア表[],MATCH($C31,スコア表['#],0),MATCH(AH$5,スコア表[#Headers],0))
-
INDEX(スコア表2[],MATCH("average",スコア表2[maxmin],0),MATCH(AH$5,スコア表2[#Headers],0)))
/
INDEX(スコア表2[],MATCH("stdev.p",スコア表2[maxmin],0),MATCH(AH$5,スコア表2[#Headers],0))
*10+50,"-")</f>
        <v>47.97125312273085</v>
      </c>
      <c r="AI31" s="4">
        <f>IFERROR(
(INDEX(スコア表[],MATCH($C31,スコア表['#],0),MATCH(AI$5,スコア表[#Headers],0))
-
INDEX(スコア表2[],MATCH("average",スコア表2[maxmin],0),MATCH(AI$5,スコア表2[#Headers],0)))
/
INDEX(スコア表2[],MATCH("stdev.p",スコア表2[maxmin],0),MATCH(AI$5,スコア表2[#Headers],0))
*10+50,"-")</f>
        <v>36.789071944100797</v>
      </c>
      <c r="AJ31" s="4">
        <f>IFERROR(
(INDEX(スコア表[],MATCH($C31,スコア表['#],0),MATCH(AJ$5,スコア表[#Headers],0))
-
INDEX(スコア表2[],MATCH("average",スコア表2[maxmin],0),MATCH(AJ$5,スコア表2[#Headers],0)))
/
INDEX(スコア表2[],MATCH("stdev.p",スコア表2[maxmin],0),MATCH(AJ$5,スコア表2[#Headers],0))
*10+50,"-")</f>
        <v>44.376150813063582</v>
      </c>
      <c r="AK31" s="4">
        <f>IFERROR(
(INDEX(スコア表[],MATCH($C31,スコア表['#],0),MATCH(AK$5,スコア表[#Headers],0))
-
INDEX(スコア表2[],MATCH("average",スコア表2[maxmin],0),MATCH(AK$5,スコア表2[#Headers],0)))
/
INDEX(スコア表2[],MATCH("stdev.p",スコア表2[maxmin],0),MATCH(AK$5,スコア表2[#Headers],0))
*10+50,"-")</f>
        <v>43.26318822625165</v>
      </c>
      <c r="AL31" s="4">
        <f>IFERROR(
(INDEX(スコア表[],MATCH($C31,スコア表['#],0),MATCH(AL$5,スコア表[#Headers],0))
-
INDEX(スコア表2[],MATCH("average",スコア表2[maxmin],0),MATCH(AL$5,スコア表2[#Headers],0)))
/
INDEX(スコア表2[],MATCH("stdev.p",スコア表2[maxmin],0),MATCH(AL$5,スコア表2[#Headers],0))
*10+50,"-")</f>
        <v>37.468056045501186</v>
      </c>
      <c r="AM31" s="4">
        <f>IFERROR(
(INDEX(スコア表[],MATCH($C31,スコア表['#],0),MATCH(AM$5,スコア表[#Headers],0))
-
INDEX(スコア表2[],MATCH("average",スコア表2[maxmin],0),MATCH(AM$5,スコア表2[#Headers],0)))
/
INDEX(スコア表2[],MATCH("stdev.p",スコア表2[maxmin],0),MATCH(AM$5,スコア表2[#Headers],0))
*10+50,"-")</f>
        <v>39.354365748608032</v>
      </c>
      <c r="AN31" s="4">
        <f>IFERROR(
(INDEX(スコア表[],MATCH($C31,スコア表['#],0),MATCH(AN$5,スコア表[#Headers],0))
-
INDEX(スコア表2[],MATCH("average",スコア表2[maxmin],0),MATCH(AN$5,スコア表2[#Headers],0)))
/
INDEX(スコア表2[],MATCH("stdev.p",スコア表2[maxmin],0),MATCH(AN$5,スコア表2[#Headers],0))
*10+50,"-")</f>
        <v>43.1735575358909</v>
      </c>
      <c r="AO31" s="4">
        <f>IFERROR(
(INDEX(スコア表[],MATCH($C31,スコア表['#],0),MATCH(AO$5,スコア表[#Headers],0))
-
INDEX(スコア表2[],MATCH("average",スコア表2[maxmin],0),MATCH(AO$5,スコア表2[#Headers],0)))
/
INDEX(スコア表2[],MATCH("stdev.p",スコア表2[maxmin],0),MATCH(AO$5,スコア表2[#Headers],0))
*10+50,"-")</f>
        <v>43.197378583671274</v>
      </c>
      <c r="AP31" s="4">
        <f>IFERROR(
(INDEX(スコア表[],MATCH($C31,スコア表['#],0),MATCH(AP$5,スコア表[#Headers],0))
-
INDEX(スコア表2[],MATCH("average",スコア表2[maxmin],0),MATCH(AP$5,スコア表2[#Headers],0)))
/
INDEX(スコア表2[],MATCH("stdev.p",スコア表2[maxmin],0),MATCH(AP$5,スコア表2[#Headers],0))
*10+50,"-")</f>
        <v>32.964851019542863</v>
      </c>
      <c r="AQ31" s="4">
        <f>IFERROR(
(INDEX(スコア表[],MATCH($C31,スコア表['#],0),MATCH(AQ$5,スコア表[#Headers],0))
-
INDEX(スコア表2[],MATCH("average",スコア表2[maxmin],0),MATCH(AQ$5,スコア表2[#Headers],0)))
/
INDEX(スコア表2[],MATCH("stdev.p",スコア表2[maxmin],0),MATCH(AQ$5,スコア表2[#Headers],0))
*10+50,"-")</f>
        <v>43.964114687697688</v>
      </c>
      <c r="AR31" s="4">
        <f>IFERROR(
(INDEX(スコア表[],MATCH($C31,スコア表['#],0),MATCH(AR$5,スコア表[#Headers],0))
-
INDEX(スコア表2[],MATCH("average",スコア表2[maxmin],0),MATCH(AR$5,スコア表2[#Headers],0)))
/
INDEX(スコア表2[],MATCH("stdev.p",スコア表2[maxmin],0),MATCH(AR$5,スコア表2[#Headers],0))
*10+50,"-")</f>
        <v>43.997737251232188</v>
      </c>
      <c r="AS31" s="4">
        <f>IFERROR(
(INDEX(スコア表[],MATCH($C31,スコア表['#],0),MATCH(AS$5,スコア表[#Headers],0))
-
INDEX(スコア表2[],MATCH("average",スコア表2[maxmin],0),MATCH(AS$5,スコア表2[#Headers],0)))
/
INDEX(スコア表2[],MATCH("stdev.p",スコア表2[maxmin],0),MATCH(AS$5,スコア表2[#Headers],0))
*10+50,"-")</f>
        <v>54.455496609944916</v>
      </c>
      <c r="AT31" s="4">
        <f>IFERROR(
(INDEX(スコア表[],MATCH($C31,スコア表['#],0),MATCH(AT$5,スコア表[#Headers],0))
-
INDEX(スコア表2[],MATCH("average",スコア表2[maxmin],0),MATCH(AT$5,スコア表2[#Headers],0)))
/
INDEX(スコア表2[],MATCH("stdev.p",スコア表2[maxmin],0),MATCH(AT$5,スコア表2[#Headers],0))
*10+50,"-")</f>
        <v>48.522514066352961</v>
      </c>
      <c r="AU31" s="4">
        <f>IFERROR(
(INDEX(スコア表[],MATCH($C31,スコア表['#],0),MATCH(AU$5,スコア表[#Headers],0))
-
INDEX(スコア表2[],MATCH("average",スコア表2[maxmin],0),MATCH(AU$5,スコア表2[#Headers],0)))
/
INDEX(スコア表2[],MATCH("stdev.p",スコア表2[maxmin],0),MATCH(AU$5,スコア表2[#Headers],0))
*10+50,"-")</f>
        <v>51.381145705973104</v>
      </c>
      <c r="AV31" s="4">
        <f>IFERROR(
(INDEX(スコア表[],MATCH($C31,スコア表['#],0),MATCH(AV$5,スコア表[#Headers],0))
-
INDEX(スコア表2[],MATCH("average",スコア表2[maxmin],0),MATCH(AV$5,スコア表2[#Headers],0)))
/
INDEX(スコア表2[],MATCH("stdev.p",スコア表2[maxmin],0),MATCH(AV$5,スコア表2[#Headers],0))
*10+50,"-")</f>
        <v>39.914506486700049</v>
      </c>
      <c r="AW31" s="4">
        <f>IFERROR(
(INDEX(スコア表[],MATCH($C31,スコア表['#],0),MATCH(AW$5,スコア表[#Headers],0))
-
INDEX(スコア表2[],MATCH("average",スコア表2[maxmin],0),MATCH(AW$5,スコア表2[#Headers],0)))
/
INDEX(スコア表2[],MATCH("stdev.p",スコア表2[maxmin],0),MATCH(AW$5,スコア表2[#Headers],0))
*10+50,"-")</f>
        <v>29.163377656090699</v>
      </c>
      <c r="AX31" s="4">
        <f>IFERROR(
(INDEX(スコア表[],MATCH($C31,スコア表['#],0),MATCH(AX$5,スコア表[#Headers],0))
-
INDEX(スコア表2[],MATCH("average",スコア表2[maxmin],0),MATCH(AX$5,スコア表2[#Headers],0)))
/
INDEX(スコア表2[],MATCH("stdev.p",スコア表2[maxmin],0),MATCH(AX$5,スコア表2[#Headers],0))
*10+50,"-")</f>
        <v>54.08755747988215</v>
      </c>
      <c r="AY31" s="4">
        <f>IFERROR(
(INDEX(スコア表[],MATCH($C31,スコア表['#],0),MATCH(AY$5,スコア表[#Headers],0))
-
INDEX(スコア表2[],MATCH("average",スコア表2[maxmin],0),MATCH(AY$5,スコア表2[#Headers],0)))
/
INDEX(スコア表2[],MATCH("stdev.p",スコア表2[maxmin],0),MATCH(AY$5,スコア表2[#Headers],0))
*10+50,"-")</f>
        <v>52.70819214563457</v>
      </c>
      <c r="AZ31" s="4">
        <f>IFERROR(
(INDEX(スコア表[],MATCH($C31,スコア表['#],0),MATCH(AZ$5,スコア表[#Headers],0))
-
INDEX(スコア表2[],MATCH("average",スコア表2[maxmin],0),MATCH(AZ$5,スコア表2[#Headers],0)))
/
INDEX(スコア表2[],MATCH("stdev.p",スコア表2[maxmin],0),MATCH(AZ$5,スコア表2[#Headers],0))
*10+50,"-")</f>
        <v>58.480061824785281</v>
      </c>
      <c r="BA31" s="4">
        <f>IFERROR(
(INDEX(スコア表[],MATCH($C31,スコア表['#],0),MATCH(BA$5,スコア表[#Headers],0))
-
INDEX(スコア表2[],MATCH("average",スコア表2[maxmin],0),MATCH(BA$5,スコア表2[#Headers],0)))
/
INDEX(スコア表2[],MATCH("stdev.p",スコア表2[maxmin],0),MATCH(BA$5,スコア表2[#Headers],0))
*10+50,"-")</f>
        <v>60.345717621666701</v>
      </c>
      <c r="BB31" s="4">
        <f>IFERROR(
(INDEX(スコア表[],MATCH($C31,スコア表['#],0),MATCH(BB$5,スコア表[#Headers],0))
-
INDEX(スコア表2[],MATCH("average",スコア表2[maxmin],0),MATCH(BB$5,スコア表2[#Headers],0)))
/
INDEX(スコア表2[],MATCH("stdev.p",スコア表2[maxmin],0),MATCH(BB$5,スコア表2[#Headers],0))
*10+50,"-")</f>
        <v>54.879560100637356</v>
      </c>
      <c r="BC31" s="4">
        <f>IFERROR(
(INDEX(スコア表[],MATCH($C31,スコア表['#],0),MATCH(BC$5,スコア表[#Headers],0))
-
INDEX(スコア表2[],MATCH("average",スコア表2[maxmin],0),MATCH(BC$5,スコア表2[#Headers],0)))
/
INDEX(スコア表2[],MATCH("stdev.p",スコア表2[maxmin],0),MATCH(BC$5,スコア表2[#Headers],0))
*10+50,"-")</f>
        <v>60.228554156391752</v>
      </c>
      <c r="BD31" s="4">
        <f>IFERROR(
(INDEX(スコア表[],MATCH($C31,スコア表['#],0),MATCH(BD$5,スコア表[#Headers],0))
-
INDEX(スコア表2[],MATCH("average",スコア表2[maxmin],0),MATCH(BD$5,スコア表2[#Headers],0)))
/
INDEX(スコア表2[],MATCH("stdev.p",スコア表2[maxmin],0),MATCH(BD$5,スコア表2[#Headers],0))
*10+50,"-")</f>
        <v>52.503796304179055</v>
      </c>
      <c r="BE31" s="4">
        <f>IFERROR(
(INDEX(スコア表[],MATCH($C31,スコア表['#],0),MATCH(BE$5,スコア表[#Headers],0))
-
INDEX(スコア表2[],MATCH("average",スコア表2[maxmin],0),MATCH(BE$5,スコア表2[#Headers],0)))
/
INDEX(スコア表2[],MATCH("stdev.p",スコア表2[maxmin],0),MATCH(BE$5,スコア表2[#Headers],0))
*10+50,"-")</f>
        <v>42.376736381405763</v>
      </c>
      <c r="BF31" s="4">
        <f>IFERROR(
(INDEX(スコア表[],MATCH($C31,スコア表['#],0),MATCH(BF$5,スコア表[#Headers],0))
-
INDEX(スコア表2[],MATCH("average",スコア表2[maxmin],0),MATCH(BF$5,スコア表2[#Headers],0)))
/
INDEX(スコア表2[],MATCH("stdev.p",スコア表2[maxmin],0),MATCH(BF$5,スコア表2[#Headers],0))
*10+50,"-")</f>
        <v>43.471473547028502</v>
      </c>
      <c r="BG31" s="4">
        <f>IFERROR(
(INDEX(スコア表[],MATCH($C31,スコア表['#],0),MATCH(BG$5,スコア表[#Headers],0))
-
INDEX(スコア表2[],MATCH("average",スコア表2[maxmin],0),MATCH(BG$5,スコア表2[#Headers],0)))
/
INDEX(スコア表2[],MATCH("stdev.p",スコア表2[maxmin],0),MATCH(BG$5,スコア表2[#Headers],0))
*10+50,"-")</f>
        <v>65.475711431602775</v>
      </c>
      <c r="BH31" s="4">
        <f>IFERROR(
(INDEX(スコア表[],MATCH($C31,スコア表['#],0),MATCH(BH$5,スコア表[#Headers],0))
-
INDEX(スコア表2[],MATCH("average",スコア表2[maxmin],0),MATCH(BH$5,スコア表2[#Headers],0)))
/
INDEX(スコア表2[],MATCH("stdev.p",スコア表2[maxmin],0),MATCH(BH$5,スコア表2[#Headers],0))
*10+50,"-")</f>
        <v>59.593636072389387</v>
      </c>
      <c r="BI31" s="4">
        <f>IFERROR(
(INDEX(スコア表[],MATCH($C31,スコア表['#],0),MATCH(BI$5,スコア表[#Headers],0))
-
INDEX(スコア表2[],MATCH("average",スコア表2[maxmin],0),MATCH(BI$5,スコア表2[#Headers],0)))
/
INDEX(スコア表2[],MATCH("stdev.p",スコア表2[maxmin],0),MATCH(BI$5,スコア表2[#Headers],0))
*10+50,"-")</f>
        <v>52.909946263326788</v>
      </c>
      <c r="BJ31" s="4">
        <f>IFERROR(
(INDEX(スコア表[],MATCH($C31,スコア表['#],0),MATCH(BJ$5,スコア表[#Headers],0))
-
INDEX(スコア表2[],MATCH("average",スコア表2[maxmin],0),MATCH(BJ$5,スコア表2[#Headers],0)))
/
INDEX(スコア表2[],MATCH("stdev.p",スコア表2[maxmin],0),MATCH(BJ$5,スコア表2[#Headers],0))
*10+50,"-")</f>
        <v>57.745752371234005</v>
      </c>
      <c r="BK31" s="4">
        <f>IFERROR(
(INDEX(スコア表[],MATCH($C31,スコア表['#],0),MATCH(BK$5,スコア表[#Headers],0))
-
INDEX(スコア表2[],MATCH("average",スコア表2[maxmin],0),MATCH(BK$5,スコア表2[#Headers],0)))
/
INDEX(スコア表2[],MATCH("stdev.p",スコア表2[maxmin],0),MATCH(BK$5,スコア表2[#Headers],0))
*10+50,"-")</f>
        <v>53.46661035398283</v>
      </c>
      <c r="BL31" s="4">
        <f>IFERROR(
(INDEX(スコア表[],MATCH($C31,スコア表['#],0),MATCH(BL$5,スコア表[#Headers],0))
-
INDEX(スコア表2[],MATCH("average",スコア表2[maxmin],0),MATCH(BL$5,スコア表2[#Headers],0)))
/
INDEX(スコア表2[],MATCH("stdev.p",スコア表2[maxmin],0),MATCH(BL$5,スコア表2[#Headers],0))
*10+50,"-")</f>
        <v>52.516571918614694</v>
      </c>
      <c r="BM31" s="4">
        <f>IFERROR(
(INDEX(スコア表[],MATCH($C31,スコア表['#],0),MATCH(BM$5,スコア表[#Headers],0))
-
INDEX(スコア表2[],MATCH("average",スコア表2[maxmin],0),MATCH(BM$5,スコア表2[#Headers],0)))
/
INDEX(スコア表2[],MATCH("stdev.p",スコア表2[maxmin],0),MATCH(BM$5,スコア表2[#Headers],0))
*10+50,"-")</f>
        <v>63.744909006630529</v>
      </c>
      <c r="BN31" s="4">
        <f>IFERROR(
(INDEX(スコア表[],MATCH($C31,スコア表['#],0),MATCH(BN$5,スコア表[#Headers],0))
-
INDEX(スコア表2[],MATCH("average",スコア表2[maxmin],0),MATCH(BN$5,スコア表2[#Headers],0)))
/
INDEX(スコア表2[],MATCH("stdev.p",スコア表2[maxmin],0),MATCH(BN$5,スコア表2[#Headers],0))
*10+50,"-")</f>
        <v>56.320155110827017</v>
      </c>
      <c r="BO31" s="4">
        <f>IFERROR(
(INDEX(スコア表[],MATCH($C31,スコア表['#],0),MATCH(BO$5,スコア表[#Headers],0))
-
INDEX(スコア表2[],MATCH("average",スコア表2[maxmin],0),MATCH(BO$5,スコア表2[#Headers],0)))
/
INDEX(スコア表2[],MATCH("stdev.p",スコア表2[maxmin],0),MATCH(BO$5,スコア表2[#Headers],0))
*10+50,"-")</f>
        <v>61.733215373710969</v>
      </c>
      <c r="BP31" s="4">
        <f>IFERROR(
(INDEX(スコア表[],MATCH($C31,スコア表['#],0),MATCH(BP$5,スコア表[#Headers],0))
-
INDEX(スコア表2[],MATCH("average",スコア表2[maxmin],0),MATCH(BP$5,スコア表2[#Headers],0)))
/
INDEX(スコア表2[],MATCH("stdev.p",スコア表2[maxmin],0),MATCH(BP$5,スコア表2[#Headers],0))
*10+50,"-")</f>
        <v>50.794924166402865</v>
      </c>
      <c r="BQ31" s="4">
        <f>IFERROR(
(INDEX(スコア表[],MATCH($C31,スコア表['#],0),MATCH(BQ$5,スコア表[#Headers],0))
-
INDEX(スコア表2[],MATCH("average",スコア表2[maxmin],0),MATCH(BQ$5,スコア表2[#Headers],0)))
/
INDEX(スコア表2[],MATCH("stdev.p",スコア表2[maxmin],0),MATCH(BQ$5,スコア表2[#Headers],0))
*10+50,"-")</f>
        <v>41.859796980833558</v>
      </c>
      <c r="BR31" s="4">
        <f>IFERROR(
(INDEX(スコア表[],MATCH($C31,スコア表['#],0),MATCH(BR$5,スコア表[#Headers],0))
-
INDEX(スコア表2[],MATCH("average",スコア表2[maxmin],0),MATCH(BR$5,スコア表2[#Headers],0)))
/
INDEX(スコア表2[],MATCH("stdev.p",スコア表2[maxmin],0),MATCH(BR$5,スコア表2[#Headers],0))
*10+50,"-")</f>
        <v>41.043266004218765</v>
      </c>
      <c r="BS31" s="4">
        <f>IFERROR(
(INDEX(スコア表[],MATCH($C31,スコア表['#],0),MATCH(BS$5,スコア表[#Headers],0))
-
INDEX(スコア表2[],MATCH("average",スコア表2[maxmin],0),MATCH(BS$5,スコア表2[#Headers],0)))
/
INDEX(スコア表2[],MATCH("stdev.p",スコア表2[maxmin],0),MATCH(BS$5,スコア表2[#Headers],0))
*10+50,"-")</f>
        <v>41.174522467704563</v>
      </c>
      <c r="BT31" s="4">
        <f>IFERROR(
(INDEX(スコア表[],MATCH($C31,スコア表['#],0),MATCH(BT$5,スコア表[#Headers],0))
-
INDEX(スコア表2[],MATCH("average",スコア表2[maxmin],0),MATCH(BT$5,スコア表2[#Headers],0)))
/
INDEX(スコア表2[],MATCH("stdev.p",スコア表2[maxmin],0),MATCH(BT$5,スコア表2[#Headers],0))
*10+50,"-")</f>
        <v>43.43923269355647</v>
      </c>
      <c r="BU31" s="4">
        <f>IFERROR(
(INDEX(スコア表[],MATCH($C31,スコア表['#],0),MATCH(BU$5,スコア表[#Headers],0))
-
INDEX(スコア表2[],MATCH("average",スコア表2[maxmin],0),MATCH(BU$5,スコア表2[#Headers],0)))
/
INDEX(スコア表2[],MATCH("stdev.p",スコア表2[maxmin],0),MATCH(BU$5,スコア表2[#Headers],0))
*10+50,"-")</f>
        <v>41.709876751991409</v>
      </c>
      <c r="BV31" s="4">
        <f>IFERROR(
(INDEX(スコア表[],MATCH($C31,スコア表['#],0),MATCH(BV$5,スコア表[#Headers],0))
-
INDEX(スコア表2[],MATCH("average",スコア表2[maxmin],0),MATCH(BV$5,スコア表2[#Headers],0)))
/
INDEX(スコア表2[],MATCH("stdev.p",スコア表2[maxmin],0),MATCH(BV$5,スコア表2[#Headers],0))
*10+50,"-")</f>
        <v>66.692110094317755</v>
      </c>
      <c r="BW31" s="4">
        <f>IFERROR(
(INDEX(スコア表[],MATCH($C31,スコア表['#],0),MATCH(BW$5,スコア表[#Headers],0))
-
INDEX(スコア表2[],MATCH("average",スコア表2[maxmin],0),MATCH(BW$5,スコア表2[#Headers],0)))
/
INDEX(スコア表2[],MATCH("stdev.p",スコア表2[maxmin],0),MATCH(BW$5,スコア表2[#Headers],0))
*10+50,"-")</f>
        <v>62.73349162815105</v>
      </c>
      <c r="BX31" s="4">
        <f>IFERROR(
(INDEX(スコア表[],MATCH($C31,スコア表['#],0),MATCH(BX$5,スコア表[#Headers],0))
-
INDEX(スコア表2[],MATCH("average",スコア表2[maxmin],0),MATCH(BX$5,スコア表2[#Headers],0)))
/
INDEX(スコア表2[],MATCH("stdev.p",スコア表2[maxmin],0),MATCH(BX$5,スコア表2[#Headers],0))
*10+50,"-")</f>
        <v>51.689892600142059</v>
      </c>
      <c r="BY31" s="4">
        <f>IFERROR(
(INDEX(スコア表[],MATCH($C31,スコア表['#],0),MATCH(BY$5,スコア表[#Headers],0))
-
INDEX(スコア表2[],MATCH("average",スコア表2[maxmin],0),MATCH(BY$5,スコア表2[#Headers],0)))
/
INDEX(スコア表2[],MATCH("stdev.p",スコア表2[maxmin],0),MATCH(BY$5,スコア表2[#Headers],0))
*10+50,"-")</f>
        <v>38.061475745081118</v>
      </c>
      <c r="BZ31" s="4">
        <f>IFERROR(
(INDEX(スコア表[],MATCH($C31,スコア表['#],0),MATCH(BZ$5,スコア表[#Headers],0))
-
INDEX(スコア表2[],MATCH("average",スコア表2[maxmin],0),MATCH(BZ$5,スコア表2[#Headers],0)))
/
INDEX(スコア表2[],MATCH("stdev.p",スコア表2[maxmin],0),MATCH(BZ$5,スコア表2[#Headers],0))
*10+50,"-")</f>
        <v>50.042704689390199</v>
      </c>
      <c r="CA31" s="4">
        <f>IFERROR(
(INDEX(スコア表[],MATCH($C31,スコア表['#],0),MATCH(CA$5,スコア表[#Headers],0))
-
INDEX(スコア表2[],MATCH("average",スコア表2[maxmin],0),MATCH(CA$5,スコア表2[#Headers],0)))
/
INDEX(スコア表2[],MATCH("stdev.p",スコア表2[maxmin],0),MATCH(CA$5,スコア表2[#Headers],0))
*10+50,"-")</f>
        <v>62.624413586844184</v>
      </c>
      <c r="CB31" s="4">
        <f>IFERROR(
(INDEX(スコア表[],MATCH($C31,スコア表['#],0),MATCH(CB$5,スコア表[#Headers],0))
-
INDEX(スコア表2[],MATCH("average",スコア表2[maxmin],0),MATCH(CB$5,スコア表2[#Headers],0)))
/
INDEX(スコア表2[],MATCH("stdev.p",スコア表2[maxmin],0),MATCH(CB$5,スコア表2[#Headers],0))
*10+50,"-")</f>
        <v>45.037330597417544</v>
      </c>
      <c r="CC31" s="4">
        <f>IFERROR(
(INDEX(スコア表[],MATCH($C31,スコア表['#],0),MATCH(CC$5,スコア表[#Headers],0))
-
INDEX(スコア表2[],MATCH("average",スコア表2[maxmin],0),MATCH(CC$5,スコア表2[#Headers],0)))
/
INDEX(スコア表2[],MATCH("stdev.p",スコア表2[maxmin],0),MATCH(CC$5,スコア表2[#Headers],0))
*10+50,"-")</f>
        <v>47.61638172549317</v>
      </c>
      <c r="CD31" s="4">
        <f>IFERROR(
(INDEX(スコア表[],MATCH($C31,スコア表['#],0),MATCH(CD$5,スコア表[#Headers],0))
-
INDEX(スコア表2[],MATCH("average",スコア表2[maxmin],0),MATCH(CD$5,スコア表2[#Headers],0)))
/
INDEX(スコア表2[],MATCH("stdev.p",スコア表2[maxmin],0),MATCH(CD$5,スコア表2[#Headers],0))
*10+50,"-")</f>
        <v>57.708756342379267</v>
      </c>
      <c r="CE31" s="4">
        <f>IFERROR(
(INDEX(スコア表[],MATCH($C31,スコア表['#],0),MATCH(CE$5,スコア表[#Headers],0))
-
INDEX(スコア表2[],MATCH("average",スコア表2[maxmin],0),MATCH(CE$5,スコア表2[#Headers],0)))
/
INDEX(スコア表2[],MATCH("stdev.p",スコア表2[maxmin],0),MATCH(CE$5,スコア表2[#Headers],0))
*10+50,"-")</f>
        <v>63.393319241254602</v>
      </c>
      <c r="CF31" s="4">
        <f>IFERROR(
(INDEX(スコア表[],MATCH($C31,スコア表['#],0),MATCH(CF$5,スコア表[#Headers],0))
-
INDEX(スコア表2[],MATCH("average",スコア表2[maxmin],0),MATCH(CF$5,スコア表2[#Headers],0)))
/
INDEX(スコア表2[],MATCH("stdev.p",スコア表2[maxmin],0),MATCH(CF$5,スコア表2[#Headers],0))
*10+50,"-")</f>
        <v>45.774584009766031</v>
      </c>
      <c r="CG31" s="4">
        <f>IFERROR(
(INDEX(スコア表[],MATCH($C31,スコア表['#],0),MATCH(CG$5,スコア表[#Headers],0))
-
INDEX(スコア表2[],MATCH("average",スコア表2[maxmin],0),MATCH(CG$5,スコア表2[#Headers],0)))
/
INDEX(スコア表2[],MATCH("stdev.p",スコア表2[maxmin],0),MATCH(CG$5,スコア表2[#Headers],0))
*10+50,"-")</f>
        <v>48.252006172425908</v>
      </c>
      <c r="CH31" s="4">
        <f>IFERROR(
(INDEX(スコア表[],MATCH($C31,スコア表['#],0),MATCH(CH$5,スコア表[#Headers],0))
-
INDEX(スコア表2[],MATCH("average",スコア表2[maxmin],0),MATCH(CH$5,スコア表2[#Headers],0)))
/
INDEX(スコア表2[],MATCH("stdev.p",スコア表2[maxmin],0),MATCH(CH$5,スコア表2[#Headers],0))
*10+50,"-")</f>
        <v>49.521934290353158</v>
      </c>
      <c r="CI31" s="4">
        <f>IFERROR(
(INDEX(スコア表[],MATCH($C31,スコア表['#],0),MATCH(CI$5,スコア表[#Headers],0))
-
INDEX(スコア表2[],MATCH("average",スコア表2[maxmin],0),MATCH(CI$5,スコア表2[#Headers],0)))
/
INDEX(スコア表2[],MATCH("stdev.p",スコア表2[maxmin],0),MATCH(CI$5,スコア表2[#Headers],0))
*10+50,"-")</f>
        <v>48.143786616074443</v>
      </c>
      <c r="CJ31" s="4">
        <f>IFERROR(
(INDEX(スコア表[],MATCH($C31,スコア表['#],0),MATCH(CJ$5,スコア表[#Headers],0))
-
INDEX(スコア表2[],MATCH("average",スコア表2[maxmin],0),MATCH(CJ$5,スコア表2[#Headers],0)))
/
INDEX(スコア表2[],MATCH("stdev.p",スコア表2[maxmin],0),MATCH(CJ$5,スコア表2[#Headers],0))
*10+50,"-")</f>
        <v>35.032926204930433</v>
      </c>
      <c r="CK31" s="4">
        <f>IFERROR(
(INDEX(スコア表[],MATCH($C31,スコア表['#],0),MATCH(CK$5,スコア表[#Headers],0))
-
INDEX(スコア表2[],MATCH("average",スコア表2[maxmin],0),MATCH(CK$5,スコア表2[#Headers],0)))
/
INDEX(スコア表2[],MATCH("stdev.p",スコア表2[maxmin],0),MATCH(CK$5,スコア表2[#Headers],0))
*10+50,"-")</f>
        <v>40.106767655483054</v>
      </c>
      <c r="CL31" s="4">
        <f>IFERROR(
(INDEX(スコア表[],MATCH($C31,スコア表['#],0),MATCH(CL$5,スコア表[#Headers],0))
-
INDEX(スコア表2[],MATCH("average",スコア表2[maxmin],0),MATCH(CL$5,スコア表2[#Headers],0)))
/
INDEX(スコア表2[],MATCH("stdev.p",スコア表2[maxmin],0),MATCH(CL$5,スコア表2[#Headers],0))
*10+50,"-")</f>
        <v>37.754296631736239</v>
      </c>
      <c r="CM31" s="4">
        <f>IFERROR(
(INDEX(スコア表[],MATCH($C31,スコア表['#],0),MATCH(CM$5,スコア表[#Headers],0))
-
INDEX(スコア表2[],MATCH("average",スコア表2[maxmin],0),MATCH(CM$5,スコア表2[#Headers],0)))
/
INDEX(スコア表2[],MATCH("stdev.p",スコア表2[maxmin],0),MATCH(CM$5,スコア表2[#Headers],0))
*10+50,"-")</f>
        <v>43.118181756182864</v>
      </c>
      <c r="CN31" s="4">
        <f>IFERROR(
(INDEX(スコア表[],MATCH($C31,スコア表['#],0),MATCH(CN$5,スコア表[#Headers],0))
-
INDEX(スコア表2[],MATCH("average",スコア表2[maxmin],0),MATCH(CN$5,スコア表2[#Headers],0)))
/
INDEX(スコア表2[],MATCH("stdev.p",スコア表2[maxmin],0),MATCH(CN$5,スコア表2[#Headers],0))
*10+50,"-")</f>
        <v>52.240314638247</v>
      </c>
      <c r="CO31" s="4">
        <f>IFERROR(
(INDEX(スコア表[],MATCH($C31,スコア表['#],0),MATCH(CO$5,スコア表[#Headers],0))
-
INDEX(スコア表2[],MATCH("average",スコア表2[maxmin],0),MATCH(CO$5,スコア表2[#Headers],0)))
/
INDEX(スコア表2[],MATCH("stdev.p",スコア表2[maxmin],0),MATCH(CO$5,スコア表2[#Headers],0))
*10+50,"-")</f>
        <v>33.625142781483348</v>
      </c>
      <c r="CP31" s="4">
        <f>IFERROR(
(INDEX(スコア表[],MATCH($C31,スコア表['#],0),MATCH(CP$5,スコア表[#Headers],0))
-
INDEX(スコア表2[],MATCH("average",スコア表2[maxmin],0),MATCH(CP$5,スコア表2[#Headers],0)))
/
INDEX(スコア表2[],MATCH("stdev.p",スコア表2[maxmin],0),MATCH(CP$5,スコア表2[#Headers],0))
*10+50,"-")</f>
        <v>55.116237073758462</v>
      </c>
      <c r="CQ31" s="4">
        <f>IFERROR(
(INDEX(スコア表[],MATCH($C31,スコア表['#],0),MATCH(CQ$5,スコア表[#Headers],0))
-
INDEX(スコア表2[],MATCH("average",スコア表2[maxmin],0),MATCH(CQ$5,スコア表2[#Headers],0)))
/
INDEX(スコア表2[],MATCH("stdev.p",スコア表2[maxmin],0),MATCH(CQ$5,スコア表2[#Headers],0))
*10+50,"-")</f>
        <v>60.53621319134681</v>
      </c>
      <c r="CR31" s="4">
        <f>IFERROR(
(INDEX(スコア表[],MATCH($C31,スコア表['#],0),MATCH(CR$5,スコア表[#Headers],0))
-
INDEX(スコア表2[],MATCH("average",スコア表2[maxmin],0),MATCH(CR$5,スコア表2[#Headers],0)))
/
INDEX(スコア表2[],MATCH("stdev.p",スコア表2[maxmin],0),MATCH(CR$5,スコア表2[#Headers],0))
*10+50,"-")</f>
        <v>50.093360875576323</v>
      </c>
      <c r="CS31" s="4">
        <f>IFERROR(
(INDEX(スコア表[],MATCH($C31,スコア表['#],0),MATCH(CS$5,スコア表[#Headers],0))
-
INDEX(スコア表2[],MATCH("average",スコア表2[maxmin],0),MATCH(CS$5,スコア表2[#Headers],0)))
/
INDEX(スコア表2[],MATCH("stdev.p",スコア表2[maxmin],0),MATCH(CS$5,スコア表2[#Headers],0))
*10+50,"-")</f>
        <v>67.621103989504263</v>
      </c>
      <c r="CT31" s="4">
        <f>IFERROR(
(INDEX(スコア表[],MATCH($C31,スコア表['#],0),MATCH(CT$5,スコア表[#Headers],0))
-
INDEX(スコア表2[],MATCH("average",スコア表2[maxmin],0),MATCH(CT$5,スコア表2[#Headers],0)))
/
INDEX(スコア表2[],MATCH("stdev.p",スコア表2[maxmin],0),MATCH(CT$5,スコア表2[#Headers],0))
*10+50,"-")</f>
        <v>57.867562399560839</v>
      </c>
      <c r="CU31" s="4">
        <f>IFERROR(
(INDEX(スコア表[],MATCH($C31,スコア表['#],0),MATCH(CU$5,スコア表[#Headers],0))
-
INDEX(スコア表2[],MATCH("average",スコア表2[maxmin],0),MATCH(CU$5,スコア表2[#Headers],0)))
/
INDEX(スコア表2[],MATCH("stdev.p",スコア表2[maxmin],0),MATCH(CU$5,スコア表2[#Headers],0))
*10+50,"-")</f>
        <v>62.717159317334428</v>
      </c>
      <c r="CV31" s="4">
        <f>IFERROR(
(INDEX(スコア表[],MATCH($C31,スコア表['#],0),MATCH(CV$5,スコア表[#Headers],0))
-
INDEX(スコア表2[],MATCH("average",スコア表2[maxmin],0),MATCH(CV$5,スコア表2[#Headers],0)))
/
INDEX(スコア表2[],MATCH("stdev.p",スコア表2[maxmin],0),MATCH(CV$5,スコア表2[#Headers],0))
*10+50,"-")</f>
        <v>45.126285535611416</v>
      </c>
      <c r="CW31" s="4">
        <f>IFERROR(
(INDEX(スコア表[],MATCH($C31,スコア表['#],0),MATCH(CW$5,スコア表[#Headers],0))
-
INDEX(スコア表2[],MATCH("average",スコア表2[maxmin],0),MATCH(CW$5,スコア表2[#Headers],0)))
/
INDEX(スコア表2[],MATCH("stdev.p",スコア表2[maxmin],0),MATCH(CW$5,スコア表2[#Headers],0))
*10+50,"-")</f>
        <v>40.96996919760376</v>
      </c>
      <c r="CX31" s="4">
        <f>IFERROR(
(INDEX(スコア表[],MATCH($C31,スコア表['#],0),MATCH(CX$5,スコア表[#Headers],0))
-
INDEX(スコア表2[],MATCH("average",スコア表2[maxmin],0),MATCH(CX$5,スコア表2[#Headers],0)))
/
INDEX(スコア表2[],MATCH("stdev.p",スコア表2[maxmin],0),MATCH(CX$5,スコア表2[#Headers],0))
*10+50,"-")</f>
        <v>52.514468751890121</v>
      </c>
      <c r="CY31" s="4">
        <f>IFERROR(
(INDEX(スコア表[],MATCH($C31,スコア表['#],0),MATCH(CY$5,スコア表[#Headers],0))
-
INDEX(スコア表2[],MATCH("average",スコア表2[maxmin],0),MATCH(CY$5,スコア表2[#Headers],0)))
/
INDEX(スコア表2[],MATCH("stdev.p",スコア表2[maxmin],0),MATCH(CY$5,スコア表2[#Headers],0))
*10+50,"-")</f>
        <v>53.193633959420737</v>
      </c>
      <c r="CZ31" s="4">
        <f>IFERROR(
(INDEX(スコア表[],MATCH($C31,スコア表['#],0),MATCH(CZ$5,スコア表[#Headers],0))
-
INDEX(スコア表2[],MATCH("average",スコア表2[maxmin],0),MATCH(CZ$5,スコア表2[#Headers],0)))
/
INDEX(スコア表2[],MATCH("stdev.p",スコア表2[maxmin],0),MATCH(CZ$5,スコア表2[#Headers],0))
*10+50,"-")</f>
        <v>58.258075473689892</v>
      </c>
      <c r="DA31" s="4">
        <f>IFERROR(
(INDEX(スコア表[],MATCH($C31,スコア表['#],0),MATCH(DA$5,スコア表[#Headers],0))
-
INDEX(スコア表2[],MATCH("average",スコア表2[maxmin],0),MATCH(DA$5,スコア表2[#Headers],0)))
/
INDEX(スコア表2[],MATCH("stdev.p",スコア表2[maxmin],0),MATCH(DA$5,スコア表2[#Headers],0))
*10+50,"-")</f>
        <v>47.419595239233963</v>
      </c>
      <c r="DB31" s="4">
        <f>IFERROR(
(INDEX(スコア表[],MATCH($C31,スコア表['#],0),MATCH(DB$5,スコア表[#Headers],0))
-
INDEX(スコア表2[],MATCH("average",スコア表2[maxmin],0),MATCH(DB$5,スコア表2[#Headers],0)))
/
INDEX(スコア表2[],MATCH("stdev.p",スコア表2[maxmin],0),MATCH(DB$5,スコア表2[#Headers],0))
*10+50,"-")</f>
        <v>37.456354342420163</v>
      </c>
      <c r="DC31" s="4">
        <f>IFERROR(
(INDEX(スコア表[],MATCH($C31,スコア表['#],0),MATCH(DC$5,スコア表[#Headers],0))
-
INDEX(スコア表2[],MATCH("average",スコア表2[maxmin],0),MATCH(DC$5,スコア表2[#Headers],0)))
/
INDEX(スコア表2[],MATCH("stdev.p",スコア表2[maxmin],0),MATCH(DC$5,スコア表2[#Headers],0))
*10+50,"-")</f>
        <v>47.802007411705127</v>
      </c>
      <c r="DD31" s="4">
        <f>IFERROR(
(INDEX(スコア表[],MATCH($C31,スコア表['#],0),MATCH(DD$5,スコア表[#Headers],0))
-
INDEX(スコア表2[],MATCH("average",スコア表2[maxmin],0),MATCH(DD$5,スコア表2[#Headers],0)))
/
INDEX(スコア表2[],MATCH("stdev.p",スコア表2[maxmin],0),MATCH(DD$5,スコア表2[#Headers],0))
*10+50,"-")</f>
        <v>67.076261516427138</v>
      </c>
      <c r="DE31" s="4">
        <f>IFERROR(
(INDEX(スコア表[],MATCH($C31,スコア表['#],0),MATCH(DE$5,スコア表[#Headers],0))
-
INDEX(スコア表2[],MATCH("average",スコア表2[maxmin],0),MATCH(DE$5,スコア表2[#Headers],0)))
/
INDEX(スコア表2[],MATCH("stdev.p",スコア表2[maxmin],0),MATCH(DE$5,スコア表2[#Headers],0))
*10+50,"-")</f>
        <v>45.398387554388847</v>
      </c>
      <c r="DF31" s="76">
        <f>IFERROR(
(INDEX(スコア表[],MATCH($C31,スコア表['#],0),MATCH(DF$5,スコア表[#Headers],0))
-
INDEX(スコア表2[],MATCH("average",スコア表2[maxmin],0),MATCH(DF$5,スコア表2[#Headers],0)))
/
INDEX(スコア表2[],MATCH("stdev.p",スコア表2[maxmin],0),MATCH(DF$5,スコア表2[#Headers],0))
*10+50,"-")</f>
        <v>49.690422681791993</v>
      </c>
      <c r="DG31" s="4">
        <f>IFERROR(_xlfn.STDEV.P(偏差値表[[#This Row],[Economy]:[Accessibility]]),"")</f>
        <v>9.5556551328800783</v>
      </c>
    </row>
    <row r="32" spans="1:111">
      <c r="A32" s="2">
        <v>27</v>
      </c>
      <c r="B32" s="58">
        <f>INDEX(順位表[Comprehensive],MATCH($C32,順位表['#],0))</f>
        <v>27</v>
      </c>
      <c r="C32" s="3">
        <v>32</v>
      </c>
      <c r="D32" s="1" t="str">
        <f>INDEX(都市マスタ[City Name],MATCH($C32,都市マスタ['#],0))</f>
        <v>San Francisco</v>
      </c>
      <c r="E32" s="4">
        <f>IFERROR(
(INDEX(スコア表[],MATCH($C32,スコア表['#],0),MATCH(E$5,スコア表[#Headers],0))
-
INDEX(スコア表2[],MATCH("average",スコア表2[maxmin],0),MATCH(E$5,スコア表2[#Headers],0)))
/
INDEX(スコア表2[],MATCH("stdev.p",スコア表2[maxmin],0),MATCH(E$5,スコア表2[#Headers],0))
*10+50,"-")</f>
        <v>41.94664080859485</v>
      </c>
      <c r="F32" s="4">
        <f>IFERROR(
(INDEX(スコア表[],MATCH($C32,スコア表['#],0),MATCH(F$5,スコア表[#Headers],0))
-
INDEX(スコア表2[],MATCH("average",スコア表2[maxmin],0),MATCH(F$5,スコア表2[#Headers],0)))
/
INDEX(スコア表2[],MATCH("stdev.p",スコア表2[maxmin],0),MATCH(F$5,スコア表2[#Headers],0))
*10+50,"-")</f>
        <v>45.148290989179735</v>
      </c>
      <c r="G32" s="4">
        <f>IFERROR(
(INDEX(スコア表[],MATCH($C32,スコア表['#],0),MATCH(G$5,スコア表[#Headers],0))
-
INDEX(スコア表2[],MATCH("average",スコア表2[maxmin],0),MATCH(G$5,スコア表2[#Headers],0)))
/
INDEX(スコア表2[],MATCH("stdev.p",スコア表2[maxmin],0),MATCH(G$5,スコア表2[#Headers],0))
*10+50,"-")</f>
        <v>48.332725179453242</v>
      </c>
      <c r="H32" s="4">
        <f>IFERROR(
(INDEX(スコア表[],MATCH($C32,スコア表['#],0),MATCH(H$5,スコア表[#Headers],0))
-
INDEX(スコア表2[],MATCH("average",スコア表2[maxmin],0),MATCH(H$5,スコア表2[#Headers],0)))
/
INDEX(スコア表2[],MATCH("stdev.p",スコア表2[maxmin],0),MATCH(H$5,スコア表2[#Headers],0))
*10+50,"-")</f>
        <v>48.38366606348027</v>
      </c>
      <c r="I32" s="4">
        <f>IFERROR(
(INDEX(スコア表[],MATCH($C32,スコア表['#],0),MATCH(I$5,スコア表[#Headers],0))
-
INDEX(スコア表2[],MATCH("average",スコア表2[maxmin],0),MATCH(I$5,スコア表2[#Headers],0)))
/
INDEX(スコア表2[],MATCH("stdev.p",スコア表2[maxmin],0),MATCH(I$5,スコア表2[#Headers],0))
*10+50,"-")</f>
        <v>78.993714959022043</v>
      </c>
      <c r="J32" s="4">
        <f>IFERROR(
(INDEX(スコア表[],MATCH($C32,スコア表['#],0),MATCH(J$5,スコア表[#Headers],0))
-
INDEX(スコア表2[],MATCH("average",スコア表2[maxmin],0),MATCH(J$5,スコア表2[#Headers],0)))
/
INDEX(スコア表2[],MATCH("stdev.p",スコア表2[maxmin],0),MATCH(J$5,スコア表2[#Headers],0))
*10+50,"-")</f>
        <v>60.181222314001936</v>
      </c>
      <c r="K32" s="4">
        <f>IFERROR(
(INDEX(スコア表[],MATCH($C32,スコア表['#],0),MATCH(K$5,スコア表[#Headers],0))
-
INDEX(スコア表2[],MATCH("average",スコア表2[maxmin],0),MATCH(K$5,スコア表2[#Headers],0)))
/
INDEX(スコア表2[],MATCH("stdev.p",スコア表2[maxmin],0),MATCH(K$5,スコア表2[#Headers],0))
*10+50,"-")</f>
        <v>52.937188630764282</v>
      </c>
      <c r="L32" s="4">
        <f>IFERROR(
(INDEX(スコア表[],MATCH($C32,スコア表['#],0),MATCH(L$5,スコア表[#Headers],0))
-
INDEX(スコア表2[],MATCH("average",スコア表2[maxmin],0),MATCH(L$5,スコア表2[#Headers],0)))
/
INDEX(スコア表2[],MATCH("stdev.p",スコア表2[maxmin],0),MATCH(L$5,スコア表2[#Headers],0))
*10+50,"-")</f>
        <v>46.831481232281661</v>
      </c>
      <c r="M32" s="4">
        <f>IFERROR(
(INDEX(スコア表[],MATCH($C32,スコア表['#],0),MATCH(M$5,スコア表[#Headers],0))
-
INDEX(スコア表2[],MATCH("average",スコア表2[maxmin],0),MATCH(M$5,スコア表2[#Headers],0)))
/
INDEX(スコア表2[],MATCH("stdev.p",スコア表2[maxmin],0),MATCH(M$5,スコア表2[#Headers],0))
*10+50,"-")</f>
        <v>47.323821994630777</v>
      </c>
      <c r="N32" s="4">
        <f>IFERROR(
(INDEX(スコア表[],MATCH($C32,スコア表['#],0),MATCH(N$5,スコア表[#Headers],0))
-
INDEX(スコア表2[],MATCH("average",スコア表2[maxmin],0),MATCH(N$5,スコア表2[#Headers],0)))
/
INDEX(スコア表2[],MATCH("stdev.p",スコア表2[maxmin],0),MATCH(N$5,スコア表2[#Headers],0))
*10+50,"-")</f>
        <v>43.218901942193533</v>
      </c>
      <c r="O32" s="4">
        <f>IFERROR(
(INDEX(スコア表[],MATCH($C32,スコア表['#],0),MATCH(O$5,スコア表[#Headers],0))
-
INDEX(スコア表2[],MATCH("average",スコア表2[maxmin],0),MATCH(O$5,スコア表2[#Headers],0)))
/
INDEX(スコア表2[],MATCH("stdev.p",スコア表2[maxmin],0),MATCH(O$5,スコア表2[#Headers],0))
*10+50,"-")</f>
        <v>45.941095606340355</v>
      </c>
      <c r="P32" s="4">
        <f>IFERROR(
(INDEX(スコア表[],MATCH($C32,スコア表['#],0),MATCH(P$5,スコア表[#Headers],0))
-
INDEX(スコア表2[],MATCH("average",スコア表2[maxmin],0),MATCH(P$5,スコア表2[#Headers],0)))
/
INDEX(スコア表2[],MATCH("stdev.p",スコア表2[maxmin],0),MATCH(P$5,スコア表2[#Headers],0))
*10+50,"-")</f>
        <v>68.47839285239985</v>
      </c>
      <c r="Q32" s="4">
        <f>IFERROR(
(INDEX(スコア表[],MATCH($C32,スコア表['#],0),MATCH(Q$5,スコア表[#Headers],0))
-
INDEX(スコア表2[],MATCH("average",スコア表2[maxmin],0),MATCH(Q$5,スコア表2[#Headers],0)))
/
INDEX(スコア表2[],MATCH("stdev.p",スコア表2[maxmin],0),MATCH(Q$5,スコア表2[#Headers],0))
*10+50,"-")</f>
        <v>63.387568742795409</v>
      </c>
      <c r="R32" s="4">
        <f>IFERROR(
(INDEX(スコア表[],MATCH($C32,スコア表['#],0),MATCH(R$5,スコア表[#Headers],0))
-
INDEX(スコア表2[],MATCH("average",スコア表2[maxmin],0),MATCH(R$5,スコア表2[#Headers],0)))
/
INDEX(スコア表2[],MATCH("stdev.p",スコア表2[maxmin],0),MATCH(R$5,スコア表2[#Headers],0))
*10+50,"-")</f>
        <v>57.419364295730908</v>
      </c>
      <c r="S32" s="4">
        <f>IFERROR(
(INDEX(スコア表[],MATCH($C32,スコア表['#],0),MATCH(S$5,スコア表[#Headers],0))
-
INDEX(スコア表2[],MATCH("average",スコア表2[maxmin],0),MATCH(S$5,スコア表2[#Headers],0)))
/
INDEX(スコア表2[],MATCH("stdev.p",スコア表2[maxmin],0),MATCH(S$5,スコア表2[#Headers],0))
*10+50,"-")</f>
        <v>44.752295563592767</v>
      </c>
      <c r="T32" s="4">
        <f>IFERROR(
(INDEX(スコア表[],MATCH($C32,スコア表['#],0),MATCH(T$5,スコア表[#Headers],0))
-
INDEX(スコア表2[],MATCH("average",スコア表2[maxmin],0),MATCH(T$5,スコア表2[#Headers],0)))
/
INDEX(スコア表2[],MATCH("stdev.p",スコア表2[maxmin],0),MATCH(T$5,スコア表2[#Headers],0))
*10+50,"-")</f>
        <v>57.868688668550007</v>
      </c>
      <c r="U32" s="4">
        <f>IFERROR(
(INDEX(スコア表[],MATCH($C32,スコア表['#],0),MATCH(U$5,スコア表[#Headers],0))
-
INDEX(スコア表2[],MATCH("average",スコア表2[maxmin],0),MATCH(U$5,スコア表2[#Headers],0)))
/
INDEX(スコア表2[],MATCH("stdev.p",スコア表2[maxmin],0),MATCH(U$5,スコア表2[#Headers],0))
*10+50,"-")</f>
        <v>51.642843796636043</v>
      </c>
      <c r="V32" s="4">
        <f>IFERROR(
(INDEX(スコア表[],MATCH($C32,スコア表['#],0),MATCH(V$5,スコア表[#Headers],0))
-
INDEX(スコア表2[],MATCH("average",スコア表2[maxmin],0),MATCH(V$5,スコア表2[#Headers],0)))
/
INDEX(スコア表2[],MATCH("stdev.p",スコア表2[maxmin],0),MATCH(V$5,スコア表2[#Headers],0))
*10+50,"-")</f>
        <v>58.975435059828669</v>
      </c>
      <c r="W32" s="4">
        <f>IFERROR(
(INDEX(スコア表[],MATCH($C32,スコア表['#],0),MATCH(W$5,スコア表[#Headers],0))
-
INDEX(スコア表2[],MATCH("average",スコア表2[maxmin],0),MATCH(W$5,スコア表2[#Headers],0)))
/
INDEX(スコア表2[],MATCH("stdev.p",スコア表2[maxmin],0),MATCH(W$5,スコア表2[#Headers],0))
*10+50,"-")</f>
        <v>57.105977486816755</v>
      </c>
      <c r="X32" s="4">
        <f>IFERROR(
(INDEX(スコア表[],MATCH($C32,スコア表['#],0),MATCH(X$5,スコア表[#Headers],0))
-
INDEX(スコア表2[],MATCH("average",スコア表2[maxmin],0),MATCH(X$5,スコア表2[#Headers],0)))
/
INDEX(スコア表2[],MATCH("stdev.p",スコア表2[maxmin],0),MATCH(X$5,スコア表2[#Headers],0))
*10+50,"-")</f>
        <v>46.729180649560263</v>
      </c>
      <c r="Y32" s="4">
        <f>IFERROR(
(INDEX(スコア表[],MATCH($C32,スコア表['#],0),MATCH(Y$5,スコア表[#Headers],0))
-
INDEX(スコア表2[],MATCH("average",スコア表2[maxmin],0),MATCH(Y$5,スコア表2[#Headers],0)))
/
INDEX(スコア表2[],MATCH("stdev.p",スコア表2[maxmin],0),MATCH(Y$5,スコア表2[#Headers],0))
*10+50,"-")</f>
        <v>52.506733473261285</v>
      </c>
      <c r="Z32" s="4">
        <f>IFERROR(
(INDEX(スコア表[],MATCH($C32,スコア表['#],0),MATCH(Z$5,スコア表[#Headers],0))
-
INDEX(スコア表2[],MATCH("average",スコア表2[maxmin],0),MATCH(Z$5,スコア表2[#Headers],0)))
/
INDEX(スコア表2[],MATCH("stdev.p",スコア表2[maxmin],0),MATCH(Z$5,スコア表2[#Headers],0))
*10+50,"-")</f>
        <v>52.195330330836271</v>
      </c>
      <c r="AA32" s="4">
        <f>IFERROR(
(INDEX(スコア表[],MATCH($C32,スコア表['#],0),MATCH(AA$5,スコア表[#Headers],0))
-
INDEX(スコア表2[],MATCH("average",スコア表2[maxmin],0),MATCH(AA$5,スコア表2[#Headers],0)))
/
INDEX(スコア表2[],MATCH("stdev.p",スコア表2[maxmin],0),MATCH(AA$5,スコア表2[#Headers],0))
*10+50,"-")</f>
        <v>76.107045379803878</v>
      </c>
      <c r="AB32" s="4">
        <f>IFERROR(
(INDEX(スコア表[],MATCH($C32,スコア表['#],0),MATCH(AB$5,スコア表[#Headers],0))
-
INDEX(スコア表2[],MATCH("average",スコア表2[maxmin],0),MATCH(AB$5,スコア表2[#Headers],0)))
/
INDEX(スコア表2[],MATCH("stdev.p",スコア表2[maxmin],0),MATCH(AB$5,スコア表2[#Headers],0))
*10+50,"-")</f>
        <v>73.247147447419408</v>
      </c>
      <c r="AC32" s="4">
        <f>IFERROR(
(INDEX(スコア表[],MATCH($C32,スコア表['#],0),MATCH(AC$5,スコア表[#Headers],0))
-
INDEX(スコア表2[],MATCH("average",スコア表2[maxmin],0),MATCH(AC$5,スコア表2[#Headers],0)))
/
INDEX(スコア表2[],MATCH("stdev.p",スコア表2[maxmin],0),MATCH(AC$5,スコア表2[#Headers],0))
*10+50,"-")</f>
        <v>44.161906063191957</v>
      </c>
      <c r="AD32" s="4">
        <f>IFERROR(
(INDEX(スコア表[],MATCH($C32,スコア表['#],0),MATCH(AD$5,スコア表[#Headers],0))
-
INDEX(スコア表2[],MATCH("average",スコア表2[maxmin],0),MATCH(AD$5,スコア表2[#Headers],0)))
/
INDEX(スコア表2[],MATCH("stdev.p",スコア表2[maxmin],0),MATCH(AD$5,スコア表2[#Headers],0))
*10+50,"-")</f>
        <v>47.364607852190353</v>
      </c>
      <c r="AE32" s="4">
        <f>IFERROR(
(INDEX(スコア表[],MATCH($C32,スコア表['#],0),MATCH(AE$5,スコア表[#Headers],0))
-
INDEX(スコア表2[],MATCH("average",スコア表2[maxmin],0),MATCH(AE$5,スコア表2[#Headers],0)))
/
INDEX(スコア表2[],MATCH("stdev.p",スコア表2[maxmin],0),MATCH(AE$5,スコア表2[#Headers],0))
*10+50,"-")</f>
        <v>51.2969243464063</v>
      </c>
      <c r="AF32" s="4">
        <f>IFERROR(
(INDEX(スコア表[],MATCH($C32,スコア表['#],0),MATCH(AF$5,スコア表[#Headers],0))
-
INDEX(スコア表2[],MATCH("average",スコア表2[maxmin],0),MATCH(AF$5,スコア表2[#Headers],0)))
/
INDEX(スコア表2[],MATCH("stdev.p",スコア表2[maxmin],0),MATCH(AF$5,スコア表2[#Headers],0))
*10+50,"-")</f>
        <v>51.158976414333132</v>
      </c>
      <c r="AG32" s="4">
        <f>IFERROR(
(INDEX(スコア表[],MATCH($C32,スコア表['#],0),MATCH(AG$5,スコア表[#Headers],0))
-
INDEX(スコア表2[],MATCH("average",スコア表2[maxmin],0),MATCH(AG$5,スコア表2[#Headers],0)))
/
INDEX(スコア表2[],MATCH("stdev.p",スコア表2[maxmin],0),MATCH(AG$5,スコア表2[#Headers],0))
*10+50,"-")</f>
        <v>45.125438460010614</v>
      </c>
      <c r="AH32" s="4">
        <f>IFERROR(
(INDEX(スコア表[],MATCH($C32,スコア表['#],0),MATCH(AH$5,スコア表[#Headers],0))
-
INDEX(スコア表2[],MATCH("average",スコア表2[maxmin],0),MATCH(AH$5,スコア表2[#Headers],0)))
/
INDEX(スコア表2[],MATCH("stdev.p",スコア表2[maxmin],0),MATCH(AH$5,スコア表2[#Headers],0))
*10+50,"-")</f>
        <v>40.910160095405388</v>
      </c>
      <c r="AI32" s="4">
        <f>IFERROR(
(INDEX(スコア表[],MATCH($C32,スコア表['#],0),MATCH(AI$5,スコア表[#Headers],0))
-
INDEX(スコア表2[],MATCH("average",スコア表2[maxmin],0),MATCH(AI$5,スコア表2[#Headers],0)))
/
INDEX(スコア表2[],MATCH("stdev.p",スコア表2[maxmin],0),MATCH(AI$5,スコア表2[#Headers],0))
*10+50,"-")</f>
        <v>42.288253411434106</v>
      </c>
      <c r="AJ32" s="4">
        <f>IFERROR(
(INDEX(スコア表[],MATCH($C32,スコア表['#],0),MATCH(AJ$5,スコア表[#Headers],0))
-
INDEX(スコア表2[],MATCH("average",スコア表2[maxmin],0),MATCH(AJ$5,スコア表2[#Headers],0)))
/
INDEX(スコア表2[],MATCH("stdev.p",スコア表2[maxmin],0),MATCH(AJ$5,スコア表2[#Headers],0))
*10+50,"-")</f>
        <v>49.945610742865298</v>
      </c>
      <c r="AK32" s="4">
        <f>IFERROR(
(INDEX(スコア表[],MATCH($C32,スコア表['#],0),MATCH(AK$5,スコア表[#Headers],0))
-
INDEX(スコア表2[],MATCH("average",スコア表2[maxmin],0),MATCH(AK$5,スコア表2[#Headers],0)))
/
INDEX(スコア表2[],MATCH("stdev.p",スコア表2[maxmin],0),MATCH(AK$5,スコア表2[#Headers],0))
*10+50,"-")</f>
        <v>44.155235026659554</v>
      </c>
      <c r="AL32" s="4">
        <f>IFERROR(
(INDEX(スコア表[],MATCH($C32,スコア表['#],0),MATCH(AL$5,スコア表[#Headers],0))
-
INDEX(スコア表2[],MATCH("average",スコア表2[maxmin],0),MATCH(AL$5,スコア表2[#Headers],0)))
/
INDEX(スコア表2[],MATCH("stdev.p",スコア表2[maxmin],0),MATCH(AL$5,スコア表2[#Headers],0))
*10+50,"-")</f>
        <v>41.858810131760215</v>
      </c>
      <c r="AM32" s="4">
        <f>IFERROR(
(INDEX(スコア表[],MATCH($C32,スコア表['#],0),MATCH(AM$5,スコア表[#Headers],0))
-
INDEX(スコア表2[],MATCH("average",スコア表2[maxmin],0),MATCH(AM$5,スコア表2[#Headers],0)))
/
INDEX(スコア表2[],MATCH("stdev.p",スコア表2[maxmin],0),MATCH(AM$5,スコア表2[#Headers],0))
*10+50,"-")</f>
        <v>45.208333332507245</v>
      </c>
      <c r="AN32" s="4">
        <f>IFERROR(
(INDEX(スコア表[],MATCH($C32,スコア表['#],0),MATCH(AN$5,スコア表[#Headers],0))
-
INDEX(スコア表2[],MATCH("average",スコア表2[maxmin],0),MATCH(AN$5,スコア表2[#Headers],0)))
/
INDEX(スコア表2[],MATCH("stdev.p",スコア表2[maxmin],0),MATCH(AN$5,スコア表2[#Headers],0))
*10+50,"-")</f>
        <v>43.953312579784011</v>
      </c>
      <c r="AO32" s="4">
        <f>IFERROR(
(INDEX(スコア表[],MATCH($C32,スコア表['#],0),MATCH(AO$5,スコア表[#Headers],0))
-
INDEX(スコア表2[],MATCH("average",スコア表2[maxmin],0),MATCH(AO$5,スコア表2[#Headers],0)))
/
INDEX(スコア表2[],MATCH("stdev.p",スコア表2[maxmin],0),MATCH(AO$5,スコア表2[#Headers],0))
*10+50,"-")</f>
        <v>42.590017253186865</v>
      </c>
      <c r="AP32" s="4">
        <f>IFERROR(
(INDEX(スコア表[],MATCH($C32,スコア表['#],0),MATCH(AP$5,スコア表[#Headers],0))
-
INDEX(スコア表2[],MATCH("average",スコア表2[maxmin],0),MATCH(AP$5,スコア表2[#Headers],0)))
/
INDEX(スコア表2[],MATCH("stdev.p",スコア表2[maxmin],0),MATCH(AP$5,スコア表2[#Headers],0))
*10+50,"-")</f>
        <v>54.723274226998242</v>
      </c>
      <c r="AQ32" s="4">
        <f>IFERROR(
(INDEX(スコア表[],MATCH($C32,スコア表['#],0),MATCH(AQ$5,スコア表[#Headers],0))
-
INDEX(スコア表2[],MATCH("average",スコア表2[maxmin],0),MATCH(AQ$5,スコア表2[#Headers],0)))
/
INDEX(スコア表2[],MATCH("stdev.p",スコア表2[maxmin],0),MATCH(AQ$5,スコア表2[#Headers],0))
*10+50,"-")</f>
        <v>44.09645497295616</v>
      </c>
      <c r="AR32" s="4">
        <f>IFERROR(
(INDEX(スコア表[],MATCH($C32,スコア表['#],0),MATCH(AR$5,スコア表[#Headers],0))
-
INDEX(スコア表2[],MATCH("average",スコア表2[maxmin],0),MATCH(AR$5,スコア表2[#Headers],0)))
/
INDEX(スコア表2[],MATCH("stdev.p",スコア表2[maxmin],0),MATCH(AR$5,スコア表2[#Headers],0))
*10+50,"-")</f>
        <v>44.701380742261385</v>
      </c>
      <c r="AS32" s="4">
        <f>IFERROR(
(INDEX(スコア表[],MATCH($C32,スコア表['#],0),MATCH(AS$5,スコア表[#Headers],0))
-
INDEX(スコア表2[],MATCH("average",スコア表2[maxmin],0),MATCH(AS$5,スコア表2[#Headers],0)))
/
INDEX(スコア表2[],MATCH("stdev.p",スコア表2[maxmin],0),MATCH(AS$5,スコア表2[#Headers],0))
*10+50,"-")</f>
        <v>57.081604452902681</v>
      </c>
      <c r="AT32" s="4">
        <f>IFERROR(
(INDEX(スコア表[],MATCH($C32,スコア表['#],0),MATCH(AT$5,スコア表[#Headers],0))
-
INDEX(スコア表2[],MATCH("average",スコア表2[maxmin],0),MATCH(AT$5,スコア表2[#Headers],0)))
/
INDEX(スコア表2[],MATCH("stdev.p",スコア表2[maxmin],0),MATCH(AT$5,スコア表2[#Headers],0))
*10+50,"-")</f>
        <v>52.362281813561651</v>
      </c>
      <c r="AU32" s="4">
        <f>IFERROR(
(INDEX(スコア表[],MATCH($C32,スコア表['#],0),MATCH(AU$5,スコア表[#Headers],0))
-
INDEX(スコア表2[],MATCH("average",スコア表2[maxmin],0),MATCH(AU$5,スコア表2[#Headers],0)))
/
INDEX(スコア表2[],MATCH("stdev.p",スコア表2[maxmin],0),MATCH(AU$5,スコア表2[#Headers],0))
*10+50,"-")</f>
        <v>60.092286965243119</v>
      </c>
      <c r="AV32" s="4">
        <f>IFERROR(
(INDEX(スコア表[],MATCH($C32,スコア表['#],0),MATCH(AV$5,スコア表[#Headers],0))
-
INDEX(スコア表2[],MATCH("average",スコア表2[maxmin],0),MATCH(AV$5,スコア表2[#Headers],0)))
/
INDEX(スコア表2[],MATCH("stdev.p",スコア表2[maxmin],0),MATCH(AV$5,スコア表2[#Headers],0))
*10+50,"-")</f>
        <v>28.726516394096432</v>
      </c>
      <c r="AW32" s="4">
        <f>IFERROR(
(INDEX(スコア表[],MATCH($C32,スコア表['#],0),MATCH(AW$5,スコア表[#Headers],0))
-
INDEX(スコア表2[],MATCH("average",スコア表2[maxmin],0),MATCH(AW$5,スコア表2[#Headers],0)))
/
INDEX(スコア表2[],MATCH("stdev.p",スコア表2[maxmin],0),MATCH(AW$5,スコア表2[#Headers],0))
*10+50,"-")</f>
        <v>40.517075279668006</v>
      </c>
      <c r="AX32" s="4">
        <f>IFERROR(
(INDEX(スコア表[],MATCH($C32,スコア表['#],0),MATCH(AX$5,スコア表[#Headers],0))
-
INDEX(スコア表2[],MATCH("average",スコア表2[maxmin],0),MATCH(AX$5,スコア表2[#Headers],0)))
/
INDEX(スコア表2[],MATCH("stdev.p",スコア表2[maxmin],0),MATCH(AX$5,スコア表2[#Headers],0))
*10+50,"-")</f>
        <v>48.402256699793753</v>
      </c>
      <c r="AY32" s="4">
        <f>IFERROR(
(INDEX(スコア表[],MATCH($C32,スコア表['#],0),MATCH(AY$5,スコア表[#Headers],0))
-
INDEX(スコア表2[],MATCH("average",スコア表2[maxmin],0),MATCH(AY$5,スコア表2[#Headers],0)))
/
INDEX(スコア表2[],MATCH("stdev.p",スコア表2[maxmin],0),MATCH(AY$5,スコア表2[#Headers],0))
*10+50,"-")</f>
        <v>51.064194745580046</v>
      </c>
      <c r="AZ32" s="4">
        <f>IFERROR(
(INDEX(スコア表[],MATCH($C32,スコア表['#],0),MATCH(AZ$5,スコア表[#Headers],0))
-
INDEX(スコア表2[],MATCH("average",スコア表2[maxmin],0),MATCH(AZ$5,スコア表2[#Headers],0)))
/
INDEX(スコア表2[],MATCH("stdev.p",スコア表2[maxmin],0),MATCH(AZ$5,スコア表2[#Headers],0))
*10+50,"-")</f>
        <v>46.879842773195158</v>
      </c>
      <c r="BA32" s="4">
        <f>IFERROR(
(INDEX(スコア表[],MATCH($C32,スコア表['#],0),MATCH(BA$5,スコア表[#Headers],0))
-
INDEX(スコア表2[],MATCH("average",スコア表2[maxmin],0),MATCH(BA$5,スコア表2[#Headers],0)))
/
INDEX(スコア表2[],MATCH("stdev.p",スコア表2[maxmin],0),MATCH(BA$5,スコア表2[#Headers],0))
*10+50,"-")</f>
        <v>52.951837775060355</v>
      </c>
      <c r="BB32" s="4">
        <f>IFERROR(
(INDEX(スコア表[],MATCH($C32,スコア表['#],0),MATCH(BB$5,スコア表[#Headers],0))
-
INDEX(スコア表2[],MATCH("average",スコア表2[maxmin],0),MATCH(BB$5,スコア表2[#Headers],0)))
/
INDEX(スコア表2[],MATCH("stdev.p",スコア表2[maxmin],0),MATCH(BB$5,スコア表2[#Headers],0))
*10+50,"-")</f>
        <v>35.317106367078722</v>
      </c>
      <c r="BC32" s="4">
        <f>IFERROR(
(INDEX(スコア表[],MATCH($C32,スコア表['#],0),MATCH(BC$5,スコア表[#Headers],0))
-
INDEX(スコア表2[],MATCH("average",スコア表2[maxmin],0),MATCH(BC$5,スコア表2[#Headers],0)))
/
INDEX(スコア表2[],MATCH("stdev.p",スコア表2[maxmin],0),MATCH(BC$5,スコア表2[#Headers],0))
*10+50,"-")</f>
        <v>56.888988927103441</v>
      </c>
      <c r="BD32" s="4">
        <f>IFERROR(
(INDEX(スコア表[],MATCH($C32,スコア表['#],0),MATCH(BD$5,スコア表[#Headers],0))
-
INDEX(スコア表2[],MATCH("average",スコア表2[maxmin],0),MATCH(BD$5,スコア表2[#Headers],0)))
/
INDEX(スコア表2[],MATCH("stdev.p",スコア表2[maxmin],0),MATCH(BD$5,スコア表2[#Headers],0))
*10+50,"-")</f>
        <v>64.760994110607086</v>
      </c>
      <c r="BE32" s="4">
        <f>IFERROR(
(INDEX(スコア表[],MATCH($C32,スコア表['#],0),MATCH(BE$5,スコア表[#Headers],0))
-
INDEX(スコア表2[],MATCH("average",スコア表2[maxmin],0),MATCH(BE$5,スコア表2[#Headers],0)))
/
INDEX(スコア表2[],MATCH("stdev.p",スコア表2[maxmin],0),MATCH(BE$5,スコア表2[#Headers],0))
*10+50,"-")</f>
        <v>37.235918878346254</v>
      </c>
      <c r="BF32" s="4">
        <f>IFERROR(
(INDEX(スコア表[],MATCH($C32,スコア表['#],0),MATCH(BF$5,スコア表[#Headers],0))
-
INDEX(スコア表2[],MATCH("average",スコア表2[maxmin],0),MATCH(BF$5,スコア表2[#Headers],0)))
/
INDEX(スコア表2[],MATCH("stdev.p",スコア表2[maxmin],0),MATCH(BF$5,スコア表2[#Headers],0))
*10+50,"-")</f>
        <v>45.834908906622161</v>
      </c>
      <c r="BG32" s="4">
        <f>IFERROR(
(INDEX(スコア表[],MATCH($C32,スコア表['#],0),MATCH(BG$5,スコア表[#Headers],0))
-
INDEX(スコア表2[],MATCH("average",スコア表2[maxmin],0),MATCH(BG$5,スコア表2[#Headers],0)))
/
INDEX(スコア表2[],MATCH("stdev.p",スコア表2[maxmin],0),MATCH(BG$5,スコア表2[#Headers],0))
*10+50,"-")</f>
        <v>58.675294858052517</v>
      </c>
      <c r="BH32" s="4">
        <f>IFERROR(
(INDEX(スコア表[],MATCH($C32,スコア表['#],0),MATCH(BH$5,スコア表[#Headers],0))
-
INDEX(スコア表2[],MATCH("average",スコア表2[maxmin],0),MATCH(BH$5,スコア表2[#Headers],0)))
/
INDEX(スコア表2[],MATCH("stdev.p",スコア表2[maxmin],0),MATCH(BH$5,スコア表2[#Headers],0))
*10+50,"-")</f>
        <v>44.834716423197847</v>
      </c>
      <c r="BI32" s="4">
        <f>IFERROR(
(INDEX(スコア表[],MATCH($C32,スコア表['#],0),MATCH(BI$5,スコア表[#Headers],0))
-
INDEX(スコア表2[],MATCH("average",スコア表2[maxmin],0),MATCH(BI$5,スコア表2[#Headers],0)))
/
INDEX(スコア表2[],MATCH("stdev.p",スコア表2[maxmin],0),MATCH(BI$5,スコア表2[#Headers],0))
*10+50,"-")</f>
        <v>48.034957318581462</v>
      </c>
      <c r="BJ32" s="4">
        <f>IFERROR(
(INDEX(スコア表[],MATCH($C32,スコア表['#],0),MATCH(BJ$5,スコア表[#Headers],0))
-
INDEX(スコア表2[],MATCH("average",スコア表2[maxmin],0),MATCH(BJ$5,スコア表2[#Headers],0)))
/
INDEX(スコア表2[],MATCH("stdev.p",スコア表2[maxmin],0),MATCH(BJ$5,スコア表2[#Headers],0))
*10+50,"-")</f>
        <v>14.038888641363386</v>
      </c>
      <c r="BK32" s="4">
        <f>IFERROR(
(INDEX(スコア表[],MATCH($C32,スコア表['#],0),MATCH(BK$5,スコア表[#Headers],0))
-
INDEX(スコア表2[],MATCH("average",スコア表2[maxmin],0),MATCH(BK$5,スコア表2[#Headers],0)))
/
INDEX(スコア表2[],MATCH("stdev.p",スコア表2[maxmin],0),MATCH(BK$5,スコア表2[#Headers],0))
*10+50,"-")</f>
        <v>56.85851798048548</v>
      </c>
      <c r="BL32" s="4">
        <f>IFERROR(
(INDEX(スコア表[],MATCH($C32,スコア表['#],0),MATCH(BL$5,スコア表[#Headers],0))
-
INDEX(スコア表2[],MATCH("average",スコア表2[maxmin],0),MATCH(BL$5,スコア表2[#Headers],0)))
/
INDEX(スコア表2[],MATCH("stdev.p",スコア表2[maxmin],0),MATCH(BL$5,スコア表2[#Headers],0))
*10+50,"-")</f>
        <v>56.186027309141053</v>
      </c>
      <c r="BM32" s="4">
        <f>IFERROR(
(INDEX(スコア表[],MATCH($C32,スコア表['#],0),MATCH(BM$5,スコア表[#Headers],0))
-
INDEX(スコア表2[],MATCH("average",スコア表2[maxmin],0),MATCH(BM$5,スコア表2[#Headers],0)))
/
INDEX(スコア表2[],MATCH("stdev.p",スコア表2[maxmin],0),MATCH(BM$5,スコア表2[#Headers],0))
*10+50,"-")</f>
        <v>49.127470302054242</v>
      </c>
      <c r="BN32" s="4">
        <f>IFERROR(
(INDEX(スコア表[],MATCH($C32,スコア表['#],0),MATCH(BN$5,スコア表[#Headers],0))
-
INDEX(スコア表2[],MATCH("average",スコア表2[maxmin],0),MATCH(BN$5,スコア表2[#Headers],0)))
/
INDEX(スコア表2[],MATCH("stdev.p",スコア表2[maxmin],0),MATCH(BN$5,スコア表2[#Headers],0))
*10+50,"-")</f>
        <v>43.40290596676649</v>
      </c>
      <c r="BO32" s="4">
        <f>IFERROR(
(INDEX(スコア表[],MATCH($C32,スコア表['#],0),MATCH(BO$5,スコア表[#Headers],0))
-
INDEX(スコア表2[],MATCH("average",スコア表2[maxmin],0),MATCH(BO$5,スコア表2[#Headers],0)))
/
INDEX(スコア表2[],MATCH("stdev.p",スコア表2[maxmin],0),MATCH(BO$5,スコア表2[#Headers],0))
*10+50,"-")</f>
        <v>33.479385628711398</v>
      </c>
      <c r="BP32" s="4">
        <f>IFERROR(
(INDEX(スコア表[],MATCH($C32,スコア表['#],0),MATCH(BP$5,スコア表[#Headers],0))
-
INDEX(スコア表2[],MATCH("average",スコア表2[maxmin],0),MATCH(BP$5,スコア表2[#Headers],0)))
/
INDEX(スコア表2[],MATCH("stdev.p",スコア表2[maxmin],0),MATCH(BP$5,スコア表2[#Headers],0))
*10+50,"-")</f>
        <v>40.440820111521298</v>
      </c>
      <c r="BQ32" s="4">
        <f>IFERROR(
(INDEX(スコア表[],MATCH($C32,スコア表['#],0),MATCH(BQ$5,スコア表[#Headers],0))
-
INDEX(スコア表2[],MATCH("average",スコア表2[maxmin],0),MATCH(BQ$5,スコア表2[#Headers],0)))
/
INDEX(スコア表2[],MATCH("stdev.p",スコア表2[maxmin],0),MATCH(BQ$5,スコア表2[#Headers],0))
*10+50,"-")</f>
        <v>43.562898198939656</v>
      </c>
      <c r="BR32" s="4">
        <f>IFERROR(
(INDEX(スコア表[],MATCH($C32,スコア表['#],0),MATCH(BR$5,スコア表[#Headers],0))
-
INDEX(スコア表2[],MATCH("average",スコア表2[maxmin],0),MATCH(BR$5,スコア表2[#Headers],0)))
/
INDEX(スコア表2[],MATCH("stdev.p",スコア表2[maxmin],0),MATCH(BR$5,スコア表2[#Headers],0))
*10+50,"-")</f>
        <v>51.089170586843892</v>
      </c>
      <c r="BS32" s="4">
        <f>IFERROR(
(INDEX(スコア表[],MATCH($C32,スコア表['#],0),MATCH(BS$5,スコア表[#Headers],0))
-
INDEX(スコア表2[],MATCH("average",スコア表2[maxmin],0),MATCH(BS$5,スコア表2[#Headers],0)))
/
INDEX(スコア表2[],MATCH("stdev.p",スコア表2[maxmin],0),MATCH(BS$5,スコア表2[#Headers],0))
*10+50,"-")</f>
        <v>50.561698597178406</v>
      </c>
      <c r="BT32" s="4">
        <f>IFERROR(
(INDEX(スコア表[],MATCH($C32,スコア表['#],0),MATCH(BT$5,スコア表[#Headers],0))
-
INDEX(スコア表2[],MATCH("average",スコア表2[maxmin],0),MATCH(BT$5,スコア表2[#Headers],0)))
/
INDEX(スコア表2[],MATCH("stdev.p",スコア表2[maxmin],0),MATCH(BT$5,スコア表2[#Headers],0))
*10+50,"-")</f>
        <v>52.351193681045537</v>
      </c>
      <c r="BU32" s="4">
        <f>IFERROR(
(INDEX(スコア表[],MATCH($C32,スコア表['#],0),MATCH(BU$5,スコア表[#Headers],0))
-
INDEX(スコア表2[],MATCH("average",スコア表2[maxmin],0),MATCH(BU$5,スコア表2[#Headers],0)))
/
INDEX(スコア表2[],MATCH("stdev.p",スコア表2[maxmin],0),MATCH(BU$5,スコア表2[#Headers],0))
*10+50,"-")</f>
        <v>41.435387111915844</v>
      </c>
      <c r="BV32" s="4">
        <f>IFERROR(
(INDEX(スコア表[],MATCH($C32,スコア表['#],0),MATCH(BV$5,スコア表[#Headers],0))
-
INDEX(スコア表2[],MATCH("average",スコア表2[maxmin],0),MATCH(BV$5,スコア表2[#Headers],0)))
/
INDEX(スコア表2[],MATCH("stdev.p",スコア表2[maxmin],0),MATCH(BV$5,スコア表2[#Headers],0))
*10+50,"-")</f>
        <v>59.737158880908964</v>
      </c>
      <c r="BW32" s="4">
        <f>IFERROR(
(INDEX(スコア表[],MATCH($C32,スコア表['#],0),MATCH(BW$5,スコア表[#Headers],0))
-
INDEX(スコア表2[],MATCH("average",スコア表2[maxmin],0),MATCH(BW$5,スコア表2[#Headers],0)))
/
INDEX(スコア表2[],MATCH("stdev.p",スコア表2[maxmin],0),MATCH(BW$5,スコア表2[#Headers],0))
*10+50,"-")</f>
        <v>50.268149043084648</v>
      </c>
      <c r="BX32" s="4">
        <f>IFERROR(
(INDEX(スコア表[],MATCH($C32,スコア表['#],0),MATCH(BX$5,スコア表[#Headers],0))
-
INDEX(スコア表2[],MATCH("average",スコア表2[maxmin],0),MATCH(BX$5,スコア表2[#Headers],0)))
/
INDEX(スコア表2[],MATCH("stdev.p",スコア表2[maxmin],0),MATCH(BX$5,スコア表2[#Headers],0))
*10+50,"-")</f>
        <v>49.069001826575075</v>
      </c>
      <c r="BY32" s="4">
        <f>IFERROR(
(INDEX(スコア表[],MATCH($C32,スコア表['#],0),MATCH(BY$5,スコア表[#Headers],0))
-
INDEX(スコア表2[],MATCH("average",スコア表2[maxmin],0),MATCH(BY$5,スコア表2[#Headers],0)))
/
INDEX(スコア表2[],MATCH("stdev.p",スコア表2[maxmin],0),MATCH(BY$5,スコア表2[#Headers],0))
*10+50,"-")</f>
        <v>42.204735698799915</v>
      </c>
      <c r="BZ32" s="4">
        <f>IFERROR(
(INDEX(スコア表[],MATCH($C32,スコア表['#],0),MATCH(BZ$5,スコア表[#Headers],0))
-
INDEX(スコア表2[],MATCH("average",スコア表2[maxmin],0),MATCH(BZ$5,スコア表2[#Headers],0)))
/
INDEX(スコア表2[],MATCH("stdev.p",スコア表2[maxmin],0),MATCH(BZ$5,スコア表2[#Headers],0))
*10+50,"-")</f>
        <v>69.484685915980961</v>
      </c>
      <c r="CA32" s="4">
        <f>IFERROR(
(INDEX(スコア表[],MATCH($C32,スコア表['#],0),MATCH(CA$5,スコア表[#Headers],0))
-
INDEX(スコア表2[],MATCH("average",スコア表2[maxmin],0),MATCH(CA$5,スコア表2[#Headers],0)))
/
INDEX(スコア表2[],MATCH("stdev.p",スコア表2[maxmin],0),MATCH(CA$5,スコア表2[#Headers],0))
*10+50,"-")</f>
        <v>58.014654918517543</v>
      </c>
      <c r="CB32" s="4">
        <f>IFERROR(
(INDEX(スコア表[],MATCH($C32,スコア表['#],0),MATCH(CB$5,スコア表[#Headers],0))
-
INDEX(スコア表2[],MATCH("average",スコア表2[maxmin],0),MATCH(CB$5,スコア表2[#Headers],0)))
/
INDEX(スコア表2[],MATCH("stdev.p",スコア表2[maxmin],0),MATCH(CB$5,スコア表2[#Headers],0))
*10+50,"-")</f>
        <v>46.234229063253515</v>
      </c>
      <c r="CC32" s="4">
        <f>IFERROR(
(INDEX(スコア表[],MATCH($C32,スコア表['#],0),MATCH(CC$5,スコア表[#Headers],0))
-
INDEX(スコア表2[],MATCH("average",スコア表2[maxmin],0),MATCH(CC$5,スコア表2[#Headers],0)))
/
INDEX(スコア表2[],MATCH("stdev.p",スコア表2[maxmin],0),MATCH(CC$5,スコア表2[#Headers],0))
*10+50,"-")</f>
        <v>41.558466883517966</v>
      </c>
      <c r="CD32" s="4">
        <f>IFERROR(
(INDEX(スコア表[],MATCH($C32,スコア表['#],0),MATCH(CD$5,スコア表[#Headers],0))
-
INDEX(スコア表2[],MATCH("average",スコア表2[maxmin],0),MATCH(CD$5,スコア表2[#Headers],0)))
/
INDEX(スコア表2[],MATCH("stdev.p",スコア表2[maxmin],0),MATCH(CD$5,スコア表2[#Headers],0))
*10+50,"-")</f>
        <v>66.155556133065801</v>
      </c>
      <c r="CE32" s="4">
        <f>IFERROR(
(INDEX(スコア表[],MATCH($C32,スコア表['#],0),MATCH(CE$5,スコア表[#Headers],0))
-
INDEX(スコア表2[],MATCH("average",スコア表2[maxmin],0),MATCH(CE$5,スコア表2[#Headers],0)))
/
INDEX(スコア表2[],MATCH("stdev.p",スコア表2[maxmin],0),MATCH(CE$5,スコア表2[#Headers],0))
*10+50,"-")</f>
        <v>51.887570491635039</v>
      </c>
      <c r="CF32" s="4">
        <f>IFERROR(
(INDEX(スコア表[],MATCH($C32,スコア表['#],0),MATCH(CF$5,スコア表[#Headers],0))
-
INDEX(スコア表2[],MATCH("average",スコア表2[maxmin],0),MATCH(CF$5,スコア表2[#Headers],0)))
/
INDEX(スコア表2[],MATCH("stdev.p",スコア表2[maxmin],0),MATCH(CF$5,スコア表2[#Headers],0))
*10+50,"-")</f>
        <v>56.447801334305026</v>
      </c>
      <c r="CG32" s="4">
        <f>IFERROR(
(INDEX(スコア表[],MATCH($C32,スコア表['#],0),MATCH(CG$5,スコア表[#Headers],0))
-
INDEX(スコア表2[],MATCH("average",スコア表2[maxmin],0),MATCH(CG$5,スコア表2[#Headers],0)))
/
INDEX(スコア表2[],MATCH("stdev.p",スコア表2[maxmin],0),MATCH(CG$5,スコア表2[#Headers],0))
*10+50,"-")</f>
        <v>53.371295193316968</v>
      </c>
      <c r="CH32" s="4">
        <f>IFERROR(
(INDEX(スコア表[],MATCH($C32,スコア表['#],0),MATCH(CH$5,スコア表[#Headers],0))
-
INDEX(スコア表2[],MATCH("average",スコア表2[maxmin],0),MATCH(CH$5,スコア表2[#Headers],0)))
/
INDEX(スコア表2[],MATCH("stdev.p",スコア表2[maxmin],0),MATCH(CH$5,スコア表2[#Headers],0))
*10+50,"-")</f>
        <v>72.315997619442129</v>
      </c>
      <c r="CI32" s="4">
        <f>IFERROR(
(INDEX(スコア表[],MATCH($C32,スコア表['#],0),MATCH(CI$5,スコア表[#Headers],0))
-
INDEX(スコア表2[],MATCH("average",スコア表2[maxmin],0),MATCH(CI$5,スコア表2[#Headers],0)))
/
INDEX(スコア表2[],MATCH("stdev.p",スコア表2[maxmin],0),MATCH(CI$5,スコア表2[#Headers],0))
*10+50,"-")</f>
        <v>47.300383159130959</v>
      </c>
      <c r="CJ32" s="4">
        <f>IFERROR(
(INDEX(スコア表[],MATCH($C32,スコア表['#],0),MATCH(CJ$5,スコア表[#Headers],0))
-
INDEX(スコア表2[],MATCH("average",スコア表2[maxmin],0),MATCH(CJ$5,スコア表2[#Headers],0)))
/
INDEX(スコア表2[],MATCH("stdev.p",スコア表2[maxmin],0),MATCH(CJ$5,スコア表2[#Headers],0))
*10+50,"-")</f>
        <v>39.32163680412679</v>
      </c>
      <c r="CK32" s="4">
        <f>IFERROR(
(INDEX(スコア表[],MATCH($C32,スコア表['#],0),MATCH(CK$5,スコア表[#Headers],0))
-
INDEX(スコア表2[],MATCH("average",スコア表2[maxmin],0),MATCH(CK$5,スコア表2[#Headers],0)))
/
INDEX(スコア表2[],MATCH("stdev.p",スコア表2[maxmin],0),MATCH(CK$5,スコア表2[#Headers],0))
*10+50,"-")</f>
        <v>44.445115472492134</v>
      </c>
      <c r="CL32" s="4">
        <f>IFERROR(
(INDEX(スコア表[],MATCH($C32,スコア表['#],0),MATCH(CL$5,スコア表[#Headers],0))
-
INDEX(スコア表2[],MATCH("average",スコア表2[maxmin],0),MATCH(CL$5,スコア表2[#Headers],0)))
/
INDEX(スコア表2[],MATCH("stdev.p",スコア表2[maxmin],0),MATCH(CL$5,スコア表2[#Headers],0))
*10+50,"-")</f>
        <v>45.441677878464233</v>
      </c>
      <c r="CM32" s="4">
        <f>IFERROR(
(INDEX(スコア表[],MATCH($C32,スコア表['#],0),MATCH(CM$5,スコア表[#Headers],0))
-
INDEX(スコア表2[],MATCH("average",スコア表2[maxmin],0),MATCH(CM$5,スコア表2[#Headers],0)))
/
INDEX(スコア表2[],MATCH("stdev.p",スコア表2[maxmin],0),MATCH(CM$5,スコア表2[#Headers],0))
*10+50,"-")</f>
        <v>43.625904521782822</v>
      </c>
      <c r="CN32" s="4">
        <f>IFERROR(
(INDEX(スコア表[],MATCH($C32,スコア表['#],0),MATCH(CN$5,スコア表[#Headers],0))
-
INDEX(スコア表2[],MATCH("average",スコア表2[maxmin],0),MATCH(CN$5,スコア表2[#Headers],0)))
/
INDEX(スコア表2[],MATCH("stdev.p",スコア表2[maxmin],0),MATCH(CN$5,スコア表2[#Headers],0))
*10+50,"-")</f>
        <v>62.662876731295661</v>
      </c>
      <c r="CO32" s="4">
        <f>IFERROR(
(INDEX(スコア表[],MATCH($C32,スコア表['#],0),MATCH(CO$5,スコア表[#Headers],0))
-
INDEX(スコア表2[],MATCH("average",スコア表2[maxmin],0),MATCH(CO$5,スコア表2[#Headers],0)))
/
INDEX(スコア表2[],MATCH("stdev.p",スコア表2[maxmin],0),MATCH(CO$5,スコア表2[#Headers],0))
*10+50,"-")</f>
        <v>32.619730548722245</v>
      </c>
      <c r="CP32" s="4">
        <f>IFERROR(
(INDEX(スコア表[],MATCH($C32,スコア表['#],0),MATCH(CP$5,スコア表[#Headers],0))
-
INDEX(スコア表2[],MATCH("average",スコア表2[maxmin],0),MATCH(CP$5,スコア表2[#Headers],0)))
/
INDEX(スコア表2[],MATCH("stdev.p",スコア表2[maxmin],0),MATCH(CP$5,スコア表2[#Headers],0))
*10+50,"-")</f>
        <v>49.295526189223068</v>
      </c>
      <c r="CQ32" s="4">
        <f>IFERROR(
(INDEX(スコア表[],MATCH($C32,スコア表['#],0),MATCH(CQ$5,スコア表[#Headers],0))
-
INDEX(スコア表2[],MATCH("average",スコア表2[maxmin],0),MATCH(CQ$5,スコア表2[#Headers],0)))
/
INDEX(スコア表2[],MATCH("stdev.p",スコア表2[maxmin],0),MATCH(CQ$5,スコア表2[#Headers],0))
*10+50,"-")</f>
        <v>43.110330614679377</v>
      </c>
      <c r="CR32" s="4">
        <f>IFERROR(
(INDEX(スコア表[],MATCH($C32,スコア表['#],0),MATCH(CR$5,スコア表[#Headers],0))
-
INDEX(スコア表2[],MATCH("average",スコア表2[maxmin],0),MATCH(CR$5,スコア表2[#Headers],0)))
/
INDEX(スコア表2[],MATCH("stdev.p",スコア表2[maxmin],0),MATCH(CR$5,スコア表2[#Headers],0))
*10+50,"-")</f>
        <v>53.655868621522131</v>
      </c>
      <c r="CS32" s="4">
        <f>IFERROR(
(INDEX(スコア表[],MATCH($C32,スコア表['#],0),MATCH(CS$5,スコア表[#Headers],0))
-
INDEX(スコア表2[],MATCH("average",スコア表2[maxmin],0),MATCH(CS$5,スコア表2[#Headers],0)))
/
INDEX(スコア表2[],MATCH("stdev.p",スコア表2[maxmin],0),MATCH(CS$5,スコア表2[#Headers],0))
*10+50,"-")</f>
        <v>50.61158703580702</v>
      </c>
      <c r="CT32" s="4">
        <f>IFERROR(
(INDEX(スコア表[],MATCH($C32,スコア表['#],0),MATCH(CT$5,スコア表[#Headers],0))
-
INDEX(スコア表2[],MATCH("average",スコア表2[maxmin],0),MATCH(CT$5,スコア表2[#Headers],0)))
/
INDEX(スコア表2[],MATCH("stdev.p",スコア表2[maxmin],0),MATCH(CT$5,スコア表2[#Headers],0))
*10+50,"-")</f>
        <v>37.456939008209616</v>
      </c>
      <c r="CU32" s="4">
        <f>IFERROR(
(INDEX(スコア表[],MATCH($C32,スコア表['#],0),MATCH(CU$5,スコア表[#Headers],0))
-
INDEX(スコア表2[],MATCH("average",スコア表2[maxmin],0),MATCH(CU$5,スコア表2[#Headers],0)))
/
INDEX(スコア表2[],MATCH("stdev.p",スコア表2[maxmin],0),MATCH(CU$5,スコア表2[#Headers],0))
*10+50,"-")</f>
        <v>40.677343470106329</v>
      </c>
      <c r="CV32" s="4">
        <f>IFERROR(
(INDEX(スコア表[],MATCH($C32,スコア表['#],0),MATCH(CV$5,スコア表[#Headers],0))
-
INDEX(スコア表2[],MATCH("average",スコア表2[maxmin],0),MATCH(CV$5,スコア表2[#Headers],0)))
/
INDEX(スコア表2[],MATCH("stdev.p",スコア表2[maxmin],0),MATCH(CV$5,スコア表2[#Headers],0))
*10+50,"-")</f>
        <v>39.019730822521169</v>
      </c>
      <c r="CW32" s="4">
        <f>IFERROR(
(INDEX(スコア表[],MATCH($C32,スコア表['#],0),MATCH(CW$5,スコア表[#Headers],0))
-
INDEX(スコア表2[],MATCH("average",スコア表2[maxmin],0),MATCH(CW$5,スコア表2[#Headers],0)))
/
INDEX(スコア表2[],MATCH("stdev.p",スコア表2[maxmin],0),MATCH(CW$5,スコア表2[#Headers],0))
*10+50,"-")</f>
        <v>50.858664675389477</v>
      </c>
      <c r="CX32" s="4">
        <f>IFERROR(
(INDEX(スコア表[],MATCH($C32,スコア表['#],0),MATCH(CX$5,スコア表[#Headers],0))
-
INDEX(スコア表2[],MATCH("average",スコア表2[maxmin],0),MATCH(CX$5,スコア表2[#Headers],0)))
/
INDEX(スコア表2[],MATCH("stdev.p",スコア表2[maxmin],0),MATCH(CX$5,スコア表2[#Headers],0))
*10+50,"-")</f>
        <v>51.970722711269865</v>
      </c>
      <c r="CY32" s="4">
        <f>IFERROR(
(INDEX(スコア表[],MATCH($C32,スコア表['#],0),MATCH(CY$5,スコア表[#Headers],0))
-
INDEX(スコア表2[],MATCH("average",スコア表2[maxmin],0),MATCH(CY$5,スコア表2[#Headers],0)))
/
INDEX(スコア表2[],MATCH("stdev.p",スコア表2[maxmin],0),MATCH(CY$5,スコア表2[#Headers],0))
*10+50,"-")</f>
        <v>46.06584025051702</v>
      </c>
      <c r="CZ32" s="4">
        <f>IFERROR(
(INDEX(スコア表[],MATCH($C32,スコア表['#],0),MATCH(CZ$5,スコア表[#Headers],0))
-
INDEX(スコア表2[],MATCH("average",スコア表2[maxmin],0),MATCH(CZ$5,スコア表2[#Headers],0)))
/
INDEX(スコア表2[],MATCH("stdev.p",スコア表2[maxmin],0),MATCH(CZ$5,スコア表2[#Headers],0))
*10+50,"-")</f>
        <v>60.888063375484194</v>
      </c>
      <c r="DA32" s="4">
        <f>IFERROR(
(INDEX(スコア表[],MATCH($C32,スコア表['#],0),MATCH(DA$5,スコア表[#Headers],0))
-
INDEX(スコア表2[],MATCH("average",スコア表2[maxmin],0),MATCH(DA$5,スコア表2[#Headers],0)))
/
INDEX(スコア表2[],MATCH("stdev.p",スコア表2[maxmin],0),MATCH(DA$5,スコア表2[#Headers],0))
*10+50,"-")</f>
        <v>61.127727648859441</v>
      </c>
      <c r="DB32" s="4">
        <f>IFERROR(
(INDEX(スコア表[],MATCH($C32,スコア表['#],0),MATCH(DB$5,スコア表[#Headers],0))
-
INDEX(スコア表2[],MATCH("average",スコア表2[maxmin],0),MATCH(DB$5,スコア表2[#Headers],0)))
/
INDEX(スコア表2[],MATCH("stdev.p",スコア表2[maxmin],0),MATCH(DB$5,スコア表2[#Headers],0))
*10+50,"-")</f>
        <v>41.977430630811384</v>
      </c>
      <c r="DC32" s="4">
        <f>IFERROR(
(INDEX(スコア表[],MATCH($C32,スコア表['#],0),MATCH(DC$5,スコア表[#Headers],0))
-
INDEX(スコア表2[],MATCH("average",スコア表2[maxmin],0),MATCH(DC$5,スコア表2[#Headers],0)))
/
INDEX(スコア表2[],MATCH("stdev.p",スコア表2[maxmin],0),MATCH(DC$5,スコア表2[#Headers],0))
*10+50,"-")</f>
        <v>39.577580381670401</v>
      </c>
      <c r="DD32" s="4">
        <f>IFERROR(
(INDEX(スコア表[],MATCH($C32,スコア表['#],0),MATCH(DD$5,スコア表[#Headers],0))
-
INDEX(スコア表2[],MATCH("average",スコア表2[maxmin],0),MATCH(DD$5,スコア表2[#Headers],0)))
/
INDEX(スコア表2[],MATCH("stdev.p",スコア表2[maxmin],0),MATCH(DD$5,スコア表2[#Headers],0))
*10+50,"-")</f>
        <v>39.886224216631433</v>
      </c>
      <c r="DE32" s="4">
        <f>IFERROR(
(INDEX(スコア表[],MATCH($C32,スコア表['#],0),MATCH(DE$5,スコア表[#Headers],0))
-
INDEX(スコア表2[],MATCH("average",スコア表2[maxmin],0),MATCH(DE$5,スコア表2[#Headers],0)))
/
INDEX(スコア表2[],MATCH("stdev.p",スコア表2[maxmin],0),MATCH(DE$5,スコア表2[#Headers],0))
*10+50,"-")</f>
        <v>44.956440360683608</v>
      </c>
      <c r="DF32" s="76">
        <f>IFERROR(
(INDEX(スコア表[],MATCH($C32,スコア表['#],0),MATCH(DF$5,スコア表[#Headers],0))
-
INDEX(スコア表2[],MATCH("average",スコア表2[maxmin],0),MATCH(DF$5,スコア表2[#Headers],0)))
/
INDEX(スコア表2[],MATCH("stdev.p",スコア表2[maxmin],0),MATCH(DF$5,スコア表2[#Headers],0))
*10+50,"-")</f>
        <v>49.285569946582285</v>
      </c>
      <c r="DG32" s="4">
        <f>IFERROR(_xlfn.STDEV.P(偏差値表[[#This Row],[Economy]:[Accessibility]]),"")</f>
        <v>9.3159006106738786</v>
      </c>
    </row>
    <row r="33" spans="1:111">
      <c r="A33" s="2">
        <v>28</v>
      </c>
      <c r="B33" s="58">
        <f>INDEX(順位表[Comprehensive],MATCH($C33,順位表['#],0))</f>
        <v>28</v>
      </c>
      <c r="C33" s="3">
        <v>45</v>
      </c>
      <c r="D33" s="1" t="str">
        <f>INDEX(都市マスタ[City Name],MATCH($C33,都市マスタ['#],0))</f>
        <v>Dublin</v>
      </c>
      <c r="E33" s="4">
        <f>IFERROR(
(INDEX(スコア表[],MATCH($C33,スコア表['#],0),MATCH(E$5,スコア表[#Headers],0))
-
INDEX(スコア表2[],MATCH("average",スコア表2[maxmin],0),MATCH(E$5,スコア表2[#Headers],0)))
/
INDEX(スコア表2[],MATCH("stdev.p",スコア表2[maxmin],0),MATCH(E$5,スコア表2[#Headers],0))
*10+50,"-")</f>
        <v>41.550138146680169</v>
      </c>
      <c r="F33" s="4">
        <f>IFERROR(
(INDEX(スコア表[],MATCH($C33,スコア表['#],0),MATCH(F$5,スコア表[#Headers],0))
-
INDEX(スコア表2[],MATCH("average",スコア表2[maxmin],0),MATCH(F$5,スコア表2[#Headers],0)))
/
INDEX(スコア表2[],MATCH("stdev.p",スコア表2[maxmin],0),MATCH(F$5,スコア表2[#Headers],0))
*10+50,"-")</f>
        <v>45.13144486281</v>
      </c>
      <c r="G33" s="4">
        <f>IFERROR(
(INDEX(スコア表[],MATCH($C33,スコア表['#],0),MATCH(G$5,スコア表[#Headers],0))
-
INDEX(スコア表2[],MATCH("average",スコア表2[maxmin],0),MATCH(G$5,スコア表2[#Headers],0)))
/
INDEX(スコア表2[],MATCH("stdev.p",スコア表2[maxmin],0),MATCH(G$5,スコア表2[#Headers],0))
*10+50,"-")</f>
        <v>48.33249429603066</v>
      </c>
      <c r="H33" s="4">
        <f>IFERROR(
(INDEX(スコア表[],MATCH($C33,スコア表['#],0),MATCH(H$5,スコア表[#Headers],0))
-
INDEX(スコア表2[],MATCH("average",スコア表2[maxmin],0),MATCH(H$5,スコア表2[#Headers],0)))
/
INDEX(スコア表2[],MATCH("stdev.p",スコア表2[maxmin],0),MATCH(H$5,スコア表2[#Headers],0))
*10+50,"-")</f>
        <v>43.464769089992153</v>
      </c>
      <c r="I33" s="4">
        <f>IFERROR(
(INDEX(スコア表[],MATCH($C33,スコア表['#],0),MATCH(I$5,スコア表[#Headers],0))
-
INDEX(スコア表2[],MATCH("average",スコア表2[maxmin],0),MATCH(I$5,スコア表2[#Headers],0)))
/
INDEX(スコア表2[],MATCH("stdev.p",スコア表2[maxmin],0),MATCH(I$5,スコア表2[#Headers],0))
*10+50,"-")</f>
        <v>64.284475607058084</v>
      </c>
      <c r="J33" s="4">
        <f>IFERROR(
(INDEX(スコア表[],MATCH($C33,スコア表['#],0),MATCH(J$5,スコア表[#Headers],0))
-
INDEX(スコア表2[],MATCH("average",スコア表2[maxmin],0),MATCH(J$5,スコア表2[#Headers],0)))
/
INDEX(スコア表2[],MATCH("stdev.p",スコア表2[maxmin],0),MATCH(J$5,スコア表2[#Headers],0))
*10+50,"-")</f>
        <v>83.515868132633017</v>
      </c>
      <c r="K33" s="4">
        <f>IFERROR(
(INDEX(スコア表[],MATCH($C33,スコア表['#],0),MATCH(K$5,スコア表[#Headers],0))
-
INDEX(スコア表2[],MATCH("average",スコア表2[maxmin],0),MATCH(K$5,スコア表2[#Headers],0)))
/
INDEX(スコア表2[],MATCH("stdev.p",スコア表2[maxmin],0),MATCH(K$5,スコア表2[#Headers],0))
*10+50,"-")</f>
        <v>64.462036648993077</v>
      </c>
      <c r="L33" s="4">
        <f>IFERROR(
(INDEX(スコア表[],MATCH($C33,スコア表['#],0),MATCH(L$5,スコア表[#Headers],0))
-
INDEX(スコア表2[],MATCH("average",スコア表2[maxmin],0),MATCH(L$5,スコア表2[#Headers],0)))
/
INDEX(スコア表2[],MATCH("stdev.p",スコア表2[maxmin],0),MATCH(L$5,スコア表2[#Headers],0))
*10+50,"-")</f>
        <v>47.057522981990317</v>
      </c>
      <c r="M33" s="4">
        <f>IFERROR(
(INDEX(スコア表[],MATCH($C33,スコア表['#],0),MATCH(M$5,スコア表[#Headers],0))
-
INDEX(スコア表2[],MATCH("average",スコア表2[maxmin],0),MATCH(M$5,スコア表2[#Headers],0)))
/
INDEX(スコア表2[],MATCH("stdev.p",スコア表2[maxmin],0),MATCH(M$5,スコア表2[#Headers],0))
*10+50,"-")</f>
        <v>47.087026324251724</v>
      </c>
      <c r="N33" s="4">
        <f>IFERROR(
(INDEX(スコア表[],MATCH($C33,スコア表['#],0),MATCH(N$5,スコア表[#Headers],0))
-
INDEX(スコア表2[],MATCH("average",スコア表2[maxmin],0),MATCH(N$5,スコア表2[#Headers],0)))
/
INDEX(スコア表2[],MATCH("stdev.p",スコア表2[maxmin],0),MATCH(N$5,スコア表2[#Headers],0))
*10+50,"-")</f>
        <v>41.199284646524113</v>
      </c>
      <c r="O33" s="4">
        <f>IFERROR(
(INDEX(スコア表[],MATCH($C33,スコア表['#],0),MATCH(O$5,スコア表[#Headers],0))
-
INDEX(スコア表2[],MATCH("average",スコア表2[maxmin],0),MATCH(O$5,スコア表2[#Headers],0)))
/
INDEX(スコア表2[],MATCH("stdev.p",スコア表2[maxmin],0),MATCH(O$5,スコア表2[#Headers],0))
*10+50,"-")</f>
        <v>48.393552087979543</v>
      </c>
      <c r="P33" s="4">
        <f>IFERROR(
(INDEX(スコア表[],MATCH($C33,スコア表['#],0),MATCH(P$5,スコア表[#Headers],0))
-
INDEX(スコア表2[],MATCH("average",スコア表2[maxmin],0),MATCH(P$5,スコア表2[#Headers],0)))
/
INDEX(スコア表2[],MATCH("stdev.p",スコア表2[maxmin],0),MATCH(P$5,スコア表2[#Headers],0))
*10+50,"-")</f>
        <v>50.2776725784815</v>
      </c>
      <c r="Q33" s="4">
        <f>IFERROR(
(INDEX(スコア表[],MATCH($C33,スコア表['#],0),MATCH(Q$5,スコア表[#Headers],0))
-
INDEX(スコア表2[],MATCH("average",スコア表2[maxmin],0),MATCH(Q$5,スコア表2[#Headers],0)))
/
INDEX(スコア表2[],MATCH("stdev.p",スコア表2[maxmin],0),MATCH(Q$5,スコア表2[#Headers],0))
*10+50,"-")</f>
        <v>59.082748677528855</v>
      </c>
      <c r="R33" s="4">
        <f>IFERROR(
(INDEX(スコア表[],MATCH($C33,スコア表['#],0),MATCH(R$5,スコア表[#Headers],0))
-
INDEX(スコア表2[],MATCH("average",スコア表2[maxmin],0),MATCH(R$5,スコア表2[#Headers],0)))
/
INDEX(スコア表2[],MATCH("stdev.p",スコア表2[maxmin],0),MATCH(R$5,スコア表2[#Headers],0))
*10+50,"-")</f>
        <v>43.02383151744278</v>
      </c>
      <c r="S33" s="4">
        <f>IFERROR(
(INDEX(スコア表[],MATCH($C33,スコア表['#],0),MATCH(S$5,スコア表[#Headers],0))
-
INDEX(スコア表2[],MATCH("average",スコア表2[maxmin],0),MATCH(S$5,スコア表2[#Headers],0)))
/
INDEX(スコア表2[],MATCH("stdev.p",スコア表2[maxmin],0),MATCH(S$5,スコア表2[#Headers],0))
*10+50,"-")</f>
        <v>72.141974204603486</v>
      </c>
      <c r="T33" s="4">
        <f>IFERROR(
(INDEX(スコア表[],MATCH($C33,スコア表['#],0),MATCH(T$5,スコア表[#Headers],0))
-
INDEX(スコア表2[],MATCH("average",スコア表2[maxmin],0),MATCH(T$5,スコア表2[#Headers],0)))
/
INDEX(スコア表2[],MATCH("stdev.p",スコア表2[maxmin],0),MATCH(T$5,スコア表2[#Headers],0))
*10+50,"-")</f>
        <v>54.12142678880511</v>
      </c>
      <c r="U33" s="4">
        <f>IFERROR(
(INDEX(スコア表[],MATCH($C33,スコア表['#],0),MATCH(U$5,スコア表[#Headers],0))
-
INDEX(スコア表2[],MATCH("average",スコア表2[maxmin],0),MATCH(U$5,スコア表2[#Headers],0)))
/
INDEX(スコア表2[],MATCH("stdev.p",スコア表2[maxmin],0),MATCH(U$5,スコア表2[#Headers],0))
*10+50,"-")</f>
        <v>41.517153366329744</v>
      </c>
      <c r="V33" s="4">
        <f>IFERROR(
(INDEX(スコア表[],MATCH($C33,スコア表['#],0),MATCH(V$5,スコア表[#Headers],0))
-
INDEX(スコア表2[],MATCH("average",スコア表2[maxmin],0),MATCH(V$5,スコア表2[#Headers],0)))
/
INDEX(スコア表2[],MATCH("stdev.p",スコア表2[maxmin],0),MATCH(V$5,スコア表2[#Headers],0))
*10+50,"-")</f>
        <v>42.532975055778536</v>
      </c>
      <c r="W33" s="4">
        <f>IFERROR(
(INDEX(スコア表[],MATCH($C33,スコア表['#],0),MATCH(W$5,スコア表[#Headers],0))
-
INDEX(スコア表2[],MATCH("average",スコア表2[maxmin],0),MATCH(W$5,スコア表2[#Headers],0)))
/
INDEX(スコア表2[],MATCH("stdev.p",スコア表2[maxmin],0),MATCH(W$5,スコア表2[#Headers],0))
*10+50,"-")</f>
        <v>43.98240202509551</v>
      </c>
      <c r="X33" s="4">
        <f>IFERROR(
(INDEX(スコア表[],MATCH($C33,スコア表['#],0),MATCH(X$5,スコア表[#Headers],0))
-
INDEX(スコア表2[],MATCH("average",スコア表2[maxmin],0),MATCH(X$5,スコア表2[#Headers],0)))
/
INDEX(スコア表2[],MATCH("stdev.p",スコア表2[maxmin],0),MATCH(X$5,スコア表2[#Headers],0))
*10+50,"-")</f>
        <v>48.588906268805076</v>
      </c>
      <c r="Y33" s="4">
        <f>IFERROR(
(INDEX(スコア表[],MATCH($C33,スコア表['#],0),MATCH(Y$5,スコア表[#Headers],0))
-
INDEX(スコア表2[],MATCH("average",スコア表2[maxmin],0),MATCH(Y$5,スコア表2[#Headers],0)))
/
INDEX(スコア表2[],MATCH("stdev.p",スコア表2[maxmin],0),MATCH(Y$5,スコア表2[#Headers],0))
*10+50,"-")</f>
        <v>54.349802255705427</v>
      </c>
      <c r="Z33" s="4">
        <f>IFERROR(
(INDEX(スコア表[],MATCH($C33,スコア表['#],0),MATCH(Z$5,スコア表[#Headers],0))
-
INDEX(スコア表2[],MATCH("average",スコア表2[maxmin],0),MATCH(Z$5,スコア表2[#Headers],0)))
/
INDEX(スコア表2[],MATCH("stdev.p",スコア表2[maxmin],0),MATCH(Z$5,スコア表2[#Headers],0))
*10+50,"-")</f>
        <v>43.91514407847724</v>
      </c>
      <c r="AA33" s="4">
        <f>IFERROR(
(INDEX(スコア表[],MATCH($C33,スコア表['#],0),MATCH(AA$5,スコア表[#Headers],0))
-
INDEX(スコア表2[],MATCH("average",スコア表2[maxmin],0),MATCH(AA$5,スコア表2[#Headers],0)))
/
INDEX(スコア表2[],MATCH("stdev.p",スコア表2[maxmin],0),MATCH(AA$5,スコア表2[#Headers],0))
*10+50,"-")</f>
        <v>44.664612103409482</v>
      </c>
      <c r="AB33" s="4">
        <f>IFERROR(
(INDEX(スコア表[],MATCH($C33,スコア表['#],0),MATCH(AB$5,スコア表[#Headers],0))
-
INDEX(スコア表2[],MATCH("average",スコア表2[maxmin],0),MATCH(AB$5,スコア表2[#Headers],0)))
/
INDEX(スコア表2[],MATCH("stdev.p",スコア表2[maxmin],0),MATCH(AB$5,スコア表2[#Headers],0))
*10+50,"-")</f>
        <v>45.454369756450113</v>
      </c>
      <c r="AC33" s="4">
        <f>IFERROR(
(INDEX(スコア表[],MATCH($C33,スコア表['#],0),MATCH(AC$5,スコア表[#Headers],0))
-
INDEX(スコア表2[],MATCH("average",スコア表2[maxmin],0),MATCH(AC$5,スコア表2[#Headers],0)))
/
INDEX(スコア表2[],MATCH("stdev.p",スコア表2[maxmin],0),MATCH(AC$5,スコア表2[#Headers],0))
*10+50,"-")</f>
        <v>45.698552921917226</v>
      </c>
      <c r="AD33" s="4">
        <f>IFERROR(
(INDEX(スコア表[],MATCH($C33,スコア表['#],0),MATCH(AD$5,スコア表[#Headers],0))
-
INDEX(スコア表2[],MATCH("average",スコア表2[maxmin],0),MATCH(AD$5,スコア表2[#Headers],0)))
/
INDEX(スコア表2[],MATCH("stdev.p",スコア表2[maxmin],0),MATCH(AD$5,スコア表2[#Headers],0))
*10+50,"-")</f>
        <v>50.214789958064408</v>
      </c>
      <c r="AE33" s="4">
        <f>IFERROR(
(INDEX(スコア表[],MATCH($C33,スコア表['#],0),MATCH(AE$5,スコア表[#Headers],0))
-
INDEX(スコア表2[],MATCH("average",スコア表2[maxmin],0),MATCH(AE$5,スコア表2[#Headers],0)))
/
INDEX(スコア表2[],MATCH("stdev.p",スコア表2[maxmin],0),MATCH(AE$5,スコア表2[#Headers],0))
*10+50,"-")</f>
        <v>46.24165984717493</v>
      </c>
      <c r="AF33" s="4">
        <f>IFERROR(
(INDEX(スコア表[],MATCH($C33,スコア表['#],0),MATCH(AF$5,スコア表[#Headers],0))
-
INDEX(スコア表2[],MATCH("average",スコア表2[maxmin],0),MATCH(AF$5,スコア表2[#Headers],0)))
/
INDEX(スコア表2[],MATCH("stdev.p",スコア表2[maxmin],0),MATCH(AF$5,スコア表2[#Headers],0))
*10+50,"-")</f>
        <v>45.565255901132566</v>
      </c>
      <c r="AG33" s="4">
        <f>IFERROR(
(INDEX(スコア表[],MATCH($C33,スコア表['#],0),MATCH(AG$5,スコア表[#Headers],0))
-
INDEX(スコア表2[],MATCH("average",スコア表2[maxmin],0),MATCH(AG$5,スコア表2[#Headers],0)))
/
INDEX(スコア表2[],MATCH("stdev.p",スコア表2[maxmin],0),MATCH(AG$5,スコア表2[#Headers],0))
*10+50,"-")</f>
        <v>48.535557312392299</v>
      </c>
      <c r="AH33" s="4">
        <f>IFERROR(
(INDEX(スコア表[],MATCH($C33,スコア表['#],0),MATCH(AH$5,スコア表[#Headers],0))
-
INDEX(スコア表2[],MATCH("average",スコア表2[maxmin],0),MATCH(AH$5,スコア表2[#Headers],0)))
/
INDEX(スコア表2[],MATCH("stdev.p",スコア表2[maxmin],0),MATCH(AH$5,スコア表2[#Headers],0))
*10+50,"-")</f>
        <v>44.788491788032424</v>
      </c>
      <c r="AI33" s="4">
        <f>IFERROR(
(INDEX(スコア表[],MATCH($C33,スコア表['#],0),MATCH(AI$5,スコア表[#Headers],0))
-
INDEX(スコア表2[],MATCH("average",スコア表2[maxmin],0),MATCH(AI$5,スコア表2[#Headers],0)))
/
INDEX(スコア表2[],MATCH("stdev.p",スコア表2[maxmin],0),MATCH(AI$5,スコア表2[#Headers],0))
*10+50,"-")</f>
        <v>54.217352114421338</v>
      </c>
      <c r="AJ33" s="4">
        <f>IFERROR(
(INDEX(スコア表[],MATCH($C33,スコア表['#],0),MATCH(AJ$5,スコア表[#Headers],0))
-
INDEX(スコア表2[],MATCH("average",スコア表2[maxmin],0),MATCH(AJ$5,スコア表2[#Headers],0)))
/
INDEX(スコア表2[],MATCH("stdev.p",スコア表2[maxmin],0),MATCH(AJ$5,スコア表2[#Headers],0))
*10+50,"-")</f>
        <v>44.202105190229751</v>
      </c>
      <c r="AK33" s="4">
        <f>IFERROR(
(INDEX(スコア表[],MATCH($C33,スコア表['#],0),MATCH(AK$5,スコア表[#Headers],0))
-
INDEX(スコア表2[],MATCH("average",スコア表2[maxmin],0),MATCH(AK$5,スコア表2[#Headers],0)))
/
INDEX(スコア表2[],MATCH("stdev.p",スコア表2[maxmin],0),MATCH(AK$5,スコア表2[#Headers],0))
*10+50,"-")</f>
        <v>50.39956262934124</v>
      </c>
      <c r="AL33" s="4">
        <f>IFERROR(
(INDEX(スコア表[],MATCH($C33,スコア表['#],0),MATCH(AL$5,スコア表[#Headers],0))
-
INDEX(スコア表2[],MATCH("average",スコア表2[maxmin],0),MATCH(AL$5,スコア表2[#Headers],0)))
/
INDEX(スコア表2[],MATCH("stdev.p",スコア表2[maxmin],0),MATCH(AL$5,スコア表2[#Headers],0))
*10+50,"-")</f>
        <v>46.249564217977529</v>
      </c>
      <c r="AM33" s="4">
        <f>IFERROR(
(INDEX(スコア表[],MATCH($C33,スコア表['#],0),MATCH(AM$5,スコア表[#Headers],0))
-
INDEX(スコア表2[],MATCH("average",スコア表2[maxmin],0),MATCH(AM$5,スコア表2[#Headers],0)))
/
INDEX(スコア表2[],MATCH("stdev.p",スコア表2[maxmin],0),MATCH(AM$5,スコア表2[#Headers],0))
*10+50,"-")</f>
        <v>43.443021145091997</v>
      </c>
      <c r="AN33" s="4">
        <f>IFERROR(
(INDEX(スコア表[],MATCH($C33,スコア表['#],0),MATCH(AN$5,スコア表[#Headers],0))
-
INDEX(スコア表2[],MATCH("average",スコア表2[maxmin],0),MATCH(AN$5,スコア表2[#Headers],0)))
/
INDEX(スコア表2[],MATCH("stdev.p",スコア表2[maxmin],0),MATCH(AN$5,スコア表2[#Headers],0))
*10+50,"-")</f>
        <v>42.897122637425589</v>
      </c>
      <c r="AO33" s="4">
        <f>IFERROR(
(INDEX(スコア表[],MATCH($C33,スコア表['#],0),MATCH(AO$5,スコア表[#Headers],0))
-
INDEX(スコア表2[],MATCH("average",スコア表2[maxmin],0),MATCH(AO$5,スコア表2[#Headers],0)))
/
INDEX(スコア表2[],MATCH("stdev.p",スコア表2[maxmin],0),MATCH(AO$5,スコア表2[#Headers],0))
*10+50,"-")</f>
        <v>36.006335526588998</v>
      </c>
      <c r="AP33" s="4">
        <f>IFERROR(
(INDEX(スコア表[],MATCH($C33,スコア表['#],0),MATCH(AP$5,スコア表[#Headers],0))
-
INDEX(スコア表2[],MATCH("average",スコア表2[maxmin],0),MATCH(AP$5,スコア表2[#Headers],0)))
/
INDEX(スコア表2[],MATCH("stdev.p",スコア表2[maxmin],0),MATCH(AP$5,スコア表2[#Headers],0))
*10+50,"-")</f>
        <v>41.864425153538249</v>
      </c>
      <c r="AQ33" s="4">
        <f>IFERROR(
(INDEX(スコア表[],MATCH($C33,スコア表['#],0),MATCH(AQ$5,スコア表[#Headers],0))
-
INDEX(スコア表2[],MATCH("average",スコア表2[maxmin],0),MATCH(AQ$5,スコア表2[#Headers],0)))
/
INDEX(スコア表2[],MATCH("stdev.p",スコア表2[maxmin],0),MATCH(AQ$5,スコア表2[#Headers],0))
*10+50,"-")</f>
        <v>43.826456198135226</v>
      </c>
      <c r="AR33" s="4">
        <f>IFERROR(
(INDEX(スコア表[],MATCH($C33,スコア表['#],0),MATCH(AR$5,スコア表[#Headers],0))
-
INDEX(スコア表2[],MATCH("average",スコア表2[maxmin],0),MATCH(AR$5,スコア表2[#Headers],0)))
/
INDEX(スコア表2[],MATCH("stdev.p",スコア表2[maxmin],0),MATCH(AR$5,スコア表2[#Headers],0))
*10+50,"-")</f>
        <v>45.311835283056773</v>
      </c>
      <c r="AS33" s="4">
        <f>IFERROR(
(INDEX(スコア表[],MATCH($C33,スコア表['#],0),MATCH(AS$5,スコア表[#Headers],0))
-
INDEX(スコア表2[],MATCH("average",スコア表2[maxmin],0),MATCH(AS$5,スコア表2[#Headers],0)))
/
INDEX(スコア表2[],MATCH("stdev.p",スコア表2[maxmin],0),MATCH(AS$5,スコア表2[#Headers],0))
*10+50,"-")</f>
        <v>52.371292158529819</v>
      </c>
      <c r="AT33" s="4">
        <f>IFERROR(
(INDEX(スコア表[],MATCH($C33,スコア表['#],0),MATCH(AT$5,スコア表[#Headers],0))
-
INDEX(スコア表2[],MATCH("average",スコア表2[maxmin],0),MATCH(AT$5,スコア表2[#Headers],0)))
/
INDEX(スコア表2[],MATCH("stdev.p",スコア表2[maxmin],0),MATCH(AT$5,スコア表2[#Headers],0))
*10+50,"-")</f>
        <v>50.677008553720086</v>
      </c>
      <c r="AU33" s="4">
        <f>IFERROR(
(INDEX(スコア表[],MATCH($C33,スコア表['#],0),MATCH(AU$5,スコア表[#Headers],0))
-
INDEX(スコア表2[],MATCH("average",スコア表2[maxmin],0),MATCH(AU$5,スコア表2[#Headers],0)))
/
INDEX(スコア表2[],MATCH("stdev.p",スコア表2[maxmin],0),MATCH(AU$5,スコア表2[#Headers],0))
*10+50,"-")</f>
        <v>43.370591892259867</v>
      </c>
      <c r="AV33" s="4">
        <f>IFERROR(
(INDEX(スコア表[],MATCH($C33,スコア表['#],0),MATCH(AV$5,スコア表[#Headers],0))
-
INDEX(スコア表2[],MATCH("average",スコア表2[maxmin],0),MATCH(AV$5,スコア表2[#Headers],0)))
/
INDEX(スコア表2[],MATCH("stdev.p",スコア表2[maxmin],0),MATCH(AV$5,スコア表2[#Headers],0))
*10+50,"-")</f>
        <v>41.18916159726011</v>
      </c>
      <c r="AW33" s="4">
        <f>IFERROR(
(INDEX(スコア表[],MATCH($C33,スコア表['#],0),MATCH(AW$5,スコア表[#Headers],0))
-
INDEX(スコア表2[],MATCH("average",スコア表2[maxmin],0),MATCH(AW$5,スコア表2[#Headers],0)))
/
INDEX(スコア表2[],MATCH("stdev.p",スコア表2[maxmin],0),MATCH(AW$5,スコア表2[#Headers],0))
*10+50,"-")</f>
        <v>46.756834040306757</v>
      </c>
      <c r="AX33" s="4">
        <f>IFERROR(
(INDEX(スコア表[],MATCH($C33,スコア表['#],0),MATCH(AX$5,スコア表[#Headers],0))
-
INDEX(スコア表2[],MATCH("average",スコア表2[maxmin],0),MATCH(AX$5,スコア表2[#Headers],0)))
/
INDEX(スコア表2[],MATCH("stdev.p",スコア表2[maxmin],0),MATCH(AX$5,スコア表2[#Headers],0))
*10+50,"-")</f>
        <v>53.647078155136313</v>
      </c>
      <c r="AY33" s="4">
        <f>IFERROR(
(INDEX(スコア表[],MATCH($C33,スコア表['#],0),MATCH(AY$5,スコア表[#Headers],0))
-
INDEX(スコア表2[],MATCH("average",スコア表2[maxmin],0),MATCH(AY$5,スコア表2[#Headers],0)))
/
INDEX(スコア表2[],MATCH("stdev.p",スコア表2[maxmin],0),MATCH(AY$5,スコア表2[#Headers],0))
*10+50,"-")</f>
        <v>54.117332774292521</v>
      </c>
      <c r="AZ33" s="4">
        <f>IFERROR(
(INDEX(スコア表[],MATCH($C33,スコア表['#],0),MATCH(AZ$5,スコア表[#Headers],0))
-
INDEX(スコア表2[],MATCH("average",スコア表2[maxmin],0),MATCH(AZ$5,スコア表2[#Headers],0)))
/
INDEX(スコア表2[],MATCH("stdev.p",スコア表2[maxmin],0),MATCH(AZ$5,スコア表2[#Headers],0))
*10+50,"-")</f>
        <v>54.692235195681945</v>
      </c>
      <c r="BA33" s="4">
        <f>IFERROR(
(INDEX(スコア表[],MATCH($C33,スコア表['#],0),MATCH(BA$5,スコア表[#Headers],0))
-
INDEX(スコア表2[],MATCH("average",スコア表2[maxmin],0),MATCH(BA$5,スコア表2[#Headers],0)))
/
INDEX(スコア表2[],MATCH("stdev.p",スコア表2[maxmin],0),MATCH(BA$5,スコア表2[#Headers],0))
*10+50,"-")</f>
        <v>61.016997038794116</v>
      </c>
      <c r="BB33" s="4">
        <f>IFERROR(
(INDEX(スコア表[],MATCH($C33,スコア表['#],0),MATCH(BB$5,スコア表[#Headers],0))
-
INDEX(スコア表2[],MATCH("average",スコア表2[maxmin],0),MATCH(BB$5,スコア表2[#Headers],0)))
/
INDEX(スコア表2[],MATCH("stdev.p",スコア表2[maxmin],0),MATCH(BB$5,スコア表2[#Headers],0))
*10+50,"-")</f>
        <v>56.239703220169282</v>
      </c>
      <c r="BC33" s="4">
        <f>IFERROR(
(INDEX(スコア表[],MATCH($C33,スコア表['#],0),MATCH(BC$5,スコア表[#Headers],0))
-
INDEX(スコア表2[],MATCH("average",スコア表2[maxmin],0),MATCH(BC$5,スコア表2[#Headers],0)))
/
INDEX(スコア表2[],MATCH("stdev.p",スコア表2[maxmin],0),MATCH(BC$5,スコア表2[#Headers],0))
*10+50,"-")</f>
        <v>50.004560621224769</v>
      </c>
      <c r="BD33" s="4">
        <f>IFERROR(
(INDEX(スコア表[],MATCH($C33,スコア表['#],0),MATCH(BD$5,スコア表[#Headers],0))
-
INDEX(スコア表2[],MATCH("average",スコア表2[maxmin],0),MATCH(BD$5,スコア表2[#Headers],0)))
/
INDEX(スコア表2[],MATCH("stdev.p",スコア表2[maxmin],0),MATCH(BD$5,スコア表2[#Headers],0))
*10+50,"-")</f>
        <v>48.517549908239161</v>
      </c>
      <c r="BE33" s="4">
        <f>IFERROR(
(INDEX(スコア表[],MATCH($C33,スコア表['#],0),MATCH(BE$5,スコア表[#Headers],0))
-
INDEX(スコア表2[],MATCH("average",スコア表2[maxmin],0),MATCH(BE$5,スコア表2[#Headers],0)))
/
INDEX(スコア表2[],MATCH("stdev.p",スコア表2[maxmin],0),MATCH(BE$5,スコア表2[#Headers],0))
*10+50,"-")</f>
        <v>43.936518956981068</v>
      </c>
      <c r="BF33" s="4">
        <f>IFERROR(
(INDEX(スコア表[],MATCH($C33,スコア表['#],0),MATCH(BF$5,スコア表[#Headers],0))
-
INDEX(スコア表2[],MATCH("average",スコア表2[maxmin],0),MATCH(BF$5,スコア表2[#Headers],0)))
/
INDEX(スコア表2[],MATCH("stdev.p",スコア表2[maxmin],0),MATCH(BF$5,スコア表2[#Headers],0))
*10+50,"-")</f>
        <v>44.72523682711963</v>
      </c>
      <c r="BG33" s="4">
        <f>IFERROR(
(INDEX(スコア表[],MATCH($C33,スコア表['#],0),MATCH(BG$5,スコア表[#Headers],0))
-
INDEX(スコア表2[],MATCH("average",スコア表2[maxmin],0),MATCH(BG$5,スコア表2[#Headers],0)))
/
INDEX(スコア表2[],MATCH("stdev.p",スコア表2[maxmin],0),MATCH(BG$5,スコア表2[#Headers],0))
*10+50,"-")</f>
        <v>36.255243209679975</v>
      </c>
      <c r="BH33" s="4">
        <f>IFERROR(
(INDEX(スコア表[],MATCH($C33,スコア表['#],0),MATCH(BH$5,スコア表[#Headers],0))
-
INDEX(スコア表2[],MATCH("average",スコア表2[maxmin],0),MATCH(BH$5,スコア表2[#Headers],0)))
/
INDEX(スコア表2[],MATCH("stdev.p",スコア表2[maxmin],0),MATCH(BH$5,スコア表2[#Headers],0))
*10+50,"-")</f>
        <v>47.992187008288347</v>
      </c>
      <c r="BI33" s="4">
        <f>IFERROR(
(INDEX(スコア表[],MATCH($C33,スコア表['#],0),MATCH(BI$5,スコア表[#Headers],0))
-
INDEX(スコア表2[],MATCH("average",スコア表2[maxmin],0),MATCH(BI$5,スコア表2[#Headers],0)))
/
INDEX(スコア表2[],MATCH("stdev.p",スコア表2[maxmin],0),MATCH(BI$5,スコア表2[#Headers],0))
*10+50,"-")</f>
        <v>52.052017301051862</v>
      </c>
      <c r="BJ33" s="4">
        <f>IFERROR(
(INDEX(スコア表[],MATCH($C33,スコア表['#],0),MATCH(BJ$5,スコア表[#Headers],0))
-
INDEX(スコア表2[],MATCH("average",スコア表2[maxmin],0),MATCH(BJ$5,スコア表2[#Headers],0)))
/
INDEX(スコア表2[],MATCH("stdev.p",スコア表2[maxmin],0),MATCH(BJ$5,スコア表2[#Headers],0))
*10+50,"-")</f>
        <v>52.946288648083986</v>
      </c>
      <c r="BK33" s="4">
        <f>IFERROR(
(INDEX(スコア表[],MATCH($C33,スコア表['#],0),MATCH(BK$5,スコア表[#Headers],0))
-
INDEX(スコア表2[],MATCH("average",スコア表2[maxmin],0),MATCH(BK$5,スコア表2[#Headers],0)))
/
INDEX(スコア表2[],MATCH("stdev.p",スコア表2[maxmin],0),MATCH(BK$5,スコア表2[#Headers],0))
*10+50,"-")</f>
        <v>57.827634445194384</v>
      </c>
      <c r="BL33" s="4">
        <f>IFERROR(
(INDEX(スコア表[],MATCH($C33,スコア表['#],0),MATCH(BL$5,スコア表[#Headers],0))
-
INDEX(スコア表2[],MATCH("average",スコア表2[maxmin],0),MATCH(BL$5,スコア表2[#Headers],0)))
/
INDEX(スコア表2[],MATCH("stdev.p",スコア表2[maxmin],0),MATCH(BL$5,スコア表2[#Headers],0))
*10+50,"-")</f>
        <v>46.848180419300512</v>
      </c>
      <c r="BM33" s="4">
        <f>IFERROR(
(INDEX(スコア表[],MATCH($C33,スコア表['#],0),MATCH(BM$5,スコア表[#Headers],0))
-
INDEX(スコア表2[],MATCH("average",スコア表2[maxmin],0),MATCH(BM$5,スコア表2[#Headers],0)))
/
INDEX(スコア表2[],MATCH("stdev.p",スコア表2[maxmin],0),MATCH(BM$5,スコア表2[#Headers],0))
*10+50,"-")</f>
        <v>51.810071412610156</v>
      </c>
      <c r="BN33" s="4">
        <f>IFERROR(
(INDEX(スコア表[],MATCH($C33,スコア表['#],0),MATCH(BN$5,スコア表[#Headers],0))
-
INDEX(スコア表2[],MATCH("average",スコア表2[maxmin],0),MATCH(BN$5,スコア表2[#Headers],0)))
/
INDEX(スコア表2[],MATCH("stdev.p",スコア表2[maxmin],0),MATCH(BN$5,スコア表2[#Headers],0))
*10+50,"-")</f>
        <v>54.71400830533522</v>
      </c>
      <c r="BO33" s="4">
        <f>IFERROR(
(INDEX(スコア表[],MATCH($C33,スコア表['#],0),MATCH(BO$5,スコア表[#Headers],0))
-
INDEX(スコア表2[],MATCH("average",スコア表2[maxmin],0),MATCH(BO$5,スコア表2[#Headers],0)))
/
INDEX(スコア表2[],MATCH("stdev.p",スコア表2[maxmin],0),MATCH(BO$5,スコア表2[#Headers],0))
*10+50,"-")</f>
        <v>50.134076613304387</v>
      </c>
      <c r="BP33" s="4">
        <f>IFERROR(
(INDEX(スコア表[],MATCH($C33,スコア表['#],0),MATCH(BP$5,スコア表[#Headers],0))
-
INDEX(スコア表2[],MATCH("average",スコア表2[maxmin],0),MATCH(BP$5,スコア表2[#Headers],0)))
/
INDEX(スコア表2[],MATCH("stdev.p",スコア表2[maxmin],0),MATCH(BP$5,スコア表2[#Headers],0))
*10+50,"-")</f>
        <v>56.611836556767976</v>
      </c>
      <c r="BQ33" s="4">
        <f>IFERROR(
(INDEX(スコア表[],MATCH($C33,スコア表['#],0),MATCH(BQ$5,スコア表[#Headers],0))
-
INDEX(スコア表2[],MATCH("average",スコア表2[maxmin],0),MATCH(BQ$5,スコア表2[#Headers],0)))
/
INDEX(スコア表2[],MATCH("stdev.p",スコア表2[maxmin],0),MATCH(BQ$5,スコア表2[#Headers],0))
*10+50,"-")</f>
        <v>43.028372426932364</v>
      </c>
      <c r="BR33" s="4">
        <f>IFERROR(
(INDEX(スコア表[],MATCH($C33,スコア表['#],0),MATCH(BR$5,スコア表[#Headers],0))
-
INDEX(スコア表2[],MATCH("average",スコア表2[maxmin],0),MATCH(BR$5,スコア表2[#Headers],0)))
/
INDEX(スコア表2[],MATCH("stdev.p",スコア表2[maxmin],0),MATCH(BR$5,スコア表2[#Headers],0))
*10+50,"-")</f>
        <v>46.046847387163538</v>
      </c>
      <c r="BS33" s="4">
        <f>IFERROR(
(INDEX(スコア表[],MATCH($C33,スコア表['#],0),MATCH(BS$5,スコア表[#Headers],0))
-
INDEX(スコア表2[],MATCH("average",スコア表2[maxmin],0),MATCH(BS$5,スコア表2[#Headers],0)))
/
INDEX(スコア表2[],MATCH("stdev.p",スコア表2[maxmin],0),MATCH(BS$5,スコア表2[#Headers],0))
*10+50,"-")</f>
        <v>45.198084168254447</v>
      </c>
      <c r="BT33" s="4">
        <f>IFERROR(
(INDEX(スコア表[],MATCH($C33,スコア表['#],0),MATCH(BT$5,スコア表[#Headers],0))
-
INDEX(スコア表2[],MATCH("average",スコア表2[maxmin],0),MATCH(BT$5,スコア表2[#Headers],0)))
/
INDEX(スコア表2[],MATCH("stdev.p",スコア表2[maxmin],0),MATCH(BT$5,スコア表2[#Headers],0))
*10+50,"-")</f>
        <v>42.79001699247533</v>
      </c>
      <c r="BU33" s="4">
        <f>IFERROR(
(INDEX(スコア表[],MATCH($C33,スコア表['#],0),MATCH(BU$5,スコア表[#Headers],0))
-
INDEX(スコア表2[],MATCH("average",スコア表2[maxmin],0),MATCH(BU$5,スコア表2[#Headers],0)))
/
INDEX(スコア表2[],MATCH("stdev.p",スコア表2[maxmin],0),MATCH(BU$5,スコア表2[#Headers],0))
*10+50,"-")</f>
        <v>51.345497689596797</v>
      </c>
      <c r="BV33" s="4">
        <f>IFERROR(
(INDEX(スコア表[],MATCH($C33,スコア表['#],0),MATCH(BV$5,スコア表[#Headers],0))
-
INDEX(スコア表2[],MATCH("average",スコア表2[maxmin],0),MATCH(BV$5,スコア表2[#Headers],0)))
/
INDEX(スコア表2[],MATCH("stdev.p",スコア表2[maxmin],0),MATCH(BV$5,スコア表2[#Headers],0))
*10+50,"-")</f>
        <v>61.475896684261158</v>
      </c>
      <c r="BW33" s="4">
        <f>IFERROR(
(INDEX(スコア表[],MATCH($C33,スコア表['#],0),MATCH(BW$5,スコア表[#Headers],0))
-
INDEX(スコア表2[],MATCH("average",スコア表2[maxmin],0),MATCH(BW$5,スコア表2[#Headers],0)))
/
INDEX(スコア表2[],MATCH("stdev.p",スコア表2[maxmin],0),MATCH(BW$5,スコア表2[#Headers],0))
*10+50,"-")</f>
        <v>51.360838883631693</v>
      </c>
      <c r="BX33" s="4">
        <f>IFERROR(
(INDEX(スコア表[],MATCH($C33,スコア表['#],0),MATCH(BX$5,スコア表[#Headers],0))
-
INDEX(スコア表2[],MATCH("average",スコア表2[maxmin],0),MATCH(BX$5,スコア表2[#Headers],0)))
/
INDEX(スコア表2[],MATCH("stdev.p",スコア表2[maxmin],0),MATCH(BX$5,スコア表2[#Headers],0))
*10+50,"-")</f>
        <v>36.877590107820673</v>
      </c>
      <c r="BY33" s="4">
        <f>IFERROR(
(INDEX(スコア表[],MATCH($C33,スコア表['#],0),MATCH(BY$5,スコア表[#Headers],0))
-
INDEX(スコア表2[],MATCH("average",スコア表2[maxmin],0),MATCH(BY$5,スコア表2[#Headers],0)))
/
INDEX(スコア表2[],MATCH("stdev.p",スコア表2[maxmin],0),MATCH(BY$5,スコア表2[#Headers],0))
*10+50,"-")</f>
        <v>42.522330623941102</v>
      </c>
      <c r="BZ33" s="4">
        <f>IFERROR(
(INDEX(スコア表[],MATCH($C33,スコア表['#],0),MATCH(BZ$5,スコア表[#Headers],0))
-
INDEX(スコア表2[],MATCH("average",スコア表2[maxmin],0),MATCH(BZ$5,スコア表2[#Headers],0)))
/
INDEX(スコア表2[],MATCH("stdev.p",スコア表2[maxmin],0),MATCH(BZ$5,スコア表2[#Headers],0))
*10+50,"-")</f>
        <v>55.5004937335638</v>
      </c>
      <c r="CA33" s="4">
        <f>IFERROR(
(INDEX(スコア表[],MATCH($C33,スコア表['#],0),MATCH(CA$5,スコア表[#Headers],0))
-
INDEX(スコア表2[],MATCH("average",スコア表2[maxmin],0),MATCH(CA$5,スコア表2[#Headers],0)))
/
INDEX(スコア表2[],MATCH("stdev.p",スコア表2[maxmin],0),MATCH(CA$5,スコア表2[#Headers],0))
*10+50,"-")</f>
        <v>80.278045586518076</v>
      </c>
      <c r="CB33" s="4">
        <f>IFERROR(
(INDEX(スコア表[],MATCH($C33,スコア表['#],0),MATCH(CB$5,スコア表[#Headers],0))
-
INDEX(スコア表2[],MATCH("average",スコア表2[maxmin],0),MATCH(CB$5,スコア表2[#Headers],0)))
/
INDEX(スコア表2[],MATCH("stdev.p",スコア表2[maxmin],0),MATCH(CB$5,スコア表2[#Headers],0))
*10+50,"-")</f>
        <v>46.215197220060524</v>
      </c>
      <c r="CC33" s="4">
        <f>IFERROR(
(INDEX(スコア表[],MATCH($C33,スコア表['#],0),MATCH(CC$5,スコア表[#Headers],0))
-
INDEX(スコア表2[],MATCH("average",スコア表2[maxmin],0),MATCH(CC$5,スコア表2[#Headers],0)))
/
INDEX(スコア表2[],MATCH("stdev.p",スコア表2[maxmin],0),MATCH(CC$5,スコア表2[#Headers],0))
*10+50,"-")</f>
        <v>41.938419680887996</v>
      </c>
      <c r="CD33" s="4">
        <f>IFERROR(
(INDEX(スコア表[],MATCH($C33,スコア表['#],0),MATCH(CD$5,スコア表[#Headers],0))
-
INDEX(スコア表2[],MATCH("average",スコア表2[maxmin],0),MATCH(CD$5,スコア表2[#Headers],0)))
/
INDEX(スコア表2[],MATCH("stdev.p",スコア表2[maxmin],0),MATCH(CD$5,スコア表2[#Headers],0))
*10+50,"-")</f>
        <v>51.412642087956591</v>
      </c>
      <c r="CE33" s="4">
        <f>IFERROR(
(INDEX(スコア表[],MATCH($C33,スコア表['#],0),MATCH(CE$5,スコア表[#Headers],0))
-
INDEX(スコア表2[],MATCH("average",スコア表2[maxmin],0),MATCH(CE$5,スコア表2[#Headers],0)))
/
INDEX(スコア表2[],MATCH("stdev.p",スコア表2[maxmin],0),MATCH(CE$5,スコア表2[#Headers],0))
*10+50,"-")</f>
        <v>66.730235069493887</v>
      </c>
      <c r="CF33" s="4">
        <f>IFERROR(
(INDEX(スコア表[],MATCH($C33,スコア表['#],0),MATCH(CF$5,スコア表[#Headers],0))
-
INDEX(スコア表2[],MATCH("average",スコア表2[maxmin],0),MATCH(CF$5,スコア表2[#Headers],0)))
/
INDEX(スコア表2[],MATCH("stdev.p",スコア表2[maxmin],0),MATCH(CF$5,スコア表2[#Headers],0))
*10+50,"-")</f>
        <v>40.727237389809787</v>
      </c>
      <c r="CG33" s="4">
        <f>IFERROR(
(INDEX(スコア表[],MATCH($C33,スコア表['#],0),MATCH(CG$5,スコア表[#Headers],0))
-
INDEX(スコア表2[],MATCH("average",スコア表2[maxmin],0),MATCH(CG$5,スコア表2[#Headers],0)))
/
INDEX(スコア表2[],MATCH("stdev.p",スコア表2[maxmin],0),MATCH(CG$5,スコア表2[#Headers],0))
*10+50,"-")</f>
        <v>48.895129474052027</v>
      </c>
      <c r="CH33" s="4">
        <f>IFERROR(
(INDEX(スコア表[],MATCH($C33,スコア表['#],0),MATCH(CH$5,スコア表[#Headers],0))
-
INDEX(スコア表2[],MATCH("average",スコア表2[maxmin],0),MATCH(CH$5,スコア表2[#Headers],0)))
/
INDEX(スコア表2[],MATCH("stdev.p",スコア表2[maxmin],0),MATCH(CH$5,スコア表2[#Headers],0))
*10+50,"-")</f>
        <v>42.90891906341993</v>
      </c>
      <c r="CI33" s="4">
        <f>IFERROR(
(INDEX(スコア表[],MATCH($C33,スコア表['#],0),MATCH(CI$5,スコア表[#Headers],0))
-
INDEX(スコア表2[],MATCH("average",スコア表2[maxmin],0),MATCH(CI$5,スコア表2[#Headers],0)))
/
INDEX(スコア表2[],MATCH("stdev.p",スコア表2[maxmin],0),MATCH(CI$5,スコア表2[#Headers],0))
*10+50,"-")</f>
        <v>45.16813589139133</v>
      </c>
      <c r="CJ33" s="4">
        <f>IFERROR(
(INDEX(スコア表[],MATCH($C33,スコア表['#],0),MATCH(CJ$5,スコア表[#Headers],0))
-
INDEX(スコア表2[],MATCH("average",スコア表2[maxmin],0),MATCH(CJ$5,スコア表2[#Headers],0)))
/
INDEX(スコア表2[],MATCH("stdev.p",スコア表2[maxmin],0),MATCH(CJ$5,スコア表2[#Headers],0))
*10+50,"-")</f>
        <v>48.352085943934014</v>
      </c>
      <c r="CK33" s="4">
        <f>IFERROR(
(INDEX(スコア表[],MATCH($C33,スコア表['#],0),MATCH(CK$5,スコア表[#Headers],0))
-
INDEX(スコア表2[],MATCH("average",スコア表2[maxmin],0),MATCH(CK$5,スコア表2[#Headers],0)))
/
INDEX(スコア表2[],MATCH("stdev.p",スコア表2[maxmin],0),MATCH(CK$5,スコア表2[#Headers],0))
*10+50,"-")</f>
        <v>46.326964211456712</v>
      </c>
      <c r="CL33" s="4">
        <f>IFERROR(
(INDEX(スコア表[],MATCH($C33,スコア表['#],0),MATCH(CL$5,スコア表[#Headers],0))
-
INDEX(スコア表2[],MATCH("average",スコア表2[maxmin],0),MATCH(CL$5,スコア表2[#Headers],0)))
/
INDEX(スコア表2[],MATCH("stdev.p",スコア表2[maxmin],0),MATCH(CL$5,スコア表2[#Headers],0))
*10+50,"-")</f>
        <v>39.098535125749244</v>
      </c>
      <c r="CM33" s="4">
        <f>IFERROR(
(INDEX(スコア表[],MATCH($C33,スコア表['#],0),MATCH(CM$5,スコア表[#Headers],0))
-
INDEX(スコア表2[],MATCH("average",スコア表2[maxmin],0),MATCH(CM$5,スコア表2[#Headers],0)))
/
INDEX(スコア表2[],MATCH("stdev.p",スコア表2[maxmin],0),MATCH(CM$5,スコア表2[#Headers],0))
*10+50,"-")</f>
        <v>43.86634785341851</v>
      </c>
      <c r="CN33" s="4">
        <f>IFERROR(
(INDEX(スコア表[],MATCH($C33,スコア表['#],0),MATCH(CN$5,スコア表[#Headers],0))
-
INDEX(スコア表2[],MATCH("average",スコア表2[maxmin],0),MATCH(CN$5,スコア表2[#Headers],0)))
/
INDEX(スコア表2[],MATCH("stdev.p",スコア表2[maxmin],0),MATCH(CN$5,スコア表2[#Headers],0))
*10+50,"-")</f>
        <v>46.355851719941803</v>
      </c>
      <c r="CO33" s="4">
        <f>IFERROR(
(INDEX(スコア表[],MATCH($C33,スコア表['#],0),MATCH(CO$5,スコア表[#Headers],0))
-
INDEX(スコア表2[],MATCH("average",スコア表2[maxmin],0),MATCH(CO$5,スコア表2[#Headers],0)))
/
INDEX(スコア表2[],MATCH("stdev.p",スコア表2[maxmin],0),MATCH(CO$5,スコア表2[#Headers],0))
*10+50,"-")</f>
        <v>43.142321758449455</v>
      </c>
      <c r="CP33" s="4">
        <f>IFERROR(
(INDEX(スコア表[],MATCH($C33,スコア表['#],0),MATCH(CP$5,スコア表[#Headers],0))
-
INDEX(スコア表2[],MATCH("average",スコア表2[maxmin],0),MATCH(CP$5,スコア表2[#Headers],0)))
/
INDEX(スコア表2[],MATCH("stdev.p",スコア表2[maxmin],0),MATCH(CP$5,スコア表2[#Headers],0))
*10+50,"-")</f>
        <v>55.602878264459683</v>
      </c>
      <c r="CQ33" s="4">
        <f>IFERROR(
(INDEX(スコア表[],MATCH($C33,スコア表['#],0),MATCH(CQ$5,スコア表[#Headers],0))
-
INDEX(スコア表2[],MATCH("average",スコア表2[maxmin],0),MATCH(CQ$5,スコア表2[#Headers],0)))
/
INDEX(スコア表2[],MATCH("stdev.p",スコア表2[maxmin],0),MATCH(CQ$5,スコア表2[#Headers],0))
*10+50,"-")</f>
        <v>60.059113487530041</v>
      </c>
      <c r="CR33" s="4">
        <f>IFERROR(
(INDEX(スコア表[],MATCH($C33,スコア表['#],0),MATCH(CR$5,スコア表[#Headers],0))
-
INDEX(スコア表2[],MATCH("average",スコア表2[maxmin],0),MATCH(CR$5,スコア表2[#Headers],0)))
/
INDEX(スコア表2[],MATCH("stdev.p",スコア表2[maxmin],0),MATCH(CR$5,スコア表2[#Headers],0))
*10+50,"-")</f>
        <v>44.594071757768326</v>
      </c>
      <c r="CS33" s="4">
        <f>IFERROR(
(INDEX(スコア表[],MATCH($C33,スコア表['#],0),MATCH(CS$5,スコア表[#Headers],0))
-
INDEX(スコア表2[],MATCH("average",スコア表2[maxmin],0),MATCH(CS$5,スコア表2[#Headers],0)))
/
INDEX(スコア表2[],MATCH("stdev.p",スコア表2[maxmin],0),MATCH(CS$5,スコア表2[#Headers],0))
*10+50,"-")</f>
        <v>41.578307801887256</v>
      </c>
      <c r="CT33" s="4">
        <f>IFERROR(
(INDEX(スコア表[],MATCH($C33,スコア表['#],0),MATCH(CT$5,スコア表[#Headers],0))
-
INDEX(スコア表2[],MATCH("average",スコア表2[maxmin],0),MATCH(CT$5,スコア表2[#Headers],0)))
/
INDEX(スコア表2[],MATCH("stdev.p",スコア表2[maxmin],0),MATCH(CT$5,スコア表2[#Headers],0))
*10+50,"-")</f>
        <v>54.862592796639063</v>
      </c>
      <c r="CU33" s="4">
        <f>IFERROR(
(INDEX(スコア表[],MATCH($C33,スコア表['#],0),MATCH(CU$5,スコア表[#Headers],0))
-
INDEX(スコア表2[],MATCH("average",スコア表2[maxmin],0),MATCH(CU$5,スコア表2[#Headers],0)))
/
INDEX(スコア表2[],MATCH("stdev.p",スコア表2[maxmin],0),MATCH(CU$5,スコア表2[#Headers],0))
*10+50,"-")</f>
        <v>52.534547877163227</v>
      </c>
      <c r="CV33" s="4">
        <f>IFERROR(
(INDEX(スコア表[],MATCH($C33,スコア表['#],0),MATCH(CV$5,スコア表[#Headers],0))
-
INDEX(スコア表2[],MATCH("average",スコア表2[maxmin],0),MATCH(CV$5,スコア表2[#Headers],0)))
/
INDEX(スコア表2[],MATCH("stdev.p",スコア表2[maxmin],0),MATCH(CV$5,スコア表2[#Headers],0))
*10+50,"-")</f>
        <v>49.974621058294851</v>
      </c>
      <c r="CW33" s="4">
        <f>IFERROR(
(INDEX(スコア表[],MATCH($C33,スコア表['#],0),MATCH(CW$5,スコア表[#Headers],0))
-
INDEX(スコア表2[],MATCH("average",スコア表2[maxmin],0),MATCH(CW$5,スコア表2[#Headers],0)))
/
INDEX(スコア表2[],MATCH("stdev.p",スコア表2[maxmin],0),MATCH(CW$5,スコア表2[#Headers],0))
*10+50,"-")</f>
        <v>45.590107132843961</v>
      </c>
      <c r="CX33" s="4">
        <f>IFERROR(
(INDEX(スコア表[],MATCH($C33,スコア表['#],0),MATCH(CX$5,スコア表[#Headers],0))
-
INDEX(スコア表2[],MATCH("average",スコア表2[maxmin],0),MATCH(CX$5,スコア表2[#Headers],0)))
/
INDEX(スコア表2[],MATCH("stdev.p",スコア表2[maxmin],0),MATCH(CX$5,スコア表2[#Headers],0))
*10+50,"-")</f>
        <v>54.722423670214717</v>
      </c>
      <c r="CY33" s="4">
        <f>IFERROR(
(INDEX(スコア表[],MATCH($C33,スコア表['#],0),MATCH(CY$5,スコア表[#Headers],0))
-
INDEX(スコア表2[],MATCH("average",スコア表2[maxmin],0),MATCH(CY$5,スコア表2[#Headers],0)))
/
INDEX(スコア表2[],MATCH("stdev.p",スコア表2[maxmin],0),MATCH(CY$5,スコア表2[#Headers],0))
*10+50,"-")</f>
        <v>41.258903212056083</v>
      </c>
      <c r="CZ33" s="4">
        <f>IFERROR(
(INDEX(スコア表[],MATCH($C33,スコア表['#],0),MATCH(CZ$5,スコア表[#Headers],0))
-
INDEX(スコア表2[],MATCH("average",スコア表2[maxmin],0),MATCH(CZ$5,スコア表2[#Headers],0)))
/
INDEX(スコア表2[],MATCH("stdev.p",スコア表2[maxmin],0),MATCH(CZ$5,スコア表2[#Headers],0))
*10+50,"-")</f>
        <v>62.021678403683971</v>
      </c>
      <c r="DA33" s="4">
        <f>IFERROR(
(INDEX(スコア表[],MATCH($C33,スコア表['#],0),MATCH(DA$5,スコア表[#Headers],0))
-
INDEX(スコア表2[],MATCH("average",スコア表2[maxmin],0),MATCH(DA$5,スコア表2[#Headers],0)))
/
INDEX(スコア表2[],MATCH("stdev.p",スコア表2[maxmin],0),MATCH(DA$5,スコア表2[#Headers],0))
*10+50,"-")</f>
        <v>43.16665327109348</v>
      </c>
      <c r="DB33" s="4">
        <f>IFERROR(
(INDEX(スコア表[],MATCH($C33,スコア表['#],0),MATCH(DB$5,スコア表[#Headers],0))
-
INDEX(スコア表2[],MATCH("average",スコア表2[maxmin],0),MATCH(DB$5,スコア表2[#Headers],0)))
/
INDEX(スコア表2[],MATCH("stdev.p",スコア表2[maxmin],0),MATCH(DB$5,スコア表2[#Headers],0))
*10+50,"-")</f>
        <v>42.629602251637387</v>
      </c>
      <c r="DC33" s="4">
        <f>IFERROR(
(INDEX(スコア表[],MATCH($C33,スコア表['#],0),MATCH(DC$5,スコア表[#Headers],0))
-
INDEX(スコア表2[],MATCH("average",スコア表2[maxmin],0),MATCH(DC$5,スコア表2[#Headers],0)))
/
INDEX(スコア表2[],MATCH("stdev.p",スコア表2[maxmin],0),MATCH(DC$5,スコア表2[#Headers],0))
*10+50,"-")</f>
        <v>49.70857785632753</v>
      </c>
      <c r="DD33" s="4">
        <f>IFERROR(
(INDEX(スコア表[],MATCH($C33,スコア表['#],0),MATCH(DD$5,スコア表[#Headers],0))
-
INDEX(スコア表2[],MATCH("average",スコア表2[maxmin],0),MATCH(DD$5,スコア表2[#Headers],0)))
/
INDEX(スコア表2[],MATCH("stdev.p",スコア表2[maxmin],0),MATCH(DD$5,スコア表2[#Headers],0))
*10+50,"-")</f>
        <v>50.3070253687535</v>
      </c>
      <c r="DE33" s="4">
        <f>IFERROR(
(INDEX(スコア表[],MATCH($C33,スコア表['#],0),MATCH(DE$5,スコア表[#Headers],0))
-
INDEX(スコア表2[],MATCH("average",スコア表2[maxmin],0),MATCH(DE$5,スコア表2[#Headers],0)))
/
INDEX(スコア表2[],MATCH("stdev.p",スコア表2[maxmin],0),MATCH(DE$5,スコア表2[#Headers],0))
*10+50,"-")</f>
        <v>46.166224013390433</v>
      </c>
      <c r="DF33" s="76">
        <f>IFERROR(
(INDEX(スコア表[],MATCH($C33,スコア表['#],0),MATCH(DF$5,スコア表[#Headers],0))
-
INDEX(スコア表2[],MATCH("average",スコア表2[maxmin],0),MATCH(DF$5,スコア表2[#Headers],0)))
/
INDEX(スコア表2[],MATCH("stdev.p",スコア表2[maxmin],0),MATCH(DF$5,スコア表2[#Headers],0))
*10+50,"-")</f>
        <v>49.103709001603889</v>
      </c>
      <c r="DG33" s="4">
        <f>IFERROR(_xlfn.STDEV.P(偏差値表[[#This Row],[Economy]:[Accessibility]]),"")</f>
        <v>6.5117162894633882</v>
      </c>
    </row>
    <row r="34" spans="1:111">
      <c r="A34" s="2">
        <v>29</v>
      </c>
      <c r="B34" s="58">
        <f>INDEX(順位表[Comprehensive],MATCH($C34,順位表['#],0))</f>
        <v>29</v>
      </c>
      <c r="C34" s="3">
        <v>39</v>
      </c>
      <c r="D34" s="1" t="str">
        <f>INDEX(都市マスタ[City Name],MATCH($C34,都市マスタ['#],0))</f>
        <v>Boston</v>
      </c>
      <c r="E34" s="4">
        <f>IFERROR(
(INDEX(スコア表[],MATCH($C34,スコア表['#],0),MATCH(E$5,スコア表[#Headers],0))
-
INDEX(スコア表2[],MATCH("average",スコア表2[maxmin],0),MATCH(E$5,スコア表2[#Headers],0)))
/
INDEX(スコア表2[],MATCH("stdev.p",スコア表2[maxmin],0),MATCH(E$5,スコア表2[#Headers],0))
*10+50,"-")</f>
        <v>41.660742515038336</v>
      </c>
      <c r="F34" s="4">
        <f>IFERROR(
(INDEX(スコア表[],MATCH($C34,スコア表['#],0),MATCH(F$5,スコア表[#Headers],0))
-
INDEX(スコア表2[],MATCH("average",スコア表2[maxmin],0),MATCH(F$5,スコア表2[#Headers],0)))
/
INDEX(スコア表2[],MATCH("stdev.p",スコア表2[maxmin],0),MATCH(F$5,スコア表2[#Headers],0))
*10+50,"-")</f>
        <v>45.159663183325094</v>
      </c>
      <c r="G34" s="4">
        <f>IFERROR(
(INDEX(スコア表[],MATCH($C34,スコア表['#],0),MATCH(G$5,スコア表[#Headers],0))
-
INDEX(スコア表2[],MATCH("average",スコア表2[maxmin],0),MATCH(G$5,スコア表2[#Headers],0)))
/
INDEX(スコア表2[],MATCH("stdev.p",スコア表2[maxmin],0),MATCH(G$5,スコア表2[#Headers],0))
*10+50,"-")</f>
        <v>48.332725179453242</v>
      </c>
      <c r="H34" s="4">
        <f>IFERROR(
(INDEX(スコア表[],MATCH($C34,スコア表['#],0),MATCH(H$5,スコア表[#Headers],0))
-
INDEX(スコア表2[],MATCH("average",スコア表2[maxmin],0),MATCH(H$5,スコア表2[#Headers],0)))
/
INDEX(スコア表2[],MATCH("stdev.p",スコア表2[maxmin],0),MATCH(H$5,スコア表2[#Headers],0))
*10+50,"-")</f>
        <v>44.654028257015874</v>
      </c>
      <c r="I34" s="4">
        <f>IFERROR(
(INDEX(スコア表[],MATCH($C34,スコア表['#],0),MATCH(I$5,スコア表[#Headers],0))
-
INDEX(スコア表2[],MATCH("average",スコア表2[maxmin],0),MATCH(I$5,スコア表2[#Headers],0)))
/
INDEX(スコア表2[],MATCH("stdev.p",スコア表2[maxmin],0),MATCH(I$5,スコア表2[#Headers],0))
*10+50,"-")</f>
        <v>67.152309426914869</v>
      </c>
      <c r="J34" s="4">
        <f>IFERROR(
(INDEX(スコア表[],MATCH($C34,スコア表['#],0),MATCH(J$5,スコア表[#Headers],0))
-
INDEX(スコア表2[],MATCH("average",スコア表2[maxmin],0),MATCH(J$5,スコア表2[#Headers],0)))
/
INDEX(スコア表2[],MATCH("stdev.p",スコア表2[maxmin],0),MATCH(J$5,スコア表2[#Headers],0))
*10+50,"-")</f>
        <v>51.094994854943813</v>
      </c>
      <c r="K34" s="4">
        <f>IFERROR(
(INDEX(スコア表[],MATCH($C34,スコア表['#],0),MATCH(K$5,スコア表[#Headers],0))
-
INDEX(スコア表2[],MATCH("average",スコア表2[maxmin],0),MATCH(K$5,スコア表2[#Headers],0)))
/
INDEX(スコア表2[],MATCH("stdev.p",スコア表2[maxmin],0),MATCH(K$5,スコア表2[#Headers],0))
*10+50,"-")</f>
        <v>52.937188630764282</v>
      </c>
      <c r="L34" s="4">
        <f>IFERROR(
(INDEX(スコア表[],MATCH($C34,スコア表['#],0),MATCH(L$5,スコア表[#Headers],0))
-
INDEX(スコア表2[],MATCH("average",スコア表2[maxmin],0),MATCH(L$5,スコア表2[#Headers],0)))
/
INDEX(スコア表2[],MATCH("stdev.p",スコア表2[maxmin],0),MATCH(L$5,スコア表2[#Headers],0))
*10+50,"-")</f>
        <v>46.831481232281661</v>
      </c>
      <c r="M34" s="4">
        <f>IFERROR(
(INDEX(スコア表[],MATCH($C34,スコア表['#],0),MATCH(M$5,スコア表[#Headers],0))
-
INDEX(スコア表2[],MATCH("average",スコア表2[maxmin],0),MATCH(M$5,スコア表2[#Headers],0)))
/
INDEX(スコア表2[],MATCH("stdev.p",スコア表2[maxmin],0),MATCH(M$5,スコア表2[#Headers],0))
*10+50,"-")</f>
        <v>47.632465064959881</v>
      </c>
      <c r="N34" s="4">
        <f>IFERROR(
(INDEX(スコア表[],MATCH($C34,スコア表['#],0),MATCH(N$5,スコア表[#Headers],0))
-
INDEX(スコア表2[],MATCH("average",スコア表2[maxmin],0),MATCH(N$5,スコア表2[#Headers],0)))
/
INDEX(スコア表2[],MATCH("stdev.p",スコア表2[maxmin],0),MATCH(N$5,スコア表2[#Headers],0))
*10+50,"-")</f>
        <v>42.602842164586413</v>
      </c>
      <c r="O34" s="4">
        <f>IFERROR(
(INDEX(スコア表[],MATCH($C34,スコア表['#],0),MATCH(O$5,スコア表[#Headers],0))
-
INDEX(スコア表2[],MATCH("average",スコア表2[maxmin],0),MATCH(O$5,スコア表2[#Headers],0)))
/
INDEX(スコア表2[],MATCH("stdev.p",スコア表2[maxmin],0),MATCH(O$5,スコア表2[#Headers],0))
*10+50,"-")</f>
        <v>39.104550503683079</v>
      </c>
      <c r="P34" s="4">
        <f>IFERROR(
(INDEX(スコア表[],MATCH($C34,スコア表['#],0),MATCH(P$5,スコア表[#Headers],0))
-
INDEX(スコア表2[],MATCH("average",スコア表2[maxmin],0),MATCH(P$5,スコア表2[#Headers],0)))
/
INDEX(スコア表2[],MATCH("stdev.p",スコア表2[maxmin],0),MATCH(P$5,スコア表2[#Headers],0))
*10+50,"-")</f>
        <v>65.619195532344619</v>
      </c>
      <c r="Q34" s="4">
        <f>IFERROR(
(INDEX(スコア表[],MATCH($C34,スコア表['#],0),MATCH(Q$5,スコア表[#Headers],0))
-
INDEX(スコア表2[],MATCH("average",スコア表2[maxmin],0),MATCH(Q$5,スコア表2[#Headers],0)))
/
INDEX(スコア表2[],MATCH("stdev.p",スコア表2[maxmin],0),MATCH(Q$5,スコア表2[#Headers],0))
*10+50,"-")</f>
        <v>66.897786386435456</v>
      </c>
      <c r="R34" s="4">
        <f>IFERROR(
(INDEX(スコア表[],MATCH($C34,スコア表['#],0),MATCH(R$5,スコア表[#Headers],0))
-
INDEX(スコア表2[],MATCH("average",スコア表2[maxmin],0),MATCH(R$5,スコア表2[#Headers],0)))
/
INDEX(スコア表2[],MATCH("stdev.p",スコア表2[maxmin],0),MATCH(R$5,スコア表2[#Headers],0))
*10+50,"-")</f>
        <v>58.393192573527188</v>
      </c>
      <c r="S34" s="4">
        <f>IFERROR(
(INDEX(スコア表[],MATCH($C34,スコア表['#],0),MATCH(S$5,スコア表[#Headers],0))
-
INDEX(スコア表2[],MATCH("average",スコア表2[maxmin],0),MATCH(S$5,スコア表2[#Headers],0)))
/
INDEX(スコア表2[],MATCH("stdev.p",スコア表2[maxmin],0),MATCH(S$5,スコア表2[#Headers],0))
*10+50,"-")</f>
        <v>45.926169258736159</v>
      </c>
      <c r="T34" s="4">
        <f>IFERROR(
(INDEX(スコア表[],MATCH($C34,スコア表['#],0),MATCH(T$5,スコア表[#Headers],0))
-
INDEX(スコア表2[],MATCH("average",スコア表2[maxmin],0),MATCH(T$5,スコア表2[#Headers],0)))
/
INDEX(スコア表2[],MATCH("stdev.p",スコア表2[maxmin],0),MATCH(T$5,スコア表2[#Headers],0))
*10+50,"-")</f>
        <v>57.868688668550007</v>
      </c>
      <c r="U34" s="4">
        <f>IFERROR(
(INDEX(スコア表[],MATCH($C34,スコア表['#],0),MATCH(U$5,スコア表[#Headers],0))
-
INDEX(スコア表2[],MATCH("average",スコア表2[maxmin],0),MATCH(U$5,スコア表2[#Headers],0)))
/
INDEX(スコア表2[],MATCH("stdev.p",スコア表2[maxmin],0),MATCH(U$5,スコア表2[#Headers],0))
*10+50,"-")</f>
        <v>52.499851799985343</v>
      </c>
      <c r="V34" s="4">
        <f>IFERROR(
(INDEX(スコア表[],MATCH($C34,スコア表['#],0),MATCH(V$5,スコア表[#Headers],0))
-
INDEX(スコア表2[],MATCH("average",スコア表2[maxmin],0),MATCH(V$5,スコア表2[#Headers],0)))
/
INDEX(スコア表2[],MATCH("stdev.p",スコア表2[maxmin],0),MATCH(V$5,スコア表2[#Headers],0))
*10+50,"-")</f>
        <v>69.82651097030049</v>
      </c>
      <c r="W34" s="4">
        <f>IFERROR(
(INDEX(スコア表[],MATCH($C34,スコア表['#],0),MATCH(W$5,スコア表[#Headers],0))
-
INDEX(スコア表2[],MATCH("average",スコア表2[maxmin],0),MATCH(W$5,スコア表2[#Headers],0)))
/
INDEX(スコア表2[],MATCH("stdev.p",スコア表2[maxmin],0),MATCH(W$5,スコア表2[#Headers],0))
*10+50,"-")</f>
        <v>58.288728338094032</v>
      </c>
      <c r="X34" s="4">
        <f>IFERROR(
(INDEX(スコア表[],MATCH($C34,スコア表['#],0),MATCH(X$5,スコア表[#Headers],0))
-
INDEX(スコア表2[],MATCH("average",スコア表2[maxmin],0),MATCH(X$5,スコア表2[#Headers],0)))
/
INDEX(スコア表2[],MATCH("stdev.p",スコア表2[maxmin],0),MATCH(X$5,スコア表2[#Headers],0))
*10+50,"-")</f>
        <v>57.447982066597696</v>
      </c>
      <c r="Y34" s="4">
        <f>IFERROR(
(INDEX(スコア表[],MATCH($C34,スコア表['#],0),MATCH(Y$5,スコア表[#Headers],0))
-
INDEX(スコア表2[],MATCH("average",スコア表2[maxmin],0),MATCH(Y$5,スコア表2[#Headers],0)))
/
INDEX(スコア表2[],MATCH("stdev.p",スコア表2[maxmin],0),MATCH(Y$5,スコア表2[#Headers],0))
*10+50,"-")</f>
        <v>52.506733473261285</v>
      </c>
      <c r="Z34" s="4">
        <f>IFERROR(
(INDEX(スコア表[],MATCH($C34,スコア表['#],0),MATCH(Z$5,スコア表[#Headers],0))
-
INDEX(スコア表2[],MATCH("average",スコア表2[maxmin],0),MATCH(Z$5,スコア表2[#Headers],0)))
/
INDEX(スコア表2[],MATCH("stdev.p",スコア表2[maxmin],0),MATCH(Z$5,スコア表2[#Headers],0))
*10+50,"-")</f>
        <v>53.043279071850904</v>
      </c>
      <c r="AA34" s="4">
        <f>IFERROR(
(INDEX(スコア表[],MATCH($C34,スコア表['#],0),MATCH(AA$5,スコア表[#Headers],0))
-
INDEX(スコア表2[],MATCH("average",スコア表2[maxmin],0),MATCH(AA$5,スコア表2[#Headers],0)))
/
INDEX(スコア表2[],MATCH("stdev.p",スコア表2[maxmin],0),MATCH(AA$5,スコア表2[#Headers],0))
*10+50,"-")</f>
        <v>92.928747182645438</v>
      </c>
      <c r="AB34" s="4">
        <f>IFERROR(
(INDEX(スコア表[],MATCH($C34,スコア表['#],0),MATCH(AB$5,スコア表[#Headers],0))
-
INDEX(スコア表2[],MATCH("average",スコア表2[maxmin],0),MATCH(AB$5,スコア表2[#Headers],0)))
/
INDEX(スコア表2[],MATCH("stdev.p",スコア表2[maxmin],0),MATCH(AB$5,スコア表2[#Headers],0))
*10+50,"-")</f>
        <v>50.255967528270929</v>
      </c>
      <c r="AC34" s="4">
        <f>IFERROR(
(INDEX(スコア表[],MATCH($C34,スコア表['#],0),MATCH(AC$5,スコア表[#Headers],0))
-
INDEX(スコア表2[],MATCH("average",スコア表2[maxmin],0),MATCH(AC$5,スコア表2[#Headers],0)))
/
INDEX(スコア表2[],MATCH("stdev.p",スコア表2[maxmin],0),MATCH(AC$5,スコア表2[#Headers],0))
*10+50,"-")</f>
        <v>44.860381908055004</v>
      </c>
      <c r="AD34" s="4">
        <f>IFERROR(
(INDEX(スコア表[],MATCH($C34,スコア表['#],0),MATCH(AD$5,スコア表[#Headers],0))
-
INDEX(スコア表2[],MATCH("average",スコア表2[maxmin],0),MATCH(AD$5,スコア表2[#Headers],0)))
/
INDEX(スコア表2[],MATCH("stdev.p",スコア表2[maxmin],0),MATCH(AD$5,スコア表2[#Headers],0))
*10+50,"-")</f>
        <v>43.56436504434086</v>
      </c>
      <c r="AE34" s="4">
        <f>IFERROR(
(INDEX(スコア表[],MATCH($C34,スコア表['#],0),MATCH(AE$5,スコア表[#Headers],0))
-
INDEX(スコア表2[],MATCH("average",スコア表2[maxmin],0),MATCH(AE$5,スコア表2[#Headers],0)))
/
INDEX(スコア表2[],MATCH("stdev.p",スコア表2[maxmin],0),MATCH(AE$5,スコア表2[#Headers],0))
*10+50,"-")</f>
        <v>47.166947277525786</v>
      </c>
      <c r="AF34" s="4">
        <f>IFERROR(
(INDEX(スコア表[],MATCH($C34,スコア表['#],0),MATCH(AF$5,スコア表[#Headers],0))
-
INDEX(スコア表2[],MATCH("average",スコア表2[maxmin],0),MATCH(AF$5,スコア表2[#Headers],0)))
/
INDEX(スコア表2[],MATCH("stdev.p",スコア表2[maxmin],0),MATCH(AF$5,スコア表2[#Headers],0))
*10+50,"-")</f>
        <v>49.028493425278889</v>
      </c>
      <c r="AG34" s="4">
        <f>IFERROR(
(INDEX(スコア表[],MATCH($C34,スコア表['#],0),MATCH(AG$5,スコア表[#Headers],0))
-
INDEX(スコア表2[],MATCH("average",スコア表2[maxmin],0),MATCH(AG$5,スコア表2[#Headers],0)))
/
INDEX(スコア表2[],MATCH("stdev.p",スコア表2[maxmin],0),MATCH(AG$5,スコア表2[#Headers],0))
*10+50,"-")</f>
        <v>46.477303116310658</v>
      </c>
      <c r="AH34" s="4">
        <f>IFERROR(
(INDEX(スコア表[],MATCH($C34,スコア表['#],0),MATCH(AH$5,スコア表[#Headers],0))
-
INDEX(スコア表2[],MATCH("average",スコア表2[maxmin],0),MATCH(AH$5,スコア表2[#Headers],0)))
/
INDEX(スコア表2[],MATCH("stdev.p",スコア表2[maxmin],0),MATCH(AH$5,スコア表2[#Headers],0))
*10+50,"-")</f>
        <v>40.910160095405388</v>
      </c>
      <c r="AI34" s="4">
        <f>IFERROR(
(INDEX(スコア表[],MATCH($C34,スコア表['#],0),MATCH(AI$5,スコア表[#Headers],0))
-
INDEX(スコア表2[],MATCH("average",スコア表2[maxmin],0),MATCH(AI$5,スコア表2[#Headers],0)))
/
INDEX(スコア表2[],MATCH("stdev.p",スコア表2[maxmin],0),MATCH(AI$5,スコア表2[#Headers],0))
*10+50,"-")</f>
        <v>38.804431056321455</v>
      </c>
      <c r="AJ34" s="4">
        <f>IFERROR(
(INDEX(スコア表[],MATCH($C34,スコア表['#],0),MATCH(AJ$5,スコア表[#Headers],0))
-
INDEX(スコア表2[],MATCH("average",スコア表2[maxmin],0),MATCH(AJ$5,スコア表2[#Headers],0)))
/
INDEX(スコア表2[],MATCH("stdev.p",スコア表2[maxmin],0),MATCH(AJ$5,スコア表2[#Headers],0))
*10+50,"-")</f>
        <v>47.595994834986101</v>
      </c>
      <c r="AK34" s="4">
        <f>IFERROR(
(INDEX(スコア表[],MATCH($C34,スコア表['#],0),MATCH(AK$5,スコア表[#Headers],0))
-
INDEX(スコア表2[],MATCH("average",スコア表2[maxmin],0),MATCH(AK$5,スコア表2[#Headers],0)))
/
INDEX(スコア表2[],MATCH("stdev.p",スコア表2[maxmin],0),MATCH(AK$5,スコア表2[#Headers],0))
*10+50,"-")</f>
        <v>44.601258426820095</v>
      </c>
      <c r="AL34" s="4">
        <f>IFERROR(
(INDEX(スコア表[],MATCH($C34,スコア表['#],0),MATCH(AL$5,スコア表[#Headers],0))
-
INDEX(スコア表2[],MATCH("average",スコア表2[maxmin],0),MATCH(AL$5,スコア表2[#Headers],0)))
/
INDEX(スコア表2[],MATCH("stdev.p",スコア表2[maxmin],0),MATCH(AL$5,スコア表2[#Headers],0))
*10+50,"-")</f>
        <v>39.66343308860985</v>
      </c>
      <c r="AM34" s="4">
        <f>IFERROR(
(INDEX(スコア表[],MATCH($C34,スコア表['#],0),MATCH(AM$5,スコア表[#Headers],0))
-
INDEX(スコア表2[],MATCH("average",スコア表2[maxmin],0),MATCH(AM$5,スコア表2[#Headers],0)))
/
INDEX(スコア表2[],MATCH("stdev.p",スコア表2[maxmin],0),MATCH(AM$5,スコア表2[#Headers],0))
*10+50,"-")</f>
        <v>45.178798201167872</v>
      </c>
      <c r="AN34" s="4">
        <f>IFERROR(
(INDEX(スコア表[],MATCH($C34,スコア表['#],0),MATCH(AN$5,スコア表[#Headers],0))
-
INDEX(スコア表2[],MATCH("average",スコア表2[maxmin],0),MATCH(AN$5,スコア表2[#Headers],0)))
/
INDEX(スコア表2[],MATCH("stdev.p",スコア表2[maxmin],0),MATCH(AN$5,スコア表2[#Headers],0))
*10+50,"-")</f>
        <v>44.670478590063141</v>
      </c>
      <c r="AO34" s="4">
        <f>IFERROR(
(INDEX(スコア表[],MATCH($C34,スコア表['#],0),MATCH(AO$5,スコア表[#Headers],0))
-
INDEX(スコア表2[],MATCH("average",スコア表2[maxmin],0),MATCH(AO$5,スコア表2[#Headers],0)))
/
INDEX(スコア表2[],MATCH("stdev.p",スコア表2[maxmin],0),MATCH(AO$5,スコア表2[#Headers],0))
*10+50,"-")</f>
        <v>36.362140832127224</v>
      </c>
      <c r="AP34" s="4">
        <f>IFERROR(
(INDEX(スコア表[],MATCH($C34,スコア表['#],0),MATCH(AP$5,スコア表[#Headers],0))
-
INDEX(スコア表2[],MATCH("average",スコア表2[maxmin],0),MATCH(AP$5,スコア表2[#Headers],0)))
/
INDEX(スコア表2[],MATCH("stdev.p",スコア表2[maxmin],0),MATCH(AP$5,スコア表2[#Headers],0))
*10+50,"-")</f>
        <v>47.437180417379317</v>
      </c>
      <c r="AQ34" s="4">
        <f>IFERROR(
(INDEX(スコア表[],MATCH($C34,スコア表['#],0),MATCH(AQ$5,スコア表[#Headers],0))
-
INDEX(スコア表2[],MATCH("average",スコア表2[maxmin],0),MATCH(AQ$5,スコア表2[#Headers],0)))
/
INDEX(スコア表2[],MATCH("stdev.p",スコア表2[maxmin],0),MATCH(AQ$5,スコア表2[#Headers],0))
*10+50,"-")</f>
        <v>43.726132732152251</v>
      </c>
      <c r="AR34" s="4">
        <f>IFERROR(
(INDEX(スコア表[],MATCH($C34,スコア表['#],0),MATCH(AR$5,スコア表[#Headers],0))
-
INDEX(スコア表2[],MATCH("average",スコア表2[maxmin],0),MATCH(AR$5,スコア表2[#Headers],0)))
/
INDEX(スコア表2[],MATCH("stdev.p",スコア表2[maxmin],0),MATCH(AR$5,スコア表2[#Headers],0))
*10+50,"-")</f>
        <v>43.380862505856022</v>
      </c>
      <c r="AS34" s="4">
        <f>IFERROR(
(INDEX(スコア表[],MATCH($C34,スコア表['#],0),MATCH(AS$5,スコア表[#Headers],0))
-
INDEX(スコア表2[],MATCH("average",スコア表2[maxmin],0),MATCH(AS$5,スコア表2[#Headers],0)))
/
INDEX(スコア表2[],MATCH("stdev.p",スコア表2[maxmin],0),MATCH(AS$5,スコア表2[#Headers],0))
*10+50,"-")</f>
        <v>55.027079318563914</v>
      </c>
      <c r="AT34" s="4">
        <f>IFERROR(
(INDEX(スコア表[],MATCH($C34,スコア表['#],0),MATCH(AT$5,スコア表[#Headers],0))
-
INDEX(スコア表2[],MATCH("average",スコア表2[maxmin],0),MATCH(AT$5,スコア表2[#Headers],0)))
/
INDEX(スコア表2[],MATCH("stdev.p",スコア表2[maxmin],0),MATCH(AT$5,スコア表2[#Headers],0))
*10+50,"-")</f>
        <v>48.74447131257601</v>
      </c>
      <c r="AU34" s="4">
        <f>IFERROR(
(INDEX(スコア表[],MATCH($C34,スコア表['#],0),MATCH(AU$5,スコア表[#Headers],0))
-
INDEX(スコア表2[],MATCH("average",スコア表2[maxmin],0),MATCH(AU$5,スコア表2[#Headers],0)))
/
INDEX(スコア表2[],MATCH("stdev.p",スコア表2[maxmin],0),MATCH(AU$5,スコア表2[#Headers],0))
*10+50,"-")</f>
        <v>54.350173645685445</v>
      </c>
      <c r="AV34" s="4">
        <f>IFERROR(
(INDEX(スコア表[],MATCH($C34,スコア表['#],0),MATCH(AV$5,スコア表[#Headers],0))
-
INDEX(スコア表2[],MATCH("average",スコア表2[maxmin],0),MATCH(AV$5,スコア表2[#Headers],0)))
/
INDEX(スコア表2[],MATCH("stdev.p",スコア表2[maxmin],0),MATCH(AV$5,スコア表2[#Headers],0))
*10+50,"-")</f>
        <v>36.573799172687323</v>
      </c>
      <c r="AW34" s="4">
        <f>IFERROR(
(INDEX(スコア表[],MATCH($C34,スコア表['#],0),MATCH(AW$5,スコア表[#Headers],0))
-
INDEX(スコア表2[],MATCH("average",スコア表2[maxmin],0),MATCH(AW$5,スコア表2[#Headers],0)))
/
INDEX(スコア表2[],MATCH("stdev.p",スコア表2[maxmin],0),MATCH(AW$5,スコア表2[#Headers],0))
*10+50,"-")</f>
        <v>38.442802582964369</v>
      </c>
      <c r="AX34" s="4">
        <f>IFERROR(
(INDEX(スコア表[],MATCH($C34,スコア表['#],0),MATCH(AX$5,スコア表[#Headers],0))
-
INDEX(スコア表2[],MATCH("average",スコア表2[maxmin],0),MATCH(AX$5,スコア表2[#Headers],0)))
/
INDEX(スコア表2[],MATCH("stdev.p",スコア表2[maxmin],0),MATCH(AX$5,スコア表2[#Headers],0))
*10+50,"-")</f>
        <v>44.738464975339824</v>
      </c>
      <c r="AY34" s="4">
        <f>IFERROR(
(INDEX(スコア表[],MATCH($C34,スコア表['#],0),MATCH(AY$5,スコア表[#Headers],0))
-
INDEX(スコア表2[],MATCH("average",スコア表2[maxmin],0),MATCH(AY$5,スコア表2[#Headers],0)))
/
INDEX(スコア表2[],MATCH("stdev.p",スコア表2[maxmin],0),MATCH(AY$5,スコア表2[#Headers],0))
*10+50,"-")</f>
        <v>53.647619231429744</v>
      </c>
      <c r="AZ34" s="4">
        <f>IFERROR(
(INDEX(スコア表[],MATCH($C34,スコア表['#],0),MATCH(AZ$5,スコア表[#Headers],0))
-
INDEX(スコア表2[],MATCH("average",スコア表2[maxmin],0),MATCH(AZ$5,スコア表2[#Headers],0)))
/
INDEX(スコア表2[],MATCH("stdev.p",スコア表2[maxmin],0),MATCH(AZ$5,スコア表2[#Headers],0))
*10+50,"-")</f>
        <v>46.879842773195158</v>
      </c>
      <c r="BA34" s="4">
        <f>IFERROR(
(INDEX(スコア表[],MATCH($C34,スコア表['#],0),MATCH(BA$5,スコア表[#Headers],0))
-
INDEX(スコア表2[],MATCH("average",スコア表2[maxmin],0),MATCH(BA$5,スコア表2[#Headers],0)))
/
INDEX(スコア表2[],MATCH("stdev.p",スコア表2[maxmin],0),MATCH(BA$5,スコア表2[#Headers],0))
*10+50,"-")</f>
        <v>52.951837775060355</v>
      </c>
      <c r="BB34" s="4">
        <f>IFERROR(
(INDEX(スコア表[],MATCH($C34,スコア表['#],0),MATCH(BB$5,スコア表[#Headers],0))
-
INDEX(スコア表2[],MATCH("average",スコア表2[maxmin],0),MATCH(BB$5,スコア表2[#Headers],0)))
/
INDEX(スコア表2[],MATCH("stdev.p",スコア表2[maxmin],0),MATCH(BB$5,スコア表2[#Headers],0))
*10+50,"-")</f>
        <v>35.317106367078722</v>
      </c>
      <c r="BC34" s="4">
        <f>IFERROR(
(INDEX(スコア表[],MATCH($C34,スコア表['#],0),MATCH(BC$5,スコア表[#Headers],0))
-
INDEX(スコア表2[],MATCH("average",スコア表2[maxmin],0),MATCH(BC$5,スコア表2[#Headers],0)))
/
INDEX(スコア表2[],MATCH("stdev.p",スコア表2[maxmin],0),MATCH(BC$5,スコア表2[#Headers],0))
*10+50,"-")</f>
        <v>56.464630456106697</v>
      </c>
      <c r="BD34" s="4">
        <f>IFERROR(
(INDEX(スコア表[],MATCH($C34,スコア表['#],0),MATCH(BD$5,スコア表[#Headers],0))
-
INDEX(スコア表2[],MATCH("average",スコア表2[maxmin],0),MATCH(BD$5,スコア表2[#Headers],0)))
/
INDEX(スコア表2[],MATCH("stdev.p",スコア表2[maxmin],0),MATCH(BD$5,スコア表2[#Headers],0))
*10+50,"-")</f>
        <v>64.760994110607086</v>
      </c>
      <c r="BE34" s="4">
        <f>IFERROR(
(INDEX(スコア表[],MATCH($C34,スコア表['#],0),MATCH(BE$5,スコア表[#Headers],0))
-
INDEX(スコア表2[],MATCH("average",スコア表2[maxmin],0),MATCH(BE$5,スコア表2[#Headers],0)))
/
INDEX(スコア表2[],MATCH("stdev.p",スコア表2[maxmin],0),MATCH(BE$5,スコア表2[#Headers],0))
*10+50,"-")</f>
        <v>39.481440644712919</v>
      </c>
      <c r="BF34" s="4">
        <f>IFERROR(
(INDEX(スコア表[],MATCH($C34,スコア表['#],0),MATCH(BF$5,スコア表[#Headers],0))
-
INDEX(スコア表2[],MATCH("average",スコア表2[maxmin],0),MATCH(BF$5,スコア表2[#Headers],0)))
/
INDEX(スコア表2[],MATCH("stdev.p",スコア表2[maxmin],0),MATCH(BF$5,スコア表2[#Headers],0))
*10+50,"-")</f>
        <v>47.548253518603246</v>
      </c>
      <c r="BG34" s="4">
        <f>IFERROR(
(INDEX(スコア表[],MATCH($C34,スコア表['#],0),MATCH(BG$5,スコア表[#Headers],0))
-
INDEX(スコア表2[],MATCH("average",スコア表2[maxmin],0),MATCH(BG$5,スコア表2[#Headers],0)))
/
INDEX(スコア表2[],MATCH("stdev.p",スコア表2[maxmin],0),MATCH(BG$5,スコア表2[#Headers],0))
*10+50,"-")</f>
        <v>49.155593227960125</v>
      </c>
      <c r="BH34" s="4">
        <f>IFERROR(
(INDEX(スコア表[],MATCH($C34,スコア表['#],0),MATCH(BH$5,スコア表[#Headers],0))
-
INDEX(スコア表2[],MATCH("average",スコア表2[maxmin],0),MATCH(BH$5,スコア表2[#Headers],0)))
/
INDEX(スコア表2[],MATCH("stdev.p",スコア表2[maxmin],0),MATCH(BH$5,スコア表2[#Headers],0))
*10+50,"-")</f>
        <v>44.834716423197847</v>
      </c>
      <c r="BI34" s="4">
        <f>IFERROR(
(INDEX(スコア表[],MATCH($C34,スコア表['#],0),MATCH(BI$5,スコア表[#Headers],0))
-
INDEX(スコア表2[],MATCH("average",スコア表2[maxmin],0),MATCH(BI$5,スコア表2[#Headers],0)))
/
INDEX(スコア表2[],MATCH("stdev.p",スコア表2[maxmin],0),MATCH(BI$5,スコア表2[#Headers],0))
*10+50,"-")</f>
        <v>48.034957318581462</v>
      </c>
      <c r="BJ34" s="4">
        <f>IFERROR(
(INDEX(スコア表[],MATCH($C34,スコア表['#],0),MATCH(BJ$5,スコア表[#Headers],0))
-
INDEX(スコア表2[],MATCH("average",スコア表2[maxmin],0),MATCH(BJ$5,スコア表2[#Headers],0)))
/
INDEX(スコア表2[],MATCH("stdev.p",スコア表2[maxmin],0),MATCH(BJ$5,スコア表2[#Headers],0))
*10+50,"-")</f>
        <v>27.917676521281809</v>
      </c>
      <c r="BK34" s="4">
        <f>IFERROR(
(INDEX(スコア表[],MATCH($C34,スコア表['#],0),MATCH(BK$5,スコア表[#Headers],0))
-
INDEX(スコア表2[],MATCH("average",スコア表2[maxmin],0),MATCH(BK$5,スコア表2[#Headers],0)))
/
INDEX(スコア表2[],MATCH("stdev.p",スコア表2[maxmin],0),MATCH(BK$5,スコア表2[#Headers],0))
*10+50,"-")</f>
        <v>57.924546091703917</v>
      </c>
      <c r="BL34" s="4">
        <f>IFERROR(
(INDEX(スコア表[],MATCH($C34,スコア表['#],0),MATCH(BL$5,スコア表[#Headers],0))
-
INDEX(スコア表2[],MATCH("average",スコア表2[maxmin],0),MATCH(BL$5,スコア表2[#Headers],0)))
/
INDEX(スコア表2[],MATCH("stdev.p",スコア表2[maxmin],0),MATCH(BL$5,スコア表2[#Headers],0))
*10+50,"-")</f>
        <v>48.226094384297895</v>
      </c>
      <c r="BM34" s="4">
        <f>IFERROR(
(INDEX(スコア表[],MATCH($C34,スコア表['#],0),MATCH(BM$5,スコア表[#Headers],0))
-
INDEX(スコア表2[],MATCH("average",スコア表2[maxmin],0),MATCH(BM$5,スコア表2[#Headers],0)))
/
INDEX(スコア表2[],MATCH("stdev.p",スコア表2[maxmin],0),MATCH(BM$5,スコア表2[#Headers],0))
*10+50,"-")</f>
        <v>52.905010641440818</v>
      </c>
      <c r="BN34" s="4">
        <f>IFERROR(
(INDEX(スコア表[],MATCH($C34,スコア表['#],0),MATCH(BN$5,スコア表[#Headers],0))
-
INDEX(スコア表2[],MATCH("average",スコア表2[maxmin],0),MATCH(BN$5,スコア表2[#Headers],0)))
/
INDEX(スコア表2[],MATCH("stdev.p",スコア表2[maxmin],0),MATCH(BN$5,スコア表2[#Headers],0))
*10+50,"-")</f>
        <v>55.910509767792675</v>
      </c>
      <c r="BO34" s="4">
        <f>IFERROR(
(INDEX(スコア表[],MATCH($C34,スコア表['#],0),MATCH(BO$5,スコア表[#Headers],0))
-
INDEX(スコア表2[],MATCH("average",スコア表2[maxmin],0),MATCH(BO$5,スコア表2[#Headers],0)))
/
INDEX(スコア表2[],MATCH("stdev.p",スコア表2[maxmin],0),MATCH(BO$5,スコア表2[#Headers],0))
*10+50,"-")</f>
        <v>53.202870115648274</v>
      </c>
      <c r="BP34" s="4">
        <f>IFERROR(
(INDEX(スコア表[],MATCH($C34,スコア表['#],0),MATCH(BP$5,スコア表[#Headers],0))
-
INDEX(スコア表2[],MATCH("average",スコア表2[maxmin],0),MATCH(BP$5,スコア表2[#Headers],0)))
/
INDEX(スコア表2[],MATCH("stdev.p",スコア表2[maxmin],0),MATCH(BP$5,スコア表2[#Headers],0))
*10+50,"-")</f>
        <v>40.440820111521298</v>
      </c>
      <c r="BQ34" s="4">
        <f>IFERROR(
(INDEX(スコア表[],MATCH($C34,スコア表['#],0),MATCH(BQ$5,スコア表[#Headers],0))
-
INDEX(スコア表2[],MATCH("average",スコア表2[maxmin],0),MATCH(BQ$5,スコア表2[#Headers],0)))
/
INDEX(スコア表2[],MATCH("stdev.p",スコア表2[maxmin],0),MATCH(BQ$5,スコア表2[#Headers],0))
*10+50,"-")</f>
        <v>42.481865554647705</v>
      </c>
      <c r="BR34" s="4">
        <f>IFERROR(
(INDEX(スコア表[],MATCH($C34,スコア表['#],0),MATCH(BR$5,スコア表[#Headers],0))
-
INDEX(スコア表2[],MATCH("average",スコア表2[maxmin],0),MATCH(BR$5,スコア表2[#Headers],0)))
/
INDEX(スコア表2[],MATCH("stdev.p",スコア表2[maxmin],0),MATCH(BR$5,スコア表2[#Headers],0))
*10+50,"-")</f>
        <v>48.898034191648428</v>
      </c>
      <c r="BS34" s="4">
        <f>IFERROR(
(INDEX(スコア表[],MATCH($C34,スコア表['#],0),MATCH(BS$5,スコア表[#Headers],0))
-
INDEX(スコア表2[],MATCH("average",スコア表2[maxmin],0),MATCH(BS$5,スコア表2[#Headers],0)))
/
INDEX(スコア表2[],MATCH("stdev.p",スコア表2[maxmin],0),MATCH(BS$5,スコア表2[#Headers],0))
*10+50,"-")</f>
        <v>52.139671062129622</v>
      </c>
      <c r="BT34" s="4">
        <f>IFERROR(
(INDEX(スコア表[],MATCH($C34,スコア表['#],0),MATCH(BT$5,スコア表[#Headers],0))
-
INDEX(スコア表2[],MATCH("average",スコア表2[maxmin],0),MATCH(BT$5,スコア表2[#Headers],0)))
/
INDEX(スコア表2[],MATCH("stdev.p",スコア表2[maxmin],0),MATCH(BT$5,スコア表2[#Headers],0))
*10+50,"-")</f>
        <v>43.43923269355647</v>
      </c>
      <c r="BU34" s="4">
        <f>IFERROR(
(INDEX(スコア表[],MATCH($C34,スコア表['#],0),MATCH(BU$5,スコア表[#Headers],0))
-
INDEX(スコア表2[],MATCH("average",スコア表2[maxmin],0),MATCH(BU$5,スコア表2[#Headers],0)))
/
INDEX(スコア表2[],MATCH("stdev.p",スコア表2[maxmin],0),MATCH(BU$5,スコア表2[#Headers],0))
*10+50,"-")</f>
        <v>39.57658886260225</v>
      </c>
      <c r="BV34" s="4">
        <f>IFERROR(
(INDEX(スコア表[],MATCH($C34,スコア表['#],0),MATCH(BV$5,スコア表[#Headers],0))
-
INDEX(スコア表2[],MATCH("average",スコア表2[maxmin],0),MATCH(BV$5,スコア表2[#Headers],0)))
/
INDEX(スコア表2[],MATCH("stdev.p",スコア表2[maxmin],0),MATCH(BV$5,スコア表2[#Headers],0))
*10+50,"-")</f>
        <v>65.822741192623397</v>
      </c>
      <c r="BW34" s="4">
        <f>IFERROR(
(INDEX(スコア表[],MATCH($C34,スコア表['#],0),MATCH(BW$5,スコア表[#Headers],0))
-
INDEX(スコア表2[],MATCH("average",スコア表2[maxmin],0),MATCH(BW$5,スコア表2[#Headers],0)))
/
INDEX(スコア表2[],MATCH("stdev.p",スコア表2[maxmin],0),MATCH(BW$5,スコア表2[#Headers],0))
*10+50,"-")</f>
        <v>50.911139815676151</v>
      </c>
      <c r="BX34" s="4">
        <f>IFERROR(
(INDEX(スコア表[],MATCH($C34,スコア表['#],0),MATCH(BX$5,スコア表[#Headers],0))
-
INDEX(スコア表2[],MATCH("average",スコア表2[maxmin],0),MATCH(BX$5,スコア表2[#Headers],0)))
/
INDEX(スコア表2[],MATCH("stdev.p",スコア表2[maxmin],0),MATCH(BX$5,スコア表2[#Headers],0))
*10+50,"-")</f>
        <v>53.334635279476082</v>
      </c>
      <c r="BY34" s="4">
        <f>IFERROR(
(INDEX(スコア表[],MATCH($C34,スコア表['#],0),MATCH(BY$5,スコア表[#Headers],0))
-
INDEX(スコア表2[],MATCH("average",スコア表2[maxmin],0),MATCH(BY$5,スコア表2[#Headers],0)))
/
INDEX(スコア表2[],MATCH("stdev.p",スコア表2[maxmin],0),MATCH(BY$5,スコア表2[#Headers],0))
*10+50,"-")</f>
        <v>35.185515525928949</v>
      </c>
      <c r="BZ34" s="4">
        <f>IFERROR(
(INDEX(スコア表[],MATCH($C34,スコア表['#],0),MATCH(BZ$5,スコア表[#Headers],0))
-
INDEX(スコア表2[],MATCH("average",スコア表2[maxmin],0),MATCH(BZ$5,スコア表2[#Headers],0)))
/
INDEX(スコア表2[],MATCH("stdev.p",スコア表2[maxmin],0),MATCH(BZ$5,スコア表2[#Headers],0))
*10+50,"-")</f>
        <v>58.391413113060345</v>
      </c>
      <c r="CA34" s="4">
        <f>IFERROR(
(INDEX(スコア表[],MATCH($C34,スコア表['#],0),MATCH(CA$5,スコア表[#Headers],0))
-
INDEX(スコア表2[],MATCH("average",スコア表2[maxmin],0),MATCH(CA$5,スコア表2[#Headers],0)))
/
INDEX(スコア表2[],MATCH("stdev.p",スコア表2[maxmin],0),MATCH(CA$5,スコア表2[#Headers],0))
*10+50,"-")</f>
        <v>52.991800587283969</v>
      </c>
      <c r="CB34" s="4">
        <f>IFERROR(
(INDEX(スコア表[],MATCH($C34,スコア表['#],0),MATCH(CB$5,スコア表[#Headers],0))
-
INDEX(スコア表2[],MATCH("average",スコア表2[maxmin],0),MATCH(CB$5,スコア表2[#Headers],0)))
/
INDEX(スコア表2[],MATCH("stdev.p",スコア表2[maxmin],0),MATCH(CB$5,スコア表2[#Headers],0))
*10+50,"-")</f>
        <v>46.441823207352265</v>
      </c>
      <c r="CC34" s="4">
        <f>IFERROR(
(INDEX(スコア表[],MATCH($C34,スコア表['#],0),MATCH(CC$5,スコア表[#Headers],0))
-
INDEX(スコア表2[],MATCH("average",スコア表2[maxmin],0),MATCH(CC$5,スコア表2[#Headers],0)))
/
INDEX(スコア表2[],MATCH("stdev.p",スコア表2[maxmin],0),MATCH(CC$5,スコア表2[#Headers],0))
*10+50,"-")</f>
        <v>35.679077046894228</v>
      </c>
      <c r="CD34" s="4">
        <f>IFERROR(
(INDEX(スコア表[],MATCH($C34,スコア表['#],0),MATCH(CD$5,スコア表[#Headers],0))
-
INDEX(スコア表2[],MATCH("average",スコア表2[maxmin],0),MATCH(CD$5,スコア表2[#Headers],0)))
/
INDEX(スコア表2[],MATCH("stdev.p",スコア表2[maxmin],0),MATCH(CD$5,スコア表2[#Headers],0))
*10+50,"-")</f>
        <v>66.791648667678487</v>
      </c>
      <c r="CE34" s="4">
        <f>IFERROR(
(INDEX(スコア表[],MATCH($C34,スコア表['#],0),MATCH(CE$5,スコア表[#Headers],0))
-
INDEX(スコア表2[],MATCH("average",スコア表2[maxmin],0),MATCH(CE$5,スコア表2[#Headers],0)))
/
INDEX(スコア表2[],MATCH("stdev.p",スコア表2[maxmin],0),MATCH(CE$5,スコア表2[#Headers],0))
*10+50,"-")</f>
        <v>52.629964079978734</v>
      </c>
      <c r="CF34" s="4">
        <f>IFERROR(
(INDEX(スコア表[],MATCH($C34,スコア表['#],0),MATCH(CF$5,スコア表[#Headers],0))
-
INDEX(スコア表2[],MATCH("average",スコア表2[maxmin],0),MATCH(CF$5,スコア表2[#Headers],0)))
/
INDEX(スコア表2[],MATCH("stdev.p",スコア表2[maxmin],0),MATCH(CF$5,スコア表2[#Headers],0))
*10+50,"-")</f>
        <v>63.622836815780616</v>
      </c>
      <c r="CG34" s="4">
        <f>IFERROR(
(INDEX(スコア表[],MATCH($C34,スコア表['#],0),MATCH(CG$5,スコア表[#Headers],0))
-
INDEX(スコア表2[],MATCH("average",スコア表2[maxmin],0),MATCH(CG$5,スコア表2[#Headers],0)))
/
INDEX(スコア表2[],MATCH("stdev.p",スコア表2[maxmin],0),MATCH(CG$5,スコア表2[#Headers],0))
*10+50,"-")</f>
        <v>58.314084368905718</v>
      </c>
      <c r="CH34" s="4">
        <f>IFERROR(
(INDEX(スコア表[],MATCH($C34,スコア表['#],0),MATCH(CH$5,スコア表[#Headers],0))
-
INDEX(スコア表2[],MATCH("average",スコア表2[maxmin],0),MATCH(CH$5,スコア表2[#Headers],0)))
/
INDEX(スコア表2[],MATCH("stdev.p",スコア表2[maxmin],0),MATCH(CH$5,スコア表2[#Headers],0))
*10+50,"-")</f>
        <v>70.871782592441804</v>
      </c>
      <c r="CI34" s="4">
        <f>IFERROR(
(INDEX(スコア表[],MATCH($C34,スコア表['#],0),MATCH(CI$5,スコア表[#Headers],0))
-
INDEX(スコア表2[],MATCH("average",スコア表2[maxmin],0),MATCH(CI$5,スコア表2[#Headers],0)))
/
INDEX(スコア表2[],MATCH("stdev.p",スコア表2[maxmin],0),MATCH(CI$5,スコア表2[#Headers],0))
*10+50,"-")</f>
        <v>43.745813661607045</v>
      </c>
      <c r="CJ34" s="4">
        <f>IFERROR(
(INDEX(スコア表[],MATCH($C34,スコア表['#],0),MATCH(CJ$5,スコア表[#Headers],0))
-
INDEX(スコア表2[],MATCH("average",スコア表2[maxmin],0),MATCH(CJ$5,スコア表2[#Headers],0)))
/
INDEX(スコア表2[],MATCH("stdev.p",スコア表2[maxmin],0),MATCH(CJ$5,スコア表2[#Headers],0))
*10+50,"-")</f>
        <v>38.374077400224671</v>
      </c>
      <c r="CK34" s="4">
        <f>IFERROR(
(INDEX(スコア表[],MATCH($C34,スコア表['#],0),MATCH(CK$5,スコア表[#Headers],0))
-
INDEX(スコア表2[],MATCH("average",スコア表2[maxmin],0),MATCH(CK$5,スコア表2[#Headers],0)))
/
INDEX(スコア表2[],MATCH("stdev.p",スコア表2[maxmin],0),MATCH(CK$5,スコア表2[#Headers],0))
*10+50,"-")</f>
        <v>42.794705344424401</v>
      </c>
      <c r="CL34" s="4">
        <f>IFERROR(
(INDEX(スコア表[],MATCH($C34,スコア表['#],0),MATCH(CL$5,スコア表[#Headers],0))
-
INDEX(スコア表2[],MATCH("average",スコア表2[maxmin],0),MATCH(CL$5,スコア表2[#Headers],0)))
/
INDEX(スコア表2[],MATCH("stdev.p",スコア表2[maxmin],0),MATCH(CL$5,スコア表2[#Headers],0))
*10+50,"-")</f>
        <v>41.815361700166996</v>
      </c>
      <c r="CM34" s="4">
        <f>IFERROR(
(INDEX(スコア表[],MATCH($C34,スコア表['#],0),MATCH(CM$5,スコア表[#Headers],0))
-
INDEX(スコア表2[],MATCH("average",スコア表2[maxmin],0),MATCH(CM$5,スコア表2[#Headers],0)))
/
INDEX(スコア表2[],MATCH("stdev.p",スコア表2[maxmin],0),MATCH(CM$5,スコア表2[#Headers],0))
*10+50,"-")</f>
        <v>42.609668801504235</v>
      </c>
      <c r="CN34" s="4">
        <f>IFERROR(
(INDEX(スコア表[],MATCH($C34,スコア表['#],0),MATCH(CN$5,スコア表[#Headers],0))
-
INDEX(スコア表2[],MATCH("average",スコア表2[maxmin],0),MATCH(CN$5,スコア表2[#Headers],0)))
/
INDEX(スコア表2[],MATCH("stdev.p",スコア表2[maxmin],0),MATCH(CN$5,スコア表2[#Headers],0))
*10+50,"-")</f>
        <v>54.963726999644102</v>
      </c>
      <c r="CO34" s="4">
        <f>IFERROR(
(INDEX(スコア表[],MATCH($C34,スコア表['#],0),MATCH(CO$5,スコア表[#Headers],0))
-
INDEX(スコア表2[],MATCH("average",スコア表2[maxmin],0),MATCH(CO$5,スコア表2[#Headers],0)))
/
INDEX(スコア表2[],MATCH("stdev.p",スコア表2[maxmin],0),MATCH(CO$5,スコア表2[#Headers],0))
*10+50,"-")</f>
        <v>36.256806066778694</v>
      </c>
      <c r="CP34" s="4">
        <f>IFERROR(
(INDEX(スコア表[],MATCH($C34,スコア表['#],0),MATCH(CP$5,スコア表[#Headers],0))
-
INDEX(スコア表2[],MATCH("average",スコア表2[maxmin],0),MATCH(CP$5,スコア表2[#Headers],0)))
/
INDEX(スコア表2[],MATCH("stdev.p",スコア表2[maxmin],0),MATCH(CP$5,スコア表2[#Headers],0))
*10+50,"-")</f>
        <v>47.767426222341804</v>
      </c>
      <c r="CQ34" s="4">
        <f>IFERROR(
(INDEX(スコア表[],MATCH($C34,スコア表['#],0),MATCH(CQ$5,スコア表[#Headers],0))
-
INDEX(スコア表2[],MATCH("average",スコア表2[maxmin],0),MATCH(CQ$5,スコア表2[#Headers],0)))
/
INDEX(スコア表2[],MATCH("stdev.p",スコア表2[maxmin],0),MATCH(CQ$5,スコア表2[#Headers],0))
*10+50,"-")</f>
        <v>43.110330614679377</v>
      </c>
      <c r="CR34" s="4">
        <f>IFERROR(
(INDEX(スコア表[],MATCH($C34,スコア表['#],0),MATCH(CR$5,スコア表[#Headers],0))
-
INDEX(スコア表2[],MATCH("average",スコア表2[maxmin],0),MATCH(CR$5,スコア表2[#Headers],0)))
/
INDEX(スコア表2[],MATCH("stdev.p",スコア表2[maxmin],0),MATCH(CR$5,スコア表2[#Headers],0))
*10+50,"-")</f>
        <v>55.08891883744996</v>
      </c>
      <c r="CS34" s="4">
        <f>IFERROR(
(INDEX(スコア表[],MATCH($C34,スコア表['#],0),MATCH(CS$5,スコア表[#Headers],0))
-
INDEX(スコア表2[],MATCH("average",スコア表2[maxmin],0),MATCH(CS$5,スコア表2[#Headers],0)))
/
INDEX(スコア表2[],MATCH("stdev.p",スコア表2[maxmin],0),MATCH(CS$5,スコア表2[#Headers],0))
*10+50,"-")</f>
        <v>44.819985184138488</v>
      </c>
      <c r="CT34" s="4">
        <f>IFERROR(
(INDEX(スコア表[],MATCH($C34,スコア表['#],0),MATCH(CT$5,スコア表[#Headers],0))
-
INDEX(スコア表2[],MATCH("average",スコア表2[maxmin],0),MATCH(CT$5,スコア表2[#Headers],0)))
/
INDEX(スコア表2[],MATCH("stdev.p",スコア表2[maxmin],0),MATCH(CT$5,スコア表2[#Headers],0))
*10+50,"-")</f>
        <v>41.629534729299372</v>
      </c>
      <c r="CU34" s="4">
        <f>IFERROR(
(INDEX(スコア表[],MATCH($C34,スコア表['#],0),MATCH(CU$5,スコア表[#Headers],0))
-
INDEX(スコア表2[],MATCH("average",スコア表2[maxmin],0),MATCH(CU$5,スコア表2[#Headers],0)))
/
INDEX(スコア表2[],MATCH("stdev.p",スコア表2[maxmin],0),MATCH(CU$5,スコア表2[#Headers],0))
*10+50,"-")</f>
        <v>54.646500353358675</v>
      </c>
      <c r="CV34" s="4">
        <f>IFERROR(
(INDEX(スコア表[],MATCH($C34,スコア表['#],0),MATCH(CV$5,スコア表[#Headers],0))
-
INDEX(スコア表2[],MATCH("average",スコア表2[maxmin],0),MATCH(CV$5,スコア表2[#Headers],0)))
/
INDEX(スコア表2[],MATCH("stdev.p",スコア表2[maxmin],0),MATCH(CV$5,スコア表2[#Headers],0))
*10+50,"-")</f>
        <v>38.298650296242137</v>
      </c>
      <c r="CW34" s="4">
        <f>IFERROR(
(INDEX(スコア表[],MATCH($C34,スコア表['#],0),MATCH(CW$5,スコア表[#Headers],0))
-
INDEX(スコア表2[],MATCH("average",スコア表2[maxmin],0),MATCH(CW$5,スコア表2[#Headers],0)))
/
INDEX(スコア表2[],MATCH("stdev.p",スコア表2[maxmin],0),MATCH(CW$5,スコア表2[#Headers],0))
*10+50,"-")</f>
        <v>50.398746787776346</v>
      </c>
      <c r="CX34" s="4">
        <f>IFERROR(
(INDEX(スコア表[],MATCH($C34,スコア表['#],0),MATCH(CX$5,スコア表[#Headers],0))
-
INDEX(スコア表2[],MATCH("average",スコア表2[maxmin],0),MATCH(CX$5,スコア表2[#Headers],0)))
/
INDEX(スコア表2[],MATCH("stdev.p",スコア表2[maxmin],0),MATCH(CX$5,スコア表2[#Headers],0))
*10+50,"-")</f>
        <v>50.711103400868311</v>
      </c>
      <c r="CY34" s="4">
        <f>IFERROR(
(INDEX(スコア表[],MATCH($C34,スコア表['#],0),MATCH(CY$5,スコア表[#Headers],0))
-
INDEX(スコア表2[],MATCH("average",スコア表2[maxmin],0),MATCH(CY$5,スコア表2[#Headers],0)))
/
INDEX(スコア表2[],MATCH("stdev.p",スコア表2[maxmin],0),MATCH(CY$5,スコア表2[#Headers],0))
*10+50,"-")</f>
        <v>45.140441899004372</v>
      </c>
      <c r="CZ34" s="4">
        <f>IFERROR(
(INDEX(スコア表[],MATCH($C34,スコア表['#],0),MATCH(CZ$5,スコア表[#Headers],0))
-
INDEX(スコア表2[],MATCH("average",スコア表2[maxmin],0),MATCH(CZ$5,スコア表2[#Headers],0)))
/
INDEX(スコア表2[],MATCH("stdev.p",スコア表2[maxmin],0),MATCH(CZ$5,スコア表2[#Headers],0))
*10+50,"-")</f>
        <v>55.826459247524411</v>
      </c>
      <c r="DA34" s="4">
        <f>IFERROR(
(INDEX(スコア表[],MATCH($C34,スコア表['#],0),MATCH(DA$5,スコア表[#Headers],0))
-
INDEX(スコア表2[],MATCH("average",スコア表2[maxmin],0),MATCH(DA$5,スコア表2[#Headers],0)))
/
INDEX(スコア表2[],MATCH("stdev.p",スコア表2[maxmin],0),MATCH(DA$5,スコア表2[#Headers],0))
*10+50,"-")</f>
        <v>65.346857486334045</v>
      </c>
      <c r="DB34" s="4">
        <f>IFERROR(
(INDEX(スコア表[],MATCH($C34,スコア表['#],0),MATCH(DB$5,スコア表[#Headers],0))
-
INDEX(スコア表2[],MATCH("average",スコア表2[maxmin],0),MATCH(DB$5,スコア表2[#Headers],0)))
/
INDEX(スコア表2[],MATCH("stdev.p",スコア表2[maxmin],0),MATCH(DB$5,スコア表2[#Headers],0))
*10+50,"-")</f>
        <v>39.220195705286656</v>
      </c>
      <c r="DC34" s="4">
        <f>IFERROR(
(INDEX(スコア表[],MATCH($C34,スコア表['#],0),MATCH(DC$5,スコア表[#Headers],0))
-
INDEX(スコア表2[],MATCH("average",スコア表2[maxmin],0),MATCH(DC$5,スコア表2[#Headers],0)))
/
INDEX(スコア表2[],MATCH("stdev.p",スコア表2[maxmin],0),MATCH(DC$5,スコア表2[#Headers],0))
*10+50,"-")</f>
        <v>39.316668052346984</v>
      </c>
      <c r="DD34" s="4">
        <f>IFERROR(
(INDEX(スコア表[],MATCH($C34,スコア表['#],0),MATCH(DD$5,スコア表[#Headers],0))
-
INDEX(スコア表2[],MATCH("average",スコア表2[maxmin],0),MATCH(DD$5,スコア表2[#Headers],0)))
/
INDEX(スコア表2[],MATCH("stdev.p",スコア表2[maxmin],0),MATCH(DD$5,スコア表2[#Headers],0))
*10+50,"-")</f>
        <v>47.968087837827078</v>
      </c>
      <c r="DE34" s="4">
        <f>IFERROR(
(INDEX(スコア表[],MATCH($C34,スコア表['#],0),MATCH(DE$5,スコア表[#Headers],0))
-
INDEX(スコア表2[],MATCH("average",スコア表2[maxmin],0),MATCH(DE$5,スコア表2[#Headers],0)))
/
INDEX(スコア表2[],MATCH("stdev.p",スコア表2[maxmin],0),MATCH(DE$5,スコア表2[#Headers],0))
*10+50,"-")</f>
        <v>43.572787495529141</v>
      </c>
      <c r="DF34" s="76">
        <f>IFERROR(
(INDEX(スコア表[],MATCH($C34,スコア表['#],0),MATCH(DF$5,スコア表[#Headers],0))
-
INDEX(スコア表2[],MATCH("average",スコア表2[maxmin],0),MATCH(DF$5,スコア表2[#Headers],0)))
/
INDEX(スコア表2[],MATCH("stdev.p",スコア表2[maxmin],0),MATCH(DF$5,スコア表2[#Headers],0))
*10+50,"-")</f>
        <v>48.833231754351537</v>
      </c>
      <c r="DG34" s="4">
        <f>IFERROR(_xlfn.STDEV.P(偏差値表[[#This Row],[Economy]:[Accessibility]]),"")</f>
        <v>9.4206494331518389</v>
      </c>
    </row>
    <row r="35" spans="1:111">
      <c r="A35" s="2">
        <v>30</v>
      </c>
      <c r="B35" s="58">
        <f>INDEX(順位表[Comprehensive],MATCH($C35,順位表['#],0))</f>
        <v>30</v>
      </c>
      <c r="C35" s="3">
        <v>15</v>
      </c>
      <c r="D35" s="1" t="str">
        <f>INDEX(都市マスタ[City Name],MATCH($C35,都市マスタ['#],0))</f>
        <v>Istanbul</v>
      </c>
      <c r="E35" s="4">
        <f>IFERROR(
(INDEX(スコア表[],MATCH($C35,スコア表['#],0),MATCH(E$5,スコア表[#Headers],0))
-
INDEX(スコア表2[],MATCH("average",スコア表2[maxmin],0),MATCH(E$5,スコア表2[#Headers],0)))
/
INDEX(スコア表2[],MATCH("stdev.p",スコア表2[maxmin],0),MATCH(E$5,スコア表2[#Headers],0))
*10+50,"-")</f>
        <v>68.843891674809029</v>
      </c>
      <c r="F35" s="4">
        <f>IFERROR(
(INDEX(スコア表[],MATCH($C35,スコア表['#],0),MATCH(F$5,スコア表[#Headers],0))
-
INDEX(スコア表2[],MATCH("average",スコア表2[maxmin],0),MATCH(F$5,スコア表2[#Headers],0)))
/
INDEX(スコア表2[],MATCH("stdev.p",スコア表2[maxmin],0),MATCH(F$5,スコア表2[#Headers],0))
*10+50,"-")</f>
        <v>60.729591478763624</v>
      </c>
      <c r="G35" s="4">
        <f>IFERROR(
(INDEX(スコア表[],MATCH($C35,スコア表['#],0),MATCH(G$5,スコア表[#Headers],0))
-
INDEX(スコア表2[],MATCH("average",スコア表2[maxmin],0),MATCH(G$5,スコア表2[#Headers],0)))
/
INDEX(スコア表2[],MATCH("stdev.p",スコア表2[maxmin],0),MATCH(G$5,スコア表2[#Headers],0))
*10+50,"-")</f>
        <v>48.406098999739953</v>
      </c>
      <c r="H35" s="4">
        <f>IFERROR(
(INDEX(スコア表[],MATCH($C35,スコア表['#],0),MATCH(H$5,スコア表[#Headers],0))
-
INDEX(スコア表2[],MATCH("average",スコア表2[maxmin],0),MATCH(H$5,スコア表2[#Headers],0)))
/
INDEX(スコア表2[],MATCH("stdev.p",スコア表2[maxmin],0),MATCH(H$5,スコア表2[#Headers],0))
*10+50,"-")</f>
        <v>51.304708193682501</v>
      </c>
      <c r="I35" s="4">
        <f>IFERROR(
(INDEX(スコア表[],MATCH($C35,スコア表['#],0),MATCH(I$5,スコア表[#Headers],0))
-
INDEX(スコア表2[],MATCH("average",スコア表2[maxmin],0),MATCH(I$5,スコア表2[#Headers],0)))
/
INDEX(スコア表2[],MATCH("stdev.p",スコア表2[maxmin],0),MATCH(I$5,スコア表2[#Headers],0))
*10+50,"-")</f>
        <v>39.71966104607251</v>
      </c>
      <c r="J35" s="4">
        <f>IFERROR(
(INDEX(スコア表[],MATCH($C35,スコア表['#],0),MATCH(J$5,スコア表[#Headers],0))
-
INDEX(スコア表2[],MATCH("average",スコア表2[maxmin],0),MATCH(J$5,スコア表2[#Headers],0)))
/
INDEX(スコア表2[],MATCH("stdev.p",スコア表2[maxmin],0),MATCH(J$5,スコア表2[#Headers],0))
*10+50,"-")</f>
        <v>79.234114550942365</v>
      </c>
      <c r="K35" s="4">
        <f>IFERROR(
(INDEX(スコア表[],MATCH($C35,スコア表['#],0),MATCH(K$5,スコア表[#Headers],0))
-
INDEX(スコア表2[],MATCH("average",スコア表2[maxmin],0),MATCH(K$5,スコア表2[#Headers],0)))
/
INDEX(スコア表2[],MATCH("stdev.p",スコア表2[maxmin],0),MATCH(K$5,スコア表2[#Headers],0))
*10+50,"-")</f>
        <v>39.063434638114003</v>
      </c>
      <c r="L35" s="4">
        <f>IFERROR(
(INDEX(スコア表[],MATCH($C35,スコア表['#],0),MATCH(L$5,スコア表[#Headers],0))
-
INDEX(スコア表2[],MATCH("average",スコア表2[maxmin],0),MATCH(L$5,スコア表2[#Headers],0)))
/
INDEX(スコア表2[],MATCH("stdev.p",スコア表2[maxmin],0),MATCH(L$5,スコア表2[#Headers],0))
*10+50,"-")</f>
        <v>47.400125839473006</v>
      </c>
      <c r="M35" s="4">
        <f>IFERROR(
(INDEX(スコア表[],MATCH($C35,スコア表['#],0),MATCH(M$5,スコア表[#Headers],0))
-
INDEX(スコア表2[],MATCH("average",スコア表2[maxmin],0),MATCH(M$5,スコア表2[#Headers],0)))
/
INDEX(スコア表2[],MATCH("stdev.p",スコア表2[maxmin],0),MATCH(M$5,スコア表2[#Headers],0))
*10+50,"-")</f>
        <v>46.20777971251762</v>
      </c>
      <c r="N35" s="4">
        <f>IFERROR(
(INDEX(スコア表[],MATCH($C35,スコア表['#],0),MATCH(N$5,スコア表[#Headers],0))
-
INDEX(スコア表2[],MATCH("average",スコア表2[maxmin],0),MATCH(N$5,スコア表2[#Headers],0)))
/
INDEX(スコア表2[],MATCH("stdev.p",スコア表2[maxmin],0),MATCH(N$5,スコア表2[#Headers],0))
*10+50,"-")</f>
        <v>61.430356500589454</v>
      </c>
      <c r="O35" s="4">
        <f>IFERROR(
(INDEX(スコア表[],MATCH($C35,スコア表['#],0),MATCH(O$5,スコア表[#Headers],0))
-
INDEX(スコア表2[],MATCH("average",スコア表2[maxmin],0),MATCH(O$5,スコア表2[#Headers],0)))
/
INDEX(スコア表2[],MATCH("stdev.p",スコア表2[maxmin],0),MATCH(O$5,スコア表2[#Headers],0))
*10+50,"-")</f>
        <v>31.730881100804513</v>
      </c>
      <c r="P35" s="4">
        <f>IFERROR(
(INDEX(スコア表[],MATCH($C35,スコア表['#],0),MATCH(P$5,スコア表[#Headers],0))
-
INDEX(スコア表2[],MATCH("average",スコア表2[maxmin],0),MATCH(P$5,スコア表2[#Headers],0)))
/
INDEX(スコア表2[],MATCH("stdev.p",スコア表2[maxmin],0),MATCH(P$5,スコア表2[#Headers],0))
*10+50,"-")</f>
        <v>37.187868902538412</v>
      </c>
      <c r="Q35" s="4">
        <f>IFERROR(
(INDEX(スコア表[],MATCH($C35,スコア表['#],0),MATCH(Q$5,スコア表[#Headers],0))
-
INDEX(スコア表2[],MATCH("average",スコア表2[maxmin],0),MATCH(Q$5,スコア表2[#Headers],0)))
/
INDEX(スコア表2[],MATCH("stdev.p",スコア表2[maxmin],0),MATCH(Q$5,スコア表2[#Headers],0))
*10+50,"-")</f>
        <v>35.121501096273498</v>
      </c>
      <c r="R35" s="4">
        <f>IFERROR(
(INDEX(スコア表[],MATCH($C35,スコア表['#],0),MATCH(R$5,スコア表[#Headers],0))
-
INDEX(スコア表2[],MATCH("average",スコア表2[maxmin],0),MATCH(R$5,スコア表2[#Headers],0)))
/
INDEX(スコア表2[],MATCH("stdev.p",スコア表2[maxmin],0),MATCH(R$5,スコア表2[#Headers],0))
*10+50,"-")</f>
        <v>35.823858687344497</v>
      </c>
      <c r="S35" s="4">
        <f>IFERROR(
(INDEX(スコア表[],MATCH($C35,スコア表['#],0),MATCH(S$5,スコア表[#Headers],0))
-
INDEX(スコア表2[],MATCH("average",スコア表2[maxmin],0),MATCH(S$5,スコア表2[#Headers],0)))
/
INDEX(スコア表2[],MATCH("stdev.p",スコア表2[maxmin],0),MATCH(S$5,スコア表2[#Headers],0))
*10+50,"-")</f>
        <v>58.874866438455072</v>
      </c>
      <c r="T35" s="4">
        <f>IFERROR(
(INDEX(スコア表[],MATCH($C35,スコア表['#],0),MATCH(T$5,スコア表[#Headers],0))
-
INDEX(スコア表2[],MATCH("average",スコア表2[maxmin],0),MATCH(T$5,スコア表2[#Headers],0)))
/
INDEX(スコア表2[],MATCH("stdev.p",スコア表2[maxmin],0),MATCH(T$5,スコア表2[#Headers],0))
*10+50,"-")</f>
        <v>34.366560556428809</v>
      </c>
      <c r="U35" s="4">
        <f>IFERROR(
(INDEX(スコア表[],MATCH($C35,スコア表['#],0),MATCH(U$5,スコア表[#Headers],0))
-
INDEX(スコア表2[],MATCH("average",スコア表2[maxmin],0),MATCH(U$5,スコア表2[#Headers],0)))
/
INDEX(スコア表2[],MATCH("stdev.p",スコア表2[maxmin],0),MATCH(U$5,スコア表2[#Headers],0))
*10+50,"-")</f>
        <v>52.747063678266869</v>
      </c>
      <c r="V35" s="4">
        <f>IFERROR(
(INDEX(スコア表[],MATCH($C35,スコア表['#],0),MATCH(V$5,スコア表[#Headers],0))
-
INDEX(スコア表2[],MATCH("average",スコア表2[maxmin],0),MATCH(V$5,スコア表2[#Headers],0)))
/
INDEX(スコア表2[],MATCH("stdev.p",スコア表2[maxmin],0),MATCH(V$5,スコア表2[#Headers],0))
*10+50,"-")</f>
        <v>40.779744450159896</v>
      </c>
      <c r="W35" s="4">
        <f>IFERROR(
(INDEX(スコア表[],MATCH($C35,スコア表['#],0),MATCH(W$5,スコア表[#Headers],0))
-
INDEX(スコア表2[],MATCH("average",スコア表2[maxmin],0),MATCH(W$5,スコア表2[#Headers],0)))
/
INDEX(スコア表2[],MATCH("stdev.p",スコア表2[maxmin],0),MATCH(W$5,スコア表2[#Headers],0))
*10+50,"-")</f>
        <v>45.053696585547925</v>
      </c>
      <c r="X35" s="4">
        <f>IFERROR(
(INDEX(スコア表[],MATCH($C35,スコア表['#],0),MATCH(X$5,スコア表[#Headers],0))
-
INDEX(スコア表2[],MATCH("average",スコア表2[maxmin],0),MATCH(X$5,スコア表2[#Headers],0)))
/
INDEX(スコア表2[],MATCH("stdev.p",スコア表2[maxmin],0),MATCH(X$5,スコア表2[#Headers],0))
*10+50,"-")</f>
        <v>44.300740737325022</v>
      </c>
      <c r="Y35" s="4">
        <f>IFERROR(
(INDEX(スコア表[],MATCH($C35,スコア表['#],0),MATCH(Y$5,スコア表[#Headers],0))
-
INDEX(スコア表2[],MATCH("average",スコア表2[maxmin],0),MATCH(Y$5,スコア表2[#Headers],0)))
/
INDEX(スコア表2[],MATCH("stdev.p",スコア表2[maxmin],0),MATCH(Y$5,スコア表2[#Headers],0))
*10+50,"-")</f>
        <v>46.341986166520655</v>
      </c>
      <c r="Z35" s="4">
        <f>IFERROR(
(INDEX(スコア表[],MATCH($C35,スコア表['#],0),MATCH(Z$5,スコア表[#Headers],0))
-
INDEX(スコア表2[],MATCH("average",スコア表2[maxmin],0),MATCH(Z$5,スコア表2[#Headers],0)))
/
INDEX(スコア表2[],MATCH("stdev.p",スコア表2[maxmin],0),MATCH(Z$5,スコア表2[#Headers],0))
*10+50,"-")</f>
        <v>44.524696281417121</v>
      </c>
      <c r="AA35" s="4">
        <f>IFERROR(
(INDEX(スコア表[],MATCH($C35,スコア表['#],0),MATCH(AA$5,スコア表[#Headers],0))
-
INDEX(スコア表2[],MATCH("average",スコア表2[maxmin],0),MATCH(AA$5,スコア表2[#Headers],0)))
/
INDEX(スコア表2[],MATCH("stdev.p",スコア表2[maxmin],0),MATCH(AA$5,スコア表2[#Headers],0))
*10+50,"-")</f>
        <v>44.664612103409482</v>
      </c>
      <c r="AB35" s="4">
        <f>IFERROR(
(INDEX(スコア表[],MATCH($C35,スコア表['#],0),MATCH(AB$5,スコア表[#Headers],0))
-
INDEX(スコア表2[],MATCH("average",スコア表2[maxmin],0),MATCH(AB$5,スコア表2[#Headers],0)))
/
INDEX(スコア表2[],MATCH("stdev.p",スコア表2[maxmin],0),MATCH(AB$5,スコア表2[#Headers],0))
*10+50,"-")</f>
        <v>47.28085988928121</v>
      </c>
      <c r="AC35" s="4">
        <f>IFERROR(
(INDEX(スコア表[],MATCH($C35,スコア表['#],0),MATCH(AC$5,スコア表[#Headers],0))
-
INDEX(スコア表2[],MATCH("average",スコア表2[maxmin],0),MATCH(AC$5,スコア表2[#Headers],0)))
/
INDEX(スコア表2[],MATCH("stdev.p",スコア表2[maxmin],0),MATCH(AC$5,スコア表2[#Headers],0))
*10+50,"-")</f>
        <v>44.72068673910011</v>
      </c>
      <c r="AD35" s="4">
        <f>IFERROR(
(INDEX(スコア表[],MATCH($C35,スコア表['#],0),MATCH(AD$5,スコア表[#Headers],0))
-
INDEX(スコア表2[],MATCH("average",スコア表2[maxmin],0),MATCH(AD$5,スコア表2[#Headers],0)))
/
INDEX(スコア表2[],MATCH("stdev.p",スコア表2[maxmin],0),MATCH(AD$5,スコア表2[#Headers],0))
*10+50,"-")</f>
        <v>46.414547150214915</v>
      </c>
      <c r="AE35" s="4">
        <f>IFERROR(
(INDEX(スコア表[],MATCH($C35,スコア表['#],0),MATCH(AE$5,スコア表[#Headers],0))
-
INDEX(スコア表2[],MATCH("average",スコア表2[maxmin],0),MATCH(AE$5,スコア表2[#Headers],0)))
/
INDEX(スコア表2[],MATCH("stdev.p",スコア表2[maxmin],0),MATCH(AE$5,スコア表2[#Headers],0))
*10+50,"-")</f>
        <v>47.162577023052506</v>
      </c>
      <c r="AF35" s="4">
        <f>IFERROR(
(INDEX(スコア表[],MATCH($C35,スコア表['#],0),MATCH(AF$5,スコア表[#Headers],0))
-
INDEX(スコア表2[],MATCH("average",スコア表2[maxmin],0),MATCH(AF$5,スコア表2[#Headers],0)))
/
INDEX(スコア表2[],MATCH("stdev.p",スコア表2[maxmin],0),MATCH(AF$5,スコア表2[#Headers],0))
*10+50,"-")</f>
        <v>46.894382161900033</v>
      </c>
      <c r="AG35" s="4">
        <f>IFERROR(
(INDEX(スコア表[],MATCH($C35,スコア表['#],0),MATCH(AG$5,スコア表[#Headers],0))
-
INDEX(スコア表2[],MATCH("average",スコア表2[maxmin],0),MATCH(AG$5,スコア表2[#Headers],0)))
/
INDEX(スコア表2[],MATCH("stdev.p",スコア表2[maxmin],0),MATCH(AG$5,スコア表2[#Headers],0))
*10+50,"-")</f>
        <v>64.038716576463756</v>
      </c>
      <c r="AH35" s="4">
        <f>IFERROR(
(INDEX(スコア表[],MATCH($C35,スコア表['#],0),MATCH(AH$5,スコア表[#Headers],0))
-
INDEX(スコア表2[],MATCH("average",スコア表2[maxmin],0),MATCH(AH$5,スコア表2[#Headers],0)))
/
INDEX(スコア表2[],MATCH("stdev.p",スコア表2[maxmin],0),MATCH(AH$5,スコア表2[#Headers],0))
*10+50,"-")</f>
        <v>46.727657634345938</v>
      </c>
      <c r="AI35" s="4">
        <f>IFERROR(
(INDEX(スコア表[],MATCH($C35,スコア表['#],0),MATCH(AI$5,スコア表[#Headers],0))
-
INDEX(スコア表2[],MATCH("average",スコア表2[maxmin],0),MATCH(AI$5,スコア表2[#Headers],0)))
/
INDEX(スコア表2[],MATCH("stdev.p",スコア表2[maxmin],0),MATCH(AI$5,スコア表2[#Headers],0))
*10+50,"-")</f>
        <v>56.542010306446699</v>
      </c>
      <c r="AJ35" s="4">
        <f>IFERROR(
(INDEX(スコア表[],MATCH($C35,スコア表['#],0),MATCH(AJ$5,スコア表[#Headers],0))
-
INDEX(スコア表2[],MATCH("average",スコア表2[maxmin],0),MATCH(AJ$5,スコア表2[#Headers],0)))
/
INDEX(スコア表2[],MATCH("stdev.p",スコア表2[maxmin],0),MATCH(AJ$5,スコア表2[#Headers],0))
*10+50,"-")</f>
        <v>51.337975725326217</v>
      </c>
      <c r="AK35" s="4">
        <f>IFERROR(
(INDEX(スコア表[],MATCH($C35,スコア表['#],0),MATCH(AK$5,スコア表[#Headers],0))
-
INDEX(スコア表2[],MATCH("average",スコア表2[maxmin],0),MATCH(AK$5,スコア表2[#Headers],0)))
/
INDEX(スコア表2[],MATCH("stdev.p",スコア表2[maxmin],0),MATCH(AK$5,スコア表2[#Headers],0))
*10+50,"-")</f>
        <v>45.939328627431948</v>
      </c>
      <c r="AL35" s="4">
        <f>IFERROR(
(INDEX(スコア表[],MATCH($C35,スコア表['#],0),MATCH(AL$5,スコア表[#Headers],0))
-
INDEX(スコア表2[],MATCH("average",スコア表2[maxmin],0),MATCH(AL$5,スコア表2[#Headers],0)))
/
INDEX(スコア表2[],MATCH("stdev.p",スコア表2[maxmin],0),MATCH(AL$5,スコア表2[#Headers],0))
*10+50,"-")</f>
        <v>57.22644943360423</v>
      </c>
      <c r="AM35" s="4">
        <f>IFERROR(
(INDEX(スコア表[],MATCH($C35,スコア表['#],0),MATCH(AM$5,スコア表[#Headers],0))
-
INDEX(スコア表2[],MATCH("average",スコア表2[maxmin],0),MATCH(AM$5,スコア表2[#Headers],0)))
/
INDEX(スコア表2[],MATCH("stdev.p",スコア表2[maxmin],0),MATCH(AM$5,スコア表2[#Headers],0))
*10+50,"-")</f>
        <v>59.726549317574857</v>
      </c>
      <c r="AN35" s="4">
        <f>IFERROR(
(INDEX(スコア表[],MATCH($C35,スコア表['#],0),MATCH(AN$5,スコア表[#Headers],0))
-
INDEX(スコア表2[],MATCH("average",スコア表2[maxmin],0),MATCH(AN$5,スコア表2[#Headers],0)))
/
INDEX(スコア表2[],MATCH("stdev.p",スコア表2[maxmin],0),MATCH(AN$5,スコア表2[#Headers],0))
*10+50,"-")</f>
        <v>64.296052445568023</v>
      </c>
      <c r="AO35" s="4">
        <f>IFERROR(
(INDEX(スコア表[],MATCH($C35,スコア表['#],0),MATCH(AO$5,スコア表[#Headers],0))
-
INDEX(スコア表2[],MATCH("average",スコア表2[maxmin],0),MATCH(AO$5,スコア表2[#Headers],0)))
/
INDEX(スコア表2[],MATCH("stdev.p",スコア表2[maxmin],0),MATCH(AO$5,スコア表2[#Headers],0))
*10+50,"-")</f>
        <v>65.458500158479836</v>
      </c>
      <c r="AP35" s="4">
        <f>IFERROR(
(INDEX(スコア表[],MATCH($C35,スコア表['#],0),MATCH(AP$5,スコア表[#Headers],0))
-
INDEX(スコア表2[],MATCH("average",スコア表2[maxmin],0),MATCH(AP$5,スコア表2[#Headers],0)))
/
INDEX(スコア表2[],MATCH("stdev.p",スコア表2[maxmin],0),MATCH(AP$5,スコア表2[#Headers],0))
*10+50,"-")</f>
        <v>51.811909914171409</v>
      </c>
      <c r="AQ35" s="4">
        <f>IFERROR(
(INDEX(スコア表[],MATCH($C35,スコア表['#],0),MATCH(AQ$5,スコア表[#Headers],0))
-
INDEX(スコア表2[],MATCH("average",スコア表2[maxmin],0),MATCH(AQ$5,スコア表2[#Headers],0)))
/
INDEX(スコア表2[],MATCH("stdev.p",スコア表2[maxmin],0),MATCH(AQ$5,スコア表2[#Headers],0))
*10+50,"-")</f>
        <v>53.803130726110425</v>
      </c>
      <c r="AR35" s="4">
        <f>IFERROR(
(INDEX(スコア表[],MATCH($C35,スコア表['#],0),MATCH(AR$5,スコア表[#Headers],0))
-
INDEX(スコア表2[],MATCH("average",スコア表2[maxmin],0),MATCH(AR$5,スコア表2[#Headers],0)))
/
INDEX(スコア表2[],MATCH("stdev.p",スコア表2[maxmin],0),MATCH(AR$5,スコア表2[#Headers],0))
*10+50,"-")</f>
        <v>83.870429509221566</v>
      </c>
      <c r="AS35" s="4">
        <f>IFERROR(
(INDEX(スコア表[],MATCH($C35,スコア表['#],0),MATCH(AS$5,スコア表[#Headers],0))
-
INDEX(スコア表2[],MATCH("average",スコア表2[maxmin],0),MATCH(AS$5,スコア表2[#Headers],0)))
/
INDEX(スコア表2[],MATCH("stdev.p",スコア表2[maxmin],0),MATCH(AS$5,スコア表2[#Headers],0))
*10+50,"-")</f>
        <v>42.699928512273786</v>
      </c>
      <c r="AT35" s="4">
        <f>IFERROR(
(INDEX(スコア表[],MATCH($C35,スコア表['#],0),MATCH(AT$5,スコア表[#Headers],0))
-
INDEX(スコア表2[],MATCH("average",スコア表2[maxmin],0),MATCH(AT$5,スコア表2[#Headers],0)))
/
INDEX(スコア表2[],MATCH("stdev.p",スコア表2[maxmin],0),MATCH(AT$5,スコア表2[#Headers],0))
*10+50,"-")</f>
        <v>31.072963769834068</v>
      </c>
      <c r="AU35" s="4">
        <f>IFERROR(
(INDEX(スコア表[],MATCH($C35,スコア表['#],0),MATCH(AU$5,スコア表[#Headers],0))
-
INDEX(スコア表2[],MATCH("average",スコア表2[maxmin],0),MATCH(AU$5,スコア表2[#Headers],0)))
/
INDEX(スコア表2[],MATCH("stdev.p",スコア表2[maxmin],0),MATCH(AU$5,スコア表2[#Headers],0))
*10+50,"-")</f>
        <v>33.176605875805905</v>
      </c>
      <c r="AV35" s="4">
        <f>IFERROR(
(INDEX(スコア表[],MATCH($C35,スコア表['#],0),MATCH(AV$5,スコア表[#Headers],0))
-
INDEX(スコア表2[],MATCH("average",スコア表2[maxmin],0),MATCH(AV$5,スコア表2[#Headers],0)))
/
INDEX(スコア表2[],MATCH("stdev.p",スコア表2[maxmin],0),MATCH(AV$5,スコア表2[#Headers],0))
*10+50,"-")</f>
        <v>48.559326353073693</v>
      </c>
      <c r="AW35" s="4">
        <f>IFERROR(
(INDEX(スコア表[],MATCH($C35,スコア表['#],0),MATCH(AW$5,スコア表[#Headers],0))
-
INDEX(スコア表2[],MATCH("average",スコア表2[maxmin],0),MATCH(AW$5,スコア表2[#Headers],0)))
/
INDEX(スコア表2[],MATCH("stdev.p",スコア表2[maxmin],0),MATCH(AW$5,スコア表2[#Headers],0))
*10+50,"-")</f>
        <v>57.575335614848029</v>
      </c>
      <c r="AX35" s="4">
        <f>IFERROR(
(INDEX(スコア表[],MATCH($C35,スコア表['#],0),MATCH(AX$5,スコア表[#Headers],0))
-
INDEX(スコア表2[],MATCH("average",スコア表2[maxmin],0),MATCH(AX$5,スコア表2[#Headers],0)))
/
INDEX(スコア表2[],MATCH("stdev.p",スコア表2[maxmin],0),MATCH(AX$5,スコア表2[#Headers],0))
*10+50,"-")</f>
        <v>52.096541056649187</v>
      </c>
      <c r="AY35" s="4">
        <f>IFERROR(
(INDEX(スコア表[],MATCH($C35,スコア表['#],0),MATCH(AY$5,スコア表[#Headers],0))
-
INDEX(スコア表2[],MATCH("average",スコア表2[maxmin],0),MATCH(AY$5,スコア表2[#Headers],0)))
/
INDEX(スコア表2[],MATCH("stdev.p",スコア表2[maxmin],0),MATCH(AY$5,スコア表2[#Headers],0))
*10+50,"-")</f>
        <v>44.370776759559199</v>
      </c>
      <c r="AZ35" s="4">
        <f>IFERROR(
(INDEX(スコア表[],MATCH($C35,スコア表['#],0),MATCH(AZ$5,スコア表[#Headers],0))
-
INDEX(スコア表2[],MATCH("average",スコア表2[maxmin],0),MATCH(AZ$5,スコア表2[#Headers],0)))
/
INDEX(スコア表2[],MATCH("stdev.p",スコア表2[maxmin],0),MATCH(AZ$5,スコア表2[#Headers],0))
*10+50,"-")</f>
        <v>47.11658193752308</v>
      </c>
      <c r="BA35" s="4">
        <f>IFERROR(
(INDEX(スコア表[],MATCH($C35,スコア表['#],0),MATCH(BA$5,スコア表[#Headers],0))
-
INDEX(スコア表2[],MATCH("average",スコア表2[maxmin],0),MATCH(BA$5,スコア表2[#Headers],0)))
/
INDEX(スコア表2[],MATCH("stdev.p",スコア表2[maxmin],0),MATCH(BA$5,スコア表2[#Headers],0))
*10+50,"-")</f>
        <v>30.537053583170884</v>
      </c>
      <c r="BB35" s="4">
        <f>IFERROR(
(INDEX(スコア表[],MATCH($C35,スコア表['#],0),MATCH(BB$5,スコア表[#Headers],0))
-
INDEX(スコア表2[],MATCH("average",スコア表2[maxmin],0),MATCH(BB$5,スコア表2[#Headers],0)))
/
INDEX(スコア表2[],MATCH("stdev.p",スコア表2[maxmin],0),MATCH(BB$5,スコア表2[#Headers],0))
*10+50,"-")</f>
        <v>63.24966364269001</v>
      </c>
      <c r="BC35" s="4">
        <f>IFERROR(
(INDEX(スコア表[],MATCH($C35,スコア表['#],0),MATCH(BC$5,スコア表[#Headers],0))
-
INDEX(スコア表2[],MATCH("average",スコア表2[maxmin],0),MATCH(BC$5,スコア表2[#Headers],0)))
/
INDEX(スコア表2[],MATCH("stdev.p",スコア表2[maxmin],0),MATCH(BC$5,スコア表2[#Headers],0))
*10+50,"-")</f>
        <v>40.584702939673278</v>
      </c>
      <c r="BD35" s="4">
        <f>IFERROR(
(INDEX(スコア表[],MATCH($C35,スコア表['#],0),MATCH(BD$5,スコア表[#Headers],0))
-
INDEX(スコア表2[],MATCH("average",スコア表2[maxmin],0),MATCH(BD$5,スコア表2[#Headers],0)))
/
INDEX(スコア表2[],MATCH("stdev.p",スコア表2[maxmin],0),MATCH(BD$5,スコア表2[#Headers],0))
*10+50,"-")</f>
        <v>36.216455685496584</v>
      </c>
      <c r="BE35" s="4">
        <f>IFERROR(
(INDEX(スコア表[],MATCH($C35,スコア表['#],0),MATCH(BE$5,スコア表[#Headers],0))
-
INDEX(スコア表2[],MATCH("average",スコア表2[maxmin],0),MATCH(BE$5,スコア表2[#Headers],0)))
/
INDEX(スコア表2[],MATCH("stdev.p",スコア表2[maxmin],0),MATCH(BE$5,スコア表2[#Headers],0))
*10+50,"-")</f>
        <v>70.115262548533735</v>
      </c>
      <c r="BF35" s="4">
        <f>IFERROR(
(INDEX(スコア表[],MATCH($C35,スコア表['#],0),MATCH(BF$5,スコア表[#Headers],0))
-
INDEX(スコア表2[],MATCH("average",スコア表2[maxmin],0),MATCH(BF$5,スコア表2[#Headers],0)))
/
INDEX(スコア表2[],MATCH("stdev.p",スコア表2[maxmin],0),MATCH(BF$5,スコア表2[#Headers],0))
*10+50,"-")</f>
        <v>52.970519508540939</v>
      </c>
      <c r="BG35" s="4">
        <f>IFERROR(
(INDEX(スコア表[],MATCH($C35,スコア表['#],0),MATCH(BG$5,スコア表[#Headers],0))
-
INDEX(スコア表2[],MATCH("average",スコア表2[maxmin],0),MATCH(BG$5,スコア表2[#Headers],0)))
/
INDEX(スコア表2[],MATCH("stdev.p",スコア表2[maxmin],0),MATCH(BG$5,スコア表2[#Headers],0))
*10+50,"-")</f>
        <v>58.999823879697132</v>
      </c>
      <c r="BH35" s="4">
        <f>IFERROR(
(INDEX(スコア表[],MATCH($C35,スコア表['#],0),MATCH(BH$5,スコア表[#Headers],0))
-
INDEX(スコア表2[],MATCH("average",スコア表2[maxmin],0),MATCH(BH$5,スコア表2[#Headers],0)))
/
INDEX(スコア表2[],MATCH("stdev.p",スコア表2[maxmin],0),MATCH(BH$5,スコア表2[#Headers],0))
*10+50,"-")</f>
        <v>51.366169862097578</v>
      </c>
      <c r="BI35" s="4">
        <f>IFERROR(
(INDEX(スコア表[],MATCH($C35,スコア表['#],0),MATCH(BI$5,スコア表[#Headers],0))
-
INDEX(スコア表2[],MATCH("average",スコア表2[maxmin],0),MATCH(BI$5,スコア表2[#Headers],0)))
/
INDEX(スコア表2[],MATCH("stdev.p",スコア表2[maxmin],0),MATCH(BI$5,スコア表2[#Headers],0))
*10+50,"-")</f>
        <v>39.113394808650909</v>
      </c>
      <c r="BJ35" s="4">
        <f>IFERROR(
(INDEX(スコア表[],MATCH($C35,スコア表['#],0),MATCH(BJ$5,スコア表[#Headers],0))
-
INDEX(スコア表2[],MATCH("average",スコア表2[maxmin],0),MATCH(BJ$5,スコア表2[#Headers],0)))
/
INDEX(スコア表2[],MATCH("stdev.p",スコア表2[maxmin],0),MATCH(BJ$5,スコア表2[#Headers],0))
*10+50,"-")</f>
        <v>55.095255342497268</v>
      </c>
      <c r="BK35" s="4">
        <f>IFERROR(
(INDEX(スコア表[],MATCH($C35,スコア表['#],0),MATCH(BK$5,スコア表[#Headers],0))
-
INDEX(スコア表2[],MATCH("average",スコア表2[maxmin],0),MATCH(BK$5,スコア表2[#Headers],0)))
/
INDEX(スコア表2[],MATCH("stdev.p",スコア表2[maxmin],0),MATCH(BK$5,スコア表2[#Headers],0))
*10+50,"-")</f>
        <v>47.361176626286657</v>
      </c>
      <c r="BL35" s="4">
        <f>IFERROR(
(INDEX(スコア表[],MATCH($C35,スコア表['#],0),MATCH(BL$5,スコア表[#Headers],0))
-
INDEX(スコア表2[],MATCH("average",スコア表2[maxmin],0),MATCH(BL$5,スコア表2[#Headers],0)))
/
INDEX(スコア表2[],MATCH("stdev.p",スコア表2[maxmin],0),MATCH(BL$5,スコア表2[#Headers],0))
*10+50,"-")</f>
        <v>56.595365959477554</v>
      </c>
      <c r="BM35" s="4">
        <f>IFERROR(
(INDEX(スコア表[],MATCH($C35,スコア表['#],0),MATCH(BM$5,スコア表[#Headers],0))
-
INDEX(スコア表2[],MATCH("average",スコア表2[maxmin],0),MATCH(BM$5,スコア表2[#Headers],0)))
/
INDEX(スコア表2[],MATCH("stdev.p",スコア表2[maxmin],0),MATCH(BM$5,スコア表2[#Headers],0))
*10+50,"-")</f>
        <v>42.831569736409946</v>
      </c>
      <c r="BN35" s="4">
        <f>IFERROR(
(INDEX(スコア表[],MATCH($C35,スコア表['#],0),MATCH(BN$5,スコア表[#Headers],0))
-
INDEX(スコア表2[],MATCH("average",スコア表2[maxmin],0),MATCH(BN$5,スコア表2[#Headers],0)))
/
INDEX(スコア表2[],MATCH("stdev.p",スコア表2[maxmin],0),MATCH(BN$5,スコア表2[#Headers],0))
*10+50,"-")</f>
        <v>45.928728086776417</v>
      </c>
      <c r="BO35" s="4">
        <f>IFERROR(
(INDEX(スコア表[],MATCH($C35,スコア表['#],0),MATCH(BO$5,スコア表[#Headers],0))
-
INDEX(スコア表2[],MATCH("average",スコア表2[maxmin],0),MATCH(BO$5,スコア表2[#Headers],0)))
/
INDEX(スコア表2[],MATCH("stdev.p",スコア表2[maxmin],0),MATCH(BO$5,スコア表2[#Headers],0))
*10+50,"-")</f>
        <v>39.931093050905289</v>
      </c>
      <c r="BP35" s="4">
        <f>IFERROR(
(INDEX(スコア表[],MATCH($C35,スコア表['#],0),MATCH(BP$5,スコア表[#Headers],0))
-
INDEX(スコア表2[],MATCH("average",スコア表2[maxmin],0),MATCH(BP$5,スコア表2[#Headers],0)))
/
INDEX(スコア表2[],MATCH("stdev.p",スコア表2[maxmin],0),MATCH(BP$5,スコア表2[#Headers],0))
*10+50,"-")</f>
        <v>65.918896381386389</v>
      </c>
      <c r="BQ35" s="4">
        <f>IFERROR(
(INDEX(スコア表[],MATCH($C35,スコア表['#],0),MATCH(BQ$5,スコア表[#Headers],0))
-
INDEX(スコア表2[],MATCH("average",スコア表2[maxmin],0),MATCH(BQ$5,スコア表2[#Headers],0)))
/
INDEX(スコア表2[],MATCH("stdev.p",スコア表2[maxmin],0),MATCH(BQ$5,スコア表2[#Headers],0))
*10+50,"-")</f>
        <v>51.174190071383343</v>
      </c>
      <c r="BR35" s="4">
        <f>IFERROR(
(INDEX(スコア表[],MATCH($C35,スコア表['#],0),MATCH(BR$5,スコア表[#Headers],0))
-
INDEX(スコア表2[],MATCH("average",スコア表2[maxmin],0),MATCH(BR$5,スコア表2[#Headers],0)))
/
INDEX(スコア表2[],MATCH("stdev.p",スコア表2[maxmin],0),MATCH(BR$5,スコア表2[#Headers],0))
*10+50,"-")</f>
        <v>69.83810402478008</v>
      </c>
      <c r="BS35" s="4">
        <f>IFERROR(
(INDEX(スコア表[],MATCH($C35,スコア表['#],0),MATCH(BS$5,スコア表[#Headers],0))
-
INDEX(スコア表2[],MATCH("average",スコア表2[maxmin],0),MATCH(BS$5,スコア表2[#Headers],0)))
/
INDEX(スコア表2[],MATCH("stdev.p",スコア表2[maxmin],0),MATCH(BS$5,スコア表2[#Headers],0))
*10+50,"-")</f>
        <v>64.307239803542615</v>
      </c>
      <c r="BT35" s="4">
        <f>IFERROR(
(INDEX(スコア表[],MATCH($C35,スコア表['#],0),MATCH(BT$5,スコア表[#Headers],0))
-
INDEX(スコア表2[],MATCH("average",スコア表2[maxmin],0),MATCH(BT$5,スコア表2[#Headers],0)))
/
INDEX(スコア表2[],MATCH("stdev.p",スコア表2[maxmin],0),MATCH(BT$5,スコア表2[#Headers],0))
*10+50,"-")</f>
        <v>46.508252371366595</v>
      </c>
      <c r="BU35" s="4">
        <f>IFERROR(
(INDEX(スコア表[],MATCH($C35,スコア表['#],0),MATCH(BU$5,スコア表[#Headers],0))
-
INDEX(スコア表2[],MATCH("average",スコア表2[maxmin],0),MATCH(BU$5,スコア表2[#Headers],0)))
/
INDEX(スコア表2[],MATCH("stdev.p",スコア表2[maxmin],0),MATCH(BU$5,スコア表2[#Headers],0))
*10+50,"-")</f>
        <v>46.085104551910732</v>
      </c>
      <c r="BV35" s="4">
        <f>IFERROR(
(INDEX(スコア表[],MATCH($C35,スコア表['#],0),MATCH(BV$5,スコア表[#Headers],0))
-
INDEX(スコア表2[],MATCH("average",スコア表2[maxmin],0),MATCH(BV$5,スコア表2[#Headers],0)))
/
INDEX(スコア表2[],MATCH("stdev.p",スコア表2[maxmin],0),MATCH(BV$5,スコア表2[#Headers],0))
*10+50,"-")</f>
        <v>36.057575459673501</v>
      </c>
      <c r="BW35" s="4">
        <f>IFERROR(
(INDEX(スコア表[],MATCH($C35,スコア表['#],0),MATCH(BW$5,スコア表[#Headers],0))
-
INDEX(スコア表2[],MATCH("average",スコア表2[maxmin],0),MATCH(BW$5,スコア表2[#Headers],0)))
/
INDEX(スコア表2[],MATCH("stdev.p",スコア表2[maxmin],0),MATCH(BW$5,スコア表2[#Headers],0))
*10+50,"-")</f>
        <v>35.2150644530617</v>
      </c>
      <c r="BX35" s="4">
        <f>IFERROR(
(INDEX(スコア表[],MATCH($C35,スコア表['#],0),MATCH(BX$5,スコア表[#Headers],0))
-
INDEX(スコア表2[],MATCH("average",スコア表2[maxmin],0),MATCH(BX$5,スコア表2[#Headers],0)))
/
INDEX(スコア表2[],MATCH("stdev.p",スコア表2[maxmin],0),MATCH(BX$5,スコア表2[#Headers],0))
*10+50,"-")</f>
        <v>48.718744534220072</v>
      </c>
      <c r="BY35" s="4">
        <f>IFERROR(
(INDEX(スコア表[],MATCH($C35,スコア表['#],0),MATCH(BY$5,スコア表[#Headers],0))
-
INDEX(スコア表2[],MATCH("average",スコア表2[maxmin],0),MATCH(BY$5,スコア表2[#Headers],0)))
/
INDEX(スコア表2[],MATCH("stdev.p",スコア表2[maxmin],0),MATCH(BY$5,スコア表2[#Headers],0))
*10+50,"-")</f>
        <v>56.389205393293558</v>
      </c>
      <c r="BZ35" s="4">
        <f>IFERROR(
(INDEX(スコア表[],MATCH($C35,スコア表['#],0),MATCH(BZ$5,スコア表[#Headers],0))
-
INDEX(スコア表2[],MATCH("average",スコア表2[maxmin],0),MATCH(BZ$5,スコア表2[#Headers],0)))
/
INDEX(スコア表2[],MATCH("stdev.p",スコア表2[maxmin],0),MATCH(BZ$5,スコア表2[#Headers],0))
*10+50,"-")</f>
        <v>43.613850913284836</v>
      </c>
      <c r="CA35" s="4">
        <f>IFERROR(
(INDEX(スコア表[],MATCH($C35,スコア表['#],0),MATCH(CA$5,スコア表[#Headers],0))
-
INDEX(スコア表2[],MATCH("average",スコア表2[maxmin],0),MATCH(CA$5,スコア表2[#Headers],0)))
/
INDEX(スコア表2[],MATCH("stdev.p",スコア表2[maxmin],0),MATCH(CA$5,スコア表2[#Headers],0))
*10+50,"-")</f>
        <v>57.274533726590256</v>
      </c>
      <c r="CB35" s="4">
        <f>IFERROR(
(INDEX(スコア表[],MATCH($C35,スコア表['#],0),MATCH(CB$5,スコア表[#Headers],0))
-
INDEX(スコア表2[],MATCH("average",スコア表2[maxmin],0),MATCH(CB$5,スコア表2[#Headers],0)))
/
INDEX(スコア表2[],MATCH("stdev.p",スコア表2[maxmin],0),MATCH(CB$5,スコア表2[#Headers],0))
*10+50,"-")</f>
        <v>45.836366332318811</v>
      </c>
      <c r="CC35" s="4">
        <f>IFERROR(
(INDEX(スコア表[],MATCH($C35,スコア表['#],0),MATCH(CC$5,スコア表[#Headers],0))
-
INDEX(スコア表2[],MATCH("average",スコア表2[maxmin],0),MATCH(CC$5,スコア表2[#Headers],0)))
/
INDEX(スコア表2[],MATCH("stdev.p",スコア表2[maxmin],0),MATCH(CC$5,スコア表2[#Headers],0))
*10+50,"-")</f>
        <v>44.380271972904694</v>
      </c>
      <c r="CD35" s="4">
        <f>IFERROR(
(INDEX(スコア表[],MATCH($C35,スコア表['#],0),MATCH(CD$5,スコア表[#Headers],0))
-
INDEX(スコア表2[],MATCH("average",スコア表2[maxmin],0),MATCH(CD$5,スコア表2[#Headers],0)))
/
INDEX(スコア表2[],MATCH("stdev.p",スコア表2[maxmin],0),MATCH(CD$5,スコア表2[#Headers],0))
*10+50,"-")</f>
        <v>33.133906014068046</v>
      </c>
      <c r="CE35" s="4">
        <f>IFERROR(
(INDEX(スコア表[],MATCH($C35,スコア表['#],0),MATCH(CE$5,スコア表[#Headers],0))
-
INDEX(スコア表2[],MATCH("average",スコア表2[maxmin],0),MATCH(CE$5,スコア表2[#Headers],0)))
/
INDEX(スコア表2[],MATCH("stdev.p",スコア表2[maxmin],0),MATCH(CE$5,スコア表2[#Headers],0))
*10+50,"-")</f>
        <v>45.268749787568026</v>
      </c>
      <c r="CF35" s="4">
        <f>IFERROR(
(INDEX(スコア表[],MATCH($C35,スコア表['#],0),MATCH(CF$5,スコア表[#Headers],0))
-
INDEX(スコア表2[],MATCH("average",スコア表2[maxmin],0),MATCH(CF$5,スコア表2[#Headers],0)))
/
INDEX(スコア表2[],MATCH("stdev.p",スコア表2[maxmin],0),MATCH(CF$5,スコア表2[#Headers],0))
*10+50,"-")</f>
        <v>45.812130718090202</v>
      </c>
      <c r="CG35" s="4">
        <f>IFERROR(
(INDEX(スコア表[],MATCH($C35,スコア表['#],0),MATCH(CG$5,スコア表[#Headers],0))
-
INDEX(スコア表2[],MATCH("average",スコア表2[maxmin],0),MATCH(CG$5,スコア表2[#Headers],0)))
/
INDEX(スコア表2[],MATCH("stdev.p",スコア表2[maxmin],0),MATCH(CG$5,スコア表2[#Headers],0))
*10+50,"-")</f>
        <v>43.370067908571215</v>
      </c>
      <c r="CH35" s="4">
        <f>IFERROR(
(INDEX(スコア表[],MATCH($C35,スコア表['#],0),MATCH(CH$5,スコア表[#Headers],0))
-
INDEX(スコア表2[],MATCH("average",スコア表2[maxmin],0),MATCH(CH$5,スコア表2[#Headers],0)))
/
INDEX(スコア表2[],MATCH("stdev.p",スコア表2[maxmin],0),MATCH(CH$5,スコア表2[#Headers],0))
*10+50,"-")</f>
        <v>43.940190511281074</v>
      </c>
      <c r="CI35" s="4">
        <f>IFERROR(
(INDEX(スコア表[],MATCH($C35,スコア表['#],0),MATCH(CI$5,スコア表[#Headers],0))
-
INDEX(スコア表2[],MATCH("average",スコア表2[maxmin],0),MATCH(CI$5,スコア表2[#Headers],0)))
/
INDEX(スコア表2[],MATCH("stdev.p",スコア表2[maxmin],0),MATCH(CI$5,スコア表2[#Headers],0))
*10+50,"-")</f>
        <v>44.095864880017196</v>
      </c>
      <c r="CJ35" s="4">
        <f>IFERROR(
(INDEX(スコア表[],MATCH($C35,スコア表['#],0),MATCH(CJ$5,スコア表[#Headers],0))
-
INDEX(スコア表2[],MATCH("average",スコア表2[maxmin],0),MATCH(CJ$5,スコア表2[#Headers],0)))
/
INDEX(スコア表2[],MATCH("stdev.p",スコア表2[maxmin],0),MATCH(CJ$5,スコア表2[#Headers],0))
*10+50,"-")</f>
        <v>57.497368153903807</v>
      </c>
      <c r="CK35" s="4">
        <f>IFERROR(
(INDEX(スコア表[],MATCH($C35,スコア表['#],0),MATCH(CK$5,スコア表[#Headers],0))
-
INDEX(スコア表2[],MATCH("average",スコア表2[maxmin],0),MATCH(CK$5,スコア表2[#Headers],0)))
/
INDEX(スコア表2[],MATCH("stdev.p",スコア表2[maxmin],0),MATCH(CK$5,スコア表2[#Headers],0))
*10+50,"-")</f>
        <v>51.872431579910455</v>
      </c>
      <c r="CL35" s="4">
        <f>IFERROR(
(INDEX(スコア表[],MATCH($C35,スコア表['#],0),MATCH(CL$5,スコア表[#Headers],0))
-
INDEX(スコア表2[],MATCH("average",スコア表2[maxmin],0),MATCH(CL$5,スコア表2[#Headers],0)))
/
INDEX(スコア表2[],MATCH("stdev.p",スコア表2[maxmin],0),MATCH(CL$5,スコア表2[#Headers],0))
*10+50,"-")</f>
        <v>63.051054978514713</v>
      </c>
      <c r="CM35" s="4">
        <f>IFERROR(
(INDEX(スコア表[],MATCH($C35,スコア表['#],0),MATCH(CM$5,スコア表[#Headers],0))
-
INDEX(スコア表2[],MATCH("average",スコア表2[maxmin],0),MATCH(CM$5,スコア表2[#Headers],0)))
/
INDEX(スコア表2[],MATCH("stdev.p",スコア表2[maxmin],0),MATCH(CM$5,スコア表2[#Headers],0))
*10+50,"-")</f>
        <v>73.105133362325205</v>
      </c>
      <c r="CN35" s="4">
        <f>IFERROR(
(INDEX(スコア表[],MATCH($C35,スコア表['#],0),MATCH(CN$5,スコア表[#Headers],0))
-
INDEX(スコア表2[],MATCH("average",スコア表2[maxmin],0),MATCH(CN$5,スコア表2[#Headers],0)))
/
INDEX(スコア表2[],MATCH("stdev.p",スコア表2[maxmin],0),MATCH(CN$5,スコア表2[#Headers],0))
*10+50,"-")</f>
        <v>21.651270631321825</v>
      </c>
      <c r="CO35" s="4">
        <f>IFERROR(
(INDEX(スコア表[],MATCH($C35,スコア表['#],0),MATCH(CO$5,スコア表[#Headers],0))
-
INDEX(スコア表2[],MATCH("average",スコア表2[maxmin],0),MATCH(CO$5,スコア表2[#Headers],0)))
/
INDEX(スコア表2[],MATCH("stdev.p",スコア表2[maxmin],0),MATCH(CO$5,スコア表2[#Headers],0))
*10+50,"-")</f>
        <v>52.91396864050644</v>
      </c>
      <c r="CP35" s="4">
        <f>IFERROR(
(INDEX(スコア表[],MATCH($C35,スコア表['#],0),MATCH(CP$5,スコア表[#Headers],0))
-
INDEX(スコア表2[],MATCH("average",スコア表2[maxmin],0),MATCH(CP$5,スコア表2[#Headers],0)))
/
INDEX(スコア表2[],MATCH("stdev.p",スコア表2[maxmin],0),MATCH(CP$5,スコア表2[#Headers],0))
*10+50,"-")</f>
        <v>48.341461377281028</v>
      </c>
      <c r="CQ35" s="4">
        <f>IFERROR(
(INDEX(スコア表[],MATCH($C35,スコア表['#],0),MATCH(CQ$5,スコア表[#Headers],0))
-
INDEX(スコア表2[],MATCH("average",スコア表2[maxmin],0),MATCH(CQ$5,スコア表2[#Headers],0)))
/
INDEX(スコア表2[],MATCH("stdev.p",スコア表2[maxmin],0),MATCH(CQ$5,スコア表2[#Headers],0))
*10+50,"-")</f>
        <v>46.036026975678041</v>
      </c>
      <c r="CR35" s="4">
        <f>IFERROR(
(INDEX(スコア表[],MATCH($C35,スコア表['#],0),MATCH(CR$5,スコア表[#Headers],0))
-
INDEX(スコア表2[],MATCH("average",スコア表2[maxmin],0),MATCH(CR$5,スコア表2[#Headers],0)))
/
INDEX(スコア表2[],MATCH("stdev.p",スコア表2[maxmin],0),MATCH(CR$5,スコア表2[#Headers],0))
*10+50,"-")</f>
        <v>48.177676167770265</v>
      </c>
      <c r="CS35" s="4">
        <f>IFERROR(
(INDEX(スコア表[],MATCH($C35,スコア表['#],0),MATCH(CS$5,スコア表[#Headers],0))
-
INDEX(スコア表2[],MATCH("average",スコア表2[maxmin],0),MATCH(CS$5,スコア表2[#Headers],0)))
/
INDEX(スコア表2[],MATCH("stdev.p",スコア表2[maxmin],0),MATCH(CS$5,スコア表2[#Headers],0))
*10+50,"-")</f>
        <v>49.60367198289152</v>
      </c>
      <c r="CT35" s="4">
        <f>IFERROR(
(INDEX(スコア表[],MATCH($C35,スコア表['#],0),MATCH(CT$5,スコア表[#Headers],0))
-
INDEX(スコア表2[],MATCH("average",スコア表2[maxmin],0),MATCH(CT$5,スコア表2[#Headers],0)))
/
INDEX(スコア表2[],MATCH("stdev.p",スコア表2[maxmin],0),MATCH(CT$5,スコア表2[#Headers],0))
*10+50,"-")</f>
        <v>54.747981072235106</v>
      </c>
      <c r="CU35" s="4">
        <f>IFERROR(
(INDEX(スコア表[],MATCH($C35,スコア表['#],0),MATCH(CU$5,スコア表[#Headers],0))
-
INDEX(スコア表2[],MATCH("average",スコア表2[maxmin],0),MATCH(CU$5,スコア表2[#Headers],0)))
/
INDEX(スコア表2[],MATCH("stdev.p",スコア表2[maxmin],0),MATCH(CU$5,スコア表2[#Headers],0))
*10+50,"-")</f>
        <v>41.519355628805698</v>
      </c>
      <c r="CV35" s="4">
        <f>IFERROR(
(INDEX(スコア表[],MATCH($C35,スコア表['#],0),MATCH(CV$5,スコア表[#Headers],0))
-
INDEX(スコア表2[],MATCH("average",スコア表2[maxmin],0),MATCH(CV$5,スコア表2[#Headers],0)))
/
INDEX(スコア表2[],MATCH("stdev.p",スコア表2[maxmin],0),MATCH(CV$5,スコア表2[#Headers],0))
*10+50,"-")</f>
        <v>61.918298891489783</v>
      </c>
      <c r="CW35" s="4">
        <f>IFERROR(
(INDEX(スコア表[],MATCH($C35,スコア表['#],0),MATCH(CW$5,スコア表[#Headers],0))
-
INDEX(スコア表2[],MATCH("average",スコア表2[maxmin],0),MATCH(CW$5,スコア表2[#Headers],0)))
/
INDEX(スコア表2[],MATCH("stdev.p",スコア表2[maxmin],0),MATCH(CW$5,スコア表2[#Headers],0))
*10+50,"-")</f>
        <v>67.547730897377761</v>
      </c>
      <c r="CX35" s="4">
        <f>IFERROR(
(INDEX(スコア表[],MATCH($C35,スコア表['#],0),MATCH(CX$5,スコア表[#Headers],0))
-
INDEX(スコア表2[],MATCH("average",スコア表2[maxmin],0),MATCH(CX$5,スコア表2[#Headers],0)))
/
INDEX(スコア表2[],MATCH("stdev.p",スコア表2[maxmin],0),MATCH(CX$5,スコア表2[#Headers],0))
*10+50,"-")</f>
        <v>37.52256067835738</v>
      </c>
      <c r="CY35" s="4">
        <f>IFERROR(
(INDEX(スコア表[],MATCH($C35,スコア表['#],0),MATCH(CY$5,スコア表[#Headers],0))
-
INDEX(スコア表2[],MATCH("average",スコア表2[maxmin],0),MATCH(CY$5,スコア表2[#Headers],0)))
/
INDEX(スコア表2[],MATCH("stdev.p",スコア表2[maxmin],0),MATCH(CY$5,スコア表2[#Headers],0))
*10+50,"-")</f>
        <v>43.08693841932169</v>
      </c>
      <c r="CZ35" s="4">
        <f>IFERROR(
(INDEX(スコア表[],MATCH($C35,スコア表['#],0),MATCH(CZ$5,スコア表[#Headers],0))
-
INDEX(スコア表2[],MATCH("average",スコア表2[maxmin],0),MATCH(CZ$5,スコア表2[#Headers],0)))
/
INDEX(スコア表2[],MATCH("stdev.p",スコア表2[maxmin],0),MATCH(CZ$5,スコア表2[#Headers],0))
*10+50,"-")</f>
        <v>41.06329280419267</v>
      </c>
      <c r="DA35" s="4">
        <f>IFERROR(
(INDEX(スコア表[],MATCH($C35,スコア表['#],0),MATCH(DA$5,スコア表[#Headers],0))
-
INDEX(スコア表2[],MATCH("average",スコア表2[maxmin],0),MATCH(DA$5,スコア表2[#Headers],0)))
/
INDEX(スコア表2[],MATCH("stdev.p",スコア表2[maxmin],0),MATCH(DA$5,スコア表2[#Headers],0))
*10+50,"-")</f>
        <v>44.226190071789482</v>
      </c>
      <c r="DB35" s="4">
        <f>IFERROR(
(INDEX(スコア表[],MATCH($C35,スコア表['#],0),MATCH(DB$5,スコア表[#Headers],0))
-
INDEX(スコア表2[],MATCH("average",スコア表2[maxmin],0),MATCH(DB$5,スコア表2[#Headers],0)))
/
INDEX(スコア表2[],MATCH("stdev.p",スコア表2[maxmin],0),MATCH(DB$5,スコア表2[#Headers],0))
*10+50,"-")</f>
        <v>61.803080675853067</v>
      </c>
      <c r="DC35" s="4">
        <f>IFERROR(
(INDEX(スコア表[],MATCH($C35,スコア表['#],0),MATCH(DC$5,スコア表[#Headers],0))
-
INDEX(スコア表2[],MATCH("average",スコア表2[maxmin],0),MATCH(DC$5,スコア表2[#Headers],0)))
/
INDEX(スコア表2[],MATCH("stdev.p",スコア表2[maxmin],0),MATCH(DC$5,スコア表2[#Headers],0))
*10+50,"-")</f>
        <v>37.46410019919427</v>
      </c>
      <c r="DD35" s="4">
        <f>IFERROR(
(INDEX(スコア表[],MATCH($C35,スコア表['#],0),MATCH(DD$5,スコア表[#Headers],0))
-
INDEX(スコア表2[],MATCH("average",スコア表2[maxmin],0),MATCH(DD$5,スコア表2[#Headers],0)))
/
INDEX(スコア表2[],MATCH("stdev.p",スコア表2[maxmin],0),MATCH(DD$5,スコア表2[#Headers],0))
*10+50,"-")</f>
        <v>46.333818405901226</v>
      </c>
      <c r="DE35" s="4">
        <f>IFERROR(
(INDEX(スコア表[],MATCH($C35,スコア表['#],0),MATCH(DE$5,スコア表[#Headers],0))
-
INDEX(スコア表2[],MATCH("average",スコア表2[maxmin],0),MATCH(DE$5,スコア表2[#Headers],0)))
/
INDEX(スコア表2[],MATCH("stdev.p",スコア表2[maxmin],0),MATCH(DE$5,スコア表2[#Headers],0))
*10+50,"-")</f>
        <v>56.831140409463345</v>
      </c>
      <c r="DF35" s="76">
        <f>IFERROR(
(INDEX(スコア表[],MATCH($C35,スコア表['#],0),MATCH(DF$5,スコア表[#Headers],0))
-
INDEX(スコア表2[],MATCH("average",スコア表2[maxmin],0),MATCH(DF$5,スコア表2[#Headers],0)))
/
INDEX(スコア表2[],MATCH("stdev.p",スコア表2[maxmin],0),MATCH(DF$5,スコア表2[#Headers],0))
*10+50,"-")</f>
        <v>48.359095075244781</v>
      </c>
      <c r="DG35" s="4">
        <f>IFERROR(_xlfn.STDEV.P(偏差値表[[#This Row],[Economy]:[Accessibility]]),"")</f>
        <v>8.6085428037269853</v>
      </c>
    </row>
    <row r="36" spans="1:111">
      <c r="A36" s="2">
        <v>31</v>
      </c>
      <c r="B36" s="58">
        <f>INDEX(順位表[Comprehensive],MATCH($C36,順位表['#],0))</f>
        <v>31</v>
      </c>
      <c r="C36" s="3">
        <v>46</v>
      </c>
      <c r="D36" s="1" t="str">
        <f>INDEX(都市マスタ[City Name],MATCH($C36,都市マスタ['#],0))</f>
        <v>Helsinki</v>
      </c>
      <c r="E36" s="4">
        <f>IFERROR(
(INDEX(スコア表[],MATCH($C36,スコア表['#],0),MATCH(E$5,スコア表[#Headers],0))
-
INDEX(スコア表2[],MATCH("average",スコア表2[maxmin],0),MATCH(E$5,スコア表2[#Headers],0)))
/
INDEX(スコア表2[],MATCH("stdev.p",スコア表2[maxmin],0),MATCH(E$5,スコア表2[#Headers],0))
*10+50,"-")</f>
        <v>41.667302537571302</v>
      </c>
      <c r="F36" s="4">
        <f>IFERROR(
(INDEX(スコア表[],MATCH($C36,スコア表['#],0),MATCH(F$5,スコア表[#Headers],0))
-
INDEX(スコア表2[],MATCH("average",スコア表2[maxmin],0),MATCH(F$5,スコア表2[#Headers],0)))
/
INDEX(スコア表2[],MATCH("stdev.p",スコア表2[maxmin],0),MATCH(F$5,スコア表2[#Headers],0))
*10+50,"-")</f>
        <v>45.432323877691331</v>
      </c>
      <c r="G36" s="4">
        <f>IFERROR(
(INDEX(スコア表[],MATCH($C36,スコア表['#],0),MATCH(G$5,スコア表[#Headers],0))
-
INDEX(スコア表2[],MATCH("average",スコア表2[maxmin],0),MATCH(G$5,スコア表2[#Headers],0)))
/
INDEX(スコア表2[],MATCH("stdev.p",スコア表2[maxmin],0),MATCH(G$5,スコア表2[#Headers],0))
*10+50,"-")</f>
        <v>48.33249429603066</v>
      </c>
      <c r="H36" s="4">
        <f>IFERROR(
(INDEX(スコア表[],MATCH($C36,スコア表['#],0),MATCH(H$5,スコア表[#Headers],0))
-
INDEX(スコア表2[],MATCH("average",スコア表2[maxmin],0),MATCH(H$5,スコア表2[#Headers],0)))
/
INDEX(スコア表2[],MATCH("stdev.p",スコア表2[maxmin],0),MATCH(H$5,スコア表2[#Headers],0))
*10+50,"-")</f>
        <v>41.701118763816794</v>
      </c>
      <c r="I36" s="4">
        <f>IFERROR(
(INDEX(スコア表[],MATCH($C36,スコア表['#],0),MATCH(I$5,スコア表[#Headers],0))
-
INDEX(スコア表2[],MATCH("average",スコア表2[maxmin],0),MATCH(I$5,スコア表2[#Headers],0)))
/
INDEX(スコア表2[],MATCH("stdev.p",スコア表2[maxmin],0),MATCH(I$5,スコア表2[#Headers],0))
*10+50,"-")</f>
        <v>49.527008501725724</v>
      </c>
      <c r="J36" s="4">
        <f>IFERROR(
(INDEX(スコア表[],MATCH($C36,スコア表['#],0),MATCH(J$5,スコア表[#Headers],0))
-
INDEX(スコア表2[],MATCH("average",スコア表2[maxmin],0),MATCH(J$5,スコア表2[#Headers],0)))
/
INDEX(スコア表2[],MATCH("stdev.p",スコア表2[maxmin],0),MATCH(J$5,スコア表2[#Headers],0))
*10+50,"-")</f>
        <v>48.15995656199096</v>
      </c>
      <c r="K36" s="4">
        <f>IFERROR(
(INDEX(スコア表[],MATCH($C36,スコア表['#],0),MATCH(K$5,スコア表[#Headers],0))
-
INDEX(スコア表2[],MATCH("average",スコア表2[maxmin],0),MATCH(K$5,スコア表2[#Headers],0)))
/
INDEX(スコア表2[],MATCH("stdev.p",スコア表2[maxmin],0),MATCH(K$5,スコア表2[#Headers],0))
*10+50,"-")</f>
        <v>59.46004982584364</v>
      </c>
      <c r="L36" s="4">
        <f>IFERROR(
(INDEX(スコア表[],MATCH($C36,スコア表['#],0),MATCH(L$5,スコア表[#Headers],0))
-
INDEX(スコア表2[],MATCH("average",スコア表2[maxmin],0),MATCH(L$5,スコア表2[#Headers],0)))
/
INDEX(スコア表2[],MATCH("stdev.p",スコア表2[maxmin],0),MATCH(L$5,スコア表2[#Headers],0))
*10+50,"-")</f>
        <v>47.342341154239421</v>
      </c>
      <c r="M36" s="4">
        <f>IFERROR(
(INDEX(スコア表[],MATCH($C36,スコア表['#],0),MATCH(M$5,スコア表[#Headers],0))
-
INDEX(スコア表2[],MATCH("average",スコア表2[maxmin],0),MATCH(M$5,スコア表2[#Headers],0)))
/
INDEX(スコア表2[],MATCH("stdev.p",スコア表2[maxmin],0),MATCH(M$5,スコア表2[#Headers],0))
*10+50,"-")</f>
        <v>45.544318921595732</v>
      </c>
      <c r="N36" s="4">
        <f>IFERROR(
(INDEX(スコア表[],MATCH($C36,スコア表['#],0),MATCH(N$5,スコア表[#Headers],0))
-
INDEX(スコア表2[],MATCH("average",スコア表2[maxmin],0),MATCH(N$5,スコア表2[#Headers],0)))
/
INDEX(スコア表2[],MATCH("stdev.p",スコア表2[maxmin],0),MATCH(N$5,スコア表2[#Headers],0))
*10+50,"-")</f>
        <v>41.291883368613419</v>
      </c>
      <c r="O36" s="4">
        <f>IFERROR(
(INDEX(スコア表[],MATCH($C36,スコア表['#],0),MATCH(O$5,スコア表[#Headers],0))
-
INDEX(スコア表2[],MATCH("average",スコア表2[maxmin],0),MATCH(O$5,スコア表2[#Headers],0)))
/
INDEX(スコア表2[],MATCH("stdev.p",スコア表2[maxmin],0),MATCH(O$5,スコア表2[#Headers],0))
*10+50,"-")</f>
        <v>59.974151479586389</v>
      </c>
      <c r="P36" s="4">
        <f>IFERROR(
(INDEX(スコア表[],MATCH($C36,スコア表['#],0),MATCH(P$5,スコア表[#Headers],0))
-
INDEX(スコア表2[],MATCH("average",スコア表2[maxmin],0),MATCH(P$5,スコア表2[#Headers],0)))
/
INDEX(スコア表2[],MATCH("stdev.p",スコア表2[maxmin],0),MATCH(P$5,スコア表2[#Headers],0))
*10+50,"-")</f>
        <v>51.377802069278324</v>
      </c>
      <c r="Q36" s="4">
        <f>IFERROR(
(INDEX(スコア表[],MATCH($C36,スコア表['#],0),MATCH(Q$5,スコア表[#Headers],0))
-
INDEX(スコア表2[],MATCH("average",スコア表2[maxmin],0),MATCH(Q$5,スコア表2[#Headers],0)))
/
INDEX(スコア表2[],MATCH("stdev.p",スコア表2[maxmin],0),MATCH(Q$5,スコア表2[#Headers],0))
*10+50,"-")</f>
        <v>57.147806369768162</v>
      </c>
      <c r="R36" s="4">
        <f>IFERROR(
(INDEX(スコア表[],MATCH($C36,スコア表['#],0),MATCH(R$5,スコア表[#Headers],0))
-
INDEX(スコア表2[],MATCH("average",スコア表2[maxmin],0),MATCH(R$5,スコア表2[#Headers],0)))
/
INDEX(スコア表2[],MATCH("stdev.p",スコア表2[maxmin],0),MATCH(R$5,スコア表2[#Headers],0))
*10+50,"-")</f>
        <v>40.007492076751092</v>
      </c>
      <c r="S36" s="4">
        <f>IFERROR(
(INDEX(スコア表[],MATCH($C36,スコア表['#],0),MATCH(S$5,スコア表[#Headers],0))
-
INDEX(スコア表2[],MATCH("average",スコア表2[maxmin],0),MATCH(S$5,スコア表2[#Headers],0)))
/
INDEX(スコア表2[],MATCH("stdev.p",スコア表2[maxmin],0),MATCH(S$5,スコア表2[#Headers],0))
*10+50,"-")</f>
        <v>58.874866438455072</v>
      </c>
      <c r="T36" s="4">
        <f>IFERROR(
(INDEX(スコア表[],MATCH($C36,スコア表['#],0),MATCH(T$5,スコア表[#Headers],0))
-
INDEX(スコア表2[],MATCH("average",スコア表2[maxmin],0),MATCH(T$5,スコア表2[#Headers],0)))
/
INDEX(スコア表2[],MATCH("stdev.p",スコア表2[maxmin],0),MATCH(T$5,スコア表2[#Headers],0))
*10+50,"-")</f>
        <v>54.631905963165231</v>
      </c>
      <c r="U36" s="4">
        <f>IFERROR(
(INDEX(スコア表[],MATCH($C36,スコア表['#],0),MATCH(U$5,スコア表[#Headers],0))
-
INDEX(スコア表2[],MATCH("average",スコア表2[maxmin],0),MATCH(U$5,スコア表2[#Headers],0)))
/
INDEX(スコア表2[],MATCH("stdev.p",スコア表2[maxmin],0),MATCH(U$5,スコア表2[#Headers],0))
*10+50,"-")</f>
        <v>42.599126461055661</v>
      </c>
      <c r="V36" s="4">
        <f>IFERROR(
(INDEX(スコア表[],MATCH($C36,スコア表['#],0),MATCH(V$5,スコア表[#Headers],0))
-
INDEX(スコア表2[],MATCH("average",スコア表2[maxmin],0),MATCH(V$5,スコア表2[#Headers],0)))
/
INDEX(スコア表2[],MATCH("stdev.p",スコア表2[maxmin],0),MATCH(V$5,スコア表2[#Headers],0))
*10+50,"-")</f>
        <v>44.807436382020008</v>
      </c>
      <c r="W36" s="4">
        <f>IFERROR(
(INDEX(スコア表[],MATCH($C36,スコア表['#],0),MATCH(W$5,スコア表[#Headers],0))
-
INDEX(スコア表2[],MATCH("average",スコア表2[maxmin],0),MATCH(W$5,スコア表2[#Headers],0)))
/
INDEX(スコア表2[],MATCH("stdev.p",スコア表2[maxmin],0),MATCH(W$5,スコア表2[#Headers],0))
*10+50,"-")</f>
        <v>44.450944815929113</v>
      </c>
      <c r="X36" s="4">
        <f>IFERROR(
(INDEX(スコア表[],MATCH($C36,スコア表['#],0),MATCH(X$5,スコア表[#Headers],0))
-
INDEX(スコア表2[],MATCH("average",スコア表2[maxmin],0),MATCH(X$5,スコア表2[#Headers],0)))
/
INDEX(スコア表2[],MATCH("stdev.p",スコア表2[maxmin],0),MATCH(X$5,スコア表2[#Headers],0))
*10+50,"-")</f>
        <v>42.606989971342863</v>
      </c>
      <c r="Y36" s="4">
        <f>IFERROR(
(INDEX(スコア表[],MATCH($C36,スコア表['#],0),MATCH(Y$5,スコア表[#Headers],0))
-
INDEX(スコア表2[],MATCH("average",スコア表2[maxmin],0),MATCH(Y$5,スコア表2[#Headers],0)))
/
INDEX(スコア表2[],MATCH("stdev.p",スコア表2[maxmin],0),MATCH(Y$5,スコア表2[#Headers],0))
*10+50,"-")</f>
        <v>56.574195613840331</v>
      </c>
      <c r="Z36" s="4">
        <f>IFERROR(
(INDEX(スコア表[],MATCH($C36,スコア表['#],0),MATCH(Z$5,スコア表[#Headers],0))
-
INDEX(スコア表2[],MATCH("average",スコア表2[maxmin],0),MATCH(Z$5,スコア表2[#Headers],0)))
/
INDEX(スコア表2[],MATCH("stdev.p",スコア表2[maxmin],0),MATCH(Z$5,スコア表2[#Headers],0))
*10+50,"-")</f>
        <v>44.045443597533421</v>
      </c>
      <c r="AA36" s="4">
        <f>IFERROR(
(INDEX(スコア表[],MATCH($C36,スコア表['#],0),MATCH(AA$5,スコア表[#Headers],0))
-
INDEX(スコア表2[],MATCH("average",スコア表2[maxmin],0),MATCH(AA$5,スコア表2[#Headers],0)))
/
INDEX(スコア表2[],MATCH("stdev.p",スコア表2[maxmin],0),MATCH(AA$5,スコア表2[#Headers],0))
*10+50,"-")</f>
        <v>46.079521600843854</v>
      </c>
      <c r="AB36" s="4">
        <f>IFERROR(
(INDEX(スコア表[],MATCH($C36,スコア表['#],0),MATCH(AB$5,スコア表[#Headers],0))
-
INDEX(スコア表2[],MATCH("average",スコア表2[maxmin],0),MATCH(AB$5,スコア表2[#Headers],0)))
/
INDEX(スコア表2[],MATCH("stdev.p",スコア表2[maxmin],0),MATCH(AB$5,スコア表2[#Headers],0))
*10+50,"-")</f>
        <v>44.729422641908684</v>
      </c>
      <c r="AC36" s="4">
        <f>IFERROR(
(INDEX(スコア表[],MATCH($C36,スコア表['#],0),MATCH(AC$5,スコア表[#Headers],0))
-
INDEX(スコア表2[],MATCH("average",スコア表2[maxmin],0),MATCH(AC$5,スコア表2[#Headers],0)))
/
INDEX(スコア表2[],MATCH("stdev.p",スコア表2[maxmin],0),MATCH(AC$5,スコア表2[#Headers],0))
*10+50,"-")</f>
        <v>50.587883836135688</v>
      </c>
      <c r="AD36" s="4">
        <f>IFERROR(
(INDEX(スコア表[],MATCH($C36,スコア表['#],0),MATCH(AD$5,スコア表[#Headers],0))
-
INDEX(スコア表2[],MATCH("average",スコア表2[maxmin],0),MATCH(AD$5,スコア表2[#Headers],0)))
/
INDEX(スコア表2[],MATCH("stdev.p",スコア表2[maxmin],0),MATCH(AD$5,スコア表2[#Headers],0))
*10+50,"-")</f>
        <v>50.214789958064408</v>
      </c>
      <c r="AE36" s="4">
        <f>IFERROR(
(INDEX(スコア表[],MATCH($C36,スコア表['#],0),MATCH(AE$5,スコア表[#Headers],0))
-
INDEX(スコア表2[],MATCH("average",スコア表2[maxmin],0),MATCH(AE$5,スコア表2[#Headers],0)))
/
INDEX(スコア表2[],MATCH("stdev.p",スコア表2[maxmin],0),MATCH(AE$5,スコア表2[#Headers],0))
*10+50,"-")</f>
        <v>43.664700074593156</v>
      </c>
      <c r="AF36" s="4">
        <f>IFERROR(
(INDEX(スコア表[],MATCH($C36,スコア表['#],0),MATCH(AF$5,スコア表[#Headers],0))
-
INDEX(スコア表2[],MATCH("average",スコア表2[maxmin],0),MATCH(AF$5,スコア表2[#Headers],0)))
/
INDEX(スコア表2[],MATCH("stdev.p",スコア表2[maxmin],0),MATCH(AF$5,スコア表2[#Headers],0))
*10+50,"-")</f>
        <v>45.565255901132566</v>
      </c>
      <c r="AG36" s="4">
        <f>IFERROR(
(INDEX(スコア表[],MATCH($C36,スコア表['#],0),MATCH(AG$5,スコア表[#Headers],0))
-
INDEX(スコア表2[],MATCH("average",スコア表2[maxmin],0),MATCH(AG$5,スコア表2[#Headers],0)))
/
INDEX(スコア表2[],MATCH("stdev.p",スコア表2[maxmin],0),MATCH(AG$5,スコア表2[#Headers],0))
*10+50,"-")</f>
        <v>34.93582463120277</v>
      </c>
      <c r="AH36" s="4">
        <f>IFERROR(
(INDEX(スコア表[],MATCH($C36,スコア表['#],0),MATCH(AH$5,スコア表[#Headers],0))
-
INDEX(スコア表2[],MATCH("average",スコア表2[maxmin],0),MATCH(AH$5,スコア表2[#Headers],0)))
/
INDEX(スコア表2[],MATCH("stdev.p",スコア表2[maxmin],0),MATCH(AH$5,スコア表2[#Headers],0))
*10+50,"-")</f>
        <v>46.727657634345938</v>
      </c>
      <c r="AI36" s="4">
        <f>IFERROR(
(INDEX(スコア表[],MATCH($C36,スコア表['#],0),MATCH(AI$5,スコア表[#Headers],0))
-
INDEX(スコア表2[],MATCH("average",スコア表2[maxmin],0),MATCH(AI$5,スコア表2[#Headers],0)))
/
INDEX(スコア表2[],MATCH("stdev.p",スコア表2[maxmin],0),MATCH(AI$5,スコア表2[#Headers],0))
*10+50,"-")</f>
        <v>28.415744224437752</v>
      </c>
      <c r="AJ36" s="4">
        <f>IFERROR(
(INDEX(スコア表[],MATCH($C36,スコア表['#],0),MATCH(AJ$5,スコア表[#Headers],0))
-
INDEX(スコア表2[],MATCH("average",スコア表2[maxmin],0),MATCH(AJ$5,スコア表2[#Headers],0)))
/
INDEX(スコア表2[],MATCH("stdev.p",スコア表2[maxmin],0),MATCH(AJ$5,スコア表2[#Headers],0))
*10+50,"-")</f>
        <v>44.898287681481179</v>
      </c>
      <c r="AK36" s="4">
        <f>IFERROR(
(INDEX(スコア表[],MATCH($C36,スコア表['#],0),MATCH(AK$5,スコア表[#Headers],0))
-
INDEX(スコア表2[],MATCH("average",スコア表2[maxmin],0),MATCH(AK$5,スコア表2[#Headers],0)))
/
INDEX(スコア表2[],MATCH("stdev.p",スコア表2[maxmin],0),MATCH(AK$5,スコア表2[#Headers],0))
*10+50,"-")</f>
        <v>49.210166895492968</v>
      </c>
      <c r="AL36" s="4">
        <f>IFERROR(
(INDEX(スコア表[],MATCH($C36,スコア表['#],0),MATCH(AL$5,スコア表[#Headers],0))
-
INDEX(スコア表2[],MATCH("average",スコア表2[maxmin],0),MATCH(AL$5,スコア表2[#Headers],0)))
/
INDEX(スコア表2[],MATCH("stdev.p",スコア表2[maxmin],0),MATCH(AL$5,スコア表2[#Headers],0))
*10+50,"-")</f>
        <v>41.858810131760215</v>
      </c>
      <c r="AM36" s="4">
        <f>IFERROR(
(INDEX(スコア表[],MATCH($C36,スコア表['#],0),MATCH(AM$5,スコア表[#Headers],0))
-
INDEX(スコア表2[],MATCH("average",スコア表2[maxmin],0),MATCH(AM$5,スコア表2[#Headers],0)))
/
INDEX(スコア表2[],MATCH("stdev.p",スコア表2[maxmin],0),MATCH(AM$5,スコア表2[#Headers],0))
*10+50,"-")</f>
        <v>39.963364474799384</v>
      </c>
      <c r="AN36" s="4">
        <f>IFERROR(
(INDEX(スコア表[],MATCH($C36,スコア表['#],0),MATCH(AN$5,スコア表[#Headers],0))
-
INDEX(スコア表2[],MATCH("average",スコア表2[maxmin],0),MATCH(AN$5,スコア表2[#Headers],0)))
/
INDEX(スコア表2[],MATCH("stdev.p",スコア表2[maxmin],0),MATCH(AN$5,スコア表2[#Headers],0))
*10+50,"-")</f>
        <v>41.22025811157588</v>
      </c>
      <c r="AO36" s="4">
        <f>IFERROR(
(INDEX(スコア表[],MATCH($C36,スコア表['#],0),MATCH(AO$5,スコア表[#Headers],0))
-
INDEX(スコア表2[],MATCH("average",スコア表2[maxmin],0),MATCH(AO$5,スコア表2[#Headers],0)))
/
INDEX(スコア表2[],MATCH("stdev.p",スコア表2[maxmin],0),MATCH(AO$5,スコア表2[#Headers],0))
*10+50,"-")</f>
        <v>32.961749510908575</v>
      </c>
      <c r="AP36" s="4">
        <f>IFERROR(
(INDEX(スコア表[],MATCH($C36,スコア表['#],0),MATCH(AP$5,スコア表[#Headers],0))
-
INDEX(スコア表2[],MATCH("average",スコア表2[maxmin],0),MATCH(AP$5,スコア表2[#Headers],0)))
/
INDEX(スコア表2[],MATCH("stdev.p",スコア表2[maxmin],0),MATCH(AP$5,スコア表2[#Headers],0))
*10+50,"-")</f>
        <v>29.478470083153997</v>
      </c>
      <c r="AQ36" s="4">
        <f>IFERROR(
(INDEX(スコア表[],MATCH($C36,スコア表['#],0),MATCH(AQ$5,スコア表[#Headers],0))
-
INDEX(スコア表2[],MATCH("average",スコア表2[maxmin],0),MATCH(AQ$5,スコア表2[#Headers],0)))
/
INDEX(スコア表2[],MATCH("stdev.p",スコア表2[maxmin],0),MATCH(AQ$5,スコア表2[#Headers],0))
*10+50,"-")</f>
        <v>43.45997659047984</v>
      </c>
      <c r="AR36" s="4">
        <f>IFERROR(
(INDEX(スコア表[],MATCH($C36,スコア表['#],0),MATCH(AR$5,スコア表[#Headers],0))
-
INDEX(スコア表2[],MATCH("average",スコア表2[maxmin],0),MATCH(AR$5,スコア表2[#Headers],0)))
/
INDEX(スコア表2[],MATCH("stdev.p",スコア表2[maxmin],0),MATCH(AR$5,スコア表2[#Headers],0))
*10+50,"-")</f>
        <v>44.20112602152922</v>
      </c>
      <c r="AS36" s="4">
        <f>IFERROR(
(INDEX(スコア表[],MATCH($C36,スコア表['#],0),MATCH(AS$5,スコア表[#Headers],0))
-
INDEX(スコア表2[],MATCH("average",スコア表2[maxmin],0),MATCH(AS$5,スコア表2[#Headers],0)))
/
INDEX(スコア表2[],MATCH("stdev.p",スコア表2[maxmin],0),MATCH(AS$5,スコア表2[#Headers],0))
*10+50,"-")</f>
        <v>35.359670532118415</v>
      </c>
      <c r="AT36" s="4">
        <f>IFERROR(
(INDEX(スコア表[],MATCH($C36,スコア表['#],0),MATCH(AT$5,スコア表[#Headers],0))
-
INDEX(スコア表2[],MATCH("average",スコア表2[maxmin],0),MATCH(AT$5,スコア表2[#Headers],0)))
/
INDEX(スコア表2[],MATCH("stdev.p",スコア表2[maxmin],0),MATCH(AT$5,スコア表2[#Headers],0))
*10+50,"-")</f>
        <v>62.390082102898447</v>
      </c>
      <c r="AU36" s="4">
        <f>IFERROR(
(INDEX(スコア表[],MATCH($C36,スコア表['#],0),MATCH(AU$5,スコア表[#Headers],0))
-
INDEX(スコア表2[],MATCH("average",スコア表2[maxmin],0),MATCH(AU$5,スコア表2[#Headers],0)))
/
INDEX(スコア表2[],MATCH("stdev.p",スコア表2[maxmin],0),MATCH(AU$5,スコア表2[#Headers],0))
*10+50,"-")</f>
        <v>59.129793768202923</v>
      </c>
      <c r="AV36" s="4">
        <f>IFERROR(
(INDEX(スコア表[],MATCH($C36,スコア表['#],0),MATCH(AV$5,スコア表[#Headers],0))
-
INDEX(スコア表2[],MATCH("average",スコア表2[maxmin],0),MATCH(AV$5,スコア表2[#Headers],0)))
/
INDEX(スコア表2[],MATCH("stdev.p",スコア表2[maxmin],0),MATCH(AV$5,スコア表2[#Headers],0))
*10+50,"-")</f>
        <v>55.453204087551299</v>
      </c>
      <c r="AW36" s="4">
        <f>IFERROR(
(INDEX(スコア表[],MATCH($C36,スコア表['#],0),MATCH(AW$5,スコア表[#Headers],0))
-
INDEX(スコア表2[],MATCH("average",スコア表2[maxmin],0),MATCH(AW$5,スコア表2[#Headers],0)))
/
INDEX(スコア表2[],MATCH("stdev.p",スコア表2[maxmin],0),MATCH(AW$5,スコア表2[#Headers],0))
*10+50,"-")</f>
        <v>49.607205547135798</v>
      </c>
      <c r="AX36" s="4">
        <f>IFERROR(
(INDEX(スコア表[],MATCH($C36,スコア表['#],0),MATCH(AX$5,スコア表[#Headers],0))
-
INDEX(スコア表2[],MATCH("average",スコア表2[maxmin],0),MATCH(AX$5,スコア表2[#Headers],0)))
/
INDEX(スコア表2[],MATCH("stdev.p",スコア表2[maxmin],0),MATCH(AX$5,スコア表2[#Headers],0))
*10+50,"-")</f>
        <v>53.798065979244107</v>
      </c>
      <c r="AY36" s="4">
        <f>IFERROR(
(INDEX(スコア表[],MATCH($C36,スコア表['#],0),MATCH(AY$5,スコア表[#Headers],0))
-
INDEX(スコア表2[],MATCH("average",スコア表2[maxmin],0),MATCH(AY$5,スコア表2[#Headers],0)))
/
INDEX(スコア表2[],MATCH("stdev.p",スコア表2[maxmin],0),MATCH(AY$5,スコア表2[#Headers],0))
*10+50,"-")</f>
        <v>53.17790568856698</v>
      </c>
      <c r="AZ36" s="4">
        <f>IFERROR(
(INDEX(スコア表[],MATCH($C36,スコア表['#],0),MATCH(AZ$5,スコア表[#Headers],0))
-
INDEX(スコア表2[],MATCH("average",スコア表2[maxmin],0),MATCH(AZ$5,スコア表2[#Headers],0)))
/
INDEX(スコア表2[],MATCH("stdev.p",スコア表2[maxmin],0),MATCH(AZ$5,スコア表2[#Headers],0))
*10+50,"-")</f>
        <v>54.218756867073907</v>
      </c>
      <c r="BA36" s="4">
        <f>IFERROR(
(INDEX(スコア表[],MATCH($C36,スコア表['#],0),MATCH(BA$5,スコア表[#Headers],0))
-
INDEX(スコア表2[],MATCH("average",スコア表2[maxmin],0),MATCH(BA$5,スコア表2[#Headers],0)))
/
INDEX(スコア表2[],MATCH("stdev.p",スコア表2[maxmin],0),MATCH(BA$5,スコア表2[#Headers],0))
*10+50,"-")</f>
        <v>65.808472508115955</v>
      </c>
      <c r="BB36" s="4">
        <f>IFERROR(
(INDEX(スコア表[],MATCH($C36,スコア表['#],0),MATCH(BB$5,スコア表[#Headers],0))
-
INDEX(スコア表2[],MATCH("average",スコア表2[maxmin],0),MATCH(BB$5,スコア表2[#Headers],0)))
/
INDEX(スコア表2[],MATCH("stdev.p",スコア表2[maxmin],0),MATCH(BB$5,スコア表2[#Headers],0))
*10+50,"-")</f>
        <v>50.159830749075887</v>
      </c>
      <c r="BC36" s="4">
        <f>IFERROR(
(INDEX(スコア表[],MATCH($C36,スコア表['#],0),MATCH(BC$5,スコア表[#Headers],0))
-
INDEX(スコア表2[],MATCH("average",スコア表2[maxmin],0),MATCH(BC$5,スコア表2[#Headers],0)))
/
INDEX(スコア表2[],MATCH("stdev.p",スコア表2[maxmin],0),MATCH(BC$5,スコア表2[#Headers],0))
*10+50,"-")</f>
        <v>51.154597788850154</v>
      </c>
      <c r="BD36" s="4">
        <f>IFERROR(
(INDEX(スコア表[],MATCH($C36,スコア表['#],0),MATCH(BD$5,スコア表[#Headers],0))
-
INDEX(スコア表2[],MATCH("average",スコア表2[maxmin],0),MATCH(BD$5,スコア表2[#Headers],0)))
/
INDEX(スコア表2[],MATCH("stdev.p",スコア表2[maxmin],0),MATCH(BD$5,スコア表2[#Headers],0))
*10+50,"-")</f>
        <v>53.357124086704346</v>
      </c>
      <c r="BE36" s="4">
        <f>IFERROR(
(INDEX(スコア表[],MATCH($C36,スコア表['#],0),MATCH(BE$5,スコア表[#Headers],0))
-
INDEX(スコア表2[],MATCH("average",スコア表2[maxmin],0),MATCH(BE$5,スコア表2[#Headers],0)))
/
INDEX(スコア表2[],MATCH("stdev.p",スコア表2[maxmin],0),MATCH(BE$5,スコア表2[#Headers],0))
*10+50,"-")</f>
        <v>29.377080674856167</v>
      </c>
      <c r="BF36" s="4">
        <f>IFERROR(
(INDEX(スコア表[],MATCH($C36,スコア表['#],0),MATCH(BF$5,スコア表[#Headers],0))
-
INDEX(スコア表2[],MATCH("average",スコア表2[maxmin],0),MATCH(BF$5,スコア表2[#Headers],0)))
/
INDEX(スコア表2[],MATCH("stdev.p",スコア表2[maxmin],0),MATCH(BF$5,スコア表2[#Headers],0))
*10+50,"-")</f>
        <v>34.061634544936581</v>
      </c>
      <c r="BG36" s="4">
        <f>IFERROR(
(INDEX(スコア表[],MATCH($C36,スコア表['#],0),MATCH(BG$5,スコア表[#Headers],0))
-
INDEX(スコア表2[],MATCH("average",スコア表2[maxmin],0),MATCH(BG$5,スコア表2[#Headers],0)))
/
INDEX(スコア表2[],MATCH("stdev.p",スコア表2[maxmin],0),MATCH(BG$5,スコア表2[#Headers],0))
*10+50,"-")</f>
        <v>49.52291526719371</v>
      </c>
      <c r="BH36" s="4">
        <f>IFERROR(
(INDEX(スコア表[],MATCH($C36,スコア表['#],0),MATCH(BH$5,スコア表[#Headers],0))
-
INDEX(スコア表2[],MATCH("average",スコア表2[maxmin],0),MATCH(BH$5,スコア表2[#Headers],0)))
/
INDEX(スコア表2[],MATCH("stdev.p",スコア表2[maxmin],0),MATCH(BH$5,スコア表2[#Headers],0))
*10+50,"-")</f>
        <v>72.656542950107266</v>
      </c>
      <c r="BI36" s="4">
        <f>IFERROR(
(INDEX(スコア表[],MATCH($C36,スコア表['#],0),MATCH(BI$5,スコア表[#Headers],0))
-
INDEX(スコア表2[],MATCH("average",スコア表2[maxmin],0),MATCH(BI$5,スコア表2[#Headers],0)))
/
INDEX(スコア表2[],MATCH("stdev.p",スコア表2[maxmin],0),MATCH(BI$5,スコア表2[#Headers],0))
*10+50,"-")</f>
        <v>50.603144061767253</v>
      </c>
      <c r="BJ36" s="4">
        <f>IFERROR(
(INDEX(スコア表[],MATCH($C36,スコア表['#],0),MATCH(BJ$5,スコア表[#Headers],0))
-
INDEX(スコア表2[],MATCH("average",スコア表2[maxmin],0),MATCH(BJ$5,スコア表2[#Headers],0)))
/
INDEX(スコア表2[],MATCH("stdev.p",スコア表2[maxmin],0),MATCH(BJ$5,スコア表2[#Headers],0))
*10+50,"-")</f>
        <v>53.81040729298725</v>
      </c>
      <c r="BK36" s="4">
        <f>IFERROR(
(INDEX(スコア表[],MATCH($C36,スコア表['#],0),MATCH(BK$5,スコア表[#Headers],0))
-
INDEX(スコア表2[],MATCH("average",スコア表2[maxmin],0),MATCH(BK$5,スコア表2[#Headers],0)))
/
INDEX(スコア表2[],MATCH("stdev.p",スコア表2[maxmin],0),MATCH(BK$5,スコア表2[#Headers],0))
*10+50,"-")</f>
        <v>59.378220788745814</v>
      </c>
      <c r="BL36" s="4">
        <f>IFERROR(
(INDEX(スコア表[],MATCH($C36,スコア表['#],0),MATCH(BL$5,スコア表[#Headers],0))
-
INDEX(スコア表2[],MATCH("average",スコア表2[maxmin],0),MATCH(BL$5,スコア表2[#Headers],0)))
/
INDEX(スコア表2[],MATCH("stdev.p",スコア表2[maxmin],0),MATCH(BL$5,スコア表2[#Headers],0))
*10+50,"-")</f>
        <v>38.254957069985053</v>
      </c>
      <c r="BM36" s="4">
        <f>IFERROR(
(INDEX(スコア表[],MATCH($C36,スコア表['#],0),MATCH(BM$5,スコア表[#Headers],0))
-
INDEX(スコア表2[],MATCH("average",スコア表2[maxmin],0),MATCH(BM$5,スコア表2[#Headers],0)))
/
INDEX(スコア表2[],MATCH("stdev.p",スコア表2[maxmin],0),MATCH(BM$5,スコア表2[#Headers],0))
*10+50,"-")</f>
        <v>66.208522271442945</v>
      </c>
      <c r="BN36" s="4">
        <f>IFERROR(
(INDEX(スコア表[],MATCH($C36,スコア表['#],0),MATCH(BN$5,スコア表[#Headers],0))
-
INDEX(スコア表2[],MATCH("average",スコア表2[maxmin],0),MATCH(BN$5,スコア表2[#Headers],0)))
/
INDEX(スコア表2[],MATCH("stdev.p",スコア表2[maxmin],0),MATCH(BN$5,スコア表2[#Headers],0))
*10+50,"-")</f>
        <v>64.159581735155555</v>
      </c>
      <c r="BO36" s="4">
        <f>IFERROR(
(INDEX(スコア表[],MATCH($C36,スコア表['#],0),MATCH(BO$5,スコア表[#Headers],0))
-
INDEX(スコア表2[],MATCH("average",スコア表2[maxmin],0),MATCH(BO$5,スコア表2[#Headers],0)))
/
INDEX(スコア表2[],MATCH("stdev.p",スコア表2[maxmin],0),MATCH(BO$5,スコア表2[#Headers],0))
*10+50,"-")</f>
        <v>56.321279701741069</v>
      </c>
      <c r="BP36" s="4">
        <f>IFERROR(
(INDEX(スコア表[],MATCH($C36,スコア表['#],0),MATCH(BP$5,スコア表[#Headers],0))
-
INDEX(スコア表2[],MATCH("average",スコア表2[maxmin],0),MATCH(BP$5,スコア表2[#Headers],0)))
/
INDEX(スコア表2[],MATCH("stdev.p",スコア表2[maxmin],0),MATCH(BP$5,スコア表2[#Headers],0))
*10+50,"-")</f>
        <v>48.700835705833754</v>
      </c>
      <c r="BQ36" s="4">
        <f>IFERROR(
(INDEX(スコア表[],MATCH($C36,スコア表['#],0),MATCH(BQ$5,スコア表[#Headers],0))
-
INDEX(スコア表2[],MATCH("average",スコア表2[maxmin],0),MATCH(BQ$5,スコア表2[#Headers],0)))
/
INDEX(スコア表2[],MATCH("stdev.p",スコア表2[maxmin],0),MATCH(BQ$5,スコア表2[#Headers],0))
*10+50,"-")</f>
        <v>43.04765648793488</v>
      </c>
      <c r="BR36" s="4">
        <f>IFERROR(
(INDEX(スコア表[],MATCH($C36,スコア表['#],0),MATCH(BR$5,スコア表[#Headers],0))
-
INDEX(スコア表2[],MATCH("average",スコア表2[maxmin],0),MATCH(BR$5,スコア表2[#Headers],0)))
/
INDEX(スコア表2[],MATCH("stdev.p",スコア表2[maxmin],0),MATCH(BR$5,スコア表2[#Headers],0))
*10+50,"-")</f>
        <v>40.644679348595133</v>
      </c>
      <c r="BS36" s="4">
        <f>IFERROR(
(INDEX(スコア表[],MATCH($C36,スコア表['#],0),MATCH(BS$5,スコア表[#Headers],0))
-
INDEX(スコア表2[],MATCH("average",スコア表2[maxmin],0),MATCH(BS$5,スコア表2[#Headers],0)))
/
INDEX(スコア表2[],MATCH("stdev.p",スコア表2[maxmin],0),MATCH(BS$5,スコア表2[#Headers],0))
*10+50,"-")</f>
        <v>41.372905473717807</v>
      </c>
      <c r="BT36" s="4">
        <f>IFERROR(
(INDEX(スコア表[],MATCH($C36,スコア表['#],0),MATCH(BT$5,スコア表[#Headers],0))
-
INDEX(スコア表2[],MATCH("average",スコア表2[maxmin],0),MATCH(BT$5,スコア表2[#Headers],0)))
/
INDEX(スコア表2[],MATCH("stdev.p",スコア表2[maxmin],0),MATCH(BT$5,スコア表2[#Headers],0))
*10+50,"-")</f>
        <v>48.987075957294103</v>
      </c>
      <c r="BU36" s="4">
        <f>IFERROR(
(INDEX(スコア表[],MATCH($C36,スコア表['#],0),MATCH(BU$5,スコア表[#Headers],0))
-
INDEX(スコア表2[],MATCH("average",スコア表2[maxmin],0),MATCH(BU$5,スコア表2[#Headers],0)))
/
INDEX(スコア表2[],MATCH("stdev.p",スコア表2[maxmin],0),MATCH(BU$5,スコア表2[#Headers],0))
*10+50,"-")</f>
        <v>59.201508592977206</v>
      </c>
      <c r="BV36" s="4">
        <f>IFERROR(
(INDEX(スコア表[],MATCH($C36,スコア表['#],0),MATCH(BV$5,スコア表[#Headers],0))
-
INDEX(スコア表2[],MATCH("average",スコア表2[maxmin],0),MATCH(BV$5,スコア表2[#Headers],0)))
/
INDEX(スコア表2[],MATCH("stdev.p",スコア表2[maxmin],0),MATCH(BV$5,スコア表2[#Headers],0))
*10+50,"-")</f>
        <v>54.520945470852361</v>
      </c>
      <c r="BW36" s="4">
        <f>IFERROR(
(INDEX(スコア表[],MATCH($C36,スコア表['#],0),MATCH(BW$5,スコア表[#Headers],0))
-
INDEX(スコア表2[],MATCH("average",スコア表2[maxmin],0),MATCH(BW$5,スコア表2[#Headers],0)))
/
INDEX(スコア表2[],MATCH("stdev.p",スコア表2[maxmin],0),MATCH(BW$5,スコア表2[#Headers],0))
*10+50,"-")</f>
        <v>66.252189598378337</v>
      </c>
      <c r="BX36" s="4">
        <f>IFERROR(
(INDEX(スコア表[],MATCH($C36,スコア表['#],0),MATCH(BX$5,スコア表[#Headers],0))
-
INDEX(スコア表2[],MATCH("average",スコア表2[maxmin],0),MATCH(BX$5,スコア表2[#Headers],0)))
/
INDEX(スコア表2[],MATCH("stdev.p",スコア表2[maxmin],0),MATCH(BX$5,スコア表2[#Headers],0))
*10+50,"-")</f>
        <v>49.786884541396006</v>
      </c>
      <c r="BY36" s="4">
        <f>IFERROR(
(INDEX(スコア表[],MATCH($C36,スコア表['#],0),MATCH(BY$5,スコア表[#Headers],0))
-
INDEX(スコア表2[],MATCH("average",スコア表2[maxmin],0),MATCH(BY$5,スコア表2[#Headers],0)))
/
INDEX(スコア表2[],MATCH("stdev.p",スコア表2[maxmin],0),MATCH(BY$5,スコア表2[#Headers],0))
*10+50,"-")</f>
        <v>40.156544206001826</v>
      </c>
      <c r="BZ36" s="4">
        <f>IFERROR(
(INDEX(スコア表[],MATCH($C36,スコア表['#],0),MATCH(BZ$5,スコア表[#Headers],0))
-
INDEX(スコア表2[],MATCH("average",スコア表2[maxmin],0),MATCH(BZ$5,スコア表2[#Headers],0)))
/
INDEX(スコア表2[],MATCH("stdev.p",スコア表2[maxmin],0),MATCH(BZ$5,スコア表2[#Headers],0))
*10+50,"-")</f>
        <v>43.735665975808082</v>
      </c>
      <c r="CA36" s="4">
        <f>IFERROR(
(INDEX(スコア表[],MATCH($C36,スコア表['#],0),MATCH(CA$5,スコア表[#Headers],0))
-
INDEX(スコア表2[],MATCH("average",スコア表2[maxmin],0),MATCH(CA$5,スコア表2[#Headers],0)))
/
INDEX(スコア表2[],MATCH("stdev.p",スコア表2[maxmin],0),MATCH(CA$5,スコア表2[#Headers],0))
*10+50,"-")</f>
        <v>56.669191472793223</v>
      </c>
      <c r="CB36" s="4">
        <f>IFERROR(
(INDEX(スコア表[],MATCH($C36,スコア表['#],0),MATCH(CB$5,スコア表[#Headers],0))
-
INDEX(スコア表2[],MATCH("average",スコア表2[maxmin],0),MATCH(CB$5,スコア表2[#Headers],0)))
/
INDEX(スコア表2[],MATCH("stdev.p",スコア表2[maxmin],0),MATCH(CB$5,スコア表2[#Headers],0))
*10+50,"-")</f>
        <v>45.354270914554121</v>
      </c>
      <c r="CC36" s="4">
        <f>IFERROR(
(INDEX(スコア表[],MATCH($C36,スコア表['#],0),MATCH(CC$5,スコア表[#Headers],0))
-
INDEX(スコア表2[],MATCH("average",スコア表2[maxmin],0),MATCH(CC$5,スコア表2[#Headers],0)))
/
INDEX(スコア表2[],MATCH("stdev.p",スコア表2[maxmin],0),MATCH(CC$5,スコア表2[#Headers],0))
*10+50,"-")</f>
        <v>51.163785882073398</v>
      </c>
      <c r="CD36" s="4">
        <f>IFERROR(
(INDEX(スコア表[],MATCH($C36,スコア表['#],0),MATCH(CD$5,スコア表[#Headers],0))
-
INDEX(スコア表2[],MATCH("average",スコア表2[maxmin],0),MATCH(CD$5,スコア表2[#Headers],0)))
/
INDEX(スコア表2[],MATCH("stdev.p",スコア表2[maxmin],0),MATCH(CD$5,スコア表2[#Headers],0))
*10+50,"-")</f>
        <v>49.956357467539078</v>
      </c>
      <c r="CE36" s="4">
        <f>IFERROR(
(INDEX(スコア表[],MATCH($C36,スコア表['#],0),MATCH(CE$5,スコア表[#Headers],0))
-
INDEX(スコア表2[],MATCH("average",スコア表2[maxmin],0),MATCH(CE$5,スコア表2[#Headers],0)))
/
INDEX(スコア表2[],MATCH("stdev.p",スコア表2[maxmin],0),MATCH(CE$5,スコア表2[#Headers],0))
*10+50,"-")</f>
        <v>58.677473307842199</v>
      </c>
      <c r="CF36" s="4">
        <f>IFERROR(
(INDEX(スコア表[],MATCH($C36,スコア表['#],0),MATCH(CF$5,スコア表[#Headers],0))
-
INDEX(スコア表2[],MATCH("average",スコア表2[maxmin],0),MATCH(CF$5,スコア表2[#Headers],0)))
/
INDEX(スコア表2[],MATCH("stdev.p",スコア表2[maxmin],0),MATCH(CF$5,スコア表2[#Headers],0))
*10+50,"-")</f>
        <v>42.726791886105495</v>
      </c>
      <c r="CG36" s="4">
        <f>IFERROR(
(INDEX(スコア表[],MATCH($C36,スコア表['#],0),MATCH(CG$5,スコア表[#Headers],0))
-
INDEX(スコア表2[],MATCH("average",スコア表2[maxmin],0),MATCH(CG$5,スコア表2[#Headers],0)))
/
INDEX(スコア表2[],MATCH("stdev.p",スコア表2[maxmin],0),MATCH(CG$5,スコア表2[#Headers],0))
*10+50,"-")</f>
        <v>47.860556076514428</v>
      </c>
      <c r="CH36" s="4">
        <f>IFERROR(
(INDEX(スコア表[],MATCH($C36,スコア表['#],0),MATCH(CH$5,スコア表[#Headers],0))
-
INDEX(スコア表2[],MATCH("average",スコア表2[maxmin],0),MATCH(CH$5,スコア表2[#Headers],0)))
/
INDEX(スコア表2[],MATCH("stdev.p",スコア表2[maxmin],0),MATCH(CH$5,スコア表2[#Headers],0))
*10+50,"-")</f>
        <v>43.310211824406906</v>
      </c>
      <c r="CI36" s="4">
        <f>IFERROR(
(INDEX(スコア表[],MATCH($C36,スコア表['#],0),MATCH(CI$5,スコア表[#Headers],0))
-
INDEX(スコア表2[],MATCH("average",スコア表2[maxmin],0),MATCH(CI$5,スコア表2[#Headers],0)))
/
INDEX(スコア表2[],MATCH("stdev.p",スコア表2[maxmin],0),MATCH(CI$5,スコア表2[#Headers],0))
*10+50,"-")</f>
        <v>46.259877824963169</v>
      </c>
      <c r="CJ36" s="4">
        <f>IFERROR(
(INDEX(スコア表[],MATCH($C36,スコア表['#],0),MATCH(CJ$5,スコア表[#Headers],0))
-
INDEX(スコア表2[],MATCH("average",スコア表2[maxmin],0),MATCH(CJ$5,スコア表2[#Headers],0)))
/
INDEX(スコア表2[],MATCH("stdev.p",スコア表2[maxmin],0),MATCH(CJ$5,スコア表2[#Headers],0))
*10+50,"-")</f>
        <v>31.689409045771146</v>
      </c>
      <c r="CK36" s="4">
        <f>IFERROR(
(INDEX(スコア表[],MATCH($C36,スコア表['#],0),MATCH(CK$5,スコア表[#Headers],0))
-
INDEX(スコア表2[],MATCH("average",スコア表2[maxmin],0),MATCH(CK$5,スコア表2[#Headers],0)))
/
INDEX(スコア表2[],MATCH("stdev.p",スコア表2[maxmin],0),MATCH(CK$5,スコア表2[#Headers],0))
*10+50,"-")</f>
        <v>44.379793194991848</v>
      </c>
      <c r="CL36" s="4">
        <f>IFERROR(
(INDEX(スコア表[],MATCH($C36,スコア表['#],0),MATCH(CL$5,スコア表[#Headers],0))
-
INDEX(スコア表2[],MATCH("average",スコア表2[maxmin],0),MATCH(CL$5,スコア表2[#Headers],0)))
/
INDEX(スコア表2[],MATCH("stdev.p",スコア表2[maxmin],0),MATCH(CL$5,スコア表2[#Headers],0))
*10+50,"-")</f>
        <v>33.223199974621103</v>
      </c>
      <c r="CM36" s="4">
        <f>IFERROR(
(INDEX(スコア表[],MATCH($C36,スコア表['#],0),MATCH(CM$5,スコア表[#Headers],0))
-
INDEX(スコア表2[],MATCH("average",スコア表2[maxmin],0),MATCH(CM$5,スコア表2[#Headers],0)))
/
INDEX(スコア表2[],MATCH("stdev.p",スコア表2[maxmin],0),MATCH(CM$5,スコア表2[#Headers],0))
*10+50,"-")</f>
        <v>42.982987068950521</v>
      </c>
      <c r="CN36" s="4">
        <f>IFERROR(
(INDEX(スコア表[],MATCH($C36,スコア表['#],0),MATCH(CN$5,スコア表[#Headers],0))
-
INDEX(スコア表2[],MATCH("average",スコア表2[maxmin],0),MATCH(CN$5,スコア表2[#Headers],0)))
/
INDEX(スコア表2[],MATCH("stdev.p",スコア表2[maxmin],0),MATCH(CN$5,スコア表2[#Headers],0))
*10+50,"-")</f>
        <v>58.007021394784175</v>
      </c>
      <c r="CO36" s="4">
        <f>IFERROR(
(INDEX(スコア表[],MATCH($C36,スコア表['#],0),MATCH(CO$5,スコア表[#Headers],0))
-
INDEX(スコア表2[],MATCH("average",スコア表2[maxmin],0),MATCH(CO$5,スコア表2[#Headers],0)))
/
INDEX(スコア表2[],MATCH("stdev.p",スコア表2[maxmin],0),MATCH(CO$5,スコア表2[#Headers],0))
*10+50,"-")</f>
        <v>53.04951956868927</v>
      </c>
      <c r="CP36" s="4">
        <f>IFERROR(
(INDEX(スコア表[],MATCH($C36,スコア表['#],0),MATCH(CP$5,スコア表[#Headers],0))
-
INDEX(スコア表2[],MATCH("average",スコア表2[maxmin],0),MATCH(CP$5,スコア表2[#Headers],0)))
/
INDEX(スコア表2[],MATCH("stdev.p",スコア表2[maxmin],0),MATCH(CP$5,スコア表2[#Headers],0))
*10+50,"-")</f>
        <v>55.157561808821001</v>
      </c>
      <c r="CQ36" s="4">
        <f>IFERROR(
(INDEX(スコア表[],MATCH($C36,スコア表['#],0),MATCH(CQ$5,スコア表[#Headers],0))
-
INDEX(スコア表2[],MATCH("average",スコア表2[maxmin],0),MATCH(CQ$5,スコア表2[#Headers],0)))
/
INDEX(スコア表2[],MATCH("stdev.p",スコア表2[maxmin],0),MATCH(CQ$5,スコア表2[#Headers],0))
*10+50,"-")</f>
        <v>59.21875881172366</v>
      </c>
      <c r="CR36" s="4">
        <f>IFERROR(
(INDEX(スコア表[],MATCH($C36,スコア表['#],0),MATCH(CR$5,スコア表[#Headers],0))
-
INDEX(スコア表2[],MATCH("average",スコア表2[maxmin],0),MATCH(CR$5,スコア表2[#Headers],0)))
/
INDEX(スコア表2[],MATCH("stdev.p",スコア表2[maxmin],0),MATCH(CR$5,スコア表2[#Headers],0))
*10+50,"-")</f>
        <v>37.201811710709656</v>
      </c>
      <c r="CS36" s="4">
        <f>IFERROR(
(INDEX(スコア表[],MATCH($C36,スコア表['#],0),MATCH(CS$5,スコア表[#Headers],0))
-
INDEX(スコア表2[],MATCH("average",スコア表2[maxmin],0),MATCH(CS$5,スコア表2[#Headers],0)))
/
INDEX(スコア表2[],MATCH("stdev.p",スコア表2[maxmin],0),MATCH(CS$5,スコア表2[#Headers],0))
*10+50,"-")</f>
        <v>65.183731525682205</v>
      </c>
      <c r="CT36" s="4">
        <f>IFERROR(
(INDEX(スコア表[],MATCH($C36,スコア表['#],0),MATCH(CT$5,スコア表[#Headers],0))
-
INDEX(スコア表2[],MATCH("average",スコア表2[maxmin],0),MATCH(CT$5,スコア表2[#Headers],0)))
/
INDEX(スコア表2[],MATCH("stdev.p",スコア表2[maxmin],0),MATCH(CT$5,スコア表2[#Headers],0))
*10+50,"-")</f>
        <v>51.700771027535325</v>
      </c>
      <c r="CU36" s="4">
        <f>IFERROR(
(INDEX(スコア表[],MATCH($C36,スコア表['#],0),MATCH(CU$5,スコア表[#Headers],0))
-
INDEX(スコア表2[],MATCH("average",スコア表2[maxmin],0),MATCH(CU$5,スコア表2[#Headers],0)))
/
INDEX(スコア表2[],MATCH("stdev.p",スコア表2[maxmin],0),MATCH(CU$5,スコア表2[#Headers],0))
*10+50,"-")</f>
        <v>64.470553504859879</v>
      </c>
      <c r="CV36" s="4">
        <f>IFERROR(
(INDEX(スコア表[],MATCH($C36,スコア表['#],0),MATCH(CV$5,スコア表[#Headers],0))
-
INDEX(スコア表2[],MATCH("average",スコア表2[maxmin],0),MATCH(CV$5,スコア表2[#Headers],0)))
/
INDEX(スコア表2[],MATCH("stdev.p",スコア表2[maxmin],0),MATCH(CV$5,スコア表2[#Headers],0))
*10+50,"-")</f>
        <v>44.453832621668425</v>
      </c>
      <c r="CW36" s="4">
        <f>IFERROR(
(INDEX(スコア表[],MATCH($C36,スコア表['#],0),MATCH(CW$5,スコア表[#Headers],0))
-
INDEX(スコア表2[],MATCH("average",スコア表2[maxmin],0),MATCH(CW$5,スコア表2[#Headers],0)))
/
INDEX(スコア表2[],MATCH("stdev.p",スコア表2[maxmin],0),MATCH(CW$5,スコア表2[#Headers],0))
*10+50,"-")</f>
        <v>40.844805932006558</v>
      </c>
      <c r="CX36" s="4">
        <f>IFERROR(
(INDEX(スコア表[],MATCH($C36,スコア表['#],0),MATCH(CX$5,スコア表[#Headers],0))
-
INDEX(スコア表2[],MATCH("average",スコア表2[maxmin],0),MATCH(CX$5,スコア表2[#Headers],0)))
/
INDEX(スコア表2[],MATCH("stdev.p",スコア表2[maxmin],0),MATCH(CX$5,スコア表2[#Headers],0))
*10+50,"-")</f>
        <v>57.809752357591925</v>
      </c>
      <c r="CY36" s="4">
        <f>IFERROR(
(INDEX(スコア表[],MATCH($C36,スコア表['#],0),MATCH(CY$5,スコア表[#Headers],0))
-
INDEX(スコア表2[],MATCH("average",スコア表2[maxmin],0),MATCH(CY$5,スコア表2[#Headers],0)))
/
INDEX(スコア表2[],MATCH("stdev.p",スコア表2[maxmin],0),MATCH(CY$5,スコア表2[#Headers],0))
*10+50,"-")</f>
        <v>55.519619402736978</v>
      </c>
      <c r="CZ36" s="4">
        <f>IFERROR(
(INDEX(スコア表[],MATCH($C36,スコア表['#],0),MATCH(CZ$5,スコア表[#Headers],0))
-
INDEX(スコア表2[],MATCH("average",スコア表2[maxmin],0),MATCH(CZ$5,スコア表2[#Headers],0)))
/
INDEX(スコア表2[],MATCH("stdev.p",スコア表2[maxmin],0),MATCH(CZ$5,スコア表2[#Headers],0))
*10+50,"-")</f>
        <v>51.864149859551624</v>
      </c>
      <c r="DA36" s="4">
        <f>IFERROR(
(INDEX(スコア表[],MATCH($C36,スコア表['#],0),MATCH(DA$5,スコア表[#Headers],0))
-
INDEX(スコア表2[],MATCH("average",スコア表2[maxmin],0),MATCH(DA$5,スコア表2[#Headers],0)))
/
INDEX(スコア表2[],MATCH("stdev.p",スコア表2[maxmin],0),MATCH(DA$5,スコア表2[#Headers],0))
*10+50,"-")</f>
        <v>43.909139671199981</v>
      </c>
      <c r="DB36" s="4">
        <f>IFERROR(
(INDEX(スコア表[],MATCH($C36,スコア表['#],0),MATCH(DB$5,スコア表[#Headers],0))
-
INDEX(スコア表2[],MATCH("average",スコア表2[maxmin],0),MATCH(DB$5,スコア表2[#Headers],0)))
/
INDEX(スコア表2[],MATCH("stdev.p",スコア表2[maxmin],0),MATCH(DB$5,スコア表2[#Headers],0))
*10+50,"-")</f>
        <v>36.288167736805775</v>
      </c>
      <c r="DC36" s="4">
        <f>IFERROR(
(INDEX(スコア表[],MATCH($C36,スコア表['#],0),MATCH(DC$5,スコア表[#Headers],0))
-
INDEX(スコア表2[],MATCH("average",スコア表2[maxmin],0),MATCH(DC$5,スコア表2[#Headers],0)))
/
INDEX(スコア表2[],MATCH("stdev.p",スコア表2[maxmin],0),MATCH(DC$5,スコア表2[#Headers],0))
*10+50,"-")</f>
        <v>57.013500570087018</v>
      </c>
      <c r="DD36" s="4">
        <f>IFERROR(
(INDEX(スコア表[],MATCH($C36,スコア表['#],0),MATCH(DD$5,スコア表[#Headers],0))
-
INDEX(スコア表2[],MATCH("average",スコア表2[maxmin],0),MATCH(DD$5,スコア表2[#Headers],0)))
/
INDEX(スコア表2[],MATCH("stdev.p",スコア表2[maxmin],0),MATCH(DD$5,スコア表2[#Headers],0))
*10+50,"-")</f>
        <v>65.041706915952005</v>
      </c>
      <c r="DE36" s="4">
        <f>IFERROR(
(INDEX(スコア表[],MATCH($C36,スコア表['#],0),MATCH(DE$5,スコア表[#Headers],0))
-
INDEX(スコア表2[],MATCH("average",スコア表2[maxmin],0),MATCH(DE$5,スコア表2[#Headers],0)))
/
INDEX(スコア表2[],MATCH("stdev.p",スコア表2[maxmin],0),MATCH(DE$5,スコア表2[#Headers],0))
*10+50,"-")</f>
        <v>47.95282925967674</v>
      </c>
      <c r="DF36" s="76">
        <f>IFERROR(
(INDEX(スコア表[],MATCH($C36,スコア表['#],0),MATCH(DF$5,スコア表[#Headers],0))
-
INDEX(スコア表2[],MATCH("average",スコア表2[maxmin],0),MATCH(DF$5,スコア表2[#Headers],0)))
/
INDEX(スコア表2[],MATCH("stdev.p",スコア表2[maxmin],0),MATCH(DF$5,スコア表2[#Headers],0))
*10+50,"-")</f>
        <v>47.881489020985661</v>
      </c>
      <c r="DG36" s="4">
        <f>IFERROR(_xlfn.STDEV.P(偏差値表[[#This Row],[Economy]:[Accessibility]]),"")</f>
        <v>9.1969852177947153</v>
      </c>
    </row>
    <row r="37" spans="1:111">
      <c r="A37" s="2">
        <v>32</v>
      </c>
      <c r="B37" s="58">
        <f>INDEX(順位表[Comprehensive],MATCH($C37,順位表['#],0))</f>
        <v>32</v>
      </c>
      <c r="C37" s="3">
        <v>31</v>
      </c>
      <c r="D37" s="1" t="str">
        <f>INDEX(都市マスタ[City Name],MATCH($C37,都市マスタ['#],0))</f>
        <v>Vancouver</v>
      </c>
      <c r="E37" s="4">
        <f>IFERROR(
(INDEX(スコア表[],MATCH($C37,スコア表['#],0),MATCH(E$5,スコア表[#Headers],0))
-
INDEX(スコア表2[],MATCH("average",スコア表2[maxmin],0),MATCH(E$5,スコア表2[#Headers],0)))
/
INDEX(スコア表2[],MATCH("stdev.p",スコア表2[maxmin],0),MATCH(E$5,スコア表2[#Headers],0))
*10+50,"-")</f>
        <v>41.752051755923155</v>
      </c>
      <c r="F37" s="4">
        <f>IFERROR(
(INDEX(スコア表[],MATCH($C37,スコア表['#],0),MATCH(F$5,スコア表[#Headers],0))
-
INDEX(スコア表2[],MATCH("average",スコア表2[maxmin],0),MATCH(F$5,スコア表2[#Headers],0)))
/
INDEX(スコア表2[],MATCH("stdev.p",スコア表2[maxmin],0),MATCH(F$5,スコア表2[#Headers],0))
*10+50,"-")</f>
        <v>45.12889634168544</v>
      </c>
      <c r="G37" s="4">
        <f>IFERROR(
(INDEX(スコア表[],MATCH($C37,スコア表['#],0),MATCH(G$5,スコア表[#Headers],0))
-
INDEX(スコア表2[],MATCH("average",スコア表2[maxmin],0),MATCH(G$5,スコア表2[#Headers],0)))
/
INDEX(スコア表2[],MATCH("stdev.p",スコア表2[maxmin],0),MATCH(G$5,スコア表2[#Headers],0))
*10+50,"-")</f>
        <v>48.334143463574691</v>
      </c>
      <c r="H37" s="4">
        <f>IFERROR(
(INDEX(スコア表[],MATCH($C37,スコア表['#],0),MATCH(H$5,スコア表[#Headers],0))
-
INDEX(スコア表2[],MATCH("average",スコア表2[maxmin],0),MATCH(H$5,スコア表2[#Headers],0)))
/
INDEX(スコア表2[],MATCH("stdev.p",スコア表2[maxmin],0),MATCH(H$5,スコア表2[#Headers],0))
*10+50,"-")</f>
        <v>41.331023488428023</v>
      </c>
      <c r="I37" s="4">
        <f>IFERROR(
(INDEX(スコア表[],MATCH($C37,スコア表['#],0),MATCH(I$5,スコア表[#Headers],0))
-
INDEX(スコア表2[],MATCH("average",スコア表2[maxmin],0),MATCH(I$5,スコア表2[#Headers],0)))
/
INDEX(スコア表2[],MATCH("stdev.p",スコア表2[maxmin],0),MATCH(I$5,スコア表2[#Headers],0))
*10+50,"-")</f>
        <v>46.812117380589171</v>
      </c>
      <c r="J37" s="4">
        <f>IFERROR(
(INDEX(スコア表[],MATCH($C37,スコア表['#],0),MATCH(J$5,スコア表[#Headers],0))
-
INDEX(スコア表2[],MATCH("average",スコア表2[maxmin],0),MATCH(J$5,スコア表2[#Headers],0)))
/
INDEX(スコア表2[],MATCH("stdev.p",スコア表2[maxmin],0),MATCH(J$5,スコア表2[#Headers],0))
*10+50,"-")</f>
        <v>61.475465134772968</v>
      </c>
      <c r="K37" s="4">
        <f>IFERROR(
(INDEX(スコア表[],MATCH($C37,スコア表['#],0),MATCH(K$5,スコア表[#Headers],0))
-
INDEX(スコア表2[],MATCH("average",スコア表2[maxmin],0),MATCH(K$5,スコア表2[#Headers],0)))
/
INDEX(スコア表2[],MATCH("stdev.p",スコア表2[maxmin],0),MATCH(K$5,スコア表2[#Headers],0))
*10+50,"-")</f>
        <v>56.029633186960346</v>
      </c>
      <c r="L37" s="4">
        <f>IFERROR(
(INDEX(スコア表[],MATCH($C37,スコア表['#],0),MATCH(L$5,スコア表[#Headers],0))
-
INDEX(スコア表2[],MATCH("average",スコア表2[maxmin],0),MATCH(L$5,スコア表2[#Headers],0)))
/
INDEX(スコア表2[],MATCH("stdev.p",スコア表2[maxmin],0),MATCH(L$5,スコア表2[#Headers],0))
*10+50,"-")</f>
        <v>46.831481232281661</v>
      </c>
      <c r="M37" s="4">
        <f>IFERROR(
(INDEX(スコア表[],MATCH($C37,スコア表['#],0),MATCH(M$5,スコア表[#Headers],0))
-
INDEX(スコア表2[],MATCH("average",スコア表2[maxmin],0),MATCH(M$5,スコア表2[#Headers],0)))
/
INDEX(スコア表2[],MATCH("stdev.p",スコア表2[maxmin],0),MATCH(M$5,スコア表2[#Headers],0))
*10+50,"-")</f>
        <v>45.544318921595732</v>
      </c>
      <c r="N37" s="4">
        <f>IFERROR(
(INDEX(スコア表[],MATCH($C37,スコア表['#],0),MATCH(N$5,スコア表[#Headers],0))
-
INDEX(スコア表2[],MATCH("average",スコア表2[maxmin],0),MATCH(N$5,スコア表2[#Headers],0)))
/
INDEX(スコア表2[],MATCH("stdev.p",スコア表2[maxmin],0),MATCH(N$5,スコア表2[#Headers],0))
*10+50,"-")</f>
        <v>41.347453219200894</v>
      </c>
      <c r="O37" s="4">
        <f>IFERROR(
(INDEX(スコア表[],MATCH($C37,スコア表['#],0),MATCH(O$5,スコア表[#Headers],0))
-
INDEX(スコア表2[],MATCH("average",スコア表2[maxmin],0),MATCH(O$5,スコア表2[#Headers],0)))
/
INDEX(スコア表2[],MATCH("stdev.p",スコア表2[maxmin],0),MATCH(O$5,スコア表2[#Headers],0))
*10+50,"-")</f>
        <v>58.240601063720511</v>
      </c>
      <c r="P37" s="4">
        <f>IFERROR(
(INDEX(スコア表[],MATCH($C37,スコア表['#],0),MATCH(P$5,スコア表[#Headers],0))
-
INDEX(スコア表2[],MATCH("average",スコア表2[maxmin],0),MATCH(P$5,スコア表2[#Headers],0)))
/
INDEX(スコア表2[],MATCH("stdev.p",スコア表2[maxmin],0),MATCH(P$5,スコア表2[#Headers],0))
*10+50,"-")</f>
        <v>53.147001177726949</v>
      </c>
      <c r="Q37" s="4">
        <f>IFERROR(
(INDEX(スコア表[],MATCH($C37,スコア表['#],0),MATCH(Q$5,スコア表[#Headers],0))
-
INDEX(スコア表2[],MATCH("average",スコア表2[maxmin],0),MATCH(Q$5,スコア表2[#Headers],0)))
/
INDEX(スコア表2[],MATCH("stdev.p",スコア表2[maxmin],0),MATCH(Q$5,スコア表2[#Headers],0))
*10+50,"-")</f>
        <v>64.084778870918569</v>
      </c>
      <c r="R37" s="4">
        <f>IFERROR(
(INDEX(スコア表[],MATCH($C37,スコア表['#],0),MATCH(R$5,スコア表[#Headers],0))
-
INDEX(スコア表2[],MATCH("average",スコア表2[maxmin],0),MATCH(R$5,スコア表2[#Headers],0)))
/
INDEX(スコア表2[],MATCH("stdev.p",スコア表2[maxmin],0),MATCH(R$5,スコア表2[#Headers],0))
*10+50,"-")</f>
        <v>51.524281841475172</v>
      </c>
      <c r="S37" s="4">
        <f>IFERROR(
(INDEX(スコア表[],MATCH($C37,スコア表['#],0),MATCH(S$5,スコア表[#Headers],0))
-
INDEX(スコア表2[],MATCH("average",スコア表2[maxmin],0),MATCH(S$5,スコア表2[#Headers],0)))
/
INDEX(スコア表2[],MATCH("stdev.p",スコア表2[maxmin],0),MATCH(S$5,スコア表2[#Headers],0))
*10+50,"-")</f>
        <v>46.49223252339241</v>
      </c>
      <c r="T37" s="4">
        <f>IFERROR(
(INDEX(スコア表[],MATCH($C37,スコア表['#],0),MATCH(T$5,スコア表[#Headers],0))
-
INDEX(スコア表2[],MATCH("average",スコア表2[maxmin],0),MATCH(T$5,スコア表2[#Headers],0)))
/
INDEX(スコア表2[],MATCH("stdev.p",スコア表2[maxmin],0),MATCH(T$5,スコア表2[#Headers],0))
*10+50,"-")</f>
        <v>54.175925834954086</v>
      </c>
      <c r="U37" s="4">
        <f>IFERROR(
(INDEX(スコア表[],MATCH($C37,スコア表['#],0),MATCH(U$5,スコア表[#Headers],0))
-
INDEX(スコア表2[],MATCH("average",スコア表2[maxmin],0),MATCH(U$5,スコア表2[#Headers],0)))
/
INDEX(スコア表2[],MATCH("stdev.p",スコア表2[maxmin],0),MATCH(U$5,スコア表2[#Headers],0))
*10+50,"-")</f>
        <v>41.746029536283004</v>
      </c>
      <c r="V37" s="4">
        <f>IFERROR(
(INDEX(スコア表[],MATCH($C37,スコア表['#],0),MATCH(V$5,スコア表[#Headers],0))
-
INDEX(スコア表2[],MATCH("average",スコア表2[maxmin],0),MATCH(V$5,スコア表2[#Headers],0)))
/
INDEX(スコア表2[],MATCH("stdev.p",スコア表2[maxmin],0),MATCH(V$5,スコア表2[#Headers],0))
*10+50,"-")</f>
        <v>48.124359149394436</v>
      </c>
      <c r="W37" s="4">
        <f>IFERROR(
(INDEX(スコア表[],MATCH($C37,スコア表['#],0),MATCH(W$5,スコア表[#Headers],0))
-
INDEX(スコア表2[],MATCH("average",スコア表2[maxmin],0),MATCH(W$5,スコア表2[#Headers],0)))
/
INDEX(スコア表2[],MATCH("stdev.p",スコア表2[maxmin],0),MATCH(W$5,スコア表2[#Headers],0))
*10+50,"-")</f>
        <v>43.90777558307439</v>
      </c>
      <c r="X37" s="4">
        <f>IFERROR(
(INDEX(スコア表[],MATCH($C37,スコア表['#],0),MATCH(X$5,スコア表[#Headers],0))
-
INDEX(スコア表2[],MATCH("average",スコア表2[maxmin],0),MATCH(X$5,スコア表2[#Headers],0)))
/
INDEX(スコア表2[],MATCH("stdev.p",スコア表2[maxmin],0),MATCH(X$5,スコア表2[#Headers],0))
*10+50,"-")</f>
        <v>52.586013530121015</v>
      </c>
      <c r="Y37" s="4">
        <f>IFERROR(
(INDEX(スコア表[],MATCH($C37,スコア表['#],0),MATCH(Y$5,スコア表[#Headers],0))
-
INDEX(スコア表2[],MATCH("average",スコア表2[maxmin],0),MATCH(Y$5,スコア表2[#Headers],0)))
/
INDEX(スコア表2[],MATCH("stdev.p",スコア表2[maxmin],0),MATCH(Y$5,スコア表2[#Headers],0))
*10+50,"-")</f>
        <v>56.637749709758225</v>
      </c>
      <c r="Z37" s="4">
        <f>IFERROR(
(INDEX(スコア表[],MATCH($C37,スコア表['#],0),MATCH(Z$5,スコア表[#Headers],0))
-
INDEX(スコア表2[],MATCH("average",スコア表2[maxmin],0),MATCH(Z$5,スコア表2[#Headers],0)))
/
INDEX(スコア表2[],MATCH("stdev.p",スコア表2[maxmin],0),MATCH(Z$5,スコア表2[#Headers],0))
*10+50,"-")</f>
        <v>44.682728648827528</v>
      </c>
      <c r="AA37" s="4">
        <f>IFERROR(
(INDEX(スコア表[],MATCH($C37,スコア表['#],0),MATCH(AA$5,スコア表[#Headers],0))
-
INDEX(スコア表2[],MATCH("average",スコア表2[maxmin],0),MATCH(AA$5,スコア表2[#Headers],0)))
/
INDEX(スコア表2[],MATCH("stdev.p",スコア表2[maxmin],0),MATCH(AA$5,スコア表2[#Headers],0))
*10+50,"-")</f>
        <v>44.664612103409482</v>
      </c>
      <c r="AB37" s="4">
        <f>IFERROR(
(INDEX(スコア表[],MATCH($C37,スコア表['#],0),MATCH(AB$5,スコア表[#Headers],0))
-
INDEX(スコア表2[],MATCH("average",スコア表2[maxmin],0),MATCH(AB$5,スコア表2[#Headers],0)))
/
INDEX(スコア表2[],MATCH("stdev.p",スコア表2[maxmin],0),MATCH(AB$5,スコア表2[#Headers],0))
*10+50,"-")</f>
        <v>47.798679256795637</v>
      </c>
      <c r="AC37" s="4">
        <f>IFERROR(
(INDEX(スコア表[],MATCH($C37,スコア表['#],0),MATCH(AC$5,スコア表[#Headers],0))
-
INDEX(スコア表2[],MATCH("average",スコア表2[maxmin],0),MATCH(AC$5,スコア表2[#Headers],0)))
/
INDEX(スコア表2[],MATCH("stdev.p",スコア表2[maxmin],0),MATCH(AC$5,スコア表2[#Headers],0))
*10+50,"-")</f>
        <v>45.279467415008256</v>
      </c>
      <c r="AD37" s="4">
        <f>IFERROR(
(INDEX(スコア表[],MATCH($C37,スコア表['#],0),MATCH(AD$5,スコア表[#Headers],0))
-
INDEX(スコア表2[],MATCH("average",スコア表2[maxmin],0),MATCH(AD$5,スコア表2[#Headers],0)))
/
INDEX(スコア表2[],MATCH("stdev.p",スコア表2[maxmin],0),MATCH(AD$5,スコア表2[#Headers],0))
*10+50,"-")</f>
        <v>63.726764386031761</v>
      </c>
      <c r="AE37" s="4">
        <f>IFERROR(
(INDEX(スコア表[],MATCH($C37,スコア表['#],0),MATCH(AE$5,スコア表[#Headers],0))
-
INDEX(スコア表2[],MATCH("average",スコア表2[maxmin],0),MATCH(AE$5,スコア表2[#Headers],0)))
/
INDEX(スコア表2[],MATCH("stdev.p",スコア表2[maxmin],0),MATCH(AE$5,スコア表2[#Headers],0))
*10+50,"-")</f>
        <v>45.70088268360491</v>
      </c>
      <c r="AF37" s="4">
        <f>IFERROR(
(INDEX(スコア表[],MATCH($C37,スコア表['#],0),MATCH(AF$5,スコア表[#Headers],0))
-
INDEX(スコア表2[],MATCH("average",スコア表2[maxmin],0),MATCH(AF$5,スコア表2[#Headers],0)))
/
INDEX(スコア表2[],MATCH("stdev.p",スコア表2[maxmin],0),MATCH(AF$5,スコア表2[#Headers],0))
*10+50,"-")</f>
        <v>46.006329694410653</v>
      </c>
      <c r="AG37" s="4">
        <f>IFERROR(
(INDEX(スコア表[],MATCH($C37,スコア表['#],0),MATCH(AG$5,スコア表[#Headers],0))
-
INDEX(スコア表2[],MATCH("average",スコア表2[maxmin],0),MATCH(AG$5,スコア表2[#Headers],0)))
/
INDEX(スコア表2[],MATCH("stdev.p",スコア表2[maxmin],0),MATCH(AG$5,スコア表2[#Headers],0))
*10+50,"-")</f>
        <v>49.586206185962951</v>
      </c>
      <c r="AH37" s="4">
        <f>IFERROR(
(INDEX(スコア表[],MATCH($C37,スコア表['#],0),MATCH(AH$5,スコア表[#Headers],0))
-
INDEX(スコア表2[],MATCH("average",スコア表2[maxmin],0),MATCH(AH$5,スコア表2[#Headers],0)))
/
INDEX(スコア表2[],MATCH("stdev.p",スコア表2[maxmin],0),MATCH(AH$5,スコア表2[#Headers],0))
*10+50,"-")</f>
        <v>40.910160095405388</v>
      </c>
      <c r="AI37" s="4">
        <f>IFERROR(
(INDEX(スコア表[],MATCH($C37,スコア表['#],0),MATCH(AI$5,スコア表[#Headers],0))
-
INDEX(スコア表2[],MATCH("average",スコア表2[maxmin],0),MATCH(AI$5,スコア表2[#Headers],0)))
/
INDEX(スコア表2[],MATCH("stdev.p",スコア表2[maxmin],0),MATCH(AI$5,スコア表2[#Headers],0))
*10+50,"-")</f>
        <v>37.675409119022078</v>
      </c>
      <c r="AJ37" s="4">
        <f>IFERROR(
(INDEX(スコア表[],MATCH($C37,スコア表['#],0),MATCH(AJ$5,スコア表[#Headers],0))
-
INDEX(スコア表2[],MATCH("average",スコア表2[maxmin],0),MATCH(AJ$5,スコア表2[#Headers],0)))
/
INDEX(スコア表2[],MATCH("stdev.p",スコア表2[maxmin],0),MATCH(AJ$5,スコア表2[#Headers],0))
*10+50,"-")</f>
        <v>45.072333304273066</v>
      </c>
      <c r="AK37" s="4">
        <f>IFERROR(
(INDEX(スコア表[],MATCH($C37,スコア表['#],0),MATCH(AK$5,スコア表[#Headers],0))
-
INDEX(スコア表2[],MATCH("average",スコア表2[maxmin],0),MATCH(AK$5,スコア表2[#Headers],0)))
/
INDEX(スコア表2[],MATCH("stdev.p",スコア表2[maxmin],0),MATCH(AK$5,スコア表2[#Headers],0))
*10+50,"-")</f>
        <v>43.709211626455605</v>
      </c>
      <c r="AL37" s="4">
        <f>IFERROR(
(INDEX(スコア表[],MATCH($C37,スコア表['#],0),MATCH(AL$5,スコア表[#Headers],0))
-
INDEX(スコア表2[],MATCH("average",スコア表2[maxmin],0),MATCH(AL$5,スコア表2[#Headers],0)))
/
INDEX(スコア表2[],MATCH("stdev.p",スコア表2[maxmin],0),MATCH(AL$5,スコア表2[#Headers],0))
*10+50,"-")</f>
        <v>41.858810131760215</v>
      </c>
      <c r="AM37" s="4">
        <f>IFERROR(
(INDEX(スコア表[],MATCH($C37,スコア表['#],0),MATCH(AM$5,スコア表[#Headers],0))
-
INDEX(スコア表2[],MATCH("average",スコア表2[maxmin],0),MATCH(AM$5,スコア表2[#Headers],0)))
/
INDEX(スコア表2[],MATCH("stdev.p",スコア表2[maxmin],0),MATCH(AM$5,スコア表2[#Headers],0))
*10+50,"-")</f>
        <v>40.582818114737663</v>
      </c>
      <c r="AN37" s="4">
        <f>IFERROR(
(INDEX(スコア表[],MATCH($C37,スコア表['#],0),MATCH(AN$5,スコア表[#Headers],0))
-
INDEX(スコア表2[],MATCH("average",スコア表2[maxmin],0),MATCH(AN$5,スコア表2[#Headers],0)))
/
INDEX(スコア表2[],MATCH("stdev.p",スコア表2[maxmin],0),MATCH(AN$5,スコア表2[#Headers],0))
*10+50,"-")</f>
        <v>42.358596160608556</v>
      </c>
      <c r="AO37" s="4">
        <f>IFERROR(
(INDEX(スコア表[],MATCH($C37,スコア表['#],0),MATCH(AO$5,スコア表[#Headers],0))
-
INDEX(スコア表2[],MATCH("average",スコア表2[maxmin],0),MATCH(AO$5,スコア表2[#Headers],0)))
/
INDEX(スコア表2[],MATCH("stdev.p",スコア表2[maxmin],0),MATCH(AO$5,スコア表2[#Headers],0))
*10+50,"-")</f>
        <v>41.754077594126024</v>
      </c>
      <c r="AP37" s="4">
        <f>IFERROR(
(INDEX(スコア表[],MATCH($C37,スコア表['#],0),MATCH(AP$5,スコア表[#Headers],0))
-
INDEX(スコア表2[],MATCH("average",スコア表2[maxmin],0),MATCH(AP$5,スコア表2[#Headers],0)))
/
INDEX(スコア表2[],MATCH("stdev.p",スコア表2[maxmin],0),MATCH(AP$5,スコア表2[#Headers],0))
*10+50,"-")</f>
        <v>47.154446023122659</v>
      </c>
      <c r="AQ37" s="4">
        <f>IFERROR(
(INDEX(スコア表[],MATCH($C37,スコア表['#],0),MATCH(AQ$5,スコア表[#Headers],0))
-
INDEX(スコア表2[],MATCH("average",スコア表2[maxmin],0),MATCH(AQ$5,スコア表2[#Headers],0)))
/
INDEX(スコア表2[],MATCH("stdev.p",スコア表2[maxmin],0),MATCH(AQ$5,スコア表2[#Headers],0))
*10+50,"-")</f>
        <v>44.144533998795467</v>
      </c>
      <c r="AR37" s="4">
        <f>IFERROR(
(INDEX(スコア表[],MATCH($C37,スコア表['#],0),MATCH(AR$5,スコア表[#Headers],0))
-
INDEX(スコア表2[],MATCH("average",スコア表2[maxmin],0),MATCH(AR$5,スコア表2[#Headers],0)))
/
INDEX(スコア表2[],MATCH("stdev.p",スコア表2[maxmin],0),MATCH(AR$5,スコア表2[#Headers],0))
*10+50,"-")</f>
        <v>49.176753733129374</v>
      </c>
      <c r="AS37" s="4">
        <f>IFERROR(
(INDEX(スコア表[],MATCH($C37,スコア表['#],0),MATCH(AS$5,スコア表[#Headers],0))
-
INDEX(スコア表2[],MATCH("average",スコア表2[maxmin],0),MATCH(AS$5,スコア表2[#Headers],0)))
/
INDEX(スコア表2[],MATCH("stdev.p",スコア表2[maxmin],0),MATCH(AS$5,スコア表2[#Headers],0))
*10+50,"-")</f>
        <v>52.229045962459566</v>
      </c>
      <c r="AT37" s="4">
        <f>IFERROR(
(INDEX(スコア表[],MATCH($C37,スコア表['#],0),MATCH(AT$5,スコア表[#Headers],0))
-
INDEX(スコア表2[],MATCH("average",スコア表2[maxmin],0),MATCH(AT$5,スコア表2[#Headers],0)))
/
INDEX(スコア表2[],MATCH("stdev.p",スコア表2[maxmin],0),MATCH(AT$5,スコア表2[#Headers],0))
*10+50,"-")</f>
        <v>34.84955927777888</v>
      </c>
      <c r="AU37" s="4">
        <f>IFERROR(
(INDEX(スコア表[],MATCH($C37,スコア表['#],0),MATCH(AU$5,スコア表[#Headers],0))
-
INDEX(スコア表2[],MATCH("average",スコア表2[maxmin],0),MATCH(AU$5,スコア表2[#Headers],0)))
/
INDEX(スコア表2[],MATCH("stdev.p",スコア表2[maxmin],0),MATCH(AU$5,スコア表2[#Headers],0))
*10+50,"-")</f>
        <v>56.668414653135265</v>
      </c>
      <c r="AV37" s="4">
        <f>IFERROR(
(INDEX(スコア表[],MATCH($C37,スコア表['#],0),MATCH(AV$5,スコア表[#Headers],0))
-
INDEX(スコア表2[],MATCH("average",スコア表2[maxmin],0),MATCH(AV$5,スコア表2[#Headers],0)))
/
INDEX(スコア表2[],MATCH("stdev.p",スコア表2[maxmin],0),MATCH(AV$5,スコア表2[#Headers],0))
*10+50,"-")</f>
        <v>44.081694202421481</v>
      </c>
      <c r="AW37" s="4">
        <f>IFERROR(
(INDEX(スコア表[],MATCH($C37,スコア表['#],0),MATCH(AW$5,スコア表[#Headers],0))
-
INDEX(スコア表2[],MATCH("average",スコア表2[maxmin],0),MATCH(AW$5,スコア表2[#Headers],0)))
/
INDEX(スコア表2[],MATCH("stdev.p",スコア表2[maxmin],0),MATCH(AW$5,スコア表2[#Headers],0))
*10+50,"-")</f>
        <v>46.784448133955046</v>
      </c>
      <c r="AX37" s="4">
        <f>IFERROR(
(INDEX(スコア表[],MATCH($C37,スコア表['#],0),MATCH(AX$5,スコア表[#Headers],0))
-
INDEX(スコア表2[],MATCH("average",スコア表2[maxmin],0),MATCH(AX$5,スコア表2[#Headers],0)))
/
INDEX(スコア表2[],MATCH("stdev.p",スコア表2[maxmin],0),MATCH(AX$5,スコア表2[#Headers],0))
*10+50,"-")</f>
        <v>52.999110026576211</v>
      </c>
      <c r="AY37" s="4">
        <f>IFERROR(
(INDEX(スコア表[],MATCH($C37,スコア表['#],0),MATCH(AY$5,スコア表[#Headers],0))
-
INDEX(スコア表2[],MATCH("average",スコア表2[maxmin],0),MATCH(AY$5,スコア表2[#Headers],0)))
/
INDEX(スコア表2[],MATCH("stdev.p",スコア表2[maxmin],0),MATCH(AY$5,スコア表2[#Headers],0))
*10+50,"-")</f>
        <v>53.060477302833874</v>
      </c>
      <c r="AZ37" s="4">
        <f>IFERROR(
(INDEX(スコア表[],MATCH($C37,スコア表['#],0),MATCH(AZ$5,スコア表[#Headers],0))
-
INDEX(スコア表2[],MATCH("average",スコア表2[maxmin],0),MATCH(AZ$5,スコア表2[#Headers],0)))
/
INDEX(スコア表2[],MATCH("stdev.p",スコア表2[maxmin],0),MATCH(AZ$5,スコア表2[#Headers],0))
*10+50,"-")</f>
        <v>55.639191852945828</v>
      </c>
      <c r="BA37" s="4">
        <f>IFERROR(
(INDEX(スコア表[],MATCH($C37,スコア表['#],0),MATCH(BA$5,スコア表[#Headers],0))
-
INDEX(スコア表2[],MATCH("average",スコア表2[maxmin],0),MATCH(BA$5,スコア表2[#Headers],0)))
/
INDEX(スコア表2[],MATCH("stdev.p",スコア表2[maxmin],0),MATCH(BA$5,スコア表2[#Headers],0))
*10+50,"-")</f>
        <v>58.490601467199099</v>
      </c>
      <c r="BB37" s="4">
        <f>IFERROR(
(INDEX(スコア表[],MATCH($C37,スコア表['#],0),MATCH(BB$5,スコア表[#Headers],0))
-
INDEX(スコア表2[],MATCH("average",スコア表2[maxmin],0),MATCH(BB$5,スコア表2[#Headers],0)))
/
INDEX(スコア表2[],MATCH("stdev.p",スコア表2[maxmin],0),MATCH(BB$5,スコア表2[#Headers],0))
*10+50,"-")</f>
        <v>53.375392910101262</v>
      </c>
      <c r="BC37" s="4">
        <f>IFERROR(
(INDEX(スコア表[],MATCH($C37,スコア表['#],0),MATCH(BC$5,スコア表[#Headers],0))
-
INDEX(スコア表2[],MATCH("average",スコア表2[maxmin],0),MATCH(BC$5,スコア表2[#Headers],0)))
/
INDEX(スコア表2[],MATCH("stdev.p",スコア表2[maxmin],0),MATCH(BC$5,スコア表2[#Headers],0))
*10+50,"-")</f>
        <v>44.128028711825529</v>
      </c>
      <c r="BD37" s="4">
        <f>IFERROR(
(INDEX(スコア表[],MATCH($C37,スコア表['#],0),MATCH(BD$5,スコア表[#Headers],0))
-
INDEX(スコア表2[],MATCH("average",スコア表2[maxmin],0),MATCH(BD$5,スコア表2[#Headers],0)))
/
INDEX(スコア表2[],MATCH("stdev.p",スコア表2[maxmin],0),MATCH(BD$5,スコア表2[#Headers],0))
*10+50,"-")</f>
        <v>56.496315231089895</v>
      </c>
      <c r="BE37" s="4">
        <f>IFERROR(
(INDEX(スコア表[],MATCH($C37,スコア表['#],0),MATCH(BE$5,スコア表[#Headers],0))
-
INDEX(スコア表2[],MATCH("average",スコア表2[maxmin],0),MATCH(BE$5,スコア表2[#Headers],0)))
/
INDEX(スコア表2[],MATCH("stdev.p",スコア表2[maxmin],0),MATCH(BE$5,スコア表2[#Headers],0))
*10+50,"-")</f>
        <v>42.749449977891572</v>
      </c>
      <c r="BF37" s="4">
        <f>IFERROR(
(INDEX(スコア表[],MATCH($C37,スコア表['#],0),MATCH(BF$5,スコア表[#Headers],0))
-
INDEX(スコア表2[],MATCH("average",スコア表2[maxmin],0),MATCH(BF$5,スコア表2[#Headers],0)))
/
INDEX(スコア表2[],MATCH("stdev.p",スコア表2[maxmin],0),MATCH(BF$5,スコア表2[#Headers],0))
*10+50,"-")</f>
        <v>47.00903959733094</v>
      </c>
      <c r="BG37" s="4">
        <f>IFERROR(
(INDEX(スコア表[],MATCH($C37,スコア表['#],0),MATCH(BG$5,スコア表[#Headers],0))
-
INDEX(スコア表2[],MATCH("average",スコア表2[maxmin],0),MATCH(BG$5,スコア表2[#Headers],0)))
/
INDEX(スコア表2[],MATCH("stdev.p",スコア表2[maxmin],0),MATCH(BG$5,スコア表2[#Headers],0))
*10+50,"-")</f>
        <v>65.376694186221229</v>
      </c>
      <c r="BH37" s="4">
        <f>IFERROR(
(INDEX(スコア表[],MATCH($C37,スコア表['#],0),MATCH(BH$5,スコア表[#Headers],0))
-
INDEX(スコア表2[],MATCH("average",スコア表2[maxmin],0),MATCH(BH$5,スコア表2[#Headers],0)))
/
INDEX(スコア表2[],MATCH("stdev.p",スコア表2[maxmin],0),MATCH(BH$5,スコア表2[#Headers],0))
*10+50,"-")</f>
        <v>52.151026836095888</v>
      </c>
      <c r="BI37" s="4">
        <f>IFERROR(
(INDEX(スコア表[],MATCH($C37,スコア表['#],0),MATCH(BI$5,スコア表[#Headers],0))
-
INDEX(スコア表2[],MATCH("average",スコア表2[maxmin],0),MATCH(BI$5,スコア表2[#Headers],0)))
/
INDEX(スコア表2[],MATCH("stdev.p",スコア表2[maxmin],0),MATCH(BI$5,スコア表2[#Headers],0))
*10+50,"-")</f>
        <v>44.972529945157262</v>
      </c>
      <c r="BJ37" s="4">
        <f>IFERROR(
(INDEX(スコア表[],MATCH($C37,スコア表['#],0),MATCH(BJ$5,スコア表[#Headers],0))
-
INDEX(スコア表2[],MATCH("average",スコア表2[maxmin],0),MATCH(BJ$5,スコア表2[#Headers],0)))
/
INDEX(スコア表2[],MATCH("stdev.p",スコア表2[maxmin],0),MATCH(BJ$5,スコア表2[#Headers],0))
*10+50,"-")</f>
        <v>47.305857807445015</v>
      </c>
      <c r="BK37" s="4">
        <f>IFERROR(
(INDEX(スコア表[],MATCH($C37,スコア表['#],0),MATCH(BK$5,スコア表[#Headers],0))
-
INDEX(スコア表2[],MATCH("average",スコア表2[maxmin],0),MATCH(BK$5,スコア表2[#Headers],0)))
/
INDEX(スコア表2[],MATCH("stdev.p",スコア表2[maxmin],0),MATCH(BK$5,スコア表2[#Headers],0))
*10+50,"-")</f>
        <v>57.343076212861405</v>
      </c>
      <c r="BL37" s="4">
        <f>IFERROR(
(INDEX(スコア表[],MATCH($C37,スコア表['#],0),MATCH(BL$5,スコア表[#Headers],0))
-
INDEX(スコア表2[],MATCH("average",スコア表2[maxmin],0),MATCH(BL$5,スコア表2[#Headers],0)))
/
INDEX(スコア表2[],MATCH("stdev.p",スコア表2[maxmin],0),MATCH(BL$5,スコア表2[#Headers],0))
*10+50,"-")</f>
        <v>50.486665585186699</v>
      </c>
      <c r="BM37" s="4">
        <f>IFERROR(
(INDEX(スコア表[],MATCH($C37,スコア表['#],0),MATCH(BM$5,スコア表[#Headers],0))
-
INDEX(スコア表2[],MATCH("average",スコア表2[maxmin],0),MATCH(BM$5,スコア表2[#Headers],0)))
/
INDEX(スコア表2[],MATCH("stdev.p",スコア表2[maxmin],0),MATCH(BM$5,スコア表2[#Headers],0))
*10+50,"-")</f>
        <v>55.642358713442043</v>
      </c>
      <c r="BN37" s="4">
        <f>IFERROR(
(INDEX(スコア表[],MATCH($C37,スコア表['#],0),MATCH(BN$5,スコア表[#Headers],0))
-
INDEX(スコア表2[],MATCH("average",スコア表2[maxmin],0),MATCH(BN$5,スコア表2[#Headers],0)))
/
INDEX(スコア表2[],MATCH("stdev.p",スコア表2[maxmin],0),MATCH(BN$5,スコア表2[#Headers],0))
*10+50,"-")</f>
        <v>59.611623477735954</v>
      </c>
      <c r="BO37" s="4">
        <f>IFERROR(
(INDEX(スコア表[],MATCH($C37,スコア表['#],0),MATCH(BO$5,スコア表[#Headers],0))
-
INDEX(スコア表2[],MATCH("average",スコア表2[maxmin],0),MATCH(BO$5,スコア表2[#Headers],0)))
/
INDEX(スコア表2[],MATCH("stdev.p",スコア表2[maxmin],0),MATCH(BO$5,スコア表2[#Headers],0))
*10+50,"-")</f>
        <v>55.262438536296308</v>
      </c>
      <c r="BP37" s="4">
        <f>IFERROR(
(INDEX(スコア表[],MATCH($C37,スコア表['#],0),MATCH(BP$5,スコア表[#Headers],0))
-
INDEX(スコア表2[],MATCH("average",スコア表2[maxmin],0),MATCH(BP$5,スコア表2[#Headers],0)))
/
INDEX(スコア表2[],MATCH("stdev.p",スコア表2[maxmin],0),MATCH(BP$5,スコア表2[#Headers],0))
*10+50,"-")</f>
        <v>42.302232076419294</v>
      </c>
      <c r="BQ37" s="4">
        <f>IFERROR(
(INDEX(スコア表[],MATCH($C37,スコア表['#],0),MATCH(BQ$5,スコア表[#Headers],0))
-
INDEX(スコア表2[],MATCH("average",スコア表2[maxmin],0),MATCH(BQ$5,スコア表2[#Headers],0)))
/
INDEX(スコア表2[],MATCH("stdev.p",スコア表2[maxmin],0),MATCH(BQ$5,スコア表2[#Headers],0))
*10+50,"-")</f>
        <v>44.678865438256985</v>
      </c>
      <c r="BR37" s="4">
        <f>IFERROR(
(INDEX(スコア表[],MATCH($C37,スコア表['#],0),MATCH(BR$5,スコア表[#Headers],0))
-
INDEX(スコア表2[],MATCH("average",スコア表2[maxmin],0),MATCH(BR$5,スコア表2[#Headers],0)))
/
INDEX(スコア表2[],MATCH("stdev.p",スコア表2[maxmin],0),MATCH(BR$5,スコア表2[#Headers],0))
*10+50,"-")</f>
        <v>42.82487066024234</v>
      </c>
      <c r="BS37" s="4">
        <f>IFERROR(
(INDEX(スコア表[],MATCH($C37,スコア表['#],0),MATCH(BS$5,スコア表[#Headers],0))
-
INDEX(スコア表2[],MATCH("average",スコア表2[maxmin],0),MATCH(BS$5,スコア表2[#Headers],0)))
/
INDEX(スコア表2[],MATCH("stdev.p",スコア表2[maxmin],0),MATCH(BS$5,スコア表2[#Headers],0))
*10+50,"-")</f>
        <v>45.008606251345881</v>
      </c>
      <c r="BT37" s="4">
        <f>IFERROR(
(INDEX(スコア表[],MATCH($C37,スコア表['#],0),MATCH(BT$5,スコア表[#Headers],0))
-
INDEX(スコア表2[],MATCH("average",スコア表2[maxmin],0),MATCH(BT$5,スコア表2[#Headers],0)))
/
INDEX(スコア表2[],MATCH("stdev.p",スコア表2[maxmin],0),MATCH(BT$5,スコア表2[#Headers],0))
*10+50,"-")</f>
        <v>39.839036533010926</v>
      </c>
      <c r="BU37" s="4">
        <f>IFERROR(
(INDEX(スコア表[],MATCH($C37,スコア表['#],0),MATCH(BU$5,スコア表[#Headers],0))
-
INDEX(スコア表2[],MATCH("average",スコア表2[maxmin],0),MATCH(BU$5,スコア表2[#Headers],0)))
/
INDEX(スコア表2[],MATCH("stdev.p",スコア表2[maxmin],0),MATCH(BU$5,スコア表2[#Headers],0))
*10+50,"-")</f>
        <v>42.959291485051779</v>
      </c>
      <c r="BV37" s="4">
        <f>IFERROR(
(INDEX(スコア表[],MATCH($C37,スコア表['#],0),MATCH(BV$5,スコア表[#Headers],0))
-
INDEX(スコア表2[],MATCH("average",スコア表2[maxmin],0),MATCH(BV$5,スコア表2[#Headers],0)))
/
INDEX(スコア表2[],MATCH("stdev.p",スコア表2[maxmin],0),MATCH(BV$5,スコア表2[#Headers],0))
*10+50,"-")</f>
        <v>54.520945470852361</v>
      </c>
      <c r="BW37" s="4">
        <f>IFERROR(
(INDEX(スコア表[],MATCH($C37,スコア表['#],0),MATCH(BW$5,スコア表[#Headers],0))
-
INDEX(スコア表2[],MATCH("average",スコア表2[maxmin],0),MATCH(BW$5,スコア表2[#Headers],0)))
/
INDEX(スコア表2[],MATCH("stdev.p",スコア表2[maxmin],0),MATCH(BW$5,スコア表2[#Headers],0))
*10+50,"-")</f>
        <v>57.727630950791664</v>
      </c>
      <c r="BX37" s="4">
        <f>IFERROR(
(INDEX(スコア表[],MATCH($C37,スコア表['#],0),MATCH(BX$5,スコア表[#Headers],0))
-
INDEX(スコア表2[],MATCH("average",スコア表2[maxmin],0),MATCH(BX$5,スコア表2[#Headers],0)))
/
INDEX(スコア表2[],MATCH("stdev.p",スコア表2[maxmin],0),MATCH(BX$5,スコア表2[#Headers],0))
*10+50,"-")</f>
        <v>45.208388115627258</v>
      </c>
      <c r="BY37" s="4">
        <f>IFERROR(
(INDEX(スコア表[],MATCH($C37,スコア表['#],0),MATCH(BY$5,スコア表[#Headers],0))
-
INDEX(スコア表2[],MATCH("average",スコア表2[maxmin],0),MATCH(BY$5,スコア表2[#Headers],0)))
/
INDEX(スコア表2[],MATCH("stdev.p",スコア表2[maxmin],0),MATCH(BY$5,スコア表2[#Headers],0))
*10+50,"-")</f>
        <v>51.495085445264202</v>
      </c>
      <c r="BZ37" s="4">
        <f>IFERROR(
(INDEX(スコア表[],MATCH($C37,スコア表['#],0),MATCH(BZ$5,スコア表[#Headers],0))
-
INDEX(スコア表2[],MATCH("average",スコア表2[maxmin],0),MATCH(BZ$5,スコア表2[#Headers],0)))
/
INDEX(スコア表2[],MATCH("stdev.p",スコア表2[maxmin],0),MATCH(BZ$5,スコア表2[#Headers],0))
*10+50,"-")</f>
        <v>41.538722397836978</v>
      </c>
      <c r="CA37" s="4">
        <f>IFERROR(
(INDEX(スコア表[],MATCH($C37,スコア表['#],0),MATCH(CA$5,スコア表[#Headers],0))
-
INDEX(スコア表2[],MATCH("average",スコア表2[maxmin],0),MATCH(CA$5,スコア表2[#Headers],0)))
/
INDEX(スコア表2[],MATCH("stdev.p",スコア表2[maxmin],0),MATCH(CA$5,スコア表2[#Headers],0))
*10+50,"-")</f>
        <v>61.242746176177505</v>
      </c>
      <c r="CB37" s="4">
        <f>IFERROR(
(INDEX(スコア表[],MATCH($C37,スコア表['#],0),MATCH(CB$5,スコア表[#Headers],0))
-
INDEX(スコア表2[],MATCH("average",スコア表2[maxmin],0),MATCH(CB$5,スコア表2[#Headers],0)))
/
INDEX(スコア表2[],MATCH("stdev.p",スコア表2[maxmin],0),MATCH(CB$5,スコア表2[#Headers],0))
*10+50,"-")</f>
        <v>45.037330597417544</v>
      </c>
      <c r="CC37" s="4">
        <f>IFERROR(
(INDEX(スコア表[],MATCH($C37,スコア表['#],0),MATCH(CC$5,スコア表[#Headers],0))
-
INDEX(スコア表2[],MATCH("average",スコア表2[maxmin],0),MATCH(CC$5,スコア表2[#Headers],0)))
/
INDEX(スコア表2[],MATCH("stdev.p",スコア表2[maxmin],0),MATCH(CC$5,スコア表2[#Headers],0))
*10+50,"-")</f>
        <v>49.836382731934563</v>
      </c>
      <c r="CD37" s="4">
        <f>IFERROR(
(INDEX(スコア表[],MATCH($C37,スコア表['#],0),MATCH(CD$5,スコア表[#Headers],0))
-
INDEX(スコア表2[],MATCH("average",スコア表2[maxmin],0),MATCH(CD$5,スコア表2[#Headers],0)))
/
INDEX(スコア表2[],MATCH("stdev.p",スコア表2[maxmin],0),MATCH(CD$5,スコア表2[#Headers],0))
*10+50,"-")</f>
        <v>57.840475053362461</v>
      </c>
      <c r="CE37" s="4">
        <f>IFERROR(
(INDEX(スコア表[],MATCH($C37,スコア表['#],0),MATCH(CE$5,スコア表[#Headers],0))
-
INDEX(スコア表2[],MATCH("average",スコア表2[maxmin],0),MATCH(CE$5,スコア表2[#Headers],0)))
/
INDEX(スコア表2[],MATCH("stdev.p",スコア表2[maxmin],0),MATCH(CE$5,スコア表2[#Headers],0))
*10+50,"-")</f>
        <v>50.544614511749707</v>
      </c>
      <c r="CF37" s="4">
        <f>IFERROR(
(INDEX(スコア表[],MATCH($C37,スコア表['#],0),MATCH(CF$5,スコア表[#Headers],0))
-
INDEX(スコア表2[],MATCH("average",スコア表2[maxmin],0),MATCH(CF$5,スコア表2[#Headers],0)))
/
INDEX(スコア表2[],MATCH("stdev.p",スコア表2[maxmin],0),MATCH(CF$5,スコア表2[#Headers],0))
*10+50,"-")</f>
        <v>44.307575570719514</v>
      </c>
      <c r="CG37" s="4">
        <f>IFERROR(
(INDEX(スコア表[],MATCH($C37,スコア表['#],0),MATCH(CG$5,スコア表[#Headers],0))
-
INDEX(スコア表2[],MATCH("average",スコア表2[maxmin],0),MATCH(CG$5,スコア表2[#Headers],0)))
/
INDEX(スコア表2[],MATCH("stdev.p",スコア表2[maxmin],0),MATCH(CG$5,スコア表2[#Headers],0))
*10+50,"-")</f>
        <v>51.716666458393803</v>
      </c>
      <c r="CH37" s="4">
        <f>IFERROR(
(INDEX(スコア表[],MATCH($C37,スコア表['#],0),MATCH(CH$5,スコア表[#Headers],0))
-
INDEX(スコア表2[],MATCH("average",スコア表2[maxmin],0),MATCH(CH$5,スコア表2[#Headers],0)))
/
INDEX(スコア表2[],MATCH("stdev.p",スコア表2[maxmin],0),MATCH(CH$5,スコア表2[#Headers],0))
*10+50,"-")</f>
        <v>44.2257055227698</v>
      </c>
      <c r="CI37" s="4">
        <f>IFERROR(
(INDEX(スコア表[],MATCH($C37,スコア表['#],0),MATCH(CI$5,スコア表[#Headers],0))
-
INDEX(スコア表2[],MATCH("average",スコア表2[maxmin],0),MATCH(CI$5,スコア表2[#Headers],0)))
/
INDEX(スコア表2[],MATCH("stdev.p",スコア表2[maxmin],0),MATCH(CI$5,スコア表2[#Headers],0))
*10+50,"-")</f>
        <v>50.015691800418232</v>
      </c>
      <c r="CJ37" s="4">
        <f>IFERROR(
(INDEX(スコア表[],MATCH($C37,スコア表['#],0),MATCH(CJ$5,スコア表[#Headers],0))
-
INDEX(スコア表2[],MATCH("average",スコア表2[maxmin],0),MATCH(CJ$5,スコア表2[#Headers],0)))
/
INDEX(スコア表2[],MATCH("stdev.p",スコア表2[maxmin],0),MATCH(CJ$5,スコア表2[#Headers],0))
*10+50,"-")</f>
        <v>39.278884776318932</v>
      </c>
      <c r="CK37" s="4">
        <f>IFERROR(
(INDEX(スコア表[],MATCH($C37,スコア表['#],0),MATCH(CK$5,スコア表[#Headers],0))
-
INDEX(スコア表2[],MATCH("average",スコア表2[maxmin],0),MATCH(CK$5,スコア表2[#Headers],0)))
/
INDEX(スコア表2[],MATCH("stdev.p",スコア表2[maxmin],0),MATCH(CK$5,スコア表2[#Headers],0))
*10+50,"-")</f>
        <v>42.323571868519544</v>
      </c>
      <c r="CL37" s="4">
        <f>IFERROR(
(INDEX(スコア表[],MATCH($C37,スコア表['#],0),MATCH(CL$5,スコア表[#Headers],0))
-
INDEX(スコア表2[],MATCH("average",スコア表2[maxmin],0),MATCH(CL$5,スコア表2[#Headers],0)))
/
INDEX(スコア表2[],MATCH("stdev.p",スコア表2[maxmin],0),MATCH(CL$5,スコア表2[#Headers],0))
*10+50,"-")</f>
        <v>41.180774336409833</v>
      </c>
      <c r="CM37" s="4">
        <f>IFERROR(
(INDEX(スコア表[],MATCH($C37,スコア表['#],0),MATCH(CM$5,スコア表[#Headers],0))
-
INDEX(スコア表2[],MATCH("average",スコア表2[maxmin],0),MATCH(CM$5,スコア表2[#Headers],0)))
/
INDEX(スコア表2[],MATCH("stdev.p",スコア表2[maxmin],0),MATCH(CM$5,スコア表2[#Headers],0))
*10+50,"-")</f>
        <v>46.442604776737284</v>
      </c>
      <c r="CN37" s="4">
        <f>IFERROR(
(INDEX(スコア表[],MATCH($C37,スコア表['#],0),MATCH(CN$5,スコア表[#Headers],0))
-
INDEX(スコア表2[],MATCH("average",スコア表2[maxmin],0),MATCH(CN$5,スコア表2[#Headers],0)))
/
INDEX(スコア表2[],MATCH("stdev.p",スコア表2[maxmin],0),MATCH(CN$5,スコア表2[#Headers],0))
*10+50,"-")</f>
        <v>46.800691643600743</v>
      </c>
      <c r="CO37" s="4">
        <f>IFERROR(
(INDEX(スコア表[],MATCH($C37,スコア表['#],0),MATCH(CO$5,スコア表[#Headers],0))
-
INDEX(スコア表2[],MATCH("average",スコア表2[maxmin],0),MATCH(CO$5,スコア表2[#Headers],0)))
/
INDEX(スコア表2[],MATCH("stdev.p",スコア表2[maxmin],0),MATCH(CO$5,スコア表2[#Headers],0))
*10+50,"-")</f>
        <v>44.877343710308949</v>
      </c>
      <c r="CP37" s="4">
        <f>IFERROR(
(INDEX(スコア表[],MATCH($C37,スコア表['#],0),MATCH(CP$5,スコア表[#Headers],0))
-
INDEX(スコア表2[],MATCH("average",スコア表2[maxmin],0),MATCH(CP$5,スコア表2[#Headers],0)))
/
INDEX(スコア表2[],MATCH("stdev.p",スコア表2[maxmin],0),MATCH(CP$5,スコア表2[#Headers],0))
*10+50,"-")</f>
        <v>54.408899409399929</v>
      </c>
      <c r="CQ37" s="4">
        <f>IFERROR(
(INDEX(スコア表[],MATCH($C37,スコア表['#],0),MATCH(CQ$5,スコア表[#Headers],0))
-
INDEX(スコア表2[],MATCH("average",スコア表2[maxmin],0),MATCH(CQ$5,スコア表2[#Headers],0)))
/
INDEX(スコア表2[],MATCH("stdev.p",スコア表2[maxmin],0),MATCH(CQ$5,スコア表2[#Headers],0))
*10+50,"-")</f>
        <v>57.836053673071063</v>
      </c>
      <c r="CR37" s="4">
        <f>IFERROR(
(INDEX(スコア表[],MATCH($C37,スコア表['#],0),MATCH(CR$5,スコア表[#Headers],0))
-
INDEX(スコア表2[],MATCH("average",スコア表2[maxmin],0),MATCH(CR$5,スコア表2[#Headers],0)))
/
INDEX(スコア表2[],MATCH("stdev.p",スコア表2[maxmin],0),MATCH(CR$5,スコア表2[#Headers],0))
*10+50,"-")</f>
        <v>46.418639059599329</v>
      </c>
      <c r="CS37" s="4">
        <f>IFERROR(
(INDEX(スコア表[],MATCH($C37,スコア表['#],0),MATCH(CS$5,スコア表[#Headers],0))
-
INDEX(スコア表2[],MATCH("average",スコア表2[maxmin],0),MATCH(CS$5,スコア表2[#Headers],0)))
/
INDEX(スコア表2[],MATCH("stdev.p",スコア表2[maxmin],0),MATCH(CS$5,スコア表2[#Headers],0))
*10+50,"-")</f>
        <v>57.656342843480367</v>
      </c>
      <c r="CT37" s="4">
        <f>IFERROR(
(INDEX(スコア表[],MATCH($C37,スコア表['#],0),MATCH(CT$5,スコア表[#Headers],0))
-
INDEX(スコア表2[],MATCH("average",スコア表2[maxmin],0),MATCH(CT$5,スコア表2[#Headers],0)))
/
INDEX(スコア表2[],MATCH("stdev.p",スコア表2[maxmin],0),MATCH(CT$5,スコア表2[#Headers],0))
*10+50,"-")</f>
        <v>53.35151289801275</v>
      </c>
      <c r="CU37" s="4">
        <f>IFERROR(
(INDEX(スコア表[],MATCH($C37,スコア表['#],0),MATCH(CU$5,スコア表[#Headers],0))
-
INDEX(スコア表2[],MATCH("average",スコア表2[maxmin],0),MATCH(CU$5,スコア表2[#Headers],0)))
/
INDEX(スコア表2[],MATCH("stdev.p",スコア表2[maxmin],0),MATCH(CU$5,スコア表2[#Headers],0))
*10+50,"-")</f>
        <v>57.96215889719538</v>
      </c>
      <c r="CV37" s="4">
        <f>IFERROR(
(INDEX(スコア表[],MATCH($C37,スコア表['#],0),MATCH(CV$5,スコア表[#Headers],0))
-
INDEX(スコア表2[],MATCH("average",スコア表2[maxmin],0),MATCH(CV$5,スコア表2[#Headers],0)))
/
INDEX(スコア表2[],MATCH("stdev.p",スコア表2[maxmin],0),MATCH(CV$5,スコア表2[#Headers],0))
*10+50,"-")</f>
        <v>41.066149390184187</v>
      </c>
      <c r="CW37" s="4">
        <f>IFERROR(
(INDEX(スコア表[],MATCH($C37,スコア表['#],0),MATCH(CW$5,スコア表[#Headers],0))
-
INDEX(スコア表2[],MATCH("average",スコア表2[maxmin],0),MATCH(CW$5,スコア表2[#Headers],0)))
/
INDEX(スコア表2[],MATCH("stdev.p",スコア表2[maxmin],0),MATCH(CW$5,スコア表2[#Headers],0))
*10+50,"-")</f>
        <v>43.73906269975361</v>
      </c>
      <c r="CX37" s="4">
        <f>IFERROR(
(INDEX(スコア表[],MATCH($C37,スコア表['#],0),MATCH(CX$5,スコア表[#Headers],0))
-
INDEX(スコア表2[],MATCH("average",スコア表2[maxmin],0),MATCH(CX$5,スコア表2[#Headers],0)))
/
INDEX(スコア表2[],MATCH("stdev.p",スコア表2[maxmin],0),MATCH(CX$5,スコア表2[#Headers],0))
*10+50,"-")</f>
        <v>44.14891458015498</v>
      </c>
      <c r="CY37" s="4">
        <f>IFERROR(
(INDEX(スコア表[],MATCH($C37,スコア表['#],0),MATCH(CY$5,スコア表[#Headers],0))
-
INDEX(スコア表2[],MATCH("average",スコア表2[maxmin],0),MATCH(CY$5,スコア表2[#Headers],0)))
/
INDEX(スコア表2[],MATCH("stdev.p",スコア表2[maxmin],0),MATCH(CY$5,スコア表2[#Headers],0))
*10+50,"-")</f>
        <v>53.361484667803552</v>
      </c>
      <c r="CZ37" s="4">
        <f>IFERROR(
(INDEX(スコア表[],MATCH($C37,スコア表['#],0),MATCH(CZ$5,スコア表[#Headers],0))
-
INDEX(スコア表2[],MATCH("average",スコア表2[maxmin],0),MATCH(CZ$5,スコア表2[#Headers],0)))
/
INDEX(スコア表2[],MATCH("stdev.p",スコア表2[maxmin],0),MATCH(CZ$5,スコア表2[#Headers],0))
*10+50,"-")</f>
        <v>52.754225598918168</v>
      </c>
      <c r="DA37" s="4">
        <f>IFERROR(
(INDEX(スコア表[],MATCH($C37,スコア表['#],0),MATCH(DA$5,スコア表[#Headers],0))
-
INDEX(スコア表2[],MATCH("average",スコア表2[maxmin],0),MATCH(DA$5,スコア表2[#Headers],0)))
/
INDEX(スコア表2[],MATCH("stdev.p",スコア表2[maxmin],0),MATCH(DA$5,スコア表2[#Headers],0))
*10+50,"-")</f>
        <v>46.033631047287138</v>
      </c>
      <c r="DB37" s="4">
        <f>IFERROR(
(INDEX(スコア表[],MATCH($C37,スコア表['#],0),MATCH(DB$5,スコア表[#Headers],0))
-
INDEX(スコア表2[],MATCH("average",スコア表2[maxmin],0),MATCH(DB$5,スコア表2[#Headers],0)))
/
INDEX(スコア表2[],MATCH("stdev.p",スコア表2[maxmin],0),MATCH(DB$5,スコア表2[#Headers],0))
*10+50,"-")</f>
        <v>41.493529247682829</v>
      </c>
      <c r="DC37" s="4">
        <f>IFERROR(
(INDEX(スコア表[],MATCH($C37,スコア表['#],0),MATCH(DC$5,スコア表[#Headers],0))
-
INDEX(スコア表2[],MATCH("average",スコア表2[maxmin],0),MATCH(DC$5,スコア表2[#Headers],0)))
/
INDEX(スコア表2[],MATCH("stdev.p",スコア表2[maxmin],0),MATCH(DC$5,スコア表2[#Headers],0))
*10+50,"-")</f>
        <v>50.101695605000693</v>
      </c>
      <c r="DD37" s="4">
        <f>IFERROR(
(INDEX(スコア表[],MATCH($C37,スコア表['#],0),MATCH(DD$5,スコア表[#Headers],0))
-
INDEX(スコア表2[],MATCH("average",スコア表2[maxmin],0),MATCH(DD$5,スコア表2[#Headers],0)))
/
INDEX(スコア表2[],MATCH("stdev.p",スコア表2[maxmin],0),MATCH(DD$5,スコア表2[#Headers],0))
*10+50,"-")</f>
        <v>58.903776609506508</v>
      </c>
      <c r="DE37" s="4">
        <f>IFERROR(
(INDEX(スコア表[],MATCH($C37,スコア表['#],0),MATCH(DE$5,スコア表[#Headers],0))
-
INDEX(スコア表2[],MATCH("average",スコア表2[maxmin],0),MATCH(DE$5,スコア表2[#Headers],0)))
/
INDEX(スコア表2[],MATCH("stdev.p",スコア表2[maxmin],0),MATCH(DE$5,スコア表2[#Headers],0))
*10+50,"-")</f>
        <v>41.953357495567467</v>
      </c>
      <c r="DF37" s="76">
        <f>IFERROR(
(INDEX(スコア表[],MATCH($C37,スコア表['#],0),MATCH(DF$5,スコア表[#Headers],0))
-
INDEX(スコア表2[],MATCH("average",スコア表2[maxmin],0),MATCH(DF$5,スコア表2[#Headers],0)))
/
INDEX(スコア表2[],MATCH("stdev.p",スコア表2[maxmin],0),MATCH(DF$5,スコア表2[#Headers],0))
*10+50,"-")</f>
        <v>47.090022325485641</v>
      </c>
      <c r="DG37" s="4">
        <f>IFERROR(_xlfn.STDEV.P(偏差値表[[#This Row],[Economy]:[Accessibility]]),"")</f>
        <v>6.1498638336801665</v>
      </c>
    </row>
    <row r="38" spans="1:111">
      <c r="A38" s="2">
        <v>33</v>
      </c>
      <c r="B38" s="58">
        <f>INDEX(順位表[Comprehensive],MATCH($C38,順位表['#],0))</f>
        <v>33</v>
      </c>
      <c r="C38" s="3">
        <v>10</v>
      </c>
      <c r="D38" s="1" t="str">
        <f>INDEX(都市マスタ[City Name],MATCH($C38,都市マスタ['#],0))</f>
        <v>Milan</v>
      </c>
      <c r="E38" s="4">
        <f>IFERROR(
(INDEX(スコア表[],MATCH($C38,スコア表['#],0),MATCH(E$5,スコア表[#Headers],0))
-
INDEX(スコア表2[],MATCH("average",スコア表2[maxmin],0),MATCH(E$5,スコア表2[#Headers],0)))
/
INDEX(スコア表2[],MATCH("stdev.p",スコア表2[maxmin],0),MATCH(E$5,スコア表2[#Headers],0))
*10+50,"-")</f>
        <v>42.982899824038427</v>
      </c>
      <c r="F38" s="4">
        <f>IFERROR(
(INDEX(スコア表[],MATCH($C38,スコア表['#],0),MATCH(F$5,スコア表[#Headers],0))
-
INDEX(スコア表2[],MATCH("average",スコア表2[maxmin],0),MATCH(F$5,スコア表2[#Headers],0)))
/
INDEX(スコア表2[],MATCH("stdev.p",スコア表2[maxmin],0),MATCH(F$5,スコア表2[#Headers],0))
*10+50,"-")</f>
        <v>45.33336142593128</v>
      </c>
      <c r="G38" s="4">
        <f>IFERROR(
(INDEX(スコア表[],MATCH($C38,スコア表['#],0),MATCH(G$5,スコア表[#Headers],0))
-
INDEX(スコア表2[],MATCH("average",スコア表2[maxmin],0),MATCH(G$5,スコア表2[#Headers],0)))
/
INDEX(スコア表2[],MATCH("stdev.p",スコア表2[maxmin],0),MATCH(G$5,スコア表2[#Headers],0))
*10+50,"-")</f>
        <v>48.33249429603066</v>
      </c>
      <c r="H38" s="4">
        <f>IFERROR(
(INDEX(スコア表[],MATCH($C38,スコア表['#],0),MATCH(H$5,スコア表[#Headers],0))
-
INDEX(スコア表2[],MATCH("average",スコア表2[maxmin],0),MATCH(H$5,スコア表2[#Headers],0)))
/
INDEX(スコア表2[],MATCH("stdev.p",スコア表2[maxmin],0),MATCH(H$5,スコア表2[#Headers],0))
*10+50,"-")</f>
        <v>43.977356897982915</v>
      </c>
      <c r="I38" s="4">
        <f>IFERROR(
(INDEX(スコア表[],MATCH($C38,スコア表['#],0),MATCH(I$5,スコア表[#Headers],0))
-
INDEX(スコア表2[],MATCH("average",スコア表2[maxmin],0),MATCH(I$5,スコア表2[#Headers],0)))
/
INDEX(スコア表2[],MATCH("stdev.p",スコア表2[maxmin],0),MATCH(I$5,スコア表2[#Headers],0))
*10+50,"-")</f>
        <v>49.25317236046866</v>
      </c>
      <c r="J38" s="4">
        <f>IFERROR(
(INDEX(スコア表[],MATCH($C38,スコア表['#],0),MATCH(J$5,スコア表[#Headers],0))
-
INDEX(スコア表2[],MATCH("average",スコア表2[maxmin],0),MATCH(J$5,スコア表2[#Headers],0)))
/
INDEX(スコア表2[],MATCH("stdev.p",スコア表2[maxmin],0),MATCH(J$5,スコア表2[#Headers],0))
*10+50,"-")</f>
        <v>43.677323733894625</v>
      </c>
      <c r="K38" s="4">
        <f>IFERROR(
(INDEX(スコア表[],MATCH($C38,スコア表['#],0),MATCH(K$5,スコア表[#Headers],0))
-
INDEX(スコア表2[],MATCH("average",スコア表2[maxmin],0),MATCH(K$5,スコア表2[#Headers],0)))
/
INDEX(スコア表2[],MATCH("stdev.p",スコア表2[maxmin],0),MATCH(K$5,スコア表2[#Headers],0))
*10+50,"-")</f>
        <v>44.470987960459212</v>
      </c>
      <c r="L38" s="4">
        <f>IFERROR(
(INDEX(スコア表[],MATCH($C38,スコア表['#],0),MATCH(L$5,スコア表[#Headers],0))
-
INDEX(スコア表2[],MATCH("average",スコア表2[maxmin],0),MATCH(L$5,スコア表2[#Headers],0)))
/
INDEX(スコア表2[],MATCH("stdev.p",スコア表2[maxmin],0),MATCH(L$5,スコア表2[#Headers],0))
*10+50,"-")</f>
        <v>46.831481232281661</v>
      </c>
      <c r="M38" s="4">
        <f>IFERROR(
(INDEX(スコア表[],MATCH($C38,スコア表['#],0),MATCH(M$5,スコア表[#Headers],0))
-
INDEX(スコア表2[],MATCH("average",スコア表2[maxmin],0),MATCH(M$5,スコア表2[#Headers],0)))
/
INDEX(スコア表2[],MATCH("stdev.p",スコア表2[maxmin],0),MATCH(M$5,スコア表2[#Headers],0))
*10+50,"-")</f>
        <v>45.544318921595732</v>
      </c>
      <c r="N38" s="4">
        <f>IFERROR(
(INDEX(スコア表[],MATCH($C38,スコア表['#],0),MATCH(N$5,スコア表[#Headers],0))
-
INDEX(スコア表2[],MATCH("average",スコア表2[maxmin],0),MATCH(N$5,スコア表2[#Headers],0)))
/
INDEX(スコア表2[],MATCH("stdev.p",スコア表2[maxmin],0),MATCH(N$5,スコア表2[#Headers],0))
*10+50,"-")</f>
        <v>43.495145509412083</v>
      </c>
      <c r="O38" s="4">
        <f>IFERROR(
(INDEX(スコア表[],MATCH($C38,スコア表['#],0),MATCH(O$5,スコア表[#Headers],0))
-
INDEX(スコア表2[],MATCH("average",スコア表2[maxmin],0),MATCH(O$5,スコア表2[#Headers],0)))
/
INDEX(スコア表2[],MATCH("stdev.p",スコア表2[maxmin],0),MATCH(O$5,スコア表2[#Headers],0))
*10+50,"-")</f>
        <v>68.431725556095643</v>
      </c>
      <c r="P38" s="4">
        <f>IFERROR(
(INDEX(スコア表[],MATCH($C38,スコア表['#],0),MATCH(P$5,スコア表[#Headers],0))
-
INDEX(スコア表2[],MATCH("average",スコア表2[maxmin],0),MATCH(P$5,スコア表2[#Headers],0)))
/
INDEX(スコア表2[],MATCH("stdev.p",スコア表2[maxmin],0),MATCH(P$5,スコア表2[#Headers],0))
*10+50,"-")</f>
        <v>43.288201467617668</v>
      </c>
      <c r="Q38" s="4">
        <f>IFERROR(
(INDEX(スコア表[],MATCH($C38,スコア表['#],0),MATCH(Q$5,スコア表[#Headers],0))
-
INDEX(スコア表2[],MATCH("average",スコア表2[maxmin],0),MATCH(Q$5,スコア表2[#Headers],0)))
/
INDEX(スコア表2[],MATCH("stdev.p",スコア表2[maxmin],0),MATCH(Q$5,スコア表2[#Headers],0))
*10+50,"-")</f>
        <v>42.675140328026572</v>
      </c>
      <c r="R38" s="4">
        <f>IFERROR(
(INDEX(スコア表[],MATCH($C38,スコア表['#],0),MATCH(R$5,スコア表[#Headers],0))
-
INDEX(スコア表2[],MATCH("average",スコア表2[maxmin],0),MATCH(R$5,スコア表2[#Headers],0)))
/
INDEX(スコア表2[],MATCH("stdev.p",スコア表2[maxmin],0),MATCH(R$5,スコア表2[#Headers],0))
*10+50,"-")</f>
        <v>45.681065742582376</v>
      </c>
      <c r="S38" s="4">
        <f>IFERROR(
(INDEX(スコア表[],MATCH($C38,スコア表['#],0),MATCH(S$5,スコア表[#Headers],0))
-
INDEX(スコア表2[],MATCH("average",スコア表2[maxmin],0),MATCH(S$5,スコア表2[#Headers],0)))
/
INDEX(スコア表2[],MATCH("stdev.p",スコア表2[maxmin],0),MATCH(S$5,スコア表2[#Headers],0))
*10+50,"-")</f>
        <v>44.900179591474839</v>
      </c>
      <c r="T38" s="4">
        <f>IFERROR(
(INDEX(スコア表[],MATCH($C38,スコア表['#],0),MATCH(T$5,スコア表[#Headers],0))
-
INDEX(スコア表2[],MATCH("average",スコア表2[maxmin],0),MATCH(T$5,スコア表2[#Headers],0)))
/
INDEX(スコア表2[],MATCH("stdev.p",スコア表2[maxmin],0),MATCH(T$5,スコア表2[#Headers],0))
*10+50,"-")</f>
        <v>44.941392173543065</v>
      </c>
      <c r="U38" s="4">
        <f>IFERROR(
(INDEX(スコア表[],MATCH($C38,スコア表['#],0),MATCH(U$5,スコア表[#Headers],0))
-
INDEX(スコア表2[],MATCH("average",スコア表2[maxmin],0),MATCH(U$5,スコア表2[#Headers],0)))
/
INDEX(スコア表2[],MATCH("stdev.p",スコア表2[maxmin],0),MATCH(U$5,スコア表2[#Headers],0))
*10+50,"-")</f>
        <v>43.190855731940836</v>
      </c>
      <c r="V38" s="4">
        <f>IFERROR(
(INDEX(スコア表[],MATCH($C38,スコア表['#],0),MATCH(V$5,スコア表[#Headers],0))
-
INDEX(スコア表2[],MATCH("average",スコア表2[maxmin],0),MATCH(V$5,スコア表2[#Headers],0)))
/
INDEX(スコア表2[],MATCH("stdev.p",スコア表2[maxmin],0),MATCH(V$5,スコア表2[#Headers],0))
*10+50,"-")</f>
        <v>40.827129061125603</v>
      </c>
      <c r="W38" s="4">
        <f>IFERROR(
(INDEX(スコア表[],MATCH($C38,スコア表['#],0),MATCH(W$5,スコア表[#Headers],0))
-
INDEX(スコア表2[],MATCH("average",スコア表2[maxmin],0),MATCH(W$5,スコア表2[#Headers],0)))
/
INDEX(スコア表2[],MATCH("stdev.p",スコア表2[maxmin],0),MATCH(W$5,スコア表2[#Headers],0))
*10+50,"-")</f>
        <v>44.678638145514668</v>
      </c>
      <c r="X38" s="4">
        <f>IFERROR(
(INDEX(スコア表[],MATCH($C38,スコア表['#],0),MATCH(X$5,スコア表[#Headers],0))
-
INDEX(スコア表2[],MATCH("average",スコア表2[maxmin],0),MATCH(X$5,スコア表2[#Headers],0)))
/
INDEX(スコア表2[],MATCH("stdev.p",スコア表2[maxmin],0),MATCH(X$5,スコア表2[#Headers],0))
*10+50,"-")</f>
        <v>47.77662694288216</v>
      </c>
      <c r="Y38" s="4">
        <f>IFERROR(
(INDEX(スコア表[],MATCH($C38,スコア表['#],0),MATCH(Y$5,スコア表[#Headers],0))
-
INDEX(スコア表2[],MATCH("average",スコア表2[maxmin],0),MATCH(Y$5,スコア表2[#Headers],0)))
/
INDEX(スコア表2[],MATCH("stdev.p",スコア表2[maxmin],0),MATCH(Y$5,スコア表2[#Headers],0))
*10+50,"-")</f>
        <v>49.074812292182088</v>
      </c>
      <c r="Z38" s="4">
        <f>IFERROR(
(INDEX(スコア表[],MATCH($C38,スコア表['#],0),MATCH(Z$5,スコア表[#Headers],0))
-
INDEX(スコア表2[],MATCH("average",スコア表2[maxmin],0),MATCH(Z$5,スコア表2[#Headers],0)))
/
INDEX(スコア表2[],MATCH("stdev.p",スコア表2[maxmin],0),MATCH(Z$5,スコア表2[#Headers],0))
*10+50,"-")</f>
        <v>44.394606964869233</v>
      </c>
      <c r="AA38" s="4">
        <f>IFERROR(
(INDEX(スコア表[],MATCH($C38,スコア表['#],0),MATCH(AA$5,スコア表[#Headers],0))
-
INDEX(スコア表2[],MATCH("average",スコア表2[maxmin],0),MATCH(AA$5,スコア表2[#Headers],0)))
/
INDEX(スコア表2[],MATCH("stdev.p",スコア表2[maxmin],0),MATCH(AA$5,スコア表2[#Headers],0))
*10+50,"-")</f>
        <v>44.664612103409482</v>
      </c>
      <c r="AB38" s="4">
        <f>IFERROR(
(INDEX(スコア表[],MATCH($C38,スコア表['#],0),MATCH(AB$5,スコア表[#Headers],0))
-
INDEX(スコア表2[],MATCH("average",スコア表2[maxmin],0),MATCH(AB$5,スコア表2[#Headers],0)))
/
INDEX(スコア表2[],MATCH("stdev.p",スコア表2[maxmin],0),MATCH(AB$5,スコア表2[#Headers],0))
*10+50,"-")</f>
        <v>49.521605516113226</v>
      </c>
      <c r="AC38" s="4">
        <f>IFERROR(
(INDEX(スコア表[],MATCH($C38,スコア表['#],0),MATCH(AC$5,スコア表[#Headers],0))
-
INDEX(スコア表2[],MATCH("average",スコア表2[maxmin],0),MATCH(AC$5,スコア表2[#Headers],0)))
/
INDEX(スコア表2[],MATCH("stdev.p",スコア表2[maxmin],0),MATCH(AC$5,スコア表2[#Headers],0))
*10+50,"-")</f>
        <v>46.257333597825379</v>
      </c>
      <c r="AD38" s="4">
        <f>IFERROR(
(INDEX(スコア表[],MATCH($C38,スコア表['#],0),MATCH(AD$5,スコア表[#Headers],0))
-
INDEX(スコア表2[],MATCH("average",スコア表2[maxmin],0),MATCH(AD$5,スコア表2[#Headers],0)))
/
INDEX(スコア表2[],MATCH("stdev.p",スコア表2[maxmin],0),MATCH(AD$5,スコア表2[#Headers],0))
*10+50,"-")</f>
        <v>56.970777172048081</v>
      </c>
      <c r="AE38" s="4">
        <f>IFERROR(
(INDEX(スコア表[],MATCH($C38,スコア表['#],0),MATCH(AE$5,スコア表[#Headers],0))
-
INDEX(スコア表2[],MATCH("average",スコア表2[maxmin],0),MATCH(AE$5,スコア表2[#Headers],0)))
/
INDEX(スコア表2[],MATCH("stdev.p",スコア表2[maxmin],0),MATCH(AE$5,スコア表2[#Headers],0))
*10+50,"-")</f>
        <v>44.470159763040741</v>
      </c>
      <c r="AF38" s="4">
        <f>IFERROR(
(INDEX(スコア表[],MATCH($C38,スコア表['#],0),MATCH(AF$5,スコア表[#Headers],0))
-
INDEX(スコア表2[],MATCH("average",スコア表2[maxmin],0),MATCH(AF$5,スコア表2[#Headers],0)))
/
INDEX(スコア表2[],MATCH("stdev.p",スコア表2[maxmin],0),MATCH(AF$5,スコア表2[#Headers],0))
*10+50,"-")</f>
        <v>48.394950696758663</v>
      </c>
      <c r="AG38" s="4">
        <f>IFERROR(
(INDEX(スコア表[],MATCH($C38,スコア表['#],0),MATCH(AG$5,スコア表[#Headers],0))
-
INDEX(スコア表2[],MATCH("average",スコア表2[maxmin],0),MATCH(AG$5,スコア表2[#Headers],0)))
/
INDEX(スコア表2[],MATCH("stdev.p",スコア表2[maxmin],0),MATCH(AG$5,スコア表2[#Headers],0))
*10+50,"-")</f>
        <v>47.30201523038172</v>
      </c>
      <c r="AH38" s="4">
        <f>IFERROR(
(INDEX(スコア表[],MATCH($C38,スコア表['#],0),MATCH(AH$5,スコア表[#Headers],0))
-
INDEX(スコア表2[],MATCH("average",スコア表2[maxmin],0),MATCH(AH$5,スコア表2[#Headers],0)))
/
INDEX(スコア表2[],MATCH("stdev.p",スコア表2[maxmin],0),MATCH(AH$5,スコア表2[#Headers],0))
*10+50,"-")</f>
        <v>56.951839299409713</v>
      </c>
      <c r="AI38" s="4">
        <f>IFERROR(
(INDEX(スコア表[],MATCH($C38,スコア表['#],0),MATCH(AI$5,スコア表[#Headers],0))
-
INDEX(スコア表2[],MATCH("average",スコア表2[maxmin],0),MATCH(AI$5,スコア表2[#Headers],0)))
/
INDEX(スコア表2[],MATCH("stdev.p",スコア表2[maxmin],0),MATCH(AI$5,スコア表2[#Headers],0))
*10+50,"-")</f>
        <v>54.752627415592009</v>
      </c>
      <c r="AJ38" s="4">
        <f>IFERROR(
(INDEX(スコア表[],MATCH($C38,スコア表['#],0),MATCH(AJ$5,スコア表[#Headers],0))
-
INDEX(スコア表2[],MATCH("average",スコア表2[maxmin],0),MATCH(AJ$5,スコア表2[#Headers],0)))
/
INDEX(スコア表2[],MATCH("stdev.p",スコア表2[maxmin],0),MATCH(AJ$5,スコア表2[#Headers],0))
*10+50,"-")</f>
        <v>50.380724799907931</v>
      </c>
      <c r="AK38" s="4">
        <f>IFERROR(
(INDEX(スコア表[],MATCH($C38,スコア表['#],0),MATCH(AK$5,スコア表[#Headers],0))
-
INDEX(スコア表2[],MATCH("average",スコア表2[maxmin],0),MATCH(AK$5,スコア表2[#Headers],0)))
/
INDEX(スコア表2[],MATCH("stdev.p",スコア表2[maxmin],0),MATCH(AK$5,スコア表2[#Headers],0))
*10+50,"-")</f>
        <v>51.29160942970573</v>
      </c>
      <c r="AL38" s="4">
        <f>IFERROR(
(INDEX(スコア表[],MATCH($C38,スコア表['#],0),MATCH(AL$5,スコア表[#Headers],0))
-
INDEX(スコア表2[],MATCH("average",スコア表2[maxmin],0),MATCH(AL$5,スコア表2[#Headers],0)))
/
INDEX(スコア表2[],MATCH("stdev.p",スコア表2[maxmin],0),MATCH(AL$5,スコア表2[#Headers],0))
*10+50,"-")</f>
        <v>41.858810131760215</v>
      </c>
      <c r="AM38" s="4">
        <f>IFERROR(
(INDEX(スコア表[],MATCH($C38,スコア表['#],0),MATCH(AM$5,スコア表[#Headers],0))
-
INDEX(スコア表2[],MATCH("average",スコア表2[maxmin],0),MATCH(AM$5,スコア表2[#Headers],0)))
/
INDEX(スコア表2[],MATCH("stdev.p",スコア表2[maxmin],0),MATCH(AM$5,スコア表2[#Headers],0))
*10+50,"-")</f>
        <v>45.395737661589784</v>
      </c>
      <c r="AN38" s="4">
        <f>IFERROR(
(INDEX(スコア表[],MATCH($C38,スコア表['#],0),MATCH(AN$5,スコア表[#Headers],0))
-
INDEX(スコア表2[],MATCH("average",スコア表2[maxmin],0),MATCH(AN$5,スコア表2[#Headers],0)))
/
INDEX(スコア表2[],MATCH("stdev.p",スコア表2[maxmin],0),MATCH(AN$5,スコア表2[#Headers],0))
*10+50,"-")</f>
        <v>44.154119062651944</v>
      </c>
      <c r="AO38" s="4">
        <f>IFERROR(
(INDEX(スコア表[],MATCH($C38,スコア表['#],0),MATCH(AO$5,スコア表[#Headers],0))
-
INDEX(スコア表2[],MATCH("average",スコア表2[maxmin],0),MATCH(AO$5,スコア表2[#Headers],0)))
/
INDEX(スコア表2[],MATCH("stdev.p",スコア表2[maxmin],0),MATCH(AO$5,スコア表2[#Headers],0))
*10+50,"-")</f>
        <v>58.812092257942844</v>
      </c>
      <c r="AP38" s="4">
        <f>IFERROR(
(INDEX(スコア表[],MATCH($C38,スコア表['#],0),MATCH(AP$5,スコア表[#Headers],0))
-
INDEX(スコア表2[],MATCH("average",スコア表2[maxmin],0),MATCH(AP$5,スコア表2[#Headers],0)))
/
INDEX(スコア表2[],MATCH("stdev.p",スコア表2[maxmin],0),MATCH(AP$5,スコア表2[#Headers],0))
*10+50,"-")</f>
        <v>48.57235388288715</v>
      </c>
      <c r="AQ38" s="4">
        <f>IFERROR(
(INDEX(スコア表[],MATCH($C38,スコア表['#],0),MATCH(AQ$5,スコア表[#Headers],0))
-
INDEX(スコア表2[],MATCH("average",スコア表2[maxmin],0),MATCH(AQ$5,スコア表2[#Headers],0)))
/
INDEX(スコア表2[],MATCH("stdev.p",スコア表2[maxmin],0),MATCH(AQ$5,スコア表2[#Headers],0))
*10+50,"-")</f>
        <v>46.840279479920277</v>
      </c>
      <c r="AR38" s="4">
        <f>IFERROR(
(INDEX(スコア表[],MATCH($C38,スコア表['#],0),MATCH(AR$5,スコア表[#Headers],0))
-
INDEX(スコア表2[],MATCH("average",スコア表2[maxmin],0),MATCH(AR$5,スコア表2[#Headers],0)))
/
INDEX(スコア表2[],MATCH("stdev.p",スコア表2[maxmin],0),MATCH(AR$5,スコア表2[#Headers],0))
*10+50,"-")</f>
        <v>48.671872249812516</v>
      </c>
      <c r="AS38" s="4">
        <f>IFERROR(
(INDEX(スコア表[],MATCH($C38,スコア表['#],0),MATCH(AS$5,スコア表[#Headers],0))
-
INDEX(スコア表2[],MATCH("average",スコア表2[maxmin],0),MATCH(AS$5,スコア表2[#Headers],0)))
/
INDEX(スコア表2[],MATCH("stdev.p",スコア表2[maxmin],0),MATCH(AS$5,スコア表2[#Headers],0))
*10+50,"-")</f>
        <v>51.459579462167284</v>
      </c>
      <c r="AT38" s="4">
        <f>IFERROR(
(INDEX(スコア表[],MATCH($C38,スコア表['#],0),MATCH(AT$5,スコア表[#Headers],0))
-
INDEX(スコア表2[],MATCH("average",スコア表2[maxmin],0),MATCH(AT$5,スコア表2[#Headers],0)))
/
INDEX(スコア表2[],MATCH("stdev.p",スコア表2[maxmin],0),MATCH(AT$5,スコア表2[#Headers],0))
*10+50,"-")</f>
        <v>55.322038589761696</v>
      </c>
      <c r="AU38" s="4">
        <f>IFERROR(
(INDEX(スコア表[],MATCH($C38,スコア表['#],0),MATCH(AU$5,スコア表[#Headers],0))
-
INDEX(スコア表2[],MATCH("average",スコア表2[maxmin],0),MATCH(AU$5,スコア表2[#Headers],0)))
/
INDEX(スコア表2[],MATCH("stdev.p",スコア表2[maxmin],0),MATCH(AU$5,スコア表2[#Headers],0))
*10+50,"-")</f>
        <v>31.347441586665298</v>
      </c>
      <c r="AV38" s="4">
        <f>IFERROR(
(INDEX(スコア表[],MATCH($C38,スコア表['#],0),MATCH(AV$5,スコア表[#Headers],0))
-
INDEX(スコア表2[],MATCH("average",スコア表2[maxmin],0),MATCH(AV$5,スコア表2[#Headers],0)))
/
INDEX(スコア表2[],MATCH("stdev.p",スコア表2[maxmin],0),MATCH(AV$5,スコア表2[#Headers],0))
*10+50,"-")</f>
        <v>49.782412583327265</v>
      </c>
      <c r="AW38" s="4">
        <f>IFERROR(
(INDEX(スコア表[],MATCH($C38,スコア表['#],0),MATCH(AW$5,スコア表[#Headers],0))
-
INDEX(スコア表2[],MATCH("average",スコア表2[maxmin],0),MATCH(AW$5,スコア表2[#Headers],0)))
/
INDEX(スコア表2[],MATCH("stdev.p",スコア表2[maxmin],0),MATCH(AW$5,スコア表2[#Headers],0))
*10+50,"-")</f>
        <v>51.08950595567827</v>
      </c>
      <c r="AX38" s="4">
        <f>IFERROR(
(INDEX(スコア表[],MATCH($C38,スコア表['#],0),MATCH(AX$5,スコア表[#Headers],0))
-
INDEX(スコア表2[],MATCH("average",スコア表2[maxmin],0),MATCH(AX$5,スコア表2[#Headers],0)))
/
INDEX(スコア表2[],MATCH("stdev.p",スコア表2[maxmin],0),MATCH(AX$5,スコア表2[#Headers],0))
*10+50,"-")</f>
        <v>54.703718481510208</v>
      </c>
      <c r="AY38" s="4">
        <f>IFERROR(
(INDEX(スコア表[],MATCH($C38,スコア表['#],0),MATCH(AY$5,スコア表[#Headers],0))
-
INDEX(スコア表2[],MATCH("average",スコア表2[maxmin],0),MATCH(AY$5,スコア表2[#Headers],0)))
/
INDEX(スコア表2[],MATCH("stdev.p",スコア表2[maxmin],0),MATCH(AY$5,スコア表2[#Headers],0))
*10+50,"-")</f>
        <v>54.234761160025627</v>
      </c>
      <c r="AZ38" s="4">
        <f>IFERROR(
(INDEX(スコア表[],MATCH($C38,スコア表['#],0),MATCH(AZ$5,スコア表[#Headers],0))
-
INDEX(スコア表2[],MATCH("average",スコア表2[maxmin],0),MATCH(AZ$5,スコア表2[#Headers],0)))
/
INDEX(スコア表2[],MATCH("stdev.p",スコア表2[maxmin],0),MATCH(AZ$5,スコア表2[#Headers],0))
*10+50,"-")</f>
        <v>57.533105167521398</v>
      </c>
      <c r="BA38" s="4">
        <f>IFERROR(
(INDEX(スコア表[],MATCH($C38,スコア表['#],0),MATCH(BA$5,スコア表[#Headers],0))
-
INDEX(スコア表2[],MATCH("average",スコア表2[maxmin],0),MATCH(BA$5,スコア表2[#Headers],0)))
/
INDEX(スコア表2[],MATCH("stdev.p",スコア表2[maxmin],0),MATCH(BA$5,スコア表2[#Headers],0))
*10+50,"-")</f>
        <v>49.750896523598733</v>
      </c>
      <c r="BB38" s="4">
        <f>IFERROR(
(INDEX(スコア表[],MATCH($C38,スコア表['#],0),MATCH(BB$5,スコア表[#Headers],0))
-
INDEX(スコア表2[],MATCH("average",スコア表2[maxmin],0),MATCH(BB$5,スコア表2[#Headers],0)))
/
INDEX(スコア表2[],MATCH("stdev.p",スコア表2[maxmin],0),MATCH(BB$5,スコア表2[#Headers],0))
*10+50,"-")</f>
        <v>60.824170563391881</v>
      </c>
      <c r="BC38" s="4">
        <f>IFERROR(
(INDEX(スコア表[],MATCH($C38,スコア表['#],0),MATCH(BC$5,スコア表[#Headers],0))
-
INDEX(スコア表2[],MATCH("average",スコア表2[maxmin],0),MATCH(BC$5,スコア表2[#Headers],0)))
/
INDEX(スコア表2[],MATCH("stdev.p",スコア表2[maxmin],0),MATCH(BC$5,スコア表2[#Headers],0))
*10+50,"-")</f>
        <v>67.32939845886537</v>
      </c>
      <c r="BD38" s="4">
        <f>IFERROR(
(INDEX(スコア表[],MATCH($C38,スコア表['#],0),MATCH(BD$5,スコア表[#Headers],0))
-
INDEX(スコア表2[],MATCH("average",スコア表2[maxmin],0),MATCH(BD$5,スコア表2[#Headers],0)))
/
INDEX(スコア表2[],MATCH("stdev.p",スコア表2[maxmin],0),MATCH(BD$5,スコア表2[#Headers],0))
*10+50,"-")</f>
        <v>47.021354221843993</v>
      </c>
      <c r="BE38" s="4">
        <f>IFERROR(
(INDEX(スコア表[],MATCH($C38,スコア表['#],0),MATCH(BE$5,スコア表[#Headers],0))
-
INDEX(スコア表2[],MATCH("average",スコア表2[maxmin],0),MATCH(BE$5,スコア表2[#Headers],0)))
/
INDEX(スコア表2[],MATCH("stdev.p",スコア表2[maxmin],0),MATCH(BE$5,スコア表2[#Headers],0))
*10+50,"-")</f>
        <v>48.189639623045217</v>
      </c>
      <c r="BF38" s="4">
        <f>IFERROR(
(INDEX(スコア表[],MATCH($C38,スコア表['#],0),MATCH(BF$5,スコア表[#Headers],0))
-
INDEX(スコア表2[],MATCH("average",スコア表2[maxmin],0),MATCH(BF$5,スコア表2[#Headers],0)))
/
INDEX(スコア表2[],MATCH("stdev.p",スコア表2[maxmin],0),MATCH(BF$5,スコア表2[#Headers],0))
*10+50,"-")</f>
        <v>54.25445641003639</v>
      </c>
      <c r="BG38" s="4">
        <f>IFERROR(
(INDEX(スコア表[],MATCH($C38,スコア表['#],0),MATCH(BG$5,スコア表[#Headers],0))
-
INDEX(スコア表2[],MATCH("average",スコア表2[maxmin],0),MATCH(BG$5,スコア表2[#Headers],0)))
/
INDEX(スコア表2[],MATCH("stdev.p",スコア表2[maxmin],0),MATCH(BG$5,スコア表2[#Headers],0))
*10+50,"-")</f>
        <v>48.504698574419095</v>
      </c>
      <c r="BH38" s="4">
        <f>IFERROR(
(INDEX(スコア表[],MATCH($C38,スコア表['#],0),MATCH(BH$5,スコア表[#Headers],0))
-
INDEX(スコア表2[],MATCH("average",スコア表2[maxmin],0),MATCH(BH$5,スコア表2[#Headers],0)))
/
INDEX(スコア表2[],MATCH("stdev.p",スコア表2[maxmin],0),MATCH(BH$5,スコア表2[#Headers],0))
*10+50,"-")</f>
        <v>54.325170867525848</v>
      </c>
      <c r="BI38" s="4">
        <f>IFERROR(
(INDEX(スコア表[],MATCH($C38,スコア表['#],0),MATCH(BI$5,スコア表[#Headers],0))
-
INDEX(スコア表2[],MATCH("average",スコア表2[maxmin],0),MATCH(BI$5,スコア表2[#Headers],0)))
/
INDEX(スコア表2[],MATCH("stdev.p",スコア表2[maxmin],0),MATCH(BI$5,スコア表2[#Headers],0))
*10+50,"-")</f>
        <v>53.143850428765163</v>
      </c>
      <c r="BJ38" s="4">
        <f>IFERROR(
(INDEX(スコア表[],MATCH($C38,スコア表['#],0),MATCH(BJ$5,スコア表[#Headers],0))
-
INDEX(スコア表2[],MATCH("average",スコア表2[maxmin],0),MATCH(BJ$5,スコア表2[#Headers],0)))
/
INDEX(スコア表2[],MATCH("stdev.p",スコア表2[maxmin],0),MATCH(BJ$5,スコア表2[#Headers],0))
*10+50,"-")</f>
        <v>52.769667903125992</v>
      </c>
      <c r="BK38" s="4">
        <f>IFERROR(
(INDEX(スコア表[],MATCH($C38,スコア表['#],0),MATCH(BK$5,スコア表[#Headers],0))
-
INDEX(スコア表2[],MATCH("average",スコア表2[maxmin],0),MATCH(BK$5,スコア表2[#Headers],0)))
/
INDEX(スコア表2[],MATCH("stdev.p",スコア表2[maxmin],0),MATCH(BK$5,スコア表2[#Headers],0))
*10+50,"-")</f>
        <v>36.991630453845524</v>
      </c>
      <c r="BL38" s="4">
        <f>IFERROR(
(INDEX(スコア表[],MATCH($C38,スコア表['#],0),MATCH(BL$5,スコア表[#Headers],0))
-
INDEX(スコア表2[],MATCH("average",スコア表2[maxmin],0),MATCH(BL$5,スコア表2[#Headers],0)))
/
INDEX(スコア表2[],MATCH("stdev.p",スコア表2[maxmin],0),MATCH(BL$5,スコア表2[#Headers],0))
*10+50,"-")</f>
        <v>56.522095936194098</v>
      </c>
      <c r="BM38" s="4">
        <f>IFERROR(
(INDEX(スコア表[],MATCH($C38,スコア表['#],0),MATCH(BM$5,スコア表[#Headers],0))
-
INDEX(スコア表2[],MATCH("average",スコア表2[maxmin],0),MATCH(BM$5,スコア表2[#Headers],0)))
/
INDEX(スコア表2[],MATCH("stdev.p",スコア表2[maxmin],0),MATCH(BM$5,スコア表2[#Headers],0))
*10+50,"-")</f>
        <v>52.467034949916098</v>
      </c>
      <c r="BN38" s="4">
        <f>IFERROR(
(INDEX(スコア表[],MATCH($C38,スコア表['#],0),MATCH(BN$5,スコア表[#Headers],0))
-
INDEX(スコア表2[],MATCH("average",スコア表2[maxmin],0),MATCH(BN$5,スコア表2[#Headers],0)))
/
INDEX(スコア表2[],MATCH("stdev.p",スコア表2[maxmin],0),MATCH(BN$5,スコア表2[#Headers],0))
*10+50,"-")</f>
        <v>44.496518650855613</v>
      </c>
      <c r="BO38" s="4">
        <f>IFERROR(
(INDEX(スコア表[],MATCH($C38,スコア表['#],0),MATCH(BO$5,スコア表[#Headers],0))
-
INDEX(スコア表2[],MATCH("average",スコア表2[maxmin],0),MATCH(BO$5,スコア表2[#Headers],0)))
/
INDEX(スコア表2[],MATCH("stdev.p",スコア表2[maxmin],0),MATCH(BO$5,スコア表2[#Headers],0))
*10+50,"-")</f>
        <v>44.242467980795588</v>
      </c>
      <c r="BP38" s="4">
        <f>IFERROR(
(INDEX(スコア表[],MATCH($C38,スコア表['#],0),MATCH(BP$5,スコア表[#Headers],0))
-
INDEX(スコア表2[],MATCH("average",スコア表2[maxmin],0),MATCH(BP$5,スコア表2[#Headers],0)))
/
INDEX(スコア表2[],MATCH("stdev.p",スコア表2[maxmin],0),MATCH(BP$5,スコア表2[#Headers],0))
*10+50,"-")</f>
        <v>60.800013477820578</v>
      </c>
      <c r="BQ38" s="4">
        <f>IFERROR(
(INDEX(スコア表[],MATCH($C38,スコア表['#],0),MATCH(BQ$5,スコア表[#Headers],0))
-
INDEX(スコア表2[],MATCH("average",スコア表2[maxmin],0),MATCH(BQ$5,スコア表2[#Headers],0)))
/
INDEX(スコア表2[],MATCH("stdev.p",スコア表2[maxmin],0),MATCH(BQ$5,スコア表2[#Headers],0))
*10+50,"-")</f>
        <v>46.561373648179817</v>
      </c>
      <c r="BR38" s="4">
        <f>IFERROR(
(INDEX(スコア表[],MATCH($C38,スコア表['#],0),MATCH(BR$5,スコア表[#Headers],0))
-
INDEX(スコア表2[],MATCH("average",スコア表2[maxmin],0),MATCH(BR$5,スコア表2[#Headers],0)))
/
INDEX(スコア表2[],MATCH("stdev.p",スコア表2[maxmin],0),MATCH(BR$5,スコア表2[#Headers],0))
*10+50,"-")</f>
        <v>51.045655213457813</v>
      </c>
      <c r="BS38" s="4">
        <f>IFERROR(
(INDEX(スコア表[],MATCH($C38,スコア表['#],0),MATCH(BS$5,スコア表[#Headers],0))
-
INDEX(スコア表2[],MATCH("average",スコア表2[maxmin],0),MATCH(BS$5,スコア表2[#Headers],0)))
/
INDEX(スコア表2[],MATCH("stdev.p",スコア表2[maxmin],0),MATCH(BS$5,スコア表2[#Headers],0))
*10+50,"-")</f>
        <v>50.497125045271339</v>
      </c>
      <c r="BT38" s="4">
        <f>IFERROR(
(INDEX(スコア表[],MATCH($C38,スコア表['#],0),MATCH(BT$5,スコア表[#Headers],0))
-
INDEX(スコア表2[],MATCH("average",スコア表2[maxmin],0),MATCH(BT$5,スコア表2[#Headers],0)))
/
INDEX(スコア表2[],MATCH("stdev.p",スコア表2[maxmin],0),MATCH(BT$5,スコア表2[#Headers],0))
*10+50,"-")</f>
        <v>67.165115587463418</v>
      </c>
      <c r="BU38" s="4">
        <f>IFERROR(
(INDEX(スコア表[],MATCH($C38,スコア表['#],0),MATCH(BU$5,スコア表[#Headers],0))
-
INDEX(スコア表2[],MATCH("average",スコア表2[maxmin],0),MATCH(BU$5,スコア表2[#Headers],0)))
/
INDEX(スコア表2[],MATCH("stdev.p",スコア表2[maxmin],0),MATCH(BU$5,スコア表2[#Headers],0))
*10+50,"-")</f>
        <v>52.70367945590737</v>
      </c>
      <c r="BV38" s="4">
        <f>IFERROR(
(INDEX(スコア表[],MATCH($C38,スコア表['#],0),MATCH(BV$5,スコア表[#Headers],0))
-
INDEX(スコア表2[],MATCH("average",スコア表2[maxmin],0),MATCH(BV$5,スコア表2[#Headers],0)))
/
INDEX(スコア表2[],MATCH("stdev.p",スコア表2[maxmin],0),MATCH(BV$5,スコア表2[#Headers],0))
*10+50,"-")</f>
        <v>40.468298671026119</v>
      </c>
      <c r="BW38" s="4">
        <f>IFERROR(
(INDEX(スコア表[],MATCH($C38,スコア表['#],0),MATCH(BW$5,スコア表[#Headers],0))
-
INDEX(スコア表2[],MATCH("average",スコア表2[maxmin],0),MATCH(BW$5,スコア表2[#Headers],0)))
/
INDEX(スコア表2[],MATCH("stdev.p",スコア表2[maxmin],0),MATCH(BW$5,スコア表2[#Headers],0))
*10+50,"-")</f>
        <v>55.81049281905829</v>
      </c>
      <c r="BX38" s="4">
        <f>IFERROR(
(INDEX(スコア表[],MATCH($C38,スコア表['#],0),MATCH(BX$5,スコア表[#Headers],0))
-
INDEX(スコア表2[],MATCH("average",スコア表2[maxmin],0),MATCH(BX$5,スコア表2[#Headers],0)))
/
INDEX(スコア表2[],MATCH("stdev.p",スコア表2[maxmin],0),MATCH(BX$5,スコア表2[#Headers],0))
*10+50,"-")</f>
        <v>38.013608017962845</v>
      </c>
      <c r="BY38" s="4">
        <f>IFERROR(
(INDEX(スコア表[],MATCH($C38,スコア表['#],0),MATCH(BY$5,スコア表[#Headers],0))
-
INDEX(スコア表2[],MATCH("average",スコア表2[maxmin],0),MATCH(BY$5,スコア表2[#Headers],0)))
/
INDEX(スコア表2[],MATCH("stdev.p",スコア表2[maxmin],0),MATCH(BY$5,スコア表2[#Headers],0))
*10+50,"-")</f>
        <v>44.776358114170719</v>
      </c>
      <c r="BZ38" s="4">
        <f>IFERROR(
(INDEX(スコア表[],MATCH($C38,スコア表['#],0),MATCH(BZ$5,スコア表[#Headers],0))
-
INDEX(スコア表2[],MATCH("average",スコア表2[maxmin],0),MATCH(BZ$5,スコア表2[#Headers],0)))
/
INDEX(スコア表2[],MATCH("stdev.p",スコア表2[maxmin],0),MATCH(BZ$5,スコア表2[#Headers],0))
*10+50,"-")</f>
        <v>45.166582342197302</v>
      </c>
      <c r="CA38" s="4">
        <f>IFERROR(
(INDEX(スコア表[],MATCH($C38,スコア表['#],0),MATCH(CA$5,スコア表[#Headers],0))
-
INDEX(スコア表2[],MATCH("average",スコア表2[maxmin],0),MATCH(CA$5,スコア表2[#Headers],0)))
/
INDEX(スコア表2[],MATCH("stdev.p",スコア表2[maxmin],0),MATCH(CA$5,スコア表2[#Headers],0))
*10+50,"-")</f>
        <v>42.012467213549911</v>
      </c>
      <c r="CB38" s="4">
        <f>IFERROR(
(INDEX(スコア表[],MATCH($C38,スコア表['#],0),MATCH(CB$5,スコア表[#Headers],0))
-
INDEX(スコア表2[],MATCH("average",スコア表2[maxmin],0),MATCH(CB$5,スコア表2[#Headers],0)))
/
INDEX(スコア表2[],MATCH("stdev.p",スコア表2[maxmin],0),MATCH(CB$5,スコア表2[#Headers],0))
*10+50,"-")</f>
        <v>45.037330597417544</v>
      </c>
      <c r="CC38" s="4">
        <f>IFERROR(
(INDEX(スコア表[],MATCH($C38,スコア表['#],0),MATCH(CC$5,スコア表[#Headers],0))
-
INDEX(スコア表2[],MATCH("average",スコア表2[maxmin],0),MATCH(CC$5,スコア表2[#Headers],0)))
/
INDEX(スコア表2[],MATCH("stdev.p",スコア表2[maxmin],0),MATCH(CC$5,スコア表2[#Headers],0))
*10+50,"-")</f>
        <v>59.549409838534103</v>
      </c>
      <c r="CD38" s="4">
        <f>IFERROR(
(INDEX(スコア表[],MATCH($C38,スコア表['#],0),MATCH(CD$5,スコア表[#Headers],0))
-
INDEX(スコア表2[],MATCH("average",スコア表2[maxmin],0),MATCH(CD$5,スコア表2[#Headers],0)))
/
INDEX(スコア表2[],MATCH("stdev.p",スコア表2[maxmin],0),MATCH(CD$5,スコア表2[#Headers],0))
*10+50,"-")</f>
        <v>42.497449516218865</v>
      </c>
      <c r="CE38" s="4">
        <f>IFERROR(
(INDEX(スコア表[],MATCH($C38,スコア表['#],0),MATCH(CE$5,スコア表[#Headers],0))
-
INDEX(スコア表2[],MATCH("average",スコア表2[maxmin],0),MATCH(CE$5,スコア表2[#Headers],0)))
/
INDEX(スコア表2[],MATCH("stdev.p",スコア表2[maxmin],0),MATCH(CE$5,スコア表2[#Headers],0))
*10+50,"-")</f>
        <v>43.427650525579047</v>
      </c>
      <c r="CF38" s="4">
        <f>IFERROR(
(INDEX(スコア表[],MATCH($C38,スコア表['#],0),MATCH(CF$5,スコア表[#Headers],0))
-
INDEX(スコア表2[],MATCH("average",スコア表2[maxmin],0),MATCH(CF$5,スコア表2[#Headers],0)))
/
INDEX(スコア表2[],MATCH("stdev.p",スコア表2[maxmin],0),MATCH(CF$5,スコア表2[#Headers],0))
*10+50,"-")</f>
        <v>40.592578918394814</v>
      </c>
      <c r="CG38" s="4">
        <f>IFERROR(
(INDEX(スコア表[],MATCH($C38,スコア表['#],0),MATCH(CG$5,スコア表[#Headers],0))
-
INDEX(スコア表2[],MATCH("average",スコア表2[maxmin],0),MATCH(CG$5,スコア表2[#Headers],0)))
/
INDEX(スコア表2[],MATCH("stdev.p",スコア表2[maxmin],0),MATCH(CG$5,スコア表2[#Headers],0))
*10+50,"-")</f>
        <v>46.073860834456951</v>
      </c>
      <c r="CH38" s="4">
        <f>IFERROR(
(INDEX(スコア表[],MATCH($C38,スコア表['#],0),MATCH(CH$5,スコア表[#Headers],0))
-
INDEX(スコア表2[],MATCH("average",スコア表2[maxmin],0),MATCH(CH$5,スコア表2[#Headers],0)))
/
INDEX(スコア表2[],MATCH("stdev.p",スコア表2[maxmin],0),MATCH(CH$5,スコア表2[#Headers],0))
*10+50,"-")</f>
        <v>44.798113307611708</v>
      </c>
      <c r="CI38" s="4">
        <f>IFERROR(
(INDEX(スコア表[],MATCH($C38,スコア表['#],0),MATCH(CI$5,スコア表[#Headers],0))
-
INDEX(スコア表2[],MATCH("average",スコア表2[maxmin],0),MATCH(CI$5,スコア表2[#Headers],0)))
/
INDEX(スコア表2[],MATCH("stdev.p",スコア表2[maxmin],0),MATCH(CI$5,スコア表2[#Headers],0))
*10+50,"-")</f>
        <v>48.112222219499493</v>
      </c>
      <c r="CJ38" s="4">
        <f>IFERROR(
(INDEX(スコア表[],MATCH($C38,スコア表['#],0),MATCH(CJ$5,スコア表[#Headers],0))
-
INDEX(スコア表2[],MATCH("average",スコア表2[maxmin],0),MATCH(CJ$5,スコア表2[#Headers],0)))
/
INDEX(スコア表2[],MATCH("stdev.p",スコア表2[maxmin],0),MATCH(CJ$5,スコア表2[#Headers],0))
*10+50,"-")</f>
        <v>54.737744115700366</v>
      </c>
      <c r="CK38" s="4">
        <f>IFERROR(
(INDEX(スコア表[],MATCH($C38,スコア表['#],0),MATCH(CK$5,スコア表[#Headers],0))
-
INDEX(スコア表2[],MATCH("average",スコア表2[maxmin],0),MATCH(CK$5,スコア表2[#Headers],0)))
/
INDEX(スコア表2[],MATCH("stdev.p",スコア表2[maxmin],0),MATCH(CK$5,スコア表2[#Headers],0))
*10+50,"-")</f>
        <v>47.376989080941165</v>
      </c>
      <c r="CL38" s="4">
        <f>IFERROR(
(INDEX(スコア表[],MATCH($C38,スコア表['#],0),MATCH(CL$5,スコア表[#Headers],0))
-
INDEX(スコア表2[],MATCH("average",スコア表2[maxmin],0),MATCH(CL$5,スコア表2[#Headers],0)))
/
INDEX(スコア表2[],MATCH("stdev.p",スコア表2[maxmin],0),MATCH(CL$5,スコア表2[#Headers],0))
*10+50,"-")</f>
        <v>48.965423793089037</v>
      </c>
      <c r="CM38" s="4">
        <f>IFERROR(
(INDEX(スコア表[],MATCH($C38,スコア表['#],0),MATCH(CM$5,スコア表[#Headers],0))
-
INDEX(スコア表2[],MATCH("average",スコア表2[maxmin],0),MATCH(CM$5,スコア表2[#Headers],0)))
/
INDEX(スコア表2[],MATCH("stdev.p",スコア表2[maxmin],0),MATCH(CM$5,スコア表2[#Headers],0))
*10+50,"-")</f>
        <v>47.528998459011376</v>
      </c>
      <c r="CN38" s="4">
        <f>IFERROR(
(INDEX(スコア表[],MATCH($C38,スコア表['#],0),MATCH(CN$5,スコア表[#Headers],0))
-
INDEX(スコア表2[],MATCH("average",スコア表2[maxmin],0),MATCH(CN$5,スコア表2[#Headers],0)))
/
INDEX(スコア表2[],MATCH("stdev.p",スコア表2[maxmin],0),MATCH(CN$5,スコア表2[#Headers],0))
*10+50,"-")</f>
        <v>39.44028899452551</v>
      </c>
      <c r="CO38" s="4">
        <f>IFERROR(
(INDEX(スコア表[],MATCH($C38,スコア表['#],0),MATCH(CO$5,スコア表[#Headers],0))
-
INDEX(スコア表2[],MATCH("average",スコア表2[maxmin],0),MATCH(CO$5,スコア表2[#Headers],0)))
/
INDEX(スコア表2[],MATCH("stdev.p",スコア表2[maxmin],0),MATCH(CO$5,スコア表2[#Headers],0))
*10+50,"-")</f>
        <v>50.412914844671548</v>
      </c>
      <c r="CP38" s="4">
        <f>IFERROR(
(INDEX(スコア表[],MATCH($C38,スコア表['#],0),MATCH(CP$5,スコア表[#Headers],0))
-
INDEX(スコア表2[],MATCH("average",スコア表2[maxmin],0),MATCH(CP$5,スコア表2[#Headers],0)))
/
INDEX(スコア表2[],MATCH("stdev.p",スコア表2[maxmin],0),MATCH(CP$5,スコア表2[#Headers],0))
*10+50,"-")</f>
        <v>56.569892692205286</v>
      </c>
      <c r="CQ38" s="4">
        <f>IFERROR(
(INDEX(スコア表[],MATCH($C38,スコア表['#],0),MATCH(CQ$5,スコア表[#Headers],0))
-
INDEX(スコア表2[],MATCH("average",スコア表2[maxmin],0),MATCH(CQ$5,スコア表2[#Headers],0)))
/
INDEX(スコア表2[],MATCH("stdev.p",スコア表2[maxmin],0),MATCH(CQ$5,スコア表2[#Headers],0))
*10+50,"-")</f>
        <v>58.004553195008285</v>
      </c>
      <c r="CR38" s="4">
        <f>IFERROR(
(INDEX(スコア表[],MATCH($C38,スコア表['#],0),MATCH(CR$5,スコア表[#Headers],0))
-
INDEX(スコア表2[],MATCH("average",スコア表2[maxmin],0),MATCH(CR$5,スコア表2[#Headers],0)))
/
INDEX(スコア表2[],MATCH("stdev.p",スコア表2[maxmin],0),MATCH(CR$5,スコア表2[#Headers],0))
*10+50,"-")</f>
        <v>57.406627618564535</v>
      </c>
      <c r="CS38" s="4">
        <f>IFERROR(
(INDEX(スコア表[],MATCH($C38,スコア表['#],0),MATCH(CS$5,スコア表[#Headers],0))
-
INDEX(スコア表2[],MATCH("average",スコア表2[maxmin],0),MATCH(CS$5,スコア表2[#Headers],0)))
/
INDEX(スコア表2[],MATCH("stdev.p",スコア表2[maxmin],0),MATCH(CS$5,スコア表2[#Headers],0))
*10+50,"-")</f>
        <v>53.931098602628495</v>
      </c>
      <c r="CT38" s="4">
        <f>IFERROR(
(INDEX(スコア表[],MATCH($C38,スコア表['#],0),MATCH(CT$5,スコア表[#Headers],0))
-
INDEX(スコア表2[],MATCH("average",スコア表2[maxmin],0),MATCH(CT$5,スコア表2[#Headers],0)))
/
INDEX(スコア表2[],MATCH("stdev.p",スコア表2[maxmin],0),MATCH(CT$5,スコア表2[#Headers],0))
*10+50,"-")</f>
        <v>46.907738243838914</v>
      </c>
      <c r="CU38" s="4">
        <f>IFERROR(
(INDEX(スコア表[],MATCH($C38,スコア表['#],0),MATCH(CU$5,スコア表[#Headers],0))
-
INDEX(スコア表2[],MATCH("average",スコア表2[maxmin],0),MATCH(CU$5,スコア表2[#Headers],0)))
/
INDEX(スコア表2[],MATCH("stdev.p",スコア表2[maxmin],0),MATCH(CU$5,スコア表2[#Headers],0))
*10+50,"-")</f>
        <v>46.740579209383924</v>
      </c>
      <c r="CV38" s="4">
        <f>IFERROR(
(INDEX(スコア表[],MATCH($C38,スコア表['#],0),MATCH(CV$5,スコア表[#Headers],0))
-
INDEX(スコア表2[],MATCH("average",スコア表2[maxmin],0),MATCH(CV$5,スコア表2[#Headers],0)))
/
INDEX(スコア表2[],MATCH("stdev.p",スコア表2[maxmin],0),MATCH(CV$5,スコア表2[#Headers],0))
*10+50,"-")</f>
        <v>55.260816836531781</v>
      </c>
      <c r="CW38" s="4">
        <f>IFERROR(
(INDEX(スコア表[],MATCH($C38,スコア表['#],0),MATCH(CW$5,スコア表[#Headers],0))
-
INDEX(スコア表2[],MATCH("average",スコア表2[maxmin],0),MATCH(CW$5,スコア表2[#Headers],0)))
/
INDEX(スコア表2[],MATCH("stdev.p",スコア表2[maxmin],0),MATCH(CW$5,スコア表2[#Headers],0))
*10+50,"-")</f>
        <v>50.804638168817164</v>
      </c>
      <c r="CX38" s="4">
        <f>IFERROR(
(INDEX(スコア表[],MATCH($C38,スコア表['#],0),MATCH(CX$5,スコア表[#Headers],0))
-
INDEX(スコア表2[],MATCH("average",スコア表2[maxmin],0),MATCH(CX$5,スコア表2[#Headers],0)))
/
INDEX(スコア表2[],MATCH("stdev.p",スコア表2[maxmin],0),MATCH(CX$5,スコア表2[#Headers],0))
*10+50,"-")</f>
        <v>53.259550837507788</v>
      </c>
      <c r="CY38" s="4">
        <f>IFERROR(
(INDEX(スコア表[],MATCH($C38,スコア表['#],0),MATCH(CY$5,スコア表[#Headers],0))
-
INDEX(スコア表2[],MATCH("average",スコア表2[maxmin],0),MATCH(CY$5,スコア表2[#Headers],0)))
/
INDEX(スコア表2[],MATCH("stdev.p",スコア表2[maxmin],0),MATCH(CY$5,スコア表2[#Headers],0))
*10+50,"-")</f>
        <v>45.654644840550951</v>
      </c>
      <c r="CZ38" s="4">
        <f>IFERROR(
(INDEX(スコア表[],MATCH($C38,スコア表['#],0),MATCH(CZ$5,スコア表[#Headers],0))
-
INDEX(スコア表2[],MATCH("average",スコア表2[maxmin],0),MATCH(CZ$5,スコア表2[#Headers],0)))
/
INDEX(スコア表2[],MATCH("stdev.p",スコア表2[maxmin],0),MATCH(CZ$5,スコア表2[#Headers],0))
*10+50,"-")</f>
        <v>43.400145613683563</v>
      </c>
      <c r="DA38" s="4">
        <f>IFERROR(
(INDEX(スコア表[],MATCH($C38,スコア表['#],0),MATCH(DA$5,スコア表[#Headers],0))
-
INDEX(スコア表2[],MATCH("average",スコア表2[maxmin],0),MATCH(DA$5,スコア表2[#Headers],0)))
/
INDEX(スコア表2[],MATCH("stdev.p",スコア表2[maxmin],0),MATCH(DA$5,スコア表2[#Headers],0))
*10+50,"-")</f>
        <v>42.905760478451832</v>
      </c>
      <c r="DB38" s="4">
        <f>IFERROR(
(INDEX(スコア表[],MATCH($C38,スコア表['#],0),MATCH(DB$5,スコア表[#Headers],0))
-
INDEX(スコア表2[],MATCH("average",スコア表2[maxmin],0),MATCH(DB$5,スコア表2[#Headers],0)))
/
INDEX(スコア表2[],MATCH("stdev.p",スコア表2[maxmin],0),MATCH(DB$5,スコア表2[#Headers],0))
*10+50,"-")</f>
        <v>48.939469552296565</v>
      </c>
      <c r="DC38" s="4">
        <f>IFERROR(
(INDEX(スコア表[],MATCH($C38,スコア表['#],0),MATCH(DC$5,スコア表[#Headers],0))
-
INDEX(スコア表2[],MATCH("average",スコア表2[maxmin],0),MATCH(DC$5,スコア表2[#Headers],0)))
/
INDEX(スコア表2[],MATCH("stdev.p",スコア表2[maxmin],0),MATCH(DC$5,スコア表2[#Headers],0))
*10+50,"-")</f>
        <v>57.304006621837232</v>
      </c>
      <c r="DD38" s="4">
        <f>IFERROR(
(INDEX(スコア表[],MATCH($C38,スコア表['#],0),MATCH(DD$5,スコア表[#Headers],0))
-
INDEX(スコア表2[],MATCH("average",スコア表2[maxmin],0),MATCH(DD$5,スコア表2[#Headers],0)))
/
INDEX(スコア表2[],MATCH("stdev.p",スコア表2[maxmin],0),MATCH(DD$5,スコア表2[#Headers],0))
*10+50,"-")</f>
        <v>48.272048826929066</v>
      </c>
      <c r="DE38" s="4">
        <f>IFERROR(
(INDEX(スコア表[],MATCH($C38,スコア表['#],0),MATCH(DE$5,スコア表[#Headers],0))
-
INDEX(スコア表2[],MATCH("average",スコア表2[maxmin],0),MATCH(DE$5,スコア表2[#Headers],0)))
/
INDEX(スコア表2[],MATCH("stdev.p",スコア表2[maxmin],0),MATCH(DE$5,スコア表2[#Headers],0))
*10+50,"-")</f>
        <v>52.270053168398405</v>
      </c>
      <c r="DF38" s="76">
        <f>IFERROR(
(INDEX(スコア表[],MATCH($C38,スコア表['#],0),MATCH(DF$5,スコア表[#Headers],0))
-
INDEX(スコア表2[],MATCH("average",スコア表2[maxmin],0),MATCH(DF$5,スコア表2[#Headers],0)))
/
INDEX(スコア表2[],MATCH("stdev.p",スコア表2[maxmin],0),MATCH(DF$5,スコア表2[#Headers],0))
*10+50,"-")</f>
        <v>46.988109411130452</v>
      </c>
      <c r="DG38" s="4">
        <f>IFERROR(_xlfn.STDEV.P(偏差値表[[#This Row],[Economy]:[Accessibility]]),"")</f>
        <v>4.9756726217210803</v>
      </c>
    </row>
    <row r="39" spans="1:111">
      <c r="A39" s="2">
        <v>34</v>
      </c>
      <c r="B39" s="58">
        <f>INDEX(順位表[Comprehensive],MATCH($C39,順位表['#],0))</f>
        <v>34</v>
      </c>
      <c r="C39" s="3">
        <v>17</v>
      </c>
      <c r="D39" s="1" t="str">
        <f>INDEX(都市マスタ[City Name],MATCH($C39,都市マスタ['#],0))</f>
        <v>Moscow</v>
      </c>
      <c r="E39" s="4">
        <f>IFERROR(
(INDEX(スコア表[],MATCH($C39,スコア表['#],0),MATCH(E$5,スコア表[#Headers],0))
-
INDEX(スコア表2[],MATCH("average",スコア表2[maxmin],0),MATCH(E$5,スコア表2[#Headers],0)))
/
INDEX(スコア表2[],MATCH("stdev.p",スコア表2[maxmin],0),MATCH(E$5,スコア表2[#Headers],0))
*10+50,"-")</f>
        <v>63.688499865052648</v>
      </c>
      <c r="F39" s="4">
        <f>IFERROR(
(INDEX(スコア表[],MATCH($C39,スコア表['#],0),MATCH(F$5,スコア表[#Headers],0))
-
INDEX(スコア表2[],MATCH("average",スコア表2[maxmin],0),MATCH(F$5,スコア表2[#Headers],0)))
/
INDEX(スコア表2[],MATCH("stdev.p",スコア表2[maxmin],0),MATCH(F$5,スコア表2[#Headers],0))
*10+50,"-")</f>
        <v>52.485279252978195</v>
      </c>
      <c r="G39" s="4">
        <f>IFERROR(
(INDEX(スコア表[],MATCH($C39,スコア表['#],0),MATCH(G$5,スコア表[#Headers],0))
-
INDEX(スコア表2[],MATCH("average",スコア表2[maxmin],0),MATCH(G$5,スコア表2[#Headers],0)))
/
INDEX(スコア表2[],MATCH("stdev.p",スコア表2[maxmin],0),MATCH(G$5,スコア表2[#Headers],0))
*10+50,"-")</f>
        <v>48.657356743820237</v>
      </c>
      <c r="H39" s="4">
        <f>IFERROR(
(INDEX(スコア表[],MATCH($C39,スコア表['#],0),MATCH(H$5,スコア表[#Headers],0))
-
INDEX(スコア表2[],MATCH("average",スコア表2[maxmin],0),MATCH(H$5,スコア表2[#Headers],0)))
/
INDEX(スコア表2[],MATCH("stdev.p",スコア表2[maxmin],0),MATCH(H$5,スコア表2[#Headers],0))
*10+50,"-")</f>
        <v>54.734805503477141</v>
      </c>
      <c r="I39" s="4">
        <f>IFERROR(
(INDEX(スコア表[],MATCH($C39,スコア表['#],0),MATCH(I$5,スコア表[#Headers],0))
-
INDEX(スコア表2[],MATCH("average",スコア表2[maxmin],0),MATCH(I$5,スコア表2[#Headers],0)))
/
INDEX(スコア表2[],MATCH("stdev.p",スコア表2[maxmin],0),MATCH(I$5,スコア表2[#Headers],0))
*10+50,"-")</f>
        <v>41.501583083052992</v>
      </c>
      <c r="J39" s="4">
        <f>IFERROR(
(INDEX(スコア表[],MATCH($C39,スコア表['#],0),MATCH(J$5,スコア表[#Headers],0))
-
INDEX(スコア表2[],MATCH("average",スコア表2[maxmin],0),MATCH(J$5,スコア表2[#Headers],0)))
/
INDEX(スコア表2[],MATCH("stdev.p",スコア表2[maxmin],0),MATCH(J$5,スコア表2[#Headers],0))
*10+50,"-")</f>
        <v>52.047062015736792</v>
      </c>
      <c r="K39" s="4">
        <f>IFERROR(
(INDEX(スコア表[],MATCH($C39,スコア表['#],0),MATCH(K$5,スコア表[#Headers],0))
-
INDEX(スコア表2[],MATCH("average",スコア表2[maxmin],0),MATCH(K$5,スコア表2[#Headers],0)))
/
INDEX(スコア表2[],MATCH("stdev.p",スコア表2[maxmin],0),MATCH(K$5,スコア表2[#Headers],0))
*10+50,"-")</f>
        <v>35.928743571559451</v>
      </c>
      <c r="L39" s="4">
        <f>IFERROR(
(INDEX(スコア表[],MATCH($C39,スコア表['#],0),MATCH(L$5,スコア表[#Headers],0))
-
INDEX(スコア表2[],MATCH("average",スコア表2[maxmin],0),MATCH(L$5,スコア表2[#Headers],0)))
/
INDEX(スコア表2[],MATCH("stdev.p",スコア表2[maxmin],0),MATCH(L$5,スコア表2[#Headers],0))
*10+50,"-")</f>
        <v>47.744908209600005</v>
      </c>
      <c r="M39" s="4">
        <f>IFERROR(
(INDEX(スコア表[],MATCH($C39,スコア表['#],0),MATCH(M$5,スコア表[#Headers],0))
-
INDEX(スコア表2[],MATCH("average",スコア表2[maxmin],0),MATCH(M$5,スコア表2[#Headers],0)))
/
INDEX(スコア表2[],MATCH("stdev.p",スコア表2[maxmin],0),MATCH(M$5,スコア表2[#Headers],0))
*10+50,"-")</f>
        <v>46.224957408420153</v>
      </c>
      <c r="N39" s="4">
        <f>IFERROR(
(INDEX(スコア表[],MATCH($C39,スコア表['#],0),MATCH(N$5,スコア表[#Headers],0))
-
INDEX(スコア表2[],MATCH("average",スコア表2[maxmin],0),MATCH(N$5,スコア表2[#Headers],0)))
/
INDEX(スコア表2[],MATCH("stdev.p",スコア表2[maxmin],0),MATCH(N$5,スコア表2[#Headers],0))
*10+50,"-")</f>
        <v>64.366229087563099</v>
      </c>
      <c r="O39" s="4">
        <f>IFERROR(
(INDEX(スコア表[],MATCH($C39,スコア表['#],0),MATCH(O$5,スコア表[#Headers],0))
-
INDEX(スコア表2[],MATCH("average",スコア表2[maxmin],0),MATCH(O$5,スコア表2[#Headers],0)))
/
INDEX(スコア表2[],MATCH("stdev.p",スコア表2[maxmin],0),MATCH(O$5,スコア表2[#Headers],0))
*10+50,"-")</f>
        <v>33.49451126869026</v>
      </c>
      <c r="P39" s="4">
        <f>IFERROR(
(INDEX(スコア表[],MATCH($C39,スコア表['#],0),MATCH(P$5,スコア表[#Headers],0))
-
INDEX(スコア表2[],MATCH("average",スコア表2[maxmin],0),MATCH(P$5,スコア表2[#Headers],0)))
/
INDEX(スコア表2[],MATCH("stdev.p",スコア表2[maxmin],0),MATCH(P$5,スコア表2[#Headers],0))
*10+50,"-")</f>
        <v>40.384449830327199</v>
      </c>
      <c r="Q39" s="4">
        <f>IFERROR(
(INDEX(スコア表[],MATCH($C39,スコア表['#],0),MATCH(Q$5,スコア表[#Headers],0))
-
INDEX(スコア表2[],MATCH("average",スコア表2[maxmin],0),MATCH(Q$5,スコア表2[#Headers],0)))
/
INDEX(スコア表2[],MATCH("stdev.p",スコア表2[maxmin],0),MATCH(Q$5,スコア表2[#Headers],0))
*10+50,"-")</f>
        <v>41.033735330093947</v>
      </c>
      <c r="R39" s="4">
        <f>IFERROR(
(INDEX(スコア表[],MATCH($C39,スコア表['#],0),MATCH(R$5,スコア表[#Headers],0))
-
INDEX(スコア表2[],MATCH("average",スコア表2[maxmin],0),MATCH(R$5,スコア表2[#Headers],0)))
/
INDEX(スコア表2[],MATCH("stdev.p",スコア表2[maxmin],0),MATCH(R$5,スコア表2[#Headers],0))
*10+50,"-")</f>
        <v>39.952506063556029</v>
      </c>
      <c r="S39" s="4">
        <f>IFERROR(
(INDEX(スコア表[],MATCH($C39,スコア表['#],0),MATCH(S$5,スコア表[#Headers],0))
-
INDEX(スコア表2[],MATCH("average",スコア表2[maxmin],0),MATCH(S$5,スコア表2[#Headers],0)))
/
INDEX(スコア表2[],MATCH("stdev.p",スコア表2[maxmin],0),MATCH(S$5,スコア表2[#Headers],0))
*10+50,"-")</f>
        <v>58.874866438455072</v>
      </c>
      <c r="T39" s="4">
        <f>IFERROR(
(INDEX(スコア表[],MATCH($C39,スコア表['#],0),MATCH(T$5,スコア表[#Headers],0))
-
INDEX(スコア表2[],MATCH("average",スコア表2[maxmin],0),MATCH(T$5,スコア表2[#Headers],0)))
/
INDEX(スコア表2[],MATCH("stdev.p",スコア表2[maxmin],0),MATCH(T$5,スコア表2[#Headers],0))
*10+50,"-")</f>
        <v>29.818733789082323</v>
      </c>
      <c r="U39" s="4">
        <f>IFERROR(
(INDEX(スコア表[],MATCH($C39,スコア表['#],0),MATCH(U$5,スコア表[#Headers],0))
-
INDEX(スコア表2[],MATCH("average",スコア表2[maxmin],0),MATCH(U$5,スコア表2[#Headers],0)))
/
INDEX(スコア表2[],MATCH("stdev.p",スコア表2[maxmin],0),MATCH(U$5,スコア表2[#Headers],0))
*10+50,"-")</f>
        <v>57.03580445774768</v>
      </c>
      <c r="V39" s="4">
        <f>IFERROR(
(INDEX(スコア表[],MATCH($C39,スコア表['#],0),MATCH(V$5,スコア表[#Headers],0))
-
INDEX(スコア表2[],MATCH("average",スコア表2[maxmin],0),MATCH(V$5,スコア表2[#Headers],0)))
/
INDEX(スコア表2[],MATCH("stdev.p",スコア表2[maxmin],0),MATCH(V$5,スコア表2[#Headers],0))
*10+50,"-")</f>
        <v>42.675128888675673</v>
      </c>
      <c r="W39" s="4">
        <f>IFERROR(
(INDEX(スコア表[],MATCH($C39,スコア表['#],0),MATCH(W$5,スコア表[#Headers],0))
-
INDEX(スコア表2[],MATCH("average",スコア表2[maxmin],0),MATCH(W$5,スコア表2[#Headers],0)))
/
INDEX(スコア表2[],MATCH("stdev.p",スコア表2[maxmin],0),MATCH(W$5,スコア表2[#Headers],0))
*10+50,"-")</f>
        <v>45.125578075388937</v>
      </c>
      <c r="X39" s="4">
        <f>IFERROR(
(INDEX(スコア表[],MATCH($C39,スコア表['#],0),MATCH(X$5,スコア表[#Headers],0))
-
INDEX(スコア表2[],MATCH("average",スコア表2[maxmin],0),MATCH(X$5,スコア表2[#Headers],0)))
/
INDEX(スコア表2[],MATCH("stdev.p",スコア表2[maxmin],0),MATCH(X$5,スコア表2[#Headers],0))
*10+50,"-")</f>
        <v>56.299391280872882</v>
      </c>
      <c r="Y39" s="4">
        <f>IFERROR(
(INDEX(スコア表[],MATCH($C39,スコア表['#],0),MATCH(Y$5,スコア表[#Headers],0))
-
INDEX(スコア表2[],MATCH("average",スコア表2[maxmin],0),MATCH(Y$5,スコア表2[#Headers],0)))
/
INDEX(スコア表2[],MATCH("stdev.p",スコア表2[maxmin],0),MATCH(Y$5,スコア表2[#Headers],0))
*10+50,"-")</f>
        <v>49.964569635445223</v>
      </c>
      <c r="Z39" s="4">
        <f>IFERROR(
(INDEX(スコア表[],MATCH($C39,スコア表['#],0),MATCH(Z$5,スコア表[#Headers],0))
-
INDEX(スコア表2[],MATCH("average",スコア表2[maxmin],0),MATCH(Z$5,スコア表2[#Headers],0)))
/
INDEX(スコア表2[],MATCH("stdev.p",スコア表2[maxmin],0),MATCH(Z$5,スコア表2[#Headers],0))
*10+50,"-")</f>
        <v>49.248443473313181</v>
      </c>
      <c r="AA39" s="4">
        <f>IFERROR(
(INDEX(スコア表[],MATCH($C39,スコア表['#],0),MATCH(AA$5,スコア表[#Headers],0))
-
INDEX(スコア表2[],MATCH("average",スコア表2[maxmin],0),MATCH(AA$5,スコア表2[#Headers],0)))
/
INDEX(スコア表2[],MATCH("stdev.p",スコア表2[maxmin],0),MATCH(AA$5,スコア表2[#Headers],0))
*10+50,"-")</f>
        <v>45.76509726810211</v>
      </c>
      <c r="AB39" s="4">
        <f>IFERROR(
(INDEX(スコア表[],MATCH($C39,スコア表['#],0),MATCH(AB$5,スコア表[#Headers],0))
-
INDEX(スコア表2[],MATCH("average",スコア表2[maxmin],0),MATCH(AB$5,スコア表2[#Headers],0)))
/
INDEX(スコア表2[],MATCH("stdev.p",スコア表2[maxmin],0),MATCH(AB$5,スコア表2[#Headers],0))
*10+50,"-")</f>
        <v>43.618464726055848</v>
      </c>
      <c r="AC39" s="4">
        <f>IFERROR(
(INDEX(スコア表[],MATCH($C39,スコア表['#],0),MATCH(AC$5,スコア表[#Headers],0))
-
INDEX(スコア表2[],MATCH("average",スコア表2[maxmin],0),MATCH(AC$5,スコア表2[#Headers],0)))
/
INDEX(スコア表2[],MATCH("stdev.p",スコア表2[maxmin],0),MATCH(AC$5,スコア表2[#Headers],0))
*10+50,"-")</f>
        <v>44.72068673910011</v>
      </c>
      <c r="AD39" s="4">
        <f>IFERROR(
(INDEX(スコア表[],MATCH($C39,スコア表['#],0),MATCH(AD$5,スコア表[#Headers],0))
-
INDEX(スコア表2[],MATCH("average",スコア表2[maxmin],0),MATCH(AD$5,スコア表2[#Headers],0)))
/
INDEX(スコア表2[],MATCH("stdev.p",スコア表2[maxmin],0),MATCH(AD$5,スコア表2[#Headers],0))
*10+50,"-")</f>
        <v>78.505486416650442</v>
      </c>
      <c r="AE39" s="4">
        <f>IFERROR(
(INDEX(スコア表[],MATCH($C39,スコア表['#],0),MATCH(AE$5,スコア表[#Headers],0))
-
INDEX(スコア表2[],MATCH("average",スコア表2[maxmin],0),MATCH(AE$5,スコア表2[#Headers],0)))
/
INDEX(スコア表2[],MATCH("stdev.p",スコア表2[maxmin],0),MATCH(AE$5,スコア表2[#Headers],0))
*10+50,"-")</f>
        <v>45.244052404900671</v>
      </c>
      <c r="AF39" s="4">
        <f>IFERROR(
(INDEX(スコア表[],MATCH($C39,スコア表['#],0),MATCH(AF$5,スコア表[#Headers],0))
-
INDEX(スコア表2[],MATCH("average",スコア表2[maxmin],0),MATCH(AF$5,スコア表2[#Headers],0)))
/
INDEX(スコア表2[],MATCH("stdev.p",スコア表2[maxmin],0),MATCH(AF$5,スコア表2[#Headers],0))
*10+50,"-")</f>
        <v>46.502537711792989</v>
      </c>
      <c r="AG39" s="4">
        <f>IFERROR(
(INDEX(スコア表[],MATCH($C39,スコア表['#],0),MATCH(AG$5,スコア表[#Headers],0))
-
INDEX(スコア表2[],MATCH("average",スコア表2[maxmin],0),MATCH(AG$5,スコア表2[#Headers],0)))
/
INDEX(スコア表2[],MATCH("stdev.p",スコア表2[maxmin],0),MATCH(AG$5,スコア表2[#Headers],0))
*10+50,"-")</f>
        <v>59.632906012245904</v>
      </c>
      <c r="AH39" s="4">
        <f>IFERROR(
(INDEX(スコア表[],MATCH($C39,スコア表['#],0),MATCH(AH$5,スコア表[#Headers],0))
-
INDEX(スコア表2[],MATCH("average",スコア表2[maxmin],0),MATCH(AH$5,スコア表2[#Headers],0)))
/
INDEX(スコア表2[],MATCH("stdev.p",スコア表2[maxmin],0),MATCH(AH$5,スコア表2[#Headers],0))
*10+50,"-")</f>
        <v>48.66682348065946</v>
      </c>
      <c r="AI39" s="4">
        <f>IFERROR(
(INDEX(スコア表[],MATCH($C39,スコア表['#],0),MATCH(AI$5,スコア表[#Headers],0))
-
INDEX(スコア表2[],MATCH("average",スコア表2[maxmin],0),MATCH(AI$5,スコア表2[#Headers],0)))
/
INDEX(スコア表2[],MATCH("stdev.p",スコア表2[maxmin],0),MATCH(AI$5,スコア表2[#Headers],0))
*10+50,"-")</f>
        <v>44.971424114069031</v>
      </c>
      <c r="AJ39" s="4">
        <f>IFERROR(
(INDEX(スコア表[],MATCH($C39,スコア表['#],0),MATCH(AJ$5,スコア表[#Headers],0))
-
INDEX(スコア表2[],MATCH("average",スコア表2[maxmin],0),MATCH(AJ$5,スコア表2[#Headers],0)))
/
INDEX(スコア表2[],MATCH("stdev.p",スコア表2[maxmin],0),MATCH(AJ$5,スコア表2[#Headers],0))
*10+50,"-")</f>
        <v>78.750161317418019</v>
      </c>
      <c r="AK39" s="4">
        <f>IFERROR(
(INDEX(スコア表[],MATCH($C39,スコア表['#],0),MATCH(AK$5,スコア表[#Headers],0))
-
INDEX(スコア表2[],MATCH("average",スコア表2[maxmin],0),MATCH(AK$5,スコア表2[#Headers],0)))
/
INDEX(スコア表2[],MATCH("stdev.p",スコア表2[maxmin],0),MATCH(AK$5,スコア表2[#Headers],0))
*10+50,"-")</f>
        <v>82.364572976480787</v>
      </c>
      <c r="AL39" s="4">
        <f>IFERROR(
(INDEX(スコア表[],MATCH($C39,スコア表['#],0),MATCH(AL$5,スコア表[#Headers],0))
-
INDEX(スコア表2[],MATCH("average",スコア表2[maxmin],0),MATCH(AL$5,スコア表2[#Headers],0)))
/
INDEX(スコア表2[],MATCH("stdev.p",スコア表2[maxmin],0),MATCH(AL$5,スコア表2[#Headers],0))
*10+50,"-")</f>
        <v>61.617203519863253</v>
      </c>
      <c r="AM39" s="4">
        <f>IFERROR(
(INDEX(スコア表[],MATCH($C39,スコア表['#],0),MATCH(AM$5,スコア表[#Headers],0))
-
INDEX(スコア表2[],MATCH("average",スコア表2[maxmin],0),MATCH(AM$5,スコア表2[#Headers],0)))
/
INDEX(スコア表2[],MATCH("stdev.p",スコア表2[maxmin],0),MATCH(AM$5,スコア表2[#Headers],0))
*10+50,"-")</f>
        <v>49.233997873679058</v>
      </c>
      <c r="AN39" s="4">
        <f>IFERROR(
(INDEX(スコア表[],MATCH($C39,スコア表['#],0),MATCH(AN$5,スコア表[#Headers],0))
-
INDEX(スコア表2[],MATCH("average",スコア表2[maxmin],0),MATCH(AN$5,スコア表2[#Headers],0)))
/
INDEX(スコア表2[],MATCH("stdev.p",スコア表2[maxmin],0),MATCH(AN$5,スコア表2[#Headers],0))
*10+50,"-")</f>
        <v>49.964467684051598</v>
      </c>
      <c r="AO39" s="4">
        <f>IFERROR(
(INDEX(スコア表[],MATCH($C39,スコア表['#],0),MATCH(AO$5,スコア表[#Headers],0))
-
INDEX(スコア表2[],MATCH("average",スコア表2[maxmin],0),MATCH(AO$5,スコア表2[#Headers],0)))
/
INDEX(スコア表2[],MATCH("stdev.p",スコア表2[maxmin],0),MATCH(AO$5,スコア表2[#Headers],0))
*10+50,"-")</f>
        <v>43.811119102489357</v>
      </c>
      <c r="AP39" s="4">
        <f>IFERROR(
(INDEX(スコア表[],MATCH($C39,スコア表['#],0),MATCH(AP$5,スコア表[#Headers],0))
-
INDEX(スコア表2[],MATCH("average",スコア表2[maxmin],0),MATCH(AP$5,スコア表2[#Headers],0)))
/
INDEX(スコア表2[],MATCH("stdev.p",スコア表2[maxmin],0),MATCH(AP$5,スコア表2[#Headers],0))
*10+50,"-")</f>
        <v>42.873907329032264</v>
      </c>
      <c r="AQ39" s="4">
        <f>IFERROR(
(INDEX(スコア表[],MATCH($C39,スコア表['#],0),MATCH(AQ$5,スコア表[#Headers],0))
-
INDEX(スコア表2[],MATCH("average",スコア表2[maxmin],0),MATCH(AQ$5,スコア表2[#Headers],0)))
/
INDEX(スコア表2[],MATCH("stdev.p",スコア表2[maxmin],0),MATCH(AQ$5,スコア表2[#Headers],0))
*10+50,"-")</f>
        <v>43.265585465313528</v>
      </c>
      <c r="AR39" s="4">
        <f>IFERROR(
(INDEX(スコア表[],MATCH($C39,スコア表['#],0),MATCH(AR$5,スコア表[#Headers],0))
-
INDEX(スコア表2[],MATCH("average",スコア表2[maxmin],0),MATCH(AR$5,スコア表2[#Headers],0)))
/
INDEX(スコア表2[],MATCH("stdev.p",スコア表2[maxmin],0),MATCH(AR$5,スコア表2[#Headers],0))
*10+50,"-")</f>
        <v>44.370170425699627</v>
      </c>
      <c r="AS39" s="4">
        <f>IFERROR(
(INDEX(スコア表[],MATCH($C39,スコア表['#],0),MATCH(AS$5,スコア表[#Headers],0))
-
INDEX(スコア表2[],MATCH("average",スコア表2[maxmin],0),MATCH(AS$5,スコア表2[#Headers],0)))
/
INDEX(スコア表2[],MATCH("stdev.p",スコア表2[maxmin],0),MATCH(AS$5,スコア表2[#Headers],0))
*10+50,"-")</f>
        <v>56.89482944069006</v>
      </c>
      <c r="AT39" s="4">
        <f>IFERROR(
(INDEX(スコア表[],MATCH($C39,スコア表['#],0),MATCH(AT$5,スコア表[#Headers],0))
-
INDEX(スコア表2[],MATCH("average",スコア表2[maxmin],0),MATCH(AT$5,スコア表2[#Headers],0)))
/
INDEX(スコア表2[],MATCH("stdev.p",スコア表2[maxmin],0),MATCH(AT$5,スコア表2[#Headers],0))
*10+50,"-")</f>
        <v>67.75247670747558</v>
      </c>
      <c r="AU39" s="4">
        <f>IFERROR(
(INDEX(スコア表[],MATCH($C39,スコア表['#],0),MATCH(AU$5,スコア表[#Headers],0))
-
INDEX(スコア表2[],MATCH("average",スコア表2[maxmin],0),MATCH(AU$5,スコア表2[#Headers],0)))
/
INDEX(スコア表2[],MATCH("stdev.p",スコア表2[maxmin],0),MATCH(AU$5,スコア表2[#Headers],0))
*10+50,"-")</f>
        <v>62.202545634706041</v>
      </c>
      <c r="AV39" s="4">
        <f>IFERROR(
(INDEX(スコア表[],MATCH($C39,スコア表['#],0),MATCH(AV$5,スコア表[#Headers],0))
-
INDEX(スコア表2[],MATCH("average",スコア表2[maxmin],0),MATCH(AV$5,スコア表2[#Headers],0)))
/
INDEX(スコア表2[],MATCH("stdev.p",スコア表2[maxmin],0),MATCH(AV$5,スコア表2[#Headers],0))
*10+50,"-")</f>
        <v>58.657055907655135</v>
      </c>
      <c r="AW39" s="4">
        <f>IFERROR(
(INDEX(スコア表[],MATCH($C39,スコア表['#],0),MATCH(AW$5,スコア表[#Headers],0))
-
INDEX(スコア表2[],MATCH("average",スコア表2[maxmin],0),MATCH(AW$5,スコア表2[#Headers],0)))
/
INDEX(スコア表2[],MATCH("stdev.p",スコア表2[maxmin],0),MATCH(AW$5,スコア表2[#Headers],0))
*10+50,"-")</f>
        <v>55.608879834987363</v>
      </c>
      <c r="AX39" s="4">
        <f>IFERROR(
(INDEX(スコア表[],MATCH($C39,スコア表['#],0),MATCH(AX$5,スコア表[#Headers],0))
-
INDEX(スコア表2[],MATCH("average",スコア表2[maxmin],0),MATCH(AX$5,スコア表2[#Headers],0)))
/
INDEX(スコア表2[],MATCH("stdev.p",スコア表2[maxmin],0),MATCH(AX$5,スコア表2[#Headers],0))
*10+50,"-")</f>
        <v>48.671662496670173</v>
      </c>
      <c r="AY39" s="4">
        <f>IFERROR(
(INDEX(スコア表[],MATCH($C39,スコア表['#],0),MATCH(AY$5,スコア表[#Headers],0))
-
INDEX(スコア表2[],MATCH("average",スコア表2[maxmin],0),MATCH(AY$5,スコア表2[#Headers],0)))
/
INDEX(スコア表2[],MATCH("stdev.p",スコア表2[maxmin],0),MATCH(AY$5,スコア表2[#Headers],0))
*10+50,"-")</f>
        <v>53.882476002895956</v>
      </c>
      <c r="AZ39" s="4">
        <f>IFERROR(
(INDEX(スコア表[],MATCH($C39,スコア表['#],0),MATCH(AZ$5,スコア表[#Headers],0))
-
INDEX(スコア表2[],MATCH("average",スコア表2[maxmin],0),MATCH(AZ$5,スコア表2[#Headers],0)))
/
INDEX(スコア表2[],MATCH("stdev.p",スコア表2[maxmin],0),MATCH(AZ$5,スコア表2[#Headers],0))
*10+50,"-")</f>
        <v>34.332667064388957</v>
      </c>
      <c r="BA39" s="4">
        <f>IFERROR(
(INDEX(スコア表[],MATCH($C39,スコア表['#],0),MATCH(BA$5,スコア表[#Headers],0))
-
INDEX(スコア表2[],MATCH("average",スコア表2[maxmin],0),MATCH(BA$5,スコア表2[#Headers],0)))
/
INDEX(スコア表2[],MATCH("stdev.p",スコア表2[maxmin],0),MATCH(BA$5,スコア表2[#Headers],0))
*10+50,"-")</f>
        <v>30.563073691928476</v>
      </c>
      <c r="BB39" s="4">
        <f>IFERROR(
(INDEX(スコア表[],MATCH($C39,スコア表['#],0),MATCH(BB$5,スコア表[#Headers],0))
-
INDEX(スコア表2[],MATCH("average",スコア表2[maxmin],0),MATCH(BB$5,スコア表2[#Headers],0)))
/
INDEX(スコア表2[],MATCH("stdev.p",スコア表2[maxmin],0),MATCH(BB$5,スコア表2[#Headers],0))
*10+50,"-")</f>
        <v>35.515263144492408</v>
      </c>
      <c r="BC39" s="4">
        <f>IFERROR(
(INDEX(スコア表[],MATCH($C39,スコア表['#],0),MATCH(BC$5,スコア表[#Headers],0))
-
INDEX(スコア表2[],MATCH("average",スコア表2[maxmin],0),MATCH(BC$5,スコア表2[#Headers],0)))
/
INDEX(スコア表2[],MATCH("stdev.p",スコア表2[maxmin],0),MATCH(BC$5,スコア表2[#Headers],0))
*10+50,"-")</f>
        <v>52.090634837860343</v>
      </c>
      <c r="BD39" s="4">
        <f>IFERROR(
(INDEX(スコア表[],MATCH($C39,スコア表['#],0),MATCH(BD$5,スコア表[#Headers],0))
-
INDEX(スコア表2[],MATCH("average",スコア表2[maxmin],0),MATCH(BD$5,スコア表2[#Headers],0)))
/
INDEX(スコア表2[],MATCH("stdev.p",スコア表2[maxmin],0),MATCH(BD$5,スコア表2[#Headers],0))
*10+50,"-")</f>
        <v>42.464241822802848</v>
      </c>
      <c r="BE39" s="4">
        <f>IFERROR(
(INDEX(スコア表[],MATCH($C39,スコア表['#],0),MATCH(BE$5,スコア表[#Headers],0))
-
INDEX(スコア表2[],MATCH("average",スコア表2[maxmin],0),MATCH(BE$5,スコア表2[#Headers],0)))
/
INDEX(スコア表2[],MATCH("stdev.p",スコア表2[maxmin],0),MATCH(BE$5,スコア表2[#Headers],0))
*10+50,"-")</f>
        <v>62.622110543051576</v>
      </c>
      <c r="BF39" s="4">
        <f>IFERROR(
(INDEX(スコア表[],MATCH($C39,スコア表['#],0),MATCH(BF$5,スコア表[#Headers],0))
-
INDEX(スコア表2[],MATCH("average",スコア表2[maxmin],0),MATCH(BF$5,スコア表2[#Headers],0)))
/
INDEX(スコア表2[],MATCH("stdev.p",スコア表2[maxmin],0),MATCH(BF$5,スコア表2[#Headers],0))
*10+50,"-")</f>
        <v>38.647218814090927</v>
      </c>
      <c r="BG39" s="4">
        <f>IFERROR(
(INDEX(スコア表[],MATCH($C39,スコア表['#],0),MATCH(BG$5,スコア表[#Headers],0))
-
INDEX(スコア表2[],MATCH("average",スコア表2[maxmin],0),MATCH(BG$5,スコア表2[#Headers],0)))
/
INDEX(スコア表2[],MATCH("stdev.p",スコア表2[maxmin],0),MATCH(BG$5,スコア表2[#Headers],0))
*10+50,"-")</f>
        <v>51.921528183477022</v>
      </c>
      <c r="BH39" s="4">
        <f>IFERROR(
(INDEX(スコア表[],MATCH($C39,スコア表['#],0),MATCH(BH$5,スコア表[#Headers],0))
-
INDEX(スコア表2[],MATCH("average",スコア表2[maxmin],0),MATCH(BH$5,スコア表2[#Headers],0)))
/
INDEX(スコア表2[],MATCH("stdev.p",スコア表2[maxmin],0),MATCH(BH$5,スコア表2[#Headers],0))
*10+50,"-")</f>
        <v>40.044382478412999</v>
      </c>
      <c r="BI39" s="4">
        <f>IFERROR(
(INDEX(スコア表[],MATCH($C39,スコア表['#],0),MATCH(BI$5,スコア表[#Headers],0))
-
INDEX(スコア表2[],MATCH("average",スコア表2[maxmin],0),MATCH(BI$5,スコア表2[#Headers],0)))
/
INDEX(スコア表2[],MATCH("stdev.p",スコア表2[maxmin],0),MATCH(BI$5,スコア表2[#Headers],0))
*10+50,"-")</f>
        <v>38.435134665753303</v>
      </c>
      <c r="BJ39" s="4">
        <f>IFERROR(
(INDEX(スコア表[],MATCH($C39,スコア表['#],0),MATCH(BJ$5,スコア表[#Headers],0))
-
INDEX(スコア表2[],MATCH("average",スコア表2[maxmin],0),MATCH(BJ$5,スコア表2[#Headers],0)))
/
INDEX(スコア表2[],MATCH("stdev.p",スコア表2[maxmin],0),MATCH(BJ$5,スコア表2[#Headers],0))
*10+50,"-")</f>
        <v>36.464925797052551</v>
      </c>
      <c r="BK39" s="4">
        <f>IFERROR(
(INDEX(スコア表[],MATCH($C39,スコア表['#],0),MATCH(BK$5,スコア表[#Headers],0))
-
INDEX(スコア表2[],MATCH("average",スコア表2[maxmin],0),MATCH(BK$5,スコア表2[#Headers],0)))
/
INDEX(スコア表2[],MATCH("stdev.p",スコア表2[maxmin],0),MATCH(BK$5,スコア表2[#Headers],0))
*10+50,"-")</f>
        <v>54.241903525758552</v>
      </c>
      <c r="BL39" s="4">
        <f>IFERROR(
(INDEX(スコア表[],MATCH($C39,スコア表['#],0),MATCH(BL$5,スコア表[#Headers],0))
-
INDEX(スコア表2[],MATCH("average",スコア表2[maxmin],0),MATCH(BL$5,スコア表2[#Headers],0)))
/
INDEX(スコア表2[],MATCH("stdev.p",スコア表2[maxmin],0),MATCH(BL$5,スコア表2[#Headers],0))
*10+50,"-")</f>
        <v>38.652721094775792</v>
      </c>
      <c r="BM39" s="4">
        <f>IFERROR(
(INDEX(スコア表[],MATCH($C39,スコア表['#],0),MATCH(BM$5,スコア表[#Headers],0))
-
INDEX(スコア表2[],MATCH("average",スコア表2[maxmin],0),MATCH(BM$5,スコア表2[#Headers],0)))
/
INDEX(スコア表2[],MATCH("stdev.p",スコア表2[maxmin],0),MATCH(BM$5,スコア表2[#Headers],0))
*10+50,"-")</f>
        <v>46.937591844430642</v>
      </c>
      <c r="BN39" s="4">
        <f>IFERROR(
(INDEX(スコア表[],MATCH($C39,スコア表['#],0),MATCH(BN$5,スコア表[#Headers],0))
-
INDEX(スコア表2[],MATCH("average",スコア表2[maxmin],0),MATCH(BN$5,スコア表2[#Headers],0)))
/
INDEX(スコア表2[],MATCH("stdev.p",スコア表2[maxmin],0),MATCH(BN$5,スコア表2[#Headers],0))
*10+50,"-")</f>
        <v>64.017663362778507</v>
      </c>
      <c r="BO39" s="4">
        <f>IFERROR(
(INDEX(スコア表[],MATCH($C39,スコア表['#],0),MATCH(BO$5,スコア表[#Headers],0))
-
INDEX(スコア表2[],MATCH("average",スコア表2[maxmin],0),MATCH(BO$5,スコア表2[#Headers],0)))
/
INDEX(スコア表2[],MATCH("stdev.p",スコア表2[maxmin],0),MATCH(BO$5,スコア表2[#Headers],0))
*10+50,"-")</f>
        <v>55.417682849443096</v>
      </c>
      <c r="BP39" s="4">
        <f>IFERROR(
(INDEX(スコア表[],MATCH($C39,スコア表['#],0),MATCH(BP$5,スコア表[#Headers],0))
-
INDEX(スコア表2[],MATCH("average",スコア表2[maxmin],0),MATCH(BP$5,スコア表2[#Headers],0)))
/
INDEX(スコア表2[],MATCH("stdev.p",スコア表2[maxmin],0),MATCH(BP$5,スコア表2[#Headers],0))
*10+50,"-")</f>
        <v>47.6537914755706</v>
      </c>
      <c r="BQ39" s="4">
        <f>IFERROR(
(INDEX(スコア表[],MATCH($C39,スコア表['#],0),MATCH(BQ$5,スコア表[#Headers],0))
-
INDEX(スコア表2[],MATCH("average",スコア表2[maxmin],0),MATCH(BQ$5,スコア表2[#Headers],0)))
/
INDEX(スコア表2[],MATCH("stdev.p",スコア表2[maxmin],0),MATCH(BQ$5,スコア表2[#Headers],0))
*10+50,"-")</f>
        <v>42.646015497178162</v>
      </c>
      <c r="BR39" s="4">
        <f>IFERROR(
(INDEX(スコア表[],MATCH($C39,スコア表['#],0),MATCH(BR$5,スコア表[#Headers],0))
-
INDEX(スコア表2[],MATCH("average",スコア表2[maxmin],0),MATCH(BR$5,スコア表2[#Headers],0)))
/
INDEX(スコア表2[],MATCH("stdev.p",スコア表2[maxmin],0),MATCH(BR$5,スコア表2[#Headers],0))
*10+50,"-")</f>
        <v>59.52327061305175</v>
      </c>
      <c r="BS39" s="4">
        <f>IFERROR(
(INDEX(スコア表[],MATCH($C39,スコア表['#],0),MATCH(BS$5,スコア表[#Headers],0))
-
INDEX(スコア表2[],MATCH("average",スコア表2[maxmin],0),MATCH(BS$5,スコア表2[#Headers],0)))
/
INDEX(スコア表2[],MATCH("stdev.p",スコア表2[maxmin],0),MATCH(BS$5,スコア表2[#Headers],0))
*10+50,"-")</f>
        <v>54.53308859769821</v>
      </c>
      <c r="BT39" s="4">
        <f>IFERROR(
(INDEX(スコア表[],MATCH($C39,スコア表['#],0),MATCH(BT$5,スコア表[#Headers],0))
-
INDEX(スコア表2[],MATCH("average",スコア表2[maxmin],0),MATCH(BT$5,スコア表2[#Headers],0)))
/
INDEX(スコア表2[],MATCH("stdev.p",スコア表2[maxmin],0),MATCH(BT$5,スコア表2[#Headers],0))
*10+50,"-")</f>
        <v>61.912370369667087</v>
      </c>
      <c r="BU39" s="4">
        <f>IFERROR(
(INDEX(スコア表[],MATCH($C39,スコア表['#],0),MATCH(BU$5,スコア表[#Headers],0))
-
INDEX(スコア表2[],MATCH("average",スコア表2[maxmin],0),MATCH(BU$5,スコア表2[#Headers],0)))
/
INDEX(スコア表2[],MATCH("stdev.p",スコア表2[maxmin],0),MATCH(BU$5,スコア表2[#Headers],0))
*10+50,"-")</f>
        <v>56.174201368431866</v>
      </c>
      <c r="BV39" s="4">
        <f>IFERROR(
(INDEX(スコア表[],MATCH($C39,スコア表['#],0),MATCH(BV$5,スコア表[#Headers],0))
-
INDEX(スコア表2[],MATCH("average",スコア表2[maxmin],0),MATCH(BV$5,スコア表2[#Headers],0)))
/
INDEX(スコア表2[],MATCH("stdev.p",スコア表2[maxmin],0),MATCH(BV$5,スコア表2[#Headers],0))
*10+50,"-")</f>
        <v>31.920309881541208</v>
      </c>
      <c r="BW39" s="4">
        <f>IFERROR(
(INDEX(スコア表[],MATCH($C39,スコア表['#],0),MATCH(BW$5,スコア表[#Headers],0))
-
INDEX(スコア表2[],MATCH("average",スコア表2[maxmin],0),MATCH(BW$5,スコア表2[#Headers],0)))
/
INDEX(スコア表2[],MATCH("stdev.p",スコア表2[maxmin],0),MATCH(BW$5,スコア表2[#Headers],0))
*10+50,"-")</f>
        <v>35.873834140279456</v>
      </c>
      <c r="BX39" s="4">
        <f>IFERROR(
(INDEX(スコア表[],MATCH($C39,スコア表['#],0),MATCH(BX$5,スコア表[#Headers],0))
-
INDEX(スコア表2[],MATCH("average",スコア表2[maxmin],0),MATCH(BX$5,スコア表2[#Headers],0)))
/
INDEX(スコア表2[],MATCH("stdev.p",スコア表2[maxmin],0),MATCH(BX$5,スコア表2[#Headers],0))
*10+50,"-")</f>
        <v>38.6053422826025</v>
      </c>
      <c r="BY39" s="4">
        <f>IFERROR(
(INDEX(スコア表[],MATCH($C39,スコア表['#],0),MATCH(BY$5,スコア表[#Headers],0))
-
INDEX(スコア表2[],MATCH("average",スコア表2[maxmin],0),MATCH(BY$5,スコア表2[#Headers],0)))
/
INDEX(スコア表2[],MATCH("stdev.p",スコア表2[maxmin],0),MATCH(BY$5,スコア表2[#Headers],0))
*10+50,"-")</f>
        <v>44.472095833489156</v>
      </c>
      <c r="BZ39" s="4">
        <f>IFERROR(
(INDEX(スコア表[],MATCH($C39,スコア表['#],0),MATCH(BZ$5,スコア表[#Headers],0))
-
INDEX(スコア表2[],MATCH("average",スコア表2[maxmin],0),MATCH(BZ$5,スコア表2[#Headers],0)))
/
INDEX(スコア表2[],MATCH("stdev.p",スコア表2[maxmin],0),MATCH(BZ$5,スコア表2[#Headers],0))
*10+50,"-")</f>
        <v>47.33232528438154</v>
      </c>
      <c r="CA39" s="4">
        <f>IFERROR(
(INDEX(スコア表[],MATCH($C39,スコア表['#],0),MATCH(CA$5,スコア表[#Headers],0))
-
INDEX(スコア表2[],MATCH("average",スコア表2[maxmin],0),MATCH(CA$5,スコア表2[#Headers],0)))
/
INDEX(スコア表2[],MATCH("stdev.p",スコア表2[maxmin],0),MATCH(CA$5,スコア表2[#Headers],0))
*10+50,"-")</f>
        <v>39.698606425524872</v>
      </c>
      <c r="CB39" s="4">
        <f>IFERROR(
(INDEX(スコア表[],MATCH($C39,スコア表['#],0),MATCH(CB$5,スコア表[#Headers],0))
-
INDEX(スコア表2[],MATCH("average",スコア表2[maxmin],0),MATCH(CB$5,スコア表2[#Headers],0)))
/
INDEX(スコア表2[],MATCH("stdev.p",スコア表2[maxmin],0),MATCH(CB$5,スコア表2[#Headers],0))
*10+50,"-")</f>
        <v>46.061824982652048</v>
      </c>
      <c r="CC39" s="4">
        <f>IFERROR(
(INDEX(スコア表[],MATCH($C39,スコア表['#],0),MATCH(CC$5,スコア表[#Headers],0))
-
INDEX(スコア表2[],MATCH("average",スコア表2[maxmin],0),MATCH(CC$5,スコア表2[#Headers],0)))
/
INDEX(スコア表2[],MATCH("stdev.p",スコア表2[maxmin],0),MATCH(CC$5,スコア表2[#Headers],0))
*10+50,"-")</f>
        <v>48.040032381799442</v>
      </c>
      <c r="CD39" s="4">
        <f>IFERROR(
(INDEX(スコア表[],MATCH($C39,スコア表['#],0),MATCH(CD$5,スコア表[#Headers],0))
-
INDEX(スコア表2[],MATCH("average",スコア表2[maxmin],0),MATCH(CD$5,スコア表2[#Headers],0)))
/
INDEX(スコア表2[],MATCH("stdev.p",スコア表2[maxmin],0),MATCH(CD$5,スコア表2[#Headers],0))
*10+50,"-")</f>
        <v>38.488689227551781</v>
      </c>
      <c r="CE39" s="4">
        <f>IFERROR(
(INDEX(スコア表[],MATCH($C39,スコア表['#],0),MATCH(CE$5,スコア表[#Headers],0))
-
INDEX(スコア表2[],MATCH("average",スコア表2[maxmin],0),MATCH(CE$5,スコア表2[#Headers],0)))
/
INDEX(スコア表2[],MATCH("stdev.p",スコア表2[maxmin],0),MATCH(CE$5,スコア表2[#Headers],0))
*10+50,"-")</f>
        <v>42.259644809708597</v>
      </c>
      <c r="CF39" s="4">
        <f>IFERROR(
(INDEX(スコア表[],MATCH($C39,スコア表['#],0),MATCH(CF$5,スコア表[#Headers],0))
-
INDEX(スコア表2[],MATCH("average",スコア表2[maxmin],0),MATCH(CF$5,スコア表2[#Headers],0)))
/
INDEX(スコア表2[],MATCH("stdev.p",スコア表2[maxmin],0),MATCH(CF$5,スコア表2[#Headers],0))
*10+50,"-")</f>
        <v>49.338817639675206</v>
      </c>
      <c r="CG39" s="4">
        <f>IFERROR(
(INDEX(スコア表[],MATCH($C39,スコア表['#],0),MATCH(CG$5,スコア表[#Headers],0))
-
INDEX(スコア表2[],MATCH("average",スコア表2[maxmin],0),MATCH(CG$5,スコア表2[#Headers],0)))
/
INDEX(スコア表2[],MATCH("stdev.p",スコア表2[maxmin],0),MATCH(CG$5,スコア表2[#Headers],0))
*10+50,"-")</f>
        <v>50.245572526816588</v>
      </c>
      <c r="CH39" s="4">
        <f>IFERROR(
(INDEX(スコア表[],MATCH($C39,スコア表['#],0),MATCH(CH$5,スコア表[#Headers],0))
-
INDEX(スコア表2[],MATCH("average",スコア表2[maxmin],0),MATCH(CH$5,スコア表2[#Headers],0)))
/
INDEX(スコア表2[],MATCH("stdev.p",スコア表2[maxmin],0),MATCH(CH$5,スコア表2[#Headers],0))
*10+50,"-")</f>
        <v>45.126795177571566</v>
      </c>
      <c r="CI39" s="4">
        <f>IFERROR(
(INDEX(スコア表[],MATCH($C39,スコア表['#],0),MATCH(CI$5,スコア表[#Headers],0))
-
INDEX(スコア表2[],MATCH("average",スコア表2[maxmin],0),MATCH(CI$5,スコア表2[#Headers],0)))
/
INDEX(スコア表2[],MATCH("stdev.p",スコア表2[maxmin],0),MATCH(CI$5,スコア表2[#Headers],0))
*10+50,"-")</f>
        <v>55.334406074463196</v>
      </c>
      <c r="CJ39" s="4">
        <f>IFERROR(
(INDEX(スコア表[],MATCH($C39,スコア表['#],0),MATCH(CJ$5,スコア表[#Headers],0))
-
INDEX(スコア表2[],MATCH("average",スコア表2[maxmin],0),MATCH(CJ$5,スコア表2[#Headers],0)))
/
INDEX(スコア表2[],MATCH("stdev.p",スコア表2[maxmin],0),MATCH(CJ$5,スコア表2[#Headers],0))
*10+50,"-")</f>
        <v>51.382890532252276</v>
      </c>
      <c r="CK39" s="4">
        <f>IFERROR(
(INDEX(スコア表[],MATCH($C39,スコア表['#],0),MATCH(CK$5,スコア表[#Headers],0))
-
INDEX(スコア表2[],MATCH("average",スコア表2[maxmin],0),MATCH(CK$5,スコア表2[#Headers],0)))
/
INDEX(スコア表2[],MATCH("stdev.p",スコア表2[maxmin],0),MATCH(CK$5,スコア表2[#Headers],0))
*10+50,"-")</f>
        <v>78.679020430299218</v>
      </c>
      <c r="CL39" s="4">
        <f>IFERROR(
(INDEX(スコア表[],MATCH($C39,スコア表['#],0),MATCH(CL$5,スコア表[#Headers],0))
-
INDEX(スコア表2[],MATCH("average",スコア表2[maxmin],0),MATCH(CL$5,スコア表2[#Headers],0)))
/
INDEX(スコア表2[],MATCH("stdev.p",スコア表2[maxmin],0),MATCH(CL$5,スコア表2[#Headers],0))
*10+50,"-")</f>
        <v>45.945999163322902</v>
      </c>
      <c r="CM39" s="4">
        <f>IFERROR(
(INDEX(スコア表[],MATCH($C39,スコア表['#],0),MATCH(CM$5,スコア表[#Headers],0))
-
INDEX(スコア表2[],MATCH("average",スコア表2[maxmin],0),MATCH(CM$5,スコア表2[#Headers],0)))
/
INDEX(スコア表2[],MATCH("stdev.p",スコア表2[maxmin],0),MATCH(CM$5,スコア表2[#Headers],0))
*10+50,"-")</f>
        <v>42.98738505118169</v>
      </c>
      <c r="CN39" s="4">
        <f>IFERROR(
(INDEX(スコア表[],MATCH($C39,スコア表['#],0),MATCH(CN$5,スコア表[#Headers],0))
-
INDEX(スコア表2[],MATCH("average",スコア表2[maxmin],0),MATCH(CN$5,スコア表2[#Headers],0)))
/
INDEX(スコア表2[],MATCH("stdev.p",スコア表2[maxmin],0),MATCH(CN$5,スコア表2[#Headers],0))
*10+50,"-")</f>
        <v>73.819623483652833</v>
      </c>
      <c r="CO39" s="4">
        <f>IFERROR(
(INDEX(スコア表[],MATCH($C39,スコア表['#],0),MATCH(CO$5,スコア表[#Headers],0))
-
INDEX(スコア表2[],MATCH("average",スコア表2[maxmin],0),MATCH(CO$5,スコア表2[#Headers],0)))
/
INDEX(スコア表2[],MATCH("stdev.p",スコア表2[maxmin],0),MATCH(CO$5,スコア表2[#Headers],0))
*10+50,"-")</f>
        <v>57.943904591577642</v>
      </c>
      <c r="CP39" s="4">
        <f>IFERROR(
(INDEX(スコア表[],MATCH($C39,スコア表['#],0),MATCH(CP$5,スコア表[#Headers],0))
-
INDEX(スコア表2[],MATCH("average",スコア表2[maxmin],0),MATCH(CP$5,スコア表2[#Headers],0)))
/
INDEX(スコア表2[],MATCH("stdev.p",スコア表2[maxmin],0),MATCH(CP$5,スコア表2[#Headers],0))
*10+50,"-")</f>
        <v>51.243584054929762</v>
      </c>
      <c r="CQ39" s="4">
        <f>IFERROR(
(INDEX(スコア表[],MATCH($C39,スコア表['#],0),MATCH(CQ$5,スコア表[#Headers],0))
-
INDEX(スコア表2[],MATCH("average",スコア表2[maxmin],0),MATCH(CQ$5,スコア表2[#Headers],0)))
/
INDEX(スコア表2[],MATCH("stdev.p",スコア表2[maxmin],0),MATCH(CQ$5,スコア表2[#Headers],0))
*10+50,"-")</f>
        <v>27.736719814856144</v>
      </c>
      <c r="CR39" s="4">
        <f>IFERROR(
(INDEX(スコア表[],MATCH($C39,スコア表['#],0),MATCH(CR$5,スコア表[#Headers],0))
-
INDEX(スコア表2[],MATCH("average",スコア表2[maxmin],0),MATCH(CR$5,スコア表2[#Headers],0)))
/
INDEX(スコア表2[],MATCH("stdev.p",スコア表2[maxmin],0),MATCH(CR$5,スコア表2[#Headers],0))
*10+50,"-")</f>
        <v>47.545419486233797</v>
      </c>
      <c r="CS39" s="4">
        <f>IFERROR(
(INDEX(スコア表[],MATCH($C39,スコア表['#],0),MATCH(CS$5,スコア表[#Headers],0))
-
INDEX(スコア表2[],MATCH("average",スコア表2[maxmin],0),MATCH(CS$5,スコア表2[#Headers],0)))
/
INDEX(スコア表2[],MATCH("stdev.p",スコア表2[maxmin],0),MATCH(CS$5,スコア表2[#Headers],0))
*10+50,"-")</f>
        <v>37.330038435612259</v>
      </c>
      <c r="CT39" s="4">
        <f>IFERROR(
(INDEX(スコア表[],MATCH($C39,スコア表['#],0),MATCH(CT$5,スコア表[#Headers],0))
-
INDEX(スコア表2[],MATCH("average",スコア表2[maxmin],0),MATCH(CT$5,スコア表2[#Headers],0)))
/
INDEX(スコア表2[],MATCH("stdev.p",スコア表2[maxmin],0),MATCH(CT$5,スコア表2[#Headers],0))
*10+50,"-")</f>
        <v>38.970361298560192</v>
      </c>
      <c r="CU39" s="4">
        <f>IFERROR(
(INDEX(スコア表[],MATCH($C39,スコア表['#],0),MATCH(CU$5,スコア表[#Headers],0))
-
INDEX(スコア表2[],MATCH("average",スコア表2[maxmin],0),MATCH(CU$5,スコア表2[#Headers],0)))
/
INDEX(スコア表2[],MATCH("stdev.p",スコア表2[maxmin],0),MATCH(CU$5,スコア表2[#Headers],0))
*10+50,"-")</f>
        <v>55.98759613820657</v>
      </c>
      <c r="CV39" s="4">
        <f>IFERROR(
(INDEX(スコア表[],MATCH($C39,スコア表['#],0),MATCH(CV$5,スコア表[#Headers],0))
-
INDEX(スコア表2[],MATCH("average",スコア表2[maxmin],0),MATCH(CV$5,スコア表2[#Headers],0)))
/
INDEX(スコア表2[],MATCH("stdev.p",スコア表2[maxmin],0),MATCH(CV$5,スコア表2[#Headers],0))
*10+50,"-")</f>
        <v>43.453531235944723</v>
      </c>
      <c r="CW39" s="4">
        <f>IFERROR(
(INDEX(スコア表[],MATCH($C39,スコア表['#],0),MATCH(CW$5,スコア表[#Headers],0))
-
INDEX(スコア表2[],MATCH("average",スコア表2[maxmin],0),MATCH(CW$5,スコア表2[#Headers],0)))
/
INDEX(スコア表2[],MATCH("stdev.p",スコア表2[maxmin],0),MATCH(CW$5,スコア表2[#Headers],0))
*10+50,"-")</f>
        <v>57.330808149867316</v>
      </c>
      <c r="CX39" s="4">
        <f>IFERROR(
(INDEX(スコア表[],MATCH($C39,スコア表['#],0),MATCH(CX$5,スコア表[#Headers],0))
-
INDEX(スコア表2[],MATCH("average",スコア表2[maxmin],0),MATCH(CX$5,スコア表2[#Headers],0)))
/
INDEX(スコア表2[],MATCH("stdev.p",スコア表2[maxmin],0),MATCH(CX$5,スコア表2[#Headers],0))
*10+50,"-")</f>
        <v>47.725206996944792</v>
      </c>
      <c r="CY39" s="4">
        <f>IFERROR(
(INDEX(スコア表[],MATCH($C39,スコア表['#],0),MATCH(CY$5,スコア表[#Headers],0))
-
INDEX(スコア表2[],MATCH("average",スコア表2[maxmin],0),MATCH(CY$5,スコア表2[#Headers],0)))
/
INDEX(スコア表2[],MATCH("stdev.p",スコア表2[maxmin],0),MATCH(CY$5,スコア表2[#Headers],0))
*10+50,"-")</f>
        <v>33.205010654933119</v>
      </c>
      <c r="CZ39" s="4">
        <f>IFERROR(
(INDEX(スコア表[],MATCH($C39,スコア表['#],0),MATCH(CZ$5,スコア表[#Headers],0))
-
INDEX(スコア表2[],MATCH("average",スコア表2[maxmin],0),MATCH(CZ$5,スコア表2[#Headers],0)))
/
INDEX(スコア表2[],MATCH("stdev.p",スコア表2[maxmin],0),MATCH(CZ$5,スコア表2[#Headers],0))
*10+50,"-")</f>
        <v>39.284897581299461</v>
      </c>
      <c r="DA39" s="4">
        <f>IFERROR(
(INDEX(スコア表[],MATCH($C39,スコア表['#],0),MATCH(DA$5,スコア表[#Headers],0))
-
INDEX(スコア表2[],MATCH("average",スコア表2[maxmin],0),MATCH(DA$5,スコア表2[#Headers],0)))
/
INDEX(スコア表2[],MATCH("stdev.p",スコア表2[maxmin],0),MATCH(DA$5,スコア表2[#Headers],0))
*10+50,"-")</f>
        <v>48.192185256642503</v>
      </c>
      <c r="DB39" s="4">
        <f>IFERROR(
(INDEX(スコア表[],MATCH($C39,スコア表['#],0),MATCH(DB$5,スコア表[#Headers],0))
-
INDEX(スコア表2[],MATCH("average",スコア表2[maxmin],0),MATCH(DB$5,スコア表2[#Headers],0)))
/
INDEX(スコア表2[],MATCH("stdev.p",スコア表2[maxmin],0),MATCH(DB$5,スコア表2[#Headers],0))
*10+50,"-")</f>
        <v>57.022922285378435</v>
      </c>
      <c r="DC39" s="4">
        <f>IFERROR(
(INDEX(スコア表[],MATCH($C39,スコア表['#],0),MATCH(DC$5,スコア表[#Headers],0))
-
INDEX(スコア表2[],MATCH("average",スコア表2[maxmin],0),MATCH(DC$5,スコア表2[#Headers],0)))
/
INDEX(スコア表2[],MATCH("stdev.p",スコア表2[maxmin],0),MATCH(DC$5,スコア表2[#Headers],0))
*10+50,"-")</f>
        <v>50.226255327492936</v>
      </c>
      <c r="DD39" s="4">
        <f>IFERROR(
(INDEX(スコア表[],MATCH($C39,スコア表['#],0),MATCH(DD$5,スコア表[#Headers],0))
-
INDEX(スコア表2[],MATCH("average",スコア表2[maxmin],0),MATCH(DD$5,スコア表2[#Headers],0)))
/
INDEX(スコア表2[],MATCH("stdev.p",スコア表2[maxmin],0),MATCH(DD$5,スコア表2[#Headers],0))
*10+50,"-")</f>
        <v>45.135761935299016</v>
      </c>
      <c r="DE39" s="4">
        <f>IFERROR(
(INDEX(スコア表[],MATCH($C39,スコア表['#],0),MATCH(DE$5,スコア表[#Headers],0))
-
INDEX(スコア表2[],MATCH("average",スコア表2[maxmin],0),MATCH(DE$5,スコア表2[#Headers],0)))
/
INDEX(スコア表2[],MATCH("stdev.p",スコア表2[maxmin],0),MATCH(DE$5,スコア表2[#Headers],0))
*10+50,"-")</f>
        <v>43.688543754246538</v>
      </c>
      <c r="DF39" s="76">
        <f>IFERROR(
(INDEX(スコア表[],MATCH($C39,スコア表['#],0),MATCH(DF$5,スコア表[#Headers],0))
-
INDEX(スコア表2[],MATCH("average",スコア表2[maxmin],0),MATCH(DF$5,スコア表2[#Headers],0)))
/
INDEX(スコア表2[],MATCH("stdev.p",スコア表2[maxmin],0),MATCH(DF$5,スコア表2[#Headers],0))
*10+50,"-")</f>
        <v>46.255464050123372</v>
      </c>
      <c r="DG39" s="4">
        <f>IFERROR(_xlfn.STDEV.P(偏差値表[[#This Row],[Economy]:[Accessibility]]),"")</f>
        <v>5.5655521199246465</v>
      </c>
    </row>
    <row r="40" spans="1:111">
      <c r="A40" s="2">
        <v>35</v>
      </c>
      <c r="B40" s="58">
        <f>INDEX(順位表[Comprehensive],MATCH($C40,順位表['#],0))</f>
        <v>35</v>
      </c>
      <c r="C40" s="3">
        <v>25</v>
      </c>
      <c r="D40" s="1" t="str">
        <f>INDEX(都市マスタ[City Name],MATCH($C40,都市マスタ['#],0))</f>
        <v>Taipei</v>
      </c>
      <c r="E40" s="4">
        <f>IFERROR(
(INDEX(スコア表[],MATCH($C40,スコア表['#],0),MATCH(E$5,スコア表[#Headers],0))
-
INDEX(スコア表2[],MATCH("average",スコア表2[maxmin],0),MATCH(E$5,スコア表2[#Headers],0)))
/
INDEX(スコア表2[],MATCH("stdev.p",スコア表2[maxmin],0),MATCH(E$5,スコア表2[#Headers],0))
*10+50,"-")</f>
        <v>44.914743597857509</v>
      </c>
      <c r="F40" s="4">
        <f>IFERROR(
(INDEX(スコア表[],MATCH($C40,スコア表['#],0),MATCH(F$5,スコア表[#Headers],0))
-
INDEX(スコア表2[],MATCH("average",スコア表2[maxmin],0),MATCH(F$5,スコア表2[#Headers],0)))
/
INDEX(スコア表2[],MATCH("stdev.p",スコア表2[maxmin],0),MATCH(F$5,スコア表2[#Headers],0))
*10+50,"-")</f>
        <v>45.609798281200128</v>
      </c>
      <c r="G40" s="4">
        <f>IFERROR(
(INDEX(スコア表[],MATCH($C40,スコア表['#],0),MATCH(G$5,スコア表[#Headers],0))
-
INDEX(スコア表2[],MATCH("average",スコア表2[maxmin],0),MATCH(G$5,スコア表2[#Headers],0)))
/
INDEX(スコア表2[],MATCH("stdev.p",スコア表2[maxmin],0),MATCH(G$5,スコア表2[#Headers],0))
*10+50,"-")</f>
        <v>48.468489364051877</v>
      </c>
      <c r="H40" s="4">
        <f>IFERROR(
(INDEX(スコア表[],MATCH($C40,スコア表['#],0),MATCH(H$5,スコア表[#Headers],0))
-
INDEX(スコア表2[],MATCH("average",スコア表2[maxmin],0),MATCH(H$5,スコア表2[#Headers],0)))
/
INDEX(スコア表2[],MATCH("stdev.p",スコア表2[maxmin],0),MATCH(H$5,スコア表2[#Headers],0))
*10+50,"-")</f>
        <v>43.513427261663772</v>
      </c>
      <c r="I40" s="4">
        <f>IFERROR(
(INDEX(スコア表[],MATCH($C40,スコア表['#],0),MATCH(I$5,スコア表[#Headers],0))
-
INDEX(スコア表2[],MATCH("average",スコア表2[maxmin],0),MATCH(I$5,スコア表2[#Headers],0)))
/
INDEX(スコア表2[],MATCH("stdev.p",スコア表2[maxmin],0),MATCH(I$5,スコア表2[#Headers],0))
*10+50,"-")</f>
        <v>42.930858404632964</v>
      </c>
      <c r="J40" s="4">
        <f>IFERROR(
(INDEX(スコア表[],MATCH($C40,スコア表['#],0),MATCH(J$5,スコア表[#Headers],0))
-
INDEX(スコア表2[],MATCH("average",スコア表2[maxmin],0),MATCH(J$5,スコア表2[#Headers],0)))
/
INDEX(スコア表2[],MATCH("stdev.p",スコア表2[maxmin],0),MATCH(J$5,スコア表2[#Headers],0))
*10+50,"-")</f>
        <v>54.81166573019032</v>
      </c>
      <c r="K40" s="4">
        <f>IFERROR(
(INDEX(スコア表[],MATCH($C40,スコア表['#],0),MATCH(K$5,スコア表[#Headers],0))
-
INDEX(スコア表2[],MATCH("average",スコア表2[maxmin],0),MATCH(K$5,スコア表2[#Headers],0)))
/
INDEX(スコア表2[],MATCH("stdev.p",スコア表2[maxmin],0),MATCH(K$5,スコア表2[#Headers],0))
*10+50,"-")</f>
        <v>63.177742734933382</v>
      </c>
      <c r="L40" s="4">
        <f>IFERROR(
(INDEX(スコア表[],MATCH($C40,スコア表['#],0),MATCH(L$5,スコア表[#Headers],0))
-
INDEX(スコア表2[],MATCH("average",スコア表2[maxmin],0),MATCH(L$5,スコア表2[#Headers],0)))
/
INDEX(スコア表2[],MATCH("stdev.p",スコア表2[maxmin],0),MATCH(L$5,スコア表2[#Headers],0))
*10+50,"-")</f>
        <v>49.575318159356527</v>
      </c>
      <c r="M40" s="4">
        <f>IFERROR(
(INDEX(スコア表[],MATCH($C40,スコア表['#],0),MATCH(M$5,スコア表[#Headers],0))
-
INDEX(スコア表2[],MATCH("average",スコア表2[maxmin],0),MATCH(M$5,スコア表2[#Headers],0)))
/
INDEX(スコア表2[],MATCH("stdev.p",スコア表2[maxmin],0),MATCH(M$5,スコア表2[#Headers],0))
*10+50,"-")</f>
        <v>49.636063861003109</v>
      </c>
      <c r="N40" s="4">
        <f>IFERROR(
(INDEX(スコア表[],MATCH($C40,スコア表['#],0),MATCH(N$5,スコア表[#Headers],0))
-
INDEX(スコア表2[],MATCH("average",スコア表2[maxmin],0),MATCH(N$5,スコア表2[#Headers],0)))
/
INDEX(スコア表2[],MATCH("stdev.p",スコア表2[maxmin],0),MATCH(N$5,スコア表2[#Headers],0))
*10+50,"-")</f>
        <v>44.091070407476657</v>
      </c>
      <c r="O40" s="4">
        <f>IFERROR(
(INDEX(スコア表[],MATCH($C40,スコア表['#],0),MATCH(O$5,スコア表[#Headers],0))
-
INDEX(スコア表2[],MATCH("average",スコア表2[maxmin],0),MATCH(O$5,スコア表2[#Headers],0)))
/
INDEX(スコア表2[],MATCH("stdev.p",スコア表2[maxmin],0),MATCH(O$5,スコア表2[#Headers],0))
*10+50,"-")</f>
        <v>47.150151723160334</v>
      </c>
      <c r="P40" s="4">
        <f>IFERROR(
(INDEX(スコア表[],MATCH($C40,スコア表['#],0),MATCH(P$5,スコア表[#Headers],0))
-
INDEX(スコア表2[],MATCH("average",スコア表2[maxmin],0),MATCH(P$5,スコア表2[#Headers],0)))
/
INDEX(スコア表2[],MATCH("stdev.p",スコア表2[maxmin],0),MATCH(P$5,スコア表2[#Headers],0))
*10+50,"-")</f>
        <v>43.51107417505294</v>
      </c>
      <c r="Q40" s="4">
        <f>IFERROR(
(INDEX(スコア表[],MATCH($C40,スコア表['#],0),MATCH(Q$5,スコア表[#Headers],0))
-
INDEX(スコア表2[],MATCH("average",スコア表2[maxmin],0),MATCH(Q$5,スコア表2[#Headers],0)))
/
INDEX(スコア表2[],MATCH("stdev.p",スコア表2[maxmin],0),MATCH(Q$5,スコア表2[#Headers],0))
*10+50,"-")</f>
        <v>48.697926053337731</v>
      </c>
      <c r="R40" s="4">
        <f>IFERROR(
(INDEX(スコア表[],MATCH($C40,スコア表['#],0),MATCH(R$5,スコア表[#Headers],0))
-
INDEX(スコア表2[],MATCH("average",スコア表2[maxmin],0),MATCH(R$5,スコア表2[#Headers],0)))
/
INDEX(スコア表2[],MATCH("stdev.p",スコア表2[maxmin],0),MATCH(R$5,スコア表2[#Headers],0))
*10+50,"-")</f>
        <v>50.639041595285427</v>
      </c>
      <c r="S40" s="4">
        <f>IFERROR(
(INDEX(スコア表[],MATCH($C40,スコア表['#],0),MATCH(S$5,スコア表[#Headers],0))
-
INDEX(スコア表2[],MATCH("average",スコア表2[maxmin],0),MATCH(S$5,スコア表2[#Headers],0)))
/
INDEX(スコア表2[],MATCH("stdev.p",スコア表2[maxmin],0),MATCH(S$5,スコア表2[#Headers],0))
*10+50,"-")</f>
        <v>58.874866438455072</v>
      </c>
      <c r="T40" s="4">
        <f>IFERROR(
(INDEX(スコア表[],MATCH($C40,スコア表['#],0),MATCH(T$5,スコア表[#Headers],0))
-
INDEX(スコア表2[],MATCH("average",スコア表2[maxmin],0),MATCH(T$5,スコア表2[#Headers],0)))
/
INDEX(スコア表2[],MATCH("stdev.p",スコア表2[maxmin],0),MATCH(T$5,スコア表2[#Headers],0))
*10+50,"-")</f>
        <v>55.260803644864907</v>
      </c>
      <c r="U40" s="4">
        <f>IFERROR(
(INDEX(スコア表[],MATCH($C40,スコア表['#],0),MATCH(U$5,スコア表[#Headers],0))
-
INDEX(スコア表2[],MATCH("average",スコア表2[maxmin],0),MATCH(U$5,スコア表2[#Headers],0)))
/
INDEX(スコア表2[],MATCH("stdev.p",スコア表2[maxmin],0),MATCH(U$5,スコア表2[#Headers],0))
*10+50,"-")</f>
        <v>47.879469091492396</v>
      </c>
      <c r="V40" s="4">
        <f>IFERROR(
(INDEX(スコア表[],MATCH($C40,スコア表['#],0),MATCH(V$5,スコア表[#Headers],0))
-
INDEX(スコア表2[],MATCH("average",スコア表2[maxmin],0),MATCH(V$5,スコア表2[#Headers],0)))
/
INDEX(スコア表2[],MATCH("stdev.p",スコア表2[maxmin],0),MATCH(V$5,スコア表2[#Headers],0))
*10+50,"-")</f>
        <v>41.25359055981702</v>
      </c>
      <c r="W40" s="4">
        <f>IFERROR(
(INDEX(スコア表[],MATCH($C40,スコア表['#],0),MATCH(W$5,スコア表[#Headers],0))
-
INDEX(スコア表2[],MATCH("average",スコア表2[maxmin],0),MATCH(W$5,スコア表2[#Headers],0)))
/
INDEX(スコア表2[],MATCH("stdev.p",スコア表2[maxmin],0),MATCH(W$5,スコア表2[#Headers],0))
*10+50,"-")</f>
        <v>46.91108887876176</v>
      </c>
      <c r="X40" s="4">
        <f>IFERROR(
(INDEX(スコア表[],MATCH($C40,スコア表['#],0),MATCH(X$5,スコア表[#Headers],0))
-
INDEX(スコア表2[],MATCH("average",スコア表2[maxmin],0),MATCH(X$5,スコア表2[#Headers],0)))
/
INDEX(スコア表2[],MATCH("stdev.p",スコア表2[maxmin],0),MATCH(X$5,スコア表2[#Headers],0))
*10+50,"-")</f>
        <v>43.763344846806021</v>
      </c>
      <c r="Y40" s="4">
        <f>IFERROR(
(INDEX(スコア表[],MATCH($C40,スコア表['#],0),MATCH(Y$5,スコア表[#Headers],0))
-
INDEX(スコア表2[],MATCH("average",スコア表2[maxmin],0),MATCH(Y$5,スコア表2[#Headers],0)))
/
INDEX(スコア表2[],MATCH("stdev.p",スコア表2[maxmin],0),MATCH(Y$5,スコア表2[#Headers],0))
*10+50,"-")</f>
        <v>56.637749709758225</v>
      </c>
      <c r="Z40" s="4">
        <f>IFERROR(
(INDEX(スコア表[],MATCH($C40,スコア表['#],0),MATCH(Z$5,スコア表[#Headers],0))
-
INDEX(スコア表2[],MATCH("average",スコア表2[maxmin],0),MATCH(Z$5,スコア表2[#Headers],0)))
/
INDEX(スコア表2[],MATCH("stdev.p",スコア表2[maxmin],0),MATCH(Z$5,スコア表2[#Headers],0))
*10+50,"-")</f>
        <v>55.802760520774264</v>
      </c>
      <c r="AA40" s="4">
        <f>IFERROR(
(INDEX(スコア表[],MATCH($C40,スコア表['#],0),MATCH(AA$5,スコア表[#Headers],0))
-
INDEX(スコア表2[],MATCH("average",スコア表2[maxmin],0),MATCH(AA$5,スコア表2[#Headers],0)))
/
INDEX(スコア表2[],MATCH("stdev.p",スコア表2[maxmin],0),MATCH(AA$5,スコア表2[#Headers],0))
*10+50,"-")</f>
        <v>44.664612103409482</v>
      </c>
      <c r="AB40" s="4">
        <f>IFERROR(
(INDEX(スコア表[],MATCH($C40,スコア表['#],0),MATCH(AB$5,スコア表[#Headers],0))
-
INDEX(スコア表2[],MATCH("average",スコア表2[maxmin],0),MATCH(AB$5,スコア表2[#Headers],0)))
/
INDEX(スコア表2[],MATCH("stdev.p",スコア表2[maxmin],0),MATCH(AB$5,スコア表2[#Headers],0))
*10+50,"-")</f>
        <v>43.853837165878574</v>
      </c>
      <c r="AC40" s="4">
        <f>IFERROR(
(INDEX(スコア表[],MATCH($C40,スコア表['#],0),MATCH(AC$5,スコア表[#Headers],0))
-
INDEX(スコア表2[],MATCH("average",スコア表2[maxmin],0),MATCH(AC$5,スコア表2[#Headers],0)))
/
INDEX(スコア表2[],MATCH("stdev.p",スコア表2[maxmin],0),MATCH(AC$5,スコア表2[#Headers],0))
*10+50,"-")</f>
        <v>46.536723935779456</v>
      </c>
      <c r="AD40" s="4">
        <f>IFERROR(
(INDEX(スコア表[],MATCH($C40,スコア表['#],0),MATCH(AD$5,スコア表[#Headers],0))
-
INDEX(スコア表2[],MATCH("average",スコア表2[maxmin],0),MATCH(AD$5,スコア表2[#Headers],0)))
/
INDEX(スコア表2[],MATCH("stdev.p",スコア表2[maxmin],0),MATCH(AD$5,スコア表2[#Headers],0))
*10+50,"-")</f>
        <v>31.213575918764707</v>
      </c>
      <c r="AE40" s="4">
        <f>IFERROR(
(INDEX(スコア表[],MATCH($C40,スコア表['#],0),MATCH(AE$5,スコア表[#Headers],0))
-
INDEX(スコア表2[],MATCH("average",スコア表2[maxmin],0),MATCH(AE$5,スコア表2[#Headers],0)))
/
INDEX(スコア表2[],MATCH("stdev.p",スコア表2[maxmin],0),MATCH(AE$5,スコア表2[#Headers],0))
*10+50,"-")</f>
        <v>43.829504857606139</v>
      </c>
      <c r="AF40" s="4">
        <f>IFERROR(
(INDEX(スコア表[],MATCH($C40,スコア表['#],0),MATCH(AF$5,スコア表[#Headers],0))
-
INDEX(スコア表2[],MATCH("average",スコア表2[maxmin],0),MATCH(AF$5,スコア表2[#Headers],0)))
/
INDEX(スコア表2[],MATCH("stdev.p",スコア表2[maxmin],0),MATCH(AF$5,スコア表2[#Headers],0))
*10+50,"-")</f>
        <v>46.258449360441702</v>
      </c>
      <c r="AG40" s="4">
        <f>IFERROR(
(INDEX(スコア表[],MATCH($C40,スコア表['#],0),MATCH(AG$5,スコア表[#Headers],0))
-
INDEX(スコア表2[],MATCH("average",スコア表2[maxmin],0),MATCH(AG$5,スコア表2[#Headers],0)))
/
INDEX(スコア表2[],MATCH("stdev.p",スコア表2[maxmin],0),MATCH(AG$5,スコア表2[#Headers],0))
*10+50,"-")</f>
        <v>40.589404145296513</v>
      </c>
      <c r="AH40" s="4">
        <f>IFERROR(
(INDEX(スコア表[],MATCH($C40,スコア表['#],0),MATCH(AH$5,スコア表[#Headers],0))
-
INDEX(スコア表2[],MATCH("average",スコア表2[maxmin],0),MATCH(AH$5,スコア表2[#Headers],0)))
/
INDEX(スコア表2[],MATCH("stdev.p",スコア表2[maxmin],0),MATCH(AH$5,スコア表2[#Headers],0))
*10+50,"-")</f>
        <v>40.910160095405388</v>
      </c>
      <c r="AI40" s="4">
        <f>IFERROR(
(INDEX(スコア表[],MATCH($C40,スコア表['#],0),MATCH(AI$5,スコア表[#Headers],0))
-
INDEX(スコア表2[],MATCH("average",スコア表2[maxmin],0),MATCH(AI$5,スコア表2[#Headers],0)))
/
INDEX(スコア表2[],MATCH("stdev.p",スコア表2[maxmin],0),MATCH(AI$5,スコア表2[#Headers],0))
*10+50,"-")</f>
        <v>42.662077651119972</v>
      </c>
      <c r="AJ40" s="4">
        <f>IFERROR(
(INDEX(スコア表[],MATCH($C40,スコア表['#],0),MATCH(AJ$5,スコア表[#Headers],0))
-
INDEX(スコア表2[],MATCH("average",スコア表2[maxmin],0),MATCH(AJ$5,スコア表2[#Headers],0)))
/
INDEX(スコア表2[],MATCH("stdev.p",スコア表2[maxmin],0),MATCH(AJ$5,スコア表2[#Headers],0))
*10+50,"-")</f>
        <v>44.11508237885478</v>
      </c>
      <c r="AK40" s="4">
        <f>IFERROR(
(INDEX(スコア表[],MATCH($C40,スコア表['#],0),MATCH(AK$5,スコア表[#Headers],0))
-
INDEX(スコア表2[],MATCH("average",スコア表2[maxmin],0),MATCH(AK$5,スコア表2[#Headers],0)))
/
INDEX(スコア表2[],MATCH("stdev.p",スコア表2[maxmin],0),MATCH(AK$5,スコア表2[#Headers],0))
*10+50,"-")</f>
        <v>49.210166895492968</v>
      </c>
      <c r="AL40" s="4">
        <f>IFERROR(
(INDEX(スコア表[],MATCH($C40,スコア表['#],0),MATCH(AL$5,スコア表[#Headers],0))
-
INDEX(スコア表2[],MATCH("average",スコア表2[maxmin],0),MATCH(AL$5,スコア表2[#Headers],0)))
/
INDEX(スコア表2[],MATCH("stdev.p",スコア表2[maxmin],0),MATCH(AL$5,スコア表2[#Headers],0))
*10+50,"-")</f>
        <v>41.858810131760215</v>
      </c>
      <c r="AM40" s="4">
        <f>IFERROR(
(INDEX(スコア表[],MATCH($C40,スコア表['#],0),MATCH(AM$5,スコア表[#Headers],0))
-
INDEX(スコア表2[],MATCH("average",スコア表2[maxmin],0),MATCH(AM$5,スコア表2[#Headers],0)))
/
INDEX(スコア表2[],MATCH("stdev.p",スコア表2[maxmin],0),MATCH(AM$5,スコア表2[#Headers],0))
*10+50,"-")</f>
        <v>49.014967430525104</v>
      </c>
      <c r="AN40" s="4">
        <f>IFERROR(
(INDEX(スコア表[],MATCH($C40,スコア表['#],0),MATCH(AN$5,スコア表[#Headers],0))
-
INDEX(スコア表2[],MATCH("average",スコア表2[maxmin],0),MATCH(AN$5,スコア表2[#Headers],0)))
/
INDEX(スコア表2[],MATCH("stdev.p",スコア表2[maxmin],0),MATCH(AN$5,スコア表2[#Headers],0))
*10+50,"-")</f>
        <v>44.34579797814002</v>
      </c>
      <c r="AO40" s="4">
        <f>IFERROR(
(INDEX(スコア表[],MATCH($C40,スコア表['#],0),MATCH(AO$5,スコア表[#Headers],0))
-
INDEX(スコア表2[],MATCH("average",スコア表2[maxmin],0),MATCH(AO$5,スコア表2[#Headers],0)))
/
INDEX(スコア表2[],MATCH("stdev.p",スコア表2[maxmin],0),MATCH(AO$5,スコア表2[#Headers],0))
*10+50,"-")</f>
        <v>46.219278879400065</v>
      </c>
      <c r="AP40" s="4">
        <f>IFERROR(
(INDEX(スコア表[],MATCH($C40,スコア表['#],0),MATCH(AP$5,スコア表[#Headers],0))
-
INDEX(スコア表2[],MATCH("average",スコア表2[maxmin],0),MATCH(AP$5,スコア表2[#Headers],0)))
/
INDEX(スコア表2[],MATCH("stdev.p",スコア表2[maxmin],0),MATCH(AP$5,スコア表2[#Headers],0))
*10+50,"-")</f>
        <v>42.536680911509627</v>
      </c>
      <c r="AQ40" s="4">
        <f>IFERROR(
(INDEX(スコア表[],MATCH($C40,スコア表['#],0),MATCH(AQ$5,スコア表[#Headers],0))
-
INDEX(スコア表2[],MATCH("average",スコア表2[maxmin],0),MATCH(AQ$5,スコア表2[#Headers],0)))
/
INDEX(スコア表2[],MATCH("stdev.p",スコア表2[maxmin],0),MATCH(AQ$5,スコア表2[#Headers],0))
*10+50,"-")</f>
        <v>43.46014566637583</v>
      </c>
      <c r="AR40" s="4">
        <f>IFERROR(
(INDEX(スコア表[],MATCH($C40,スコア表['#],0),MATCH(AR$5,スコア表[#Headers],0))
-
INDEX(スコア表2[],MATCH("average",スコア表2[maxmin],0),MATCH(AR$5,スコア表2[#Headers],0)))
/
INDEX(スコア表2[],MATCH("stdev.p",スコア表2[maxmin],0),MATCH(AR$5,スコア表2[#Headers],0))
*10+50,"-")</f>
        <v>42.434549810566509</v>
      </c>
      <c r="AS40" s="4">
        <f>IFERROR(
(INDEX(スコア表[],MATCH($C40,スコア表['#],0),MATCH(AS$5,スコア表[#Headers],0))
-
INDEX(スコア表2[],MATCH("average",スコア表2[maxmin],0),MATCH(AS$5,スコア表2[#Headers],0)))
/
INDEX(スコア表2[],MATCH("stdev.p",スコア表2[maxmin],0),MATCH(AS$5,スコア表2[#Headers],0))
*10+50,"-")</f>
        <v>54.840304306286917</v>
      </c>
      <c r="AT40" s="4">
        <f>IFERROR(
(INDEX(スコア表[],MATCH($C40,スコア表['#],0),MATCH(AT$5,スコア表[#Headers],0))
-
INDEX(スコア表2[],MATCH("average",スコア表2[maxmin],0),MATCH(AT$5,スコア表2[#Headers],0)))
/
INDEX(スコア表2[],MATCH("stdev.p",スコア表2[maxmin],0),MATCH(AT$5,スコア表2[#Headers],0))
*10+50,"-")</f>
        <v>45.750886505604981</v>
      </c>
      <c r="AU40" s="4">
        <f>IFERROR(
(INDEX(スコア表[],MATCH($C40,スコア表['#],0),MATCH(AU$5,スコア表[#Headers],0))
-
INDEX(スコア表2[],MATCH("average",スコア表2[maxmin],0),MATCH(AU$5,スコア表2[#Headers],0)))
/
INDEX(スコア表2[],MATCH("stdev.p",スコア表2[maxmin],0),MATCH(AU$5,スコア表2[#Headers],0))
*10+50,"-")</f>
        <v>53.691332207630914</v>
      </c>
      <c r="AV40" s="4">
        <f>IFERROR(
(INDEX(スコア表[],MATCH($C40,スコア表['#],0),MATCH(AV$5,スコア表[#Headers],0))
-
INDEX(スコア表2[],MATCH("average",スコア表2[maxmin],0),MATCH(AV$5,スコア表2[#Headers],0)))
/
INDEX(スコア表2[],MATCH("stdev.p",スコア表2[maxmin],0),MATCH(AV$5,スコア表2[#Headers],0))
*10+50,"-")</f>
        <v>59.10669379136548</v>
      </c>
      <c r="AW40" s="4">
        <f>IFERROR(
(INDEX(スコア表[],MATCH($C40,スコア表['#],0),MATCH(AW$5,スコア表[#Headers],0))
-
INDEX(スコア表2[],MATCH("average",スコア表2[maxmin],0),MATCH(AW$5,スコア表2[#Headers],0)))
/
INDEX(スコア表2[],MATCH("stdev.p",スコア表2[maxmin],0),MATCH(AW$5,スコア表2[#Headers],0))
*10+50,"-")</f>
        <v>53.812025696565883</v>
      </c>
      <c r="AX40" s="4">
        <f>IFERROR(
(INDEX(スコア表[],MATCH($C40,スコア表['#],0),MATCH(AX$5,スコア表[#Headers],0))
-
INDEX(スコア表2[],MATCH("average",スコア表2[maxmin],0),MATCH(AX$5,スコア表2[#Headers],0)))
/
INDEX(スコア表2[],MATCH("stdev.p",スコア表2[maxmin],0),MATCH(AX$5,スコア表2[#Headers],0))
*10+50,"-")</f>
        <v>54.319419258805475</v>
      </c>
      <c r="AY40" s="4">
        <f>IFERROR(
(INDEX(スコア表[],MATCH($C40,スコア表['#],0),MATCH(AY$5,スコア表[#Headers],0))
-
INDEX(スコア表2[],MATCH("average",スコア表2[maxmin],0),MATCH(AY$5,スコア表2[#Headers],0)))
/
INDEX(スコア表2[],MATCH("stdev.p",スコア表2[maxmin],0),MATCH(AY$5,スコア表2[#Headers],0))
*10+50,"-")</f>
        <v>-15.400271571835219</v>
      </c>
      <c r="AZ40" s="4">
        <f>IFERROR(
(INDEX(スコア表[],MATCH($C40,スコア表['#],0),MATCH(AZ$5,スコア表[#Headers],0))
-
INDEX(スコア表2[],MATCH("average",スコア表2[maxmin],0),MATCH(AZ$5,スコア表2[#Headers],0)))
/
INDEX(スコア表2[],MATCH("stdev.p",スコア表2[maxmin],0),MATCH(AZ$5,スコア表2[#Headers],0))
*10+50,"-")</f>
        <v>60.302953390024221</v>
      </c>
      <c r="BA40" s="4">
        <f>IFERROR(
(INDEX(スコア表[],MATCH($C40,スコア表['#],0),MATCH(BA$5,スコア表[#Headers],0))
-
INDEX(スコア表2[],MATCH("average",スコア表2[maxmin],0),MATCH(BA$5,スコア表2[#Headers],0)))
/
INDEX(スコア表2[],MATCH("stdev.p",スコア表2[maxmin],0),MATCH(BA$5,スコア表2[#Headers],0))
*10+50,"-")</f>
        <v>51.614639513235666</v>
      </c>
      <c r="BB40" s="4">
        <f>IFERROR(
(INDEX(スコア表[],MATCH($C40,スコア表['#],0),MATCH(BB$5,スコア表[#Headers],0))
-
INDEX(スコア表2[],MATCH("average",スコア表2[maxmin],0),MATCH(BB$5,スコア表2[#Headers],0)))
/
INDEX(スコア表2[],MATCH("stdev.p",スコア表2[maxmin],0),MATCH(BB$5,スコア表2[#Headers],0))
*10+50,"-")</f>
        <v>47.055317826076418</v>
      </c>
      <c r="BC40" s="4">
        <f>IFERROR(
(INDEX(スコア表[],MATCH($C40,スコア表['#],0),MATCH(BC$5,スコア表[#Headers],0))
-
INDEX(スコア表2[],MATCH("average",スコア表2[maxmin],0),MATCH(BC$5,スコア表2[#Headers],0)))
/
INDEX(スコア表2[],MATCH("stdev.p",スコア表2[maxmin],0),MATCH(BC$5,スコア表2[#Headers],0))
*10+50,"-")</f>
        <v>54.76752207885113</v>
      </c>
      <c r="BD40" s="4">
        <f>IFERROR(
(INDEX(スコア表[],MATCH($C40,スコア表['#],0),MATCH(BD$5,スコア表[#Headers],0))
-
INDEX(スコア表2[],MATCH("average",スコア表2[maxmin],0),MATCH(BD$5,スコア表2[#Headers],0)))
/
INDEX(スコア表2[],MATCH("stdev.p",スコア表2[maxmin],0),MATCH(BD$5,スコア表2[#Headers],0))
*10+50,"-")</f>
        <v>48.546468201339614</v>
      </c>
      <c r="BE40" s="4">
        <f>IFERROR(
(INDEX(スコア表[],MATCH($C40,スコア表['#],0),MATCH(BE$5,スコア表[#Headers],0))
-
INDEX(スコア表2[],MATCH("average",スコア表2[maxmin],0),MATCH(BE$5,スコア表2[#Headers],0)))
/
INDEX(スコア表2[],MATCH("stdev.p",スコア表2[maxmin],0),MATCH(BE$5,スコア表2[#Headers],0))
*10+50,"-")</f>
        <v>62.450499159282352</v>
      </c>
      <c r="BF40" s="4">
        <f>IFERROR(
(INDEX(スコア表[],MATCH($C40,スコア表['#],0),MATCH(BF$5,スコア表[#Headers],0))
-
INDEX(スコア表2[],MATCH("average",スコア表2[maxmin],0),MATCH(BF$5,スコア表2[#Headers],0)))
/
INDEX(スコア表2[],MATCH("stdev.p",スコア表2[maxmin],0),MATCH(BF$5,スコア表2[#Headers],0))
*10+50,"-")</f>
        <v>77.345052566149803</v>
      </c>
      <c r="BG40" s="4">
        <f>IFERROR(
(INDEX(スコア表[],MATCH($C40,スコア表['#],0),MATCH(BG$5,スコア表[#Headers],0))
-
INDEX(スコア表2[],MATCH("average",スコア表2[maxmin],0),MATCH(BG$5,スコア表2[#Headers],0)))
/
INDEX(スコア表2[],MATCH("stdev.p",スコア表2[maxmin],0),MATCH(BG$5,スコア表2[#Headers],0))
*10+50,"-")</f>
        <v>33.528244390321582</v>
      </c>
      <c r="BH40" s="4">
        <f>IFERROR(
(INDEX(スコア表[],MATCH($C40,スコア表['#],0),MATCH(BH$5,スコア表[#Headers],0))
-
INDEX(スコア表2[],MATCH("average",スコア表2[maxmin],0),MATCH(BH$5,スコア表2[#Headers],0)))
/
INDEX(スコア表2[],MATCH("stdev.p",スコア表2[maxmin],0),MATCH(BH$5,スコア表2[#Headers],0))
*10+50,"-")</f>
        <v>39.232461470829953</v>
      </c>
      <c r="BI40" s="4">
        <f>IFERROR(
(INDEX(スコア表[],MATCH($C40,スコア表['#],0),MATCH(BI$5,スコア表[#Headers],0))
-
INDEX(スコア表2[],MATCH("average",スコア表2[maxmin],0),MATCH(BI$5,スコア表2[#Headers],0)))
/
INDEX(スコア表2[],MATCH("stdev.p",スコア表2[maxmin],0),MATCH(BI$5,スコア表2[#Headers],0))
*10+50,"-")</f>
        <v>73.855409345560673</v>
      </c>
      <c r="BJ40" s="4">
        <f>IFERROR(
(INDEX(スコア表[],MATCH($C40,スコア表['#],0),MATCH(BJ$5,スコア表[#Headers],0))
-
INDEX(スコア表2[],MATCH("average",スコア表2[maxmin],0),MATCH(BJ$5,スコア表2[#Headers],0)))
/
INDEX(スコア表2[],MATCH("stdev.p",スコア表2[maxmin],0),MATCH(BJ$5,スコア表2[#Headers],0))
*10+50,"-")</f>
        <v>51.44681689310837</v>
      </c>
      <c r="BK40" s="4">
        <f>IFERROR(
(INDEX(スコア表[],MATCH($C40,スコア表['#],0),MATCH(BK$5,スコア表[#Headers],0))
-
INDEX(スコア表2[],MATCH("average",スコア表2[maxmin],0),MATCH(BK$5,スコア表2[#Headers],0)))
/
INDEX(スコア表2[],MATCH("stdev.p",スコア表2[maxmin],0),MATCH(BK$5,スコア表2[#Headers],0))
*10+50,"-")</f>
        <v>55.114108344000861</v>
      </c>
      <c r="BL40" s="4">
        <f>IFERROR(
(INDEX(スコア表[],MATCH($C40,スコア表['#],0),MATCH(BL$5,スコア表[#Headers],0))
-
INDEX(スコア表2[],MATCH("average",スコア表2[maxmin],0),MATCH(BL$5,スコア表2[#Headers],0)))
/
INDEX(スコア表2[],MATCH("stdev.p",スコア表2[maxmin],0),MATCH(BL$5,スコア表2[#Headers],0))
*10+50,"-")</f>
        <v>49.663068332688653</v>
      </c>
      <c r="BM40" s="4">
        <f>IFERROR(
(INDEX(スコア表[],MATCH($C40,スコア表['#],0),MATCH(BM$5,スコア表[#Headers],0))
-
INDEX(スコア表2[],MATCH("average",スコア表2[maxmin],0),MATCH(BM$5,スコア表2[#Headers],0)))
/
INDEX(スコア表2[],MATCH("stdev.p",スコア表2[maxmin],0),MATCH(BM$5,スコア表2[#Headers],0))
*10+50,"-")</f>
        <v>49.455952070688355</v>
      </c>
      <c r="BN40" s="4">
        <f>IFERROR(
(INDEX(スコア表[],MATCH($C40,スコア表['#],0),MATCH(BN$5,スコア表[#Headers],0))
-
INDEX(スコア表2[],MATCH("average",スコア表2[maxmin],0),MATCH(BN$5,スコア表2[#Headers],0)))
/
INDEX(スコア表2[],MATCH("stdev.p",スコア表2[maxmin],0),MATCH(BN$5,スコア表2[#Headers],0))
*10+50,"-")</f>
        <v>55.525704482713792</v>
      </c>
      <c r="BO40" s="4">
        <f>IFERROR(
(INDEX(スコア表[],MATCH($C40,スコア表['#],0),MATCH(BO$5,スコア表[#Headers],0))
-
INDEX(スコア表2[],MATCH("average",スコア表2[maxmin],0),MATCH(BO$5,スコア表2[#Headers],0)))
/
INDEX(スコア表2[],MATCH("stdev.p",スコア表2[maxmin],0),MATCH(BO$5,スコア表2[#Headers],0))
*10+50,"-")</f>
        <v>54.159503498282355</v>
      </c>
      <c r="BP40" s="4">
        <f>IFERROR(
(INDEX(スコア表[],MATCH($C40,スコア表['#],0),MATCH(BP$5,スコア表[#Headers],0))
-
INDEX(スコア表2[],MATCH("average",スコア表2[maxmin],0),MATCH(BP$5,スコア表2[#Headers],0)))
/
INDEX(スコア表2[],MATCH("stdev.p",スコア表2[maxmin],0),MATCH(BP$5,スコア表2[#Headers],0))
*10+50,"-")</f>
        <v>43.00026156326139</v>
      </c>
      <c r="BQ40" s="4">
        <f>IFERROR(
(INDEX(スコア表[],MATCH($C40,スコア表['#],0),MATCH(BQ$5,スコア表[#Headers],0))
-
INDEX(スコア表2[],MATCH("average",スコア表2[maxmin],0),MATCH(BQ$5,スコア表2[#Headers],0)))
/
INDEX(スコア表2[],MATCH("stdev.p",スコア表2[maxmin],0),MATCH(BQ$5,スコア表2[#Headers],0))
*10+50,"-")</f>
        <v>59.496150906862958</v>
      </c>
      <c r="BR40" s="4">
        <f>IFERROR(
(INDEX(スコア表[],MATCH($C40,スコア表['#],0),MATCH(BR$5,スコア表[#Headers],0))
-
INDEX(スコア表2[],MATCH("average",スコア表2[maxmin],0),MATCH(BR$5,スコア表2[#Headers],0)))
/
INDEX(スコア表2[],MATCH("stdev.p",スコア表2[maxmin],0),MATCH(BR$5,スコア表2[#Headers],0))
*10+50,"-")</f>
        <v>38.954583845223539</v>
      </c>
      <c r="BS40" s="4">
        <f>IFERROR(
(INDEX(スコア表[],MATCH($C40,スコア表['#],0),MATCH(BS$5,スコア表[#Headers],0))
-
INDEX(スコア表2[],MATCH("average",スコア表2[maxmin],0),MATCH(BS$5,スコア表2[#Headers],0)))
/
INDEX(スコア表2[],MATCH("stdev.p",スコア表2[maxmin],0),MATCH(BS$5,スコア表2[#Headers],0))
*10+50,"-")</f>
        <v>40.937814942079761</v>
      </c>
      <c r="BT40" s="4">
        <f>IFERROR(
(INDEX(スコア表[],MATCH($C40,スコア表['#],0),MATCH(BT$5,スコア表[#Headers],0))
-
INDEX(スコア表2[],MATCH("average",スコア表2[maxmin],0),MATCH(BT$5,スコア表2[#Headers],0)))
/
INDEX(スコア表2[],MATCH("stdev.p",スコア表2[maxmin],0),MATCH(BT$5,スコア表2[#Headers],0))
*10+50,"-")</f>
        <v>45.268840578402838</v>
      </c>
      <c r="BU40" s="4">
        <f>IFERROR(
(INDEX(スコア表[],MATCH($C40,スコア表['#],0),MATCH(BU$5,スコア表[#Headers],0))
-
INDEX(スコア表2[],MATCH("average",スコア表2[maxmin],0),MATCH(BU$5,スコア表2[#Headers],0)))
/
INDEX(スコア表2[],MATCH("stdev.p",スコア表2[maxmin],0),MATCH(BU$5,スコア表2[#Headers],0))
*10+50,"-")</f>
        <v>50.11989866034655</v>
      </c>
      <c r="BV40" s="4">
        <f>IFERROR(
(INDEX(スコア表[],MATCH($C40,スコア表['#],0),MATCH(BV$5,スコア表[#Headers],0))
-
INDEX(スコア表2[],MATCH("average",スコア表2[maxmin],0),MATCH(BV$5,スコア表2[#Headers],0)))
/
INDEX(スコア表2[],MATCH("stdev.p",スコア表2[maxmin],0),MATCH(BV$5,スコア表2[#Headers],0))
*10+50,"-")</f>
        <v>50.053326260735766</v>
      </c>
      <c r="BW40" s="4">
        <f>IFERROR(
(INDEX(スコア表[],MATCH($C40,スコア表['#],0),MATCH(BW$5,スコア表[#Headers],0))
-
INDEX(スコア表2[],MATCH("average",スコア表2[maxmin],0),MATCH(BW$5,スコア表2[#Headers],0)))
/
INDEX(スコア表2[],MATCH("stdev.p",スコア表2[maxmin],0),MATCH(BW$5,スコア表2[#Headers],0))
*10+50,"-")</f>
        <v>55.013657628467897</v>
      </c>
      <c r="BX40" s="4">
        <f>IFERROR(
(INDEX(スコア表[],MATCH($C40,スコア表['#],0),MATCH(BX$5,スコア表[#Headers],0))
-
INDEX(スコア表2[],MATCH("average",スコア表2[maxmin],0),MATCH(BX$5,スコア表2[#Headers],0)))
/
INDEX(スコア表2[],MATCH("stdev.p",スコア表2[maxmin],0),MATCH(BX$5,スコア表2[#Headers],0))
*10+50,"-")</f>
        <v>47.701067834516529</v>
      </c>
      <c r="BY40" s="4">
        <f>IFERROR(
(INDEX(スコア表[],MATCH($C40,スコア表['#],0),MATCH(BY$5,スコア表[#Headers],0))
-
INDEX(スコア表2[],MATCH("average",スコア表2[maxmin],0),MATCH(BY$5,スコア表2[#Headers],0)))
/
INDEX(スコア表2[],MATCH("stdev.p",スコア表2[maxmin],0),MATCH(BY$5,スコア表2[#Headers],0))
*10+50,"-")</f>
        <v>47.180310038985986</v>
      </c>
      <c r="BZ40" s="4">
        <f>IFERROR(
(INDEX(スコア表[],MATCH($C40,スコア表['#],0),MATCH(BZ$5,スコア表[#Headers],0))
-
INDEX(スコア表2[],MATCH("average",スコア表2[maxmin],0),MATCH(BZ$5,スコア表2[#Headers],0)))
/
INDEX(スコア表2[],MATCH("stdev.p",スコア表2[maxmin],0),MATCH(BZ$5,スコア表2[#Headers],0))
*10+50,"-")</f>
        <v>40.33467090864017</v>
      </c>
      <c r="CA40" s="4">
        <f>IFERROR(
(INDEX(スコア表[],MATCH($C40,スコア表['#],0),MATCH(CA$5,スコア表[#Headers],0))
-
INDEX(スコア表2[],MATCH("average",スコア表2[maxmin],0),MATCH(CA$5,スコア表2[#Headers],0)))
/
INDEX(スコア表2[],MATCH("stdev.p",スコア表2[maxmin],0),MATCH(CA$5,スコア表2[#Headers],0))
*10+50,"-")</f>
        <v>63.366902141741903</v>
      </c>
      <c r="CB40" s="4">
        <f>IFERROR(
(INDEX(スコア表[],MATCH($C40,スコア表['#],0),MATCH(CB$5,スコア表[#Headers],0))
-
INDEX(スコア表2[],MATCH("average",スコア表2[maxmin],0),MATCH(CB$5,スコア表2[#Headers],0)))
/
INDEX(スコア表2[],MATCH("stdev.p",スコア表2[maxmin],0),MATCH(CB$5,スコア表2[#Headers],0))
*10+50,"-")</f>
        <v>49.491740632394702</v>
      </c>
      <c r="CC40" s="4">
        <f>IFERROR(
(INDEX(スコア表[],MATCH($C40,スコア表['#],0),MATCH(CC$5,スコア表[#Headers],0))
-
INDEX(スコア表2[],MATCH("average",スコア表2[maxmin],0),MATCH(CC$5,スコア表2[#Headers],0)))
/
INDEX(スコア表2[],MATCH("stdev.p",スコア表2[maxmin],0),MATCH(CC$5,スコア表2[#Headers],0))
*10+50,"-")</f>
        <v>43.18724446861502</v>
      </c>
      <c r="CD40" s="4">
        <f>IFERROR(
(INDEX(スコア表[],MATCH($C40,スコア表['#],0),MATCH(CD$5,スコア表[#Headers],0))
-
INDEX(スコア表2[],MATCH("average",スコア表2[maxmin],0),MATCH(CD$5,スコア表2[#Headers],0)))
/
INDEX(スコア表2[],MATCH("stdev.p",スコア表2[maxmin],0),MATCH(CD$5,スコア表2[#Headers],0))
*10+50,"-")</f>
        <v>46.949144780925195</v>
      </c>
      <c r="CE40" s="4">
        <f>IFERROR(
(INDEX(スコア表[],MATCH($C40,スコア表['#],0),MATCH(CE$5,スコア表[#Headers],0))
-
INDEX(スコア表2[],MATCH("average",スコア表2[maxmin],0),MATCH(CE$5,スコア表2[#Headers],0)))
/
INDEX(スコア表2[],MATCH("stdev.p",スコア表2[maxmin],0),MATCH(CE$5,スコア表2[#Headers],0))
*10+50,"-")</f>
        <v>59.093588353858109</v>
      </c>
      <c r="CF40" s="4">
        <f>IFERROR(
(INDEX(スコア表[],MATCH($C40,スコア表['#],0),MATCH(CF$5,スコア表[#Headers],0))
-
INDEX(スコア表2[],MATCH("average",スコア表2[maxmin],0),MATCH(CF$5,スコア表2[#Headers],0)))
/
INDEX(スコア表2[],MATCH("stdev.p",スコア表2[maxmin],0),MATCH(CF$5,スコア表2[#Headers],0))
*10+50,"-")</f>
        <v>43.431328009189031</v>
      </c>
      <c r="CG40" s="4">
        <f>IFERROR(
(INDEX(スコア表[],MATCH($C40,スコア表['#],0),MATCH(CG$5,スコア表[#Headers],0))
-
INDEX(スコア表2[],MATCH("average",スコア表2[maxmin],0),MATCH(CG$5,スコア表2[#Headers],0)))
/
INDEX(スコア表2[],MATCH("stdev.p",スコア表2[maxmin],0),MATCH(CG$5,スコア表2[#Headers],0))
*10+50,"-")</f>
        <v>49.533548732175063</v>
      </c>
      <c r="CH40" s="4">
        <f>IFERROR(
(INDEX(スコア表[],MATCH($C40,スコア表['#],0),MATCH(CH$5,スコア表[#Headers],0))
-
INDEX(スコア表2[],MATCH("average",スコア表2[maxmin],0),MATCH(CH$5,スコア表2[#Headers],0)))
/
INDEX(スコア表2[],MATCH("stdev.p",スコア表2[maxmin],0),MATCH(CH$5,スコア表2[#Headers],0))
*10+50,"-")</f>
        <v>47.767567191522673</v>
      </c>
      <c r="CI40" s="4">
        <f>IFERROR(
(INDEX(スコア表[],MATCH($C40,スコア表['#],0),MATCH(CI$5,スコア表[#Headers],0))
-
INDEX(スコア表2[],MATCH("average",スコア表2[maxmin],0),MATCH(CI$5,スコア表2[#Headers],0)))
/
INDEX(スコア表2[],MATCH("stdev.p",スコア表2[maxmin],0),MATCH(CI$5,スコア表2[#Headers],0))
*10+50,"-")</f>
        <v>37.521910215034076</v>
      </c>
      <c r="CJ40" s="4">
        <f>IFERROR(
(INDEX(スコア表[],MATCH($C40,スコア表['#],0),MATCH(CJ$5,スコア表[#Headers],0))
-
INDEX(スコア表2[],MATCH("average",スコア表2[maxmin],0),MATCH(CJ$5,スコア表2[#Headers],0)))
/
INDEX(スコア表2[],MATCH("stdev.p",スコア表2[maxmin],0),MATCH(CJ$5,スコア表2[#Headers],0))
*10+50,"-")</f>
        <v>37.430884116197191</v>
      </c>
      <c r="CK40" s="4">
        <f>IFERROR(
(INDEX(スコア表[],MATCH($C40,スコア表['#],0),MATCH(CK$5,スコア表[#Headers],0))
-
INDEX(スコア表2[],MATCH("average",スコア表2[maxmin],0),MATCH(CK$5,スコア表2[#Headers],0)))
/
INDEX(スコア表2[],MATCH("stdev.p",スコア表2[maxmin],0),MATCH(CK$5,スコア表2[#Headers],0))
*10+50,"-")</f>
        <v>44.066532345952851</v>
      </c>
      <c r="CL40" s="4">
        <f>IFERROR(
(INDEX(スコア表[],MATCH($C40,スコア表['#],0),MATCH(CL$5,スコア表[#Headers],0))
-
INDEX(スコア表2[],MATCH("average",スコア表2[maxmin],0),MATCH(CL$5,スコア表2[#Headers],0)))
/
INDEX(スコア表2[],MATCH("stdev.p",スコア表2[maxmin],0),MATCH(CL$5,スコア表2[#Headers],0))
*10+50,"-")</f>
        <v>44.697682816237752</v>
      </c>
      <c r="CM40" s="4">
        <f>IFERROR(
(INDEX(スコア表[],MATCH($C40,スコア表['#],0),MATCH(CM$5,スコア表[#Headers],0))
-
INDEX(スコア表2[],MATCH("average",スコア表2[maxmin],0),MATCH(CM$5,スコア表2[#Headers],0)))
/
INDEX(スコア表2[],MATCH("stdev.p",スコア表2[maxmin],0),MATCH(CM$5,スコア表2[#Headers],0))
*10+50,"-")</f>
        <v>41.881096736401247</v>
      </c>
      <c r="CN40" s="4">
        <f>IFERROR(
(INDEX(スコア表[],MATCH($C40,スコア表['#],0),MATCH(CN$5,スコア表[#Headers],0))
-
INDEX(スコア表2[],MATCH("average",スコア表2[maxmin],0),MATCH(CN$5,スコア表2[#Headers],0)))
/
INDEX(スコア表2[],MATCH("stdev.p",スコア表2[maxmin],0),MATCH(CN$5,スコア表2[#Headers],0))
*10+50,"-")</f>
        <v>52.495387531939244</v>
      </c>
      <c r="CO40" s="4">
        <f>IFERROR(
(INDEX(スコア表[],MATCH($C40,スコア表['#],0),MATCH(CO$5,スコア表[#Headers],0))
-
INDEX(スコア表2[],MATCH("average",スコア表2[maxmin],0),MATCH(CO$5,スコア表2[#Headers],0)))
/
INDEX(スコア表2[],MATCH("stdev.p",スコア表2[maxmin],0),MATCH(CO$5,スコア表2[#Headers],0))
*10+50,"-")</f>
        <v>57.316933561106467</v>
      </c>
      <c r="CP40" s="4">
        <f>IFERROR(
(INDEX(スコア表[],MATCH($C40,スコア表['#],0),MATCH(CP$5,スコア表[#Headers],0))
-
INDEX(スコア表2[],MATCH("average",スコア表2[maxmin],0),MATCH(CP$5,スコア表2[#Headers],0)))
/
INDEX(スコア表2[],MATCH("stdev.p",スコア表2[maxmin],0),MATCH(CP$5,スコア表2[#Headers],0))
*10+50,"-")</f>
        <v>13.751514003068451</v>
      </c>
      <c r="CQ40" s="4">
        <f>IFERROR(
(INDEX(スコア表[],MATCH($C40,スコア表['#],0),MATCH(CQ$5,スコア表[#Headers],0))
-
INDEX(スコア表2[],MATCH("average",スコア表2[maxmin],0),MATCH(CQ$5,スコア表2[#Headers],0)))
/
INDEX(スコア表2[],MATCH("stdev.p",スコア表2[maxmin],0),MATCH(CQ$5,スコア表2[#Headers],0))
*10+50,"-")</f>
        <v>53.299714801611977</v>
      </c>
      <c r="CR40" s="4">
        <f>IFERROR(
(INDEX(スコア表[],MATCH($C40,スコア表['#],0),MATCH(CR$5,スコア表[#Headers],0))
-
INDEX(スコア表2[],MATCH("average",スコア表2[maxmin],0),MATCH(CR$5,スコア表2[#Headers],0)))
/
INDEX(スコア表2[],MATCH("stdev.p",スコア表2[maxmin],0),MATCH(CR$5,スコア表2[#Headers],0))
*10+50,"-")</f>
        <v>67.881330943863986</v>
      </c>
      <c r="CS40" s="4">
        <f>IFERROR(
(INDEX(スコア表[],MATCH($C40,スコア表['#],0),MATCH(CS$5,スコア表[#Headers],0))
-
INDEX(スコア表2[],MATCH("average",スコア表2[maxmin],0),MATCH(CS$5,スコア表2[#Headers],0)))
/
INDEX(スコア表2[],MATCH("stdev.p",スコア表2[maxmin],0),MATCH(CS$5,スコア表2[#Headers],0))
*10+50,"-")</f>
        <v>47.664721475435151</v>
      </c>
      <c r="CT40" s="4">
        <f>IFERROR(
(INDEX(スコア表[],MATCH($C40,スコア表['#],0),MATCH(CT$5,スコア表[#Headers],0))
-
INDEX(スコア表2[],MATCH("average",スコア表2[maxmin],0),MATCH(CT$5,スコア表2[#Headers],0)))
/
INDEX(スコア表2[],MATCH("stdev.p",スコア表2[maxmin],0),MATCH(CT$5,スコア表2[#Headers],0))
*10+50,"-")</f>
        <v>53.834359252228246</v>
      </c>
      <c r="CU40" s="4">
        <f>IFERROR(
(INDEX(スコア表[],MATCH($C40,スコア表['#],0),MATCH(CU$5,スコア表[#Headers],0))
-
INDEX(スコア表2[],MATCH("average",スコア表2[maxmin],0),MATCH(CU$5,スコア表2[#Headers],0)))
/
INDEX(スコア表2[],MATCH("stdev.p",スコア表2[maxmin],0),MATCH(CU$5,スコア表2[#Headers],0))
*10+50,"-")</f>
        <v>53.439973660731887</v>
      </c>
      <c r="CV40" s="4">
        <f>IFERROR(
(INDEX(スコア表[],MATCH($C40,スコア表['#],0),MATCH(CV$5,スコア表[#Headers],0))
-
INDEX(スコア表2[],MATCH("average",スコア表2[maxmin],0),MATCH(CV$5,スコア表2[#Headers],0)))
/
INDEX(スコア表2[],MATCH("stdev.p",スコア表2[maxmin],0),MATCH(CV$5,スコア表2[#Headers],0))
*10+50,"-")</f>
        <v>51.437977382308631</v>
      </c>
      <c r="CW40" s="4">
        <f>IFERROR(
(INDEX(スコア表[],MATCH($C40,スコア表['#],0),MATCH(CW$5,スコア表[#Headers],0))
-
INDEX(スコア表2[],MATCH("average",スコア表2[maxmin],0),MATCH(CW$5,スコア表2[#Headers],0)))
/
INDEX(スコア表2[],MATCH("stdev.p",スコア表2[maxmin],0),MATCH(CW$5,スコア表2[#Headers],0))
*10+50,"-")</f>
        <v>39.716707837072128</v>
      </c>
      <c r="CX40" s="4">
        <f>IFERROR(
(INDEX(スコア表[],MATCH($C40,スコア表['#],0),MATCH(CX$5,スコア表[#Headers],0))
-
INDEX(スコア表2[],MATCH("average",スコア表2[maxmin],0),MATCH(CX$5,スコア表2[#Headers],0)))
/
INDEX(スコア表2[],MATCH("stdev.p",スコア表2[maxmin],0),MATCH(CX$5,スコア表2[#Headers],0))
*10+50,"-")</f>
        <v>48.023838718787481</v>
      </c>
      <c r="CY40" s="4">
        <f>IFERROR(
(INDEX(スコア表[],MATCH($C40,スコア表['#],0),MATCH(CY$5,スコア表[#Headers],0))
-
INDEX(スコア表2[],MATCH("average",スコア表2[maxmin],0),MATCH(CY$5,スコア表2[#Headers],0)))
/
INDEX(スコア表2[],MATCH("stdev.p",スコア表2[maxmin],0),MATCH(CY$5,スコア表2[#Headers],0))
*10+50,"-")</f>
        <v>50.77071747342962</v>
      </c>
      <c r="CZ40" s="4">
        <f>IFERROR(
(INDEX(スコア表[],MATCH($C40,スコア表['#],0),MATCH(CZ$5,スコア表[#Headers],0))
-
INDEX(スコア表2[],MATCH("average",スコア表2[maxmin],0),MATCH(CZ$5,スコア表2[#Headers],0)))
/
INDEX(スコア表2[],MATCH("stdev.p",スコア表2[maxmin],0),MATCH(CZ$5,スコア表2[#Headers],0))
*10+50,"-")</f>
        <v>50.808390601453112</v>
      </c>
      <c r="DA40" s="4">
        <f>IFERROR(
(INDEX(スコア表[],MATCH($C40,スコア表['#],0),MATCH(DA$5,スコア表[#Headers],0))
-
INDEX(スコア表2[],MATCH("average",スコア表2[maxmin],0),MATCH(DA$5,スコア表2[#Headers],0)))
/
INDEX(スコア表2[],MATCH("stdev.p",スコア表2[maxmin],0),MATCH(DA$5,スコア表2[#Headers],0))
*10+50,"-")</f>
        <v>46.153687402204334</v>
      </c>
      <c r="DB40" s="4">
        <f>IFERROR(
(INDEX(スコア表[],MATCH($C40,スコア表['#],0),MATCH(DB$5,スコア表[#Headers],0))
-
INDEX(スコア表2[],MATCH("average",スコア表2[maxmin],0),MATCH(DB$5,スコア表2[#Headers],0)))
/
INDEX(スコア表2[],MATCH("stdev.p",スコア表2[maxmin],0),MATCH(DB$5,スコア表2[#Headers],0))
*10+50,"-")</f>
        <v>38.751806366194508</v>
      </c>
      <c r="DC40" s="4">
        <f>IFERROR(
(INDEX(スコア表[],MATCH($C40,スコア表['#],0),MATCH(DC$5,スコア表[#Headers],0))
-
INDEX(スコア表2[],MATCH("average",スコア表2[maxmin],0),MATCH(DC$5,スコア表2[#Headers],0)))
/
INDEX(スコア表2[],MATCH("stdev.p",スコア表2[maxmin],0),MATCH(DC$5,スコア表2[#Headers],0))
*10+50,"-")</f>
        <v>51.940735234430889</v>
      </c>
      <c r="DD40" s="4">
        <f>IFERROR(
(INDEX(スコア表[],MATCH($C40,スコア表['#],0),MATCH(DD$5,スコア表[#Headers],0))
-
INDEX(スコア表2[],MATCH("average",スコア表2[maxmin],0),MATCH(DD$5,スコア表2[#Headers],0)))
/
INDEX(スコア表2[],MATCH("stdev.p",スコア表2[maxmin],0),MATCH(DD$5,スコア表2[#Headers],0))
*10+50,"-")</f>
        <v>52.683938878660136</v>
      </c>
      <c r="DE40" s="4">
        <f>IFERROR(
(INDEX(スコア表[],MATCH($C40,スコア表['#],0),MATCH(DE$5,スコア表[#Headers],0))
-
INDEX(スコア表2[],MATCH("average",スコア表2[maxmin],0),MATCH(DE$5,スコア表2[#Headers],0)))
/
INDEX(スコア表2[],MATCH("stdev.p",スコア表2[maxmin],0),MATCH(DE$5,スコア表2[#Headers],0))
*10+50,"-")</f>
        <v>44.832700368917273</v>
      </c>
      <c r="DF40" s="76">
        <f>IFERROR(
(INDEX(スコア表[],MATCH($C40,スコア表['#],0),MATCH(DF$5,スコア表[#Headers],0))
-
INDEX(スコア表2[],MATCH("average",スコア表2[maxmin],0),MATCH(DF$5,スコア表2[#Headers],0)))
/
INDEX(スコア表2[],MATCH("stdev.p",スコア表2[maxmin],0),MATCH(DF$5,スコア表2[#Headers],0))
*10+50,"-")</f>
        <v>45.324675694316191</v>
      </c>
      <c r="DG40" s="4">
        <f>IFERROR(_xlfn.STDEV.P(偏差値表[[#This Row],[Economy]:[Accessibility]]),"")</f>
        <v>4.8818003614372723</v>
      </c>
    </row>
    <row r="41" spans="1:111">
      <c r="A41" s="2">
        <v>36</v>
      </c>
      <c r="B41" s="58">
        <f>INDEX(順位表[Comprehensive],MATCH($C41,順位表['#],0))</f>
        <v>36</v>
      </c>
      <c r="C41" s="3">
        <v>37</v>
      </c>
      <c r="D41" s="1" t="str">
        <f>INDEX(都市マスタ[City Name],MATCH($C41,都市マスタ['#],0))</f>
        <v>Washington, DC</v>
      </c>
      <c r="E41" s="4">
        <f>IFERROR(
(INDEX(スコア表[],MATCH($C41,スコア表['#],0),MATCH(E$5,スコア表[#Headers],0))
-
INDEX(スコア表2[],MATCH("average",スコア表2[maxmin],0),MATCH(E$5,スコア表2[#Headers],0)))
/
INDEX(スコア表2[],MATCH("stdev.p",スコア表2[maxmin],0),MATCH(E$5,スコア表2[#Headers],0))
*10+50,"-")</f>
        <v>41.687962777066119</v>
      </c>
      <c r="F41" s="4">
        <f>IFERROR(
(INDEX(スコア表[],MATCH($C41,スコア表['#],0),MATCH(F$5,スコア表[#Headers],0))
-
INDEX(スコア表2[],MATCH("average",スコア表2[maxmin],0),MATCH(F$5,スコア表2[#Headers],0)))
/
INDEX(スコア表2[],MATCH("stdev.p",スコア表2[maxmin],0),MATCH(F$5,スコア表2[#Headers],0))
*10+50,"-")</f>
        <v>45.261376724031166</v>
      </c>
      <c r="G41" s="4">
        <f>IFERROR(
(INDEX(スコア表[],MATCH($C41,スコア表['#],0),MATCH(G$5,スコア表[#Headers],0))
-
INDEX(スコア表2[],MATCH("average",スコア表2[maxmin],0),MATCH(G$5,スコア表2[#Headers],0)))
/
INDEX(スコア表2[],MATCH("stdev.p",スコア表2[maxmin],0),MATCH(G$5,スコア表2[#Headers],0))
*10+50,"-")</f>
        <v>48.332725179453242</v>
      </c>
      <c r="H41" s="4">
        <f>IFERROR(
(INDEX(スコア表[],MATCH($C41,スコア表['#],0),MATCH(H$5,スコア表[#Headers],0))
-
INDEX(スコア表2[],MATCH("average",スコア表2[maxmin],0),MATCH(H$5,スコア表2[#Headers],0)))
/
INDEX(スコア表2[],MATCH("stdev.p",スコア表2[maxmin],0),MATCH(H$5,スコア表2[#Headers],0))
*10+50,"-")</f>
        <v>46.855005490656346</v>
      </c>
      <c r="I41" s="4">
        <f>IFERROR(
(INDEX(スコア表[],MATCH($C41,スコア表['#],0),MATCH(I$5,スコア表[#Headers],0))
-
INDEX(スコア表2[],MATCH("average",スコア表2[maxmin],0),MATCH(I$5,スコア表2[#Headers],0)))
/
INDEX(スコア表2[],MATCH("stdev.p",スコア表2[maxmin],0),MATCH(I$5,スコア表2[#Headers],0))
*10+50,"-")</f>
        <v>79.246879468695141</v>
      </c>
      <c r="J41" s="4">
        <f>IFERROR(
(INDEX(スコア表[],MATCH($C41,スコア表['#],0),MATCH(J$5,スコア表[#Headers],0))
-
INDEX(スコア表2[],MATCH("average",スコア表2[maxmin],0),MATCH(J$5,スコア表2[#Headers],0)))
/
INDEX(スコア表2[],MATCH("stdev.p",スコア表2[maxmin],0),MATCH(J$5,スコア表2[#Headers],0))
*10+50,"-")</f>
        <v>46.389703228933669</v>
      </c>
      <c r="K41" s="4">
        <f>IFERROR(
(INDEX(スコア表[],MATCH($C41,スコア表['#],0),MATCH(K$5,スコア表[#Headers],0))
-
INDEX(スコア表2[],MATCH("average",スコア表2[maxmin],0),MATCH(K$5,スコア表2[#Headers],0)))
/
INDEX(スコア表2[],MATCH("stdev.p",スコア表2[maxmin],0),MATCH(K$5,スコア表2[#Headers],0))
*10+50,"-")</f>
        <v>52.937188630764282</v>
      </c>
      <c r="L41" s="4">
        <f>IFERROR(
(INDEX(スコア表[],MATCH($C41,スコア表['#],0),MATCH(L$5,スコア表[#Headers],0))
-
INDEX(スコア表2[],MATCH("average",スコア表2[maxmin],0),MATCH(L$5,スコア表2[#Headers],0)))
/
INDEX(スコア表2[],MATCH("stdev.p",スコア表2[maxmin],0),MATCH(L$5,スコア表2[#Headers],0))
*10+50,"-")</f>
        <v>46.831481232281661</v>
      </c>
      <c r="M41" s="4">
        <f>IFERROR(
(INDEX(スコア表[],MATCH($C41,スコア表['#],0),MATCH(M$5,スコア表[#Headers],0))
-
INDEX(スコア表2[],MATCH("average",スコア表2[maxmin],0),MATCH(M$5,スコア表2[#Headers],0)))
/
INDEX(スコア表2[],MATCH("stdev.p",スコア表2[maxmin],0),MATCH(M$5,スコア表2[#Headers],0))
*10+50,"-")</f>
        <v>52.768220952771578</v>
      </c>
      <c r="N41" s="4">
        <f>IFERROR(
(INDEX(スコア表[],MATCH($C41,スコア表['#],0),MATCH(N$5,スコア表[#Headers],0))
-
INDEX(スコア表2[],MATCH("average",スコア表2[maxmin],0),MATCH(N$5,スコア表2[#Headers],0)))
/
INDEX(スコア表2[],MATCH("stdev.p",スコア表2[maxmin],0),MATCH(N$5,スコア表2[#Headers],0))
*10+50,"-")</f>
        <v>43.078335325113244</v>
      </c>
      <c r="O41" s="4">
        <f>IFERROR(
(INDEX(スコア表[],MATCH($C41,スコア表['#],0),MATCH(O$5,スコア表[#Headers],0))
-
INDEX(スコア表2[],MATCH("average",スコア表2[maxmin],0),MATCH(O$5,スコア表2[#Headers],0)))
/
INDEX(スコア表2[],MATCH("stdev.p",スコア表2[maxmin],0),MATCH(O$5,スコア表2[#Headers],0))
*10+50,"-")</f>
        <v>38.090498123385004</v>
      </c>
      <c r="P41" s="4">
        <f>IFERROR(
(INDEX(スコア表[],MATCH($C41,スコア表['#],0),MATCH(P$5,スコア表[#Headers],0))
-
INDEX(スコア表2[],MATCH("average",スコア表2[maxmin],0),MATCH(P$5,スコア表2[#Headers],0)))
/
INDEX(スコア表2[],MATCH("stdev.p",スコア表2[maxmin],0),MATCH(P$5,スコア表2[#Headers],0))
*10+50,"-")</f>
        <v>66.984969032941237</v>
      </c>
      <c r="Q41" s="4">
        <f>IFERROR(
(INDEX(スコア表[],MATCH($C41,スコア表['#],0),MATCH(Q$5,スコア表[#Headers],0))
-
INDEX(スコア表2[],MATCH("average",スコア表2[maxmin],0),MATCH(Q$5,スコア表2[#Headers],0)))
/
INDEX(スコア表2[],MATCH("stdev.p",スコア表2[maxmin],0),MATCH(Q$5,スコア表2[#Headers],0))
*10+50,"-")</f>
        <v>64.373314793390165</v>
      </c>
      <c r="R41" s="4">
        <f>IFERROR(
(INDEX(スコア表[],MATCH($C41,スコア表['#],0),MATCH(R$5,スコア表[#Headers],0))
-
INDEX(スコア表2[],MATCH("average",スコア表2[maxmin],0),MATCH(R$5,スコア表2[#Headers],0)))
/
INDEX(スコア表2[],MATCH("stdev.p",スコア表2[maxmin],0),MATCH(R$5,スコア表2[#Headers],0))
*10+50,"-")</f>
        <v>55.787976270514022</v>
      </c>
      <c r="S41" s="4">
        <f>IFERROR(
(INDEX(スコア表[],MATCH($C41,スコア表['#],0),MATCH(S$5,スコア表[#Headers],0))
-
INDEX(スコア表2[],MATCH("average",スコア表2[maxmin],0),MATCH(S$5,スコア表2[#Headers],0)))
/
INDEX(スコア表2[],MATCH("stdev.p",スコア表2[maxmin],0),MATCH(S$5,スコア表2[#Headers],0))
*10+50,"-")</f>
        <v>45.576802087522559</v>
      </c>
      <c r="T41" s="4">
        <f>IFERROR(
(INDEX(スコア表[],MATCH($C41,スコア表['#],0),MATCH(T$5,スコア表[#Headers],0))
-
INDEX(スコア表2[],MATCH("average",スコア表2[maxmin],0),MATCH(T$5,スコア表2[#Headers],0)))
/
INDEX(スコア表2[],MATCH("stdev.p",スコア表2[maxmin],0),MATCH(T$5,スコア表2[#Headers],0))
*10+50,"-")</f>
        <v>57.868688668550007</v>
      </c>
      <c r="U41" s="4">
        <f>IFERROR(
(INDEX(スコア表[],MATCH($C41,スコア表['#],0),MATCH(U$5,スコア表[#Headers],0))
-
INDEX(スコア表2[],MATCH("average",スコア表2[maxmin],0),MATCH(U$5,スコア表2[#Headers],0)))
/
INDEX(スコア表2[],MATCH("stdev.p",スコア表2[maxmin],0),MATCH(U$5,スコア表2[#Headers],0))
*10+50,"-")</f>
        <v>55.027346559666839</v>
      </c>
      <c r="V41" s="4">
        <f>IFERROR(
(INDEX(スコア表[],MATCH($C41,スコア表['#],0),MATCH(V$5,スコア表[#Headers],0))
-
INDEX(スコア表2[],MATCH("average",スコア表2[maxmin],0),MATCH(V$5,スコア表2[#Headers],0)))
/
INDEX(スコア表2[],MATCH("stdev.p",スコア表2[maxmin],0),MATCH(V$5,スコア表2[#Headers],0))
*10+50,"-")</f>
        <v>48.361282204222995</v>
      </c>
      <c r="W41" s="4">
        <f>IFERROR(
(INDEX(スコア表[],MATCH($C41,スコア表['#],0),MATCH(W$5,スコア表[#Headers],0))
-
INDEX(スコア表2[],MATCH("average",スコア表2[maxmin],0),MATCH(W$5,スコア表2[#Headers],0)))
/
INDEX(スコア表2[],MATCH("stdev.p",スコア表2[maxmin],0),MATCH(W$5,スコア表2[#Headers],0))
*10+50,"-")</f>
        <v>61.748577504700563</v>
      </c>
      <c r="X41" s="4">
        <f>IFERROR(
(INDEX(スコア表[],MATCH($C41,スコア表['#],0),MATCH(X$5,スコア表[#Headers],0))
-
INDEX(スコア表2[],MATCH("average",スコア表2[maxmin],0),MATCH(X$5,スコア表2[#Headers],0)))
/
INDEX(スコア表2[],MATCH("stdev.p",スコア表2[maxmin],0),MATCH(X$5,スコア表2[#Headers],0))
*10+50,"-")</f>
        <v>48.035297504941013</v>
      </c>
      <c r="Y41" s="4">
        <f>IFERROR(
(INDEX(スコア表[],MATCH($C41,スコア表['#],0),MATCH(Y$5,スコア表[#Headers],0))
-
INDEX(スコア表2[],MATCH("average",スコア表2[maxmin],0),MATCH(Y$5,スコア表2[#Headers],0)))
/
INDEX(スコア表2[],MATCH("stdev.p",スコア表2[maxmin],0),MATCH(Y$5,スコア表2[#Headers],0))
*10+50,"-")</f>
        <v>52.506733473261285</v>
      </c>
      <c r="Z41" s="4">
        <f>IFERROR(
(INDEX(スコア表[],MATCH($C41,スコア表['#],0),MATCH(Z$5,スコア表[#Headers],0))
-
INDEX(スコア表2[],MATCH("average",スコア表2[maxmin],0),MATCH(Z$5,スコア表2[#Headers],0)))
/
INDEX(スコア表2[],MATCH("stdev.p",スコア表2[maxmin],0),MATCH(Z$5,スコア表2[#Headers],0))
*10+50,"-")</f>
        <v>55.097132637240513</v>
      </c>
      <c r="AA41" s="4">
        <f>IFERROR(
(INDEX(スコア表[],MATCH($C41,スコア表['#],0),MATCH(AA$5,スコア表[#Headers],0))
-
INDEX(スコア表2[],MATCH("average",スコア表2[maxmin],0),MATCH(AA$5,スコア表2[#Headers],0)))
/
INDEX(スコア表2[],MATCH("stdev.p",スコア表2[maxmin],0),MATCH(AA$5,スコア表2[#Headers],0))
*10+50,"-")</f>
        <v>62.272374738201925</v>
      </c>
      <c r="AB41" s="4">
        <f>IFERROR(
(INDEX(スコア表[],MATCH($C41,スコア表['#],0),MATCH(AB$5,スコア表[#Headers],0))
-
INDEX(スコア表2[],MATCH("average",スコア表2[maxmin],0),MATCH(AB$5,スコア表2[#Headers],0)))
/
INDEX(スコア表2[],MATCH("stdev.p",スコア表2[maxmin],0),MATCH(AB$5,スコア表2[#Headers],0))
*10+50,"-")</f>
        <v>47.120806630229367</v>
      </c>
      <c r="AC41" s="4">
        <f>IFERROR(
(INDEX(スコア表[],MATCH($C41,スコア表['#],0),MATCH(AC$5,スコア表[#Headers],0))
-
INDEX(スコア表2[],MATCH("average",スコア表2[maxmin],0),MATCH(AC$5,スコア表2[#Headers],0)))
/
INDEX(スコア表2[],MATCH("stdev.p",スコア表2[maxmin],0),MATCH(AC$5,スコア表2[#Headers],0))
*10+50,"-")</f>
        <v>49.051236977366131</v>
      </c>
      <c r="AD41" s="4">
        <f>IFERROR(
(INDEX(スコア表[],MATCH($C41,スコア表['#],0),MATCH(AD$5,スコア表[#Headers],0))
-
INDEX(スコア表2[],MATCH("average",スコア表2[maxmin],0),MATCH(AD$5,スコア表2[#Headers],0)))
/
INDEX(スコア表2[],MATCH("stdev.p",スコア表2[maxmin],0),MATCH(AD$5,スコア表2[#Headers],0))
*10+50,"-")</f>
        <v>38.814061534515943</v>
      </c>
      <c r="AE41" s="4">
        <f>IFERROR(
(INDEX(スコア表[],MATCH($C41,スコア表['#],0),MATCH(AE$5,スコア表[#Headers],0))
-
INDEX(スコア表2[],MATCH("average",スコア表2[maxmin],0),MATCH(AE$5,スコア表2[#Headers],0)))
/
INDEX(スコア表2[],MATCH("stdev.p",スコア表2[maxmin],0),MATCH(AE$5,スコア表2[#Headers],0))
*10+50,"-")</f>
        <v>48.610783747919655</v>
      </c>
      <c r="AF41" s="4">
        <f>IFERROR(
(INDEX(スコア表[],MATCH($C41,スコア表['#],0),MATCH(AF$5,スコア表[#Headers],0))
-
INDEX(スコア表2[],MATCH("average",スコア表2[maxmin],0),MATCH(AF$5,スコア表2[#Headers],0)))
/
INDEX(スコア表2[],MATCH("stdev.p",スコア表2[maxmin],0),MATCH(AF$5,スコア表2[#Headers],0))
*10+50,"-")</f>
        <v>47.721682206395442</v>
      </c>
      <c r="AG41" s="4">
        <f>IFERROR(
(INDEX(スコア表[],MATCH($C41,スコア表['#],0),MATCH(AG$5,スコア表[#Headers],0))
-
INDEX(スコア表2[],MATCH("average",スコア表2[maxmin],0),MATCH(AG$5,スコア表2[#Headers],0)))
/
INDEX(スコア表2[],MATCH("stdev.p",スコア表2[maxmin],0),MATCH(AG$5,スコア表2[#Headers],0))
*10+50,"-")</f>
        <v>47.174915280767316</v>
      </c>
      <c r="AH41" s="4">
        <f>IFERROR(
(INDEX(スコア表[],MATCH($C41,スコア表['#],0),MATCH(AH$5,スコア表[#Headers],0))
-
INDEX(スコア表2[],MATCH("average",スコア表2[maxmin],0),MATCH(AH$5,スコア表2[#Headers],0)))
/
INDEX(スコア表2[],MATCH("stdev.p",スコア表2[maxmin],0),MATCH(AH$5,スコア表2[#Headers],0))
*10+50,"-")</f>
        <v>40.910160095405388</v>
      </c>
      <c r="AI41" s="4">
        <f>IFERROR(
(INDEX(スコア表[],MATCH($C41,スコア表['#],0),MATCH(AI$5,スコア表[#Headers],0))
-
INDEX(スコア表2[],MATCH("average",スコア表2[maxmin],0),MATCH(AI$5,スコア表2[#Headers],0)))
/
INDEX(スコア表2[],MATCH("stdev.p",スコア表2[maxmin],0),MATCH(AI$5,スコア表2[#Headers],0))
*10+50,"-")</f>
        <v>38.904767326783862</v>
      </c>
      <c r="AJ41" s="4">
        <f>IFERROR(
(INDEX(スコア表[],MATCH($C41,スコア表['#],0),MATCH(AJ$5,スコア表[#Headers],0))
-
INDEX(スコア表2[],MATCH("average",スコア表2[maxmin],0),MATCH(AJ$5,スコア表2[#Headers],0)))
/
INDEX(スコア表2[],MATCH("stdev.p",スコア表2[maxmin],0),MATCH(AJ$5,スコア表2[#Headers],0))
*10+50,"-")</f>
        <v>46.029584229733295</v>
      </c>
      <c r="AK41" s="4">
        <f>IFERROR(
(INDEX(スコア表[],MATCH($C41,スコア表['#],0),MATCH(AK$5,スコア表[#Headers],0))
-
INDEX(スコア表2[],MATCH("average",スコア表2[maxmin],0),MATCH(AK$5,スコア表2[#Headers],0)))
/
INDEX(スコア表2[],MATCH("stdev.p",スコア表2[maxmin],0),MATCH(AK$5,スコア表2[#Headers],0))
*10+50,"-")</f>
        <v>56.197866831862378</v>
      </c>
      <c r="AL41" s="4">
        <f>IFERROR(
(INDEX(スコア表[],MATCH($C41,スコア表['#],0),MATCH(AL$5,スコア表[#Headers],0))
-
INDEX(スコア表2[],MATCH("average",スコア表2[maxmin],0),MATCH(AL$5,スコア表2[#Headers],0)))
/
INDEX(スコア表2[],MATCH("stdev.p",スコア表2[maxmin],0),MATCH(AL$5,スコア表2[#Headers],0))
*10+50,"-")</f>
        <v>46.249564217977529</v>
      </c>
      <c r="AM41" s="4">
        <f>IFERROR(
(INDEX(スコア表[],MATCH($C41,スコア表['#],0),MATCH(AM$5,スコア表[#Headers],0))
-
INDEX(スコア表2[],MATCH("average",スコア表2[maxmin],0),MATCH(AM$5,スコア表2[#Headers],0)))
/
INDEX(スコア表2[],MATCH("stdev.p",スコア表2[maxmin],0),MATCH(AM$5,スコア表2[#Headers],0))
*10+50,"-")</f>
        <v>48.052853992241211</v>
      </c>
      <c r="AN41" s="4">
        <f>IFERROR(
(INDEX(スコア表[],MATCH($C41,スコア表['#],0),MATCH(AN$5,スコア表[#Headers],0))
-
INDEX(スコア表2[],MATCH("average",スコア表2[maxmin],0),MATCH(AN$5,スコア表2[#Headers],0)))
/
INDEX(スコア表2[],MATCH("stdev.p",スコア表2[maxmin],0),MATCH(AN$5,スコア表2[#Headers],0))
*10+50,"-")</f>
        <v>45.361565836332893</v>
      </c>
      <c r="AO41" s="4">
        <f>IFERROR(
(INDEX(スコア表[],MATCH($C41,スコア表['#],0),MATCH(AO$5,スコア表[#Headers],0))
-
INDEX(スコア表2[],MATCH("average",スコア表2[maxmin],0),MATCH(AO$5,スコア表2[#Headers],0)))
/
INDEX(スコア表2[],MATCH("stdev.p",スコア表2[maxmin],0),MATCH(AO$5,スコア表2[#Headers],0))
*10+50,"-")</f>
        <v>30.646378285104198</v>
      </c>
      <c r="AP41" s="4">
        <f>IFERROR(
(INDEX(スコア表[],MATCH($C41,スコア表['#],0),MATCH(AP$5,スコア表[#Headers],0))
-
INDEX(スコア表2[],MATCH("average",スコア表2[maxmin],0),MATCH(AP$5,スコア表2[#Headers],0)))
/
INDEX(スコア表2[],MATCH("stdev.p",スコア表2[maxmin],0),MATCH(AP$5,スコア表2[#Headers],0))
*10+50,"-")</f>
        <v>40.377032831407909</v>
      </c>
      <c r="AQ41" s="4">
        <f>IFERROR(
(INDEX(スコア表[],MATCH($C41,スコア表['#],0),MATCH(AQ$5,スコア表[#Headers],0))
-
INDEX(スコア表2[],MATCH("average",スコア表2[maxmin],0),MATCH(AQ$5,スコア表2[#Headers],0)))
/
INDEX(スコア表2[],MATCH("stdev.p",スコア表2[maxmin],0),MATCH(AQ$5,スコア表2[#Headers],0))
*10+50,"-")</f>
        <v>43.095587375269666</v>
      </c>
      <c r="AR41" s="4">
        <f>IFERROR(
(INDEX(スコア表[],MATCH($C41,スコア表['#],0),MATCH(AR$5,スコア表[#Headers],0))
-
INDEX(スコア表2[],MATCH("average",スコア表2[maxmin],0),MATCH(AR$5,スコア表2[#Headers],0)))
/
INDEX(スコア表2[],MATCH("stdev.p",スコア表2[maxmin],0),MATCH(AR$5,スコア表2[#Headers],0))
*10+50,"-")</f>
        <v>43.819140534700992</v>
      </c>
      <c r="AS41" s="4">
        <f>IFERROR(
(INDEX(スコア表[],MATCH($C41,スコア表['#],0),MATCH(AS$5,スコア表[#Headers],0))
-
INDEX(スコア表2[],MATCH("average",スコア表2[maxmin],0),MATCH(AS$5,スコア表2[#Headers],0)))
/
INDEX(スコア表2[],MATCH("stdev.p",スコア表2[maxmin],0),MATCH(AS$5,スコア表2[#Headers],0))
*10+50,"-")</f>
        <v>52.972554184160771</v>
      </c>
      <c r="AT41" s="4">
        <f>IFERROR(
(INDEX(スコア表[],MATCH($C41,スコア表['#],0),MATCH(AT$5,スコア表[#Headers],0))
-
INDEX(スコア表2[],MATCH("average",スコア表2[maxmin],0),MATCH(AT$5,スコア表2[#Headers],0)))
/
INDEX(スコア表2[],MATCH("stdev.p",スコア表2[maxmin],0),MATCH(AT$5,スコア表2[#Headers],0))
*10+50,"-")</f>
        <v>44.213384430158627</v>
      </c>
      <c r="AU41" s="4">
        <f>IFERROR(
(INDEX(スコア表[],MATCH($C41,スコア表['#],0),MATCH(AU$5,スコア表[#Headers],0))
-
INDEX(スコア表2[],MATCH("average",スコア表2[maxmin],0),MATCH(AU$5,スコア表2[#Headers],0)))
/
INDEX(スコア表2[],MATCH("stdev.p",スコア表2[maxmin],0),MATCH(AU$5,スコア表2[#Headers],0))
*10+50,"-")</f>
        <v>60.12554306257563</v>
      </c>
      <c r="AV41" s="4">
        <f>IFERROR(
(INDEX(スコア表[],MATCH($C41,スコア表['#],0),MATCH(AV$5,スコア表[#Headers],0))
-
INDEX(スコア表2[],MATCH("average",スコア表2[maxmin],0),MATCH(AV$5,スコア表2[#Headers],0)))
/
INDEX(スコア表2[],MATCH("stdev.p",スコア表2[maxmin],0),MATCH(AV$5,スコア表2[#Headers],0))
*10+50,"-")</f>
        <v>36.260566944873048</v>
      </c>
      <c r="AW41" s="4">
        <f>IFERROR(
(INDEX(スコア表[],MATCH($C41,スコア表['#],0),MATCH(AW$5,スコア表[#Headers],0))
-
INDEX(スコア表2[],MATCH("average",スコア表2[maxmin],0),MATCH(AW$5,スコア表2[#Headers],0)))
/
INDEX(スコア表2[],MATCH("stdev.p",スコア表2[maxmin],0),MATCH(AW$5,スコア表2[#Headers],0))
*10+50,"-")</f>
        <v>44.31844875793476</v>
      </c>
      <c r="AX41" s="4">
        <f>IFERROR(
(INDEX(スコア表[],MATCH($C41,スコア表['#],0),MATCH(AX$5,スコア表[#Headers],0))
-
INDEX(スコア表2[],MATCH("average",スコア表2[maxmin],0),MATCH(AX$5,スコア表2[#Headers],0)))
/
INDEX(スコア表2[],MATCH("stdev.p",スコア表2[maxmin],0),MATCH(AX$5,スコア表2[#Headers],0))
*10+50,"-")</f>
        <v>19.916926571992619</v>
      </c>
      <c r="AY41" s="4">
        <f>IFERROR(
(INDEX(スコア表[],MATCH($C41,スコア表['#],0),MATCH(AY$5,スコア表[#Headers],0))
-
INDEX(スコア表2[],MATCH("average",スコア表2[maxmin],0),MATCH(AY$5,スコア表2[#Headers],0)))
/
INDEX(スコア表2[],MATCH("stdev.p",スコア表2[maxmin],0),MATCH(AY$5,スコア表2[#Headers],0))
*10+50,"-")</f>
        <v>53.530190845696652</v>
      </c>
      <c r="AZ41" s="4">
        <f>IFERROR(
(INDEX(スコア表[],MATCH($C41,スコア表['#],0),MATCH(AZ$5,スコア表[#Headers],0))
-
INDEX(スコア表2[],MATCH("average",スコア表2[maxmin],0),MATCH(AZ$5,スコア表2[#Headers],0)))
/
INDEX(スコア表2[],MATCH("stdev.p",スコア表2[maxmin],0),MATCH(AZ$5,スコア表2[#Headers],0))
*10+50,"-")</f>
        <v>46.879842773195158</v>
      </c>
      <c r="BA41" s="4">
        <f>IFERROR(
(INDEX(スコア表[],MATCH($C41,スコア表['#],0),MATCH(BA$5,スコア表[#Headers],0))
-
INDEX(スコア表2[],MATCH("average",スコア表2[maxmin],0),MATCH(BA$5,スコア表2[#Headers],0)))
/
INDEX(スコア表2[],MATCH("stdev.p",スコア表2[maxmin],0),MATCH(BA$5,スコア表2[#Headers],0))
*10+50,"-")</f>
        <v>52.951837775060355</v>
      </c>
      <c r="BB41" s="4">
        <f>IFERROR(
(INDEX(スコア表[],MATCH($C41,スコア表['#],0),MATCH(BB$5,スコア表[#Headers],0))
-
INDEX(スコア表2[],MATCH("average",スコア表2[maxmin],0),MATCH(BB$5,スコア表2[#Headers],0)))
/
INDEX(スコア表2[],MATCH("stdev.p",スコア表2[maxmin],0),MATCH(BB$5,スコア表2[#Headers],0))
*10+50,"-")</f>
        <v>35.317106367078722</v>
      </c>
      <c r="BC41" s="4">
        <f>IFERROR(
(INDEX(スコア表[],MATCH($C41,スコア表['#],0),MATCH(BC$5,スコア表[#Headers],0))
-
INDEX(スコア表2[],MATCH("average",スコア表2[maxmin],0),MATCH(BC$5,スコア表2[#Headers],0)))
/
INDEX(スコア表2[],MATCH("stdev.p",スコア表2[maxmin],0),MATCH(BC$5,スコア表2[#Headers],0))
*10+50,"-")</f>
        <v>62.235731987074203</v>
      </c>
      <c r="BD41" s="4">
        <f>IFERROR(
(INDEX(スコア表[],MATCH($C41,スコア表['#],0),MATCH(BD$5,スコア表[#Headers],0))
-
INDEX(スコア表2[],MATCH("average",スコア表2[maxmin],0),MATCH(BD$5,スコア表2[#Headers],0)))
/
INDEX(スコア表2[],MATCH("stdev.p",スコア表2[maxmin],0),MATCH(BD$5,スコア表2[#Headers],0))
*10+50,"-")</f>
        <v>64.760994110607086</v>
      </c>
      <c r="BE41" s="4">
        <f>IFERROR(
(INDEX(スコア表[],MATCH($C41,スコア表['#],0),MATCH(BE$5,スコア表[#Headers],0))
-
INDEX(スコア表2[],MATCH("average",スコア表2[maxmin],0),MATCH(BE$5,スコア表2[#Headers],0)))
/
INDEX(スコア表2[],MATCH("stdev.p",スコア表2[maxmin],0),MATCH(BE$5,スコア表2[#Headers],0))
*10+50,"-")</f>
        <v>40.132176561102455</v>
      </c>
      <c r="BF41" s="4">
        <f>IFERROR(
(INDEX(スコア表[],MATCH($C41,スコア表['#],0),MATCH(BF$5,スコア表[#Headers],0))
-
INDEX(スコア表2[],MATCH("average",スコア表2[maxmin],0),MATCH(BF$5,スコア表2[#Headers],0)))
/
INDEX(スコア表2[],MATCH("stdev.p",スコア表2[maxmin],0),MATCH(BF$5,スコア表2[#Headers],0))
*10+50,"-")</f>
        <v>45.120245696093519</v>
      </c>
      <c r="BG41" s="4">
        <f>IFERROR(
(INDEX(スコア表[],MATCH($C41,スコア表['#],0),MATCH(BG$5,スコア表[#Headers],0))
-
INDEX(スコア表2[],MATCH("average",スコア表2[maxmin],0),MATCH(BG$5,スコア表2[#Headers],0)))
/
INDEX(スコア表2[],MATCH("stdev.p",スコア表2[maxmin],0),MATCH(BG$5,スコア表2[#Headers],0))
*10+50,"-")</f>
        <v>53.906479972464744</v>
      </c>
      <c r="BH41" s="4">
        <f>IFERROR(
(INDEX(スコア表[],MATCH($C41,スコア表['#],0),MATCH(BH$5,スコア表[#Headers],0))
-
INDEX(スコア表2[],MATCH("average",スコア表2[maxmin],0),MATCH(BH$5,スコア表2[#Headers],0)))
/
INDEX(スコア表2[],MATCH("stdev.p",スコア表2[maxmin],0),MATCH(BH$5,スコア表2[#Headers],0))
*10+50,"-")</f>
        <v>44.834716423197847</v>
      </c>
      <c r="BI41" s="4">
        <f>IFERROR(
(INDEX(スコア表[],MATCH($C41,スコア表['#],0),MATCH(BI$5,スコア表[#Headers],0))
-
INDEX(スコア表2[],MATCH("average",スコア表2[maxmin],0),MATCH(BI$5,スコア表2[#Headers],0)))
/
INDEX(スコア表2[],MATCH("stdev.p",スコア表2[maxmin],0),MATCH(BI$5,スコア表2[#Headers],0))
*10+50,"-")</f>
        <v>48.034957318581462</v>
      </c>
      <c r="BJ41" s="4">
        <f>IFERROR(
(INDEX(スコア表[],MATCH($C41,スコア表['#],0),MATCH(BJ$5,スコア表[#Headers],0))
-
INDEX(スコア表2[],MATCH("average",スコア表2[maxmin],0),MATCH(BJ$5,スコア表2[#Headers],0)))
/
INDEX(スコア表2[],MATCH("stdev.p",スコア表2[maxmin],0),MATCH(BJ$5,スコア表2[#Headers],0))
*10+50,"-")</f>
        <v>13.742165712753732</v>
      </c>
      <c r="BK41" s="4">
        <f>IFERROR(
(INDEX(スコア表[],MATCH($C41,スコア表['#],0),MATCH(BK$5,スコア表[#Headers],0))
-
INDEX(スコア表2[],MATCH("average",スコア表2[maxmin],0),MATCH(BK$5,スコア表2[#Headers],0)))
/
INDEX(スコア表2[],MATCH("stdev.p",スコア表2[maxmin],0),MATCH(BK$5,スコア表2[#Headers],0))
*10+50,"-")</f>
        <v>55.211019990467456</v>
      </c>
      <c r="BL41" s="4">
        <f>IFERROR(
(INDEX(スコア表[],MATCH($C41,スコア表['#],0),MATCH(BL$5,スコア表[#Headers],0))
-
INDEX(スコア表2[],MATCH("average",スコア表2[maxmin],0),MATCH(BL$5,スコア表2[#Headers],0)))
/
INDEX(スコア表2[],MATCH("stdev.p",スコア表2[maxmin],0),MATCH(BL$5,スコア表2[#Headers],0))
*10+50,"-")</f>
        <v>50.43240986034661</v>
      </c>
      <c r="BM41" s="4">
        <f>IFERROR(
(INDEX(スコア表[],MATCH($C41,スコア表['#],0),MATCH(BM$5,スコア表[#Headers],0))
-
INDEX(スコア表2[],MATCH("average",スコア表2[maxmin],0),MATCH(BM$5,スコア表2[#Headers],0)))
/
INDEX(スコア表2[],MATCH("stdev.p",スコア表2[maxmin],0),MATCH(BM$5,スコア表2[#Headers],0))
*10+50,"-")</f>
        <v>47.211326651619444</v>
      </c>
      <c r="BN41" s="4">
        <f>IFERROR(
(INDEX(スコア表[],MATCH($C41,スコア表['#],0),MATCH(BN$5,スコア表[#Headers],0))
-
INDEX(スコア表2[],MATCH("average",スコア表2[maxmin],0),MATCH(BN$5,スコア表2[#Headers],0)))
/
INDEX(スコア表2[],MATCH("stdev.p",スコア表2[maxmin],0),MATCH(BN$5,スコア表2[#Headers],0))
*10+50,"-")</f>
        <v>56.945600865685094</v>
      </c>
      <c r="BO41" s="4">
        <f>IFERROR(
(INDEX(スコア表[],MATCH($C41,スコア表['#],0),MATCH(BO$5,スコア表[#Headers],0))
-
INDEX(スコア表2[],MATCH("average",スコア表2[maxmin],0),MATCH(BO$5,スコア表2[#Headers],0)))
/
INDEX(スコア表2[],MATCH("stdev.p",スコア表2[maxmin],0),MATCH(BO$5,スコア表2[#Headers],0))
*10+50,"-")</f>
        <v>51.538795682274504</v>
      </c>
      <c r="BP41" s="4">
        <f>IFERROR(
(INDEX(スコア表[],MATCH($C41,スコア表['#],0),MATCH(BP$5,スコア表[#Headers],0))
-
INDEX(スコア表2[],MATCH("average",スコア表2[maxmin],0),MATCH(BP$5,スコア表2[#Headers],0)))
/
INDEX(スコア表2[],MATCH("stdev.p",スコア表2[maxmin],0),MATCH(BP$5,スコア表2[#Headers],0))
*10+50,"-")</f>
        <v>42.185893828626547</v>
      </c>
      <c r="BQ41" s="4">
        <f>IFERROR(
(INDEX(スコア表[],MATCH($C41,スコア表['#],0),MATCH(BQ$5,スコア表[#Headers],0))
-
INDEX(スコア表2[],MATCH("average",スコア表2[maxmin],0),MATCH(BQ$5,スコア表2[#Headers],0)))
/
INDEX(スコア表2[],MATCH("stdev.p",スコア表2[maxmin],0),MATCH(BQ$5,スコア表2[#Headers],0))
*10+50,"-")</f>
        <v>42.8628450093128</v>
      </c>
      <c r="BR41" s="4">
        <f>IFERROR(
(INDEX(スコア表[],MATCH($C41,スコア表['#],0),MATCH(BR$5,スコア表[#Headers],0))
-
INDEX(スコア表2[],MATCH("average",スコア表2[maxmin],0),MATCH(BR$5,スコア表2[#Headers],0)))
/
INDEX(スコア表2[],MATCH("stdev.p",スコア表2[maxmin],0),MATCH(BR$5,スコア表2[#Headers],0))
*10+50,"-")</f>
        <v>51.710347054148585</v>
      </c>
      <c r="BS41" s="4">
        <f>IFERROR(
(INDEX(スコア表[],MATCH($C41,スコア表['#],0),MATCH(BS$5,スコア表[#Headers],0))
-
INDEX(スコア表2[],MATCH("average",スコア表2[maxmin],0),MATCH(BS$5,スコア表2[#Headers],0)))
/
INDEX(スコア表2[],MATCH("stdev.p",スコア表2[maxmin],0),MATCH(BS$5,スコア表2[#Headers],0))
*10+50,"-")</f>
        <v>46.125472269952738</v>
      </c>
      <c r="BT41" s="4">
        <f>IFERROR(
(INDEX(スコア表[],MATCH($C41,スコア表['#],0),MATCH(BT$5,スコア表[#Headers],0))
-
INDEX(スコア表2[],MATCH("average",スコア表2[maxmin],0),MATCH(BT$5,スコア表2[#Headers],0)))
/
INDEX(スコア表2[],MATCH("stdev.p",スコア表2[maxmin],0),MATCH(BT$5,スコア表2[#Headers],0))
*10+50,"-")</f>
        <v>42.612958164879743</v>
      </c>
      <c r="BU41" s="4">
        <f>IFERROR(
(INDEX(スコア表[],MATCH($C41,スコア表['#],0),MATCH(BU$5,スコア表[#Headers],0))
-
INDEX(スコア表2[],MATCH("average",スコア表2[maxmin],0),MATCH(BU$5,スコア表2[#Headers],0)))
/
INDEX(スコア表2[],MATCH("stdev.p",スコア表2[maxmin],0),MATCH(BU$5,スコア表2[#Headers],0))
*10+50,"-")</f>
        <v>38.664777854615622</v>
      </c>
      <c r="BV41" s="4">
        <f>IFERROR(
(INDEX(スコア表[],MATCH($C41,スコア表['#],0),MATCH(BV$5,スコア表[#Headers],0))
-
INDEX(スコア表2[],MATCH("average",スコア表2[maxmin],0),MATCH(BV$5,スコア表2[#Headers],0)))
/
INDEX(スコア表2[],MATCH("stdev.p",スコア表2[maxmin],0),MATCH(BV$5,スコア表2[#Headers],0))
*10+50,"-")</f>
        <v>40.967789473178946</v>
      </c>
      <c r="BW41" s="4">
        <f>IFERROR(
(INDEX(スコア表[],MATCH($C41,スコア表['#],0),MATCH(BW$5,スコア表[#Headers],0))
-
INDEX(スコア表2[],MATCH("average",スコア表2[maxmin],0),MATCH(BW$5,スコア表2[#Headers],0)))
/
INDEX(スコア表2[],MATCH("stdev.p",スコア表2[maxmin],0),MATCH(BW$5,スコア表2[#Headers],0))
*10+50,"-")</f>
        <v>56.295694444994339</v>
      </c>
      <c r="BX41" s="4">
        <f>IFERROR(
(INDEX(スコア表[],MATCH($C41,スコア表['#],0),MATCH(BX$5,スコア表[#Headers],0))
-
INDEX(スコア表2[],MATCH("average",スコア表2[maxmin],0),MATCH(BX$5,スコア表2[#Headers],0)))
/
INDEX(スコア表2[],MATCH("stdev.p",スコア表2[maxmin],0),MATCH(BX$5,スコア表2[#Headers],0))
*10+50,"-")</f>
        <v>48.718744534220072</v>
      </c>
      <c r="BY41" s="4">
        <f>IFERROR(
(INDEX(スコア表[],MATCH($C41,スコア表['#],0),MATCH(BY$5,スコア表[#Headers],0))
-
INDEX(スコア表2[],MATCH("average",スコア表2[maxmin],0),MATCH(BY$5,スコア表2[#Headers],0)))
/
INDEX(スコア表2[],MATCH("stdev.p",スコア表2[maxmin],0),MATCH(BY$5,スコア表2[#Headers],0))
*10+50,"-")</f>
        <v>47.220041508644101</v>
      </c>
      <c r="BZ41" s="4">
        <f>IFERROR(
(INDEX(スコア表[],MATCH($C41,スコア表['#],0),MATCH(BZ$5,スコア表[#Headers],0))
-
INDEX(スコア表2[],MATCH("average",スコア表2[maxmin],0),MATCH(BZ$5,スコア表2[#Headers],0)))
/
INDEX(スコア表2[],MATCH("stdev.p",スコア表2[maxmin],0),MATCH(BZ$5,スコア表2[#Headers],0))
*10+50,"-")</f>
        <v>68.573026037976192</v>
      </c>
      <c r="CA41" s="4">
        <f>IFERROR(
(INDEX(スコア表[],MATCH($C41,スコア表['#],0),MATCH(CA$5,スコア表[#Headers],0))
-
INDEX(スコア表2[],MATCH("average",スコア表2[maxmin],0),MATCH(CA$5,スコア表2[#Headers],0)))
/
INDEX(スコア表2[],MATCH("stdev.p",スコア表2[maxmin],0),MATCH(CA$5,スコア表2[#Headers],0))
*10+50,"-")</f>
        <v>50.39072169839249</v>
      </c>
      <c r="CB41" s="4">
        <f>IFERROR(
(INDEX(スコア表[],MATCH($C41,スコア表['#],0),MATCH(CB$5,スコア表[#Headers],0))
-
INDEX(スコア表2[],MATCH("average",スコア表2[maxmin],0),MATCH(CB$5,スコア表2[#Headers],0)))
/
INDEX(スコア表2[],MATCH("stdev.p",スコア表2[maxmin],0),MATCH(CB$5,スコア表2[#Headers],0))
*10+50,"-")</f>
        <v>49.896146178846678</v>
      </c>
      <c r="CC41" s="4">
        <f>IFERROR(
(INDEX(スコア表[],MATCH($C41,スコア表['#],0),MATCH(CC$5,スコア表[#Headers],0))
-
INDEX(スコア表2[],MATCH("average",スコア表2[maxmin],0),MATCH(CC$5,スコア表2[#Headers],0)))
/
INDEX(スコア表2[],MATCH("stdev.p",スコア表2[maxmin],0),MATCH(CC$5,スコア表2[#Headers],0))
*10+50,"-")</f>
        <v>35.244469069143243</v>
      </c>
      <c r="CD41" s="4">
        <f>IFERROR(
(INDEX(スコア表[],MATCH($C41,スコア表['#],0),MATCH(CD$5,スコア表[#Headers],0))
-
INDEX(スコア表2[],MATCH("average",スコア表2[maxmin],0),MATCH(CD$5,スコア表2[#Headers],0)))
/
INDEX(スコア表2[],MATCH("stdev.p",スコア表2[maxmin],0),MATCH(CD$5,スコア表2[#Headers],0))
*10+50,"-")</f>
        <v>65.347948699597708</v>
      </c>
      <c r="CE41" s="4">
        <f>IFERROR(
(INDEX(スコア表[],MATCH($C41,スコア表['#],0),MATCH(CE$5,スコア表[#Headers],0))
-
INDEX(スコア表2[],MATCH("average",スコア表2[maxmin],0),MATCH(CE$5,スコア表2[#Headers],0)))
/
INDEX(スコア表2[],MATCH("stdev.p",スコア表2[maxmin],0),MATCH(CE$5,スコア表2[#Headers],0))
*10+50,"-")</f>
        <v>52.409013607232119</v>
      </c>
      <c r="CF41" s="4">
        <f>IFERROR(
(INDEX(スコア表[],MATCH($C41,スコア表['#],0),MATCH(CF$5,スコア表[#Headers],0))
-
INDEX(スコア表2[],MATCH("average",スコア表2[maxmin],0),MATCH(CF$5,スコア表2[#Headers],0)))
/
INDEX(スコア表2[],MATCH("stdev.p",スコア表2[maxmin],0),MATCH(CF$5,スコア表2[#Headers],0))
*10+50,"-")</f>
        <v>51.748834084840688</v>
      </c>
      <c r="CG41" s="4">
        <f>IFERROR(
(INDEX(スコア表[],MATCH($C41,スコア表['#],0),MATCH(CG$5,スコア表[#Headers],0))
-
INDEX(スコア表2[],MATCH("average",スコア表2[maxmin],0),MATCH(CG$5,スコア表2[#Headers],0)))
/
INDEX(スコア表2[],MATCH("stdev.p",スコア表2[maxmin],0),MATCH(CG$5,スコア表2[#Headers],0))
*10+50,"-")</f>
        <v>56.106185506352716</v>
      </c>
      <c r="CH41" s="4">
        <f>IFERROR(
(INDEX(スコア表[],MATCH($C41,スコア表['#],0),MATCH(CH$5,スコア表[#Headers],0))
-
INDEX(スコア表2[],MATCH("average",スコア表2[maxmin],0),MATCH(CH$5,スコア表2[#Headers],0)))
/
INDEX(スコア表2[],MATCH("stdev.p",スコア表2[maxmin],0),MATCH(CH$5,スコア表2[#Headers],0))
*10+50,"-")</f>
        <v>56.717806620179481</v>
      </c>
      <c r="CI41" s="4">
        <f>IFERROR(
(INDEX(スコア表[],MATCH($C41,スコア表['#],0),MATCH(CI$5,スコア表[#Headers],0))
-
INDEX(スコア表2[],MATCH("average",スコア表2[maxmin],0),MATCH(CI$5,スコア表2[#Headers],0)))
/
INDEX(スコア表2[],MATCH("stdev.p",スコア表2[maxmin],0),MATCH(CI$5,スコア表2[#Headers],0))
*10+50,"-")</f>
        <v>44.026216314805957</v>
      </c>
      <c r="CJ41" s="4">
        <f>IFERROR(
(INDEX(スコア表[],MATCH($C41,スコア表['#],0),MATCH(CJ$5,スコア表[#Headers],0))
-
INDEX(スコア表2[],MATCH("average",スコア表2[maxmin],0),MATCH(CJ$5,スコア表2[#Headers],0)))
/
INDEX(スコア表2[],MATCH("stdev.p",スコア表2[maxmin],0),MATCH(CJ$5,スコア表2[#Headers],0))
*10+50,"-")</f>
        <v>38.735579721179889</v>
      </c>
      <c r="CK41" s="4">
        <f>IFERROR(
(INDEX(スコア表[],MATCH($C41,スコア表['#],0),MATCH(CK$5,スコア表[#Headers],0))
-
INDEX(スコア表2[],MATCH("average",スコア表2[maxmin],0),MATCH(CK$5,スコア表2[#Headers],0)))
/
INDEX(スコア表2[],MATCH("stdev.p",スコア表2[maxmin],0),MATCH(CK$5,スコア表2[#Headers],0))
*10+50,"-")</f>
        <v>49.298651032857954</v>
      </c>
      <c r="CL41" s="4">
        <f>IFERROR(
(INDEX(スコア表[],MATCH($C41,スコア表['#],0),MATCH(CL$5,スコア表[#Headers],0))
-
INDEX(スコア表2[],MATCH("average",スコア表2[maxmin],0),MATCH(CL$5,スコア表2[#Headers],0)))
/
INDEX(スコア表2[],MATCH("stdev.p",スコア表2[maxmin],0),MATCH(CL$5,スコア表2[#Headers],0))
*10+50,"-")</f>
        <v>39.330057020025407</v>
      </c>
      <c r="CM41" s="4">
        <f>IFERROR(
(INDEX(スコア表[],MATCH($C41,スコア表['#],0),MATCH(CM$5,スコア表[#Headers],0))
-
INDEX(スコア表2[],MATCH("average",スコア表2[maxmin],0),MATCH(CM$5,スコア表2[#Headers],0)))
/
INDEX(スコア表2[],MATCH("stdev.p",スコア表2[maxmin],0),MATCH(CM$5,スコア表2[#Headers],0))
*10+50,"-")</f>
        <v>42.555285871467589</v>
      </c>
      <c r="CN41" s="4">
        <f>IFERROR(
(INDEX(スコア表[],MATCH($C41,スコア表['#],0),MATCH(CN$5,スコア表[#Headers],0))
-
INDEX(スコア表2[],MATCH("average",スコア表2[maxmin],0),MATCH(CN$5,スコア表2[#Headers],0)))
/
INDEX(スコア表2[],MATCH("stdev.p",スコア表2[maxmin],0),MATCH(CN$5,スコア表2[#Headers],0))
*10+50,"-")</f>
        <v>55.686049468364025</v>
      </c>
      <c r="CO41" s="4">
        <f>IFERROR(
(INDEX(スコア表[],MATCH($C41,スコア表['#],0),MATCH(CO$5,スコア表[#Headers],0))
-
INDEX(スコア表2[],MATCH("average",スコア表2[maxmin],0),MATCH(CO$5,スコア表2[#Headers],0)))
/
INDEX(スコア表2[],MATCH("stdev.p",スコア表2[maxmin],0),MATCH(CO$5,スコア表2[#Headers],0))
*10+50,"-")</f>
        <v>38.99551993062115</v>
      </c>
      <c r="CP41" s="4">
        <f>IFERROR(
(INDEX(スコア表[],MATCH($C41,スコア表['#],0),MATCH(CP$5,スコア表[#Headers],0))
-
INDEX(スコア表2[],MATCH("average",スコア表2[maxmin],0),MATCH(CP$5,スコア表2[#Headers],0)))
/
INDEX(スコア表2[],MATCH("stdev.p",スコア表2[maxmin],0),MATCH(CP$5,スコア表2[#Headers],0))
*10+50,"-")</f>
        <v>26.662932663038429</v>
      </c>
      <c r="CQ41" s="4">
        <f>IFERROR(
(INDEX(スコア表[],MATCH($C41,スコア表['#],0),MATCH(CQ$5,スコア表[#Headers],0))
-
INDEX(スコア表2[],MATCH("average",スコア表2[maxmin],0),MATCH(CQ$5,スコア表2[#Headers],0)))
/
INDEX(スコア表2[],MATCH("stdev.p",スコア表2[maxmin],0),MATCH(CQ$5,スコア表2[#Headers],0))
*10+50,"-")</f>
        <v>43.110330614679377</v>
      </c>
      <c r="CR41" s="4">
        <f>IFERROR(
(INDEX(スコア表[],MATCH($C41,スコア表['#],0),MATCH(CR$5,スコア表[#Headers],0))
-
INDEX(スコア表2[],MATCH("average",スコア表2[maxmin],0),MATCH(CR$5,スコア表2[#Headers],0)))
/
INDEX(スコア表2[],MATCH("stdev.p",スコア表2[maxmin],0),MATCH(CR$5,スコア表2[#Headers],0))
*10+50,"-")</f>
        <v>56.963285027871358</v>
      </c>
      <c r="CS41" s="4">
        <f>IFERROR(
(INDEX(スコア表[],MATCH($C41,スコア表['#],0),MATCH(CS$5,スコア表[#Headers],0))
-
INDEX(スコア表2[],MATCH("average",スコア表2[maxmin],0),MATCH(CS$5,スコア表2[#Headers],0)))
/
INDEX(スコア表2[],MATCH("stdev.p",スコア表2[maxmin],0),MATCH(CS$5,スコア表2[#Headers],0))
*10+50,"-")</f>
        <v>47.710332543299721</v>
      </c>
      <c r="CT41" s="4">
        <f>IFERROR(
(INDEX(スコア表[],MATCH($C41,スコア表['#],0),MATCH(CT$5,スコア表[#Headers],0))
-
INDEX(スコア表2[],MATCH("average",スコア表2[maxmin],0),MATCH(CT$5,スコア表2[#Headers],0)))
/
INDEX(スコア表2[],MATCH("stdev.p",スコア表2[maxmin],0),MATCH(CT$5,スコア表2[#Headers],0))
*10+50,"-")</f>
        <v>33.16645515480883</v>
      </c>
      <c r="CU41" s="4">
        <f>IFERROR(
(INDEX(スコア表[],MATCH($C41,スコア表['#],0),MATCH(CU$5,スコア表[#Headers],0))
-
INDEX(スコア表2[],MATCH("average",スコア表2[maxmin],0),MATCH(CU$5,スコア表2[#Headers],0)))
/
INDEX(スコア表2[],MATCH("stdev.p",スコア表2[maxmin],0),MATCH(CU$5,スコア表2[#Headers],0))
*10+50,"-")</f>
        <v>51.980314816373237</v>
      </c>
      <c r="CV41" s="4">
        <f>IFERROR(
(INDEX(スコア表[],MATCH($C41,スコア表['#],0),MATCH(CV$5,スコア表[#Headers],0))
-
INDEX(スコア表2[],MATCH("average",スコア表2[maxmin],0),MATCH(CV$5,スコア表2[#Headers],0)))
/
INDEX(スコア表2[],MATCH("stdev.p",スコア表2[maxmin],0),MATCH(CV$5,スコア表2[#Headers],0))
*10+50,"-")</f>
        <v>39.773433195663088</v>
      </c>
      <c r="CW41" s="4">
        <f>IFERROR(
(INDEX(スコア表[],MATCH($C41,スコア表['#],0),MATCH(CW$5,スコア表[#Headers],0))
-
INDEX(スコア表2[],MATCH("average",スコア表2[maxmin],0),MATCH(CW$5,スコア表2[#Headers],0)))
/
INDEX(スコア表2[],MATCH("stdev.p",スコア表2[maxmin],0),MATCH(CW$5,スコア表2[#Headers],0))
*10+50,"-")</f>
        <v>49.122004020601686</v>
      </c>
      <c r="CX41" s="4">
        <f>IFERROR(
(INDEX(スコア表[],MATCH($C41,スコア表['#],0),MATCH(CX$5,スコア表[#Headers],0))
-
INDEX(スコア表2[],MATCH("average",スコア表2[maxmin],0),MATCH(CX$5,スコア表2[#Headers],0)))
/
INDEX(スコア表2[],MATCH("stdev.p",スコア表2[maxmin],0),MATCH(CX$5,スコア表2[#Headers],0))
*10+50,"-")</f>
        <v>34.441836891215097</v>
      </c>
      <c r="CY41" s="4">
        <f>IFERROR(
(INDEX(スコア表[],MATCH($C41,スコア表['#],0),MATCH(CY$5,スコア表[#Headers],0))
-
INDEX(スコア表2[],MATCH("average",スコア表2[maxmin],0),MATCH(CY$5,スコア表2[#Headers],0)))
/
INDEX(スコア表2[],MATCH("stdev.p",スコア表2[maxmin],0),MATCH(CY$5,スコア表2[#Headers],0))
*10+50,"-")</f>
        <v>52.069723327242997</v>
      </c>
      <c r="CZ41" s="4">
        <f>IFERROR(
(INDEX(スコア表[],MATCH($C41,スコア表['#],0),MATCH(CZ$5,スコア表[#Headers],0))
-
INDEX(スコア表2[],MATCH("average",スコア表2[maxmin],0),MATCH(CZ$5,スコア表2[#Headers],0)))
/
INDEX(スコア表2[],MATCH("stdev.p",スコア表2[maxmin],0),MATCH(CZ$5,スコア表2[#Headers],0))
*10+50,"-")</f>
        <v>57.756666367263442</v>
      </c>
      <c r="DA41" s="4">
        <f>IFERROR(
(INDEX(スコア表[],MATCH($C41,スコア表['#],0),MATCH(DA$5,スコア表[#Headers],0))
-
INDEX(スコア表2[],MATCH("average",スコア表2[maxmin],0),MATCH(DA$5,スコア表2[#Headers],0)))
/
INDEX(スコア表2[],MATCH("stdev.p",スコア表2[maxmin],0),MATCH(DA$5,スコア表2[#Headers],0))
*10+50,"-")</f>
        <v>54.726168442108026</v>
      </c>
      <c r="DB41" s="4">
        <f>IFERROR(
(INDEX(スコア表[],MATCH($C41,スコア表['#],0),MATCH(DB$5,スコア表[#Headers],0))
-
INDEX(スコア表2[],MATCH("average",スコア表2[maxmin],0),MATCH(DB$5,スコア表2[#Headers],0)))
/
INDEX(スコア表2[],MATCH("stdev.p",スコア表2[maxmin],0),MATCH(DB$5,スコア表2[#Headers],0))
*10+50,"-")</f>
        <v>40.663140584727181</v>
      </c>
      <c r="DC41" s="4">
        <f>IFERROR(
(INDEX(スコア表[],MATCH($C41,スコア表['#],0),MATCH(DC$5,スコア表[#Headers],0))
-
INDEX(スコア表2[],MATCH("average",スコア表2[maxmin],0),MATCH(DC$5,スコア表2[#Headers],0)))
/
INDEX(スコア表2[],MATCH("stdev.p",スコア表2[maxmin],0),MATCH(DC$5,スコア表2[#Headers],0))
*10+50,"-")</f>
        <v>33.966767319115597</v>
      </c>
      <c r="DD41" s="4">
        <f>IFERROR(
(INDEX(スコア表[],MATCH($C41,スコア表['#],0),MATCH(DD$5,スコア表[#Headers],0))
-
INDEX(スコア表2[],MATCH("average",スコア表2[maxmin],0),MATCH(DD$5,スコア表2[#Headers],0)))
/
INDEX(スコア表2[],MATCH("stdev.p",スコア表2[maxmin],0),MATCH(DD$5,スコア表2[#Headers],0))
*10+50,"-")</f>
        <v>44.279428461428061</v>
      </c>
      <c r="DE41" s="4">
        <f>IFERROR(
(INDEX(スコア表[],MATCH($C41,スコア表['#],0),MATCH(DE$5,スコア表[#Headers],0))
-
INDEX(スコア表2[],MATCH("average",スコア表2[maxmin],0),MATCH(DE$5,スコア表2[#Headers],0)))
/
INDEX(スコア表2[],MATCH("stdev.p",スコア表2[maxmin],0),MATCH(DE$5,スコア表2[#Headers],0))
*10+50,"-")</f>
        <v>39.986957593399701</v>
      </c>
      <c r="DF41" s="76">
        <f>IFERROR(
(INDEX(スコア表[],MATCH($C41,スコア表['#],0),MATCH(DF$5,スコア表[#Headers],0))
-
INDEX(スコア表2[],MATCH("average",スコア表2[maxmin],0),MATCH(DF$5,スコア表2[#Headers],0)))
/
INDEX(スコア表2[],MATCH("stdev.p",スコア表2[maxmin],0),MATCH(DF$5,スコア表2[#Headers],0))
*10+50,"-")</f>
        <v>45.170048775408006</v>
      </c>
      <c r="DG41" s="4">
        <f>IFERROR(_xlfn.STDEV.P(偏差値表[[#This Row],[Economy]:[Accessibility]]),"")</f>
        <v>8.3984550216202134</v>
      </c>
    </row>
    <row r="42" spans="1:111">
      <c r="A42" s="2">
        <v>37</v>
      </c>
      <c r="B42" s="58">
        <f>INDEX(順位表[Comprehensive],MATCH($C42,順位表['#],0))</f>
        <v>37</v>
      </c>
      <c r="C42" s="3">
        <v>28</v>
      </c>
      <c r="D42" s="1" t="str">
        <f>INDEX(都市マスタ[City Name],MATCH($C42,都市マスタ['#],0))</f>
        <v>Osaka</v>
      </c>
      <c r="E42" s="4">
        <f>IFERROR(
(INDEX(スコア表[],MATCH($C42,スコア表['#],0),MATCH(E$5,スコア表[#Headers],0))
-
INDEX(スコア表2[],MATCH("average",スコア表2[maxmin],0),MATCH(E$5,スコア表2[#Headers],0)))
/
INDEX(スコア表2[],MATCH("stdev.p",スコア表2[maxmin],0),MATCH(E$5,スコア表2[#Headers],0))
*10+50,"-")</f>
        <v>45.412688694973632</v>
      </c>
      <c r="F42" s="4">
        <f>IFERROR(
(INDEX(スコア表[],MATCH($C42,スコア表['#],0),MATCH(F$5,スコア表[#Headers],0))
-
INDEX(スコア表2[],MATCH("average",スコア表2[maxmin],0),MATCH(F$5,スコア表2[#Headers],0)))
/
INDEX(スコア表2[],MATCH("stdev.p",スコア表2[maxmin],0),MATCH(F$5,スコア表2[#Headers],0))
*10+50,"-")</f>
        <v>45.467112725930249</v>
      </c>
      <c r="G42" s="4">
        <f>IFERROR(
(INDEX(スコア表[],MATCH($C42,スコア表['#],0),MATCH(G$5,スコア表[#Headers],0))
-
INDEX(スコア表2[],MATCH("average",スコア表2[maxmin],0),MATCH(G$5,スコア表2[#Headers],0)))
/
INDEX(スコア表2[],MATCH("stdev.p",スコア表2[maxmin],0),MATCH(G$5,スコア表2[#Headers],0))
*10+50,"-")</f>
        <v>48.947412332433075</v>
      </c>
      <c r="H42" s="4">
        <f>IFERROR(
(INDEX(スコア表[],MATCH($C42,スコア表['#],0),MATCH(H$5,スコア表[#Headers],0))
-
INDEX(スコア表2[],MATCH("average",スコア表2[maxmin],0),MATCH(H$5,スコア表2[#Headers],0)))
/
INDEX(スコア表2[],MATCH("stdev.p",スコア表2[maxmin],0),MATCH(H$5,スコア表2[#Headers],0))
*10+50,"-")</f>
        <v>48.450554428051959</v>
      </c>
      <c r="I42" s="4">
        <f>IFERROR(
(INDEX(スコア表[],MATCH($C42,スコア表['#],0),MATCH(I$5,スコア表[#Headers],0))
-
INDEX(スコア表2[],MATCH("average",スコア表2[maxmin],0),MATCH(I$5,スコア表2[#Headers],0)))
/
INDEX(スコア表2[],MATCH("stdev.p",スコア表2[maxmin],0),MATCH(I$5,スコア表2[#Headers],0))
*10+50,"-")</f>
        <v>49.407633452491766</v>
      </c>
      <c r="J42" s="4">
        <f>IFERROR(
(INDEX(スコア表[],MATCH($C42,スコア表['#],0),MATCH(J$5,スコア表[#Headers],0))
-
INDEX(スコア表2[],MATCH("average",スコア表2[maxmin],0),MATCH(J$5,スコア表2[#Headers],0)))
/
INDEX(スコア表2[],MATCH("stdev.p",スコア表2[maxmin],0),MATCH(J$5,スコア表2[#Headers],0))
*10+50,"-")</f>
        <v>30.753395277110961</v>
      </c>
      <c r="K42" s="4">
        <f>IFERROR(
(INDEX(スコア表[],MATCH($C42,スコア表['#],0),MATCH(K$5,スコア表[#Headers],0))
-
INDEX(スコア表2[],MATCH("average",スコア表2[maxmin],0),MATCH(K$5,スコア表2[#Headers],0)))
/
INDEX(スコア表2[],MATCH("stdev.p",スコア表2[maxmin],0),MATCH(K$5,スコア表2[#Headers],0))
*10+50,"-")</f>
        <v>51.593749602246064</v>
      </c>
      <c r="L42" s="4">
        <f>IFERROR(
(INDEX(スコア表[],MATCH($C42,スコア表['#],0),MATCH(L$5,スコア表[#Headers],0))
-
INDEX(スコア表2[],MATCH("average",スコア表2[maxmin],0),MATCH(L$5,スコア表2[#Headers],0)))
/
INDEX(スコア表2[],MATCH("stdev.p",スコア表2[maxmin],0),MATCH(L$5,スコア表2[#Headers],0))
*10+50,"-")</f>
        <v>46.831481232281661</v>
      </c>
      <c r="M42" s="4">
        <f>IFERROR(
(INDEX(スコア表[],MATCH($C42,スコア表['#],0),MATCH(M$5,スコア表[#Headers],0))
-
INDEX(スコア表2[],MATCH("average",スコア表2[maxmin],0),MATCH(M$5,スコア表2[#Headers],0)))
/
INDEX(スコア表2[],MATCH("stdev.p",スコア表2[maxmin],0),MATCH(M$5,スコア表2[#Headers],0))
*10+50,"-")</f>
        <v>49.242756505309231</v>
      </c>
      <c r="N42" s="4">
        <f>IFERROR(
(INDEX(スコア表[],MATCH($C42,スコア表['#],0),MATCH(N$5,スコア表[#Headers],0))
-
INDEX(スコア表2[],MATCH("average",スコア表2[maxmin],0),MATCH(N$5,スコア表2[#Headers],0)))
/
INDEX(スコア表2[],MATCH("stdev.p",スコア表2[maxmin],0),MATCH(N$5,スコア表2[#Headers],0))
*10+50,"-")</f>
        <v>48.208613136565511</v>
      </c>
      <c r="O42" s="4">
        <f>IFERROR(
(INDEX(スコア表[],MATCH($C42,スコア表['#],0),MATCH(O$5,スコア表[#Headers],0))
-
INDEX(スコア表2[],MATCH("average",スコア表2[maxmin],0),MATCH(O$5,スコア表2[#Headers],0)))
/
INDEX(スコア表2[],MATCH("stdev.p",スコア表2[maxmin],0),MATCH(O$5,スコア表2[#Headers],0))
*10+50,"-")</f>
        <v>54.550007344229776</v>
      </c>
      <c r="P42" s="4">
        <f>IFERROR(
(INDEX(スコア表[],MATCH($C42,スコア表['#],0),MATCH(P$5,スコア表[#Headers],0))
-
INDEX(スコア表2[],MATCH("average",スコア表2[maxmin],0),MATCH(P$5,スコア表2[#Headers],0)))
/
INDEX(スコア表2[],MATCH("stdev.p",スコア表2[maxmin],0),MATCH(P$5,スコア表2[#Headers],0))
*10+50,"-")</f>
        <v>46.014362032957031</v>
      </c>
      <c r="Q42" s="4">
        <f>IFERROR(
(INDEX(スコア表[],MATCH($C42,スコア表['#],0),MATCH(Q$5,スコア表[#Headers],0))
-
INDEX(スコア表2[],MATCH("average",スコア表2[maxmin],0),MATCH(Q$5,スコア表2[#Headers],0)))
/
INDEX(スコア表2[],MATCH("stdev.p",スコア表2[maxmin],0),MATCH(Q$5,スコア表2[#Headers],0))
*10+50,"-")</f>
        <v>35.732624002339556</v>
      </c>
      <c r="R42" s="4">
        <f>IFERROR(
(INDEX(スコア表[],MATCH($C42,スコア表['#],0),MATCH(R$5,スコア表[#Headers],0))
-
INDEX(スコア表2[],MATCH("average",スコア表2[maxmin],0),MATCH(R$5,スコア表2[#Headers],0)))
/
INDEX(スコア表2[],MATCH("stdev.p",スコア表2[maxmin],0),MATCH(R$5,スコア表2[#Headers],0))
*10+50,"-")</f>
        <v>44.495380969564806</v>
      </c>
      <c r="S42" s="4">
        <f>IFERROR(
(INDEX(スコア表[],MATCH($C42,スコア表['#],0),MATCH(S$5,スコア表[#Headers],0))
-
INDEX(スコア表2[],MATCH("average",スコア表2[maxmin],0),MATCH(S$5,スコア表2[#Headers],0)))
/
INDEX(スコア表2[],MATCH("stdev.p",スコア表2[maxmin],0),MATCH(S$5,スコア表2[#Headers],0))
*10+50,"-")</f>
        <v>40.15927020642404</v>
      </c>
      <c r="T42" s="4">
        <f>IFERROR(
(INDEX(スコア表[],MATCH($C42,スコア表['#],0),MATCH(T$5,スコア表[#Headers],0))
-
INDEX(スコア表2[],MATCH("average",スコア表2[maxmin],0),MATCH(T$5,スコア表2[#Headers],0)))
/
INDEX(スコア表2[],MATCH("stdev.p",スコア表2[maxmin],0),MATCH(T$5,スコア表2[#Headers],0))
*10+50,"-")</f>
        <v>53.161099699122012</v>
      </c>
      <c r="U42" s="4">
        <f>IFERROR(
(INDEX(スコア表[],MATCH($C42,スコア表['#],0),MATCH(U$5,スコア表[#Headers],0))
-
INDEX(スコア表2[],MATCH("average",スコア表2[maxmin],0),MATCH(U$5,スコア表2[#Headers],0)))
/
INDEX(スコア表2[],MATCH("stdev.p",スコア表2[maxmin],0),MATCH(U$5,スコア表2[#Headers],0))
*10+50,"-")</f>
        <v>51.359224517172635</v>
      </c>
      <c r="V42" s="4">
        <f>IFERROR(
(INDEX(スコア表[],MATCH($C42,スコア表['#],0),MATCH(V$5,スコア表[#Headers],0))
-
INDEX(スコア表2[],MATCH("average",スコア表2[maxmin],0),MATCH(V$5,スコア表2[#Headers],0)))
/
INDEX(スコア表2[],MATCH("stdev.p",スコア表2[maxmin],0),MATCH(V$5,スコア表2[#Headers],0))
*10+50,"-")</f>
        <v>46.939743875326769</v>
      </c>
      <c r="W42" s="4">
        <f>IFERROR(
(INDEX(スコア表[],MATCH($C42,スコア表['#],0),MATCH(W$5,スコア表[#Headers],0))
-
INDEX(スコア表2[],MATCH("average",スコア表2[maxmin],0),MATCH(W$5,スコア表2[#Headers],0)))
/
INDEX(スコア表2[],MATCH("stdev.p",スコア表2[maxmin],0),MATCH(W$5,スコア表2[#Headers],0))
*10+50,"-")</f>
        <v>50.587262809879597</v>
      </c>
      <c r="X42" s="4">
        <f>IFERROR(
(INDEX(スコア表[],MATCH($C42,スコア表['#],0),MATCH(X$5,スコア表[#Headers],0))
-
INDEX(スコア表2[],MATCH("average",スコア表2[maxmin],0),MATCH(X$5,スコア表2[#Headers],0)))
/
INDEX(スコア表2[],MATCH("stdev.p",スコア表2[maxmin],0),MATCH(X$5,スコア表2[#Headers],0))
*10+50,"-")</f>
        <v>43.831886079202675</v>
      </c>
      <c r="Y42" s="4">
        <f>IFERROR(
(INDEX(スコア表[],MATCH($C42,スコア表['#],0),MATCH(Y$5,スコア表[#Headers],0))
-
INDEX(スコア表2[],MATCH("average",スコア表2[maxmin],0),MATCH(Y$5,スコア表2[#Headers],0)))
/
INDEX(スコア表2[],MATCH("stdev.p",スコア表2[maxmin],0),MATCH(Y$5,スコア表2[#Headers],0))
*10+50,"-")</f>
        <v>57.273290669212244</v>
      </c>
      <c r="Z42" s="4">
        <f>IFERROR(
(INDEX(スコア表[],MATCH($C42,スコア表['#],0),MATCH(Z$5,スコア表[#Headers],0))
-
INDEX(スコア表2[],MATCH("average",スコア表2[maxmin],0),MATCH(Z$5,スコア表2[#Headers],0)))
/
INDEX(スコア表2[],MATCH("stdev.p",スコア表2[maxmin],0),MATCH(Z$5,スコア表2[#Headers],0))
*10+50,"-")</f>
        <v>57.253303104710014</v>
      </c>
      <c r="AA42" s="4">
        <f>IFERROR(
(INDEX(スコア表[],MATCH($C42,スコア表['#],0),MATCH(AA$5,スコア表[#Headers],0))
-
INDEX(スコア表2[],MATCH("average",スコア表2[maxmin],0),MATCH(AA$5,スコア表2[#Headers],0)))
/
INDEX(スコア表2[],MATCH("stdev.p",スコア表2[maxmin],0),MATCH(AA$5,スコア表2[#Headers],0))
*10+50,"-")</f>
        <v>55.512251583771828</v>
      </c>
      <c r="AB42" s="4">
        <f>IFERROR(
(INDEX(スコア表[],MATCH($C42,スコア表['#],0),MATCH(AB$5,スコア表[#Headers],0))
-
INDEX(スコア表2[],MATCH("average",スコア表2[maxmin],0),MATCH(AB$5,スコア表2[#Headers],0)))
/
INDEX(スコア表2[],MATCH("stdev.p",スコア表2[maxmin],0),MATCH(AB$5,スコア表2[#Headers],0))
*10+50,"-")</f>
        <v>43.496071057362897</v>
      </c>
      <c r="AC42" s="4">
        <f>IFERROR(
(INDEX(スコア表[],MATCH($C42,スコア表['#],0),MATCH(AC$5,スコア表[#Headers],0))
-
INDEX(スコア表2[],MATCH("average",スコア表2[maxmin],0),MATCH(AC$5,スコア表2[#Headers],0)))
/
INDEX(スコア表2[],MATCH("stdev.p",スコア表2[maxmin],0),MATCH(AC$5,スコア表2[#Headers],0))
*10+50,"-")</f>
        <v>43.463430218284628</v>
      </c>
      <c r="AD42" s="4">
        <f>IFERROR(
(INDEX(スコア表[],MATCH($C42,スコア表['#],0),MATCH(AD$5,スコア表[#Headers],0))
-
INDEX(スコア表2[],MATCH("average",スコア表2[maxmin],0),MATCH(AD$5,スコア表2[#Headers],0)))
/
INDEX(スコア表2[],MATCH("stdev.p",スコア表2[maxmin],0),MATCH(AD$5,スコア表2[#Headers],0))
*10+50,"-")</f>
        <v>47.364607852190353</v>
      </c>
      <c r="AE42" s="4">
        <f>IFERROR(
(INDEX(スコア表[],MATCH($C42,スコア表['#],0),MATCH(AE$5,スコア表[#Headers],0))
-
INDEX(スコア表2[],MATCH("average",スコア表2[maxmin],0),MATCH(AE$5,スコア表2[#Headers],0)))
/
INDEX(スコア表2[],MATCH("stdev.p",スコア表2[maxmin],0),MATCH(AE$5,スコア表2[#Headers],0))
*10+50,"-")</f>
        <v>44.986614099802026</v>
      </c>
      <c r="AF42" s="4">
        <f>IFERROR(
(INDEX(スコア表[],MATCH($C42,スコア表['#],0),MATCH(AF$5,スコア表[#Headers],0))
-
INDEX(スコア表2[],MATCH("average",スコア表2[maxmin],0),MATCH(AF$5,スコア表2[#Headers],0)))
/
INDEX(スコア表2[],MATCH("stdev.p",スコア表2[maxmin],0),MATCH(AF$5,スコア表2[#Headers],0))
*10+50,"-")</f>
        <v>45.510121676964879</v>
      </c>
      <c r="AG42" s="4">
        <f>IFERROR(
(INDEX(スコア表[],MATCH($C42,スコア表['#],0),MATCH(AG$5,スコア表[#Headers],0))
-
INDEX(スコア表2[],MATCH("average",スコア表2[maxmin],0),MATCH(AG$5,スコア表2[#Headers],0)))
/
INDEX(スコア表2[],MATCH("stdev.p",スコア表2[maxmin],0),MATCH(AG$5,スコア表2[#Headers],0))
*10+50,"-")</f>
        <v>35.720552124906348</v>
      </c>
      <c r="AH42" s="4">
        <f>IFERROR(
(INDEX(スコア表[],MATCH($C42,スコア表['#],0),MATCH(AH$5,スコア表[#Headers],0))
-
INDEX(スコア表2[],MATCH("average",スコア表2[maxmin],0),MATCH(AH$5,スコア表2[#Headers],0)))
/
INDEX(スコア表2[],MATCH("stdev.p",スコア表2[maxmin],0),MATCH(AH$5,スコア表2[#Headers],0))
*10+50,"-")</f>
        <v>62.240984404854075</v>
      </c>
      <c r="AI42" s="4">
        <f>IFERROR(
(INDEX(スコア表[],MATCH($C42,スコア表['#],0),MATCH(AI$5,スコア表[#Headers],0))
-
INDEX(スコア表2[],MATCH("average",スコア表2[maxmin],0),MATCH(AI$5,スコア表2[#Headers],0)))
/
INDEX(スコア表2[],MATCH("stdev.p",スコア表2[maxmin],0),MATCH(AI$5,スコア表2[#Headers],0))
*10+50,"-")</f>
        <v>40.249267362309212</v>
      </c>
      <c r="AJ42" s="4">
        <f>IFERROR(
(INDEX(スコア表[],MATCH($C42,スコア表['#],0),MATCH(AJ$5,スコア表[#Headers],0))
-
INDEX(スコア表2[],MATCH("average",スコア表2[maxmin],0),MATCH(AJ$5,スコア表2[#Headers],0)))
/
INDEX(スコア表2[],MATCH("stdev.p",スコア表2[maxmin],0),MATCH(AJ$5,スコア表2[#Headers],0))
*10+50,"-")</f>
        <v>52.904386330579015</v>
      </c>
      <c r="AK42" s="4">
        <f>IFERROR(
(INDEX(スコア表[],MATCH($C42,スコア表['#],0),MATCH(AK$5,スコア表[#Headers],0))
-
INDEX(スコア表2[],MATCH("average",スコア表2[maxmin],0),MATCH(AK$5,スコア表2[#Headers],0)))
/
INDEX(スコア表2[],MATCH("stdev.p",スコア表2[maxmin],0),MATCH(AK$5,スコア表2[#Headers],0))
*10+50,"-")</f>
        <v>43.857886093175779</v>
      </c>
      <c r="AL42" s="4">
        <f>IFERROR(
(INDEX(スコア表[],MATCH($C42,スコア表['#],0),MATCH(AL$5,スコア表[#Headers],0))
-
INDEX(スコア表2[],MATCH("average",スコア表2[maxmin],0),MATCH(AL$5,スコア表2[#Headers],0)))
/
INDEX(スコア表2[],MATCH("stdev.p",スコア表2[maxmin],0),MATCH(AL$5,スコア表2[#Headers],0))
*10+50,"-")</f>
        <v>48.444941261127894</v>
      </c>
      <c r="AM42" s="4">
        <f>IFERROR(
(INDEX(スコア表[],MATCH($C42,スコア表['#],0),MATCH(AM$5,スコア表[#Headers],0))
-
INDEX(スコア表2[],MATCH("average",スコア表2[maxmin],0),MATCH(AM$5,スコア表2[#Headers],0)))
/
INDEX(スコア表2[],MATCH("stdev.p",スコア表2[maxmin],0),MATCH(AM$5,スコア表2[#Headers],0))
*10+50,"-")</f>
        <v>63.73757697944896</v>
      </c>
      <c r="AN42" s="4">
        <f>IFERROR(
(INDEX(スコア表[],MATCH($C42,スコア表['#],0),MATCH(AN$5,スコア表[#Headers],0))
-
INDEX(スコア表2[],MATCH("average",スコア表2[maxmin],0),MATCH(AN$5,スコア表2[#Headers],0)))
/
INDEX(スコア表2[],MATCH("stdev.p",スコア表2[maxmin],0),MATCH(AN$5,スコア表2[#Headers],0))
*10+50,"-")</f>
        <v>42.916681710400681</v>
      </c>
      <c r="AO42" s="4">
        <f>IFERROR(
(INDEX(スコア表[],MATCH($C42,スコア表['#],0),MATCH(AO$5,スコア表[#Headers],0))
-
INDEX(スコア表2[],MATCH("average",スコア表2[maxmin],0),MATCH(AO$5,スコア表2[#Headers],0)))
/
INDEX(スコア表2[],MATCH("stdev.p",スコア表2[maxmin],0),MATCH(AO$5,スコア表2[#Headers],0))
*10+50,"-")</f>
        <v>50.755671036464378</v>
      </c>
      <c r="AP42" s="4">
        <f>IFERROR(
(INDEX(スコア表[],MATCH($C42,スコア表['#],0),MATCH(AP$5,スコア表[#Headers],0))
-
INDEX(スコア表2[],MATCH("average",スコア表2[maxmin],0),MATCH(AP$5,スコア表2[#Headers],0)))
/
INDEX(スコア表2[],MATCH("stdev.p",スコア表2[maxmin],0),MATCH(AP$5,スコア表2[#Headers],0))
*10+50,"-")</f>
        <v>55.305025587957957</v>
      </c>
      <c r="AQ42" s="4">
        <f>IFERROR(
(INDEX(スコア表[],MATCH($C42,スコア表['#],0),MATCH(AQ$5,スコア表[#Headers],0))
-
INDEX(スコア表2[],MATCH("average",スコア表2[maxmin],0),MATCH(AQ$5,スコア表2[#Headers],0)))
/
INDEX(スコア表2[],MATCH("stdev.p",スコア表2[maxmin],0),MATCH(AQ$5,スコア表2[#Headers],0))
*10+50,"-")</f>
        <v>44.792432686915276</v>
      </c>
      <c r="AR42" s="4">
        <f>IFERROR(
(INDEX(スコア表[],MATCH($C42,スコア表['#],0),MATCH(AR$5,スコア表[#Headers],0))
-
INDEX(スコア表2[],MATCH("average",スコア表2[maxmin],0),MATCH(AR$5,スコア表2[#Headers],0)))
/
INDEX(スコア表2[],MATCH("stdev.p",スコア表2[maxmin],0),MATCH(AR$5,スコア表2[#Headers],0))
*10+50,"-")</f>
        <v>47.098379020473793</v>
      </c>
      <c r="AS42" s="4">
        <f>IFERROR(
(INDEX(スコア表[],MATCH($C42,スコア表['#],0),MATCH(AS$5,スコア表[#Headers],0))
-
INDEX(スコア表2[],MATCH("average",スコア表2[maxmin],0),MATCH(AS$5,スコア表2[#Headers],0)))
/
INDEX(スコア表2[],MATCH("stdev.p",スコア表2[maxmin],0),MATCH(AS$5,スコア表2[#Headers],0))
*10+50,"-")</f>
        <v>55.96095437962699</v>
      </c>
      <c r="AT42" s="4">
        <f>IFERROR(
(INDEX(スコア表[],MATCH($C42,スコア表['#],0),MATCH(AT$5,スコア表[#Headers],0))
-
INDEX(スコア表2[],MATCH("average",スコア表2[maxmin],0),MATCH(AT$5,スコア表2[#Headers],0)))
/
INDEX(スコア表2[],MATCH("stdev.p",スコア表2[maxmin],0),MATCH(AT$5,スコア表2[#Headers],0))
*10+50,"-")</f>
        <v>53.755489969759211</v>
      </c>
      <c r="AU42" s="4">
        <f>IFERROR(
(INDEX(スコア表[],MATCH($C42,スコア表['#],0),MATCH(AU$5,スコア表[#Headers],0))
-
INDEX(スコア表2[],MATCH("average",スコア表2[maxmin],0),MATCH(AU$5,スコア表2[#Headers],0)))
/
INDEX(スコア表2[],MATCH("stdev.p",スコア表2[maxmin],0),MATCH(AU$5,スコア表2[#Headers],0))
*10+50,"-")</f>
        <v>38.561460885682429</v>
      </c>
      <c r="AV42" s="4">
        <f>IFERROR(
(INDEX(スコア表[],MATCH($C42,スコア表['#],0),MATCH(AV$5,スコア表[#Headers],0))
-
INDEX(スコア表2[],MATCH("average",スコア表2[maxmin],0),MATCH(AV$5,スコア表2[#Headers],0)))
/
INDEX(スコア表2[],MATCH("stdev.p",スコア表2[maxmin],0),MATCH(AV$5,スコア表2[#Headers],0))
*10+50,"-")</f>
        <v>59.78944068486777</v>
      </c>
      <c r="AW42" s="4">
        <f>IFERROR(
(INDEX(スコア表[],MATCH($C42,スコア表['#],0),MATCH(AW$5,スコア表[#Headers],0))
-
INDEX(スコア表2[],MATCH("average",スコア表2[maxmin],0),MATCH(AW$5,スコア表2[#Headers],0)))
/
INDEX(スコア表2[],MATCH("stdev.p",スコア表2[maxmin],0),MATCH(AW$5,スコア表2[#Headers],0))
*10+50,"-")</f>
        <v>51.619260702056756</v>
      </c>
      <c r="AX42" s="4">
        <f>IFERROR(
(INDEX(スコア表[],MATCH($C42,スコア表['#],0),MATCH(AX$5,スコア表[#Headers],0))
-
INDEX(スコア表2[],MATCH("average",スコア表2[maxmin],0),MATCH(AX$5,スコア表2[#Headers],0)))
/
INDEX(スコア表2[],MATCH("stdev.p",スコア表2[maxmin],0),MATCH(AX$5,スコア表2[#Headers],0))
*10+50,"-")</f>
        <v>52.977810315341024</v>
      </c>
      <c r="AY42" s="4">
        <f>IFERROR(
(INDEX(スコア表[],MATCH($C42,スコア表['#],0),MATCH(AY$5,スコア表[#Headers],0))
-
INDEX(スコア表2[],MATCH("average",スコア表2[maxmin],0),MATCH(AY$5,スコア表2[#Headers],0)))
/
INDEX(スコア表2[],MATCH("stdev.p",スコア表2[maxmin],0),MATCH(AY$5,スコア表2[#Headers],0))
*10+50,"-")</f>
        <v>44.488205145292298</v>
      </c>
      <c r="AZ42" s="4">
        <f>IFERROR(
(INDEX(スコア表[],MATCH($C42,スコア表['#],0),MATCH(AZ$5,スコア表[#Headers],0))
-
INDEX(スコア表2[],MATCH("average",スコア表2[maxmin],0),MATCH(AZ$5,スコア表2[#Headers],0)))
/
INDEX(スコア表2[],MATCH("stdev.p",スコア表2[maxmin],0),MATCH(AZ$5,スコア表2[#Headers],0))
*10+50,"-")</f>
        <v>60.610714303640968</v>
      </c>
      <c r="BA42" s="4">
        <f>IFERROR(
(INDEX(スコア表[],MATCH($C42,スコア表['#],0),MATCH(BA$5,スコア表[#Headers],0))
-
INDEX(スコア表2[],MATCH("average",スコア表2[maxmin],0),MATCH(BA$5,スコア表2[#Headers],0)))
/
INDEX(スコア表2[],MATCH("stdev.p",スコア表2[maxmin],0),MATCH(BA$5,スコア表2[#Headers],0))
*10+50,"-")</f>
        <v>49.479348148056744</v>
      </c>
      <c r="BB42" s="4">
        <f>IFERROR(
(INDEX(スコア表[],MATCH($C42,スコア表['#],0),MATCH(BB$5,スコア表[#Headers],0))
-
INDEX(スコア表2[],MATCH("average",スコア表2[maxmin],0),MATCH(BB$5,スコア表2[#Headers],0)))
/
INDEX(スコア表2[],MATCH("stdev.p",スコア表2[maxmin],0),MATCH(BB$5,スコア表2[#Headers],0))
*10+50,"-")</f>
        <v>49.780663622749465</v>
      </c>
      <c r="BC42" s="4">
        <f>IFERROR(
(INDEX(スコア表[],MATCH($C42,スコア表['#],0),MATCH(BC$5,スコア表[#Headers],0))
-
INDEX(スコア表2[],MATCH("average",スコア表2[maxmin],0),MATCH(BC$5,スコア表2[#Headers],0)))
/
INDEX(スコア表2[],MATCH("stdev.p",スコア表2[maxmin],0),MATCH(BC$5,スコア表2[#Headers],0))
*10+50,"-")</f>
        <v>51.984058723012332</v>
      </c>
      <c r="BD42" s="4">
        <f>IFERROR(
(INDEX(スコア表[],MATCH($C42,スコア表['#],0),MATCH(BD$5,スコア表[#Headers],0))
-
INDEX(スコア表2[],MATCH("average",スコア表2[maxmin],0),MATCH(BD$5,スコア表2[#Headers],0)))
/
INDEX(スコア表2[],MATCH("stdev.p",スコア表2[maxmin],0),MATCH(BD$5,スコア表2[#Headers],0))
*10+50,"-")</f>
        <v>48.598176317266194</v>
      </c>
      <c r="BE42" s="4">
        <f>IFERROR(
(INDEX(スコア表[],MATCH($C42,スコア表['#],0),MATCH(BE$5,スコア表[#Headers],0))
-
INDEX(スコア表2[],MATCH("average",スコア表2[maxmin],0),MATCH(BE$5,スコア表2[#Headers],0)))
/
INDEX(スコア表2[],MATCH("stdev.p",スコア表2[maxmin],0),MATCH(BE$5,スコア表2[#Headers],0))
*10+50,"-")</f>
        <v>55.726561869213889</v>
      </c>
      <c r="BF42" s="4">
        <f>IFERROR(
(INDEX(スコア表[],MATCH($C42,スコア表['#],0),MATCH(BF$5,スコア表[#Headers],0))
-
INDEX(スコア表2[],MATCH("average",スコア表2[maxmin],0),MATCH(BF$5,スコア表2[#Headers],0)))
/
INDEX(スコア表2[],MATCH("stdev.p",スコア表2[maxmin],0),MATCH(BF$5,スコア表2[#Headers],0))
*10+50,"-")</f>
        <v>57.75577993084795</v>
      </c>
      <c r="BG42" s="4">
        <f>IFERROR(
(INDEX(スコア表[],MATCH($C42,スコア表['#],0),MATCH(BG$5,スコア表[#Headers],0))
-
INDEX(スコア表2[],MATCH("average",スコア表2[maxmin],0),MATCH(BG$5,スコア表2[#Headers],0)))
/
INDEX(スコア表2[],MATCH("stdev.p",スコア表2[maxmin],0),MATCH(BG$5,スコア表2[#Headers],0))
*10+50,"-")</f>
        <v>40.356285741945193</v>
      </c>
      <c r="BH42" s="4">
        <f>IFERROR(
(INDEX(スコア表[],MATCH($C42,スコア表['#],0),MATCH(BH$5,スコア表[#Headers],0))
-
INDEX(スコア表2[],MATCH("average",スコア表2[maxmin],0),MATCH(BH$5,スコア表2[#Headers],0)))
/
INDEX(スコア表2[],MATCH("stdev.p",スコア表2[maxmin],0),MATCH(BH$5,スコア表2[#Headers],0))
*10+50,"-")</f>
        <v>43.995731382030058</v>
      </c>
      <c r="BI42" s="4">
        <f>IFERROR(
(INDEX(スコア表[],MATCH($C42,スコア表['#],0),MATCH(BI$5,スコア表[#Headers],0))
-
INDEX(スコア表2[],MATCH("average",スコア表2[maxmin],0),MATCH(BI$5,スコア表2[#Headers],0)))
/
INDEX(スコア表2[],MATCH("stdev.p",スコア表2[maxmin],0),MATCH(BI$5,スコア表2[#Headers],0))
*10+50,"-")</f>
        <v>44.872496385097847</v>
      </c>
      <c r="BJ42" s="4">
        <f>IFERROR(
(INDEX(スコア表[],MATCH($C42,スコア表['#],0),MATCH(BJ$5,スコア表[#Headers],0))
-
INDEX(スコア表2[],MATCH("average",スコア表2[maxmin],0),MATCH(BJ$5,スコア表2[#Headers],0)))
/
INDEX(スコア表2[],MATCH("stdev.p",スコア表2[maxmin],0),MATCH(BJ$5,スコア表2[#Headers],0))
*10+50,"-")</f>
        <v>47.936058398969507</v>
      </c>
      <c r="BK42" s="4">
        <f>IFERROR(
(INDEX(スコア表[],MATCH($C42,スコア表['#],0),MATCH(BK$5,スコア表[#Headers],0))
-
INDEX(スコア表2[],MATCH("average",スコア表2[maxmin],0),MATCH(BK$5,スコア表2[#Headers],0)))
/
INDEX(スコア表2[],MATCH("stdev.p",スコア表2[maxmin],0),MATCH(BK$5,スコア表2[#Headers],0))
*10+50,"-")</f>
        <v>54.823373404601071</v>
      </c>
      <c r="BL42" s="4">
        <f>IFERROR(
(INDEX(スコア表[],MATCH($C42,スコア表['#],0),MATCH(BL$5,スコア表[#Headers],0))
-
INDEX(スコア表2[],MATCH("average",スコア表2[maxmin],0),MATCH(BL$5,スコア表2[#Headers],0)))
/
INDEX(スコア表2[],MATCH("stdev.p",スコア表2[maxmin],0),MATCH(BL$5,スコア表2[#Headers],0))
*10+50,"-")</f>
        <v>50.419337017472806</v>
      </c>
      <c r="BM42" s="4">
        <f>IFERROR(
(INDEX(スコア表[],MATCH($C42,スコア表['#],0),MATCH(BM$5,スコア表[#Headers],0))
-
INDEX(スコア表2[],MATCH("average",スコア表2[maxmin],0),MATCH(BM$5,スコア表2[#Headers],0)))
/
INDEX(スコア表2[],MATCH("stdev.p",スコア表2[maxmin],0),MATCH(BM$5,スコア表2[#Headers],0))
*10+50,"-")</f>
        <v>45.45942388555828</v>
      </c>
      <c r="BN42" s="4">
        <f>IFERROR(
(INDEX(スコア表[],MATCH($C42,スコア表['#],0),MATCH(BN$5,スコア表[#Headers],0))
-
INDEX(スコア表2[],MATCH("average",スコア表2[maxmin],0),MATCH(BN$5,スコア表2[#Headers],0)))
/
INDEX(スコア表2[],MATCH("stdev.p",スコア表2[maxmin],0),MATCH(BN$5,スコア表2[#Headers],0))
*10+50,"-")</f>
        <v>33.102418195818146</v>
      </c>
      <c r="BO42" s="4">
        <f>IFERROR(
(INDEX(スコア表[],MATCH($C42,スコア表['#],0),MATCH(BO$5,スコア表[#Headers],0))
-
INDEX(スコア表2[],MATCH("average",スコア表2[maxmin],0),MATCH(BO$5,スコア表2[#Headers],0)))
/
INDEX(スコア表2[],MATCH("stdev.p",スコア表2[maxmin],0),MATCH(BO$5,スコア表2[#Headers],0))
*10+50,"-")</f>
        <v>50.766579476779668</v>
      </c>
      <c r="BP42" s="4">
        <f>IFERROR(
(INDEX(スコア表[],MATCH($C42,スコア表['#],0),MATCH(BP$5,スコア表[#Headers],0))
-
INDEX(スコア表2[],MATCH("average",スコア表2[maxmin],0),MATCH(BP$5,スコア表2[#Headers],0)))
/
INDEX(スコア表2[],MATCH("stdev.p",スコア表2[maxmin],0),MATCH(BP$5,スコア表2[#Headers],0))
*10+50,"-")</f>
        <v>38.695746394373231</v>
      </c>
      <c r="BQ42" s="4">
        <f>IFERROR(
(INDEX(スコア表[],MATCH($C42,スコア表['#],0),MATCH(BQ$5,スコア表[#Headers],0))
-
INDEX(スコア表2[],MATCH("average",スコア表2[maxmin],0),MATCH(BQ$5,スコア表2[#Headers],0)))
/
INDEX(スコア表2[],MATCH("stdev.p",スコア表2[maxmin],0),MATCH(BQ$5,スコア表2[#Headers],0))
*10+50,"-")</f>
        <v>48.322523013954196</v>
      </c>
      <c r="BR42" s="4">
        <f>IFERROR(
(INDEX(スコア表[],MATCH($C42,スコア表['#],0),MATCH(BR$5,スコア表[#Headers],0))
-
INDEX(スコア表2[],MATCH("average",スコア表2[maxmin],0),MATCH(BR$5,スコア表2[#Headers],0)))
/
INDEX(スコア表2[],MATCH("stdev.p",スコア表2[maxmin],0),MATCH(BR$5,スコア表2[#Headers],0))
*10+50,"-")</f>
        <v>38.891848157860501</v>
      </c>
      <c r="BS42" s="4">
        <f>IFERROR(
(INDEX(スコア表[],MATCH($C42,スコア表['#],0),MATCH(BS$5,スコア表[#Headers],0))
-
INDEX(スコア表2[],MATCH("average",スコア表2[maxmin],0),MATCH(BS$5,スコア表2[#Headers],0)))
/
INDEX(スコア表2[],MATCH("stdev.p",スコア表2[maxmin],0),MATCH(BS$5,スコア表2[#Headers],0))
*10+50,"-")</f>
        <v>39.150269830297191</v>
      </c>
      <c r="BT42" s="4">
        <f>IFERROR(
(INDEX(スコア表[],MATCH($C42,スコア表['#],0),MATCH(BT$5,スコア表[#Headers],0))
-
INDEX(スコア表2[],MATCH("average",スコア表2[maxmin],0),MATCH(BT$5,スコア表2[#Headers],0)))
/
INDEX(スコア表2[],MATCH("stdev.p",スコア表2[maxmin],0),MATCH(BT$5,スコア表2[#Headers],0))
*10+50,"-")</f>
        <v>55.007076094568632</v>
      </c>
      <c r="BU42" s="4">
        <f>IFERROR(
(INDEX(スコア表[],MATCH($C42,スコア表['#],0),MATCH(BU$5,スコア表[#Headers],0))
-
INDEX(スコア表2[],MATCH("average",スコア表2[maxmin],0),MATCH(BU$5,スコア表2[#Headers],0)))
/
INDEX(スコア表2[],MATCH("stdev.p",スコア表2[maxmin],0),MATCH(BU$5,スコア表2[#Headers],0))
*10+50,"-")</f>
        <v>65.337196694337607</v>
      </c>
      <c r="BV42" s="4">
        <f>IFERROR(
(INDEX(スコア表[],MATCH($C42,スコア表['#],0),MATCH(BV$5,スコア表[#Headers],0))
-
INDEX(スコア表2[],MATCH("average",スコア表2[maxmin],0),MATCH(BV$5,スコア表2[#Headers],0)))
/
INDEX(スコア表2[],MATCH("stdev.p",スコア表2[maxmin],0),MATCH(BV$5,スコア表2[#Headers],0))
*10+50,"-")</f>
        <v>34.525460732283811</v>
      </c>
      <c r="BW42" s="4">
        <f>IFERROR(
(INDEX(スコア表[],MATCH($C42,スコア表['#],0),MATCH(BW$5,スコア表[#Headers],0))
-
INDEX(スコア表2[],MATCH("average",スコア表2[maxmin],0),MATCH(BW$5,スコア表2[#Headers],0)))
/
INDEX(スコア表2[],MATCH("stdev.p",スコア表2[maxmin],0),MATCH(BW$5,スコア表2[#Headers],0))
*10+50,"-")</f>
        <v>56.516599250297688</v>
      </c>
      <c r="BX42" s="4">
        <f>IFERROR(
(INDEX(スコア表[],MATCH($C42,スコア表['#],0),MATCH(BX$5,スコア表[#Headers],0))
-
INDEX(スコア表2[],MATCH("average",スコア表2[maxmin],0),MATCH(BX$5,スコア表2[#Headers],0)))
/
INDEX(スコア表2[],MATCH("stdev.p",スコア表2[maxmin],0),MATCH(BX$5,スコア表2[#Headers],0))
*10+50,"-")</f>
        <v>47.701067834516529</v>
      </c>
      <c r="BY42" s="4">
        <f>IFERROR(
(INDEX(スコア表[],MATCH($C42,スコア表['#],0),MATCH(BY$5,スコア表[#Headers],0))
-
INDEX(スコア表2[],MATCH("average",スコア表2[maxmin],0),MATCH(BY$5,スコア表2[#Headers],0)))
/
INDEX(スコア表2[],MATCH("stdev.p",スコア表2[maxmin],0),MATCH(BY$5,スコア表2[#Headers],0))
*10+50,"-")</f>
        <v>49.823064528514266</v>
      </c>
      <c r="BZ42" s="4">
        <f>IFERROR(
(INDEX(スコア表[],MATCH($C42,スコア表['#],0),MATCH(BZ$5,スコア表[#Headers],0))
-
INDEX(スコア表2[],MATCH("average",スコア表2[maxmin],0),MATCH(BZ$5,スコア表2[#Headers],0)))
/
INDEX(スコア表2[],MATCH("stdev.p",スコア表2[maxmin],0),MATCH(BZ$5,スコア表2[#Headers],0))
*10+50,"-")</f>
        <v>48.471602539309025</v>
      </c>
      <c r="CA42" s="4">
        <f>IFERROR(
(INDEX(スコア表[],MATCH($C42,スコア表['#],0),MATCH(CA$5,スコア表[#Headers],0))
-
INDEX(スコア表2[],MATCH("average",スコア表2[maxmin],0),MATCH(CA$5,スコア表2[#Headers],0)))
/
INDEX(スコア表2[],MATCH("stdev.p",スコア表2[maxmin],0),MATCH(CA$5,スコア表2[#Headers],0))
*10+50,"-")</f>
        <v>40.655436876607389</v>
      </c>
      <c r="CB42" s="4">
        <f>IFERROR(
(INDEX(スコア表[],MATCH($C42,スコア表['#],0),MATCH(CB$5,スコア表[#Headers],0))
-
INDEX(スコア表2[],MATCH("average",スコア表2[maxmin],0),MATCH(CB$5,スコア表2[#Headers],0)))
/
INDEX(スコア表2[],MATCH("stdev.p",スコア表2[maxmin],0),MATCH(CB$5,スコア表2[#Headers],0))
*10+50,"-")</f>
        <v>47.524909482227706</v>
      </c>
      <c r="CC42" s="4">
        <f>IFERROR(
(INDEX(スコア表[],MATCH($C42,スコア表['#],0),MATCH(CC$5,スコア表[#Headers],0))
-
INDEX(スコア表2[],MATCH("average",スコア表2[maxmin],0),MATCH(CC$5,スコア表2[#Headers],0)))
/
INDEX(スコア表2[],MATCH("stdev.p",スコア表2[maxmin],0),MATCH(CC$5,スコア表2[#Headers],0))
*10+50,"-")</f>
        <v>52.214097438944471</v>
      </c>
      <c r="CD42" s="4">
        <f>IFERROR(
(INDEX(スコア表[],MATCH($C42,スコア表['#],0),MATCH(CD$5,スコア表[#Headers],0))
-
INDEX(スコア表2[],MATCH("average",スコア表2[maxmin],0),MATCH(CD$5,スコア表2[#Headers],0)))
/
INDEX(スコア表2[],MATCH("stdev.p",スコア表2[maxmin],0),MATCH(CD$5,スコア表2[#Headers],0))
*10+50,"-")</f>
        <v>40.275979117506907</v>
      </c>
      <c r="CE42" s="4">
        <f>IFERROR(
(INDEX(スコア表[],MATCH($C42,スコア表['#],0),MATCH(CE$5,スコア表[#Headers],0))
-
INDEX(スコア表2[],MATCH("average",スコア表2[maxmin],0),MATCH(CE$5,スコア表2[#Headers],0)))
/
INDEX(スコア表2[],MATCH("stdev.p",スコア表2[maxmin],0),MATCH(CE$5,スコア表2[#Headers],0))
*10+50,"-")</f>
        <v>45.867988049861339</v>
      </c>
      <c r="CF42" s="4">
        <f>IFERROR(
(INDEX(スコア表[],MATCH($C42,スコア表['#],0),MATCH(CF$5,スコア表[#Headers],0))
-
INDEX(スコア表2[],MATCH("average",スコア表2[maxmin],0),MATCH(CF$5,スコア表2[#Headers],0)))
/
INDEX(スコア表2[],MATCH("stdev.p",スコア表2[maxmin],0),MATCH(CF$5,スコア表2[#Headers],0))
*10+50,"-")</f>
        <v>48.855792185475941</v>
      </c>
      <c r="CG42" s="4">
        <f>IFERROR(
(INDEX(スコア表[],MATCH($C42,スコア表['#],0),MATCH(CG$5,スコア表[#Headers],0))
-
INDEX(スコア表2[],MATCH("average",スコア表2[maxmin],0),MATCH(CG$5,スコア表2[#Headers],0)))
/
INDEX(スコア表2[],MATCH("stdev.p",スコア表2[maxmin],0),MATCH(CG$5,スコア表2[#Headers],0))
*10+50,"-")</f>
        <v>51.644005984073871</v>
      </c>
      <c r="CH42" s="4">
        <f>IFERROR(
(INDEX(スコア表[],MATCH($C42,スコア表['#],0),MATCH(CH$5,スコア表[#Headers],0))
-
INDEX(スコア表2[],MATCH("average",スコア表2[maxmin],0),MATCH(CH$5,スコア表2[#Headers],0)))
/
INDEX(スコア表2[],MATCH("stdev.p",スコア表2[maxmin],0),MATCH(CH$5,スコア表2[#Headers],0))
*10+50,"-")</f>
        <v>53.184683856640071</v>
      </c>
      <c r="CI42" s="4">
        <f>IFERROR(
(INDEX(スコア表[],MATCH($C42,スコア表['#],0),MATCH(CI$5,スコア表[#Headers],0))
-
INDEX(スコア表2[],MATCH("average",スコア表2[maxmin],0),MATCH(CI$5,スコア表2[#Headers],0)))
/
INDEX(スコア表2[],MATCH("stdev.p",スコア表2[maxmin],0),MATCH(CI$5,スコア表2[#Headers],0))
*10+50,"-")</f>
        <v>42.533826700979787</v>
      </c>
      <c r="CJ42" s="4">
        <f>IFERROR(
(INDEX(スコア表[],MATCH($C42,スコア表['#],0),MATCH(CJ$5,スコア表[#Headers],0))
-
INDEX(スコア表2[],MATCH("average",スコア表2[maxmin],0),MATCH(CJ$5,スコア表2[#Headers],0)))
/
INDEX(スコア表2[],MATCH("stdev.p",スコア表2[maxmin],0),MATCH(CJ$5,スコア表2[#Headers],0))
*10+50,"-")</f>
        <v>45.900019692867225</v>
      </c>
      <c r="CK42" s="4">
        <f>IFERROR(
(INDEX(スコア表[],MATCH($C42,スコア表['#],0),MATCH(CK$5,スコア表[#Headers],0))
-
INDEX(スコア表2[],MATCH("average",スコア表2[maxmin],0),MATCH(CK$5,スコア表2[#Headers],0)))
/
INDEX(スコア表2[],MATCH("stdev.p",スコア表2[maxmin],0),MATCH(CK$5,スコア表2[#Headers],0))
*10+50,"-")</f>
        <v>48.162613060751568</v>
      </c>
      <c r="CL42" s="4">
        <f>IFERROR(
(INDEX(スコア表[],MATCH($C42,スコア表['#],0),MATCH(CL$5,スコア表[#Headers],0))
-
INDEX(スコア表2[],MATCH("average",スコア表2[maxmin],0),MATCH(CL$5,スコア表2[#Headers],0)))
/
INDEX(スコア表2[],MATCH("stdev.p",スコア表2[maxmin],0),MATCH(CL$5,スコア表2[#Headers],0))
*10+50,"-")</f>
        <v>53.727949129974398</v>
      </c>
      <c r="CM42" s="4">
        <f>IFERROR(
(INDEX(スコア表[],MATCH($C42,スコア表['#],0),MATCH(CM$5,スコア表[#Headers],0))
-
INDEX(スコア表2[],MATCH("average",スコア表2[maxmin],0),MATCH(CM$5,スコア表2[#Headers],0)))
/
INDEX(スコア表2[],MATCH("stdev.p",スコア表2[maxmin],0),MATCH(CM$5,スコア表2[#Headers],0))
*10+50,"-")</f>
        <v>45.482927372255524</v>
      </c>
      <c r="CN42" s="4">
        <f>IFERROR(
(INDEX(スコア表[],MATCH($C42,スコア表['#],0),MATCH(CN$5,スコア表[#Headers],0))
-
INDEX(スコア表2[],MATCH("average",スコア表2[maxmin],0),MATCH(CN$5,スコア表2[#Headers],0)))
/
INDEX(スコア表2[],MATCH("stdev.p",スコア表2[maxmin],0),MATCH(CN$5,スコア表2[#Headers],0))
*10+50,"-")</f>
        <v>46.199869421420104</v>
      </c>
      <c r="CO42" s="4">
        <f>IFERROR(
(INDEX(スコア表[],MATCH($C42,スコア表['#],0),MATCH(CO$5,スコア表[#Headers],0))
-
INDEX(スコア表2[],MATCH("average",スコア表2[maxmin],0),MATCH(CO$5,スコア表2[#Headers],0)))
/
INDEX(スコア表2[],MATCH("stdev.p",スコア表2[maxmin],0),MATCH(CO$5,スコア表2[#Headers],0))
*10+50,"-")</f>
        <v>56.631581099238332</v>
      </c>
      <c r="CP42" s="4">
        <f>IFERROR(
(INDEX(スコア表[],MATCH($C42,スコア表['#],0),MATCH(CP$5,スコア表[#Headers],0))
-
INDEX(スコア表2[],MATCH("average",スコア表2[maxmin],0),MATCH(CP$5,スコア表2[#Headers],0)))
/
INDEX(スコア表2[],MATCH("stdev.p",スコア表2[maxmin],0),MATCH(CP$5,スコア表2[#Headers],0))
*10+50,"-")</f>
        <v>49.159872970531474</v>
      </c>
      <c r="CQ42" s="4">
        <f>IFERROR(
(INDEX(スコア表[],MATCH($C42,スコア表['#],0),MATCH(CQ$5,スコア表[#Headers],0))
-
INDEX(スコア表2[],MATCH("average",スコア表2[maxmin],0),MATCH(CQ$5,スコア表2[#Headers],0)))
/
INDEX(スコア表2[],MATCH("stdev.p",スコア表2[maxmin],0),MATCH(CQ$5,スコア表2[#Headers],0))
*10+50,"-")</f>
        <v>53.719032279060819</v>
      </c>
      <c r="CR42" s="4">
        <f>IFERROR(
(INDEX(スコア表[],MATCH($C42,スコア表['#],0),MATCH(CR$5,スコア表[#Headers],0))
-
INDEX(スコア表2[],MATCH("average",スコア表2[maxmin],0),MATCH(CR$5,スコア表2[#Headers],0)))
/
INDEX(スコア表2[],MATCH("stdev.p",スコア表2[maxmin],0),MATCH(CR$5,スコア表2[#Headers],0))
*10+50,"-")</f>
        <v>55.751109374399313</v>
      </c>
      <c r="CS42" s="4">
        <f>IFERROR(
(INDEX(スコア表[],MATCH($C42,スコア表['#],0),MATCH(CS$5,スコア表[#Headers],0))
-
INDEX(スコア表2[],MATCH("average",スコア表2[maxmin],0),MATCH(CS$5,スコア表2[#Headers],0)))
/
INDEX(スコア表2[],MATCH("stdev.p",スコア表2[maxmin],0),MATCH(CS$5,スコア表2[#Headers],0))
*10+50,"-")</f>
        <v>36.937433975595752</v>
      </c>
      <c r="CT42" s="4">
        <f>IFERROR(
(INDEX(スコア表[],MATCH($C42,スコア表['#],0),MATCH(CT$5,スコア表[#Headers],0))
-
INDEX(スコア表2[],MATCH("average",スコア表2[maxmin],0),MATCH(CT$5,スコア表2[#Headers],0)))
/
INDEX(スコア表2[],MATCH("stdev.p",スコア表2[maxmin],0),MATCH(CT$5,スコア表2[#Headers],0))
*10+50,"-")</f>
        <v>52.090029742301247</v>
      </c>
      <c r="CU42" s="4">
        <f>IFERROR(
(INDEX(スコア表[],MATCH($C42,スコア表['#],0),MATCH(CU$5,スコア表[#Headers],0))
-
INDEX(スコア表2[],MATCH("average",スコア表2[maxmin],0),MATCH(CU$5,スコア表2[#Headers],0)))
/
INDEX(スコア表2[],MATCH("stdev.p",スコア表2[maxmin],0),MATCH(CU$5,スコア表2[#Headers],0))
*10+50,"-")</f>
        <v>42.224886585949129</v>
      </c>
      <c r="CV42" s="4">
        <f>IFERROR(
(INDEX(スコア表[],MATCH($C42,スコア表['#],0),MATCH(CV$5,スコア表[#Headers],0))
-
INDEX(スコア表2[],MATCH("average",スコア表2[maxmin],0),MATCH(CV$5,スコア表2[#Headers],0)))
/
INDEX(スコア表2[],MATCH("stdev.p",スコア表2[maxmin],0),MATCH(CV$5,スコア表2[#Headers],0))
*10+50,"-")</f>
        <v>40.97388196289355</v>
      </c>
      <c r="CW42" s="4">
        <f>IFERROR(
(INDEX(スコア表[],MATCH($C42,スコア表['#],0),MATCH(CW$5,スコア表[#Headers],0))
-
INDEX(スコア表2[],MATCH("average",スコア表2[maxmin],0),MATCH(CW$5,スコア表2[#Headers],0)))
/
INDEX(スコア表2[],MATCH("stdev.p",スコア表2[maxmin],0),MATCH(CW$5,スコア表2[#Headers],0))
*10+50,"-")</f>
        <v>38.845709598948446</v>
      </c>
      <c r="CX42" s="4">
        <f>IFERROR(
(INDEX(スコア表[],MATCH($C42,スコア表['#],0),MATCH(CX$5,スコア表[#Headers],0))
-
INDEX(スコア表2[],MATCH("average",スコア表2[maxmin],0),MATCH(CX$5,スコア表2[#Headers],0)))
/
INDEX(スコア表2[],MATCH("stdev.p",スコア表2[maxmin],0),MATCH(CX$5,スコア表2[#Headers],0))
*10+50,"-")</f>
        <v>51.736938265715473</v>
      </c>
      <c r="CY42" s="4">
        <f>IFERROR(
(INDEX(スコア表[],MATCH($C42,スコア表['#],0),MATCH(CY$5,スコア表[#Headers],0))
-
INDEX(スコア表2[],MATCH("average",スコア表2[maxmin],0),MATCH(CY$5,スコア表2[#Headers],0)))
/
INDEX(スコア表2[],MATCH("stdev.p",スコア表2[maxmin],0),MATCH(CY$5,スコア表2[#Headers],0))
*10+50,"-")</f>
        <v>52.964049878959258</v>
      </c>
      <c r="CZ42" s="4">
        <f>IFERROR(
(INDEX(スコア表[],MATCH($C42,スコア表['#],0),MATCH(CZ$5,スコア表[#Headers],0))
-
INDEX(スコア表2[],MATCH("average",スコア表2[maxmin],0),MATCH(CZ$5,スコア表2[#Headers],0)))
/
INDEX(スコア表2[],MATCH("stdev.p",スコア表2[maxmin],0),MATCH(CZ$5,スコア表2[#Headers],0))
*10+50,"-")</f>
        <v>42.616218486427215</v>
      </c>
      <c r="DA42" s="4">
        <f>IFERROR(
(INDEX(スコア表[],MATCH($C42,スコア表['#],0),MATCH(DA$5,スコア表[#Headers],0))
-
INDEX(スコア表2[],MATCH("average",スコア表2[maxmin],0),MATCH(DA$5,スコア表2[#Headers],0)))
/
INDEX(スコア表2[],MATCH("stdev.p",スコア表2[maxmin],0),MATCH(DA$5,スコア表2[#Headers],0))
*10+50,"-")</f>
        <v>50.982835439933446</v>
      </c>
      <c r="DB42" s="4">
        <f>IFERROR(
(INDEX(スコア表[],MATCH($C42,スコア表['#],0),MATCH(DB$5,スコア表[#Headers],0))
-
INDEX(スコア表2[],MATCH("average",スコア表2[maxmin],0),MATCH(DB$5,スコア表2[#Headers],0)))
/
INDEX(スコア表2[],MATCH("stdev.p",スコア表2[maxmin],0),MATCH(DB$5,スコア表2[#Headers],0))
*10+50,"-")</f>
        <v>46.663291407284234</v>
      </c>
      <c r="DC42" s="4">
        <f>IFERROR(
(INDEX(スコア表[],MATCH($C42,スコア表['#],0),MATCH(DC$5,スコア表[#Headers],0))
-
INDEX(スコア表2[],MATCH("average",スコア表2[maxmin],0),MATCH(DC$5,スコア表2[#Headers],0)))
/
INDEX(スコア表2[],MATCH("stdev.p",スコア表2[maxmin],0),MATCH(DC$5,スコア表2[#Headers],0))
*10+50,"-")</f>
        <v>57.892374252426812</v>
      </c>
      <c r="DD42" s="4">
        <f>IFERROR(
(INDEX(スコア表[],MATCH($C42,スコア表['#],0),MATCH(DD$5,スコア表[#Headers],0))
-
INDEX(スコア表2[],MATCH("average",スコア表2[maxmin],0),MATCH(DD$5,スコア表2[#Headers],0)))
/
INDEX(スコア表2[],MATCH("stdev.p",スコア表2[maxmin],0),MATCH(DD$5,スコア表2[#Headers],0))
*10+50,"-")</f>
        <v>41.245642123953765</v>
      </c>
      <c r="DE42" s="4">
        <f>IFERROR(
(INDEX(スコア表[],MATCH($C42,スコア表['#],0),MATCH(DE$5,スコア表[#Headers],0))
-
INDEX(スコア表2[],MATCH("average",スコア表2[maxmin],0),MATCH(DE$5,スコア表2[#Headers],0)))
/
INDEX(スコア表2[],MATCH("stdev.p",スコア表2[maxmin],0),MATCH(DE$5,スコア表2[#Headers],0))
*10+50,"-")</f>
        <v>42.121841232780007</v>
      </c>
      <c r="DF42" s="76">
        <f>IFERROR(
(INDEX(スコア表[],MATCH($C42,スコア表['#],0),MATCH(DF$5,スコア表[#Headers],0))
-
INDEX(スコア表2[],MATCH("average",スコア表2[maxmin],0),MATCH(DF$5,スコア表2[#Headers],0)))
/
INDEX(スコア表2[],MATCH("stdev.p",スコア表2[maxmin],0),MATCH(DF$5,スコア表2[#Headers],0))
*10+50,"-")</f>
        <v>44.769527649710199</v>
      </c>
      <c r="DG42" s="4">
        <f>IFERROR(_xlfn.STDEV.P(偏差値表[[#This Row],[Economy]:[Accessibility]]),"")</f>
        <v>5.9260544380658127</v>
      </c>
    </row>
    <row r="43" spans="1:111">
      <c r="A43" s="2">
        <v>38</v>
      </c>
      <c r="B43" s="58">
        <f>INDEX(順位表[Comprehensive],MATCH($C43,順位表['#],0))</f>
        <v>38</v>
      </c>
      <c r="C43" s="3">
        <v>19</v>
      </c>
      <c r="D43" s="1" t="str">
        <f>INDEX(都市マスタ[City Name],MATCH($C43,都市マスタ['#],0))</f>
        <v>Bangkok</v>
      </c>
      <c r="E43" s="4">
        <f>IFERROR(
(INDEX(スコア表[],MATCH($C43,スコア表['#],0),MATCH(E$5,スコア表[#Headers],0))
-
INDEX(スコア表2[],MATCH("average",スコア表2[maxmin],0),MATCH(E$5,スコア表2[#Headers],0)))
/
INDEX(スコア表2[],MATCH("stdev.p",スコア表2[maxmin],0),MATCH(E$5,スコア表2[#Headers],0))
*10+50,"-")</f>
        <v>56.22044793261621</v>
      </c>
      <c r="F43" s="4">
        <f>IFERROR(
(INDEX(スコア表[],MATCH($C43,スコア表['#],0),MATCH(F$5,スコア表[#Headers],0))
-
INDEX(スコア表2[],MATCH("average",スコア表2[maxmin],0),MATCH(F$5,スコア表2[#Headers],0)))
/
INDEX(スコア表2[],MATCH("stdev.p",スコア表2[maxmin],0),MATCH(F$5,スコア表2[#Headers],0))
*10+50,"-")</f>
        <v>49.592053788962168</v>
      </c>
      <c r="G43" s="4">
        <f>IFERROR(
(INDEX(スコア表[],MATCH($C43,スコア表['#],0),MATCH(G$5,スコア表[#Headers],0))
-
INDEX(スコア表2[],MATCH("average",スコア表2[maxmin],0),MATCH(G$5,スコア表2[#Headers],0)))
/
INDEX(スコア表2[],MATCH("stdev.p",スコア表2[maxmin],0),MATCH(G$5,スコア表2[#Headers],0))
*10+50,"-")</f>
        <v>48.493137351095804</v>
      </c>
      <c r="H43" s="4">
        <f>IFERROR(
(INDEX(スコア表[],MATCH($C43,スコア表['#],0),MATCH(H$5,スコア表[#Headers],0))
-
INDEX(スコア表2[],MATCH("average",スコア表2[maxmin],0),MATCH(H$5,スコア表2[#Headers],0)))
/
INDEX(スコア表2[],MATCH("stdev.p",スコア表2[maxmin],0),MATCH(H$5,スコア表2[#Headers],0))
*10+50,"-")</f>
        <v>47.661983436804682</v>
      </c>
      <c r="I43" s="4">
        <f>IFERROR(
(INDEX(スコア表[],MATCH($C43,スコア表['#],0),MATCH(I$5,スコア表[#Headers],0))
-
INDEX(スコア表2[],MATCH("average",スコア表2[maxmin],0),MATCH(I$5,スコア表2[#Headers],0)))
/
INDEX(スコア表2[],MATCH("stdev.p",スコア表2[maxmin],0),MATCH(I$5,スコア表2[#Headers],0))
*10+50,"-")</f>
        <v>40.40868154870995</v>
      </c>
      <c r="J43" s="4">
        <f>IFERROR(
(INDEX(スコア表[],MATCH($C43,スコア表['#],0),MATCH(J$5,スコア表[#Headers],0))
-
INDEX(スコア表2[],MATCH("average",スコア表2[maxmin],0),MATCH(J$5,スコア表2[#Headers],0)))
/
INDEX(スコア表2[],MATCH("stdev.p",スコア表2[maxmin],0),MATCH(J$5,スコア表2[#Headers],0))
*10+50,"-")</f>
        <v>44.767598364373008</v>
      </c>
      <c r="K43" s="4">
        <f>IFERROR(
(INDEX(スコア表[],MATCH($C43,スコア表['#],0),MATCH(K$5,スコア表[#Headers],0))
-
INDEX(スコア表2[],MATCH("average",スコア表2[maxmin],0),MATCH(K$5,スコア表2[#Headers],0)))
/
INDEX(スコア表2[],MATCH("stdev.p",スコア表2[maxmin],0),MATCH(K$5,スコア表2[#Headers],0))
*10+50,"-")</f>
        <v>42.772678245153735</v>
      </c>
      <c r="L43" s="4">
        <f>IFERROR(
(INDEX(スコア表[],MATCH($C43,スコア表['#],0),MATCH(L$5,スコア表[#Headers],0))
-
INDEX(スコア表2[],MATCH("average",スコア表2[maxmin],0),MATCH(L$5,スコア表2[#Headers],0)))
/
INDEX(スコア表2[],MATCH("stdev.p",スコア表2[maxmin],0),MATCH(L$5,スコア表2[#Headers],0))
*10+50,"-")</f>
        <v>47.872850179971138</v>
      </c>
      <c r="M43" s="4">
        <f>IFERROR(
(INDEX(スコア表[],MATCH($C43,スコア表['#],0),MATCH(M$5,スコア表[#Headers],0))
-
INDEX(スコア表2[],MATCH("average",スコア表2[maxmin],0),MATCH(M$5,スコア表2[#Headers],0)))
/
INDEX(スコア表2[],MATCH("stdev.p",スコア表2[maxmin],0),MATCH(M$5,スコア表2[#Headers],0))
*10+50,"-")</f>
        <v>46.715676502687813</v>
      </c>
      <c r="N43" s="4">
        <f>IFERROR(
(INDEX(スコア表[],MATCH($C43,スコア表['#],0),MATCH(N$5,スコア表[#Headers],0))
-
INDEX(スコア表2[],MATCH("average",スコア表2[maxmin],0),MATCH(N$5,スコア表2[#Headers],0)))
/
INDEX(スコア表2[],MATCH("stdev.p",スコア表2[maxmin],0),MATCH(N$5,スコア表2[#Headers],0))
*10+50,"-")</f>
        <v>59.271873325473187</v>
      </c>
      <c r="O43" s="4">
        <f>IFERROR(
(INDEX(スコア表[],MATCH($C43,スコア表['#],0),MATCH(O$5,スコア表[#Headers],0))
-
INDEX(スコア表2[],MATCH("average",スコア表2[maxmin],0),MATCH(O$5,スコア表2[#Headers],0)))
/
INDEX(スコア表2[],MATCH("stdev.p",スコア表2[maxmin],0),MATCH(O$5,スコア表2[#Headers],0))
*10+50,"-")</f>
        <v>38.347859054103978</v>
      </c>
      <c r="P43" s="4">
        <f>IFERROR(
(INDEX(スコア表[],MATCH($C43,スコア表['#],0),MATCH(P$5,スコア表[#Headers],0))
-
INDEX(スコア表2[],MATCH("average",スコア表2[maxmin],0),MATCH(P$5,スコア表2[#Headers],0)))
/
INDEX(スコア表2[],MATCH("stdev.p",スコア表2[maxmin],0),MATCH(P$5,スコア表2[#Headers],0))
*10+50,"-")</f>
        <v>36.659332248586594</v>
      </c>
      <c r="Q43" s="4">
        <f>IFERROR(
(INDEX(スコア表[],MATCH($C43,スコア表['#],0),MATCH(Q$5,スコア表[#Headers],0))
-
INDEX(スコア表2[],MATCH("average",スコア表2[maxmin],0),MATCH(Q$5,スコア表2[#Headers],0)))
/
INDEX(スコア表2[],MATCH("stdev.p",スコア表2[maxmin],0),MATCH(Q$5,スコア表2[#Headers],0))
*10+50,"-")</f>
        <v>38.121862320194502</v>
      </c>
      <c r="R43" s="4">
        <f>IFERROR(
(INDEX(スコア表[],MATCH($C43,スコア表['#],0),MATCH(R$5,スコア表[#Headers],0))
-
INDEX(スコア表2[],MATCH("average",スコア表2[maxmin],0),MATCH(R$5,スコア表2[#Headers],0)))
/
INDEX(スコア表2[],MATCH("stdev.p",スコア表2[maxmin],0),MATCH(R$5,スコア表2[#Headers],0))
*10+50,"-")</f>
        <v>62.930005900458504</v>
      </c>
      <c r="S43" s="4">
        <f>IFERROR(
(INDEX(スコア表[],MATCH($C43,スコア表['#],0),MATCH(S$5,スコア表[#Headers],0))
-
INDEX(スコア表2[],MATCH("average",スコア表2[maxmin],0),MATCH(S$5,スコア表2[#Headers],0)))
/
INDEX(スコア表2[],MATCH("stdev.p",スコア表2[maxmin],0),MATCH(S$5,スコア表2[#Headers],0))
*10+50,"-")</f>
        <v>58.874866438455072</v>
      </c>
      <c r="T43" s="4">
        <f>IFERROR(
(INDEX(スコア表[],MATCH($C43,スコア表['#],0),MATCH(T$5,スコア表[#Headers],0))
-
INDEX(スコア表2[],MATCH("average",スコア表2[maxmin],0),MATCH(T$5,スコア表2[#Headers],0)))
/
INDEX(スコア表2[],MATCH("stdev.p",スコア表2[maxmin],0),MATCH(T$5,スコア表2[#Headers],0))
*10+50,"-")</f>
        <v>49.920605792761599</v>
      </c>
      <c r="U43" s="4">
        <f>IFERROR(
(INDEX(スコア表[],MATCH($C43,スコア表['#],0),MATCH(U$5,スコア表[#Headers],0))
-
INDEX(スコア表2[],MATCH("average",スコア表2[maxmin],0),MATCH(U$5,スコア表2[#Headers],0)))
/
INDEX(スコア表2[],MATCH("stdev.p",スコア表2[maxmin],0),MATCH(U$5,スコア表2[#Headers],0))
*10+50,"-")</f>
        <v>48.385263283846029</v>
      </c>
      <c r="V43" s="4">
        <f>IFERROR(
(INDEX(スコア表[],MATCH($C43,スコア表['#],0),MATCH(V$5,スコア表[#Headers],0))
-
INDEX(スコア表2[],MATCH("average",スコア表2[maxmin],0),MATCH(V$5,スコア表2[#Headers],0)))
/
INDEX(スコア表2[],MATCH("stdev.p",スコア表2[maxmin],0),MATCH(V$5,スコア表2[#Headers],0))
*10+50,"-")</f>
        <v>40.590206006334618</v>
      </c>
      <c r="W43" s="4">
        <f>IFERROR(
(INDEX(スコア表[],MATCH($C43,スコア表['#],0),MATCH(W$5,スコア表[#Headers],0))
-
INDEX(スコア表2[],MATCH("average",スコア表2[maxmin],0),MATCH(W$5,スコア表2[#Headers],0)))
/
INDEX(スコア表2[],MATCH("stdev.p",スコア表2[maxmin],0),MATCH(W$5,スコア表2[#Headers],0))
*10+50,"-")</f>
        <v>44.3173101122904</v>
      </c>
      <c r="X43" s="4">
        <f>IFERROR(
(INDEX(スコア表[],MATCH($C43,スコア表['#],0),MATCH(X$5,スコア表[#Headers],0))
-
INDEX(スコア表2[],MATCH("average",スコア表2[maxmin],0),MATCH(X$5,スコア表2[#Headers],0)))
/
INDEX(スコア表2[],MATCH("stdev.p",スコア表2[maxmin],0),MATCH(X$5,スコア表2[#Headers],0))
*10+50,"-")</f>
        <v>42.100574362847226</v>
      </c>
      <c r="Y43" s="4">
        <f>IFERROR(
(INDEX(スコア表[],MATCH($C43,スコア表['#],0),MATCH(Y$5,スコア表[#Headers],0))
-
INDEX(スコア表2[],MATCH("average",スコア表2[maxmin],0),MATCH(Y$5,スコア表2[#Headers],0)))
/
INDEX(スコア表2[],MATCH("stdev.p",スコア表2[maxmin],0),MATCH(Y$5,スコア表2[#Headers],0))
*10+50,"-")</f>
        <v>36.808871774618744</v>
      </c>
      <c r="Z43" s="4">
        <f>IFERROR(
(INDEX(スコア表[],MATCH($C43,スコア表['#],0),MATCH(Z$5,スコア表[#Headers],0))
-
INDEX(スコア表2[],MATCH("average",スコア表2[maxmin],0),MATCH(Z$5,スコア表2[#Headers],0)))
/
INDEX(スコア表2[],MATCH("stdev.p",スコア表2[maxmin],0),MATCH(Z$5,スコア表2[#Headers],0))
*10+50,"-")</f>
        <v>44.432026261064514</v>
      </c>
      <c r="AA43" s="4">
        <f>IFERROR(
(INDEX(スコア表[],MATCH($C43,スコア表['#],0),MATCH(AA$5,スコア表[#Headers],0))
-
INDEX(スコア表2[],MATCH("average",スコア表2[maxmin],0),MATCH(AA$5,スコア表2[#Headers],0)))
/
INDEX(スコア表2[],MATCH("stdev.p",スコア表2[maxmin],0),MATCH(AA$5,スコア表2[#Headers],0))
*10+50,"-")</f>
        <v>44.664612103409482</v>
      </c>
      <c r="AB43" s="4">
        <f>IFERROR(
(INDEX(スコア表[],MATCH($C43,スコア表['#],0),MATCH(AB$5,スコア表[#Headers],0))
-
INDEX(スコア表2[],MATCH("average",スコア表2[maxmin],0),MATCH(AB$5,スコア表2[#Headers],0)))
/
INDEX(スコア表2[],MATCH("stdev.p",スコア表2[maxmin],0),MATCH(AB$5,スコア表2[#Headers],0))
*10+50,"-")</f>
        <v>43.543145545338064</v>
      </c>
      <c r="AC43" s="4">
        <f>IFERROR(
(INDEX(スコア表[],MATCH($C43,スコア表['#],0),MATCH(AC$5,スコア表[#Headers],0))
-
INDEX(スコア表2[],MATCH("average",スコア表2[maxmin],0),MATCH(AC$5,スコア表2[#Headers],0)))
/
INDEX(スコア表2[],MATCH("stdev.p",スコア表2[maxmin],0),MATCH(AC$5,スコア表2[#Headers],0))
*10+50,"-")</f>
        <v>49.330627315320207</v>
      </c>
      <c r="AD43" s="4">
        <f>IFERROR(
(INDEX(スコア表[],MATCH($C43,スコア表['#],0),MATCH(AD$5,スコア表[#Headers],0))
-
INDEX(スコア表2[],MATCH("average",スコア表2[maxmin],0),MATCH(AD$5,スコア表2[#Headers],0)))
/
INDEX(スコア表2[],MATCH("stdev.p",スコア表2[maxmin],0),MATCH(AD$5,スコア表2[#Headers],0))
*10+50,"-")</f>
        <v>41.664243640389991</v>
      </c>
      <c r="AE43" s="4">
        <f>IFERROR(
(INDEX(スコア表[],MATCH($C43,スコア表['#],0),MATCH(AE$5,スコア表[#Headers],0))
-
INDEX(スコア表2[],MATCH("average",スコア表2[maxmin],0),MATCH(AE$5,スコア表2[#Headers],0)))
/
INDEX(スコア表2[],MATCH("stdev.p",スコア表2[maxmin],0),MATCH(AE$5,スコア表2[#Headers],0))
*10+50,"-")</f>
        <v>44.498805631964892</v>
      </c>
      <c r="AF43" s="4">
        <f>IFERROR(
(INDEX(スコア表[],MATCH($C43,スコア表['#],0),MATCH(AF$5,スコア表[#Headers],0))
-
INDEX(スコア表2[],MATCH("average",スコア表2[maxmin],0),MATCH(AF$5,スコア表2[#Headers],0)))
/
INDEX(スコア表2[],MATCH("stdev.p",スコア表2[maxmin],0),MATCH(AF$5,スコア表2[#Headers],0))
*10+50,"-")</f>
        <v>45.713348631845093</v>
      </c>
      <c r="AG43" s="4">
        <f>IFERROR(
(INDEX(スコア表[],MATCH($C43,スコア表['#],0),MATCH(AG$5,スコア表[#Headers],0))
-
INDEX(スコア表2[],MATCH("average",スコア表2[maxmin],0),MATCH(AG$5,スコア表2[#Headers],0)))
/
INDEX(スコア表2[],MATCH("stdev.p",スコア表2[maxmin],0),MATCH(AG$5,スコア表2[#Headers],0))
*10+50,"-")</f>
        <v>48.581503518103879</v>
      </c>
      <c r="AH43" s="4">
        <f>IFERROR(
(INDEX(スコア表[],MATCH($C43,スコア表['#],0),MATCH(AH$5,スコア表[#Headers],0))
-
INDEX(スコア表2[],MATCH("average",スコア表2[maxmin],0),MATCH(AH$5,スコア表2[#Headers],0)))
/
INDEX(スコア表2[],MATCH("stdev.p",スコア表2[maxmin],0),MATCH(AH$5,スコア表2[#Headers],0))
*10+50,"-")</f>
        <v>42.849325941718909</v>
      </c>
      <c r="AI43" s="4">
        <f>IFERROR(
(INDEX(スコア表[],MATCH($C43,スコア表['#],0),MATCH(AI$5,スコア表[#Headers],0))
-
INDEX(スコア表2[],MATCH("average",スコア表2[maxmin],0),MATCH(AI$5,スコア表2[#Headers],0)))
/
INDEX(スコア表2[],MATCH("stdev.p",スコア表2[maxmin],0),MATCH(AI$5,スコア表2[#Headers],0))
*10+50,"-")</f>
        <v>56.367836492644159</v>
      </c>
      <c r="AJ43" s="4">
        <f>IFERROR(
(INDEX(スコア表[],MATCH($C43,スコア表['#],0),MATCH(AJ$5,スコア表[#Headers],0))
-
INDEX(スコア表2[],MATCH("average",スコア表2[maxmin],0),MATCH(AJ$5,スコア表2[#Headers],0)))
/
INDEX(スコア表2[],MATCH("stdev.p",スコア表2[maxmin],0),MATCH(AJ$5,スコア表2[#Headers],0))
*10+50,"-")</f>
        <v>41.765466470933632</v>
      </c>
      <c r="AK43" s="4">
        <f>IFERROR(
(INDEX(スコア表[],MATCH($C43,スコア表['#],0),MATCH(AK$5,スコア表[#Headers],0))
-
INDEX(スコア表2[],MATCH("average",スコア表2[maxmin],0),MATCH(AK$5,スコア表2[#Headers],0)))
/
INDEX(スコア表2[],MATCH("stdev.p",スコア表2[maxmin],0),MATCH(AK$5,スコア表2[#Headers],0))
*10+50,"-")</f>
        <v>44.006560559895959</v>
      </c>
      <c r="AL43" s="4">
        <f>IFERROR(
(INDEX(スコア表[],MATCH($C43,スコア表['#],0),MATCH(AL$5,スコア表[#Headers],0))
-
INDEX(スコア表2[],MATCH("average",スコア表2[maxmin],0),MATCH(AL$5,スコア表2[#Headers],0)))
/
INDEX(スコア表2[],MATCH("stdev.p",スコア表2[maxmin],0),MATCH(AL$5,スコア表2[#Headers],0))
*10+50,"-")</f>
        <v>46.249564217977529</v>
      </c>
      <c r="AM43" s="4">
        <f>IFERROR(
(INDEX(スコア表[],MATCH($C43,スコア表['#],0),MATCH(AM$5,スコア表[#Headers],0))
-
INDEX(スコア表2[],MATCH("average",スコア表2[maxmin],0),MATCH(AM$5,スコア表2[#Headers],0)))
/
INDEX(スコア表2[],MATCH("stdev.p",スコア表2[maxmin],0),MATCH(AM$5,スコア表2[#Headers],0))
*10+50,"-")</f>
        <v>74.020246029741045</v>
      </c>
      <c r="AN43" s="4">
        <f>IFERROR(
(INDEX(スコア表[],MATCH($C43,スコア表['#],0),MATCH(AN$5,スコア表[#Headers],0))
-
INDEX(スコア表2[],MATCH("average",スコア表2[maxmin],0),MATCH(AN$5,スコア表2[#Headers],0)))
/
INDEX(スコア表2[],MATCH("stdev.p",スコア表2[maxmin],0),MATCH(AN$5,スコア表2[#Headers],0))
*10+50,"-")</f>
        <v>83.688221363203894</v>
      </c>
      <c r="AO43" s="4">
        <f>IFERROR(
(INDEX(スコア表[],MATCH($C43,スコア表['#],0),MATCH(AO$5,スコア表[#Headers],0))
-
INDEX(スコア表2[],MATCH("average",スコア表2[maxmin],0),MATCH(AO$5,スコア表2[#Headers],0)))
/
INDEX(スコア表2[],MATCH("stdev.p",スコア表2[maxmin],0),MATCH(AO$5,スコア表2[#Headers],0))
*10+50,"-")</f>
        <v>65.391409097360651</v>
      </c>
      <c r="AP43" s="4">
        <f>IFERROR(
(INDEX(スコア表[],MATCH($C43,スコア表['#],0),MATCH(AP$5,スコア表[#Headers],0))
-
INDEX(スコア表2[],MATCH("average",スコア表2[maxmin],0),MATCH(AP$5,スコア表2[#Headers],0)))
/
INDEX(スコア表2[],MATCH("stdev.p",スコア表2[maxmin],0),MATCH(AP$5,スコア表2[#Headers],0))
*10+50,"-")</f>
        <v>56.482154340682342</v>
      </c>
      <c r="AQ43" s="4">
        <f>IFERROR(
(INDEX(スコア表[],MATCH($C43,スコア表['#],0),MATCH(AQ$5,スコア表[#Headers],0))
-
INDEX(スコア表2[],MATCH("average",スコア表2[maxmin],0),MATCH(AQ$5,スコア表2[#Headers],0)))
/
INDEX(スコア表2[],MATCH("stdev.p",スコア表2[maxmin],0),MATCH(AQ$5,スコア表2[#Headers],0))
*10+50,"-")</f>
        <v>43.175775443600465</v>
      </c>
      <c r="AR43" s="4">
        <f>IFERROR(
(INDEX(スコア表[],MATCH($C43,スコア表['#],0),MATCH(AR$5,スコア表[#Headers],0))
-
INDEX(スコア表2[],MATCH("average",スコア表2[maxmin],0),MATCH(AR$5,スコア表2[#Headers],0)))
/
INDEX(スコア表2[],MATCH("stdev.p",スコア表2[maxmin],0),MATCH(AR$5,スコア表2[#Headers],0))
*10+50,"-")</f>
        <v>67.782952751347381</v>
      </c>
      <c r="AS43" s="4">
        <f>IFERROR(
(INDEX(スコア表[],MATCH($C43,スコア表['#],0),MATCH(AS$5,スコア表[#Headers],0))
-
INDEX(スコア表2[],MATCH("average",スコア表2[maxmin],0),MATCH(AS$5,スコア表2[#Headers],0)))
/
INDEX(スコア表2[],MATCH("stdev.p",スコア表2[maxmin],0),MATCH(AS$5,スコア表2[#Headers],0))
*10+50,"-")</f>
        <v>59.14003678269507</v>
      </c>
      <c r="AT43" s="4">
        <f>IFERROR(
(INDEX(スコア表[],MATCH($C43,スコア表['#],0),MATCH(AT$5,スコア表[#Headers],0))
-
INDEX(スコア表2[],MATCH("average",スコア表2[maxmin],0),MATCH(AT$5,スコア表2[#Headers],0)))
/
INDEX(スコア表2[],MATCH("stdev.p",スコア表2[maxmin],0),MATCH(AT$5,スコア表2[#Headers],0))
*10+50,"-")</f>
        <v>45.871920835096049</v>
      </c>
      <c r="AU43" s="4">
        <f>IFERROR(
(INDEX(スコア表[],MATCH($C43,スコア表['#],0),MATCH(AU$5,スコア表[#Headers],0))
-
INDEX(スコア表2[],MATCH("average",スコア表2[maxmin],0),MATCH(AU$5,スコア表2[#Headers],0)))
/
INDEX(スコア表2[],MATCH("stdev.p",スコア表2[maxmin],0),MATCH(AU$5,スコア表2[#Headers],0))
*10+50,"-")</f>
        <v>60.304192040853472</v>
      </c>
      <c r="AV43" s="4">
        <f>IFERROR(
(INDEX(スコア表[],MATCH($C43,スコア表['#],0),MATCH(AV$5,スコア表[#Headers],0))
-
INDEX(スコア表2[],MATCH("average",スコア表2[maxmin],0),MATCH(AV$5,スコア表2[#Headers],0)))
/
INDEX(スコア表2[],MATCH("stdev.p",スコア表2[maxmin],0),MATCH(AV$5,スコア表2[#Headers],0))
*10+50,"-")</f>
        <v>59.20345113233698</v>
      </c>
      <c r="AW43" s="4">
        <f>IFERROR(
(INDEX(スコア表[],MATCH($C43,スコア表['#],0),MATCH(AW$5,スコア表[#Headers],0))
-
INDEX(スコア表2[],MATCH("average",スコア表2[maxmin],0),MATCH(AW$5,スコア表2[#Headers],0)))
/
INDEX(スコア表2[],MATCH("stdev.p",スコア表2[maxmin],0),MATCH(AW$5,スコア表2[#Headers],0))
*10+50,"-")</f>
        <v>62.322795640408351</v>
      </c>
      <c r="AX43" s="4">
        <f>IFERROR(
(INDEX(スコア表[],MATCH($C43,スコア表['#],0),MATCH(AX$5,スコア表[#Headers],0))
-
INDEX(スコア表2[],MATCH("average",スコア表2[maxmin],0),MATCH(AX$5,スコア表2[#Headers],0)))
/
INDEX(スコア表2[],MATCH("stdev.p",スコア表2[maxmin],0),MATCH(AX$5,スコア表2[#Headers],0))
*10+50,"-")</f>
        <v>54.827441392374588</v>
      </c>
      <c r="AY43" s="4">
        <f>IFERROR(
(INDEX(スコア表[],MATCH($C43,スコア表['#],0),MATCH(AY$5,スコア表[#Headers],0))
-
INDEX(スコア表2[],MATCH("average",スコア表2[maxmin],0),MATCH(AY$5,スコア表2[#Headers],0)))
/
INDEX(スコア表2[],MATCH("stdev.p",スコア表2[maxmin],0),MATCH(AY$5,スコア表2[#Headers],0))
*10+50,"-")</f>
        <v>52.238478602771792</v>
      </c>
      <c r="AZ43" s="4">
        <f>IFERROR(
(INDEX(スコア表[],MATCH($C43,スコア表['#],0),MATCH(AZ$5,スコア表[#Headers],0))
-
INDEX(スコア表2[],MATCH("average",スコア表2[maxmin],0),MATCH(AZ$5,スコア表2[#Headers],0)))
/
INDEX(スコア表2[],MATCH("stdev.p",スコア表2[maxmin],0),MATCH(AZ$5,スコア表2[#Headers],0))
*10+50,"-")</f>
        <v>44.985929458667393</v>
      </c>
      <c r="BA43" s="4">
        <f>IFERROR(
(INDEX(スコア表[],MATCH($C43,スコア表['#],0),MATCH(BA$5,スコア表[#Headers],0))
-
INDEX(スコア表2[],MATCH("average",スコア表2[maxmin],0),MATCH(BA$5,スコア表2[#Headers],0)))
/
INDEX(スコア表2[],MATCH("stdev.p",スコア表2[maxmin],0),MATCH(BA$5,スコア表2[#Headers],0))
*10+50,"-")</f>
        <v>36.941126712210647</v>
      </c>
      <c r="BB43" s="4">
        <f>IFERROR(
(INDEX(スコア表[],MATCH($C43,スコア表['#],0),MATCH(BB$5,スコア表[#Headers],0))
-
INDEX(スコア表2[],MATCH("average",スコア表2[maxmin],0),MATCH(BB$5,スコア表2[#Headers],0)))
/
INDEX(スコア表2[],MATCH("stdev.p",スコア表2[maxmin],0),MATCH(BB$5,スコア表2[#Headers],0))
*10+50,"-")</f>
        <v>56.259551964377202</v>
      </c>
      <c r="BC43" s="4">
        <f>IFERROR(
(INDEX(スコア表[],MATCH($C43,スコア表['#],0),MATCH(BC$5,スコア表[#Headers],0))
-
INDEX(スコア表2[],MATCH("average",スコア表2[maxmin],0),MATCH(BC$5,スコア表2[#Headers],0)))
/
INDEX(スコア表2[],MATCH("stdev.p",スコア表2[maxmin],0),MATCH(BC$5,スコア表2[#Headers],0))
*10+50,"-")</f>
        <v>34.414439493967635</v>
      </c>
      <c r="BD43" s="4">
        <f>IFERROR(
(INDEX(スコア表[],MATCH($C43,スコア表['#],0),MATCH(BD$5,スコア表[#Headers],0))
-
INDEX(スコア表2[],MATCH("average",スコア表2[maxmin],0),MATCH(BD$5,スコア表2[#Headers],0)))
/
INDEX(スコア表2[],MATCH("stdev.p",スコア表2[maxmin],0),MATCH(BD$5,スコア表2[#Headers],0))
*10+50,"-")</f>
        <v>38.138465648108742</v>
      </c>
      <c r="BE43" s="4">
        <f>IFERROR(
(INDEX(スコア表[],MATCH($C43,スコア表['#],0),MATCH(BE$5,スコア表[#Headers],0))
-
INDEX(スコア表2[],MATCH("average",スコア表2[maxmin],0),MATCH(BE$5,スコア表2[#Headers],0)))
/
INDEX(スコア表2[],MATCH("stdev.p",スコア表2[maxmin],0),MATCH(BE$5,スコア表2[#Headers],0))
*10+50,"-")</f>
        <v>47.106459781407764</v>
      </c>
      <c r="BF43" s="4">
        <f>IFERROR(
(INDEX(スコア表[],MATCH($C43,スコア表['#],0),MATCH(BF$5,スコア表[#Headers],0))
-
INDEX(スコア表2[],MATCH("average",スコア表2[maxmin],0),MATCH(BF$5,スコア表2[#Headers],0)))
/
INDEX(スコア表2[],MATCH("stdev.p",スコア表2[maxmin],0),MATCH(BF$5,スコア表2[#Headers],0))
*10+50,"-")</f>
        <v>44.996454691206338</v>
      </c>
      <c r="BG43" s="4">
        <f>IFERROR(
(INDEX(スコア表[],MATCH($C43,スコア表['#],0),MATCH(BG$5,スコア表[#Headers],0))
-
INDEX(スコア表2[],MATCH("average",スコア表2[maxmin],0),MATCH(BG$5,スコア表2[#Headers],0)))
/
INDEX(スコア表2[],MATCH("stdev.p",スコア表2[maxmin],0),MATCH(BG$5,スコア表2[#Headers],0))
*10+50,"-")</f>
        <v>40.238850725275626</v>
      </c>
      <c r="BH43" s="4">
        <f>IFERROR(
(INDEX(スコア表[],MATCH($C43,スコア表['#],0),MATCH(BH$5,スコア表[#Headers],0))
-
INDEX(スコア表2[],MATCH("average",スコア表2[maxmin],0),MATCH(BH$5,スコア表2[#Headers],0)))
/
INDEX(スコア表2[],MATCH("stdev.p",スコア表2[maxmin],0),MATCH(BH$5,スコア表2[#Headers],0))
*10+50,"-")</f>
        <v>53.964317086395958</v>
      </c>
      <c r="BI43" s="4">
        <f>IFERROR(
(INDEX(スコア表[],MATCH($C43,スコア表['#],0),MATCH(BI$5,スコア表[#Headers],0))
-
INDEX(スコア表2[],MATCH("average",スコア表2[maxmin],0),MATCH(BI$5,スコア表2[#Headers],0)))
/
INDEX(スコア表2[],MATCH("stdev.p",スコア表2[maxmin],0),MATCH(BI$5,スコア表2[#Headers],0))
*10+50,"-")</f>
        <v>58.683788981385902</v>
      </c>
      <c r="BJ43" s="4">
        <f>IFERROR(
(INDEX(スコア表[],MATCH($C43,スコア表['#],0),MATCH(BJ$5,スコア表[#Headers],0))
-
INDEX(スコア表2[],MATCH("average",スコア表2[maxmin],0),MATCH(BJ$5,スコア表2[#Headers],0)))
/
INDEX(スコア表2[],MATCH("stdev.p",スコア表2[maxmin],0),MATCH(BJ$5,スコア表2[#Headers],0))
*10+50,"-")</f>
        <v>52.937799956748663</v>
      </c>
      <c r="BK43" s="4">
        <f>IFERROR(
(INDEX(スコア表[],MATCH($C43,スコア表['#],0),MATCH(BK$5,スコア表[#Headers],0))
-
INDEX(スコア表2[],MATCH("average",スコア表2[maxmin],0),MATCH(BK$5,スコア表2[#Headers],0)))
/
INDEX(スコア表2[],MATCH("stdev.p",スコア表2[maxmin],0),MATCH(BK$5,スコア表2[#Headers],0))
*10+50,"-")</f>
        <v>47.264264979820062</v>
      </c>
      <c r="BL43" s="4">
        <f>IFERROR(
(INDEX(スコア表[],MATCH($C43,スコア表['#],0),MATCH(BL$5,スコア表[#Headers],0))
-
INDEX(スコア表2[],MATCH("average",スコア表2[maxmin],0),MATCH(BL$5,スコア表2[#Headers],0)))
/
INDEX(スコア表2[],MATCH("stdev.p",スコア表2[maxmin],0),MATCH(BL$5,スコア表2[#Headers],0))
*10+50,"-")</f>
        <v>21.292189724556557</v>
      </c>
      <c r="BM43" s="4">
        <f>IFERROR(
(INDEX(スコア表[],MATCH($C43,スコア表['#],0),MATCH(BM$5,スコア表[#Headers],0))
-
INDEX(スコア表2[],MATCH("average",スコア表2[maxmin],0),MATCH(BM$5,スコア表2[#Headers],0)))
/
INDEX(スコア表2[],MATCH("stdev.p",スコア表2[maxmin],0),MATCH(BM$5,スコア表2[#Headers],0))
*10+50,"-")</f>
        <v>35.385982980527402</v>
      </c>
      <c r="BN43" s="4">
        <f>IFERROR(
(INDEX(スコア表[],MATCH($C43,スコア表['#],0),MATCH(BN$5,スコア表[#Headers],0))
-
INDEX(スコア表2[],MATCH("average",スコア表2[maxmin],0),MATCH(BN$5,スコア表2[#Headers],0)))
/
INDEX(スコア表2[],MATCH("stdev.p",スコア表2[maxmin],0),MATCH(BN$5,スコア表2[#Headers],0))
*10+50,"-")</f>
        <v>48.458758623855431</v>
      </c>
      <c r="BO43" s="4">
        <f>IFERROR(
(INDEX(スコア表[],MATCH($C43,スコア表['#],0),MATCH(BO$5,スコア表[#Headers],0))
-
INDEX(スコア表2[],MATCH("average",スコア表2[maxmin],0),MATCH(BO$5,スコア表2[#Headers],0)))
/
INDEX(スコア表2[],MATCH("stdev.p",スコア表2[maxmin],0),MATCH(BO$5,スコア表2[#Headers],0))
*10+50,"-")</f>
        <v>42.318155535695801</v>
      </c>
      <c r="BP43" s="4">
        <f>IFERROR(
(INDEX(スコア表[],MATCH($C43,スコア表['#],0),MATCH(BP$5,スコア表[#Headers],0))
-
INDEX(スコア表2[],MATCH("average",スコア表2[maxmin],0),MATCH(BP$5,スコア表2[#Headers],0)))
/
INDEX(スコア表2[],MATCH("stdev.p",スコア表2[maxmin],0),MATCH(BP$5,スコア表2[#Headers],0))
*10+50,"-")</f>
        <v>49.747879936096908</v>
      </c>
      <c r="BQ43" s="4">
        <f>IFERROR(
(INDEX(スコア表[],MATCH($C43,スコア表['#],0),MATCH(BQ$5,スコア表[#Headers],0))
-
INDEX(スコア表2[],MATCH("average",スコア表2[maxmin],0),MATCH(BQ$5,スコア表2[#Headers],0)))
/
INDEX(スコア表2[],MATCH("stdev.p",スコア表2[maxmin],0),MATCH(BQ$5,スコア表2[#Headers],0))
*10+50,"-")</f>
        <v>50.365333181242768</v>
      </c>
      <c r="BR43" s="4">
        <f>IFERROR(
(INDEX(スコア表[],MATCH($C43,スコア表['#],0),MATCH(BR$5,スコア表[#Headers],0))
-
INDEX(スコア表2[],MATCH("average",スコア表2[maxmin],0),MATCH(BR$5,スコア表2[#Headers],0)))
/
INDEX(スコア表2[],MATCH("stdev.p",スコア表2[maxmin],0),MATCH(BR$5,スコア表2[#Headers],0))
*10+50,"-")</f>
        <v>52.013798216766752</v>
      </c>
      <c r="BS43" s="4">
        <f>IFERROR(
(INDEX(スコア表[],MATCH($C43,スコア表['#],0),MATCH(BS$5,スコア表[#Headers],0))
-
INDEX(スコア表2[],MATCH("average",スコア表2[maxmin],0),MATCH(BS$5,スコア表2[#Headers],0)))
/
INDEX(スコア表2[],MATCH("stdev.p",スコア表2[maxmin],0),MATCH(BS$5,スコア表2[#Headers],0))
*10+50,"-")</f>
        <v>52.203685131993119</v>
      </c>
      <c r="BT43" s="4">
        <f>IFERROR(
(INDEX(スコア表[],MATCH($C43,スコア表['#],0),MATCH(BT$5,スコア表[#Headers],0))
-
INDEX(スコア表2[],MATCH("average",スコア表2[maxmin],0),MATCH(BT$5,スコア表2[#Headers],0)))
/
INDEX(スコア表2[],MATCH("stdev.p",スコア表2[maxmin],0),MATCH(BT$5,スコア表2[#Headers],0))
*10+50,"-")</f>
        <v>43.085115038416632</v>
      </c>
      <c r="BU43" s="4">
        <f>IFERROR(
(INDEX(スコア表[],MATCH($C43,スコア表['#],0),MATCH(BU$5,スコア表[#Headers],0))
-
INDEX(スコア表2[],MATCH("average",スコア表2[maxmin],0),MATCH(BU$5,スコア表2[#Headers],0)))
/
INDEX(スコア表2[],MATCH("stdev.p",スコア表2[maxmin],0),MATCH(BU$5,スコア表2[#Headers],0))
*10+50,"-")</f>
        <v>39.083901291370104</v>
      </c>
      <c r="BV43" s="4">
        <f>IFERROR(
(INDEX(スコア表[],MATCH($C43,スコア表['#],0),MATCH(BV$5,スコア表[#Headers],0))
-
INDEX(スコア表2[],MATCH("average",スコア表2[maxmin],0),MATCH(BV$5,スコア表2[#Headers],0)))
/
INDEX(スコア表2[],MATCH("stdev.p",スコア表2[maxmin],0),MATCH(BV$5,スコア表2[#Headers],0))
*10+50,"-")</f>
        <v>43.246344830002947</v>
      </c>
      <c r="BW43" s="4">
        <f>IFERROR(
(INDEX(スコア表[],MATCH($C43,スコア表['#],0),MATCH(BW$5,スコア表[#Headers],0))
-
INDEX(スコア表2[],MATCH("average",スコア表2[maxmin],0),MATCH(BW$5,スコア表2[#Headers],0)))
/
INDEX(スコア表2[],MATCH("stdev.p",スコア表2[maxmin],0),MATCH(BW$5,スコア表2[#Headers],0))
*10+50,"-")</f>
        <v>40.690347841659445</v>
      </c>
      <c r="BX43" s="4">
        <f>IFERROR(
(INDEX(スコア表[],MATCH($C43,スコア表['#],0),MATCH(BX$5,スコア表[#Headers],0))
-
INDEX(スコア表2[],MATCH("average",スコア表2[maxmin],0),MATCH(BX$5,スコア表2[#Headers],0)))
/
INDEX(スコア表2[],MATCH("stdev.p",スコア表2[maxmin],0),MATCH(BX$5,スコア表2[#Headers],0))
*10+50,"-")</f>
        <v>48.718744534220072</v>
      </c>
      <c r="BY43" s="4">
        <f>IFERROR(
(INDEX(スコア表[],MATCH($C43,スコア表['#],0),MATCH(BY$5,スコア表[#Headers],0))
-
INDEX(スコア表2[],MATCH("average",スコア表2[maxmin],0),MATCH(BY$5,スコア表2[#Headers],0)))
/
INDEX(スコア表2[],MATCH("stdev.p",スコア表2[maxmin],0),MATCH(BY$5,スコア表2[#Headers],0))
*10+50,"-")</f>
        <v>48.188135296634982</v>
      </c>
      <c r="BZ43" s="4">
        <f>IFERROR(
(INDEX(スコア表[],MATCH($C43,スコア表['#],0),MATCH(BZ$5,スコア表[#Headers],0))
-
INDEX(スコア表2[],MATCH("average",スコア表2[maxmin],0),MATCH(BZ$5,スコア表2[#Headers],0)))
/
INDEX(スコア表2[],MATCH("stdev.p",スコア表2[maxmin],0),MATCH(BZ$5,スコア表2[#Headers],0))
*10+50,"-")</f>
        <v>41.502444392334894</v>
      </c>
      <c r="CA43" s="4">
        <f>IFERROR(
(INDEX(スコア表[],MATCH($C43,スコア表['#],0),MATCH(CA$5,スコア表[#Headers],0))
-
INDEX(スコア表2[],MATCH("average",スコア表2[maxmin],0),MATCH(CA$5,スコア表2[#Headers],0)))
/
INDEX(スコア表2[],MATCH("stdev.p",スコア表2[maxmin],0),MATCH(CA$5,スコア表2[#Headers],0))
*10+50,"-")</f>
        <v>41.235279540838526</v>
      </c>
      <c r="CB43" s="4">
        <f>IFERROR(
(INDEX(スコア表[],MATCH($C43,スコア表['#],0),MATCH(CB$5,スコア表[#Headers],0))
-
INDEX(スコア表2[],MATCH("average",スコア表2[maxmin],0),MATCH(CB$5,スコア表2[#Headers],0)))
/
INDEX(スコア表2[],MATCH("stdev.p",スコア表2[maxmin],0),MATCH(CB$5,スコア表2[#Headers],0))
*10+50,"-")</f>
        <v>46.471259846297848</v>
      </c>
      <c r="CC43" s="4">
        <f>IFERROR(
(INDEX(スコア表[],MATCH($C43,スコア表['#],0),MATCH(CC$5,スコア表[#Headers],0))
-
INDEX(スコア表2[],MATCH("average",スコア表2[maxmin],0),MATCH(CC$5,スコア表2[#Headers],0)))
/
INDEX(スコア表2[],MATCH("stdev.p",スコア表2[maxmin],0),MATCH(CC$5,スコア表2[#Headers],0))
*10+50,"-")</f>
        <v>47.944911366313939</v>
      </c>
      <c r="CD43" s="4">
        <f>IFERROR(
(INDEX(スコア表[],MATCH($C43,スコア表['#],0),MATCH(CD$5,スコア表[#Headers],0))
-
INDEX(スコア表2[],MATCH("average",スコア表2[maxmin],0),MATCH(CD$5,スコア表2[#Headers],0)))
/
INDEX(スコア表2[],MATCH("stdev.p",スコア表2[maxmin],0),MATCH(CD$5,スコア表2[#Headers],0))
*10+50,"-")</f>
        <v>44.075789174593524</v>
      </c>
      <c r="CE43" s="4">
        <f>IFERROR(
(INDEX(スコア表[],MATCH($C43,スコア表['#],0),MATCH(CE$5,スコア表[#Headers],0))
-
INDEX(スコア表2[],MATCH("average",スコア表2[maxmin],0),MATCH(CE$5,スコア表2[#Headers],0)))
/
INDEX(スコア表2[],MATCH("stdev.p",スコア表2[maxmin],0),MATCH(CE$5,スコア表2[#Headers],0))
*10+50,"-")</f>
        <v>55.560204880482274</v>
      </c>
      <c r="CF43" s="4">
        <f>IFERROR(
(INDEX(スコア表[],MATCH($C43,スコア表['#],0),MATCH(CF$5,スコア表[#Headers],0))
-
INDEX(スコア表2[],MATCH("average",スコア表2[maxmin],0),MATCH(CF$5,スコア表2[#Headers],0)))
/
INDEX(スコア表2[],MATCH("stdev.p",スコア表2[maxmin],0),MATCH(CF$5,スコア表2[#Headers],0))
*10+50,"-")</f>
        <v>43.299268878913765</v>
      </c>
      <c r="CG43" s="4">
        <f>IFERROR(
(INDEX(スコア表[],MATCH($C43,スコア表['#],0),MATCH(CG$5,スコア表[#Headers],0))
-
INDEX(スコア表2[],MATCH("average",スコア表2[maxmin],0),MATCH(CG$5,スコア表2[#Headers],0)))
/
INDEX(スコア表2[],MATCH("stdev.p",スコア表2[maxmin],0),MATCH(CG$5,スコア表2[#Headers],0))
*10+50,"-")</f>
        <v>37.026450895197165</v>
      </c>
      <c r="CH43" s="4">
        <f>IFERROR(
(INDEX(スコア表[],MATCH($C43,スコア表['#],0),MATCH(CH$5,スコア表[#Headers],0))
-
INDEX(スコア表2[],MATCH("average",スコア表2[maxmin],0),MATCH(CH$5,スコア表2[#Headers],0)))
/
INDEX(スコア表2[],MATCH("stdev.p",スコア表2[maxmin],0),MATCH(CH$5,スコア表2[#Headers],0))
*10+50,"-")</f>
        <v>42.36546560907793</v>
      </c>
      <c r="CI43" s="4">
        <f>IFERROR(
(INDEX(スコア表[],MATCH($C43,スコア表['#],0),MATCH(CI$5,スコア表[#Headers],0))
-
INDEX(スコア表2[],MATCH("average",スコア表2[maxmin],0),MATCH(CI$5,スコア表2[#Headers],0)))
/
INDEX(スコア表2[],MATCH("stdev.p",スコア表2[maxmin],0),MATCH(CI$5,スコア表2[#Headers],0))
*10+50,"-")</f>
        <v>42.853614836142867</v>
      </c>
      <c r="CJ43" s="4">
        <f>IFERROR(
(INDEX(スコア表[],MATCH($C43,スコア表['#],0),MATCH(CJ$5,スコア表[#Headers],0))
-
INDEX(スコア表2[],MATCH("average",スコア表2[maxmin],0),MATCH(CJ$5,スコア表2[#Headers],0)))
/
INDEX(スコア表2[],MATCH("stdev.p",スコア表2[maxmin],0),MATCH(CJ$5,スコア表2[#Headers],0))
*10+50,"-")</f>
        <v>48.267443677422882</v>
      </c>
      <c r="CK43" s="4">
        <f>IFERROR(
(INDEX(スコア表[],MATCH($C43,スコア表['#],0),MATCH(CK$5,スコア表[#Headers],0))
-
INDEX(スコア表2[],MATCH("average",スコア表2[maxmin],0),MATCH(CK$5,スコア表2[#Headers],0)))
/
INDEX(スコア表2[],MATCH("stdev.p",スコア表2[maxmin],0),MATCH(CK$5,スコア表2[#Headers],0))
*10+50,"-")</f>
        <v>42.881810079416908</v>
      </c>
      <c r="CL43" s="4">
        <f>IFERROR(
(INDEX(スコア表[],MATCH($C43,スコア表['#],0),MATCH(CL$5,スコア表[#Headers],0))
-
INDEX(スコア表2[],MATCH("average",スコア表2[maxmin],0),MATCH(CL$5,スコア表2[#Headers],0)))
/
INDEX(スコア表2[],MATCH("stdev.p",スコア表2[maxmin],0),MATCH(CL$5,スコア表2[#Headers],0))
*10+50,"-")</f>
        <v>75.179426389551466</v>
      </c>
      <c r="CM43" s="4">
        <f>IFERROR(
(INDEX(スコア表[],MATCH($C43,スコア表['#],0),MATCH(CM$5,スコア表[#Headers],0))
-
INDEX(スコア表2[],MATCH("average",スコア表2[maxmin],0),MATCH(CM$5,スコア表2[#Headers],0)))
/
INDEX(スコア表2[],MATCH("stdev.p",スコア表2[maxmin],0),MATCH(CM$5,スコア表2[#Headers],0))
*10+50,"-")</f>
        <v>57.545433263914859</v>
      </c>
      <c r="CN43" s="4">
        <f>IFERROR(
(INDEX(スコア表[],MATCH($C43,スコア表['#],0),MATCH(CN$5,スコア表[#Headers],0))
-
INDEX(スコア表2[],MATCH("average",スコア表2[maxmin],0),MATCH(CN$5,スコア表2[#Headers],0)))
/
INDEX(スコア表2[],MATCH("stdev.p",スコア表2[maxmin],0),MATCH(CN$5,スコア表2[#Headers],0))
*10+50,"-")</f>
        <v>59.743703660076847</v>
      </c>
      <c r="CO43" s="4">
        <f>IFERROR(
(INDEX(スコア表[],MATCH($C43,スコア表['#],0),MATCH(CO$5,スコア表[#Headers],0))
-
INDEX(スコア表2[],MATCH("average",スコア表2[maxmin],0),MATCH(CO$5,スコア表2[#Headers],0)))
/
INDEX(スコア表2[],MATCH("stdev.p",スコア表2[maxmin],0),MATCH(CO$5,スコア表2[#Headers],0))
*10+50,"-")</f>
        <v>61.611482649072755</v>
      </c>
      <c r="CP43" s="4">
        <f>IFERROR(
(INDEX(スコア表[],MATCH($C43,スコア表['#],0),MATCH(CP$5,スコア表[#Headers],0))
-
INDEX(スコア表2[],MATCH("average",スコア表2[maxmin],0),MATCH(CP$5,スコア表2[#Headers],0)))
/
INDEX(スコア表2[],MATCH("stdev.p",スコア表2[maxmin],0),MATCH(CP$5,スコア表2[#Headers],0))
*10+50,"-")</f>
        <v>55.456557897046878</v>
      </c>
      <c r="CQ43" s="4">
        <f>IFERROR(
(INDEX(スコア表[],MATCH($C43,スコア表['#],0),MATCH(CQ$5,スコア表[#Headers],0))
-
INDEX(スコア表2[],MATCH("average",スコア表2[maxmin],0),MATCH(CQ$5,スコア表2[#Headers],0)))
/
INDEX(スコア表2[],MATCH("stdev.p",スコア表2[maxmin],0),MATCH(CQ$5,スコア表2[#Headers],0))
*10+50,"-")</f>
        <v>44.886972503831011</v>
      </c>
      <c r="CR43" s="4">
        <f>IFERROR(
(INDEX(スコア表[],MATCH($C43,スコア表['#],0),MATCH(CR$5,スコア表[#Headers],0))
-
INDEX(スコア表2[],MATCH("average",スコア表2[maxmin],0),MATCH(CR$5,スコア表2[#Headers],0)))
/
INDEX(スコア表2[],MATCH("stdev.p",スコア表2[maxmin],0),MATCH(CR$5,スコア表2[#Headers],0))
*10+50,"-")</f>
        <v>33.67707492893021</v>
      </c>
      <c r="CS43" s="4">
        <f>IFERROR(
(INDEX(スコア表[],MATCH($C43,スコア表['#],0),MATCH(CS$5,スコア表[#Headers],0))
-
INDEX(スコア表2[],MATCH("average",スコア表2[maxmin],0),MATCH(CS$5,スコア表2[#Headers],0)))
/
INDEX(スコア表2[],MATCH("stdev.p",スコア表2[maxmin],0),MATCH(CS$5,スコア表2[#Headers],0))
*10+50,"-")</f>
        <v>52.113075468508477</v>
      </c>
      <c r="CT43" s="4">
        <f>IFERROR(
(INDEX(スコア表[],MATCH($C43,スコア表['#],0),MATCH(CT$5,スコア表[#Headers],0))
-
INDEX(スコア表2[],MATCH("average",スコア表2[maxmin],0),MATCH(CT$5,スコア表2[#Headers],0)))
/
INDEX(スコア表2[],MATCH("stdev.p",スコア表2[maxmin],0),MATCH(CT$5,スコア表2[#Headers],0))
*10+50,"-")</f>
        <v>34.506205932191577</v>
      </c>
      <c r="CU43" s="4">
        <f>IFERROR(
(INDEX(スコア表[],MATCH($C43,スコア表['#],0),MATCH(CU$5,スコア表[#Headers],0))
-
INDEX(スコア表2[],MATCH("average",スコア表2[maxmin],0),MATCH(CU$5,スコア表2[#Headers],0)))
/
INDEX(スコア表2[],MATCH("stdev.p",スコア表2[maxmin],0),MATCH(CU$5,スコア表2[#Headers],0))
*10+50,"-")</f>
        <v>40.270816102774191</v>
      </c>
      <c r="CV43" s="4">
        <f>IFERROR(
(INDEX(スコア表[],MATCH($C43,スコア表['#],0),MATCH(CV$5,スコア表[#Headers],0))
-
INDEX(スコア表2[],MATCH("average",スコア表2[maxmin],0),MATCH(CV$5,スコア表2[#Headers],0)))
/
INDEX(スコア表2[],MATCH("stdev.p",スコア表2[maxmin],0),MATCH(CV$5,スコア表2[#Headers],0))
*10+50,"-")</f>
        <v>50.067332961644397</v>
      </c>
      <c r="CW43" s="4">
        <f>IFERROR(
(INDEX(スコア表[],MATCH($C43,スコア表['#],0),MATCH(CW$5,スコア表[#Headers],0))
-
INDEX(スコア表2[],MATCH("average",スコア表2[maxmin],0),MATCH(CW$5,スコア表2[#Headers],0)))
/
INDEX(スコア表2[],MATCH("stdev.p",スコア表2[maxmin],0),MATCH(CW$5,スコア表2[#Headers],0))
*10+50,"-")</f>
        <v>52.13297005639901</v>
      </c>
      <c r="CX43" s="4">
        <f>IFERROR(
(INDEX(スコア表[],MATCH($C43,スコア表['#],0),MATCH(CX$5,スコア表[#Headers],0))
-
INDEX(スコア表2[],MATCH("average",スコア表2[maxmin],0),MATCH(CX$5,スコア表2[#Headers],0)))
/
INDEX(スコア表2[],MATCH("stdev.p",スコア表2[maxmin],0),MATCH(CX$5,スコア表2[#Headers],0))
*10+50,"-")</f>
        <v>36.306719995506327</v>
      </c>
      <c r="CY43" s="4">
        <f>IFERROR(
(INDEX(スコア表[],MATCH($C43,スコア表['#],0),MATCH(CY$5,スコア表[#Headers],0))
-
INDEX(スコア表2[],MATCH("average",スコア表2[maxmin],0),MATCH(CY$5,スコア表2[#Headers],0)))
/
INDEX(スコア表2[],MATCH("stdev.p",スコア表2[maxmin],0),MATCH(CY$5,スコア表2[#Headers],0))
*10+50,"-")</f>
        <v>42.678555937717249</v>
      </c>
      <c r="CZ43" s="4">
        <f>IFERROR(
(INDEX(スコア表[],MATCH($C43,スコア表['#],0),MATCH(CZ$5,スコア表[#Headers],0))
-
INDEX(スコア表2[],MATCH("average",スコア表2[maxmin],0),MATCH(CZ$5,スコア表2[#Headers],0)))
/
INDEX(スコア表2[],MATCH("stdev.p",スコア表2[maxmin],0),MATCH(CZ$5,スコア表2[#Headers],0))
*10+50,"-")</f>
        <v>43.763660540251976</v>
      </c>
      <c r="DA43" s="4">
        <f>IFERROR(
(INDEX(スコア表[],MATCH($C43,スコア表['#],0),MATCH(DA$5,スコア表[#Headers],0))
-
INDEX(スコア表2[],MATCH("average",スコア表2[maxmin],0),MATCH(DA$5,スコア表2[#Headers],0)))
/
INDEX(スコア表2[],MATCH("stdev.p",スコア表2[maxmin],0),MATCH(DA$5,スコア表2[#Headers],0))
*10+50,"-")</f>
        <v>40.748895532250053</v>
      </c>
      <c r="DB43" s="4">
        <f>IFERROR(
(INDEX(スコア表[],MATCH($C43,スコア表['#],0),MATCH(DB$5,スコア表[#Headers],0))
-
INDEX(スコア表2[],MATCH("average",スコア表2[maxmin],0),MATCH(DB$5,スコア表2[#Headers],0)))
/
INDEX(スコア表2[],MATCH("stdev.p",スコア表2[maxmin],0),MATCH(DB$5,スコア表2[#Headers],0))
*10+50,"-")</f>
        <v>55.278711900608791</v>
      </c>
      <c r="DC43" s="4">
        <f>IFERROR(
(INDEX(スコア表[],MATCH($C43,スコア表['#],0),MATCH(DC$5,スコア表[#Headers],0))
-
INDEX(スコア表2[],MATCH("average",スコア表2[maxmin],0),MATCH(DC$5,スコア表2[#Headers],0)))
/
INDEX(スコア表2[],MATCH("stdev.p",スコア表2[maxmin],0),MATCH(DC$5,スコア表2[#Headers],0))
*10+50,"-")</f>
        <v>53.398157386715141</v>
      </c>
      <c r="DD43" s="4">
        <f>IFERROR(
(INDEX(スコア表[],MATCH($C43,スコア表['#],0),MATCH(DD$5,スコア表[#Headers],0))
-
INDEX(スコア表2[],MATCH("average",スコア表2[maxmin],0),MATCH(DD$5,スコア表2[#Headers],0)))
/
INDEX(スコア表2[],MATCH("stdev.p",スコア表2[maxmin],0),MATCH(DD$5,スコア表2[#Headers],0))
*10+50,"-")</f>
        <v>39.101657255746062</v>
      </c>
      <c r="DE43" s="4">
        <f>IFERROR(
(INDEX(スコア表[],MATCH($C43,スコア表['#],0),MATCH(DE$5,スコア表[#Headers],0))
-
INDEX(スコア表2[],MATCH("average",スコア表2[maxmin],0),MATCH(DE$5,スコア表2[#Headers],0)))
/
INDEX(スコア表2[],MATCH("stdev.p",スコア表2[maxmin],0),MATCH(DE$5,スコア表2[#Headers],0))
*10+50,"-")</f>
        <v>43.111402490395655</v>
      </c>
      <c r="DF43" s="76">
        <f>IFERROR(
(INDEX(スコア表[],MATCH($C43,スコア表['#],0),MATCH(DF$5,スコア表[#Headers],0))
-
INDEX(スコア表2[],MATCH("average",スコア表2[maxmin],0),MATCH(DF$5,スコア表2[#Headers],0)))
/
INDEX(スコア表2[],MATCH("stdev.p",スコア表2[maxmin],0),MATCH(DF$5,スコア表2[#Headers],0))
*10+50,"-")</f>
        <v>44.642365892023861</v>
      </c>
      <c r="DG43" s="4">
        <f>IFERROR(_xlfn.STDEV.P(偏差値表[[#This Row],[Economy]:[Accessibility]]),"")</f>
        <v>6.1816147262824472</v>
      </c>
    </row>
    <row r="44" spans="1:111">
      <c r="A44" s="2">
        <v>39</v>
      </c>
      <c r="B44" s="58">
        <f>INDEX(順位表[Comprehensive],MATCH($C44,順位表['#],0))</f>
        <v>39</v>
      </c>
      <c r="C44" s="3">
        <v>40</v>
      </c>
      <c r="D44" s="1" t="str">
        <f>INDEX(都市マスタ[City Name],MATCH($C44,都市マスタ['#],0))</f>
        <v>Sao Paulo</v>
      </c>
      <c r="E44" s="4">
        <f>IFERROR(
(INDEX(スコア表[],MATCH($C44,スコア表['#],0),MATCH(E$5,スコア表[#Headers],0))
-
INDEX(スコア表2[],MATCH("average",スコア表2[maxmin],0),MATCH(E$5,スコア表2[#Headers],0)))
/
INDEX(スコア表2[],MATCH("stdev.p",スコア表2[maxmin],0),MATCH(E$5,スコア表2[#Headers],0))
*10+50,"-")</f>
        <v>62.58579945840426</v>
      </c>
      <c r="F44" s="4">
        <f>IFERROR(
(INDEX(スコア表[],MATCH($C44,スコア表['#],0),MATCH(F$5,スコア表[#Headers],0))
-
INDEX(スコア表2[],MATCH("average",スコア表2[maxmin],0),MATCH(F$5,スコア表2[#Headers],0)))
/
INDEX(スコア表2[],MATCH("stdev.p",スコア表2[maxmin],0),MATCH(F$5,スコア表2[#Headers],0))
*10+50,"-")</f>
        <v>49.446097222279967</v>
      </c>
      <c r="G44" s="4">
        <f>IFERROR(
(INDEX(スコア表[],MATCH($C44,スコア表['#],0),MATCH(G$5,スコア表[#Headers],0))
-
INDEX(スコア表2[],MATCH("average",スコア表2[maxmin],0),MATCH(G$5,スコア表2[#Headers],0)))
/
INDEX(スコア表2[],MATCH("stdev.p",スコア表2[maxmin],0),MATCH(G$5,スコア表2[#Headers],0))
*10+50,"-")</f>
        <v>48.352350273311195</v>
      </c>
      <c r="H44" s="4">
        <f>IFERROR(
(INDEX(スコア表[],MATCH($C44,スコア表['#],0),MATCH(H$5,スコア表[#Headers],0))
-
INDEX(スコア表2[],MATCH("average",スコア表2[maxmin],0),MATCH(H$5,スコア表2[#Headers],0)))
/
INDEX(スコア表2[],MATCH("stdev.p",スコア表2[maxmin],0),MATCH(H$5,スコア表2[#Headers],0))
*10+50,"-")</f>
        <v>47.225112421421997</v>
      </c>
      <c r="I44" s="4">
        <f>IFERROR(
(INDEX(スコア表[],MATCH($C44,スコア表['#],0),MATCH(I$5,スコア表[#Headers],0))
-
INDEX(スコア表2[],MATCH("average",スコア表2[maxmin],0),MATCH(I$5,スコア表2[#Headers],0)))
/
INDEX(スコア表2[],MATCH("stdev.p",スコア表2[maxmin],0),MATCH(I$5,スコア表2[#Headers],0))
*10+50,"-")</f>
        <v>39.241015523757667</v>
      </c>
      <c r="J44" s="4">
        <f>IFERROR(
(INDEX(スコア表[],MATCH($C44,スコア表['#],0),MATCH(J$5,スコア表[#Headers],0))
-
INDEX(スコア表2[],MATCH("average",スコア表2[maxmin],0),MATCH(J$5,スコア表2[#Headers],0)))
/
INDEX(スコア表2[],MATCH("stdev.p",スコア表2[maxmin],0),MATCH(J$5,スコア表2[#Headers],0))
*10+50,"-")</f>
        <v>43.141208506479359</v>
      </c>
      <c r="K44" s="4">
        <f>IFERROR(
(INDEX(スコア表[],MATCH($C44,スコア表['#],0),MATCH(K$5,スコア表[#Headers],0))
-
INDEX(スコア表2[],MATCH("average",スコア表2[maxmin],0),MATCH(K$5,スコア表2[#Headers],0)))
/
INDEX(スコア表2[],MATCH("stdev.p",スコア表2[maxmin],0),MATCH(K$5,スコア表2[#Headers],0))
*10+50,"-")</f>
        <v>35.582322186822211</v>
      </c>
      <c r="L44" s="4">
        <f>IFERROR(
(INDEX(スコア表[],MATCH($C44,スコア表['#],0),MATCH(L$5,スコア表[#Headers],0))
-
INDEX(スコア表2[],MATCH("average",スコア表2[maxmin],0),MATCH(L$5,スコア表2[#Headers],0)))
/
INDEX(スコア表2[],MATCH("stdev.p",スコア表2[maxmin],0),MATCH(L$5,スコア表2[#Headers],0))
*10+50,"-")</f>
        <v>48.200349019416521</v>
      </c>
      <c r="M44" s="4">
        <f>IFERROR(
(INDEX(スコア表[],MATCH($C44,スコア表['#],0),MATCH(M$5,スコア表[#Headers],0))
-
INDEX(スコア表2[],MATCH("average",スコア表2[maxmin],0),MATCH(M$5,スコア表2[#Headers],0)))
/
INDEX(スコア表2[],MATCH("stdev.p",スコア表2[maxmin],0),MATCH(M$5,スコア表2[#Headers],0))
*10+50,"-")</f>
        <v>48.41683359341004</v>
      </c>
      <c r="N44" s="4">
        <f>IFERROR(
(INDEX(スコア表[],MATCH($C44,スコア表['#],0),MATCH(N$5,スコア表[#Headers],0))
-
INDEX(スコア表2[],MATCH("average",スコア表2[maxmin],0),MATCH(N$5,スコア表2[#Headers],0)))
/
INDEX(スコア表2[],MATCH("stdev.p",スコア表2[maxmin],0),MATCH(N$5,スコア表2[#Headers],0))
*10+50,"-")</f>
        <v>60.125108865607224</v>
      </c>
      <c r="O44" s="4">
        <f>IFERROR(
(INDEX(スコア表[],MATCH($C44,スコア表['#],0),MATCH(O$5,スコア表[#Headers],0))
-
INDEX(スコア表2[],MATCH("average",スコア表2[maxmin],0),MATCH(O$5,スコア表2[#Headers],0)))
/
INDEX(スコア表2[],MATCH("stdev.p",スコア表2[maxmin],0),MATCH(O$5,スコア表2[#Headers],0))
*10+50,"-")</f>
        <v>59.828444931604771</v>
      </c>
      <c r="P44" s="4">
        <f>IFERROR(
(INDEX(スコア表[],MATCH($C44,スコア表['#],0),MATCH(P$5,スコア表[#Headers],0))
-
INDEX(スコア表2[],MATCH("average",スコア表2[maxmin],0),MATCH(P$5,スコア表2[#Headers],0)))
/
INDEX(スコア表2[],MATCH("stdev.p",スコア表2[maxmin],0),MATCH(P$5,スコア表2[#Headers],0))
*10+50,"-")</f>
        <v>35.573513704415809</v>
      </c>
      <c r="Q44" s="4">
        <f>IFERROR(
(INDEX(スコア表[],MATCH($C44,スコア表['#],0),MATCH(Q$5,スコア表[#Headers],0))
-
INDEX(スコア表2[],MATCH("average",スコア表2[maxmin],0),MATCH(Q$5,スコア表2[#Headers],0)))
/
INDEX(スコア表2[],MATCH("stdev.p",スコア表2[maxmin],0),MATCH(Q$5,スコア表2[#Headers],0))
*10+50,"-")</f>
        <v>39.500147343531566</v>
      </c>
      <c r="R44" s="4">
        <f>IFERROR(
(INDEX(スコア表[],MATCH($C44,スコア表['#],0),MATCH(R$5,スコア表[#Headers],0))
-
INDEX(スコア表2[],MATCH("average",スコア表2[maxmin],0),MATCH(R$5,スコア表2[#Headers],0)))
/
INDEX(スコア表2[],MATCH("stdev.p",スコア表2[maxmin],0),MATCH(R$5,スコア表2[#Headers],0))
*10+50,"-")</f>
        <v>51.460559477962121</v>
      </c>
      <c r="S44" s="4">
        <f>IFERROR(
(INDEX(スコア表[],MATCH($C44,スコア表['#],0),MATCH(S$5,スコア表[#Headers],0))
-
INDEX(スコア表2[],MATCH("average",スコア表2[maxmin],0),MATCH(S$5,スコア表2[#Headers],0)))
/
INDEX(スコア表2[],MATCH("stdev.p",スコア表2[maxmin],0),MATCH(S$5,スコア表2[#Headers],0))
*10+50,"-")</f>
        <v>34.109598608375748</v>
      </c>
      <c r="T44" s="4">
        <f>IFERROR(
(INDEX(スコア表[],MATCH($C44,スコア表['#],0),MATCH(T$5,スコア表[#Headers],0))
-
INDEX(スコア表2[],MATCH("average",スコア表2[maxmin],0),MATCH(T$5,スコア表2[#Headers],0)))
/
INDEX(スコア表2[],MATCH("stdev.p",スコア表2[maxmin],0),MATCH(T$5,スコア表2[#Headers],0))
*10+50,"-")</f>
        <v>27.266102258520757</v>
      </c>
      <c r="U44" s="4">
        <f>IFERROR(
(INDEX(スコア表[],MATCH($C44,スコア表['#],0),MATCH(U$5,スコア表[#Headers],0))
-
INDEX(スコア表2[],MATCH("average",スコア表2[maxmin],0),MATCH(U$5,スコア表2[#Headers],0)))
/
INDEX(スコア表2[],MATCH("stdev.p",スコア表2[maxmin],0),MATCH(U$5,スコア表2[#Headers],0))
*10+50,"-")</f>
        <v>48.365174438673122</v>
      </c>
      <c r="V44" s="4">
        <f>IFERROR(
(INDEX(スコア表[],MATCH($C44,スコア表['#],0),MATCH(V$5,スコア表[#Headers],0))
-
INDEX(スコア表2[],MATCH("average",スコア表2[maxmin],0),MATCH(V$5,スコア表2[#Headers],0)))
/
INDEX(スコア表2[],MATCH("stdev.p",スコア表2[maxmin],0),MATCH(V$5,スコア表2[#Headers],0))
*10+50,"-")</f>
        <v>40.542821395368904</v>
      </c>
      <c r="W44" s="4">
        <f>IFERROR(
(INDEX(スコア表[],MATCH($C44,スコア表['#],0),MATCH(W$5,スコア表[#Headers],0))
-
INDEX(スコア表2[],MATCH("average",スコア表2[maxmin],0),MATCH(W$5,スコア表2[#Headers],0)))
/
INDEX(スコア表2[],MATCH("stdev.p",スコア表2[maxmin],0),MATCH(W$5,スコア表2[#Headers],0))
*10+50,"-")</f>
        <v>44.501410776390394</v>
      </c>
      <c r="X44" s="4">
        <f>IFERROR(
(INDEX(スコア表[],MATCH($C44,スコア表['#],0),MATCH(X$5,スコア表[#Headers],0))
-
INDEX(スコア表2[],MATCH("average",スコア表2[maxmin],0),MATCH(X$5,スコア表2[#Headers],0)))
/
INDEX(スコア表2[],MATCH("stdev.p",スコア表2[maxmin],0),MATCH(X$5,スコア表2[#Headers],0))
*10+50,"-")</f>
        <v>42.404946123930792</v>
      </c>
      <c r="Y44" s="4">
        <f>IFERROR(
(INDEX(スコア表[],MATCH($C44,スコア表['#],0),MATCH(Y$5,スコア表[#Headers],0))
-
INDEX(スコア表2[],MATCH("average",スコア表2[maxmin],0),MATCH(Y$5,スコア表2[#Headers],0)))
/
INDEX(スコア表2[],MATCH("stdev.p",スコア表2[maxmin],0),MATCH(Y$5,スコア表2[#Headers],0))
*10+50,"-")</f>
        <v>34.457370224602215</v>
      </c>
      <c r="Z44" s="4">
        <f>IFERROR(
(INDEX(スコア表[],MATCH($C44,スコア表['#],0),MATCH(Z$5,スコア表[#Headers],0))
-
INDEX(スコア表2[],MATCH("average",スコア表2[maxmin],0),MATCH(Z$5,スコア表2[#Headers],0)))
/
INDEX(スコア表2[],MATCH("stdev.p",スコア表2[maxmin],0),MATCH(Z$5,スコア表2[#Headers],0))
*10+50,"-")</f>
        <v>44.865661101942642</v>
      </c>
      <c r="AA44" s="4">
        <f>IFERROR(
(INDEX(スコア表[],MATCH($C44,スコア表['#],0),MATCH(AA$5,スコア表[#Headers],0))
-
INDEX(スコア表2[],MATCH("average",スコア表2[maxmin],0),MATCH(AA$5,スコア表2[#Headers],0)))
/
INDEX(スコア表2[],MATCH("stdev.p",スコア表2[maxmin],0),MATCH(AA$5,スコア表2[#Headers],0))
*10+50,"-")</f>
        <v>44.664612103409482</v>
      </c>
      <c r="AB44" s="4">
        <f>IFERROR(
(INDEX(スコア表[],MATCH($C44,スコア表['#],0),MATCH(AB$5,スコア表[#Headers],0))
-
INDEX(スコア表2[],MATCH("average",スコア表2[maxmin],0),MATCH(AB$5,スコア表2[#Headers],0)))
/
INDEX(スコア表2[],MATCH("stdev.p",スコア表2[maxmin],0),MATCH(AB$5,スコア表2[#Headers],0))
*10+50,"-")</f>
        <v>48.580115756928507</v>
      </c>
      <c r="AC44" s="4">
        <f>IFERROR(
(INDEX(スコア表[],MATCH($C44,スコア表['#],0),MATCH(AC$5,スコア表[#Headers],0))
-
INDEX(スコア表2[],MATCH("average",スコア表2[maxmin],0),MATCH(AC$5,スコア表2[#Headers],0)))
/
INDEX(スコア表2[],MATCH("stdev.p",スコア表2[maxmin],0),MATCH(AC$5,スコア表2[#Headers],0))
*10+50,"-")</f>
        <v>44.161906063191957</v>
      </c>
      <c r="AD44" s="4">
        <f>IFERROR(
(INDEX(スコア表[],MATCH($C44,スコア表['#],0),MATCH(AD$5,スコア表[#Headers],0))
-
INDEX(スコア表2[],MATCH("average",スコア表2[maxmin],0),MATCH(AD$5,スコア表2[#Headers],0)))
/
INDEX(スコア表2[],MATCH("stdev.p",スコア表2[maxmin],0),MATCH(AD$5,スコア表2[#Headers],0))
*10+50,"-")</f>
        <v>58.800523709176282</v>
      </c>
      <c r="AE44" s="4">
        <f>IFERROR(
(INDEX(スコア表[],MATCH($C44,スコア表['#],0),MATCH(AE$5,スコア表[#Headers],0))
-
INDEX(スコア表2[],MATCH("average",スコア表2[maxmin],0),MATCH(AE$5,スコア表2[#Headers],0)))
/
INDEX(スコア表2[],MATCH("stdev.p",スコア表2[maxmin],0),MATCH(AE$5,スコア表2[#Headers],0))
*10+50,"-")</f>
        <v>44.398563942042898</v>
      </c>
      <c r="AF44" s="4">
        <f>IFERROR(
(INDEX(スコア表[],MATCH($C44,スコア表['#],0),MATCH(AF$5,スコア表[#Headers],0))
-
INDEX(スコア表2[],MATCH("average",スコア表2[maxmin],0),MATCH(AF$5,スコア表2[#Headers],0)))
/
INDEX(スコア表2[],MATCH("stdev.p",スコア表2[maxmin],0),MATCH(AF$5,スコア表2[#Headers],0))
*10+50,"-")</f>
        <v>47.150838647069307</v>
      </c>
      <c r="AG44" s="4">
        <f>IFERROR(
(INDEX(スコア表[],MATCH($C44,スコア表['#],0),MATCH(AG$5,スコア表[#Headers],0))
-
INDEX(スコア表2[],MATCH("average",スコア表2[maxmin],0),MATCH(AG$5,スコア表2[#Headers],0)))
/
INDEX(スコア表2[],MATCH("stdev.p",スコア表2[maxmin],0),MATCH(AG$5,スコア表2[#Headers],0))
*10+50,"-")</f>
        <v>59.104136228512587</v>
      </c>
      <c r="AH44" s="4">
        <f>IFERROR(
(INDEX(スコア表[],MATCH($C44,スコア表['#],0),MATCH(AH$5,スコア表[#Headers],0))
-
INDEX(スコア表2[],MATCH("average",スコア表2[maxmin],0),MATCH(AH$5,スコア表2[#Headers],0)))
/
INDEX(スコア表2[],MATCH("stdev.p",スコア表2[maxmin],0),MATCH(AH$5,スコア表2[#Headers],0))
*10+50,"-")</f>
        <v>40.910160095405388</v>
      </c>
      <c r="AI44" s="4">
        <f>IFERROR(
(INDEX(スコア表[],MATCH($C44,スコア表['#],0),MATCH(AI$5,スコア表[#Headers],0))
-
INDEX(スコア表2[],MATCH("average",スコア表2[maxmin],0),MATCH(AI$5,スコア表2[#Headers],0)))
/
INDEX(スコア表2[],MATCH("stdev.p",スコア表2[maxmin],0),MATCH(AI$5,スコア表2[#Headers],0))
*10+50,"-")</f>
        <v>67.430855490740129</v>
      </c>
      <c r="AJ44" s="4">
        <f>IFERROR(
(INDEX(スコア表[],MATCH($C44,スコア表['#],0),MATCH(AJ$5,スコア表[#Headers],0))
-
INDEX(スコア表2[],MATCH("average",スコア表2[maxmin],0),MATCH(AJ$5,スコア表2[#Headers],0)))
/
INDEX(スコア表2[],MATCH("stdev.p",スコア表2[maxmin],0),MATCH(AJ$5,スコア表2[#Headers],0))
*10+50,"-")</f>
        <v>60.301325299884283</v>
      </c>
      <c r="AK44" s="4">
        <f>IFERROR(
(INDEX(スコア表[],MATCH($C44,スコア表['#],0),MATCH(AK$5,スコア表[#Headers],0))
-
INDEX(スコア表2[],MATCH("average",スコア表2[maxmin],0),MATCH(AK$5,スコア表2[#Headers],0)))
/
INDEX(スコア表2[],MATCH("stdev.p",スコア表2[maxmin],0),MATCH(AK$5,スコア表2[#Headers],0))
*10+50,"-")</f>
        <v>48.466794561848658</v>
      </c>
      <c r="AL44" s="4">
        <f>IFERROR(
(INDEX(スコア表[],MATCH($C44,スコア表['#],0),MATCH(AL$5,スコア表[#Headers],0))
-
INDEX(スコア表2[],MATCH("average",スコア表2[maxmin],0),MATCH(AL$5,スコア表2[#Headers],0)))
/
INDEX(スコア表2[],MATCH("stdev.p",スコア表2[maxmin],0),MATCH(AL$5,スコア表2[#Headers],0))
*10+50,"-")</f>
        <v>57.22644943360423</v>
      </c>
      <c r="AM44" s="4">
        <f>IFERROR(
(INDEX(スコア表[],MATCH($C44,スコア表['#],0),MATCH(AM$5,スコア表[#Headers],0))
-
INDEX(スコア表2[],MATCH("average",スコア表2[maxmin],0),MATCH(AM$5,スコア表2[#Headers],0)))
/
INDEX(スコア表2[],MATCH("stdev.p",スコア表2[maxmin],0),MATCH(AM$5,スコア表2[#Headers],0))
*10+50,"-")</f>
        <v>45.733692748679928</v>
      </c>
      <c r="AN44" s="4">
        <f>IFERROR(
(INDEX(スコア表[],MATCH($C44,スコア表['#],0),MATCH(AN$5,スコア表[#Headers],0))
-
INDEX(スコア表2[],MATCH("average",スコア表2[maxmin],0),MATCH(AN$5,スコア表2[#Headers],0)))
/
INDEX(スコア表2[],MATCH("stdev.p",スコア表2[maxmin],0),MATCH(AN$5,スコア表2[#Headers],0))
*10+50,"-")</f>
        <v>42.74456186793028</v>
      </c>
      <c r="AO44" s="4">
        <f>IFERROR(
(INDEX(スコア表[],MATCH($C44,スコア表['#],0),MATCH(AO$5,スコア表[#Headers],0))
-
INDEX(スコア表2[],MATCH("average",スコア表2[maxmin],0),MATCH(AO$5,スコア表2[#Headers],0)))
/
INDEX(スコア表2[],MATCH("stdev.p",スコア表2[maxmin],0),MATCH(AO$5,スコア表2[#Headers],0))
*10+50,"-")</f>
        <v>60.906018330140157</v>
      </c>
      <c r="AP44" s="4">
        <f>IFERROR(
(INDEX(スコア表[],MATCH($C44,スコア表['#],0),MATCH(AP$5,スコア表[#Headers],0))
-
INDEX(スコア表2[],MATCH("average",スコア表2[maxmin],0),MATCH(AP$5,スコア表2[#Headers],0)))
/
INDEX(スコア表2[],MATCH("stdev.p",スコア表2[maxmin],0),MATCH(AP$5,スコア表2[#Headers],0))
*10+50,"-")</f>
        <v>61.726676791387888</v>
      </c>
      <c r="AQ44" s="4">
        <f>IFERROR(
(INDEX(スコア表[],MATCH($C44,スコア表['#],0),MATCH(AQ$5,スコア表[#Headers],0))
-
INDEX(スコア表2[],MATCH("average",スコア表2[maxmin],0),MATCH(AQ$5,スコア表2[#Headers],0)))
/
INDEX(スコア表2[],MATCH("stdev.p",スコア表2[maxmin],0),MATCH(AQ$5,スコア表2[#Headers],0))
*10+50,"-")</f>
        <v>50.551018078160098</v>
      </c>
      <c r="AR44" s="4">
        <f>IFERROR(
(INDEX(スコア表[],MATCH($C44,スコア表['#],0),MATCH(AR$5,スコア表[#Headers],0))
-
INDEX(スコア表2[],MATCH("average",スコア表2[maxmin],0),MATCH(AR$5,スコア表2[#Headers],0)))
/
INDEX(スコア表2[],MATCH("stdev.p",スコア表2[maxmin],0),MATCH(AR$5,スコア表2[#Headers],0))
*10+50,"-")</f>
        <v>45.429532719896898</v>
      </c>
      <c r="AS44" s="4">
        <f>IFERROR(
(INDEX(スコア表[],MATCH($C44,スコア表['#],0),MATCH(AS$5,スコア表[#Headers],0))
-
INDEX(スコア表2[],MATCH("average",スコア表2[maxmin],0),MATCH(AS$5,スコア表2[#Headers],0)))
/
INDEX(スコア表2[],MATCH("stdev.p",スコア表2[maxmin],0),MATCH(AS$5,スコア表2[#Headers],0))
*10+50,"-")</f>
        <v>32.278439164739225</v>
      </c>
      <c r="AT44" s="4">
        <f>IFERROR(
(INDEX(スコア表[],MATCH($C44,スコア表['#],0),MATCH(AT$5,スコア表[#Headers],0))
-
INDEX(スコア表2[],MATCH("average",スコア表2[maxmin],0),MATCH(AT$5,スコア表2[#Headers],0)))
/
INDEX(スコア表2[],MATCH("stdev.p",スコア表2[maxmin],0),MATCH(AT$5,スコア表2[#Headers],0))
*10+50,"-")</f>
        <v>48.14512938519298</v>
      </c>
      <c r="AU44" s="4">
        <f>IFERROR(
(INDEX(スコア表[],MATCH($C44,スコア表['#],0),MATCH(AU$5,スコア表[#Headers],0))
-
INDEX(スコア表2[],MATCH("average",スコア表2[maxmin],0),MATCH(AU$5,スコア表2[#Headers],0)))
/
INDEX(スコア表2[],MATCH("stdev.p",スコア表2[maxmin],0),MATCH(AU$5,スコア表2[#Headers],0))
*10+50,"-")</f>
        <v>63.357306675818563</v>
      </c>
      <c r="AV44" s="4">
        <f>IFERROR(
(INDEX(スコア表[],MATCH($C44,スコア表['#],0),MATCH(AV$5,スコア表[#Headers],0))
-
INDEX(スコア表2[],MATCH("average",スコア表2[maxmin],0),MATCH(AV$5,スコア表2[#Headers],0)))
/
INDEX(スコア表2[],MATCH("stdev.p",スコア表2[maxmin],0),MATCH(AV$5,スコア表2[#Headers],0))
*10+50,"-")</f>
        <v>62.681100562277948</v>
      </c>
      <c r="AW44" s="4">
        <f>IFERROR(
(INDEX(スコア表[],MATCH($C44,スコア表['#],0),MATCH(AW$5,スコア表[#Headers],0))
-
INDEX(スコア表2[],MATCH("average",スコア表2[maxmin],0),MATCH(AW$5,スコア表2[#Headers],0)))
/
INDEX(スコア表2[],MATCH("stdev.p",スコア表2[maxmin],0),MATCH(AW$5,スコア表2[#Headers],0))
*10+50,"-")</f>
        <v>62.685940189754703</v>
      </c>
      <c r="AX44" s="4">
        <f>IFERROR(
(INDEX(スコア表[],MATCH($C44,スコア表['#],0),MATCH(AX$5,スコア表[#Headers],0))
-
INDEX(スコア表2[],MATCH("average",スコア表2[maxmin],0),MATCH(AX$5,スコア表2[#Headers],0)))
/
INDEX(スコア表2[],MATCH("stdev.p",スコア表2[maxmin],0),MATCH(AX$5,スコア表2[#Headers],0))
*10+50,"-")</f>
        <v>49.585608997555525</v>
      </c>
      <c r="AY44" s="4">
        <f>IFERROR(
(INDEX(スコア表[],MATCH($C44,スコア表['#],0),MATCH(AY$5,スコア表[#Headers],0))
-
INDEX(スコア表2[],MATCH("average",スコア表2[maxmin],0),MATCH(AY$5,スコア表2[#Headers],0)))
/
INDEX(スコア表2[],MATCH("stdev.p",スコア表2[maxmin],0),MATCH(AY$5,スコア表2[#Headers],0))
*10+50,"-")</f>
        <v>52.47333537423799</v>
      </c>
      <c r="AZ44" s="4">
        <f>IFERROR(
(INDEX(スコア表[],MATCH($C44,スコア表['#],0),MATCH(AZ$5,スコア表[#Headers],0))
-
INDEX(スコア表2[],MATCH("average",スコア表2[maxmin],0),MATCH(AZ$5,スコア表2[#Headers],0)))
/
INDEX(スコア表2[],MATCH("stdev.p",スコア表2[maxmin],0),MATCH(AZ$5,スコア表2[#Headers],0))
*10+50,"-")</f>
        <v>40.724624500956018</v>
      </c>
      <c r="BA44" s="4">
        <f>IFERROR(
(INDEX(スコア表[],MATCH($C44,スコア表['#],0),MATCH(BA$5,スコア表[#Headers],0))
-
INDEX(スコア表2[],MATCH("average",スコア表2[maxmin],0),MATCH(BA$5,スコア表2[#Headers],0)))
/
INDEX(スコア表2[],MATCH("stdev.p",スコア表2[maxmin],0),MATCH(BA$5,スコア表2[#Headers],0))
*10+50,"-")</f>
        <v>43.393369271132521</v>
      </c>
      <c r="BB44" s="4">
        <f>IFERROR(
(INDEX(スコア表[],MATCH($C44,スコア表['#],0),MATCH(BB$5,スコア表[#Headers],0))
-
INDEX(スコア表2[],MATCH("average",スコア表2[maxmin],0),MATCH(BB$5,スコア表2[#Headers],0)))
/
INDEX(スコア表2[],MATCH("stdev.p",スコア表2[maxmin],0),MATCH(BB$5,スコア表2[#Headers],0))
*10+50,"-")</f>
        <v>52.461756476950704</v>
      </c>
      <c r="BC44" s="4">
        <f>IFERROR(
(INDEX(スコア表[],MATCH($C44,スコア表['#],0),MATCH(BC$5,スコア表[#Headers],0))
-
INDEX(スコア表2[],MATCH("average",スコア表2[maxmin],0),MATCH(BC$5,スコア表2[#Headers],0)))
/
INDEX(スコア表2[],MATCH("stdev.p",スコア表2[maxmin],0),MATCH(BC$5,スコア表2[#Headers],0))
*10+50,"-")</f>
        <v>41.30089232483067</v>
      </c>
      <c r="BD44" s="4">
        <f>IFERROR(
(INDEX(スコア表[],MATCH($C44,スコア表['#],0),MATCH(BD$5,スコア表[#Headers],0))
-
INDEX(スコア表2[],MATCH("average",スコア表2[maxmin],0),MATCH(BD$5,スコア表2[#Headers],0)))
/
INDEX(スコア表2[],MATCH("stdev.p",スコア表2[maxmin],0),MATCH(BD$5,スコア表2[#Headers],0))
*10+50,"-")</f>
        <v>33.108916375521588</v>
      </c>
      <c r="BE44" s="4">
        <f>IFERROR(
(INDEX(スコア表[],MATCH($C44,スコア表['#],0),MATCH(BE$5,スコア表[#Headers],0))
-
INDEX(スコア表2[],MATCH("average",スコア表2[maxmin],0),MATCH(BE$5,スコア表2[#Headers],0)))
/
INDEX(スコア表2[],MATCH("stdev.p",スコア表2[maxmin],0),MATCH(BE$5,スコア表2[#Headers],0))
*10+50,"-")</f>
        <v>54.48374543669533</v>
      </c>
      <c r="BF44" s="4">
        <f>IFERROR(
(INDEX(スコア表[],MATCH($C44,スコア表['#],0),MATCH(BF$5,スコア表[#Headers],0))
-
INDEX(スコア表2[],MATCH("average",スコア表2[maxmin],0),MATCH(BF$5,スコア表2[#Headers],0)))
/
INDEX(スコア表2[],MATCH("stdev.p",スコア表2[maxmin],0),MATCH(BF$5,スコア表2[#Headers],0))
*10+50,"-")</f>
        <v>50.476258473092642</v>
      </c>
      <c r="BG44" s="4">
        <f>IFERROR(
(INDEX(スコア表[],MATCH($C44,スコア表['#],0),MATCH(BG$5,スコア表[#Headers],0))
-
INDEX(スコア表2[],MATCH("average",スコア表2[maxmin],0),MATCH(BG$5,スコア表2[#Headers],0)))
/
INDEX(スコア表2[],MATCH("stdev.p",スコア表2[maxmin],0),MATCH(BG$5,スコア表2[#Headers],0))
*10+50,"-")</f>
        <v>53.971185162463854</v>
      </c>
      <c r="BH44" s="4">
        <f>IFERROR(
(INDEX(スコア表[],MATCH($C44,スコア表['#],0),MATCH(BH$5,スコア表[#Headers],0))
-
INDEX(スコア表2[],MATCH("average",スコア表2[maxmin],0),MATCH(BH$5,スコア表2[#Headers],0)))
/
INDEX(スコア表2[],MATCH("stdev.p",スコア表2[maxmin],0),MATCH(BH$5,スコア表2[#Headers],0))
*10+50,"-")</f>
        <v>77.464919583989399</v>
      </c>
      <c r="BI44" s="4">
        <f>IFERROR(
(INDEX(スコア表[],MATCH($C44,スコア表['#],0),MATCH(BI$5,スコア表[#Headers],0))
-
INDEX(スコア表2[],MATCH("average",スコア表2[maxmin],0),MATCH(BI$5,スコア表2[#Headers],0)))
/
INDEX(スコア表2[],MATCH("stdev.p",スコア表2[maxmin],0),MATCH(BI$5,スコア表2[#Headers],0))
*10+50,"-")</f>
        <v>32.230934084044804</v>
      </c>
      <c r="BJ44" s="4">
        <f>IFERROR(
(INDEX(スコア表[],MATCH($C44,スコア表['#],0),MATCH(BJ$5,スコア表[#Headers],0))
-
INDEX(スコア表2[],MATCH("average",スコア表2[maxmin],0),MATCH(BJ$5,スコア表2[#Headers],0)))
/
INDEX(スコア表2[],MATCH("stdev.p",スコア表2[maxmin],0),MATCH(BJ$5,スコア表2[#Headers],0))
*10+50,"-")</f>
        <v>59.352198757964977</v>
      </c>
      <c r="BK44" s="4">
        <f>IFERROR(
(INDEX(スコア表[],MATCH($C44,スコア表['#],0),MATCH(BK$5,スコア表[#Headers],0))
-
INDEX(スコア表2[],MATCH("average",スコア表2[maxmin],0),MATCH(BK$5,スコア表2[#Headers],0)))
/
INDEX(スコア表2[],MATCH("stdev.p",スコア表2[maxmin],0),MATCH(BK$5,スコア表2[#Headers],0))
*10+50,"-")</f>
        <v>51.625289071031617</v>
      </c>
      <c r="BL44" s="4">
        <f>IFERROR(
(INDEX(スコア表[],MATCH($C44,スコア表['#],0),MATCH(BL$5,スコア表[#Headers],0))
-
INDEX(スコア表2[],MATCH("average",スコア表2[maxmin],0),MATCH(BL$5,スコア表2[#Headers],0)))
/
INDEX(スコア表2[],MATCH("stdev.p",スコア表2[maxmin],0),MATCH(BL$5,スコア表2[#Headers],0))
*10+50,"-")</f>
        <v>71.346214773985423</v>
      </c>
      <c r="BM44" s="4">
        <f>IFERROR(
(INDEX(スコア表[],MATCH($C44,スコア表['#],0),MATCH(BM$5,スコア表[#Headers],0))
-
INDEX(スコア表2[],MATCH("average",スコア表2[maxmin],0),MATCH(BM$5,スコア表2[#Headers],0)))
/
INDEX(スコア表2[],MATCH("stdev.p",スコア表2[maxmin],0),MATCH(BM$5,スコア表2[#Headers],0))
*10+50,"-")</f>
        <v>33.579333252983218</v>
      </c>
      <c r="BN44" s="4">
        <f>IFERROR(
(INDEX(スコア表[],MATCH($C44,スコア表['#],0),MATCH(BN$5,スコア表[#Headers],0))
-
INDEX(スコア表2[],MATCH("average",スコア表2[maxmin],0),MATCH(BN$5,スコア表2[#Headers],0)))
/
INDEX(スコア表2[],MATCH("stdev.p",スコア表2[maxmin],0),MATCH(BN$5,スコア表2[#Headers],0))
*10+50,"-")</f>
        <v>44.374035252789582</v>
      </c>
      <c r="BO44" s="4">
        <f>IFERROR(
(INDEX(スコア表[],MATCH($C44,スコア表['#],0),MATCH(BO$5,スコア表[#Headers],0))
-
INDEX(スコア表2[],MATCH("average",スコア表2[maxmin],0),MATCH(BO$5,スコア表2[#Headers],0)))
/
INDEX(スコア表2[],MATCH("stdev.p",スコア表2[maxmin],0),MATCH(BO$5,スコア表2[#Headers],0))
*10+50,"-")</f>
        <v>34.718794132674894</v>
      </c>
      <c r="BP44" s="4">
        <f>IFERROR(
(INDEX(スコア表[],MATCH($C44,スコア表['#],0),MATCH(BP$5,スコア表[#Headers],0))
-
INDEX(スコア表2[],MATCH("average",スコア表2[maxmin],0),MATCH(BP$5,スコア表2[#Headers],0)))
/
INDEX(スコア表2[],MATCH("stdev.p",スコア表2[maxmin],0),MATCH(BP$5,スコア表2[#Headers],0))
*10+50,"-")</f>
        <v>40.208143615892993</v>
      </c>
      <c r="BQ44" s="4">
        <f>IFERROR(
(INDEX(スコア表[],MATCH($C44,スコア表['#],0),MATCH(BQ$5,スコア表[#Headers],0))
-
INDEX(スコア表2[],MATCH("average",スコア表2[maxmin],0),MATCH(BQ$5,スコア表2[#Headers],0)))
/
INDEX(スコア表2[],MATCH("stdev.p",スコア表2[maxmin],0),MATCH(BQ$5,スコア表2[#Headers],0))
*10+50,"-")</f>
        <v>46.543327741114695</v>
      </c>
      <c r="BR44" s="4">
        <f>IFERROR(
(INDEX(スコア表[],MATCH($C44,スコア表['#],0),MATCH(BR$5,スコア表[#Headers],0))
-
INDEX(スコア表2[],MATCH("average",スコア表2[maxmin],0),MATCH(BR$5,スコア表2[#Headers],0)))
/
INDEX(スコア表2[],MATCH("stdev.p",スコア表2[maxmin],0),MATCH(BR$5,スコア表2[#Headers],0))
*10+50,"-")</f>
        <v>48.318688145831153</v>
      </c>
      <c r="BS44" s="4">
        <f>IFERROR(
(INDEX(スコア表[],MATCH($C44,スコア表['#],0),MATCH(BS$5,スコア表[#Headers],0))
-
INDEX(スコア表2[],MATCH("average",スコア表2[maxmin],0),MATCH(BS$5,スコア表2[#Headers],0)))
/
INDEX(スコア表2[],MATCH("stdev.p",スコア表2[maxmin],0),MATCH(BS$5,スコア表2[#Headers],0))
*10+50,"-")</f>
        <v>45.974132378658979</v>
      </c>
      <c r="BT44" s="4">
        <f>IFERROR(
(INDEX(スコア表[],MATCH($C44,スコア表['#],0),MATCH(BT$5,スコア表[#Headers],0))
-
INDEX(スコア表2[],MATCH("average",スコア表2[maxmin],0),MATCH(BT$5,スコア表2[#Headers],0)))
/
INDEX(スコア表2[],MATCH("stdev.p",スコア表2[maxmin],0),MATCH(BT$5,スコア表2[#Headers],0))
*10+50,"-")</f>
        <v>42.435899337335492</v>
      </c>
      <c r="BU44" s="4">
        <f>IFERROR(
(INDEX(スコア表[],MATCH($C44,スコア表['#],0),MATCH(BU$5,スコア表[#Headers],0))
-
INDEX(スコア表2[],MATCH("average",スコア表2[maxmin],0),MATCH(BU$5,スコア表2[#Headers],0)))
/
INDEX(スコア表2[],MATCH("stdev.p",スコア表2[maxmin],0),MATCH(BU$5,スコア表2[#Headers],0))
*10+50,"-")</f>
        <v>45.86058604531808</v>
      </c>
      <c r="BV44" s="4">
        <f>IFERROR(
(INDEX(スコア表[],MATCH($C44,スコア表['#],0),MATCH(BV$5,スコア表[#Headers],0))
-
INDEX(スコア表2[],MATCH("average",スコア表2[maxmin],0),MATCH(BV$5,スコア表2[#Headers],0)))
/
INDEX(スコア表2[],MATCH("stdev.p",スコア表2[maxmin],0),MATCH(BV$5,スコア表2[#Headers],0))
*10+50,"-")</f>
        <v>49.304732060795764</v>
      </c>
      <c r="BW44" s="4">
        <f>IFERROR(
(INDEX(スコア表[],MATCH($C44,スコア表['#],0),MATCH(BW$5,スコア表[#Headers],0))
-
INDEX(スコア表2[],MATCH("average",スコア表2[maxmin],0),MATCH(BW$5,スコア表2[#Headers],0)))
/
INDEX(スコア表2[],MATCH("stdev.p",スコア表2[maxmin],0),MATCH(BW$5,スコア表2[#Headers],0))
*10+50,"-")</f>
        <v>32.706217021379302</v>
      </c>
      <c r="BX44" s="4">
        <f>IFERROR(
(INDEX(スコア表[],MATCH($C44,スコア表['#],0),MATCH(BX$5,スコア表[#Headers],0))
-
INDEX(スコア表2[],MATCH("average",スコア表2[maxmin],0),MATCH(BX$5,スコア表2[#Headers],0)))
/
INDEX(スコア表2[],MATCH("stdev.p",スコア表2[maxmin],0),MATCH(BX$5,スコア表2[#Headers],0))
*10+50,"-")</f>
        <v>45.803445116191824</v>
      </c>
      <c r="BY44" s="4">
        <f>IFERROR(
(INDEX(スコア表[],MATCH($C44,スコア表['#],0),MATCH(BY$5,スコア表[#Headers],0))
-
INDEX(スコア表2[],MATCH("average",スコア表2[maxmin],0),MATCH(BY$5,スコア表2[#Headers],0)))
/
INDEX(スコア表2[],MATCH("stdev.p",スコア表2[maxmin],0),MATCH(BY$5,スコア表2[#Headers],0))
*10+50,"-")</f>
        <v>49.223773583696186</v>
      </c>
      <c r="BZ44" s="4">
        <f>IFERROR(
(INDEX(スコア表[],MATCH($C44,スコア表['#],0),MATCH(BZ$5,スコア表[#Headers],0))
-
INDEX(スコア表2[],MATCH("average",スコア表2[maxmin],0),MATCH(BZ$5,スコア表2[#Headers],0)))
/
INDEX(スコア表2[],MATCH("stdev.p",スコア表2[maxmin],0),MATCH(BZ$5,スコア表2[#Headers],0))
*10+50,"-")</f>
        <v>40.359197542501413</v>
      </c>
      <c r="CA44" s="4">
        <f>IFERROR(
(INDEX(スコア表[],MATCH($C44,スコア表['#],0),MATCH(CA$5,スコア表[#Headers],0))
-
INDEX(スコア表2[],MATCH("average",スコア表2[maxmin],0),MATCH(CA$5,スコア表2[#Headers],0)))
/
INDEX(スコア表2[],MATCH("stdev.p",スコア表2[maxmin],0),MATCH(CA$5,スコア表2[#Headers],0))
*10+50,"-")</f>
        <v>34.493992467065695</v>
      </c>
      <c r="CB44" s="4">
        <f>IFERROR(
(INDEX(スコア表[],MATCH($C44,スコア表['#],0),MATCH(CB$5,スコア表[#Headers],0))
-
INDEX(スコア表2[],MATCH("average",スコア表2[maxmin],0),MATCH(CB$5,スコア表2[#Headers],0)))
/
INDEX(スコア表2[],MATCH("stdev.p",スコア表2[maxmin],0),MATCH(CB$5,スコア表2[#Headers],0))
*10+50,"-")</f>
        <v>47.818644686367563</v>
      </c>
      <c r="CC44" s="4">
        <f>IFERROR(
(INDEX(スコア表[],MATCH($C44,スコア表['#],0),MATCH(CC$5,スコア表[#Headers],0))
-
INDEX(スコア表2[],MATCH("average",スコア表2[maxmin],0),MATCH(CC$5,スコア表2[#Headers],0)))
/
INDEX(スコア表2[],MATCH("stdev.p",スコア表2[maxmin],0),MATCH(CC$5,スコア表2[#Headers],0))
*10+50,"-")</f>
        <v>65.582744219550833</v>
      </c>
      <c r="CD44" s="4">
        <f>IFERROR(
(INDEX(スコア表[],MATCH($C44,スコア表['#],0),MATCH(CD$5,スコア表[#Headers],0))
-
INDEX(スコア表2[],MATCH("average",スコア表2[maxmin],0),MATCH(CD$5,スコア表2[#Headers],0)))
/
INDEX(スコア表2[],MATCH("stdev.p",スコア表2[maxmin],0),MATCH(CD$5,スコア表2[#Headers],0))
*10+50,"-")</f>
        <v>40.014499955832918</v>
      </c>
      <c r="CE44" s="4">
        <f>IFERROR(
(INDEX(スコア表[],MATCH($C44,スコア表['#],0),MATCH(CE$5,スコア表[#Headers],0))
-
INDEX(スコア表2[],MATCH("average",スコア表2[maxmin],0),MATCH(CE$5,スコア表2[#Headers],0)))
/
INDEX(スコア表2[],MATCH("stdev.p",スコア表2[maxmin],0),MATCH(CE$5,スコア表2[#Headers],0))
*10+50,"-")</f>
        <v>24.90836429912957</v>
      </c>
      <c r="CF44" s="4">
        <f>IFERROR(
(INDEX(スコア表[],MATCH($C44,スコア表['#],0),MATCH(CF$5,スコア表[#Headers],0))
-
INDEX(スコア表2[],MATCH("average",スコア表2[maxmin],0),MATCH(CF$5,スコア表2[#Headers],0)))
/
INDEX(スコア表2[],MATCH("stdev.p",スコア表2[maxmin],0),MATCH(CF$5,スコア表2[#Headers],0))
*10+50,"-")</f>
        <v>43.258958418714528</v>
      </c>
      <c r="CG44" s="4">
        <f>IFERROR(
(INDEX(スコア表[],MATCH($C44,スコア表['#],0),MATCH(CG$5,スコア表[#Headers],0))
-
INDEX(スコア表2[],MATCH("average",スコア表2[maxmin],0),MATCH(CG$5,スコア表2[#Headers],0)))
/
INDEX(スコア表2[],MATCH("stdev.p",スコア表2[maxmin],0),MATCH(CG$5,スコア表2[#Headers],0))
*10+50,"-")</f>
        <v>35.981384642167377</v>
      </c>
      <c r="CH44" s="4">
        <f>IFERROR(
(INDEX(スコア表[],MATCH($C44,スコア表['#],0),MATCH(CH$5,スコア表[#Headers],0))
-
INDEX(スコア表2[],MATCH("average",スコア表2[maxmin],0),MATCH(CH$5,スコア表2[#Headers],0)))
/
INDEX(スコア表2[],MATCH("stdev.p",スコア表2[maxmin],0),MATCH(CH$5,スコア表2[#Headers],0))
*10+50,"-")</f>
        <v>44.630803221530513</v>
      </c>
      <c r="CI44" s="4">
        <f>IFERROR(
(INDEX(スコア表[],MATCH($C44,スコア表['#],0),MATCH(CI$5,スコア表[#Headers],0))
-
INDEX(スコア表2[],MATCH("average",スコア表2[maxmin],0),MATCH(CI$5,スコア表2[#Headers],0)))
/
INDEX(スコア表2[],MATCH("stdev.p",スコア表2[maxmin],0),MATCH(CI$5,スコア表2[#Headers],0))
*10+50,"-")</f>
        <v>47.44885913657032</v>
      </c>
      <c r="CJ44" s="4">
        <f>IFERROR(
(INDEX(スコア表[],MATCH($C44,スコア表['#],0),MATCH(CJ$5,スコア表[#Headers],0))
-
INDEX(スコア表2[],MATCH("average",スコア表2[maxmin],0),MATCH(CJ$5,スコア表2[#Headers],0)))
/
INDEX(スコア表2[],MATCH("stdev.p",スコア表2[maxmin],0),MATCH(CJ$5,スコア表2[#Headers],0))
*10+50,"-")</f>
        <v>56.930039531533147</v>
      </c>
      <c r="CK44" s="4">
        <f>IFERROR(
(INDEX(スコア表[],MATCH($C44,スコア表['#],0),MATCH(CK$5,スコア表[#Headers],0))
-
INDEX(スコア表2[],MATCH("average",スコア表2[maxmin],0),MATCH(CK$5,スコア表2[#Headers],0)))
/
INDEX(スコア表2[],MATCH("stdev.p",スコア表2[maxmin],0),MATCH(CK$5,スコア表2[#Headers],0))
*10+50,"-")</f>
        <v>56.434262893757442</v>
      </c>
      <c r="CL44" s="4">
        <f>IFERROR(
(INDEX(スコア表[],MATCH($C44,スコア表['#],0),MATCH(CL$5,スコア表[#Headers],0))
-
INDEX(スコア表2[],MATCH("average",スコア表2[maxmin],0),MATCH(CL$5,スコア表2[#Headers],0)))
/
INDEX(スコア表2[],MATCH("stdev.p",スコア表2[maxmin],0),MATCH(CL$5,スコア表2[#Headers],0))
*10+50,"-")</f>
        <v>52.733828620797524</v>
      </c>
      <c r="CM44" s="4">
        <f>IFERROR(
(INDEX(スコア表[],MATCH($C44,スコア表['#],0),MATCH(CM$5,スコア表[#Headers],0))
-
INDEX(スコア表2[],MATCH("average",スコア表2[maxmin],0),MATCH(CM$5,スコア表2[#Headers],0)))
/
INDEX(スコア表2[],MATCH("stdev.p",スコア表2[maxmin],0),MATCH(CM$5,スコア表2[#Headers],0))
*10+50,"-")</f>
        <v>47.435410542781938</v>
      </c>
      <c r="CN44" s="4">
        <f>IFERROR(
(INDEX(スコア表[],MATCH($C44,スコア表['#],0),MATCH(CN$5,スコア表[#Headers],0))
-
INDEX(スコア表2[],MATCH("average",スコア表2[maxmin],0),MATCH(CN$5,スコア表2[#Headers],0)))
/
INDEX(スコア表2[],MATCH("stdev.p",スコア表2[maxmin],0),MATCH(CN$5,スコア表2[#Headers],0))
*10+50,"-")</f>
        <v>50.983732476544652</v>
      </c>
      <c r="CO44" s="4">
        <f>IFERROR(
(INDEX(スコア表[],MATCH($C44,スコア表['#],0),MATCH(CO$5,スコア表[#Headers],0))
-
INDEX(スコア表2[],MATCH("average",スコア表2[maxmin],0),MATCH(CO$5,スコア表2[#Headers],0)))
/
INDEX(スコア表2[],MATCH("stdev.p",スコア表2[maxmin],0),MATCH(CO$5,スコア表2[#Headers],0))
*10+50,"-")</f>
        <v>63.861732438121692</v>
      </c>
      <c r="CP44" s="4">
        <f>IFERROR(
(INDEX(スコア表[],MATCH($C44,スコア表['#],0),MATCH(CP$5,スコア表[#Headers],0))
-
INDEX(スコア表2[],MATCH("average",スコア表2[maxmin],0),MATCH(CP$5,スコア表2[#Headers],0)))
/
INDEX(スコア表2[],MATCH("stdev.p",スコア表2[maxmin],0),MATCH(CP$5,スコア表2[#Headers],0))
*10+50,"-")</f>
        <v>51.158141108298665</v>
      </c>
      <c r="CQ44" s="4">
        <f>IFERROR(
(INDEX(スコア表[],MATCH($C44,スコア表['#],0),MATCH(CQ$5,スコア表[#Headers],0))
-
INDEX(スコア表2[],MATCH("average",スコア表2[maxmin],0),MATCH(CQ$5,スコア表2[#Headers],0)))
/
INDEX(スコア表2[],MATCH("stdev.p",スコア表2[maxmin],0),MATCH(CQ$5,スコア表2[#Headers],0))
*10+50,"-")</f>
        <v>44.485943278332527</v>
      </c>
      <c r="CR44" s="4">
        <f>IFERROR(
(INDEX(スコア表[],MATCH($C44,スコア表['#],0),MATCH(CR$5,スコア表[#Headers],0))
-
INDEX(スコア表2[],MATCH("average",スコア表2[maxmin],0),MATCH(CR$5,スコア表2[#Headers],0)))
/
INDEX(スコア表2[],MATCH("stdev.p",スコア表2[maxmin],0),MATCH(CR$5,スコア表2[#Headers],0))
*10+50,"-")</f>
        <v>39.547484579039853</v>
      </c>
      <c r="CS44" s="4">
        <f>IFERROR(
(INDEX(スコア表[],MATCH($C44,スコア表['#],0),MATCH(CS$5,スコア表[#Headers],0))
-
INDEX(スコア表2[],MATCH("average",スコア表2[maxmin],0),MATCH(CS$5,スコア表2[#Headers],0)))
/
INDEX(スコア表2[],MATCH("stdev.p",スコア表2[maxmin],0),MATCH(CS$5,スコア表2[#Headers],0))
*10+50,"-")</f>
        <v>59.648873647555533</v>
      </c>
      <c r="CT44" s="4">
        <f>IFERROR(
(INDEX(スコア表[],MATCH($C44,スコア表['#],0),MATCH(CT$5,スコア表[#Headers],0))
-
INDEX(スコア表2[],MATCH("average",スコア表2[maxmin],0),MATCH(CT$5,スコア表2[#Headers],0)))
/
INDEX(スコア表2[],MATCH("stdev.p",スコア表2[maxmin],0),MATCH(CT$5,スコア表2[#Headers],0))
*10+50,"-")</f>
        <v>67.733417885185546</v>
      </c>
      <c r="CU44" s="4">
        <f>IFERROR(
(INDEX(スコア表[],MATCH($C44,スコア表['#],0),MATCH(CU$5,スコア表[#Headers],0))
-
INDEX(スコア表2[],MATCH("average",スコア表2[maxmin],0),MATCH(CU$5,スコア表2[#Headers],0)))
/
INDEX(スコア表2[],MATCH("stdev.p",スコア表2[maxmin],0),MATCH(CU$5,スコア表2[#Headers],0))
*10+50,"-")</f>
        <v>35.009898049832273</v>
      </c>
      <c r="CV44" s="4">
        <f>IFERROR(
(INDEX(スコア表[],MATCH($C44,スコア表['#],0),MATCH(CV$5,スコア表[#Headers],0))
-
INDEX(スコア表2[],MATCH("average",スコア表2[maxmin],0),MATCH(CV$5,スコア表2[#Headers],0)))
/
INDEX(スコア表2[],MATCH("stdev.p",スコア表2[maxmin],0),MATCH(CV$5,スコア表2[#Headers],0))
*10+50,"-")</f>
        <v>40.845010414496798</v>
      </c>
      <c r="CW44" s="4">
        <f>IFERROR(
(INDEX(スコア表[],MATCH($C44,スコア表['#],0),MATCH(CW$5,スコア表[#Headers],0))
-
INDEX(スコア表2[],MATCH("average",スコア表2[maxmin],0),MATCH(CW$5,スコア表2[#Headers],0)))
/
INDEX(スコア表2[],MATCH("stdev.p",スコア表2[maxmin],0),MATCH(CW$5,スコア表2[#Headers],0))
*10+50,"-")</f>
        <v>47.195997808883895</v>
      </c>
      <c r="CX44" s="4">
        <f>IFERROR(
(INDEX(スコア表[],MATCH($C44,スコア表['#],0),MATCH(CX$5,スコア表[#Headers],0))
-
INDEX(スコア表2[],MATCH("average",スコア表2[maxmin],0),MATCH(CX$5,スコア表2[#Headers],0)))
/
INDEX(スコア表2[],MATCH("stdev.p",スコア表2[maxmin],0),MATCH(CX$5,スコア表2[#Headers],0))
*10+50,"-")</f>
        <v>43.787870490093646</v>
      </c>
      <c r="CY44" s="4">
        <f>IFERROR(
(INDEX(スコア表[],MATCH($C44,スコア表['#],0),MATCH(CY$5,スコア表[#Headers],0))
-
INDEX(スコア表2[],MATCH("average",スコア表2[maxmin],0),MATCH(CY$5,スコア表2[#Headers],0)))
/
INDEX(スコア表2[],MATCH("stdev.p",スコア表2[maxmin],0),MATCH(CY$5,スコア表2[#Headers],0))
*10+50,"-")</f>
        <v>36.778188384684753</v>
      </c>
      <c r="CZ44" s="4">
        <f>IFERROR(
(INDEX(スコア表[],MATCH($C44,スコア表['#],0),MATCH(CZ$5,スコア表[#Headers],0))
-
INDEX(スコア表2[],MATCH("average",スコア表2[maxmin],0),MATCH(CZ$5,スコア表2[#Headers],0)))
/
INDEX(スコア表2[],MATCH("stdev.p",スコア表2[maxmin],0),MATCH(CZ$5,スコア表2[#Headers],0))
*10+50,"-")</f>
        <v>36.126853849851912</v>
      </c>
      <c r="DA44" s="4">
        <f>IFERROR(
(INDEX(スコア表[],MATCH($C44,スコア表['#],0),MATCH(DA$5,スコア表[#Headers],0))
-
INDEX(スコア表2[],MATCH("average",スコア表2[maxmin],0),MATCH(DA$5,スコア表2[#Headers],0)))
/
INDEX(スコア表2[],MATCH("stdev.p",スコア表2[maxmin],0),MATCH(DA$5,スコア表2[#Headers],0))
*10+50,"-")</f>
        <v>41.163388417534428</v>
      </c>
      <c r="DB44" s="4">
        <f>IFERROR(
(INDEX(スコア表[],MATCH($C44,スコア表['#],0),MATCH(DB$5,スコア表[#Headers],0))
-
INDEX(スコア表2[],MATCH("average",スコア表2[maxmin],0),MATCH(DB$5,スコア表2[#Headers],0)))
/
INDEX(スコア表2[],MATCH("stdev.p",スコア表2[maxmin],0),MATCH(DB$5,スコア表2[#Headers],0))
*10+50,"-")</f>
        <v>53.170101512901674</v>
      </c>
      <c r="DC44" s="4">
        <f>IFERROR(
(INDEX(スコア表[],MATCH($C44,スコア表['#],0),MATCH(DC$5,スコア表[#Headers],0))
-
INDEX(スコア表2[],MATCH("average",スコア表2[maxmin],0),MATCH(DC$5,スコア表2[#Headers],0)))
/
INDEX(スコア表2[],MATCH("stdev.p",スコア表2[maxmin],0),MATCH(DC$5,スコア表2[#Headers],0))
*10+50,"-")</f>
        <v>52.448073975391729</v>
      </c>
      <c r="DD44" s="4">
        <f>IFERROR(
(INDEX(スコア表[],MATCH($C44,スコア表['#],0),MATCH(DD$5,スコア表[#Headers],0))
-
INDEX(スコア表2[],MATCH("average",スコア表2[maxmin],0),MATCH(DD$5,スコア表2[#Headers],0)))
/
INDEX(スコア表2[],MATCH("stdev.p",スコア表2[maxmin],0),MATCH(DD$5,スコア表2[#Headers],0))
*10+50,"-")</f>
        <v>50.641738465304918</v>
      </c>
      <c r="DE44" s="4">
        <f>IFERROR(
(INDEX(スコア表[],MATCH($C44,スコア表['#],0),MATCH(DE$5,スコア表[#Headers],0))
-
INDEX(スコア表2[],MATCH("average",スコア表2[maxmin],0),MATCH(DE$5,スコア表2[#Headers],0)))
/
INDEX(スコア表2[],MATCH("stdev.p",スコア表2[maxmin],0),MATCH(DE$5,スコア表2[#Headers],0))
*10+50,"-")</f>
        <v>37.174838677851305</v>
      </c>
      <c r="DF44" s="76">
        <f>IFERROR(
(INDEX(スコア表[],MATCH($C44,スコア表['#],0),MATCH(DF$5,スコア表[#Headers],0))
-
INDEX(スコア表2[],MATCH("average",スコア表2[maxmin],0),MATCH(DF$5,スコア表2[#Headers],0)))
/
INDEX(スコア表2[],MATCH("stdev.p",スコア表2[maxmin],0),MATCH(DF$5,スコア表2[#Headers],0))
*10+50,"-")</f>
        <v>42.214589640522718</v>
      </c>
      <c r="DG44" s="4">
        <f>IFERROR(_xlfn.STDEV.P(偏差値表[[#This Row],[Economy]:[Accessibility]]),"")</f>
        <v>7.1723012974136315</v>
      </c>
    </row>
    <row r="45" spans="1:111">
      <c r="A45" s="2">
        <v>40</v>
      </c>
      <c r="B45" s="58">
        <f>INDEX(順位表[Comprehensive],MATCH($C45,順位表['#],0))</f>
        <v>40</v>
      </c>
      <c r="C45" s="3">
        <v>47</v>
      </c>
      <c r="D45" s="1" t="str">
        <f>INDEX(都市マスタ[City Name],MATCH($C45,都市マスタ['#],0))</f>
        <v>Tel Aviv</v>
      </c>
      <c r="E45" s="4">
        <f>IFERROR(
(INDEX(スコア表[],MATCH($C45,スコア表['#],0),MATCH(E$5,スコア表[#Headers],0))
-
INDEX(スコア表2[],MATCH("average",スコア表2[maxmin],0),MATCH(E$5,スコア表2[#Headers],0)))
/
INDEX(スコア表2[],MATCH("stdev.p",スコア表2[maxmin],0),MATCH(E$5,スコア表2[#Headers],0))
*10+50,"-")</f>
        <v>43.133894399207108</v>
      </c>
      <c r="F45" s="4">
        <f>IFERROR(
(INDEX(スコア表[],MATCH($C45,スコア表['#],0),MATCH(F$5,スコア表[#Headers],0))
-
INDEX(スコア表2[],MATCH("average",スコア表2[maxmin],0),MATCH(F$5,スコア表2[#Headers],0)))
/
INDEX(スコア表2[],MATCH("stdev.p",スコア表2[maxmin],0),MATCH(F$5,スコア表2[#Headers],0))
*10+50,"-")</f>
        <v>45.303362569133249</v>
      </c>
      <c r="G45" s="4">
        <f>IFERROR(
(INDEX(スコア表[],MATCH($C45,スコア表['#],0),MATCH(G$5,スコア表[#Headers],0))
-
INDEX(スコア表2[],MATCH("average",スコア表2[maxmin],0),MATCH(G$5,スコア表2[#Headers],0)))
/
INDEX(スコア表2[],MATCH("stdev.p",スコア表2[maxmin],0),MATCH(G$5,スコア表2[#Headers],0))
*10+50,"-")</f>
        <v>48.343849992594123</v>
      </c>
      <c r="H45" s="4">
        <f>IFERROR(
(INDEX(スコア表[],MATCH($C45,スコア表['#],0),MATCH(H$5,スコア表[#Headers],0))
-
INDEX(スコア表2[],MATCH("average",スコア表2[maxmin],0),MATCH(H$5,スコア表2[#Headers],0)))
/
INDEX(スコア表2[],MATCH("stdev.p",スコア表2[maxmin],0),MATCH(H$5,スコア表2[#Headers],0))
*10+50,"-")</f>
        <v>43.490518157943427</v>
      </c>
      <c r="I45" s="4">
        <f>IFERROR(
(INDEX(スコア表[],MATCH($C45,スコア表['#],0),MATCH(I$5,スコア表[#Headers],0))
-
INDEX(スコア表2[],MATCH("average",スコア表2[maxmin],0),MATCH(I$5,スコア表2[#Headers],0)))
/
INDEX(スコア表2[],MATCH("stdev.p",スコア表2[maxmin],0),MATCH(I$5,スコア表2[#Headers],0))
*10+50,"-")</f>
        <v>47.176494855059559</v>
      </c>
      <c r="J45" s="4">
        <f>IFERROR(
(INDEX(スコア表[],MATCH($C45,スコア表['#],0),MATCH(J$5,スコア表[#Headers],0))
-
INDEX(スコア表2[],MATCH("average",スコア表2[maxmin],0),MATCH(J$5,スコア表2[#Headers],0)))
/
INDEX(スコア表2[],MATCH("stdev.p",スコア表2[maxmin],0),MATCH(J$5,スコア表2[#Headers],0))
*10+50,"-")</f>
        <v>53.969110730573455</v>
      </c>
      <c r="K45" s="4">
        <f>IFERROR(
(INDEX(スコア表[],MATCH($C45,スコア表['#],0),MATCH(K$5,スコア表[#Headers],0))
-
INDEX(スコア表2[],MATCH("average",スコア表2[maxmin],0),MATCH(K$5,スコア表2[#Headers],0)))
/
INDEX(スコア表2[],MATCH("stdev.p",スコア表2[maxmin],0),MATCH(K$5,スコア表2[#Headers],0))
*10+50,"-")</f>
        <v>51.15438589477796</v>
      </c>
      <c r="L45" s="4">
        <f>IFERROR(
(INDEX(スコア表[],MATCH($C45,スコア表['#],0),MATCH(L$5,スコア表[#Headers],0))
-
INDEX(スコア表2[],MATCH("average",スコア表2[maxmin],0),MATCH(L$5,スコア表2[#Headers],0)))
/
INDEX(スコア表2[],MATCH("stdev.p",スコア表2[maxmin],0),MATCH(L$5,スコア表2[#Headers],0))
*10+50,"-")</f>
        <v>47.296095386201401</v>
      </c>
      <c r="M45" s="4">
        <f>IFERROR(
(INDEX(スコア表[],MATCH($C45,スコア表['#],0),MATCH(M$5,スコア表[#Headers],0))
-
INDEX(スコア表2[],MATCH("average",スコア表2[maxmin],0),MATCH(M$5,スコア表2[#Headers],0)))
/
INDEX(スコア表2[],MATCH("stdev.p",スコア表2[maxmin],0),MATCH(M$5,スコア表2[#Headers],0))
*10+50,"-")</f>
        <v>45.544318921595732</v>
      </c>
      <c r="N45" s="4">
        <f>IFERROR(
(INDEX(スコア表[],MATCH($C45,スコア表['#],0),MATCH(N$5,スコア表[#Headers],0))
-
INDEX(スコア表2[],MATCH("average",スコア表2[maxmin],0),MATCH(N$5,スコア表2[#Headers],0)))
/
INDEX(スコア表2[],MATCH("stdev.p",スコア表2[maxmin],0),MATCH(N$5,スコア表2[#Headers],0))
*10+50,"-")</f>
        <v>42.58102587309083</v>
      </c>
      <c r="O45" s="4">
        <f>IFERROR(
(INDEX(スコア表[],MATCH($C45,スコア表['#],0),MATCH(O$5,スコア表[#Headers],0))
-
INDEX(スコア表2[],MATCH("average",スコア表2[maxmin],0),MATCH(O$5,スコア表2[#Headers],0)))
/
INDEX(スコア表2[],MATCH("stdev.p",スコア表2[maxmin],0),MATCH(O$5,スコア表2[#Headers],0))
*10+50,"-")</f>
        <v>52.970200387237732</v>
      </c>
      <c r="P45" s="4">
        <f>IFERROR(
(INDEX(スコア表[],MATCH($C45,スコア表['#],0),MATCH(P$5,スコア表[#Headers],0))
-
INDEX(スコア表2[],MATCH("average",スコア表2[maxmin],0),MATCH(P$5,スコア表2[#Headers],0)))
/
INDEX(スコア表2[],MATCH("stdev.p",スコア表2[maxmin],0),MATCH(P$5,スコア表2[#Headers],0))
*10+50,"-")</f>
        <v>51.416535240426271</v>
      </c>
      <c r="Q45" s="4">
        <f>IFERROR(
(INDEX(スコア表[],MATCH($C45,スコア表['#],0),MATCH(Q$5,スコア表[#Headers],0))
-
INDEX(スコア表2[],MATCH("average",スコア表2[maxmin],0),MATCH(Q$5,スコア表2[#Headers],0)))
/
INDEX(スコア表2[],MATCH("stdev.p",スコア表2[maxmin],0),MATCH(Q$5,スコア表2[#Headers],0))
*10+50,"-")</f>
        <v>44.50741517755602</v>
      </c>
      <c r="R45" s="4">
        <f>IFERROR(
(INDEX(スコア表[],MATCH($C45,スコア表['#],0),MATCH(R$5,スコア表[#Headers],0))
-
INDEX(スコア表2[],MATCH("average",スコア表2[maxmin],0),MATCH(R$5,スコア表2[#Headers],0)))
/
INDEX(スコア表2[],MATCH("stdev.p",スコア表2[maxmin],0),MATCH(R$5,スコア表2[#Headers],0))
*10+50,"-")</f>
        <v>42.205909800906269</v>
      </c>
      <c r="S45" s="4">
        <f>IFERROR(
(INDEX(スコア表[],MATCH($C45,スコア表['#],0),MATCH(S$5,スコア表[#Headers],0))
-
INDEX(スコア表2[],MATCH("average",スコア表2[maxmin],0),MATCH(S$5,スコア表2[#Headers],0)))
/
INDEX(スコア表2[],MATCH("stdev.p",スコア表2[maxmin],0),MATCH(S$5,スコア表2[#Headers],0))
*10+50,"-")</f>
        <v>53.568023331986502</v>
      </c>
      <c r="T45" s="4">
        <f>IFERROR(
(INDEX(スコア表[],MATCH($C45,スコア表['#],0),MATCH(T$5,スコア表[#Headers],0))
-
INDEX(スコア表2[],MATCH("average",スコア表2[maxmin],0),MATCH(T$5,スコア表2[#Headers],0)))
/
INDEX(スコア表2[],MATCH("stdev.p",スコア表2[maxmin],0),MATCH(T$5,スコア表2[#Headers],0))
*10+50,"-")</f>
        <v>51.662754424799118</v>
      </c>
      <c r="U45" s="4">
        <f>IFERROR(
(INDEX(スコア表[],MATCH($C45,スコア表['#],0),MATCH(U$5,スコア表[#Headers],0))
-
INDEX(スコア表2[],MATCH("average",スコア表2[maxmin],0),MATCH(U$5,スコア表2[#Headers],0)))
/
INDEX(スコア表2[],MATCH("stdev.p",スコア表2[maxmin],0),MATCH(U$5,スコア表2[#Headers],0))
*10+50,"-")</f>
        <v>44.475371202808574</v>
      </c>
      <c r="V45" s="4">
        <f>IFERROR(
(INDEX(スコア表[],MATCH($C45,スコア表['#],0),MATCH(V$5,スコア表[#Headers],0))
-
INDEX(スコア表2[],MATCH("average",スコア表2[maxmin],0),MATCH(V$5,スコア表2[#Headers],0)))
/
INDEX(スコア表2[],MATCH("stdev.p",スコア表2[maxmin],0),MATCH(V$5,スコア表2[#Headers],0))
*10+50,"-")</f>
        <v>40.542821395368904</v>
      </c>
      <c r="W45" s="4">
        <f>IFERROR(
(INDEX(スコア表[],MATCH($C45,スコア表['#],0),MATCH(W$5,スコア表[#Headers],0))
-
INDEX(スコア表2[],MATCH("average",スコア表2[maxmin],0),MATCH(W$5,スコア表2[#Headers],0)))
/
INDEX(スコア表2[],MATCH("stdev.p",スコア表2[maxmin],0),MATCH(W$5,スコア表2[#Headers],0))
*10+50,"-")</f>
        <v>47.971094894337497</v>
      </c>
      <c r="X45" s="4">
        <f>IFERROR(
(INDEX(スコア表[],MATCH($C45,スコア表['#],0),MATCH(X$5,スコア表[#Headers],0))
-
INDEX(スコア表2[],MATCH("average",スコア表2[maxmin],0),MATCH(X$5,スコア表2[#Headers],0)))
/
INDEX(スコア表2[],MATCH("stdev.p",スコア表2[maxmin],0),MATCH(X$5,スコア表2[#Headers],0))
*10+50,"-")</f>
        <v>41.935554699703523</v>
      </c>
      <c r="Y45" s="4">
        <f>IFERROR(
(INDEX(スコア表[],MATCH($C45,スコア表['#],0),MATCH(Y$5,スコア表[#Headers],0))
-
INDEX(スコア表2[],MATCH("average",スコア表2[maxmin],0),MATCH(Y$5,スコア表2[#Headers],0)))
/
INDEX(スコア表2[],MATCH("stdev.p",スコア表2[maxmin],0),MATCH(Y$5,スコア表2[#Headers],0))
*10+50,"-")</f>
        <v>46.786864838129297</v>
      </c>
      <c r="Z45" s="4">
        <f>IFERROR(
(INDEX(スコア表[],MATCH($C45,スコア表['#],0),MATCH(Z$5,スコア表[#Headers],0))
-
INDEX(スコア表2[],MATCH("average",スコア表2[maxmin],0),MATCH(Z$5,スコア表2[#Headers],0)))
/
INDEX(スコア表2[],MATCH("stdev.p",スコア表2[maxmin],0),MATCH(Z$5,スコア表2[#Headers],0))
*10+50,"-")</f>
        <v>45.208569449676446</v>
      </c>
      <c r="AA45" s="4">
        <f>IFERROR(
(INDEX(スコア表[],MATCH($C45,スコア表['#],0),MATCH(AA$5,スコア表[#Headers],0))
-
INDEX(スコア表2[],MATCH("average",スコア表2[maxmin],0),MATCH(AA$5,スコア表2[#Headers],0)))
/
INDEX(スコア表2[],MATCH("stdev.p",スコア表2[maxmin],0),MATCH(AA$5,スコア表2[#Headers],0))
*10+50,"-")</f>
        <v>45.76509726810211</v>
      </c>
      <c r="AB45" s="4">
        <f>IFERROR(
(INDEX(スコア表[],MATCH($C45,スコア表['#],0),MATCH(AB$5,スコア表[#Headers],0))
-
INDEX(スコア表2[],MATCH("average",スコア表2[maxmin],0),MATCH(AB$5,スコア表2[#Headers],0)))
/
INDEX(スコア表2[],MATCH("stdev.p",スコア表2[maxmin],0),MATCH(AB$5,スコア表2[#Headers],0))
*10+50,"-")</f>
        <v>49.653414082422451</v>
      </c>
      <c r="AC45" s="4">
        <f>IFERROR(
(INDEX(スコア表[],MATCH($C45,スコア表['#],0),MATCH(AC$5,スコア表[#Headers],0))
-
INDEX(スコア表2[],MATCH("average",スコア表2[maxmin],0),MATCH(AC$5,スコア表2[#Headers],0)))
/
INDEX(スコア表2[],MATCH("stdev.p",スコア表2[maxmin],0),MATCH(AC$5,スコア表2[#Headers],0))
*10+50,"-")</f>
        <v>43.463430218284628</v>
      </c>
      <c r="AD45" s="4">
        <f>IFERROR(
(INDEX(スコア表[],MATCH($C45,スコア表['#],0),MATCH(AD$5,スコア表[#Headers],0))
-
INDEX(スコア表2[],MATCH("average",スコア表2[maxmin],0),MATCH(AD$5,スコア表2[#Headers],0)))
/
INDEX(スコア表2[],MATCH("stdev.p",スコア表2[maxmin],0),MATCH(AD$5,スコア表2[#Headers],0))
*10+50,"-")</f>
        <v>50.214789958064408</v>
      </c>
      <c r="AE45" s="4">
        <f>IFERROR(
(INDEX(スコア表[],MATCH($C45,スコア表['#],0),MATCH(AE$5,スコア表[#Headers],0))
-
INDEX(スコア表2[],MATCH("average",スコア表2[maxmin],0),MATCH(AE$5,スコア表2[#Headers],0)))
/
INDEX(スコア表2[],MATCH("stdev.p",スコア表2[maxmin],0),MATCH(AE$5,スコア表2[#Headers],0))
*10+50,"-")</f>
        <v>45.360130588138041</v>
      </c>
      <c r="AF45" s="4">
        <f>IFERROR(
(INDEX(スコア表[],MATCH($C45,スコア表['#],0),MATCH(AF$5,スコア表[#Headers],0))
-
INDEX(スコア表2[],MATCH("average",スコア表2[maxmin],0),MATCH(AF$5,スコア表2[#Headers],0)))
/
INDEX(スコア表2[],MATCH("stdev.p",スコア表2[maxmin],0),MATCH(AF$5,スコア表2[#Headers],0))
*10+50,"-")</f>
        <v>45.893151400273091</v>
      </c>
      <c r="AG45" s="4">
        <f>IFERROR(
(INDEX(スコア表[],MATCH($C45,スコア表['#],0),MATCH(AG$5,スコア表[#Headers],0))
-
INDEX(スコア表2[],MATCH("average",スコア表2[maxmin],0),MATCH(AG$5,スコア表2[#Headers],0)))
/
INDEX(スコア表2[],MATCH("stdev.p",スコア表2[maxmin],0),MATCH(AG$5,スコア表2[#Headers],0))
*10+50,"-")</f>
        <v>42.747749724724926</v>
      </c>
      <c r="AH45" s="4">
        <f>IFERROR(
(INDEX(スコア表[],MATCH($C45,スコア表['#],0),MATCH(AH$5,スコア表[#Headers],0))
-
INDEX(スコア表2[],MATCH("average",スコア表2[maxmin],0),MATCH(AH$5,スコア表2[#Headers],0)))
/
INDEX(スコア表2[],MATCH("stdev.p",スコア表2[maxmin],0),MATCH(AH$5,スコア表2[#Headers],0))
*10+50,"-")</f>
        <v>68.058481943794618</v>
      </c>
      <c r="AI45" s="4">
        <f>IFERROR(
(INDEX(スコア表[],MATCH($C45,スコア表['#],0),MATCH(AI$5,スコア表[#Headers],0))
-
INDEX(スコア表2[],MATCH("average",スコア表2[maxmin],0),MATCH(AI$5,スコア表2[#Headers],0)))
/
INDEX(スコア表2[],MATCH("stdev.p",スコア表2[maxmin],0),MATCH(AI$5,スコア表2[#Headers],0))
*10+50,"-")</f>
        <v>59.233299942899443</v>
      </c>
      <c r="AJ45" s="4">
        <f>IFERROR(
(INDEX(スコア表[],MATCH($C45,スコア表['#],0),MATCH(AJ$5,スコア表[#Headers],0))
-
INDEX(スコア表2[],MATCH("average",スコア表2[maxmin],0),MATCH(AJ$5,スコア表2[#Headers],0)))
/
INDEX(スコア表2[],MATCH("stdev.p",スコア表2[maxmin],0),MATCH(AJ$5,スコア表2[#Headers],0))
*10+50,"-")</f>
        <v>42.983785830602663</v>
      </c>
      <c r="AK45" s="4">
        <f>IFERROR(
(INDEX(スコア表[],MATCH($C45,スコア表['#],0),MATCH(AK$5,スコア表[#Headers],0))
-
INDEX(スコア表2[],MATCH("average",スコア表2[maxmin],0),MATCH(AK$5,スコア表2[#Headers],0)))
/
INDEX(スコア表2[],MATCH("stdev.p",スコア表2[maxmin],0),MATCH(AK$5,スコア表2[#Headers],0))
*10+50,"-")</f>
        <v>44.303909493379734</v>
      </c>
      <c r="AL45" s="4">
        <f>IFERROR(
(INDEX(スコア表[],MATCH($C45,スコア表['#],0),MATCH(AL$5,スコア表[#Headers],0))
-
INDEX(スコア表2[],MATCH("average",スコア表2[maxmin],0),MATCH(AL$5,スコア表2[#Headers],0)))
/
INDEX(スコア表2[],MATCH("stdev.p",スコア表2[maxmin],0),MATCH(AL$5,スコア表2[#Headers],0))
*10+50,"-")</f>
        <v>39.66343308860985</v>
      </c>
      <c r="AM45" s="4">
        <f>IFERROR(
(INDEX(スコア表[],MATCH($C45,スコア表['#],0),MATCH(AM$5,スコア表[#Headers],0))
-
INDEX(スコア表2[],MATCH("average",スコア表2[maxmin],0),MATCH(AM$5,スコア表2[#Headers],0)))
/
INDEX(スコア表2[],MATCH("stdev.p",スコア表2[maxmin],0),MATCH(AM$5,スコア表2[#Headers],0))
*10+50,"-")</f>
        <v>40.249044993111596</v>
      </c>
      <c r="AN45" s="4">
        <f>IFERROR(
(INDEX(スコア表[],MATCH($C45,スコア表['#],0),MATCH(AN$5,スコア表[#Headers],0))
-
INDEX(スコア表2[],MATCH("average",スコア表2[maxmin],0),MATCH(AN$5,スコア表2[#Headers],0)))
/
INDEX(スコア表2[],MATCH("stdev.p",スコア表2[maxmin],0),MATCH(AN$5,スコア表2[#Headers],0))
*10+50,"-")</f>
        <v>42.747169744361031</v>
      </c>
      <c r="AO45" s="4">
        <f>IFERROR(
(INDEX(スコア表[],MATCH($C45,スコア表['#],0),MATCH(AO$5,スコア表[#Headers],0))
-
INDEX(スコア表2[],MATCH("average",スコア表2[maxmin],0),MATCH(AO$5,スコア表2[#Headers],0)))
/
INDEX(スコア表2[],MATCH("stdev.p",スコア表2[maxmin],0),MATCH(AO$5,スコア表2[#Headers],0))
*10+50,"-")</f>
        <v>43.251316935895858</v>
      </c>
      <c r="AP45" s="4">
        <f>IFERROR(
(INDEX(スコア表[],MATCH($C45,スコア表['#],0),MATCH(AP$5,スコア表[#Headers],0))
-
INDEX(スコア表2[],MATCH("average",スコア表2[maxmin],0),MATCH(AP$5,スコア表2[#Headers],0)))
/
INDEX(スコア表2[],MATCH("stdev.p",スコア表2[maxmin],0),MATCH(AP$5,スコア表2[#Headers],0))
*10+50,"-")</f>
        <v>48.909473643801142</v>
      </c>
      <c r="AQ45" s="4">
        <f>IFERROR(
(INDEX(スコア表[],MATCH($C45,スコア表['#],0),MATCH(AQ$5,スコア表[#Headers],0))
-
INDEX(スコア表2[],MATCH("average",スコア表2[maxmin],0),MATCH(AQ$5,スコア表2[#Headers],0)))
/
INDEX(スコア表2[],MATCH("stdev.p",スコア表2[maxmin],0),MATCH(AQ$5,スコア表2[#Headers],0))
*10+50,"-")</f>
        <v>45.425693813208753</v>
      </c>
      <c r="AR45" s="4">
        <f>IFERROR(
(INDEX(スコア表[],MATCH($C45,スコア表['#],0),MATCH(AR$5,スコア表[#Headers],0))
-
INDEX(スコア表2[],MATCH("average",スコア表2[maxmin],0),MATCH(AR$5,スコア表2[#Headers],0)))
/
INDEX(スコア表2[],MATCH("stdev.p",スコア表2[maxmin],0),MATCH(AR$5,スコア表2[#Headers],0))
*10+50,"-")</f>
        <v>42.814673352256122</v>
      </c>
      <c r="AS45" s="4">
        <f>IFERROR(
(INDEX(スコア表[],MATCH($C45,スコア表['#],0),MATCH(AS$5,スコア表[#Headers],0))
-
INDEX(スコア表2[],MATCH("average",スコア表2[maxmin],0),MATCH(AS$5,スコア表2[#Headers],0)))
/
INDEX(スコア表2[],MATCH("stdev.p",スコア表2[maxmin],0),MATCH(AS$5,スコア表2[#Headers],0))
*10+50,"-")</f>
        <v>54.746916800212794</v>
      </c>
      <c r="AT45" s="4">
        <f>IFERROR(
(INDEX(スコア表[],MATCH($C45,スコア表['#],0),MATCH(AT$5,スコア表[#Headers],0))
-
INDEX(スコア表2[],MATCH("average",スコア表2[maxmin],0),MATCH(AT$5,スコア表2[#Headers],0)))
/
INDEX(スコア表2[],MATCH("stdev.p",スコア表2[maxmin],0),MATCH(AT$5,スコア表2[#Headers],0))
*10+50,"-")</f>
        <v>37.031243789649515</v>
      </c>
      <c r="AU45" s="4">
        <f>IFERROR(
(INDEX(スコア表[],MATCH($C45,スコア表['#],0),MATCH(AU$5,スコア表[#Headers],0))
-
INDEX(スコア表2[],MATCH("average",スコア表2[maxmin],0),MATCH(AU$5,スコア表2[#Headers],0)))
/
INDEX(スコア表2[],MATCH("stdev.p",スコア表2[maxmin],0),MATCH(AU$5,スコア表2[#Headers],0))
*10+50,"-")</f>
        <v>44.76131304047879</v>
      </c>
      <c r="AV45" s="4">
        <f>IFERROR(
(INDEX(スコア表[],MATCH($C45,スコア表['#],0),MATCH(AV$5,スコア表[#Headers],0))
-
INDEX(スコア表2[],MATCH("average",スコア表2[maxmin],0),MATCH(AV$5,スコア表2[#Headers],0)))
/
INDEX(スコア表2[],MATCH("stdev.p",スコア表2[maxmin],0),MATCH(AV$5,スコア表2[#Headers],0))
*10+50,"-")</f>
        <v>47.343267471976155</v>
      </c>
      <c r="AW45" s="4">
        <f>IFERROR(
(INDEX(スコア表[],MATCH($C45,スコア表['#],0),MATCH(AW$5,スコア表[#Headers],0))
-
INDEX(スコア表2[],MATCH("average",スコア表2[maxmin],0),MATCH(AW$5,スコア表2[#Headers],0)))
/
INDEX(スコア表2[],MATCH("stdev.p",スコア表2[maxmin],0),MATCH(AW$5,スコア表2[#Headers],0))
*10+50,"-")</f>
        <v>43.231002098583929</v>
      </c>
      <c r="AX45" s="4">
        <f>IFERROR(
(INDEX(スコア表[],MATCH($C45,スコア表['#],0),MATCH(AX$5,スコア表[#Headers],0))
-
INDEX(スコア表2[],MATCH("average",スコア表2[maxmin],0),MATCH(AX$5,スコア表2[#Headers],0)))
/
INDEX(スコア表2[],MATCH("stdev.p",スコア表2[maxmin],0),MATCH(AX$5,スコア表2[#Headers],0))
*10+50,"-")</f>
        <v>53.000261767886478</v>
      </c>
      <c r="AY45" s="4">
        <f>IFERROR(
(INDEX(スコア表[],MATCH($C45,スコア表['#],0),MATCH(AY$5,スコア表[#Headers],0))
-
INDEX(スコア表2[],MATCH("average",スコア表2[maxmin],0),MATCH(AY$5,スコア表2[#Headers],0)))
/
INDEX(スコア表2[],MATCH("stdev.p",スコア表2[maxmin],0),MATCH(AY$5,スコア表2[#Headers],0))
*10+50,"-")</f>
        <v>51.768765059909015</v>
      </c>
      <c r="AZ45" s="4">
        <f>IFERROR(
(INDEX(スコア表[],MATCH($C45,スコア表['#],0),MATCH(AZ$5,スコア表[#Headers],0))
-
INDEX(スコア表2[],MATCH("average",スコア表2[maxmin],0),MATCH(AZ$5,スコア表2[#Headers],0)))
/
INDEX(スコア表2[],MATCH("stdev.p",スコア表2[maxmin],0),MATCH(AZ$5,スコア表2[#Headers],0))
*10+50,"-")</f>
        <v>56.586148510209711</v>
      </c>
      <c r="BA45" s="4">
        <f>IFERROR(
(INDEX(スコア表[],MATCH($C45,スコア表['#],0),MATCH(BA$5,スコア表[#Headers],0))
-
INDEX(スコア表2[],MATCH("average",スコア表2[maxmin],0),MATCH(BA$5,スコア表2[#Headers],0)))
/
INDEX(スコア表2[],MATCH("stdev.p",スコア表2[maxmin],0),MATCH(BA$5,スコア表2[#Headers],0))
*10+50,"-")</f>
        <v>46.959845628011884</v>
      </c>
      <c r="BB45" s="4">
        <f>IFERROR(
(INDEX(スコア表[],MATCH($C45,スコア表['#],0),MATCH(BB$5,スコア表[#Headers],0))
-
INDEX(スコア表2[],MATCH("average",スコア表2[maxmin],0),MATCH(BB$5,スコア表2[#Headers],0)))
/
INDEX(スコア表2[],MATCH("stdev.p",スコア表2[maxmin],0),MATCH(BB$5,スコア表2[#Headers],0))
*10+50,"-")</f>
        <v>61.245528362695424</v>
      </c>
      <c r="BC45" s="4">
        <f>IFERROR(
(INDEX(スコア表[],MATCH($C45,スコア表['#],0),MATCH(BC$5,スコア表[#Headers],0))
-
INDEX(スコア表2[],MATCH("average",スコア表2[maxmin],0),MATCH(BC$5,スコア表2[#Headers],0)))
/
INDEX(スコア表2[],MATCH("stdev.p",スコア表2[maxmin],0),MATCH(BC$5,スコア表2[#Headers],0))
*10+50,"-")</f>
        <v>48.987614031367315</v>
      </c>
      <c r="BD45" s="4">
        <f>IFERROR(
(INDEX(スコア表[],MATCH($C45,スコア表['#],0),MATCH(BD$5,スコア表[#Headers],0))
-
INDEX(スコア表2[],MATCH("average",スコア表2[maxmin],0),MATCH(BD$5,スコア表2[#Headers],0)))
/
INDEX(スコア表2[],MATCH("stdev.p",スコア表2[maxmin],0),MATCH(BD$5,スコア表2[#Headers],0))
*10+50,"-")</f>
        <v>50.663078181888643</v>
      </c>
      <c r="BE45" s="4">
        <f>IFERROR(
(INDEX(スコア表[],MATCH($C45,スコア表['#],0),MATCH(BE$5,スコア表[#Headers],0))
-
INDEX(スコア表2[],MATCH("average",スコア表2[maxmin],0),MATCH(BE$5,スコア表2[#Headers],0)))
/
INDEX(スコア表2[],MATCH("stdev.p",スコア表2[maxmin],0),MATCH(BE$5,スコア表2[#Headers],0))
*10+50,"-")</f>
        <v>43.048290988872026</v>
      </c>
      <c r="BF45" s="4">
        <f>IFERROR(
(INDEX(スコア表[],MATCH($C45,スコア表['#],0),MATCH(BF$5,スコア表[#Headers],0))
-
INDEX(スコア表2[],MATCH("average",スコア表2[maxmin],0),MATCH(BF$5,スコア表2[#Headers],0)))
/
INDEX(スコア表2[],MATCH("stdev.p",スコア表2[maxmin],0),MATCH(BF$5,スコア表2[#Headers],0))
*10+50,"-")</f>
        <v>38.516033856219309</v>
      </c>
      <c r="BG45" s="4">
        <f>IFERROR(
(INDEX(スコア表[],MATCH($C45,スコア表['#],0),MATCH(BG$5,スコア表[#Headers],0))
-
INDEX(スコア表2[],MATCH("average",スコア表2[maxmin],0),MATCH(BG$5,スコア表2[#Headers],0)))
/
INDEX(スコア表2[],MATCH("stdev.p",スコア表2[maxmin],0),MATCH(BG$5,スコア表2[#Headers],0))
*10+50,"-")</f>
        <v>40.699105240470914</v>
      </c>
      <c r="BH45" s="4">
        <f>IFERROR(
(INDEX(スコア表[],MATCH($C45,スコア表['#],0),MATCH(BH$5,スコア表[#Headers],0))
-
INDEX(スコア表2[],MATCH("average",スコア表2[maxmin],0),MATCH(BH$5,スコア表2[#Headers],0)))
/
INDEX(スコア表2[],MATCH("stdev.p",スコア表2[maxmin],0),MATCH(BH$5,スコア表2[#Headers],0))
*10+50,"-")</f>
        <v>42.191462476258224</v>
      </c>
      <c r="BI45" s="4">
        <f>IFERROR(
(INDEX(スコア表[],MATCH($C45,スコア表['#],0),MATCH(BI$5,スコア表[#Headers],0))
-
INDEX(スコア表2[],MATCH("average",スコア表2[maxmin],0),MATCH(BI$5,スコア表2[#Headers],0)))
/
INDEX(スコア表2[],MATCH("stdev.p",スコア表2[maxmin],0),MATCH(BI$5,スコア表2[#Headers],0))
*10+50,"-")</f>
        <v>35.4240683670861</v>
      </c>
      <c r="BJ45" s="4">
        <f>IFERROR(
(INDEX(スコア表[],MATCH($C45,スコア表['#],0),MATCH(BJ$5,スコア表[#Headers],0))
-
INDEX(スコア表2[],MATCH("average",スコア表2[maxmin],0),MATCH(BJ$5,スコア表2[#Headers],0)))
/
INDEX(スコア表2[],MATCH("stdev.p",スコア表2[maxmin],0),MATCH(BJ$5,スコア表2[#Headers],0))
*10+50,"-")</f>
        <v>56.008334272605786</v>
      </c>
      <c r="BK45" s="4">
        <f>IFERROR(
(INDEX(スコア表[],MATCH($C45,スコア表['#],0),MATCH(BK$5,スコア表[#Headers],0))
-
INDEX(スコア表2[],MATCH("average",スコア表2[maxmin],0),MATCH(BK$5,スコア表2[#Headers],0)))
/
INDEX(スコア表2[],MATCH("stdev.p",スコア表2[maxmin],0),MATCH(BK$5,スコア表2[#Headers],0))
*10+50,"-")</f>
        <v>45.810590282735234</v>
      </c>
      <c r="BL45" s="4">
        <f>IFERROR(
(INDEX(スコア表[],MATCH($C45,スコア表['#],0),MATCH(BL$5,スコア表[#Headers],0))
-
INDEX(スコア表2[],MATCH("average",スコア表2[maxmin],0),MATCH(BL$5,スコア表2[#Headers],0)))
/
INDEX(スコア表2[],MATCH("stdev.p",スコア表2[maxmin],0),MATCH(BL$5,スコア表2[#Headers],0))
*10+50,"-")</f>
        <v>58.727813082094279</v>
      </c>
      <c r="BM45" s="4">
        <f>IFERROR(
(INDEX(スコア表[],MATCH($C45,スコア表['#],0),MATCH(BM$5,スコア表[#Headers],0))
-
INDEX(スコア表2[],MATCH("average",スコア表2[maxmin],0),MATCH(BM$5,スコア表2[#Headers],0)))
/
INDEX(スコア表2[],MATCH("stdev.p",スコア表2[maxmin],0),MATCH(BM$5,スコア表2[#Headers],0))
*10+50,"-")</f>
        <v>54.328431638867876</v>
      </c>
      <c r="BN45" s="4">
        <f>IFERROR(
(INDEX(スコア表[],MATCH($C45,スコア表['#],0),MATCH(BN$5,スコア表[#Headers],0))
-
INDEX(スコア表2[],MATCH("average",スコア表2[maxmin],0),MATCH(BN$5,スコア表2[#Headers],0)))
/
INDEX(スコア表2[],MATCH("stdev.p",スコア表2[maxmin],0),MATCH(BN$5,スコア表2[#Headers],0))
*10+50,"-")</f>
        <v>40.511950586306156</v>
      </c>
      <c r="BO45" s="4">
        <f>IFERROR(
(INDEX(スコア表[],MATCH($C45,スコア表['#],0),MATCH(BO$5,スコア表[#Headers],0))
-
INDEX(スコア表2[],MATCH("average",スコア表2[maxmin],0),MATCH(BO$5,スコア表2[#Headers],0)))
/
INDEX(スコア表2[],MATCH("stdev.p",スコア表2[maxmin],0),MATCH(BO$5,スコア表2[#Headers],0))
*10+50,"-")</f>
        <v>53.916295944548153</v>
      </c>
      <c r="BP45" s="4">
        <f>IFERROR(
(INDEX(スコア表[],MATCH($C45,スコア表['#],0),MATCH(BP$5,スコア表[#Headers],0))
-
INDEX(スコア表2[],MATCH("average",スコア表2[maxmin],0),MATCH(BP$5,スコア表2[#Headers],0)))
/
INDEX(スコア表2[],MATCH("stdev.p",スコア表2[maxmin],0),MATCH(BP$5,スコア表2[#Headers],0))
*10+50,"-")</f>
        <v>52.539997883508114</v>
      </c>
      <c r="BQ45" s="4">
        <f>IFERROR(
(INDEX(スコア表[],MATCH($C45,スコア表['#],0),MATCH(BQ$5,スコア表[#Headers],0))
-
INDEX(スコア表2[],MATCH("average",スコア表2[maxmin],0),MATCH(BQ$5,スコア表2[#Headers],0)))
/
INDEX(スコア表2[],MATCH("stdev.p",スコア表2[maxmin],0),MATCH(BQ$5,スコア表2[#Headers],0))
*10+50,"-")</f>
        <v>45.053741556869895</v>
      </c>
      <c r="BR45" s="4">
        <f>IFERROR(
(INDEX(スコア表[],MATCH($C45,スコア表['#],0),MATCH(BR$5,スコア表[#Headers],0))
-
INDEX(スコア表2[],MATCH("average",スコア表2[maxmin],0),MATCH(BR$5,スコア表2[#Headers],0)))
/
INDEX(スコア表2[],MATCH("stdev.p",スコア表2[maxmin],0),MATCH(BR$5,スコア表2[#Headers],0))
*10+50,"-")</f>
        <v>43.176850141088416</v>
      </c>
      <c r="BS45" s="4">
        <f>IFERROR(
(INDEX(スコア表[],MATCH($C45,スコア表['#],0),MATCH(BS$5,スコア表[#Headers],0))
-
INDEX(スコア表2[],MATCH("average",スコア表2[maxmin],0),MATCH(BS$5,スコア表2[#Headers],0)))
/
INDEX(スコア表2[],MATCH("stdev.p",スコア表2[maxmin],0),MATCH(BS$5,スコア表2[#Headers],0))
*10+50,"-")</f>
        <v>41.398361906433827</v>
      </c>
      <c r="BT45" s="4">
        <f>IFERROR(
(INDEX(スコア表[],MATCH($C45,スコア表['#],0),MATCH(BT$5,スコア表[#Headers],0))
-
INDEX(スコア表2[],MATCH("average",スコア表2[maxmin],0),MATCH(BT$5,スコア表2[#Headers],0)))
/
INDEX(スコア表2[],MATCH("stdev.p",スコア表2[maxmin],0),MATCH(BT$5,スコア表2[#Headers],0))
*10+50,"-")</f>
        <v>38.599624740047169</v>
      </c>
      <c r="BU45" s="4">
        <f>IFERROR(
(INDEX(スコア表[],MATCH($C45,スコア表['#],0),MATCH(BU$5,スコア表[#Headers],0))
-
INDEX(スコア表2[],MATCH("average",スコア表2[maxmin],0),MATCH(BU$5,スコア表2[#Headers],0)))
/
INDEX(スコア表2[],MATCH("stdev.p",スコア表2[maxmin],0),MATCH(BU$5,スコア表2[#Headers],0))
*10+50,"-")</f>
        <v>40.789612401353551</v>
      </c>
      <c r="BV45" s="4">
        <f>IFERROR(
(INDEX(スコア表[],MATCH($C45,スコア表['#],0),MATCH(BV$5,スコア表[#Headers],0))
-
INDEX(スコア表2[],MATCH("average",スコア表2[maxmin],0),MATCH(BV$5,スコア表2[#Headers],0)))
/
INDEX(スコア表2[],MATCH("stdev.p",スコア表2[maxmin],0),MATCH(BV$5,スコア表2[#Headers],0))
*10+50,"-")</f>
        <v>42.349780847350452</v>
      </c>
      <c r="BW45" s="4">
        <f>IFERROR(
(INDEX(スコア表[],MATCH($C45,スコア表['#],0),MATCH(BW$5,スコア表[#Headers],0))
-
INDEX(スコア表2[],MATCH("average",スコア表2[maxmin],0),MATCH(BW$5,スコア表2[#Headers],0)))
/
INDEX(スコア表2[],MATCH("stdev.p",スコア表2[maxmin],0),MATCH(BW$5,スコア表2[#Headers],0))
*10+50,"-")</f>
        <v>53.578271962929037</v>
      </c>
      <c r="BX45" s="4">
        <f>IFERROR(
(INDEX(スコア表[],MATCH($C45,スコア表['#],0),MATCH(BX$5,スコア表[#Headers],0))
-
INDEX(スコア表2[],MATCH("average",スコア表2[maxmin],0),MATCH(BX$5,スコア表2[#Headers],0)))
/
INDEX(スコア表2[],MATCH("stdev.p",スコア表2[maxmin],0),MATCH(BX$5,スコア表2[#Headers],0))
*10+50,"-")</f>
        <v>49.786884541396006</v>
      </c>
      <c r="BY45" s="4">
        <f>IFERROR(
(INDEX(スコア表[],MATCH($C45,スコア表['#],0),MATCH(BY$5,スコア表[#Headers],0))
-
INDEX(スコア表2[],MATCH("average",スコア表2[maxmin],0),MATCH(BY$5,スコア表2[#Headers],0)))
/
INDEX(スコア表2[],MATCH("stdev.p",スコア表2[maxmin],0),MATCH(BY$5,スコア表2[#Headers],0))
*10+50,"-")</f>
        <v>57.69430153119928</v>
      </c>
      <c r="BZ45" s="4">
        <f>IFERROR(
(INDEX(スコア表[],MATCH($C45,スコア表['#],0),MATCH(BZ$5,スコア表[#Headers],0))
-
INDEX(スコア表2[],MATCH("average",スコア表2[maxmin],0),MATCH(BZ$5,スコア表2[#Headers],0)))
/
INDEX(スコア表2[],MATCH("stdev.p",スコア表2[maxmin],0),MATCH(BZ$5,スコア表2[#Headers],0))
*10+50,"-")</f>
        <v>43.340565033397183</v>
      </c>
      <c r="CA45" s="4">
        <f>IFERROR(
(INDEX(スコア表[],MATCH($C45,スコア表['#],0),MATCH(CA$5,スコア表[#Headers],0))
-
INDEX(スコア表2[],MATCH("average",スコア表2[maxmin],0),MATCH(CA$5,スコア表2[#Headers],0)))
/
INDEX(スコア表2[],MATCH("stdev.p",スコア表2[maxmin],0),MATCH(CA$5,スコア表2[#Headers],0))
*10+50,"-")</f>
        <v>53.132066713178304</v>
      </c>
      <c r="CB45" s="4">
        <f>IFERROR(
(INDEX(スコア表[],MATCH($C45,スコア表['#],0),MATCH(CB$5,スコア表[#Headers],0))
-
INDEX(スコア表2[],MATCH("average",スコア表2[maxmin],0),MATCH(CB$5,スコア表2[#Headers],0)))
/
INDEX(スコア表2[],MATCH("stdev.p",スコア表2[maxmin],0),MATCH(CB$5,スコア表2[#Headers],0))
*10+50,"-")</f>
        <v>45.325579784641199</v>
      </c>
      <c r="CC45" s="4">
        <f>IFERROR(
(INDEX(スコア表[],MATCH($C45,スコア表['#],0),MATCH(CC$5,スコア表[#Headers],0))
-
INDEX(スコア表2[],MATCH("average",スコア表2[maxmin],0),MATCH(CC$5,スコア表2[#Headers],0)))
/
INDEX(スコア表2[],MATCH("stdev.p",スコア表2[maxmin],0),MATCH(CC$5,スコア表2[#Headers],0))
*10+50,"-")</f>
        <v>46.622368127803121</v>
      </c>
      <c r="CD45" s="4">
        <f>IFERROR(
(INDEX(スコア表[],MATCH($C45,スコア表['#],0),MATCH(CD$5,スコア表[#Headers],0))
-
INDEX(スコア表2[],MATCH("average",スコア表2[maxmin],0),MATCH(CD$5,スコア表2[#Headers],0)))
/
INDEX(スコア表2[],MATCH("stdev.p",スコア表2[maxmin],0),MATCH(CD$5,スコア表2[#Headers],0))
*10+50,"-")</f>
        <v>45.4278252703498</v>
      </c>
      <c r="CE45" s="4">
        <f>IFERROR(
(INDEX(スコア表[],MATCH($C45,スコア表['#],0),MATCH(CE$5,スコア表[#Headers],0))
-
INDEX(スコア表2[],MATCH("average",スコア表2[maxmin],0),MATCH(CE$5,スコア表2[#Headers],0)))
/
INDEX(スコア表2[],MATCH("stdev.p",スコア表2[maxmin],0),MATCH(CE$5,スコア表2[#Headers],0))
*10+50,"-")</f>
        <v>53.35670137034657</v>
      </c>
      <c r="CF45" s="4">
        <f>IFERROR(
(INDEX(スコア表[],MATCH($C45,スコア表['#],0),MATCH(CF$5,スコア表[#Headers],0))
-
INDEX(スコア表2[],MATCH("average",スコア表2[maxmin],0),MATCH(CF$5,スコア表2[#Headers],0)))
/
INDEX(スコア表2[],MATCH("stdev.p",スコア表2[maxmin],0),MATCH(CF$5,スコア表2[#Headers],0))
*10+50,"-")</f>
        <v>41.122450989569003</v>
      </c>
      <c r="CG45" s="4">
        <f>IFERROR(
(INDEX(スコア表[],MATCH($C45,スコア表['#],0),MATCH(CG$5,スコア表[#Headers],0))
-
INDEX(スコア表2[],MATCH("average",スコア表2[maxmin],0),MATCH(CG$5,スコア表2[#Headers],0)))
/
INDEX(スコア表2[],MATCH("stdev.p",スコア表2[maxmin],0),MATCH(CG$5,スコア表2[#Headers],0))
*10+50,"-")</f>
        <v>44.023949791965656</v>
      </c>
      <c r="CH45" s="4">
        <f>IFERROR(
(INDEX(スコア表[],MATCH($C45,スコア表['#],0),MATCH(CH$5,スコア表[#Headers],0))
-
INDEX(スコア表2[],MATCH("average",スコア表2[maxmin],0),MATCH(CH$5,スコア表2[#Headers],0)))
/
INDEX(スコア表2[],MATCH("stdev.p",スコア表2[maxmin],0),MATCH(CH$5,スコア表2[#Headers],0))
*10+50,"-")</f>
        <v>45.725890821053056</v>
      </c>
      <c r="CI45" s="4">
        <f>IFERROR(
(INDEX(スコア表[],MATCH($C45,スコア表['#],0),MATCH(CI$5,スコア表[#Headers],0))
-
INDEX(スコア表2[],MATCH("average",スコア表2[maxmin],0),MATCH(CI$5,スコア表2[#Headers],0)))
/
INDEX(スコア表2[],MATCH("stdev.p",スコア表2[maxmin],0),MATCH(CI$5,スコア表2[#Headers],0))
*10+50,"-")</f>
        <v>43.894285682765904</v>
      </c>
      <c r="CJ45" s="4">
        <f>IFERROR(
(INDEX(スコア表[],MATCH($C45,スコア表['#],0),MATCH(CJ$5,スコア表[#Headers],0))
-
INDEX(スコア表2[],MATCH("average",スコア表2[maxmin],0),MATCH(CJ$5,スコア表2[#Headers],0)))
/
INDEX(スコア表2[],MATCH("stdev.p",スコア表2[maxmin],0),MATCH(CJ$5,スコア表2[#Headers],0))
*10+50,"-")</f>
        <v>60.801844411711514</v>
      </c>
      <c r="CK45" s="4">
        <f>IFERROR(
(INDEX(スコア表[],MATCH($C45,スコア表['#],0),MATCH(CK$5,スコア表[#Headers],0))
-
INDEX(スコア表2[],MATCH("average",スコア表2[maxmin],0),MATCH(CK$5,スコア表2[#Headers],0)))
/
INDEX(スコア表2[],MATCH("stdev.p",スコア表2[maxmin],0),MATCH(CK$5,スコア表2[#Headers],0))
*10+50,"-")</f>
        <v>40.835037019382241</v>
      </c>
      <c r="CL45" s="4">
        <f>IFERROR(
(INDEX(スコア表[],MATCH($C45,スコア表['#],0),MATCH(CL$5,スコア表[#Headers],0))
-
INDEX(スコア表2[],MATCH("average",スコア表2[maxmin],0),MATCH(CL$5,スコア表2[#Headers],0)))
/
INDEX(スコア表2[],MATCH("stdev.p",スコア表2[maxmin],0),MATCH(CL$5,スコア表2[#Headers],0))
*10+50,"-")</f>
        <v>42.12729086269573</v>
      </c>
      <c r="CM45" s="4">
        <f>IFERROR(
(INDEX(スコア表[],MATCH($C45,スコア表['#],0),MATCH(CM$5,スコア表[#Headers],0))
-
INDEX(スコア表2[],MATCH("average",スコア表2[maxmin],0),MATCH(CM$5,スコア表2[#Headers],0)))
/
INDEX(スコア表2[],MATCH("stdev.p",スコア表2[maxmin],0),MATCH(CM$5,スコア表2[#Headers],0))
*10+50,"-")</f>
        <v>43.139970442943962</v>
      </c>
      <c r="CN45" s="4">
        <f>IFERROR(
(INDEX(スコア表[],MATCH($C45,スコア表['#],0),MATCH(CN$5,スコア表[#Headers],0))
-
INDEX(スコア表2[],MATCH("average",スコア表2[maxmin],0),MATCH(CN$5,スコア表2[#Headers],0)))
/
INDEX(スコア表2[],MATCH("stdev.p",スコア表2[maxmin],0),MATCH(CN$5,スコア表2[#Headers],0))
*10+50,"-")</f>
        <v>40.043389034278128</v>
      </c>
      <c r="CO45" s="4">
        <f>IFERROR(
(INDEX(スコア表[],MATCH($C45,スコア表['#],0),MATCH(CO$5,スコア表[#Headers],0))
-
INDEX(スコア表2[],MATCH("average",スコア表2[maxmin],0),MATCH(CO$5,スコア表2[#Headers],0)))
/
INDEX(スコア表2[],MATCH("stdev.p",スコア表2[maxmin],0),MATCH(CO$5,スコア表2[#Headers],0))
*10+50,"-")</f>
        <v>45.049190507270502</v>
      </c>
      <c r="CP45" s="4">
        <f>IFERROR(
(INDEX(スコア表[],MATCH($C45,スコア表['#],0),MATCH(CP$5,スコア表[#Headers],0))
-
INDEX(スコア表2[],MATCH("average",スコア表2[maxmin],0),MATCH(CP$5,スコア表2[#Headers],0)))
/
INDEX(スコア表2[],MATCH("stdev.p",スコア表2[maxmin],0),MATCH(CP$5,スコア表2[#Headers],0))
*10+50,"-")</f>
        <v>53.621645810103821</v>
      </c>
      <c r="CQ45" s="4">
        <f>IFERROR(
(INDEX(スコア表[],MATCH($C45,スコア表['#],0),MATCH(CQ$5,スコア表[#Headers],0))
-
INDEX(スコア表2[],MATCH("average",スコア表2[maxmin],0),MATCH(CQ$5,スコア表2[#Headers],0)))
/
INDEX(スコア表2[],MATCH("stdev.p",スコア表2[maxmin],0),MATCH(CQ$5,スコア表2[#Headers],0))
*10+50,"-")</f>
        <v>56.51665495215434</v>
      </c>
      <c r="CR45" s="4">
        <f>IFERROR(
(INDEX(スコア表[],MATCH($C45,スコア表['#],0),MATCH(CR$5,スコア表[#Headers],0))
-
INDEX(スコア表2[],MATCH("average",スコア表2[maxmin],0),MATCH(CR$5,スコア表2[#Headers],0)))
/
INDEX(スコア表2[],MATCH("stdev.p",スコア表2[maxmin],0),MATCH(CR$5,スコア表2[#Headers],0))
*10+50,"-")</f>
        <v>42.266865862824986</v>
      </c>
      <c r="CS45" s="4">
        <f>IFERROR(
(INDEX(スコア表[],MATCH($C45,スコア表['#],0),MATCH(CS$5,スコア表[#Headers],0))
-
INDEX(スコア表2[],MATCH("average",スコア表2[maxmin],0),MATCH(CS$5,スコア表2[#Headers],0)))
/
INDEX(スコア表2[],MATCH("stdev.p",スコア表2[maxmin],0),MATCH(CS$5,スコア表2[#Headers],0))
*10+50,"-")</f>
        <v>30.057528444744886</v>
      </c>
      <c r="CT45" s="4">
        <f>IFERROR(
(INDEX(スコア表[],MATCH($C45,スコア表['#],0),MATCH(CT$5,スコア表[#Headers],0))
-
INDEX(スコア表2[],MATCH("average",スコア表2[maxmin],0),MATCH(CT$5,スコア表2[#Headers],0)))
/
INDEX(スコア表2[],MATCH("stdev.p",スコア表2[maxmin],0),MATCH(CT$5,スコア表2[#Headers],0))
*10+50,"-")</f>
        <v>55.434418763714774</v>
      </c>
      <c r="CU45" s="4">
        <f>IFERROR(
(INDEX(スコア表[],MATCH($C45,スコア表['#],0),MATCH(CU$5,スコア表[#Headers],0))
-
INDEX(スコア表2[],MATCH("average",スコア表2[maxmin],0),MATCH(CU$5,スコア表2[#Headers],0)))
/
INDEX(スコア表2[],MATCH("stdev.p",スコア表2[maxmin],0),MATCH(CU$5,スコア表2[#Headers],0))
*10+50,"-")</f>
        <v>49.896739044852438</v>
      </c>
      <c r="CV45" s="4">
        <f>IFERROR(
(INDEX(スコア表[],MATCH($C45,スコア表['#],0),MATCH(CV$5,スコア表[#Headers],0))
-
INDEX(スコア表2[],MATCH("average",スコア表2[maxmin],0),MATCH(CV$5,スコア表2[#Headers],0)))
/
INDEX(スコア表2[],MATCH("stdev.p",スコア表2[maxmin],0),MATCH(CV$5,スコア表2[#Headers],0))
*10+50,"-")</f>
        <v>48.477398794557708</v>
      </c>
      <c r="CW45" s="4">
        <f>IFERROR(
(INDEX(スコア表[],MATCH($C45,スコア表['#],0),MATCH(CW$5,スコア表[#Headers],0))
-
INDEX(スコア表2[],MATCH("average",スコア表2[maxmin],0),MATCH(CW$5,スコア表2[#Headers],0)))
/
INDEX(スコア表2[],MATCH("stdev.p",スコア表2[maxmin],0),MATCH(CW$5,スコア表2[#Headers],0))
*10+50,"-")</f>
        <v>42.241767972349038</v>
      </c>
      <c r="CX45" s="4">
        <f>IFERROR(
(INDEX(スコア表[],MATCH($C45,スコア表['#],0),MATCH(CX$5,スコア表[#Headers],0))
-
INDEX(スコア表2[],MATCH("average",スコア表2[maxmin],0),MATCH(CX$5,スコア表2[#Headers],0)))
/
INDEX(スコア表2[],MATCH("stdev.p",スコア表2[maxmin],0),MATCH(CX$5,スコア表2[#Headers],0))
*10+50,"-")</f>
        <v>34.792428551337323</v>
      </c>
      <c r="CY45" s="4">
        <f>IFERROR(
(INDEX(スコア表[],MATCH($C45,スコア表['#],0),MATCH(CY$5,スコア表[#Headers],0))
-
INDEX(スコア表2[],MATCH("average",スコア表2[maxmin],0),MATCH(CY$5,スコア表2[#Headers],0)))
/
INDEX(スコア表2[],MATCH("stdev.p",スコア表2[maxmin],0),MATCH(CY$5,スコア表2[#Headers],0))
*10+50,"-")</f>
        <v>55.783891137201351</v>
      </c>
      <c r="CZ45" s="4">
        <f>IFERROR(
(INDEX(スコア表[],MATCH($C45,スコア表['#],0),MATCH(CZ$5,スコア表[#Headers],0))
-
INDEX(スコア表2[],MATCH("average",スコア表2[maxmin],0),MATCH(CZ$5,スコア表2[#Headers],0)))
/
INDEX(スコア表2[],MATCH("stdev.p",スコア表2[maxmin],0),MATCH(CZ$5,スコア表2[#Headers],0))
*10+50,"-")</f>
        <v>46.794501683564668</v>
      </c>
      <c r="DA45" s="4">
        <f>IFERROR(
(INDEX(スコア表[],MATCH($C45,スコア表['#],0),MATCH(DA$5,スコア表[#Headers],0))
-
INDEX(スコア表2[],MATCH("average",スコア表2[maxmin],0),MATCH(DA$5,スコア表2[#Headers],0)))
/
INDEX(スコア表2[],MATCH("stdev.p",スコア表2[maxmin],0),MATCH(DA$5,スコア表2[#Headers],0))
*10+50,"-")</f>
        <v>42.857866721180628</v>
      </c>
      <c r="DB45" s="4">
        <f>IFERROR(
(INDEX(スコア表[],MATCH($C45,スコア表['#],0),MATCH(DB$5,スコア表[#Headers],0))
-
INDEX(スコア表2[],MATCH("average",スコア表2[maxmin],0),MATCH(DB$5,スコア表2[#Headers],0)))
/
INDEX(スコア表2[],MATCH("stdev.p",スコア表2[maxmin],0),MATCH(DB$5,スコア表2[#Headers],0))
*10+50,"-")</f>
        <v>44.333150463691489</v>
      </c>
      <c r="DC45" s="4">
        <f>IFERROR(
(INDEX(スコア表[],MATCH($C45,スコア表['#],0),MATCH(DC$5,スコア表[#Headers],0))
-
INDEX(スコア表2[],MATCH("average",スコア表2[maxmin],0),MATCH(DC$5,スコア表2[#Headers],0)))
/
INDEX(スコア表2[],MATCH("stdev.p",スコア表2[maxmin],0),MATCH(DC$5,スコア表2[#Headers],0))
*10+50,"-")</f>
        <v>44.639032095002783</v>
      </c>
      <c r="DD45" s="4">
        <f>IFERROR(
(INDEX(スコア表[],MATCH($C45,スコア表['#],0),MATCH(DD$5,スコア表[#Headers],0))
-
INDEX(スコア表2[],MATCH("average",スコア表2[maxmin],0),MATCH(DD$5,スコア表2[#Headers],0)))
/
INDEX(スコア表2[],MATCH("stdev.p",スコア表2[maxmin],0),MATCH(DD$5,スコア表2[#Headers],0))
*10+50,"-")</f>
        <v>44.735887365285421</v>
      </c>
      <c r="DE45" s="4">
        <f>IFERROR(
(INDEX(スコア表[],MATCH($C45,スコア表['#],0),MATCH(DE$5,スコア表[#Headers],0))
-
INDEX(スコア表2[],MATCH("average",スコア表2[maxmin],0),MATCH(DE$5,スコア表2[#Headers],0)))
/
INDEX(スコア表2[],MATCH("stdev.p",スコア表2[maxmin],0),MATCH(DE$5,スコア表2[#Headers],0))
*10+50,"-")</f>
        <v>41.730229693531115</v>
      </c>
      <c r="DF45" s="76">
        <f>IFERROR(
(INDEX(スコア表[],MATCH($C45,スコア表['#],0),MATCH(DF$5,スコア表[#Headers],0))
-
INDEX(スコア表2[],MATCH("average",スコア表2[maxmin],0),MATCH(DF$5,スコア表2[#Headers],0)))
/
INDEX(スコア表2[],MATCH("stdev.p",スコア表2[maxmin],0),MATCH(DF$5,スコア表2[#Headers],0))
*10+50,"-")</f>
        <v>41.908805057368923</v>
      </c>
      <c r="DG45" s="4">
        <f>IFERROR(_xlfn.STDEV.P(偏差値表[[#This Row],[Economy]:[Accessibility]]),"")</f>
        <v>1.5878805233524966</v>
      </c>
    </row>
    <row r="46" spans="1:111">
      <c r="A46" s="2">
        <v>41</v>
      </c>
      <c r="B46" s="58">
        <f>INDEX(順位表[Comprehensive],MATCH($C46,順位表['#],0))</f>
        <v>41</v>
      </c>
      <c r="C46" s="3">
        <v>20</v>
      </c>
      <c r="D46" s="1" t="str">
        <f>INDEX(都市マスタ[City Name],MATCH($C46,都市マスタ['#],0))</f>
        <v>Kuala Lumpur</v>
      </c>
      <c r="E46" s="4">
        <f>IFERROR(
(INDEX(スコア表[],MATCH($C46,スコア表['#],0),MATCH(E$5,スコア表[#Headers],0))
-
INDEX(スコア表2[],MATCH("average",スコア表2[maxmin],0),MATCH(E$5,スコア表2[#Headers],0)))
/
INDEX(スコア表2[],MATCH("stdev.p",スコア表2[maxmin],0),MATCH(E$5,スコア表2[#Headers],0))
*10+50,"-")</f>
        <v>43.96044654853165</v>
      </c>
      <c r="F46" s="4">
        <f>IFERROR(
(INDEX(スコア表[],MATCH($C46,スコア表['#],0),MATCH(F$5,スコア表[#Headers],0))
-
INDEX(スコア表2[],MATCH("average",スコア表2[maxmin],0),MATCH(F$5,スコア表2[#Headers],0)))
/
INDEX(スコア表2[],MATCH("stdev.p",スコア表2[maxmin],0),MATCH(F$5,スコア表2[#Headers],0))
*10+50,"-")</f>
        <v>45.520478143638634</v>
      </c>
      <c r="G46" s="4">
        <f>IFERROR(
(INDEX(スコア表[],MATCH($C46,スコア表['#],0),MATCH(G$5,スコア表[#Headers],0))
-
INDEX(スコア表2[],MATCH("average",スコア表2[maxmin],0),MATCH(G$5,スコア表2[#Headers],0)))
/
INDEX(スコア表2[],MATCH("stdev.p",スコア表2[maxmin],0),MATCH(G$5,スコア表2[#Headers],0))
*10+50,"-")</f>
        <v>48.348744721852498</v>
      </c>
      <c r="H46" s="4">
        <f>IFERROR(
(INDEX(スコア表[],MATCH($C46,スコア表['#],0),MATCH(H$5,スコア表[#Headers],0))
-
INDEX(スコア表2[],MATCH("average",スコア表2[maxmin],0),MATCH(H$5,スコア表2[#Headers],0)))
/
INDEX(スコア表2[],MATCH("stdev.p",スコア表2[maxmin],0),MATCH(H$5,スコア表2[#Headers],0))
*10+50,"-")</f>
        <v>42.206562166791286</v>
      </c>
      <c r="I46" s="4">
        <f>IFERROR(
(INDEX(スコア表[],MATCH($C46,スコア表['#],0),MATCH(I$5,スコア表[#Headers],0))
-
INDEX(スコア表2[],MATCH("average",スコア表2[maxmin],0),MATCH(I$5,スコア表2[#Headers],0)))
/
INDEX(スコア表2[],MATCH("stdev.p",スコア表2[maxmin],0),MATCH(I$5,スコア表2[#Headers],0))
*10+50,"-")</f>
        <v>42.744471253904159</v>
      </c>
      <c r="J46" s="4">
        <f>IFERROR(
(INDEX(スコア表[],MATCH($C46,スコア表['#],0),MATCH(J$5,スコア表[#Headers],0))
-
INDEX(スコア表2[],MATCH("average",スコア表2[maxmin],0),MATCH(J$5,スコア表2[#Headers],0)))
/
INDEX(スコア表2[],MATCH("stdev.p",スコア表2[maxmin],0),MATCH(J$5,スコア表2[#Headers],0))
*10+50,"-")</f>
        <v>50.441444492795689</v>
      </c>
      <c r="K46" s="4">
        <f>IFERROR(
(INDEX(スコア表[],MATCH($C46,スコア表['#],0),MATCH(K$5,スコア表[#Headers],0))
-
INDEX(スコア表2[],MATCH("average",スコア表2[maxmin],0),MATCH(K$5,スコア表2[#Headers],0)))
/
INDEX(スコア表2[],MATCH("stdev.p",スコア表2[maxmin],0),MATCH(K$5,スコア表2[#Headers],0))
*10+50,"-")</f>
        <v>49.591265012561827</v>
      </c>
      <c r="L46" s="4">
        <f>IFERROR(
(INDEX(スコア表[],MATCH($C46,スコア表['#],0),MATCH(L$5,スコア表[#Headers],0))
-
INDEX(スコア表2[],MATCH("average",スコア表2[maxmin],0),MATCH(L$5,スコア表2[#Headers],0)))
/
INDEX(スコア表2[],MATCH("stdev.p",スコア表2[maxmin],0),MATCH(L$5,スコア表2[#Headers],0))
*10+50,"-")</f>
        <v>47.488342314480931</v>
      </c>
      <c r="M46" s="4">
        <f>IFERROR(
(INDEX(スコア表[],MATCH($C46,スコア表['#],0),MATCH(M$5,スコア表[#Headers],0))
-
INDEX(スコア表2[],MATCH("average",スコア表2[maxmin],0),MATCH(M$5,スコア表2[#Headers],0)))
/
INDEX(スコア表2[],MATCH("stdev.p",スコア表2[maxmin],0),MATCH(M$5,スコア表2[#Headers],0))
*10+50,"-")</f>
        <v>46.584157865419989</v>
      </c>
      <c r="N46" s="4">
        <f>IFERROR(
(INDEX(スコア表[],MATCH($C46,スコア表['#],0),MATCH(N$5,スコア表[#Headers],0))
-
INDEX(スコア表2[],MATCH("average",スコア表2[maxmin],0),MATCH(N$5,スコア表2[#Headers],0)))
/
INDEX(スコア表2[],MATCH("stdev.p",スコア表2[maxmin],0),MATCH(N$5,スコア表2[#Headers],0))
*10+50,"-")</f>
        <v>43.031240046399539</v>
      </c>
      <c r="O46" s="4">
        <f>IFERROR(
(INDEX(スコア表[],MATCH($C46,スコア表['#],0),MATCH(O$5,スコア表[#Headers],0))
-
INDEX(スコア表2[],MATCH("average",スコア表2[maxmin],0),MATCH(O$5,スコア表2[#Headers],0)))
/
INDEX(スコア表2[],MATCH("stdev.p",スコア表2[maxmin],0),MATCH(O$5,スコア表2[#Headers],0))
*10+50,"-")</f>
        <v>51.260986597756691</v>
      </c>
      <c r="P46" s="4">
        <f>IFERROR(
(INDEX(スコア表[],MATCH($C46,スコア表['#],0),MATCH(P$5,スコア表[#Headers],0))
-
INDEX(スコア表2[],MATCH("average",スコア表2[maxmin],0),MATCH(P$5,スコア表2[#Headers],0)))
/
INDEX(スコア表2[],MATCH("stdev.p",スコア表2[maxmin],0),MATCH(P$5,スコア表2[#Headers],0))
*10+50,"-")</f>
        <v>39.600308878380162</v>
      </c>
      <c r="Q46" s="4">
        <f>IFERROR(
(INDEX(スコア表[],MATCH($C46,スコア表['#],0),MATCH(Q$5,スコア表[#Headers],0))
-
INDEX(スコア表2[],MATCH("average",スコア表2[maxmin],0),MATCH(Q$5,スコア表2[#Headers],0)))
/
INDEX(スコア表2[],MATCH("stdev.p",スコア表2[maxmin],0),MATCH(Q$5,スコア表2[#Headers],0))
*10+50,"-")</f>
        <v>43.829687130301217</v>
      </c>
      <c r="R46" s="4">
        <f>IFERROR(
(INDEX(スコア表[],MATCH($C46,スコア表['#],0),MATCH(R$5,スコア表[#Headers],0))
-
INDEX(スコア表2[],MATCH("average",スコア表2[maxmin],0),MATCH(R$5,スコア表2[#Headers],0)))
/
INDEX(スコア表2[],MATCH("stdev.p",スコア表2[maxmin],0),MATCH(R$5,スコア表2[#Headers],0))
*10+50,"-")</f>
        <v>43.136954823421945</v>
      </c>
      <c r="S46" s="4">
        <f>IFERROR(
(INDEX(スコア表[],MATCH($C46,スコア表['#],0),MATCH(S$5,スコア表[#Headers],0))
-
INDEX(スコア表2[],MATCH("average",スコア表2[maxmin],0),MATCH(S$5,スコア表2[#Headers],0)))
/
INDEX(スコア表2[],MATCH("stdev.p",スコア表2[maxmin],0),MATCH(S$5,スコア表2[#Headers],0))
*10+50,"-")</f>
        <v>51.79907562986098</v>
      </c>
      <c r="T46" s="4">
        <f>IFERROR(
(INDEX(スコア表[],MATCH($C46,スコア表['#],0),MATCH(T$5,スコア表[#Headers],0))
-
INDEX(スコア表2[],MATCH("average",スコア表2[maxmin],0),MATCH(T$5,スコア表2[#Headers],0)))
/
INDEX(スコア表2[],MATCH("stdev.p",スコア表2[maxmin],0),MATCH(T$5,スコア表2[#Headers],0))
*10+50,"-")</f>
        <v>53.410495289134531</v>
      </c>
      <c r="U46" s="4">
        <f>IFERROR(
(INDEX(スコア表[],MATCH($C46,スコア表['#],0),MATCH(U$5,スコア表[#Headers],0))
-
INDEX(スコア表2[],MATCH("average",スコア表2[maxmin],0),MATCH(U$5,スコア表2[#Headers],0)))
/
INDEX(スコア表2[],MATCH("stdev.p",スコア表2[maxmin],0),MATCH(U$5,スコア表2[#Headers],0))
*10+50,"-")</f>
        <v>40.886770288563461</v>
      </c>
      <c r="V46" s="4">
        <f>IFERROR(
(INDEX(スコア表[],MATCH($C46,スコア表['#],0),MATCH(V$5,スコア表[#Headers],0))
-
INDEX(スコア表2[],MATCH("average",スコア表2[maxmin],0),MATCH(V$5,スコア表2[#Headers],0)))
/
INDEX(スコア表2[],MATCH("stdev.p",スコア表2[maxmin],0),MATCH(V$5,スコア表2[#Headers],0))
*10+50,"-")</f>
        <v>40.68497522826604</v>
      </c>
      <c r="W46" s="4">
        <f>IFERROR(
(INDEX(スコア表[],MATCH($C46,スコア表['#],0),MATCH(W$5,スコア表[#Headers],0))
-
INDEX(スコア表2[],MATCH("average",スコア表2[maxmin],0),MATCH(W$5,スコア表2[#Headers],0)))
/
INDEX(スコア表2[],MATCH("stdev.p",スコア表2[maxmin],0),MATCH(W$5,スコア表2[#Headers],0))
*10+50,"-")</f>
        <v>43.454519982832558</v>
      </c>
      <c r="X46" s="4">
        <f>IFERROR(
(INDEX(スコア表[],MATCH($C46,スコア表['#],0),MATCH(X$5,スコア表[#Headers],0))
-
INDEX(スコア表2[],MATCH("average",スコア表2[maxmin],0),MATCH(X$5,スコア表2[#Headers],0)))
/
INDEX(スコア表2[],MATCH("stdev.p",スコア表2[maxmin],0),MATCH(X$5,スコア表2[#Headers],0))
*10+50,"-")</f>
        <v>45.874830692343885</v>
      </c>
      <c r="Y46" s="4">
        <f>IFERROR(
(INDEX(スコア表[],MATCH($C46,スコア表['#],0),MATCH(Y$5,スコア表[#Headers],0))
-
INDEX(スコア表2[],MATCH("average",スコア表2[maxmin],0),MATCH(Y$5,スコア表2[#Headers],0)))
/
INDEX(スコア表2[],MATCH("stdev.p",スコア表2[maxmin],0),MATCH(Y$5,スコア表2[#Headers],0))
*10+50,"-")</f>
        <v>40.304347051661665</v>
      </c>
      <c r="Z46" s="4">
        <f>IFERROR(
(INDEX(スコア表[],MATCH($C46,スコア表['#],0),MATCH(Z$5,スコア表[#Headers],0))
-
INDEX(スコア表2[],MATCH("average",スコア表2[maxmin],0),MATCH(Z$5,スコア表2[#Headers],0)))
/
INDEX(スコア表2[],MATCH("stdev.p",スコア表2[maxmin],0),MATCH(Z$5,スコア表2[#Headers],0))
*10+50,"-")</f>
        <v>44.289600687476423</v>
      </c>
      <c r="AA46" s="4">
        <f>IFERROR(
(INDEX(スコア表[],MATCH($C46,スコア表['#],0),MATCH(AA$5,スコア表[#Headers],0))
-
INDEX(スコア表2[],MATCH("average",スコア表2[maxmin],0),MATCH(AA$5,スコア表2[#Headers],0)))
/
INDEX(スコア表2[],MATCH("stdev.p",スコア表2[maxmin],0),MATCH(AA$5,スコア表2[#Headers],0))
*10+50,"-")</f>
        <v>44.664612103409482</v>
      </c>
      <c r="AB46" s="4">
        <f>IFERROR(
(INDEX(スコア表[],MATCH($C46,スコア表['#],0),MATCH(AB$5,スコア表[#Headers],0))
-
INDEX(スコア表2[],MATCH("average",スコア表2[maxmin],0),MATCH(AB$5,スコア表2[#Headers],0)))
/
INDEX(スコア表2[],MATCH("stdev.p",スコア表2[maxmin],0),MATCH(AB$5,スコア表2[#Headers],0))
*10+50,"-")</f>
        <v>44.239847967136875</v>
      </c>
      <c r="AC46" s="4">
        <f>IFERROR(
(INDEX(スコア表[],MATCH($C46,スコア表['#],0),MATCH(AC$5,スコア表[#Headers],0))
-
INDEX(スコア表2[],MATCH("average",スコア表2[maxmin],0),MATCH(AC$5,スコア表2[#Headers],0)))
/
INDEX(スコア表2[],MATCH("stdev.p",スコア表2[maxmin],0),MATCH(AC$5,スコア表2[#Headers],0))
*10+50,"-")</f>
        <v>46.536723935779456</v>
      </c>
      <c r="AD46" s="4">
        <f>IFERROR(
(INDEX(スコア表[],MATCH($C46,スコア表['#],0),MATCH(AD$5,スコア表[#Headers],0))
-
INDEX(スコア表2[],MATCH("average",スコア表2[maxmin],0),MATCH(AD$5,スコア表2[#Headers],0)))
/
INDEX(スコア表2[],MATCH("stdev.p",スコア表2[maxmin],0),MATCH(AD$5,スコア表2[#Headers],0))
*10+50,"-")</f>
        <v>53.064972063990716</v>
      </c>
      <c r="AE46" s="4">
        <f>IFERROR(
(INDEX(スコア表[],MATCH($C46,スコア表['#],0),MATCH(AE$5,スコア表[#Headers],0))
-
INDEX(スコア表2[],MATCH("average",スコア表2[maxmin],0),MATCH(AE$5,スコア表2[#Headers],0)))
/
INDEX(スコア表2[],MATCH("stdev.p",スコア表2[maxmin],0),MATCH(AE$5,スコア表2[#Headers],0))
*10+50,"-")</f>
        <v>44.551501779926546</v>
      </c>
      <c r="AF46" s="4">
        <f>IFERROR(
(INDEX(スコア表[],MATCH($C46,スコア表['#],0),MATCH(AF$5,スコア表[#Headers],0))
-
INDEX(スコア表2[],MATCH("average",スコア表2[maxmin],0),MATCH(AF$5,スコア表2[#Headers],0)))
/
INDEX(スコア表2[],MATCH("stdev.p",スコア表2[maxmin],0),MATCH(AF$5,スコア表2[#Headers],0))
*10+50,"-")</f>
        <v>45.234450556189856</v>
      </c>
      <c r="AG46" s="4">
        <f>IFERROR(
(INDEX(スコア表[],MATCH($C46,スコア表['#],0),MATCH(AG$5,スコア表[#Headers],0))
-
INDEX(スコア表2[],MATCH("average",スコア表2[maxmin],0),MATCH(AG$5,スコア表2[#Headers],0)))
/
INDEX(スコア表2[],MATCH("stdev.p",スコア表2[maxmin],0),MATCH(AG$5,スコア表2[#Headers],0))
*10+50,"-")</f>
        <v>43.220944527015192</v>
      </c>
      <c r="AH46" s="4">
        <f>IFERROR(
(INDEX(スコア表[],MATCH($C46,スコア表['#],0),MATCH(AH$5,スコア表[#Headers],0))
-
INDEX(スコア表2[],MATCH("average",スコア表2[maxmin],0),MATCH(AH$5,スコア表2[#Headers],0)))
/
INDEX(スコア表2[],MATCH("stdev.p",スコア表2[maxmin],0),MATCH(AH$5,スコア表2[#Headers],0))
*10+50,"-")</f>
        <v>40.910160095405388</v>
      </c>
      <c r="AI46" s="4">
        <f>IFERROR(
(INDEX(スコア表[],MATCH($C46,スコア表['#],0),MATCH(AI$5,スコア表[#Headers],0))
-
INDEX(スコア表2[],MATCH("average",スコア表2[maxmin],0),MATCH(AI$5,スコア表2[#Headers],0)))
/
INDEX(スコア表2[],MATCH("stdev.p",スコア表2[maxmin],0),MATCH(AI$5,スコア表2[#Headers],0))
*10+50,"-")</f>
        <v>42.464241700874972</v>
      </c>
      <c r="AJ46" s="4">
        <f>IFERROR(
(INDEX(スコア表[],MATCH($C46,スコア表['#],0),MATCH(AJ$5,スコア表[#Headers],0))
-
INDEX(スコア表2[],MATCH("average",スコア表2[maxmin],0),MATCH(AJ$5,スコア表2[#Headers],0)))
/
INDEX(スコア表2[],MATCH("stdev.p",スコア表2[maxmin],0),MATCH(AJ$5,スコア表2[#Headers],0))
*10+50,"-")</f>
        <v>40.982261168307232</v>
      </c>
      <c r="AK46" s="4">
        <f>IFERROR(
(INDEX(スコア表[],MATCH($C46,スコア表['#],0),MATCH(AK$5,スコア表[#Headers],0))
-
INDEX(スコア表2[],MATCH("average",スコア表2[maxmin],0),MATCH(AK$5,スコア表2[#Headers],0)))
/
INDEX(スコア表2[],MATCH("stdev.p",スコア表2[maxmin],0),MATCH(AK$5,スコア表2[#Headers],0))
*10+50,"-")</f>
        <v>41.181745692038895</v>
      </c>
      <c r="AL46" s="4">
        <f>IFERROR(
(INDEX(スコア表[],MATCH($C46,スコア表['#],0),MATCH(AL$5,スコア表[#Headers],0))
-
INDEX(スコア表2[],MATCH("average",スコア表2[maxmin],0),MATCH(AL$5,スコア表2[#Headers],0)))
/
INDEX(スコア表2[],MATCH("stdev.p",スコア表2[maxmin],0),MATCH(AL$5,スコア表2[#Headers],0))
*10+50,"-")</f>
        <v>48.444941261127894</v>
      </c>
      <c r="AM46" s="4">
        <f>IFERROR(
(INDEX(スコア表[],MATCH($C46,スコア表['#],0),MATCH(AM$5,スコア表[#Headers],0))
-
INDEX(スコア表2[],MATCH("average",スコア表2[maxmin],0),MATCH(AM$5,スコア表2[#Headers],0)))
/
INDEX(スコア表2[],MATCH("stdev.p",スコア表2[maxmin],0),MATCH(AM$5,スコア表2[#Headers],0))
*10+50,"-")</f>
        <v>58.66276184304585</v>
      </c>
      <c r="AN46" s="4">
        <f>IFERROR(
(INDEX(スコア表[],MATCH($C46,スコア表['#],0),MATCH(AN$5,スコア表[#Headers],0))
-
INDEX(スコア表2[],MATCH("average",スコア表2[maxmin],0),MATCH(AN$5,スコア表2[#Headers],0)))
/
INDEX(スコア表2[],MATCH("stdev.p",スコア表2[maxmin],0),MATCH(AN$5,スコア表2[#Headers],0))
*10+50,"-")</f>
        <v>59.478000794782609</v>
      </c>
      <c r="AO46" s="4">
        <f>IFERROR(
(INDEX(スコア表[],MATCH($C46,スコア表['#],0),MATCH(AO$5,スコア表[#Headers],0))
-
INDEX(スコア表2[],MATCH("average",スコア表2[maxmin],0),MATCH(AO$5,スコア表2[#Headers],0)))
/
INDEX(スコア表2[],MATCH("stdev.p",スコア表2[maxmin],0),MATCH(AO$5,スコア表2[#Headers],0))
*10+50,"-")</f>
        <v>44.252702936206092</v>
      </c>
      <c r="AP46" s="4">
        <f>IFERROR(
(INDEX(スコア表[],MATCH($C46,スコア表['#],0),MATCH(AP$5,スコア表[#Headers],0))
-
INDEX(スコア表2[],MATCH("average",スコア表2[maxmin],0),MATCH(AP$5,スコア表2[#Headers],0)))
/
INDEX(スコア表2[],MATCH("stdev.p",スコア表2[maxmin],0),MATCH(AP$5,スコア表2[#Headers],0))
*10+50,"-")</f>
        <v>42.55402431050986</v>
      </c>
      <c r="AQ46" s="4">
        <f>IFERROR(
(INDEX(スコア表[],MATCH($C46,スコア表['#],0),MATCH(AQ$5,スコア表[#Headers],0))
-
INDEX(スコア表2[],MATCH("average",スコア表2[maxmin],0),MATCH(AQ$5,スコア表2[#Headers],0)))
/
INDEX(スコア表2[],MATCH("stdev.p",スコア表2[maxmin],0),MATCH(AQ$5,スコア表2[#Headers],0))
*10+50,"-")</f>
        <v>59.872124022304526</v>
      </c>
      <c r="AR46" s="4">
        <f>IFERROR(
(INDEX(スコア表[],MATCH($C46,スコア表['#],0),MATCH(AR$5,スコア表[#Headers],0))
-
INDEX(スコア表2[],MATCH("average",スコア表2[maxmin],0),MATCH(AR$5,スコア表2[#Headers],0)))
/
INDEX(スコア表2[],MATCH("stdev.p",スコア表2[maxmin],0),MATCH(AR$5,スコア表2[#Headers],0))
*10+50,"-")</f>
        <v>43.430072450559798</v>
      </c>
      <c r="AS46" s="4">
        <f>IFERROR(
(INDEX(スコア表[],MATCH($C46,スコア表['#],0),MATCH(AS$5,スコア表[#Headers],0))
-
INDEX(スコア表2[],MATCH("average",スコア表2[maxmin],0),MATCH(AS$5,スコア表2[#Headers],0)))
/
INDEX(スコア表2[],MATCH("stdev.p",スコア表2[maxmin],0),MATCH(AS$5,スコア表2[#Headers],0))
*10+50,"-")</f>
        <v>53.90642924522384</v>
      </c>
      <c r="AT46" s="4">
        <f>IFERROR(
(INDEX(スコア表[],MATCH($C46,スコア表['#],0),MATCH(AT$5,スコア表[#Headers],0))
-
INDEX(スコア表2[],MATCH("average",スコア表2[maxmin],0),MATCH(AT$5,スコア表2[#Headers],0)))
/
INDEX(スコア表2[],MATCH("stdev.p",スコア表2[maxmin],0),MATCH(AT$5,スコア表2[#Headers],0))
*10+50,"-")</f>
        <v>42.715418612218244</v>
      </c>
      <c r="AU46" s="4">
        <f>IFERROR(
(INDEX(スコア表[],MATCH($C46,スコア表['#],0),MATCH(AU$5,スコア表[#Headers],0))
-
INDEX(スコア表2[],MATCH("average",スコア表2[maxmin],0),MATCH(AU$5,スコア表2[#Headers],0)))
/
INDEX(スコア表2[],MATCH("stdev.p",スコア表2[maxmin],0),MATCH(AU$5,スコア表2[#Headers],0))
*10+50,"-")</f>
        <v>47.917279776366541</v>
      </c>
      <c r="AV46" s="4">
        <f>IFERROR(
(INDEX(スコア表[],MATCH($C46,スコア表['#],0),MATCH(AV$5,スコア表[#Headers],0))
-
INDEX(スコア表2[],MATCH("average",スコア表2[maxmin],0),MATCH(AV$5,スコア表2[#Headers],0)))
/
INDEX(スコア表2[],MATCH("stdev.p",スコア表2[maxmin],0),MATCH(AV$5,スコア表2[#Headers],0))
*10+50,"-")</f>
        <v>63.128421593808746</v>
      </c>
      <c r="AW46" s="4">
        <f>IFERROR(
(INDEX(スコア表[],MATCH($C46,スコア表['#],0),MATCH(AW$5,スコア表[#Headers],0))
-
INDEX(スコア表2[],MATCH("average",スコア表2[maxmin],0),MATCH(AW$5,スコア表2[#Headers],0)))
/
INDEX(スコア表2[],MATCH("stdev.p",スコア表2[maxmin],0),MATCH(AW$5,スコア表2[#Headers],0))
*10+50,"-")</f>
        <v>66.08387990039347</v>
      </c>
      <c r="AX46" s="4">
        <f>IFERROR(
(INDEX(スコア表[],MATCH($C46,スコア表['#],0),MATCH(AX$5,スコア表[#Headers],0))
-
INDEX(スコア表2[],MATCH("average",スコア表2[maxmin],0),MATCH(AX$5,スコア表2[#Headers],0)))
/
INDEX(スコア表2[],MATCH("stdev.p",スコア表2[maxmin],0),MATCH(AX$5,スコア表2[#Headers],0))
*10+50,"-")</f>
        <v>54.402809684540536</v>
      </c>
      <c r="AY46" s="4">
        <f>IFERROR(
(INDEX(スコア表[],MATCH($C46,スコア表['#],0),MATCH(AY$5,スコア表[#Headers],0))
-
INDEX(スコア表2[],MATCH("average",スコア表2[maxmin],0),MATCH(AY$5,スコア表2[#Headers],0)))
/
INDEX(スコア表2[],MATCH("stdev.p",スコア表2[maxmin],0),MATCH(AY$5,スコア表2[#Headers],0))
*10+50,"-")</f>
        <v>53.412762459963545</v>
      </c>
      <c r="AZ46" s="4">
        <f>IFERROR(
(INDEX(スコア表[],MATCH($C46,スコア表['#],0),MATCH(AZ$5,スコア表[#Headers],0))
-
INDEX(スコア表2[],MATCH("average",スコア表2[maxmin],0),MATCH(AZ$5,スコア表2[#Headers],0)))
/
INDEX(スコア表2[],MATCH("stdev.p",スコア表2[maxmin],0),MATCH(AZ$5,スコア表2[#Headers],0))
*10+50,"-")</f>
        <v>37.883754529164364</v>
      </c>
      <c r="BA46" s="4">
        <f>IFERROR(
(INDEX(スコア表[],MATCH($C46,スコア表['#],0),MATCH(BA$5,スコア表[#Headers],0))
-
INDEX(スコア表2[],MATCH("average",スコア表2[maxmin],0),MATCH(BA$5,スコア表2[#Headers],0)))
/
INDEX(スコア表2[],MATCH("stdev.p",スコア表2[maxmin],0),MATCH(BA$5,スコア表2[#Headers],0))
*10+50,"-")</f>
        <v>41.408477471797099</v>
      </c>
      <c r="BB46" s="4">
        <f>IFERROR(
(INDEX(スコア表[],MATCH($C46,スコア表['#],0),MATCH(BB$5,スコア表[#Headers],0))
-
INDEX(スコア表2[],MATCH("average",スコア表2[maxmin],0),MATCH(BB$5,スコア表2[#Headers],0)))
/
INDEX(スコア表2[],MATCH("stdev.p",スコア表2[maxmin],0),MATCH(BB$5,スコア表2[#Headers],0))
*10+50,"-")</f>
        <v>59.918168801451252</v>
      </c>
      <c r="BC46" s="4">
        <f>IFERROR(
(INDEX(スコア表[],MATCH($C46,スコア表['#],0),MATCH(BC$5,スコア表[#Headers],0))
-
INDEX(スコア表2[],MATCH("average",スコア表2[maxmin],0),MATCH(BC$5,スコア表2[#Headers],0)))
/
INDEX(スコア表2[],MATCH("stdev.p",スコア表2[maxmin],0),MATCH(BC$5,スコア表2[#Headers],0))
*10+50,"-")</f>
        <v>41.299318406270039</v>
      </c>
      <c r="BD46" s="4">
        <f>IFERROR(
(INDEX(スコア表[],MATCH($C46,スコア表['#],0),MATCH(BD$5,スコア表[#Headers],0))
-
INDEX(スコア表2[],MATCH("average",スコア表2[maxmin],0),MATCH(BD$5,スコア表2[#Headers],0)))
/
INDEX(スコア表2[],MATCH("stdev.p",スコア表2[maxmin],0),MATCH(BD$5,スコア表2[#Headers],0))
*10+50,"-")</f>
        <v>46.260510459821283</v>
      </c>
      <c r="BE46" s="4">
        <f>IFERROR(
(INDEX(スコア表[],MATCH($C46,スコア表['#],0),MATCH(BE$5,スコア表[#Headers],0))
-
INDEX(スコア表2[],MATCH("average",スコア表2[maxmin],0),MATCH(BE$5,スコア表2[#Headers],0)))
/
INDEX(スコア表2[],MATCH("stdev.p",スコア表2[maxmin],0),MATCH(BE$5,スコア表2[#Headers],0))
*10+50,"-")</f>
        <v>50.555908580051323</v>
      </c>
      <c r="BF46" s="4">
        <f>IFERROR(
(INDEX(スコア表[],MATCH($C46,スコア表['#],0),MATCH(BF$5,スコア表[#Headers],0))
-
INDEX(スコア表2[],MATCH("average",スコア表2[maxmin],0),MATCH(BF$5,スコア表2[#Headers],0)))
/
INDEX(スコア表2[],MATCH("stdev.p",スコア表2[maxmin],0),MATCH(BF$5,スコア表2[#Headers],0))
*10+50,"-")</f>
        <v>46.600765789472838</v>
      </c>
      <c r="BG46" s="4">
        <f>IFERROR(
(INDEX(スコア表[],MATCH($C46,スコア表['#],0),MATCH(BG$5,スコア表[#Headers],0))
-
INDEX(スコア表2[],MATCH("average",スコア表2[maxmin],0),MATCH(BG$5,スコア表2[#Headers],0)))
/
INDEX(スコア表2[],MATCH("stdev.p",スコア表2[maxmin],0),MATCH(BG$5,スコア表2[#Headers],0))
*10+50,"-")</f>
        <v>58.000707932969277</v>
      </c>
      <c r="BH46" s="4">
        <f>IFERROR(
(INDEX(スコア表[],MATCH($C46,スコア表['#],0),MATCH(BH$5,スコア表[#Headers],0))
-
INDEX(スコア表2[],MATCH("average",スコア表2[maxmin],0),MATCH(BH$5,スコア表2[#Headers],0)))
/
INDEX(スコア表2[],MATCH("stdev.p",スコア表2[maxmin],0),MATCH(BH$5,スコア表2[#Headers],0))
*10+50,"-")</f>
        <v>41.126943821884254</v>
      </c>
      <c r="BI46" s="4">
        <f>IFERROR(
(INDEX(スコア表[],MATCH($C46,スコア表['#],0),MATCH(BI$5,スコア表[#Headers],0))
-
INDEX(スコア表2[],MATCH("average",スコア表2[maxmin],0),MATCH(BI$5,スコア表2[#Headers],0)))
/
INDEX(スコア表2[],MATCH("stdev.p",スコア表2[maxmin],0),MATCH(BI$5,スコア表2[#Headers],0))
*10+50,"-")</f>
        <v>54.077037515898844</v>
      </c>
      <c r="BJ46" s="4">
        <f>IFERROR(
(INDEX(スコア表[],MATCH($C46,スコア表['#],0),MATCH(BJ$5,スコア表[#Headers],0))
-
INDEX(スコア表2[],MATCH("average",スコア表2[maxmin],0),MATCH(BJ$5,スコア表2[#Headers],0)))
/
INDEX(スコア表2[],MATCH("stdev.p",スコア表2[maxmin],0),MATCH(BJ$5,スコア表2[#Headers],0))
*10+50,"-")</f>
        <v>40.236781734125479</v>
      </c>
      <c r="BK46" s="4">
        <f>IFERROR(
(INDEX(スコア表[],MATCH($C46,スコア表['#],0),MATCH(BK$5,スコア表[#Headers],0))
-
INDEX(スコア表2[],MATCH("average",スコア表2[maxmin],0),MATCH(BK$5,スコア表2[#Headers],0)))
/
INDEX(スコア表2[],MATCH("stdev.p",スコア表2[maxmin],0),MATCH(BK$5,スコア表2[#Headers],0))
*10+50,"-")</f>
        <v>47.651911565686447</v>
      </c>
      <c r="BL46" s="4">
        <f>IFERROR(
(INDEX(スコア表[],MATCH($C46,スコア表['#],0),MATCH(BL$5,スコア表[#Headers],0))
-
INDEX(スコア表2[],MATCH("average",スコア表2[maxmin],0),MATCH(BL$5,スコア表2[#Headers],0)))
/
INDEX(スコア表2[],MATCH("stdev.p",スコア表2[maxmin],0),MATCH(BL$5,スコア表2[#Headers],0))
*10+50,"-")</f>
        <v>29.454148006791627</v>
      </c>
      <c r="BM46" s="4">
        <f>IFERROR(
(INDEX(スコア表[],MATCH($C46,スコア表['#],0),MATCH(BM$5,スコア表[#Headers],0))
-
INDEX(スコア表2[],MATCH("average",スコア表2[maxmin],0),MATCH(BM$5,スコア表2[#Headers],0)))
/
INDEX(スコア表2[],MATCH("stdev.p",スコア表2[maxmin],0),MATCH(BM$5,スコア表2[#Headers],0))
*10+50,"-")</f>
        <v>38.123331052528627</v>
      </c>
      <c r="BN46" s="4">
        <f>IFERROR(
(INDEX(スコア表[],MATCH($C46,スコア表['#],0),MATCH(BN$5,スコア表[#Headers],0))
-
INDEX(スコア表2[],MATCH("average",スコア表2[maxmin],0),MATCH(BN$5,スコア表2[#Headers],0)))
/
INDEX(スコア表2[],MATCH("stdev.p",スコア表2[maxmin],0),MATCH(BN$5,スコア表2[#Headers],0))
*10+50,"-")</f>
        <v>46.765071460328819</v>
      </c>
      <c r="BO46" s="4">
        <f>IFERROR(
(INDEX(スコア表[],MATCH($C46,スコア表['#],0),MATCH(BO$5,スコア表[#Headers],0))
-
INDEX(スコア表2[],MATCH("average",スコア表2[maxmin],0),MATCH(BO$5,スコア表2[#Headers],0)))
/
INDEX(スコア表2[],MATCH("stdev.p",スコア表2[maxmin],0),MATCH(BO$5,スコア表2[#Headers],0))
*10+50,"-")</f>
        <v>49.874399932671331</v>
      </c>
      <c r="BP46" s="4">
        <f>IFERROR(
(INDEX(スコア表[],MATCH($C46,スコア表['#],0),MATCH(BP$5,スコア表[#Headers],0))
-
INDEX(スコア表2[],MATCH("average",スコア表2[maxmin],0),MATCH(BP$5,スコア表2[#Headers],0)))
/
INDEX(スコア表2[],MATCH("stdev.p",スコア表2[maxmin],0),MATCH(BP$5,スコア表2[#Headers],0))
*10+50,"-")</f>
        <v>45.445950061628871</v>
      </c>
      <c r="BQ46" s="4">
        <f>IFERROR(
(INDEX(スコア表[],MATCH($C46,スコア表['#],0),MATCH(BQ$5,スコア表[#Headers],0))
-
INDEX(スコア表2[],MATCH("average",スコア表2[maxmin],0),MATCH(BQ$5,スコア表2[#Headers],0)))
/
INDEX(スコア表2[],MATCH("stdev.p",スコア表2[maxmin],0),MATCH(BQ$5,スコア表2[#Headers],0))
*10+50,"-")</f>
        <v>53.343347002430043</v>
      </c>
      <c r="BR46" s="4">
        <f>IFERROR(
(INDEX(スコア表[],MATCH($C46,スコア表['#],0),MATCH(BR$5,スコア表[#Headers],0))
-
INDEX(スコア表2[],MATCH("average",スコア表2[maxmin],0),MATCH(BR$5,スコア表2[#Headers],0)))
/
INDEX(スコア表2[],MATCH("stdev.p",スコア表2[maxmin],0),MATCH(BR$5,スコア表2[#Headers],0))
*10+50,"-")</f>
        <v>45.092977815614312</v>
      </c>
      <c r="BS46" s="4">
        <f>IFERROR(
(INDEX(スコア表[],MATCH($C46,スコア表['#],0),MATCH(BS$5,スコア表[#Headers],0))
-
INDEX(スコア表2[],MATCH("average",スコア表2[maxmin],0),MATCH(BS$5,スコア表2[#Headers],0)))
/
INDEX(スコア表2[],MATCH("stdev.p",スコア表2[maxmin],0),MATCH(BS$5,スコア表2[#Headers],0))
*10+50,"-")</f>
        <v>45.526826489193979</v>
      </c>
      <c r="BT46" s="4">
        <f>IFERROR(
(INDEX(スコア表[],MATCH($C46,スコア表['#],0),MATCH(BT$5,スコア表[#Headers],0))
-
INDEX(スコア表2[],MATCH("average",スコア表2[maxmin],0),MATCH(BT$5,スコア表2[#Headers],0)))
/
INDEX(スコア表2[],MATCH("stdev.p",スコア表2[maxmin],0),MATCH(BT$5,スコア表2[#Headers],0))
*10+50,"-")</f>
        <v>44.619624877321698</v>
      </c>
      <c r="BU46" s="4">
        <f>IFERROR(
(INDEX(スコア表[],MATCH($C46,スコア表['#],0),MATCH(BU$5,スコア表[#Headers],0))
-
INDEX(スコア表2[],MATCH("average",スコア表2[maxmin],0),MATCH(BU$5,スコア表2[#Headers],0)))
/
INDEX(スコア表2[],MATCH("stdev.p",スコア表2[maxmin],0),MATCH(BU$5,スコア表2[#Headers],0))
*10+50,"-")</f>
        <v>35.724584771138069</v>
      </c>
      <c r="BV46" s="4">
        <f>IFERROR(
(INDEX(スコア表[],MATCH($C46,スコア表['#],0),MATCH(BV$5,スコア表[#Headers],0))
-
INDEX(スコア表2[],MATCH("average",スコア表2[maxmin],0),MATCH(BV$5,スコア表2[#Headers],0)))
/
INDEX(スコア表2[],MATCH("stdev.p",スコア表2[maxmin],0),MATCH(BV$5,スコア表2[#Headers],0))
*10+50,"-")</f>
        <v>34.525460732283811</v>
      </c>
      <c r="BW46" s="4">
        <f>IFERROR(
(INDEX(スコア表[],MATCH($C46,スコア表['#],0),MATCH(BW$5,スコア表[#Headers],0))
-
INDEX(スコア表2[],MATCH("average",スコア表2[maxmin],0),MATCH(BW$5,スコア表2[#Headers],0)))
/
INDEX(スコア表2[],MATCH("stdev.p",スコア表2[maxmin],0),MATCH(BW$5,スコア表2[#Headers],0))
*10+50,"-")</f>
        <v>50.386490903067305</v>
      </c>
      <c r="BX46" s="4">
        <f>IFERROR(
(INDEX(スコア表[],MATCH($C46,スコア表['#],0),MATCH(BX$5,スコア表[#Headers],0))
-
INDEX(スコア表2[],MATCH("average",スコア表2[maxmin],0),MATCH(BX$5,スコア表2[#Headers],0)))
/
INDEX(スコア表2[],MATCH("stdev.p",スコア表2[maxmin],0),MATCH(BX$5,スコア表2[#Headers],0))
*10+50,"-")</f>
        <v>60.710543171398079</v>
      </c>
      <c r="BY46" s="4">
        <f>IFERROR(
(INDEX(スコア表[],MATCH($C46,スコア表['#],0),MATCH(BY$5,スコア表[#Headers],0))
-
INDEX(スコア表2[],MATCH("average",スコア表2[maxmin],0),MATCH(BY$5,スコア表2[#Headers],0)))
/
INDEX(スコア表2[],MATCH("stdev.p",スコア表2[maxmin],0),MATCH(BY$5,スコア表2[#Headers],0))
*10+50,"-")</f>
        <v>55.059441993084597</v>
      </c>
      <c r="BZ46" s="4">
        <f>IFERROR(
(INDEX(スコア表[],MATCH($C46,スコア表['#],0),MATCH(BZ$5,スコア表[#Headers],0))
-
INDEX(スコア表2[],MATCH("average",スコア表2[maxmin],0),MATCH(BZ$5,スコア表2[#Headers],0)))
/
INDEX(スコア表2[],MATCH("stdev.p",スコア表2[maxmin],0),MATCH(BZ$5,スコア表2[#Headers],0))
*10+50,"-")</f>
        <v>39.268537738064175</v>
      </c>
      <c r="CA46" s="4">
        <f>IFERROR(
(INDEX(スコア表[],MATCH($C46,スコア表['#],0),MATCH(CA$5,スコア表[#Headers],0))
-
INDEX(スコア表2[],MATCH("average",スコア表2[maxmin],0),MATCH(CA$5,スコア表2[#Headers],0)))
/
INDEX(スコア表2[],MATCH("stdev.p",スコア表2[maxmin],0),MATCH(CA$5,スコア表2[#Headers],0))
*10+50,"-")</f>
        <v>49.911929525048357</v>
      </c>
      <c r="CB46" s="4">
        <f>IFERROR(
(INDEX(スコア表[],MATCH($C46,スコア表['#],0),MATCH(CB$5,スコア表[#Headers],0))
-
INDEX(スコア表2[],MATCH("average",スコア表2[maxmin],0),MATCH(CB$5,スコア表2[#Headers],0)))
/
INDEX(スコア表2[],MATCH("stdev.p",スコア表2[maxmin],0),MATCH(CB$5,スコア表2[#Headers],0))
*10+50,"-")</f>
        <v>46.144249260143347</v>
      </c>
      <c r="CC46" s="4">
        <f>IFERROR(
(INDEX(スコア表[],MATCH($C46,スコア表['#],0),MATCH(CC$5,スコア表[#Headers],0))
-
INDEX(スコア表2[],MATCH("average",スコア表2[maxmin],0),MATCH(CC$5,スコア表2[#Headers],0)))
/
INDEX(スコア表2[],MATCH("stdev.p",スコア表2[maxmin],0),MATCH(CC$5,スコア表2[#Headers],0))
*10+50,"-")</f>
        <v>45.618760083094898</v>
      </c>
      <c r="CD46" s="4">
        <f>IFERROR(
(INDEX(スコア表[],MATCH($C46,スコア表['#],0),MATCH(CD$5,スコア表[#Headers],0))
-
INDEX(スコア表2[],MATCH("average",スコア表2[maxmin],0),MATCH(CD$5,スコア表2[#Headers],0)))
/
INDEX(スコア表2[],MATCH("stdev.p",スコア表2[maxmin],0),MATCH(CD$5,スコア表2[#Headers],0))
*10+50,"-")</f>
        <v>40.503687492332347</v>
      </c>
      <c r="CE46" s="4">
        <f>IFERROR(
(INDEX(スコア表[],MATCH($C46,スコア表['#],0),MATCH(CE$5,スコア表[#Headers],0))
-
INDEX(スコア表2[],MATCH("average",スコア表2[maxmin],0),MATCH(CE$5,スコア表2[#Headers],0)))
/
INDEX(スコア表2[],MATCH("stdev.p",スコア表2[maxmin],0),MATCH(CE$5,スコア表2[#Headers],0))
*10+50,"-")</f>
        <v>53.394371145752451</v>
      </c>
      <c r="CF46" s="4">
        <f>IFERROR(
(INDEX(スコア表[],MATCH($C46,スコア表['#],0),MATCH(CF$5,スコア表[#Headers],0))
-
INDEX(スコア表2[],MATCH("average",スコア表2[maxmin],0),MATCH(CF$5,スコア表2[#Headers],0)))
/
INDEX(スコア表2[],MATCH("stdev.p",スコア表2[maxmin],0),MATCH(CF$5,スコア表2[#Headers],0))
*10+50,"-")</f>
        <v>39.239210965683071</v>
      </c>
      <c r="CG46" s="4">
        <f>IFERROR(
(INDEX(スコア表[],MATCH($C46,スコア表['#],0),MATCH(CG$5,スコア表[#Headers],0))
-
INDEX(スコア表2[],MATCH("average",スコア表2[maxmin],0),MATCH(CG$5,スコア表2[#Headers],0)))
/
INDEX(スコア表2[],MATCH("stdev.p",スコア表2[maxmin],0),MATCH(CG$5,スコア表2[#Headers],0))
*10+50,"-")</f>
        <v>40.028608045483708</v>
      </c>
      <c r="CH46" s="4">
        <f>IFERROR(
(INDEX(スコア表[],MATCH($C46,スコア表['#],0),MATCH(CH$5,スコア表[#Headers],0))
-
INDEX(スコア表2[],MATCH("average",スコア表2[maxmin],0),MATCH(CH$5,スコア表2[#Headers],0)))
/
INDEX(スコア表2[],MATCH("stdev.p",スコア表2[maxmin],0),MATCH(CH$5,スコア表2[#Headers],0))
*10+50,"-")</f>
        <v>42.584908232465857</v>
      </c>
      <c r="CI46" s="4">
        <f>IFERROR(
(INDEX(スコア表[],MATCH($C46,スコア表['#],0),MATCH(CI$5,スコア表[#Headers],0))
-
INDEX(スコア表2[],MATCH("average",スコア表2[maxmin],0),MATCH(CI$5,スコア表2[#Headers],0)))
/
INDEX(スコア表2[],MATCH("stdev.p",スコア表2[maxmin],0),MATCH(CI$5,スコア表2[#Headers],0))
*10+50,"-")</f>
        <v>45.801743599097207</v>
      </c>
      <c r="CJ46" s="4">
        <f>IFERROR(
(INDEX(スコア表[],MATCH($C46,スコア表['#],0),MATCH(CJ$5,スコア表[#Headers],0))
-
INDEX(スコア表2[],MATCH("average",スコア表2[maxmin],0),MATCH(CJ$5,スコア表2[#Headers],0)))
/
INDEX(スコア表2[],MATCH("stdev.p",スコア表2[maxmin],0),MATCH(CJ$5,スコア表2[#Headers],0))
*10+50,"-")</f>
        <v>38.53631649482206</v>
      </c>
      <c r="CK46" s="4">
        <f>IFERROR(
(INDEX(スコア表[],MATCH($C46,スコア表['#],0),MATCH(CK$5,スコア表[#Headers],0))
-
INDEX(スコア表2[],MATCH("average",スコア表2[maxmin],0),MATCH(CK$5,スコア表2[#Headers],0)))
/
INDEX(スコア表2[],MATCH("stdev.p",スコア表2[maxmin],0),MATCH(CK$5,スコア表2[#Headers],0))
*10+50,"-")</f>
        <v>42.359896876851003</v>
      </c>
      <c r="CL46" s="4">
        <f>IFERROR(
(INDEX(スコア表[],MATCH($C46,スコア表['#],0),MATCH(CL$5,スコア表[#Headers],0))
-
INDEX(スコア表2[],MATCH("average",スコア表2[maxmin],0),MATCH(CL$5,スコア表2[#Headers],0)))
/
INDEX(スコア表2[],MATCH("stdev.p",スコア表2[maxmin],0),MATCH(CL$5,スコア表2[#Headers],0))
*10+50,"-")</f>
        <v>52.128830986168403</v>
      </c>
      <c r="CM46" s="4">
        <f>IFERROR(
(INDEX(スコア表[],MATCH($C46,スコア表['#],0),MATCH(CM$5,スコア表[#Headers],0))
-
INDEX(スコア表2[],MATCH("average",スコア表2[maxmin],0),MATCH(CM$5,スコア表2[#Headers],0)))
/
INDEX(スコア表2[],MATCH("stdev.p",スコア表2[maxmin],0),MATCH(CM$5,スコア表2[#Headers],0))
*10+50,"-")</f>
        <v>51.033571882432227</v>
      </c>
      <c r="CN46" s="4">
        <f>IFERROR(
(INDEX(スコア表[],MATCH($C46,スコア表['#],0),MATCH(CN$5,スコア表[#Headers],0))
-
INDEX(スコア表2[],MATCH("average",スコア表2[maxmin],0),MATCH(CN$5,スコア表2[#Headers],0)))
/
INDEX(スコア表2[],MATCH("stdev.p",スコア表2[maxmin],0),MATCH(CN$5,スコア表2[#Headers],0))
*10+50,"-")</f>
        <v>45.658462125031406</v>
      </c>
      <c r="CO46" s="4">
        <f>IFERROR(
(INDEX(スコア表[],MATCH($C46,スコア表['#],0),MATCH(CO$5,スコア表[#Headers],0))
-
INDEX(スコア表2[],MATCH("average",スコア表2[maxmin],0),MATCH(CO$5,スコア表2[#Headers],0)))
/
INDEX(スコア表2[],MATCH("stdev.p",スコア表2[maxmin],0),MATCH(CO$5,スコア表2[#Headers],0))
*10+50,"-")</f>
        <v>65.819540245617077</v>
      </c>
      <c r="CP46" s="4">
        <f>IFERROR(
(INDEX(スコア表[],MATCH($C46,スコア表['#],0),MATCH(CP$5,スコア表[#Headers],0))
-
INDEX(スコア表2[],MATCH("average",スコア表2[maxmin],0),MATCH(CP$5,スコア表2[#Headers],0)))
/
INDEX(スコア表2[],MATCH("stdev.p",スコア表2[maxmin],0),MATCH(CP$5,スコア表2[#Headers],0))
*10+50,"-")</f>
        <v>55.813313299052652</v>
      </c>
      <c r="CQ46" s="4">
        <f>IFERROR(
(INDEX(スコア表[],MATCH($C46,スコア表['#],0),MATCH(CQ$5,スコア表[#Headers],0))
-
INDEX(スコア表2[],MATCH("average",スコア表2[maxmin],0),MATCH(CQ$5,スコア表2[#Headers],0)))
/
INDEX(スコア表2[],MATCH("stdev.p",スコア表2[maxmin],0),MATCH(CQ$5,スコア表2[#Headers],0))
*10+50,"-")</f>
        <v>46.054910011736453</v>
      </c>
      <c r="CR46" s="4">
        <f>IFERROR(
(INDEX(スコア表[],MATCH($C46,スコア表['#],0),MATCH(CR$5,スコア表[#Headers],0))
-
INDEX(スコア表2[],MATCH("average",スコア表2[maxmin],0),MATCH(CR$5,スコア表2[#Headers],0)))
/
INDEX(スコア表2[],MATCH("stdev.p",スコア表2[maxmin],0),MATCH(CR$5,スコア表2[#Headers],0))
*10+50,"-")</f>
        <v>42.970986184564318</v>
      </c>
      <c r="CS46" s="4">
        <f>IFERROR(
(INDEX(スコア表[],MATCH($C46,スコア表['#],0),MATCH(CS$5,スコア表[#Headers],0))
-
INDEX(スコア表2[],MATCH("average",スコア表2[maxmin],0),MATCH(CS$5,スコア表2[#Headers],0)))
/
INDEX(スコア表2[],MATCH("stdev.p",スコア表2[maxmin],0),MATCH(CS$5,スコア表2[#Headers],0))
*10+50,"-")</f>
        <v>51.494385711641122</v>
      </c>
      <c r="CT46" s="4">
        <f>IFERROR(
(INDEX(スコア表[],MATCH($C46,スコア表['#],0),MATCH(CT$5,スコア表[#Headers],0))
-
INDEX(スコア表2[],MATCH("average",スコア表2[maxmin],0),MATCH(CT$5,スコア表2[#Headers],0)))
/
INDEX(スコア表2[],MATCH("stdev.p",スコア表2[maxmin],0),MATCH(CT$5,スコア表2[#Headers],0))
*10+50,"-")</f>
        <v>32.013356441757395</v>
      </c>
      <c r="CU46" s="4">
        <f>IFERROR(
(INDEX(スコア表[],MATCH($C46,スコア表['#],0),MATCH(CU$5,スコア表[#Headers],0))
-
INDEX(スコア表2[],MATCH("average",スコア表2[maxmin],0),MATCH(CU$5,スコア表2[#Headers],0)))
/
INDEX(スコア表2[],MATCH("stdev.p",スコア表2[maxmin],0),MATCH(CU$5,スコア表2[#Headers],0))
*10+50,"-")</f>
        <v>43.792323410537776</v>
      </c>
      <c r="CV46" s="4">
        <f>IFERROR(
(INDEX(スコア表[],MATCH($C46,スコア表['#],0),MATCH(CV$5,スコア表[#Headers],0))
-
INDEX(スコア表2[],MATCH("average",スコア表2[maxmin],0),MATCH(CV$5,スコア表2[#Headers],0)))
/
INDEX(スコア表2[],MATCH("stdev.p",スコア表2[maxmin],0),MATCH(CV$5,スコア表2[#Headers],0))
*10+50,"-")</f>
        <v>49.044606616234418</v>
      </c>
      <c r="CW46" s="4">
        <f>IFERROR(
(INDEX(スコア表[],MATCH($C46,スコア表['#],0),MATCH(CW$5,スコア表[#Headers],0))
-
INDEX(スコア表2[],MATCH("average",スコア表2[maxmin],0),MATCH(CW$5,スコア表2[#Headers],0)))
/
INDEX(スコア表2[],MATCH("stdev.p",スコア表2[maxmin],0),MATCH(CW$5,スコア表2[#Headers],0))
*10+50,"-")</f>
        <v>45.222231529851157</v>
      </c>
      <c r="CX46" s="4">
        <f>IFERROR(
(INDEX(スコア表[],MATCH($C46,スコア表['#],0),MATCH(CX$5,スコア表[#Headers],0))
-
INDEX(スコア表2[],MATCH("average",スコア表2[maxmin],0),MATCH(CX$5,スコア表2[#Headers],0)))
/
INDEX(スコア表2[],MATCH("stdev.p",スコア表2[maxmin],0),MATCH(CX$5,スコア表2[#Headers],0))
*10+50,"-")</f>
        <v>29.596862604242421</v>
      </c>
      <c r="CY46" s="4">
        <f>IFERROR(
(INDEX(スコア表[],MATCH($C46,スコア表['#],0),MATCH(CY$5,スコア表[#Headers],0))
-
INDEX(スコア表2[],MATCH("average",スコア表2[maxmin],0),MATCH(CY$5,スコア表2[#Headers],0)))
/
INDEX(スコア表2[],MATCH("stdev.p",スコア表2[maxmin],0),MATCH(CY$5,スコア表2[#Headers],0))
*10+50,"-")</f>
        <v>57.587529796950442</v>
      </c>
      <c r="CZ46" s="4">
        <f>IFERROR(
(INDEX(スコア表[],MATCH($C46,スコア表['#],0),MATCH(CZ$5,スコア表[#Headers],0))
-
INDEX(スコア表2[],MATCH("average",スコア表2[maxmin],0),MATCH(CZ$5,スコア表2[#Headers],0)))
/
INDEX(スコア表2[],MATCH("stdev.p",スコア表2[maxmin],0),MATCH(CZ$5,スコア表2[#Headers],0))
*10+50,"-")</f>
        <v>43.07713737069777</v>
      </c>
      <c r="DA46" s="4">
        <f>IFERROR(
(INDEX(スコア表[],MATCH($C46,スコア表['#],0),MATCH(DA$5,スコア表[#Headers],0))
-
INDEX(スコア表2[],MATCH("average",スコア表2[maxmin],0),MATCH(DA$5,スコア表2[#Headers],0)))
/
INDEX(スコア表2[],MATCH("stdev.p",スコア表2[maxmin],0),MATCH(DA$5,スコア表2[#Headers],0))
*10+50,"-")</f>
        <v>39.835278190274693</v>
      </c>
      <c r="DB46" s="4">
        <f>IFERROR(
(INDEX(スコア表[],MATCH($C46,スコア表['#],0),MATCH(DB$5,スコア表[#Headers],0))
-
INDEX(スコア表2[],MATCH("average",スコア表2[maxmin],0),MATCH(DB$5,スコア表2[#Headers],0)))
/
INDEX(スコア表2[],MATCH("stdev.p",スコア表2[maxmin],0),MATCH(DB$5,スコア表2[#Headers],0))
*10+50,"-")</f>
        <v>44.934623519722471</v>
      </c>
      <c r="DC46" s="4">
        <f>IFERROR(
(INDEX(スコア表[],MATCH($C46,スコア表['#],0),MATCH(DC$5,スコア表[#Headers],0))
-
INDEX(スコア表2[],MATCH("average",スコア表2[maxmin],0),MATCH(DC$5,スコア表2[#Headers],0)))
/
INDEX(スコア表2[],MATCH("stdev.p",スコア表2[maxmin],0),MATCH(DC$5,スコア表2[#Headers],0))
*10+50,"-")</f>
        <v>56.243849647788736</v>
      </c>
      <c r="DD46" s="4">
        <f>IFERROR(
(INDEX(スコア表[],MATCH($C46,スコア表['#],0),MATCH(DD$5,スコア表[#Headers],0))
-
INDEX(スコア表2[],MATCH("average",スコア表2[maxmin],0),MATCH(DD$5,スコア表2[#Headers],0)))
/
INDEX(スコア表2[],MATCH("stdev.p",スコア表2[maxmin],0),MATCH(DD$5,スコア表2[#Headers],0))
*10+50,"-")</f>
        <v>40.152526574407716</v>
      </c>
      <c r="DE46" s="4">
        <f>IFERROR(
(INDEX(スコア表[],MATCH($C46,スコア表['#],0),MATCH(DE$5,スコア表[#Headers],0))
-
INDEX(スコア表2[],MATCH("average",スコア表2[maxmin],0),MATCH(DE$5,スコア表2[#Headers],0)))
/
INDEX(スコア表2[],MATCH("stdev.p",スコア表2[maxmin],0),MATCH(DE$5,スコア表2[#Headers],0))
*10+50,"-")</f>
        <v>42.225782883983051</v>
      </c>
      <c r="DF46" s="76">
        <f>IFERROR(
(INDEX(スコア表[],MATCH($C46,スコア表['#],0),MATCH(DF$5,スコア表[#Headers],0))
-
INDEX(スコア表2[],MATCH("average",スコア表2[maxmin],0),MATCH(DF$5,スコア表2[#Headers],0)))
/
INDEX(スコア表2[],MATCH("stdev.p",スコア表2[maxmin],0),MATCH(DF$5,スコア表2[#Headers],0))
*10+50,"-")</f>
        <v>41.196959652990273</v>
      </c>
      <c r="DG46" s="4">
        <f>IFERROR(_xlfn.STDEV.P(偏差値表[[#This Row],[Economy]:[Accessibility]]),"")</f>
        <v>5.5665174634790135</v>
      </c>
    </row>
    <row r="47" spans="1:111">
      <c r="A47" s="2">
        <v>42</v>
      </c>
      <c r="B47" s="58">
        <f>INDEX(順位表[Comprehensive],MATCH($C47,順位表['#],0))</f>
        <v>42</v>
      </c>
      <c r="C47" s="3">
        <v>27</v>
      </c>
      <c r="D47" s="1" t="str">
        <f>INDEX(都市マスタ[City Name],MATCH($C47,都市マスタ['#],0))</f>
        <v>Fukuoka</v>
      </c>
      <c r="E47" s="4">
        <f>IFERROR(
(INDEX(スコア表[],MATCH($C47,スコア表['#],0),MATCH(E$5,スコア表[#Headers],0))
-
INDEX(スコア表2[],MATCH("average",スコア表2[maxmin],0),MATCH(E$5,スコア表2[#Headers],0)))
/
INDEX(スコア表2[],MATCH("stdev.p",スコア表2[maxmin],0),MATCH(E$5,スコア表2[#Headers],0))
*10+50,"-")</f>
        <v>43.404960020184248</v>
      </c>
      <c r="F47" s="4">
        <f>IFERROR(
(INDEX(スコア表[],MATCH($C47,スコア表['#],0),MATCH(F$5,スコア表[#Headers],0))
-
INDEX(スコア表2[],MATCH("average",スコア表2[maxmin],0),MATCH(F$5,スコア表2[#Headers],0)))
/
INDEX(スコア表2[],MATCH("stdev.p",スコア表2[maxmin],0),MATCH(F$5,スコア表2[#Headers],0))
*10+50,"-")</f>
        <v>45.829862463874875</v>
      </c>
      <c r="G47" s="4">
        <f>IFERROR(
(INDEX(スコア表[],MATCH($C47,スコア表['#],0),MATCH(G$5,スコア表[#Headers],0))
-
INDEX(スコア表2[],MATCH("average",スコア表2[maxmin],0),MATCH(G$5,スコア表2[#Headers],0)))
/
INDEX(スコア表2[],MATCH("stdev.p",スコア表2[maxmin],0),MATCH(G$5,スコア表2[#Headers],0))
*10+50,"-")</f>
        <v>48.947412332433075</v>
      </c>
      <c r="H47" s="4">
        <f>IFERROR(
(INDEX(スコア表[],MATCH($C47,スコア表['#],0),MATCH(H$5,スコア表[#Headers],0))
-
INDEX(スコア表2[],MATCH("average",スコア表2[maxmin],0),MATCH(H$5,スコア表2[#Headers],0)))
/
INDEX(スコア表2[],MATCH("stdev.p",スコア表2[maxmin],0),MATCH(H$5,スコア表2[#Headers],0))
*10+50,"-")</f>
        <v>42.828582234640933</v>
      </c>
      <c r="I47" s="4">
        <f>IFERROR(
(INDEX(スコア表[],MATCH($C47,スコア表['#],0),MATCH(I$5,スコア表[#Headers],0))
-
INDEX(スコア表2[],MATCH("average",スコア表2[maxmin],0),MATCH(I$5,スコア表2[#Headers],0)))
/
INDEX(スコア表2[],MATCH("stdev.p",スコア表2[maxmin],0),MATCH(I$5,スコア表2[#Headers],0))
*10+50,"-")</f>
        <v>44.701560214085319</v>
      </c>
      <c r="J47" s="4">
        <f>IFERROR(
(INDEX(スコア表[],MATCH($C47,スコア表['#],0),MATCH(J$5,スコア表[#Headers],0))
-
INDEX(スコア表2[],MATCH("average",スコア表2[maxmin],0),MATCH(J$5,スコア表2[#Headers],0)))
/
INDEX(スコア表2[],MATCH("stdev.p",スコア表2[maxmin],0),MATCH(J$5,スコア表2[#Headers],0))
*10+50,"-")</f>
        <v>30.40043971074877</v>
      </c>
      <c r="K47" s="4">
        <f>IFERROR(
(INDEX(スコア表[],MATCH($C47,スコア表['#],0),MATCH(K$5,スコア表[#Headers],0))
-
INDEX(スコア表2[],MATCH("average",スコア表2[maxmin],0),MATCH(K$5,スコア表2[#Headers],0)))
/
INDEX(スコア表2[],MATCH("stdev.p",スコア表2[maxmin],0),MATCH(K$5,スコア表2[#Headers],0))
*10+50,"-")</f>
        <v>51.593749602246064</v>
      </c>
      <c r="L47" s="4">
        <f>IFERROR(
(INDEX(スコア表[],MATCH($C47,スコア表['#],0),MATCH(L$5,スコア表[#Headers],0))
-
INDEX(スコア表2[],MATCH("average",スコア表2[maxmin],0),MATCH(L$5,スコア表2[#Headers],0)))
/
INDEX(スコア表2[],MATCH("stdev.p",スコア表2[maxmin],0),MATCH(L$5,スコア表2[#Headers],0))
*10+50,"-")</f>
        <v>46.831481232281661</v>
      </c>
      <c r="M47" s="4">
        <f>IFERROR(
(INDEX(スコア表[],MATCH($C47,スコア表['#],0),MATCH(M$5,スコア表[#Headers],0))
-
INDEX(スコア表2[],MATCH("average",スコア表2[maxmin],0),MATCH(M$5,スコア表2[#Headers],0)))
/
INDEX(スコア表2[],MATCH("stdev.p",スコア表2[maxmin],0),MATCH(M$5,スコア表2[#Headers],0))
*10+50,"-")</f>
        <v>45.544318921595732</v>
      </c>
      <c r="N47" s="4">
        <f>IFERROR(
(INDEX(スコア表[],MATCH($C47,スコア表['#],0),MATCH(N$5,スコア表[#Headers],0))
-
INDEX(スコア表2[],MATCH("average",スコア表2[maxmin],0),MATCH(N$5,スコア表2[#Headers],0)))
/
INDEX(スコア表2[],MATCH("stdev.p",スコア表2[maxmin],0),MATCH(N$5,スコア表2[#Headers],0))
*10+50,"-")</f>
        <v>43.358569535459345</v>
      </c>
      <c r="O47" s="4">
        <f>IFERROR(
(INDEX(スコア表[],MATCH($C47,スコア表['#],0),MATCH(O$5,スコア表[#Headers],0))
-
INDEX(スコア表2[],MATCH("average",スコア表2[maxmin],0),MATCH(O$5,スコア表2[#Headers],0)))
/
INDEX(スコア表2[],MATCH("stdev.p",スコア表2[maxmin],0),MATCH(O$5,スコア表2[#Headers],0))
*10+50,"-")</f>
        <v>52.615295425484973</v>
      </c>
      <c r="P47" s="4">
        <f>IFERROR(
(INDEX(スコア表[],MATCH($C47,スコア表['#],0),MATCH(P$5,スコア表[#Headers],0))
-
INDEX(スコア表2[],MATCH("average",スコア表2[maxmin],0),MATCH(P$5,スコア表2[#Headers],0)))
/
INDEX(スコア表2[],MATCH("stdev.p",スコア表2[maxmin],0),MATCH(P$5,スコア表2[#Headers],0))
*10+50,"-")</f>
        <v>42.709586076990938</v>
      </c>
      <c r="Q47" s="4">
        <f>IFERROR(
(INDEX(スコア表[],MATCH($C47,スコア表['#],0),MATCH(Q$5,スコア表[#Headers],0))
-
INDEX(スコア表2[],MATCH("average",スコア表2[maxmin],0),MATCH(Q$5,スコア表2[#Headers],0)))
/
INDEX(スコア表2[],MATCH("stdev.p",スコア表2[maxmin],0),MATCH(Q$5,スコア表2[#Headers],0))
*10+50,"-")</f>
        <v>33.665514257862988</v>
      </c>
      <c r="R47" s="4">
        <f>IFERROR(
(INDEX(スコア表[],MATCH($C47,スコア表['#],0),MATCH(R$5,スコア表[#Headers],0))
-
INDEX(スコア表2[],MATCH("average",スコア表2[maxmin],0),MATCH(R$5,スコア表2[#Headers],0)))
/
INDEX(スコア表2[],MATCH("stdev.p",スコア表2[maxmin],0),MATCH(R$5,スコア表2[#Headers],0))
*10+50,"-")</f>
        <v>40.543756999351402</v>
      </c>
      <c r="S47" s="4">
        <f>IFERROR(
(INDEX(スコア表[],MATCH($C47,スコア表['#],0),MATCH(S$5,スコア表[#Headers],0))
-
INDEX(スコア表2[],MATCH("average",スコア表2[maxmin],0),MATCH(S$5,スコア表2[#Headers],0)))
/
INDEX(スコア表2[],MATCH("stdev.p",スコア表2[maxmin],0),MATCH(S$5,スコア表2[#Headers],0))
*10+50,"-")</f>
        <v>40.15927020642404</v>
      </c>
      <c r="T47" s="4">
        <f>IFERROR(
(INDEX(スコア表[],MATCH($C47,スコア表['#],0),MATCH(T$5,スコア表[#Headers],0))
-
INDEX(スコア表2[],MATCH("average",スコア表2[maxmin],0),MATCH(T$5,スコア表2[#Headers],0)))
/
INDEX(スコア表2[],MATCH("stdev.p",スコア表2[maxmin],0),MATCH(T$5,スコア表2[#Headers],0))
*10+50,"-")</f>
        <v>52.785195217575691</v>
      </c>
      <c r="U47" s="4">
        <f>IFERROR(
(INDEX(スコア表[],MATCH($C47,スコア表['#],0),MATCH(U$5,スコア表[#Headers],0))
-
INDEX(スコア表2[],MATCH("average",スコア表2[maxmin],0),MATCH(U$5,スコア表2[#Headers],0)))
/
INDEX(スコア表2[],MATCH("stdev.p",スコア表2[maxmin],0),MATCH(U$5,スコア表2[#Headers],0))
*10+50,"-")</f>
        <v>44.716120870057139</v>
      </c>
      <c r="V47" s="4">
        <f>IFERROR(
(INDEX(スコア表[],MATCH($C47,スコア表['#],0),MATCH(V$5,スコア表[#Headers],0))
-
INDEX(スコア表2[],MATCH("average",スコア表2[maxmin],0),MATCH(V$5,スコア表2[#Headers],0)))
/
INDEX(スコア表2[],MATCH("stdev.p",スコア表2[maxmin],0),MATCH(V$5,スコア表2[#Headers],0))
*10+50,"-")</f>
        <v>40.590206006334618</v>
      </c>
      <c r="W47" s="4">
        <f>IFERROR(
(INDEX(スコア表[],MATCH($C47,スコア表['#],0),MATCH(W$5,スコア表[#Headers],0))
-
INDEX(スコア表2[],MATCH("average",スコア表2[maxmin],0),MATCH(W$5,スコア表2[#Headers],0)))
/
INDEX(スコア表2[],MATCH("stdev.p",スコア表2[maxmin],0),MATCH(W$5,スコア表2[#Headers],0))
*10+50,"-")</f>
        <v>46.175442098682282</v>
      </c>
      <c r="X47" s="4">
        <f>IFERROR(
(INDEX(スコア表[],MATCH($C47,スコア表['#],0),MATCH(X$5,スコア表[#Headers],0))
-
INDEX(スコア表2[],MATCH("average",スコア表2[maxmin],0),MATCH(X$5,スコア表2[#Headers],0)))
/
INDEX(スコア表2[],MATCH("stdev.p",スコア表2[maxmin],0),MATCH(X$5,スコア表2[#Headers],0))
*10+50,"-")</f>
        <v>42.089957382120524</v>
      </c>
      <c r="Y47" s="4">
        <f>IFERROR(
(INDEX(スコア表[],MATCH($C47,スコア表['#],0),MATCH(Y$5,スコア表[#Headers],0))
-
INDEX(スコア表2[],MATCH("average",スコア表2[maxmin],0),MATCH(Y$5,スコア表2[#Headers],0)))
/
INDEX(スコア表2[],MATCH("stdev.p",スコア表2[maxmin],0),MATCH(Y$5,スコア表2[#Headers],0))
*10+50,"-")</f>
        <v>57.273290669212244</v>
      </c>
      <c r="Z47" s="4">
        <f>IFERROR(
(INDEX(スコア表[],MATCH($C47,スコア表['#],0),MATCH(Z$5,スコア表[#Headers],0))
-
INDEX(スコア表2[],MATCH("average",スコア表2[maxmin],0),MATCH(Z$5,スコア表2[#Headers],0)))
/
INDEX(スコア表2[],MATCH("stdev.p",スコア表2[maxmin],0),MATCH(Z$5,スコア表2[#Headers],0))
*10+50,"-")</f>
        <v>49.232777273138055</v>
      </c>
      <c r="AA47" s="4">
        <f>IFERROR(
(INDEX(スコア表[],MATCH($C47,スコア表['#],0),MATCH(AA$5,スコア表[#Headers],0))
-
INDEX(スコア表2[],MATCH("average",スコア表2[maxmin],0),MATCH(AA$5,スコア表2[#Headers],0)))
/
INDEX(スコア表2[],MATCH("stdev.p",スコア表2[maxmin],0),MATCH(AA$5,スコア表2[#Headers],0))
*10+50,"-")</f>
        <v>44.664612103409482</v>
      </c>
      <c r="AB47" s="4">
        <f>IFERROR(
(INDEX(スコア表[],MATCH($C47,スコア表['#],0),MATCH(AB$5,スコア表[#Headers],0))
-
INDEX(スコア表2[],MATCH("average",スコア表2[maxmin],0),MATCH(AB$5,スコア表2[#Headers],0)))
/
INDEX(スコア表2[],MATCH("stdev.p",スコア表2[maxmin],0),MATCH(AB$5,スコア表2[#Headers],0))
*10+50,"-")</f>
        <v>43.128890051284046</v>
      </c>
      <c r="AC47" s="4">
        <f>IFERROR(
(INDEX(スコア表[],MATCH($C47,スコア表['#],0),MATCH(AC$5,スコア表[#Headers],0))
-
INDEX(スコア表2[],MATCH("average",スコア表2[maxmin],0),MATCH(AC$5,スコア表2[#Headers],0)))
/
INDEX(スコア表2[],MATCH("stdev.p",スコア表2[maxmin],0),MATCH(AC$5,スコア表2[#Headers],0))
*10+50,"-")</f>
        <v>43.044344711375658</v>
      </c>
      <c r="AD47" s="4">
        <f>IFERROR(
(INDEX(スコア表[],MATCH($C47,スコア表['#],0),MATCH(AD$5,スコア表[#Headers],0))
-
INDEX(スコア表2[],MATCH("average",スコア表2[maxmin],0),MATCH(AD$5,スコア表2[#Headers],0)))
/
INDEX(スコア表2[],MATCH("stdev.p",スコア表2[maxmin],0),MATCH(AD$5,スコア表2[#Headers],0))
*10+50,"-")</f>
        <v>33.113697322715581</v>
      </c>
      <c r="AE47" s="4">
        <f>IFERROR(
(INDEX(スコア表[],MATCH($C47,スコア表['#],0),MATCH(AE$5,スコア表[#Headers],0))
-
INDEX(スコア表2[],MATCH("average",スコア表2[maxmin],0),MATCH(AE$5,スコア表2[#Headers],0)))
/
INDEX(スコア表2[],MATCH("stdev.p",スコア表2[maxmin],0),MATCH(AE$5,スコア表2[#Headers],0))
*10+50,"-")</f>
        <v>43.994914482821564</v>
      </c>
      <c r="AF47" s="4">
        <f>IFERROR(
(INDEX(スコア表[],MATCH($C47,スコア表['#],0),MATCH(AF$5,スコア表[#Headers],0))
-
INDEX(スコア表2[],MATCH("average",スコア表2[maxmin],0),MATCH(AF$5,スコア表2[#Headers],0)))
/
INDEX(スコア表2[],MATCH("stdev.p",スコア表2[maxmin],0),MATCH(AF$5,スコア表2[#Headers],0))
*10+50,"-")</f>
        <v>45.069047883686792</v>
      </c>
      <c r="AG47" s="4">
        <f>IFERROR(
(INDEX(スコア表[],MATCH($C47,スコア表['#],0),MATCH(AG$5,スコア表[#Headers],0))
-
INDEX(スコア表2[],MATCH("average",スコア表2[maxmin],0),MATCH(AG$5,スコア表2[#Headers],0)))
/
INDEX(スコア表2[],MATCH("stdev.p",スコア表2[maxmin],0),MATCH(AG$5,スコア表2[#Headers],0))
*10+50,"-")</f>
        <v>29.077780946404829</v>
      </c>
      <c r="AH47" s="4">
        <f>IFERROR(
(INDEX(スコア表[],MATCH($C47,スコア表['#],0),MATCH(AH$5,スコア表[#Headers],0))
-
INDEX(スコア表2[],MATCH("average",スコア表2[maxmin],0),MATCH(AH$5,スコア表2[#Headers],0)))
/
INDEX(スコア表2[],MATCH("stdev.p",スコア表2[maxmin],0),MATCH(AH$5,スコア表2[#Headers],0))
*10+50,"-")</f>
        <v>52.545155173286489</v>
      </c>
      <c r="AI47" s="4">
        <f>IFERROR(
(INDEX(スコア表[],MATCH($C47,スコア表['#],0),MATCH(AI$5,スコア表[#Headers],0))
-
INDEX(スコア表2[],MATCH("average",スコア表2[maxmin],0),MATCH(AI$5,スコア表2[#Headers],0)))
/
INDEX(スコア表2[],MATCH("stdev.p",スコア表2[maxmin],0),MATCH(AI$5,スコア表2[#Headers],0))
*10+50,"-")</f>
        <v>43.396630305805438</v>
      </c>
      <c r="AJ47" s="4">
        <f>IFERROR(
(INDEX(スコア表[],MATCH($C47,スコア表['#],0),MATCH(AJ$5,スコア表[#Headers],0))
-
INDEX(スコア表2[],MATCH("average",スコア表2[maxmin],0),MATCH(AJ$5,スコア表2[#Headers],0)))
/
INDEX(スコア表2[],MATCH("stdev.p",スコア表2[maxmin],0),MATCH(AJ$5,スコア表2[#Headers],0))
*10+50,"-")</f>
        <v>41.156306791099119</v>
      </c>
      <c r="AK47" s="4">
        <f>IFERROR(
(INDEX(スコア表[],MATCH($C47,スコア表['#],0),MATCH(AK$5,スコア表[#Headers],0))
-
INDEX(スコア表2[],MATCH("average",スコア表2[maxmin],0),MATCH(AK$5,スコア表2[#Headers],0)))
/
INDEX(スコア表2[],MATCH("stdev.p",スコア表2[maxmin],0),MATCH(AK$5,スコア表2[#Headers],0))
*10+50,"-")</f>
        <v>39.546326557986674</v>
      </c>
      <c r="AL47" s="4">
        <f>IFERROR(
(INDEX(スコア表[],MATCH($C47,スコア表['#],0),MATCH(AL$5,スコア表[#Headers],0))
-
INDEX(スコア表2[],MATCH("average",スコア表2[maxmin],0),MATCH(AL$5,スコア表2[#Headers],0)))
/
INDEX(スコア表2[],MATCH("stdev.p",スコア表2[maxmin],0),MATCH(AL$5,スコア表2[#Headers],0))
*10+50,"-")</f>
        <v>39.66343308860985</v>
      </c>
      <c r="AM47" s="4">
        <f>IFERROR(
(INDEX(スコア表[],MATCH($C47,スコア表['#],0),MATCH(AM$5,スコア表[#Headers],0))
-
INDEX(スコア表2[],MATCH("average",スコア表2[maxmin],0),MATCH(AM$5,スコア表2[#Headers],0)))
/
INDEX(スコア表2[],MATCH("stdev.p",スコア表2[maxmin],0),MATCH(AM$5,スコア表2[#Headers],0))
*10+50,"-")</f>
        <v>45.424750047224464</v>
      </c>
      <c r="AN47" s="4">
        <f>IFERROR(
(INDEX(スコア表[],MATCH($C47,スコア表['#],0),MATCH(AN$5,スコア表[#Headers],0))
-
INDEX(スコア表2[],MATCH("average",スコア表2[maxmin],0),MATCH(AN$5,スコア表2[#Headers],0)))
/
INDEX(スコア表2[],MATCH("stdev.p",スコア表2[maxmin],0),MATCH(AN$5,スコア表2[#Headers],0))
*10+50,"-")</f>
        <v>41.093776106132538</v>
      </c>
      <c r="AO47" s="4">
        <f>IFERROR(
(INDEX(スコア表[],MATCH($C47,スコア表['#],0),MATCH(AO$5,スコア表[#Headers],0))
-
INDEX(スコア表2[],MATCH("average",スコア表2[maxmin],0),MATCH(AO$5,スコア表2[#Headers],0)))
/
INDEX(スコア表2[],MATCH("stdev.p",スコア表2[maxmin],0),MATCH(AO$5,スコア表2[#Headers],0))
*10+50,"-")</f>
        <v>44.312985594529678</v>
      </c>
      <c r="AP47" s="4">
        <f>IFERROR(
(INDEX(スコア表[],MATCH($C47,スコア表['#],0),MATCH(AP$5,スコア表[#Headers],0))
-
INDEX(スコア表2[],MATCH("average",スコア表2[maxmin],0),MATCH(AP$5,スコア表2[#Headers],0)))
/
INDEX(スコア表2[],MATCH("stdev.p",スコア表2[maxmin],0),MATCH(AP$5,スコア表2[#Headers],0))
*10+50,"-")</f>
        <v>52.875574624238453</v>
      </c>
      <c r="AQ47" s="4">
        <f>IFERROR(
(INDEX(スコア表[],MATCH($C47,スコア表['#],0),MATCH(AQ$5,スコア表[#Headers],0))
-
INDEX(スコア表2[],MATCH("average",スコア表2[maxmin],0),MATCH(AQ$5,スコア表2[#Headers],0)))
/
INDEX(スコア表2[],MATCH("stdev.p",スコア表2[maxmin],0),MATCH(AQ$5,スコア表2[#Headers],0))
*10+50,"-")</f>
        <v>43.032598932866172</v>
      </c>
      <c r="AR47" s="4">
        <f>IFERROR(
(INDEX(スコア表[],MATCH($C47,スコア表['#],0),MATCH(AR$5,スコア表[#Headers],0))
-
INDEX(スコア表2[],MATCH("average",スコア表2[maxmin],0),MATCH(AR$5,スコア表2[#Headers],0)))
/
INDEX(スコア表2[],MATCH("stdev.p",スコア表2[maxmin],0),MATCH(AR$5,スコア表2[#Headers],0))
*10+50,"-")</f>
        <v>43.258920931263489</v>
      </c>
      <c r="AS47" s="4">
        <f>IFERROR(
(INDEX(スコア表[],MATCH($C47,スコア表['#],0),MATCH(AS$5,スコア表[#Headers],0))
-
INDEX(スコア表2[],MATCH("average",スコア表2[maxmin],0),MATCH(AS$5,スコア表2[#Headers],0)))
/
INDEX(スコア表2[],MATCH("stdev.p",スコア表2[maxmin],0),MATCH(AS$5,スコア表2[#Headers],0))
*10+50,"-")</f>
        <v>56.334504404052218</v>
      </c>
      <c r="AT47" s="4">
        <f>IFERROR(
(INDEX(スコア表[],MATCH($C47,スコア表['#],0),MATCH(AT$5,スコア表[#Headers],0))
-
INDEX(スコア表2[],MATCH("average",スコア表2[maxmin],0),MATCH(AT$5,スコア表2[#Headers],0)))
/
INDEX(スコア表2[],MATCH("stdev.p",スコア表2[maxmin],0),MATCH(AT$5,スコア表2[#Headers],0))
*10+50,"-")</f>
        <v>51.783138435946192</v>
      </c>
      <c r="AU47" s="4">
        <f>IFERROR(
(INDEX(スコア表[],MATCH($C47,スコア表['#],0),MATCH(AU$5,スコア表[#Headers],0))
-
INDEX(スコア表2[],MATCH("average",スコア表2[maxmin],0),MATCH(AU$5,スコア表2[#Headers],0)))
/
INDEX(スコア表2[],MATCH("stdev.p",スコア表2[maxmin],0),MATCH(AU$5,スコア表2[#Headers],0))
*10+50,"-")</f>
        <v>41.954168808878151</v>
      </c>
      <c r="AV47" s="4">
        <f>IFERROR(
(INDEX(スコア表[],MATCH($C47,スコア表['#],0),MATCH(AV$5,スコア表[#Headers],0))
-
INDEX(スコア表2[],MATCH("average",スコア表2[maxmin],0),MATCH(AV$5,スコア表2[#Headers],0)))
/
INDEX(スコア表2[],MATCH("stdev.p",スコア表2[maxmin],0),MATCH(AV$5,スコア表2[#Headers],0))
*10+50,"-")</f>
        <v>62.143528841880141</v>
      </c>
      <c r="AW47" s="4">
        <f>IFERROR(
(INDEX(スコア表[],MATCH($C47,スコア表['#],0),MATCH(AW$5,スコア表[#Headers],0))
-
INDEX(スコア表2[],MATCH("average",スコア表2[maxmin],0),MATCH(AW$5,スコア表2[#Headers],0)))
/
INDEX(スコア表2[],MATCH("stdev.p",スコア表2[maxmin],0),MATCH(AW$5,スコア表2[#Headers],0))
*10+50,"-")</f>
        <v>53.748532647495637</v>
      </c>
      <c r="AX47" s="4">
        <f>IFERROR(
(INDEX(スコア表[],MATCH($C47,スコア表['#],0),MATCH(AX$5,スコア表[#Headers],0))
-
INDEX(スコア表2[],MATCH("average",スコア表2[maxmin],0),MATCH(AX$5,スコア表2[#Headers],0)))
/
INDEX(スコア表2[],MATCH("stdev.p",スコア表2[maxmin],0),MATCH(AX$5,スコア表2[#Headers],0))
*10+50,"-")</f>
        <v>54.680963895740007</v>
      </c>
      <c r="AY47" s="4">
        <f>IFERROR(
(INDEX(スコア表[],MATCH($C47,スコア表['#],0),MATCH(AY$5,スコア表[#Headers],0))
-
INDEX(スコア表2[],MATCH("average",スコア表2[maxmin],0),MATCH(AY$5,スコア表2[#Headers],0)))
/
INDEX(スコア表2[],MATCH("stdev.p",スコア表2[maxmin],0),MATCH(AY$5,スコア表2[#Headers],0))
*10+50,"-")</f>
        <v>47.423914788271681</v>
      </c>
      <c r="AZ47" s="4">
        <f>IFERROR(
(INDEX(スコア表[],MATCH($C47,スコア表['#],0),MATCH(AZ$5,スコア表[#Headers],0))
-
INDEX(スコア表2[],MATCH("average",スコア表2[maxmin],0),MATCH(AZ$5,スコア表2[#Headers],0)))
/
INDEX(スコア表2[],MATCH("stdev.p",スコア表2[maxmin],0),MATCH(AZ$5,スコア表2[#Headers],0))
*10+50,"-")</f>
        <v>60.610714303640968</v>
      </c>
      <c r="BA47" s="4">
        <f>IFERROR(
(INDEX(スコア表[],MATCH($C47,スコア表['#],0),MATCH(BA$5,スコア表[#Headers],0))
-
INDEX(スコア表2[],MATCH("average",スコア表2[maxmin],0),MATCH(BA$5,スコア表2[#Headers],0)))
/
INDEX(スコア表2[],MATCH("stdev.p",スコア表2[maxmin],0),MATCH(BA$5,スコア表2[#Headers],0))
*10+50,"-")</f>
        <v>49.479348148056744</v>
      </c>
      <c r="BB47" s="4">
        <f>IFERROR(
(INDEX(スコア表[],MATCH($C47,スコア表['#],0),MATCH(BB$5,スコア表[#Headers],0))
-
INDEX(スコア表2[],MATCH("average",スコア表2[maxmin],0),MATCH(BB$5,スコア表2[#Headers],0)))
/
INDEX(スコア表2[],MATCH("stdev.p",スコア表2[maxmin],0),MATCH(BB$5,スコア表2[#Headers],0))
*10+50,"-")</f>
        <v>49.780663622749465</v>
      </c>
      <c r="BC47" s="4">
        <f>IFERROR(
(INDEX(スコア表[],MATCH($C47,スコア表['#],0),MATCH(BC$5,スコア表[#Headers],0))
-
INDEX(スコア表2[],MATCH("average",スコア表2[maxmin],0),MATCH(BC$5,スコア表2[#Headers],0)))
/
INDEX(スコア表2[],MATCH("stdev.p",スコア表2[maxmin],0),MATCH(BC$5,スコア表2[#Headers],0))
*10+50,"-")</f>
        <v>44.784075792440632</v>
      </c>
      <c r="BD47" s="4">
        <f>IFERROR(
(INDEX(スコア表[],MATCH($C47,スコア表['#],0),MATCH(BD$5,スコア表[#Headers],0))
-
INDEX(スコア表2[],MATCH("average",スコア表2[maxmin],0),MATCH(BD$5,スコア表2[#Headers],0)))
/
INDEX(スコア表2[],MATCH("stdev.p",スコア表2[maxmin],0),MATCH(BD$5,スコア表2[#Headers],0))
*10+50,"-")</f>
        <v>48.598176317266194</v>
      </c>
      <c r="BE47" s="4">
        <f>IFERROR(
(INDEX(スコア表[],MATCH($C47,スコア表['#],0),MATCH(BE$5,スコア表[#Headers],0))
-
INDEX(スコア表2[],MATCH("average",スコア表2[maxmin],0),MATCH(BE$5,スコア表2[#Headers],0)))
/
INDEX(スコア表2[],MATCH("stdev.p",スコア表2[maxmin],0),MATCH(BE$5,スコア表2[#Headers],0))
*10+50,"-")</f>
        <v>36.688730436831705</v>
      </c>
      <c r="BF47" s="4">
        <f>IFERROR(
(INDEX(スコア表[],MATCH($C47,スコア表['#],0),MATCH(BF$5,スコア表[#Headers],0))
-
INDEX(スコア表2[],MATCH("average",スコア表2[maxmin],0),MATCH(BF$5,スコア表2[#Headers],0)))
/
INDEX(スコア表2[],MATCH("stdev.p",スコア表2[maxmin],0),MATCH(BF$5,スコア表2[#Headers],0))
*10+50,"-")</f>
        <v>33.206594485834891</v>
      </c>
      <c r="BG47" s="4">
        <f>IFERROR(
(INDEX(スコア表[],MATCH($C47,スコア表['#],0),MATCH(BG$5,スコア表[#Headers],0))
-
INDEX(スコア表2[],MATCH("average",スコア表2[maxmin],0),MATCH(BG$5,スコア表2[#Headers],0)))
/
INDEX(スコア表2[],MATCH("stdev.p",スコア表2[maxmin],0),MATCH(BG$5,スコア表2[#Headers],0))
*10+50,"-")</f>
        <v>44.121336644189931</v>
      </c>
      <c r="BH47" s="4">
        <f>IFERROR(
(INDEX(スコア表[],MATCH($C47,スコア表['#],0),MATCH(BH$5,スコア表[#Headers],0))
-
INDEX(スコア表2[],MATCH("average",スコア表2[maxmin],0),MATCH(BH$5,スコア表2[#Headers],0)))
/
INDEX(スコア表2[],MATCH("stdev.p",スコア表2[maxmin],0),MATCH(BH$5,スコア表2[#Headers],0))
*10+50,"-")</f>
        <v>43.995731382030058</v>
      </c>
      <c r="BI47" s="4">
        <f>IFERROR(
(INDEX(スコア表[],MATCH($C47,スコア表['#],0),MATCH(BI$5,スコア表[#Headers],0))
-
INDEX(スコア表2[],MATCH("average",スコア表2[maxmin],0),MATCH(BI$5,スコア表2[#Headers],0)))
/
INDEX(スコア表2[],MATCH("stdev.p",スコア表2[maxmin],0),MATCH(BI$5,スコア表2[#Headers],0))
*10+50,"-")</f>
        <v>44.872496385097847</v>
      </c>
      <c r="BJ47" s="4">
        <f>IFERROR(
(INDEX(スコア表[],MATCH($C47,スコア表['#],0),MATCH(BJ$5,スコア表[#Headers],0))
-
INDEX(スコア表2[],MATCH("average",スコア表2[maxmin],0),MATCH(BJ$5,スコア表2[#Headers],0)))
/
INDEX(スコア表2[],MATCH("stdev.p",スコア表2[maxmin],0),MATCH(BJ$5,スコア表2[#Headers],0))
*10+50,"-")</f>
        <v>53.641424656879273</v>
      </c>
      <c r="BK47" s="4">
        <f>IFERROR(
(INDEX(スコア表[],MATCH($C47,スコア表['#],0),MATCH(BK$5,スコア表[#Headers],0))
-
INDEX(スコア表2[],MATCH("average",スコア表2[maxmin],0),MATCH(BK$5,スコア表2[#Headers],0)))
/
INDEX(スコア表2[],MATCH("stdev.p",スコア表2[maxmin],0),MATCH(BK$5,スコア表2[#Headers],0))
*10+50,"-")</f>
        <v>54.726461758134469</v>
      </c>
      <c r="BL47" s="4">
        <f>IFERROR(
(INDEX(スコア表[],MATCH($C47,スコア表['#],0),MATCH(BL$5,スコア表[#Headers],0))
-
INDEX(スコア表2[],MATCH("average",スコア表2[maxmin],0),MATCH(BL$5,スコア表2[#Headers],0)))
/
INDEX(スコア表2[],MATCH("stdev.p",スコア表2[maxmin],0),MATCH(BL$5,スコア表2[#Headers],0))
*10+50,"-")</f>
        <v>53.384491801268396</v>
      </c>
      <c r="BM47" s="4">
        <f>IFERROR(
(INDEX(スコア表[],MATCH($C47,スコア表['#],0),MATCH(BM$5,スコア表[#Headers],0))
-
INDEX(スコア表2[],MATCH("average",スコア表2[maxmin],0),MATCH(BM$5,スコア表2[#Headers],0)))
/
INDEX(スコア表2[],MATCH("stdev.p",スコア表2[maxmin],0),MATCH(BM$5,スコア表2[#Headers],0))
*10+50,"-")</f>
        <v>51.42684268253074</v>
      </c>
      <c r="BN47" s="4">
        <f>IFERROR(
(INDEX(スコア表[],MATCH($C47,スコア表['#],0),MATCH(BN$5,スコア表[#Headers],0))
-
INDEX(スコア表2[],MATCH("average",スコア表2[maxmin],0),MATCH(BN$5,スコア表2[#Headers],0)))
/
INDEX(スコア表2[],MATCH("stdev.p",スコア表2[maxmin],0),MATCH(BN$5,スコア表2[#Headers],0))
*10+50,"-")</f>
        <v>51.489831040232446</v>
      </c>
      <c r="BO47" s="4">
        <f>IFERROR(
(INDEX(スコア表[],MATCH($C47,スコア表['#],0),MATCH(BO$5,スコア表[#Headers],0))
-
INDEX(スコア表2[],MATCH("average",スコア表2[maxmin],0),MATCH(BO$5,スコア表2[#Headers],0)))
/
INDEX(スコア表2[],MATCH("stdev.p",スコア表2[maxmin],0),MATCH(BO$5,スコア表2[#Headers],0))
*10+50,"-")</f>
        <v>57.338551730073959</v>
      </c>
      <c r="BP47" s="4">
        <f>IFERROR(
(INDEX(スコア表[],MATCH($C47,スコア表['#],0),MATCH(BP$5,スコア表[#Headers],0))
-
INDEX(スコア表2[],MATCH("average",スコア表2[maxmin],0),MATCH(BP$5,スコア表2[#Headers],0)))
/
INDEX(スコア表2[],MATCH("stdev.p",スコア表2[maxmin],0),MATCH(BP$5,スコア表2[#Headers],0))
*10+50,"-")</f>
        <v>35.903628447004827</v>
      </c>
      <c r="BQ47" s="4">
        <f>IFERROR(
(INDEX(スコア表[],MATCH($C47,スコア表['#],0),MATCH(BQ$5,スコア表[#Headers],0))
-
INDEX(スコア表2[],MATCH("average",スコア表2[maxmin],0),MATCH(BQ$5,スコア表2[#Headers],0)))
/
INDEX(スコア表2[],MATCH("stdev.p",スコア表2[maxmin],0),MATCH(BQ$5,スコア表2[#Headers],0))
*10+50,"-")</f>
        <v>42.373434356322875</v>
      </c>
      <c r="BR47" s="4">
        <f>IFERROR(
(INDEX(スコア表[],MATCH($C47,スコア表['#],0),MATCH(BR$5,スコア表[#Headers],0))
-
INDEX(スコア表2[],MATCH("average",スコア表2[maxmin],0),MATCH(BR$5,スコア表2[#Headers],0)))
/
INDEX(スコア表2[],MATCH("stdev.p",スコア表2[maxmin],0),MATCH(BR$5,スコア表2[#Headers],0))
*10+50,"-")</f>
        <v>40.854367415748278</v>
      </c>
      <c r="BS47" s="4">
        <f>IFERROR(
(INDEX(スコア表[],MATCH($C47,スコア表['#],0),MATCH(BS$5,スコア表[#Headers],0))
-
INDEX(スコア表2[],MATCH("average",スコア表2[maxmin],0),MATCH(BS$5,スコア表2[#Headers],0)))
/
INDEX(スコア表2[],MATCH("stdev.p",スコア表2[maxmin],0),MATCH(BS$5,スコア表2[#Headers],0))
*10+50,"-")</f>
        <v>42.603719334043959</v>
      </c>
      <c r="BT47" s="4">
        <f>IFERROR(
(INDEX(スコア表[],MATCH($C47,スコア表['#],0),MATCH(BT$5,スコア表[#Headers],0))
-
INDEX(スコア表2[],MATCH("average",スコア表2[maxmin],0),MATCH(BT$5,スコア表2[#Headers],0)))
/
INDEX(スコア表2[],MATCH("stdev.p",スコア表2[maxmin],0),MATCH(BT$5,スコア表2[#Headers],0))
*10+50,"-")</f>
        <v>42.435899337335492</v>
      </c>
      <c r="BU47" s="4">
        <f>IFERROR(
(INDEX(スコア表[],MATCH($C47,スコア表['#],0),MATCH(BU$5,スコア表[#Headers],0))
-
INDEX(スコア表2[],MATCH("average",スコア表2[maxmin],0),MATCH(BU$5,スコア表2[#Headers],0)))
/
INDEX(スコア表2[],MATCH("stdev.p",スコア表2[maxmin],0),MATCH(BU$5,スコア表2[#Headers],0))
*10+50,"-")</f>
        <v>48.70331526727032</v>
      </c>
      <c r="BV47" s="4">
        <f>IFERROR(
(INDEX(スコア表[],MATCH($C47,スコア表['#],0),MATCH(BV$5,スコア表[#Headers],0))
-
INDEX(スコア表2[],MATCH("average",スコア表2[maxmin],0),MATCH(BV$5,スコア表2[#Headers],0)))
/
INDEX(スコア表2[],MATCH("stdev.p",スコア表2[maxmin],0),MATCH(BV$5,スコア表2[#Headers],0))
*10+50,"-")</f>
        <v>66.692110094317755</v>
      </c>
      <c r="BW47" s="4">
        <f>IFERROR(
(INDEX(スコア表[],MATCH($C47,スコア表['#],0),MATCH(BW$5,スコア表[#Headers],0))
-
INDEX(スコア表2[],MATCH("average",スコア表2[maxmin],0),MATCH(BW$5,スコア表2[#Headers],0)))
/
INDEX(スコア表2[],MATCH("stdev.p",スコア表2[maxmin],0),MATCH(BW$5,スコア表2[#Headers],0))
*10+50,"-")</f>
        <v>62.934672790135863</v>
      </c>
      <c r="BX47" s="4">
        <f>IFERROR(
(INDEX(スコア表[],MATCH($C47,スコア表['#],0),MATCH(BX$5,スコア表[#Headers],0))
-
INDEX(スコア表2[],MATCH("average",スコア表2[maxmin],0),MATCH(BX$5,スコア表2[#Headers],0)))
/
INDEX(スコア表2[],MATCH("stdev.p",スコア表2[maxmin],0),MATCH(BX$5,スコア表2[#Headers],0))
*10+50,"-")</f>
        <v>44.367498191716408</v>
      </c>
      <c r="BY47" s="4">
        <f>IFERROR(
(INDEX(スコア表[],MATCH($C47,スコア表['#],0),MATCH(BY$5,スコア表[#Headers],0))
-
INDEX(スコア表2[],MATCH("average",スコア表2[maxmin],0),MATCH(BY$5,スコア表2[#Headers],0)))
/
INDEX(スコア表2[],MATCH("stdev.p",スコア表2[maxmin],0),MATCH(BY$5,スコア表2[#Headers],0))
*10+50,"-")</f>
        <v>52.698983749353467</v>
      </c>
      <c r="BZ47" s="4">
        <f>IFERROR(
(INDEX(スコア表[],MATCH($C47,スコア表['#],0),MATCH(BZ$5,スコア表[#Headers],0))
-
INDEX(スコア表2[],MATCH("average",スコア表2[maxmin],0),MATCH(BZ$5,スコア表2[#Headers],0)))
/
INDEX(スコア表2[],MATCH("stdev.p",スコア表2[maxmin],0),MATCH(BZ$5,スコア表2[#Headers],0))
*10+50,"-")</f>
        <v>41.105981763488195</v>
      </c>
      <c r="CA47" s="4">
        <f>IFERROR(
(INDEX(スコア表[],MATCH($C47,スコア表['#],0),MATCH(CA$5,スコア表[#Headers],0))
-
INDEX(スコア表2[],MATCH("average",スコア表2[maxmin],0),MATCH(CA$5,スコア表2[#Headers],0)))
/
INDEX(スコア表2[],MATCH("stdev.p",スコア表2[maxmin],0),MATCH(CA$5,スコア表2[#Headers],0))
*10+50,"-")</f>
        <v>40.460323513748747</v>
      </c>
      <c r="CB47" s="4">
        <f>IFERROR(
(INDEX(スコア表[],MATCH($C47,スコア表['#],0),MATCH(CB$5,スコア表[#Headers],0))
-
INDEX(スコア表2[],MATCH("average",スコア表2[maxmin],0),MATCH(CB$5,スコア表2[#Headers],0)))
/
INDEX(スコア表2[],MATCH("stdev.p",スコア表2[maxmin],0),MATCH(CB$5,スコア表2[#Headers],0))
*10+50,"-")</f>
        <v>45.037330597417544</v>
      </c>
      <c r="CC47" s="4">
        <f>IFERROR(
(INDEX(スコア表[],MATCH($C47,スコア表['#],0),MATCH(CC$5,スコア表[#Headers],0))
-
INDEX(スコア表2[],MATCH("average",スコア表2[maxmin],0),MATCH(CC$5,スコア表2[#Headers],0)))
/
INDEX(スコア表2[],MATCH("stdev.p",スコア表2[maxmin],0),MATCH(CC$5,スコア表2[#Headers],0))
*10+50,"-")</f>
        <v>46.941885294062246</v>
      </c>
      <c r="CD47" s="4">
        <f>IFERROR(
(INDEX(スコア表[],MATCH($C47,スコア表['#],0),MATCH(CD$5,スコア表[#Headers],0))
-
INDEX(スコア表2[],MATCH("average",スコア表2[maxmin],0),MATCH(CD$5,スコア表2[#Headers],0)))
/
INDEX(スコア表2[],MATCH("stdev.p",スコア表2[maxmin],0),MATCH(CD$5,スコア表2[#Headers],0))
*10+50,"-")</f>
        <v>36.566886253960391</v>
      </c>
      <c r="CE47" s="4">
        <f>IFERROR(
(INDEX(スコア表[],MATCH($C47,スコア表['#],0),MATCH(CE$5,スコア表[#Headers],0))
-
INDEX(スコア表2[],MATCH("average",スコア表2[maxmin],0),MATCH(CE$5,スコア表2[#Headers],0)))
/
INDEX(スコア表2[],MATCH("stdev.p",スコア表2[maxmin],0),MATCH(CE$5,スコア表2[#Headers],0))
*10+50,"-")</f>
        <v>45.61926792385691</v>
      </c>
      <c r="CF47" s="4">
        <f>IFERROR(
(INDEX(スコア表[],MATCH($C47,スコア表['#],0),MATCH(CF$5,スコア表[#Headers],0))
-
INDEX(スコア表2[],MATCH("average",スコア表2[maxmin],0),MATCH(CF$5,スコア表2[#Headers],0)))
/
INDEX(スコア表2[],MATCH("stdev.p",スコア表2[maxmin],0),MATCH(CF$5,スコア表2[#Headers],0))
*10+50,"-")</f>
        <v>41.283961278422616</v>
      </c>
      <c r="CG47" s="4">
        <f>IFERROR(
(INDEX(スコア表[],MATCH($C47,スコア表['#],0),MATCH(CG$5,スコア表[#Headers],0))
-
INDEX(スコア表2[],MATCH("average",スコア表2[maxmin],0),MATCH(CG$5,スコア表2[#Headers],0)))
/
INDEX(スコア表2[],MATCH("stdev.p",スコア表2[maxmin],0),MATCH(CG$5,スコア表2[#Headers],0))
*10+50,"-")</f>
        <v>48.840351941291793</v>
      </c>
      <c r="CH47" s="4">
        <f>IFERROR(
(INDEX(スコア表[],MATCH($C47,スコア表['#],0),MATCH(CH$5,スコア表[#Headers],0))
-
INDEX(スコア表2[],MATCH("average",スコア表2[maxmin],0),MATCH(CH$5,スコア表2[#Headers],0)))
/
INDEX(スコア表2[],MATCH("stdev.p",スコア表2[maxmin],0),MATCH(CH$5,スコア表2[#Headers],0))
*10+50,"-")</f>
        <v>44.42272538310575</v>
      </c>
      <c r="CI47" s="4">
        <f>IFERROR(
(INDEX(スコア表[],MATCH($C47,スコア表['#],0),MATCH(CI$5,スコア表[#Headers],0))
-
INDEX(スコア表2[],MATCH("average",スコア表2[maxmin],0),MATCH(CI$5,スコア表2[#Headers],0)))
/
INDEX(スコア表2[],MATCH("stdev.p",スコア表2[maxmin],0),MATCH(CI$5,スコア表2[#Headers],0))
*10+50,"-")</f>
        <v>36.377767301628168</v>
      </c>
      <c r="CJ47" s="4">
        <f>IFERROR(
(INDEX(スコア表[],MATCH($C47,スコア表['#],0),MATCH(CJ$5,スコア表[#Headers],0))
-
INDEX(スコア表2[],MATCH("average",スコア表2[maxmin],0),MATCH(CJ$5,スコア表2[#Headers],0)))
/
INDEX(スコア表2[],MATCH("stdev.p",スコア表2[maxmin],0),MATCH(CJ$5,スコア表2[#Headers],0))
*10+50,"-")</f>
        <v>38.950820884550524</v>
      </c>
      <c r="CK47" s="4">
        <f>IFERROR(
(INDEX(スコア表[],MATCH($C47,スコア表['#],0),MATCH(CK$5,スコア表[#Headers],0))
-
INDEX(スコア表2[],MATCH("average",スコア表2[maxmin],0),MATCH(CK$5,スコア表2[#Headers],0)))
/
INDEX(スコア表2[],MATCH("stdev.p",スコア表2[maxmin],0),MATCH(CK$5,スコア表2[#Headers],0))
*10+50,"-")</f>
        <v>38.265535169319165</v>
      </c>
      <c r="CL47" s="4">
        <f>IFERROR(
(INDEX(スコア表[],MATCH($C47,スコア表['#],0),MATCH(CL$5,スコア表[#Headers],0))
-
INDEX(スコア表2[],MATCH("average",スコア表2[maxmin],0),MATCH(CL$5,スコア表2[#Headers],0)))
/
INDEX(スコア表2[],MATCH("stdev.p",スコア表2[maxmin],0),MATCH(CL$5,スコア表2[#Headers],0))
*10+50,"-")</f>
        <v>44.623109063012429</v>
      </c>
      <c r="CM47" s="4">
        <f>IFERROR(
(INDEX(スコア表[],MATCH($C47,スコア表['#],0),MATCH(CM$5,スコア表[#Headers],0))
-
INDEX(スコア表2[],MATCH("average",スコア表2[maxmin],0),MATCH(CM$5,スコア表2[#Headers],0)))
/
INDEX(スコア表2[],MATCH("stdev.p",スコア表2[maxmin],0),MATCH(CM$5,スコア表2[#Headers],0))
*10+50,"-")</f>
        <v>42.173081272720331</v>
      </c>
      <c r="CN47" s="4">
        <f>IFERROR(
(INDEX(スコア表[],MATCH($C47,スコア表['#],0),MATCH(CN$5,スコア表[#Headers],0))
-
INDEX(スコア表2[],MATCH("average",スコア表2[maxmin],0),MATCH(CN$5,スコア表2[#Headers],0)))
/
INDEX(スコア表2[],MATCH("stdev.p",スコア表2[maxmin],0),MATCH(CN$5,スコア表2[#Headers],0))
*10+50,"-")</f>
        <v>47.793131046530817</v>
      </c>
      <c r="CO47" s="4">
        <f>IFERROR(
(INDEX(スコア表[],MATCH($C47,スコア表['#],0),MATCH(CO$5,スコア表[#Headers],0))
-
INDEX(スコア表2[],MATCH("average",スコア表2[maxmin],0),MATCH(CO$5,スコア表2[#Headers],0)))
/
INDEX(スコア表2[],MATCH("stdev.p",スコア表2[maxmin],0),MATCH(CO$5,スコア表2[#Headers],0))
*10+50,"-")</f>
        <v>59.092469877880312</v>
      </c>
      <c r="CP47" s="4">
        <f>IFERROR(
(INDEX(スコア表[],MATCH($C47,スコア表['#],0),MATCH(CP$5,スコア表[#Headers],0))
-
INDEX(スコア表2[],MATCH("average",スコア表2[maxmin],0),MATCH(CP$5,スコア表2[#Headers],0)))
/
INDEX(スコア表2[],MATCH("stdev.p",スコア表2[maxmin],0),MATCH(CP$5,スコア表2[#Headers],0))
*10+50,"-")</f>
        <v>52.394491913124888</v>
      </c>
      <c r="CQ47" s="4">
        <f>IFERROR(
(INDEX(スコア表[],MATCH($C47,スコア表['#],0),MATCH(CQ$5,スコア表[#Headers],0))
-
INDEX(スコア表2[],MATCH("average",スコア表2[maxmin],0),MATCH(CQ$5,スコア表2[#Headers],0)))
/
INDEX(スコア表2[],MATCH("stdev.p",スコア表2[maxmin],0),MATCH(CQ$5,スコア表2[#Headers],0))
*10+50,"-")</f>
        <v>53.719032279060819</v>
      </c>
      <c r="CR47" s="4">
        <f>IFERROR(
(INDEX(スコア表[],MATCH($C47,スコア表['#],0),MATCH(CR$5,スコア表[#Headers],0))
-
INDEX(スコア表2[],MATCH("average",スコア表2[maxmin],0),MATCH(CR$5,スコア表2[#Headers],0)))
/
INDEX(スコア表2[],MATCH("stdev.p",スコア表2[maxmin],0),MATCH(CR$5,スコア表2[#Headers],0))
*10+50,"-")</f>
        <v>34.520863073379175</v>
      </c>
      <c r="CS47" s="4">
        <f>IFERROR(
(INDEX(スコア表[],MATCH($C47,スコア表['#],0),MATCH(CS$5,スコア表[#Headers],0))
-
INDEX(スコア表2[],MATCH("average",スコア表2[maxmin],0),MATCH(CS$5,スコア表2[#Headers],0)))
/
INDEX(スコア表2[],MATCH("stdev.p",スコア表2[maxmin],0),MATCH(CS$5,スコア表2[#Headers],0))
*10+50,"-")</f>
        <v>39.228017927107189</v>
      </c>
      <c r="CT47" s="4">
        <f>IFERROR(
(INDEX(スコア表[],MATCH($C47,スコア表['#],0),MATCH(CT$5,スコア表[#Headers],0))
-
INDEX(スコア表2[],MATCH("average",スコア表2[maxmin],0),MATCH(CT$5,スコア表2[#Headers],0)))
/
INDEX(スコア表2[],MATCH("stdev.p",スコア表2[maxmin],0),MATCH(CT$5,スコア表2[#Headers],0))
*10+50,"-")</f>
        <v>56.821892541173192</v>
      </c>
      <c r="CU47" s="4">
        <f>IFERROR(
(INDEX(スコア表[],MATCH($C47,スコア表['#],0),MATCH(CU$5,スコア表[#Headers],0))
-
INDEX(スコア表2[],MATCH("average",スコア表2[maxmin],0),MATCH(CU$5,スコア表2[#Headers],0)))
/
INDEX(スコア表2[],MATCH("stdev.p",スコア表2[maxmin],0),MATCH(CU$5,スコア表2[#Headers],0))
*10+50,"-")</f>
        <v>54.049944086705523</v>
      </c>
      <c r="CV47" s="4">
        <f>IFERROR(
(INDEX(スコア表[],MATCH($C47,スコア表['#],0),MATCH(CV$5,スコア表[#Headers],0))
-
INDEX(スコア表2[],MATCH("average",スコア表2[maxmin],0),MATCH(CV$5,スコア表2[#Headers],0)))
/
INDEX(スコア表2[],MATCH("stdev.p",スコア表2[maxmin],0),MATCH(CV$5,スコア表2[#Headers],0))
*10+50,"-")</f>
        <v>35.05261162857181</v>
      </c>
      <c r="CW47" s="4">
        <f>IFERROR(
(INDEX(スコア表[],MATCH($C47,スコア表['#],0),MATCH(CW$5,スコア表[#Headers],0))
-
INDEX(スコア表2[],MATCH("average",スコア表2[maxmin],0),MATCH(CW$5,スコア表2[#Headers],0)))
/
INDEX(スコア表2[],MATCH("stdev.p",スコア表2[maxmin],0),MATCH(CW$5,スコア表2[#Headers],0))
*10+50,"-")</f>
        <v>41.535599090968169</v>
      </c>
      <c r="CX47" s="4">
        <f>IFERROR(
(INDEX(スコア表[],MATCH($C47,スコア表['#],0),MATCH(CX$5,スコア表[#Headers],0))
-
INDEX(スコア表2[],MATCH("average",スコア表2[maxmin],0),MATCH(CX$5,スコア表2[#Headers],0)))
/
INDEX(スコア表2[],MATCH("stdev.p",スコア表2[maxmin],0),MATCH(CX$5,スコア表2[#Headers],0))
*10+50,"-")</f>
        <v>56.223358807705793</v>
      </c>
      <c r="CY47" s="4">
        <f>IFERROR(
(INDEX(スコア表[],MATCH($C47,スコア表['#],0),MATCH(CY$5,スコア表[#Headers],0))
-
INDEX(スコア表2[],MATCH("average",スコア表2[maxmin],0),MATCH(CY$5,スコア表2[#Headers],0)))
/
INDEX(スコア表2[],MATCH("stdev.p",スコア表2[maxmin],0),MATCH(CY$5,スコア表2[#Headers],0))
*10+50,"-")</f>
        <v>56.824913179996848</v>
      </c>
      <c r="CZ47" s="4">
        <f>IFERROR(
(INDEX(スコア表[],MATCH($C47,スコア表['#],0),MATCH(CZ$5,スコア表[#Headers],0))
-
INDEX(スコア表2[],MATCH("average",スコア表2[maxmin],0),MATCH(CZ$5,スコア表2[#Headers],0)))
/
INDEX(スコア表2[],MATCH("stdev.p",スコア表2[maxmin],0),MATCH(CZ$5,スコア表2[#Headers],0))
*10+50,"-")</f>
        <v>37.658856579311653</v>
      </c>
      <c r="DA47" s="4">
        <f>IFERROR(
(INDEX(スコア表[],MATCH($C47,スコア表['#],0),MATCH(DA$5,スコア表[#Headers],0))
-
INDEX(スコア表2[],MATCH("average",スコア表2[maxmin],0),MATCH(DA$5,スコア表2[#Headers],0)))
/
INDEX(スコア表2[],MATCH("stdev.p",スコア表2[maxmin],0),MATCH(DA$5,スコア表2[#Headers],0))
*10+50,"-")</f>
        <v>43.894314120689927</v>
      </c>
      <c r="DB47" s="4">
        <f>IFERROR(
(INDEX(スコア表[],MATCH($C47,スコア表['#],0),MATCH(DB$5,スコア表[#Headers],0))
-
INDEX(スコア表2[],MATCH("average",スコア表2[maxmin],0),MATCH(DB$5,スコア表2[#Headers],0)))
/
INDEX(スコア表2[],MATCH("stdev.p",スコア表2[maxmin],0),MATCH(DB$5,スコア表2[#Headers],0))
*10+50,"-")</f>
        <v>37.168040489786591</v>
      </c>
      <c r="DC47" s="4">
        <f>IFERROR(
(INDEX(スコア表[],MATCH($C47,スコア表['#],0),MATCH(DC$5,スコア表[#Headers],0))
-
INDEX(スコア表2[],MATCH("average",スコア表2[maxmin],0),MATCH(DC$5,スコア表2[#Headers],0)))
/
INDEX(スコア表2[],MATCH("stdev.p",スコア表2[maxmin],0),MATCH(DC$5,スコア表2[#Headers],0))
*10+50,"-")</f>
        <v>51.731070943790087</v>
      </c>
      <c r="DD47" s="4">
        <f>IFERROR(
(INDEX(スコア表[],MATCH($C47,スコア表['#],0),MATCH(DD$5,スコア表[#Headers],0))
-
INDEX(スコア表2[],MATCH("average",スコア表2[maxmin],0),MATCH(DD$5,スコア表2[#Headers],0)))
/
INDEX(スコア表2[],MATCH("stdev.p",スコア表2[maxmin],0),MATCH(DD$5,スコア表2[#Headers],0))
*10+50,"-")</f>
        <v>51.112045652895176</v>
      </c>
      <c r="DE47" s="4">
        <f>IFERROR(
(INDEX(スコア表[],MATCH($C47,スコア表['#],0),MATCH(DE$5,スコア表[#Headers],0))
-
INDEX(スコア表2[],MATCH("average",スコア表2[maxmin],0),MATCH(DE$5,スコア表2[#Headers],0)))
/
INDEX(スコア表2[],MATCH("stdev.p",スコア表2[maxmin],0),MATCH(DE$5,スコア表2[#Headers],0))
*10+50,"-")</f>
        <v>44.148163133606502</v>
      </c>
      <c r="DF47" s="76">
        <f>IFERROR(
(INDEX(スコア表[],MATCH($C47,スコア表['#],0),MATCH(DF$5,スコア表[#Headers],0))
-
INDEX(スコア表2[],MATCH("average",スコア表2[maxmin],0),MATCH(DF$5,スコア表2[#Headers],0)))
/
INDEX(スコア表2[],MATCH("stdev.p",スコア表2[maxmin],0),MATCH(DF$5,スコア表2[#Headers],0))
*10+50,"-")</f>
        <v>39.444483682416148</v>
      </c>
      <c r="DG47" s="4">
        <f>IFERROR(_xlfn.STDEV.P(偏差値表[[#This Row],[Economy]:[Accessibility]]),"")</f>
        <v>5.7268486520133388</v>
      </c>
    </row>
    <row r="48" spans="1:111">
      <c r="A48" s="2">
        <v>43</v>
      </c>
      <c r="B48" s="58">
        <f>INDEX(順位表[Comprehensive],MATCH($C48,順位表['#],0))</f>
        <v>43</v>
      </c>
      <c r="C48" s="3">
        <v>34</v>
      </c>
      <c r="D48" s="1" t="str">
        <f>INDEX(都市マスタ[City Name],MATCH($C48,都市マスタ['#],0))</f>
        <v>Mexico City</v>
      </c>
      <c r="E48" s="4">
        <f>IFERROR(
(INDEX(スコア表[],MATCH($C48,スコア表['#],0),MATCH(E$5,スコア表[#Headers],0))
-
INDEX(スコア表2[],MATCH("average",スコア表2[maxmin],0),MATCH(E$5,スコア表2[#Headers],0)))
/
INDEX(スコア表2[],MATCH("stdev.p",スコア表2[maxmin],0),MATCH(E$5,スコア表2[#Headers],0))
*10+50,"-")</f>
        <v>57.087199600796083</v>
      </c>
      <c r="F48" s="4">
        <f>IFERROR(
(INDEX(スコア表[],MATCH($C48,スコア表['#],0),MATCH(F$5,スコア表[#Headers],0))
-
INDEX(スコア表2[],MATCH("average",スコア表2[maxmin],0),MATCH(F$5,スコア表2[#Headers],0)))
/
INDEX(スコア表2[],MATCH("stdev.p",スコア表2[maxmin],0),MATCH(F$5,スコア表2[#Headers],0))
*10+50,"-")</f>
        <v>49.363494433608878</v>
      </c>
      <c r="G48" s="4">
        <f>IFERROR(
(INDEX(スコア表[],MATCH($C48,スコア表['#],0),MATCH(G$5,スコア表[#Headers],0))
-
INDEX(スコア表2[],MATCH("average",スコア表2[maxmin],0),MATCH(G$5,スコア表2[#Headers],0)))
/
INDEX(スコア表2[],MATCH("stdev.p",スコア表2[maxmin],0),MATCH(G$5,スコア表2[#Headers],0))
*10+50,"-")</f>
        <v>48.422769727693279</v>
      </c>
      <c r="H48" s="4">
        <f>IFERROR(
(INDEX(スコア表[],MATCH($C48,スコア表['#],0),MATCH(H$5,スコア表[#Headers],0))
-
INDEX(スコア表2[],MATCH("average",スコア表2[maxmin],0),MATCH(H$5,スコア表2[#Headers],0)))
/
INDEX(スコア表2[],MATCH("stdev.p",スコア表2[maxmin],0),MATCH(H$5,スコア表2[#Headers],0))
*10+50,"-")</f>
        <v>48.224454822544025</v>
      </c>
      <c r="I48" s="4">
        <f>IFERROR(
(INDEX(スコア表[],MATCH($C48,スコア表['#],0),MATCH(I$5,スコア表[#Headers],0))
-
INDEX(スコア表2[],MATCH("average",スコア表2[maxmin],0),MATCH(I$5,スコア表2[#Headers],0)))
/
INDEX(スコア表2[],MATCH("stdev.p",スコア表2[maxmin],0),MATCH(I$5,スコア表2[#Headers],0))
*10+50,"-")</f>
        <v>40.477677062286091</v>
      </c>
      <c r="J48" s="4">
        <f>IFERROR(
(INDEX(スコア表[],MATCH($C48,スコア表['#],0),MATCH(J$5,スコア表[#Headers],0))
-
INDEX(スコア表2[],MATCH("average",スコア表2[maxmin],0),MATCH(J$5,スコア表2[#Headers],0)))
/
INDEX(スコア表2[],MATCH("stdev.p",スコア表2[maxmin],0),MATCH(J$5,スコア表2[#Headers],0))
*10+50,"-")</f>
        <v>48.069182175361355</v>
      </c>
      <c r="K48" s="4">
        <f>IFERROR(
(INDEX(スコア表[],MATCH($C48,スコア表['#],0),MATCH(K$5,スコア表[#Headers],0))
-
INDEX(スコア表2[],MATCH("average",スコア表2[maxmin],0),MATCH(K$5,スコア表2[#Headers],0)))
/
INDEX(スコア表2[],MATCH("stdev.p",スコア表2[maxmin],0),MATCH(K$5,スコア表2[#Headers],0))
*10+50,"-")</f>
        <v>45.408860489781659</v>
      </c>
      <c r="L48" s="4">
        <f>IFERROR(
(INDEX(スコア表[],MATCH($C48,スコア表['#],0),MATCH(L$5,スコア表[#Headers],0))
-
INDEX(スコア表2[],MATCH("average",スコア表2[maxmin],0),MATCH(L$5,スコア表2[#Headers],0)))
/
INDEX(スコア表2[],MATCH("stdev.p",スコア表2[maxmin],0),MATCH(L$5,スコア表2[#Headers],0))
*10+50,"-")</f>
        <v>47.614410525594593</v>
      </c>
      <c r="M48" s="4">
        <f>IFERROR(
(INDEX(スコア表[],MATCH($C48,スコア表['#],0),MATCH(M$5,スコア表[#Headers],0))
-
INDEX(スコア表2[],MATCH("average",スコア表2[maxmin],0),MATCH(M$5,スコア表2[#Headers],0)))
/
INDEX(スコア表2[],MATCH("stdev.p",スコア表2[maxmin],0),MATCH(M$5,スコア表2[#Headers],0))
*10+50,"-")</f>
        <v>46.064745124572234</v>
      </c>
      <c r="N48" s="4">
        <f>IFERROR(
(INDEX(スコア表[],MATCH($C48,スコア表['#],0),MATCH(N$5,スコア表[#Headers],0))
-
INDEX(スコア表2[],MATCH("average",スコア表2[maxmin],0),MATCH(N$5,スコア表2[#Headers],0)))
/
INDEX(スコア表2[],MATCH("stdev.p",スコア表2[maxmin],0),MATCH(N$5,スコア表2[#Headers],0))
*10+50,"-")</f>
        <v>55.007316341504108</v>
      </c>
      <c r="O48" s="4">
        <f>IFERROR(
(INDEX(スコア表[],MATCH($C48,スコア表['#],0),MATCH(O$5,スコア表[#Headers],0))
-
INDEX(スコア表2[],MATCH("average",スコア表2[maxmin],0),MATCH(O$5,スコア表2[#Headers],0)))
/
INDEX(スコア表2[],MATCH("stdev.p",スコア表2[maxmin],0),MATCH(O$5,スコア表2[#Headers],0))
*10+50,"-")</f>
        <v>30.425787837713298</v>
      </c>
      <c r="P48" s="4">
        <f>IFERROR(
(INDEX(スコア表[],MATCH($C48,スコア表['#],0),MATCH(P$5,スコア表[#Headers],0))
-
INDEX(スコア表2[],MATCH("average",スコア表2[maxmin],0),MATCH(P$5,スコア表2[#Headers],0)))
/
INDEX(スコア表2[],MATCH("stdev.p",スコア表2[maxmin],0),MATCH(P$5,スコア表2[#Headers],0))
*10+50,"-")</f>
        <v>36.797656119573098</v>
      </c>
      <c r="Q48" s="4">
        <f>IFERROR(
(INDEX(スコア表[],MATCH($C48,スコア表['#],0),MATCH(Q$5,スコア表[#Headers],0))
-
INDEX(スコア表2[],MATCH("average",スコア表2[maxmin],0),MATCH(Q$5,スコア表2[#Headers],0)))
/
INDEX(スコア表2[],MATCH("stdev.p",スコア表2[maxmin],0),MATCH(Q$5,スコア表2[#Headers],0))
*10+50,"-")</f>
        <v>36.848923094569585</v>
      </c>
      <c r="R48" s="4">
        <f>IFERROR(
(INDEX(スコア表[],MATCH($C48,スコア表['#],0),MATCH(R$5,スコア表[#Headers],0))
-
INDEX(スコア表2[],MATCH("average",スコア表2[maxmin],0),MATCH(R$5,スコア表2[#Headers],0)))
/
INDEX(スコア表2[],MATCH("stdev.p",スコア表2[maxmin],0),MATCH(R$5,スコア表2[#Headers],0))
*10+50,"-")</f>
        <v>43.204797839426327</v>
      </c>
      <c r="S48" s="4">
        <f>IFERROR(
(INDEX(スコア表[],MATCH($C48,スコア表['#],0),MATCH(S$5,スコア表[#Headers],0))
-
INDEX(スコア表2[],MATCH("average",スコア表2[maxmin],0),MATCH(S$5,スコア表2[#Headers],0)))
/
INDEX(スコア表2[],MATCH("stdev.p",スコア表2[maxmin],0),MATCH(S$5,スコア表2[#Headers],0))
*10+50,"-")</f>
        <v>41.185389416969841</v>
      </c>
      <c r="T48" s="4">
        <f>IFERROR(
(INDEX(スコア表[],MATCH($C48,スコア表['#],0),MATCH(T$5,スコア表[#Headers],0))
-
INDEX(スコア表2[],MATCH("average",スコア表2[maxmin],0),MATCH(T$5,スコア表2[#Headers],0)))
/
INDEX(スコア表2[],MATCH("stdev.p",スコア表2[maxmin],0),MATCH(T$5,スコア表2[#Headers],0))
*10+50,"-")</f>
        <v>42.781342641404606</v>
      </c>
      <c r="U48" s="4">
        <f>IFERROR(
(INDEX(スコア表[],MATCH($C48,スコア表['#],0),MATCH(U$5,スコア表[#Headers],0))
-
INDEX(スコア表2[],MATCH("average",スコア表2[maxmin],0),MATCH(U$5,スコア表2[#Headers],0)))
/
INDEX(スコア表2[],MATCH("stdev.p",スコア表2[maxmin],0),MATCH(U$5,スコア表2[#Headers],0))
*10+50,"-")</f>
        <v>41.768105740369002</v>
      </c>
      <c r="V48" s="4">
        <f>IFERROR(
(INDEX(スコア表[],MATCH($C48,スコア表['#],0),MATCH(V$5,スコア表[#Headers],0))
-
INDEX(スコア表2[],MATCH("average",スコア表2[maxmin],0),MATCH(V$5,スコア表2[#Headers],0)))
/
INDEX(スコア表2[],MATCH("stdev.p",スコア表2[maxmin],0),MATCH(V$5,スコア表2[#Headers],0))
*10+50,"-")</f>
        <v>40.448052173437482</v>
      </c>
      <c r="W48" s="4">
        <f>IFERROR(
(INDEX(スコア表[],MATCH($C48,スコア表['#],0),MATCH(W$5,スコア表[#Headers],0))
-
INDEX(スコア表2[],MATCH("average",スコア表2[maxmin],0),MATCH(W$5,スコア表2[#Headers],0)))
/
INDEX(スコア表2[],MATCH("stdev.p",スコア表2[maxmin],0),MATCH(W$5,スコア表2[#Headers],0))
*10+50,"-")</f>
        <v>43.533266987709759</v>
      </c>
      <c r="X48" s="4">
        <f>IFERROR(
(INDEX(スコア表[],MATCH($C48,スコア表['#],0),MATCH(X$5,スコア表[#Headers],0))
-
INDEX(スコア表2[],MATCH("average",スコア表2[maxmin],0),MATCH(X$5,スコア表2[#Headers],0)))
/
INDEX(スコア表2[],MATCH("stdev.p",スコア表2[maxmin],0),MATCH(X$5,スコア表2[#Headers],0))
*10+50,"-")</f>
        <v>40.938699671755664</v>
      </c>
      <c r="Y48" s="4">
        <f>IFERROR(
(INDEX(スコア表[],MATCH($C48,スコア表['#],0),MATCH(Y$5,スコア表[#Headers],0))
-
INDEX(スコア表2[],MATCH("average",スコア表2[maxmin],0),MATCH(Y$5,スコア表2[#Headers],0)))
/
INDEX(スコア表2[],MATCH("stdev.p",スコア表2[maxmin],0),MATCH(Y$5,スコア表2[#Headers],0))
*10+50,"-")</f>
        <v>37.444412734072756</v>
      </c>
      <c r="Z48" s="4">
        <f>IFERROR(
(INDEX(スコア表[],MATCH($C48,スコア表['#],0),MATCH(Z$5,スコア表[#Headers],0))
-
INDEX(スコア表2[],MATCH("average",スコア表2[maxmin],0),MATCH(Z$5,スコア表2[#Headers],0)))
/
INDEX(スコア表2[],MATCH("stdev.p",スコア表2[maxmin],0),MATCH(Z$5,スコア表2[#Headers],0))
*10+50,"-")</f>
        <v>44.958672129766583</v>
      </c>
      <c r="AA48" s="4">
        <f>IFERROR(
(INDEX(スコア表[],MATCH($C48,スコア表['#],0),MATCH(AA$5,スコア表[#Headers],0))
-
INDEX(スコア表2[],MATCH("average",スコア表2[maxmin],0),MATCH(AA$5,スコア表2[#Headers],0)))
/
INDEX(スコア表2[],MATCH("stdev.p",スコア表2[maxmin],0),MATCH(AA$5,スコア表2[#Headers],0))
*10+50,"-")</f>
        <v>44.664612103409482</v>
      </c>
      <c r="AB48" s="4">
        <f>IFERROR(
(INDEX(スコア表[],MATCH($C48,スコア表['#],0),MATCH(AB$5,スコア表[#Headers],0))
-
INDEX(スコア表2[],MATCH("average",スコア表2[maxmin],0),MATCH(AB$5,スコア表2[#Headers],0)))
/
INDEX(スコア表2[],MATCH("stdev.p",スコア表2[maxmin],0),MATCH(AB$5,スコア表2[#Headers],0))
*10+50,"-")</f>
        <v>45.218997316680486</v>
      </c>
      <c r="AC48" s="4">
        <f>IFERROR(
(INDEX(スコア表[],MATCH($C48,スコア表['#],0),MATCH(AC$5,スコア表[#Headers],0))
-
INDEX(スコア表2[],MATCH("average",スコア表2[maxmin],0),MATCH(AC$5,スコア表2[#Headers],0)))
/
INDEX(スコア表2[],MATCH("stdev.p",スコア表2[maxmin],0),MATCH(AC$5,スコア表2[#Headers],0))
*10+50,"-")</f>
        <v>44.301601232146858</v>
      </c>
      <c r="AD48" s="4">
        <f>IFERROR(
(INDEX(スコア表[],MATCH($C48,スコア表['#],0),MATCH(AD$5,スコア表[#Headers],0))
-
INDEX(スコア表2[],MATCH("average",スコア表2[maxmin],0),MATCH(AD$5,スコア表2[#Headers],0)))
/
INDEX(スコア表2[],MATCH("stdev.p",スコア表2[maxmin],0),MATCH(AD$5,スコア表2[#Headers],0))
*10+50,"-")</f>
        <v>35.963879428589635</v>
      </c>
      <c r="AE48" s="4">
        <f>IFERROR(
(INDEX(スコア表[],MATCH($C48,スコア表['#],0),MATCH(AE$5,スコア表[#Headers],0))
-
INDEX(スコア表2[],MATCH("average",スコア表2[maxmin],0),MATCH(AE$5,スコア表2[#Headers],0)))
/
INDEX(スコア表2[],MATCH("stdev.p",スコア表2[maxmin],0),MATCH(AE$5,スコア表2[#Headers],0))
*10+50,"-")</f>
        <v>44.934177343440673</v>
      </c>
      <c r="AF48" s="4">
        <f>IFERROR(
(INDEX(スコア表[],MATCH($C48,スコア表['#],0),MATCH(AF$5,スコア表[#Headers],0))
-
INDEX(スコア表2[],MATCH("average",スコア表2[maxmin],0),MATCH(AF$5,スコア表2[#Headers],0)))
/
INDEX(スコア表2[],MATCH("stdev.p",スコア表2[maxmin],0),MATCH(AF$5,スコア表2[#Headers],0))
*10+50,"-")</f>
        <v>49.268262077895351</v>
      </c>
      <c r="AG48" s="4">
        <f>IFERROR(
(INDEX(スコア表[],MATCH($C48,スコア表['#],0),MATCH(AG$5,スコア表[#Headers],0))
-
INDEX(スコア表2[],MATCH("average",スコア表2[maxmin],0),MATCH(AG$5,スコア表2[#Headers],0)))
/
INDEX(スコア表2[],MATCH("stdev.p",スコア表2[maxmin],0),MATCH(AG$5,スコア表2[#Headers],0))
*10+50,"-")</f>
        <v>59.64816885469132</v>
      </c>
      <c r="AH48" s="4">
        <f>IFERROR(
(INDEX(スコア表[],MATCH($C48,スコア表['#],0),MATCH(AH$5,スコア表[#Headers],0))
-
INDEX(スコア表2[],MATCH("average",スコア表2[maxmin],0),MATCH(AH$5,スコア表2[#Headers],0)))
/
INDEX(スコア表2[],MATCH("stdev.p",スコア表2[maxmin],0),MATCH(AH$5,スコア表2[#Headers],0))
*10+50,"-")</f>
        <v>66.119316097481104</v>
      </c>
      <c r="AI48" s="4">
        <f>IFERROR(
(INDEX(スコア表[],MATCH($C48,スコア表['#],0),MATCH(AI$5,スコア表[#Headers],0))
-
INDEX(スコア表2[],MATCH("average",スコア表2[maxmin],0),MATCH(AI$5,スコア表2[#Headers],0)))
/
INDEX(スコア表2[],MATCH("stdev.p",スコア表2[maxmin],0),MATCH(AI$5,スコア表2[#Headers],0))
*10+50,"-")</f>
        <v>57.814158847109752</v>
      </c>
      <c r="AJ48" s="4">
        <f>IFERROR(
(INDEX(スコア表[],MATCH($C48,スコア表['#],0),MATCH(AJ$5,スコア表[#Headers],0))
-
INDEX(スコア表2[],MATCH("average",スコア表2[maxmin],0),MATCH(AJ$5,スコア表2[#Headers],0)))
/
INDEX(スコア表2[],MATCH("stdev.p",スコア表2[maxmin],0),MATCH(AJ$5,スコア表2[#Headers],0))
*10+50,"-")</f>
        <v>50.032633554282214</v>
      </c>
      <c r="AK48" s="4">
        <f>IFERROR(
(INDEX(スコア表[],MATCH($C48,スコア表['#],0),MATCH(AK$5,スコア表[#Headers],0))
-
INDEX(スコア表2[],MATCH("average",スコア表2[maxmin],0),MATCH(AK$5,スコア表2[#Headers],0)))
/
INDEX(スコア表2[],MATCH("stdev.p",スコア表2[maxmin],0),MATCH(AK$5,スコア表2[#Headers],0))
*10+50,"-")</f>
        <v>57.238588098947048</v>
      </c>
      <c r="AL48" s="4">
        <f>IFERROR(
(INDEX(スコア表[],MATCH($C48,スコア表['#],0),MATCH(AL$5,スコア表[#Headers],0))
-
INDEX(スコア表2[],MATCH("average",スコア表2[maxmin],0),MATCH(AL$5,スコア表2[#Headers],0)))
/
INDEX(スコア表2[],MATCH("stdev.p",スコア表2[maxmin],0),MATCH(AL$5,スコア表2[#Headers],0))
*10+50,"-")</f>
        <v>57.22644943360423</v>
      </c>
      <c r="AM48" s="4">
        <f>IFERROR(
(INDEX(スコア表[],MATCH($C48,スコア表['#],0),MATCH(AM$5,スコア表[#Headers],0))
-
INDEX(スコア表2[],MATCH("average",スコア表2[maxmin],0),MATCH(AM$5,スコア表2[#Headers],0)))
/
INDEX(スコア表2[],MATCH("stdev.p",スコア表2[maxmin],0),MATCH(AM$5,スコア表2[#Headers],0))
*10+50,"-")</f>
        <v>45.420306708886365</v>
      </c>
      <c r="AN48" s="4">
        <f>IFERROR(
(INDEX(スコア表[],MATCH($C48,スコア表['#],0),MATCH(AN$5,スコア表[#Headers],0))
-
INDEX(スコア表2[],MATCH("average",スコア表2[maxmin],0),MATCH(AN$5,スコア表2[#Headers],0)))
/
INDEX(スコア表2[],MATCH("stdev.p",スコア表2[maxmin],0),MATCH(AN$5,スコア表2[#Headers],0))
*10+50,"-")</f>
        <v>43.472159383804637</v>
      </c>
      <c r="AO48" s="4">
        <f>IFERROR(
(INDEX(スコア表[],MATCH($C48,スコア表['#],0),MATCH(AO$5,スコア表[#Headers],0))
-
INDEX(スコア表2[],MATCH("average",スコア表2[maxmin],0),MATCH(AO$5,スコア表2[#Headers],0)))
/
INDEX(スコア表2[],MATCH("stdev.p",スコア表2[maxmin],0),MATCH(AO$5,スコア表2[#Headers],0))
*10+50,"-")</f>
        <v>57.61388780454498</v>
      </c>
      <c r="AP48" s="4">
        <f>IFERROR(
(INDEX(スコア表[],MATCH($C48,スコア表['#],0),MATCH(AP$5,スコア表[#Headers],0))
-
INDEX(スコア表2[],MATCH("average",スコア表2[maxmin],0),MATCH(AP$5,スコア表2[#Headers],0)))
/
INDEX(スコア表2[],MATCH("stdev.p",スコア表2[maxmin],0),MATCH(AP$5,スコア表2[#Headers],0))
*10+50,"-")</f>
        <v>66.279441461367156</v>
      </c>
      <c r="AQ48" s="4">
        <f>IFERROR(
(INDEX(スコア表[],MATCH($C48,スコア表['#],0),MATCH(AQ$5,スコア表[#Headers],0))
-
INDEX(スコア表2[],MATCH("average",スコア表2[maxmin],0),MATCH(AQ$5,スコア表2[#Headers],0)))
/
INDEX(スコア表2[],MATCH("stdev.p",スコア表2[maxmin],0),MATCH(AQ$5,スコア表2[#Headers],0))
*10+50,"-")</f>
        <v>44.022476599766925</v>
      </c>
      <c r="AR48" s="4">
        <f>IFERROR(
(INDEX(スコア表[],MATCH($C48,スコア表['#],0),MATCH(AR$5,スコア表[#Headers],0))
-
INDEX(スコア表2[],MATCH("average",スコア表2[maxmin],0),MATCH(AR$5,スコア表2[#Headers],0)))
/
INDEX(スコア表2[],MATCH("stdev.p",スコア表2[maxmin],0),MATCH(AR$5,スコア表2[#Headers],0))
*10+50,"-")</f>
        <v>50.561170962512733</v>
      </c>
      <c r="AS48" s="4">
        <f>IFERROR(
(INDEX(スコア表[],MATCH($C48,スコア表['#],0),MATCH(AS$5,スコア表[#Headers],0))
-
INDEX(スコア表2[],MATCH("average",スコア表2[maxmin],0),MATCH(AS$5,スコア表2[#Headers],0)))
/
INDEX(スコア表2[],MATCH("stdev.p",スコア表2[maxmin],0),MATCH(AS$5,スコア表2[#Headers],0))
*10+50,"-")</f>
        <v>51.938696630624023</v>
      </c>
      <c r="AT48" s="4">
        <f>IFERROR(
(INDEX(スコア表[],MATCH($C48,スコア表['#],0),MATCH(AT$5,スコア表[#Headers],0))
-
INDEX(スコア表2[],MATCH("average",スコア表2[maxmin],0),MATCH(AT$5,スコア表2[#Headers],0)))
/
INDEX(スコア表2[],MATCH("stdev.p",スコア表2[maxmin],0),MATCH(AT$5,スコア表2[#Headers],0))
*10+50,"-")</f>
        <v>19.471267810539846</v>
      </c>
      <c r="AU48" s="4">
        <f>IFERROR(
(INDEX(スコア表[],MATCH($C48,スコア表['#],0),MATCH(AU$5,スコア表[#Headers],0))
-
INDEX(スコア表2[],MATCH("average",スコア表2[maxmin],0),MATCH(AU$5,スコア表2[#Headers],0)))
/
INDEX(スコア表2[],MATCH("stdev.p",スコア表2[maxmin],0),MATCH(AU$5,スコア表2[#Headers],0))
*10+50,"-")</f>
        <v>52.739318061359072</v>
      </c>
      <c r="AV48" s="4">
        <f>IFERROR(
(INDEX(スコア表[],MATCH($C48,スコア表['#],0),MATCH(AV$5,スコア表[#Headers],0))
-
INDEX(スコア表2[],MATCH("average",スコア表2[maxmin],0),MATCH(AV$5,スコア表2[#Headers],0)))
/
INDEX(スコア表2[],MATCH("stdev.p",スコア表2[maxmin],0),MATCH(AV$5,スコア表2[#Headers],0))
*10+50,"-")</f>
        <v>60.624664884713084</v>
      </c>
      <c r="AW48" s="4">
        <f>IFERROR(
(INDEX(スコア表[],MATCH($C48,スコア表['#],0),MATCH(AW$5,スコア表[#Headers],0))
-
INDEX(スコア表2[],MATCH("average",スコア表2[maxmin],0),MATCH(AW$5,スコア表2[#Headers],0)))
/
INDEX(スコア表2[],MATCH("stdev.p",スコア表2[maxmin],0),MATCH(AW$5,スコア表2[#Headers],0))
*10+50,"-")</f>
        <v>64.092618988637014</v>
      </c>
      <c r="AX48" s="4">
        <f>IFERROR(
(INDEX(スコア表[],MATCH($C48,スコア表['#],0),MATCH(AX$5,スコア表[#Headers],0))
-
INDEX(スコア表2[],MATCH("average",スコア表2[maxmin],0),MATCH(AX$5,スコア表2[#Headers],0)))
/
INDEX(スコア表2[],MATCH("stdev.p",スコア表2[maxmin],0),MATCH(AX$5,スコア表2[#Headers],0))
*10+50,"-")</f>
        <v>36.319825417598793</v>
      </c>
      <c r="AY48" s="4">
        <f>IFERROR(
(INDEX(スコア表[],MATCH($C48,スコア表['#],0),MATCH(AY$5,スコア表[#Headers],0))
-
INDEX(スコア表2[],MATCH("average",スコア表2[maxmin],0),MATCH(AY$5,スコア表2[#Headers],0)))
/
INDEX(スコア表2[],MATCH("stdev.p",スコア表2[maxmin],0),MATCH(AY$5,スコア表2[#Headers],0))
*10+50,"-")</f>
        <v>42.139637430908799</v>
      </c>
      <c r="AZ48" s="4">
        <f>IFERROR(
(INDEX(スコア表[],MATCH($C48,スコア表['#],0),MATCH(AZ$5,スコア表[#Headers],0))
-
INDEX(スコア表2[],MATCH("average",スコア表2[maxmin],0),MATCH(AZ$5,スコア表2[#Headers],0)))
/
INDEX(スコア表2[],MATCH("stdev.p",スコア表2[maxmin],0),MATCH(AZ$5,スコア表2[#Headers],0))
*10+50,"-")</f>
        <v>40.96136366528394</v>
      </c>
      <c r="BA48" s="4">
        <f>IFERROR(
(INDEX(スコア表[],MATCH($C48,スコア表['#],0),MATCH(BA$5,スコア表[#Headers],0))
-
INDEX(スコア表2[],MATCH("average",スコア表2[maxmin],0),MATCH(BA$5,スコア表2[#Headers],0)))
/
INDEX(スコア表2[],MATCH("stdev.p",スコア表2[maxmin],0),MATCH(BA$5,スコア表2[#Headers],0))
*10+50,"-")</f>
        <v>40.848761284735573</v>
      </c>
      <c r="BB48" s="4">
        <f>IFERROR(
(INDEX(スコア表[],MATCH($C48,スコア表['#],0),MATCH(BB$5,スコア表[#Headers],0))
-
INDEX(スコア表2[],MATCH("average",スコア表2[maxmin],0),MATCH(BB$5,スコア表2[#Headers],0)))
/
INDEX(スコア表2[],MATCH("stdev.p",スコア表2[maxmin],0),MATCH(BB$5,スコア表2[#Headers],0))
*10+50,"-")</f>
        <v>58.355750548855731</v>
      </c>
      <c r="BC48" s="4">
        <f>IFERROR(
(INDEX(スコア表[],MATCH($C48,スコア表['#],0),MATCH(BC$5,スコア表[#Headers],0))
-
INDEX(スコア表2[],MATCH("average",スコア表2[maxmin],0),MATCH(BC$5,スコア表2[#Headers],0)))
/
INDEX(スコア表2[],MATCH("stdev.p",スコア表2[maxmin],0),MATCH(BC$5,スコア表2[#Headers],0))
*10+50,"-")</f>
        <v>43.370170937552814</v>
      </c>
      <c r="BD48" s="4">
        <f>IFERROR(
(INDEX(スコア表[],MATCH($C48,スコア表['#],0),MATCH(BD$5,スコア表[#Headers],0))
-
INDEX(スコア表2[],MATCH("average",スコア表2[maxmin],0),MATCH(BD$5,スコア表2[#Headers],0)))
/
INDEX(スコア表2[],MATCH("stdev.p",スコア表2[maxmin],0),MATCH(BD$5,スコア表2[#Headers],0))
*10+50,"-")</f>
        <v>30.503285045835803</v>
      </c>
      <c r="BE48" s="4">
        <f>IFERROR(
(INDEX(スコア表[],MATCH($C48,スコア表['#],0),MATCH(BE$5,スコア表[#Headers],0))
-
INDEX(スコア表2[],MATCH("average",スコア表2[maxmin],0),MATCH(BE$5,スコア表2[#Headers],0)))
/
INDEX(スコア表2[],MATCH("stdev.p",スコア表2[maxmin],0),MATCH(BE$5,スコア表2[#Headers],0))
*10+50,"-")</f>
        <v>53.698088275401858</v>
      </c>
      <c r="BF48" s="4">
        <f>IFERROR(
(INDEX(スコア表[],MATCH($C48,スコア表['#],0),MATCH(BF$5,スコア表[#Headers],0))
-
INDEX(スコア表2[],MATCH("average",スコア表2[maxmin],0),MATCH(BF$5,スコア表2[#Headers],0)))
/
INDEX(スコア表2[],MATCH("stdev.p",スコア表2[maxmin],0),MATCH(BF$5,スコア表2[#Headers],0))
*10+50,"-")</f>
        <v>43.495893553181432</v>
      </c>
      <c r="BG48" s="4">
        <f>IFERROR(
(INDEX(スコア表[],MATCH($C48,スコア表['#],0),MATCH(BG$5,スコア表[#Headers],0))
-
INDEX(スコア表2[],MATCH("average",スコア表2[maxmin],0),MATCH(BG$5,スコア表2[#Headers],0)))
/
INDEX(スコア表2[],MATCH("stdev.p",スコア表2[maxmin],0),MATCH(BG$5,スコア表2[#Headers],0))
*10+50,"-")</f>
        <v>55.622297728874869</v>
      </c>
      <c r="BH48" s="4">
        <f>IFERROR(
(INDEX(スコア表[],MATCH($C48,スコア表['#],0),MATCH(BH$5,スコア表[#Headers],0))
-
INDEX(スコア表2[],MATCH("average",スコア表2[maxmin],0),MATCH(BH$5,スコア表2[#Headers],0)))
/
INDEX(スコア表2[],MATCH("stdev.p",スコア表2[maxmin],0),MATCH(BH$5,スコア表2[#Headers],0))
*10+50,"-")</f>
        <v>45.935320455725595</v>
      </c>
      <c r="BI48" s="4">
        <f>IFERROR(
(INDEX(スコア表[],MATCH($C48,スコア表['#],0),MATCH(BI$5,スコア表[#Headers],0))
-
INDEX(スコア表2[],MATCH("average",スコア表2[maxmin],0),MATCH(BI$5,スコア表2[#Headers],0)))
/
INDEX(スコア表2[],MATCH("stdev.p",スコア表2[maxmin],0),MATCH(BI$5,スコア表2[#Headers],0))
*10+50,"-")</f>
        <v>37.5916987277283</v>
      </c>
      <c r="BJ48" s="4">
        <f>IFERROR(
(INDEX(スコア表[],MATCH($C48,スコア表['#],0),MATCH(BJ$5,スコア表[#Headers],0))
-
INDEX(スコア表2[],MATCH("average",スコア表2[maxmin],0),MATCH(BJ$5,スコア表2[#Headers],0)))
/
INDEX(スコア表2[],MATCH("stdev.p",スコア表2[maxmin],0),MATCH(BJ$5,スコア表2[#Headers],0))
*10+50,"-")</f>
        <v>56.500429214521112</v>
      </c>
      <c r="BK48" s="4">
        <f>IFERROR(
(INDEX(スコア表[],MATCH($C48,スコア表['#],0),MATCH(BK$5,スコア表[#Headers],0))
-
INDEX(スコア表2[],MATCH("average",スコア表2[maxmin],0),MATCH(BK$5,スコア表2[#Headers],0)))
/
INDEX(スコア表2[],MATCH("stdev.p",スコア表2[maxmin],0),MATCH(BK$5,スコア表2[#Headers],0))
*10+50,"-")</f>
        <v>43.2908874744749</v>
      </c>
      <c r="BL48" s="4">
        <f>IFERROR(
(INDEX(スコア表[],MATCH($C48,スコア表['#],0),MATCH(BL$5,スコア表[#Headers],0))
-
INDEX(スコア表2[],MATCH("average",スコア表2[maxmin],0),MATCH(BL$5,スコア表2[#Headers],0)))
/
INDEX(スコア表2[],MATCH("stdev.p",スコア表2[maxmin],0),MATCH(BL$5,スコア表2[#Headers],0))
*10+50,"-")</f>
        <v>66.602588018209588</v>
      </c>
      <c r="BM48" s="4">
        <f>IFERROR(
(INDEX(スコア表[],MATCH($C48,スコア表['#],0),MATCH(BM$5,スコア表[#Headers],0))
-
INDEX(スコア表2[],MATCH("average",スコア表2[maxmin],0),MATCH(BM$5,スコア表2[#Headers],0)))
/
INDEX(スコア表2[],MATCH("stdev.p",スコア表2[maxmin],0),MATCH(BM$5,スコア表2[#Headers],0))
*10+50,"-")</f>
        <v>36.699910055063846</v>
      </c>
      <c r="BN48" s="4">
        <f>IFERROR(
(INDEX(スコア表[],MATCH($C48,スコア表['#],0),MATCH(BN$5,スコア表[#Headers],0))
-
INDEX(スコア表2[],MATCH("average",スコア表2[maxmin],0),MATCH(BN$5,スコア表2[#Headers],0)))
/
INDEX(スコア表2[],MATCH("stdev.p",スコア表2[maxmin],0),MATCH(BN$5,スコア表2[#Headers],0))
*10+50,"-")</f>
        <v>48.546625505762847</v>
      </c>
      <c r="BO48" s="4">
        <f>IFERROR(
(INDEX(スコア表[],MATCH($C48,スコア表['#],0),MATCH(BO$5,スコア表[#Headers],0))
-
INDEX(スコア表2[],MATCH("average",スコア表2[maxmin],0),MATCH(BO$5,スコア表2[#Headers],0)))
/
INDEX(スコア表2[],MATCH("stdev.p",スコア表2[maxmin],0),MATCH(BO$5,スコア表2[#Headers],0))
*10+50,"-")</f>
        <v>37.996392833874083</v>
      </c>
      <c r="BP48" s="4">
        <f>IFERROR(
(INDEX(スコア表[],MATCH($C48,スコア表['#],0),MATCH(BP$5,スコア表[#Headers],0))
-
INDEX(スコア表2[],MATCH("average",スコア表2[maxmin],0),MATCH(BP$5,スコア表2[#Headers],0)))
/
INDEX(スコア表2[],MATCH("stdev.p",スコア表2[maxmin],0),MATCH(BP$5,スコア表2[#Headers],0))
*10+50,"-")</f>
        <v>41.25518784615614</v>
      </c>
      <c r="BQ48" s="4">
        <f>IFERROR(
(INDEX(スコア表[],MATCH($C48,スコア表['#],0),MATCH(BQ$5,スコア表[#Headers],0))
-
INDEX(スコア表2[],MATCH("average",スコア表2[maxmin],0),MATCH(BQ$5,スコア表2[#Headers],0)))
/
INDEX(スコア表2[],MATCH("stdev.p",スコア表2[maxmin],0),MATCH(BQ$5,スコア表2[#Headers],0))
*10+50,"-")</f>
        <v>44.881860662277312</v>
      </c>
      <c r="BR48" s="4">
        <f>IFERROR(
(INDEX(スコア表[],MATCH($C48,スコア表['#],0),MATCH(BR$5,スコア表[#Headers],0))
-
INDEX(スコア表2[],MATCH("average",スコア表2[maxmin],0),MATCH(BR$5,スコア表2[#Headers],0)))
/
INDEX(スコア表2[],MATCH("stdev.p",スコア表2[maxmin],0),MATCH(BR$5,スコア表2[#Headers],0))
*10+50,"-")</f>
        <v>52.50166032732497</v>
      </c>
      <c r="BS48" s="4">
        <f>IFERROR(
(INDEX(スコア表[],MATCH($C48,スコア表['#],0),MATCH(BS$5,スコア表[#Headers],0))
-
INDEX(スコア表2[],MATCH("average",スコア表2[maxmin],0),MATCH(BS$5,スコア表2[#Headers],0)))
/
INDEX(スコア表2[],MATCH("stdev.p",スコア表2[maxmin],0),MATCH(BS$5,スコア表2[#Headers],0))
*10+50,"-")</f>
        <v>52.077708426443635</v>
      </c>
      <c r="BT48" s="4">
        <f>IFERROR(
(INDEX(スコア表[],MATCH($C48,スコア表['#],0),MATCH(BT$5,スコア表[#Headers],0))
-
INDEX(スコア表2[],MATCH("average",スコア表2[maxmin],0),MATCH(BT$5,スコア表2[#Headers],0)))
/
INDEX(スコア表2[],MATCH("stdev.p",スコア表2[maxmin],0),MATCH(BT$5,スコア表2[#Headers],0))
*10+50,"-")</f>
        <v>46.508252371366595</v>
      </c>
      <c r="BU48" s="4">
        <f>IFERROR(
(INDEX(スコア表[],MATCH($C48,スコア表['#],0),MATCH(BU$5,スコア表[#Headers],0))
-
INDEX(スコア表2[],MATCH("average",スコア表2[maxmin],0),MATCH(BU$5,スコア表2[#Headers],0)))
/
INDEX(スコア表2[],MATCH("stdev.p",スコア表2[maxmin],0),MATCH(BU$5,スコア表2[#Headers],0))
*10+50,"-")</f>
        <v>38.979452047956009</v>
      </c>
      <c r="BV48" s="4">
        <f>IFERROR(
(INDEX(スコア表[],MATCH($C48,スコア表['#],0),MATCH(BV$5,スコア表[#Headers],0))
-
INDEX(スコア表2[],MATCH("average",スコア表2[maxmin],0),MATCH(BV$5,スコア表2[#Headers],0)))
/
INDEX(スコア表2[],MATCH("stdev.p",スコア表2[maxmin],0),MATCH(BV$5,スコア表2[#Headers],0))
*10+50,"-")</f>
        <v>56.259683274204555</v>
      </c>
      <c r="BW48" s="4">
        <f>IFERROR(
(INDEX(スコア表[],MATCH($C48,スコア表['#],0),MATCH(BW$5,スコア表[#Headers],0))
-
INDEX(スコア表2[],MATCH("average",スコア表2[maxmin],0),MATCH(BW$5,スコア表2[#Headers],0)))
/
INDEX(スコア表2[],MATCH("stdev.p",スコア表2[maxmin],0),MATCH(BW$5,スコア表2[#Headers],0))
*10+50,"-")</f>
        <v>32.197347023432435</v>
      </c>
      <c r="BX48" s="4">
        <f>IFERROR(
(INDEX(スコア表[],MATCH($C48,スコア表['#],0),MATCH(BX$5,スコア表[#Headers],0))
-
INDEX(スコア表2[],MATCH("average",スコア表2[maxmin],0),MATCH(BX$5,スコア表2[#Headers],0)))
/
INDEX(スコア表2[],MATCH("stdev.p",スコア表2[maxmin],0),MATCH(BX$5,スコア表2[#Headers],0))
*10+50,"-")</f>
        <v>40.32621590649957</v>
      </c>
      <c r="BY48" s="4">
        <f>IFERROR(
(INDEX(スコア表[],MATCH($C48,スコア表['#],0),MATCH(BY$5,スコア表[#Headers],0))
-
INDEX(スコア表2[],MATCH("average",スコア表2[maxmin],0),MATCH(BY$5,スコア表2[#Headers],0)))
/
INDEX(スコア表2[],MATCH("stdev.p",スコア表2[maxmin],0),MATCH(BY$5,スコア表2[#Headers],0))
*10+50,"-")</f>
        <v>55.008493507344241</v>
      </c>
      <c r="BZ48" s="4">
        <f>IFERROR(
(INDEX(スコア表[],MATCH($C48,スコア表['#],0),MATCH(BZ$5,スコア表[#Headers],0))
-
INDEX(スコア表2[],MATCH("average",スコア表2[maxmin],0),MATCH(BZ$5,スコア表2[#Headers],0)))
/
INDEX(スコア表2[],MATCH("stdev.p",スコア表2[maxmin],0),MATCH(BZ$5,スコア表2[#Headers],0))
*10+50,"-")</f>
        <v>41.953314828868471</v>
      </c>
      <c r="CA48" s="4">
        <f>IFERROR(
(INDEX(スコア表[],MATCH($C48,スコア表['#],0),MATCH(CA$5,スコア表[#Headers],0))
-
INDEX(スコア表2[],MATCH("average",スコア表2[maxmin],0),MATCH(CA$5,スコア表2[#Headers],0)))
/
INDEX(スコア表2[],MATCH("stdev.p",スコア表2[maxmin],0),MATCH(CA$5,スコア表2[#Headers],0))
*10+50,"-")</f>
        <v>45.202309478111509</v>
      </c>
      <c r="CB48" s="4">
        <f>IFERROR(
(INDEX(スコア表[],MATCH($C48,スコア表['#],0),MATCH(CB$5,スコア表[#Headers],0))
-
INDEX(スコア表2[],MATCH("average",スコア表2[maxmin],0),MATCH(CB$5,スコア表2[#Headers],0)))
/
INDEX(スコア表2[],MATCH("stdev.p",スコア表2[maxmin],0),MATCH(CB$5,スコア表2[#Headers],0))
*10+50,"-")</f>
        <v>45.873104293568545</v>
      </c>
      <c r="CC48" s="4">
        <f>IFERROR(
(INDEX(スコア表[],MATCH($C48,スコア表['#],0),MATCH(CC$5,スコア表[#Headers],0))
-
INDEX(スコア表2[],MATCH("average",スコア表2[maxmin],0),MATCH(CC$5,スコア表2[#Headers],0)))
/
INDEX(スコア表2[],MATCH("stdev.p",スコア表2[maxmin],0),MATCH(CC$5,スコア表2[#Headers],0))
*10+50,"-")</f>
        <v>38.39181710543545</v>
      </c>
      <c r="CD48" s="4">
        <f>IFERROR(
(INDEX(スコア表[],MATCH($C48,スコア表['#],0),MATCH(CD$5,スコア表[#Headers],0))
-
INDEX(スコア表2[],MATCH("average",スコア表2[maxmin],0),MATCH(CD$5,スコア表2[#Headers],0)))
/
INDEX(スコア表2[],MATCH("stdev.p",スコア表2[maxmin],0),MATCH(CD$5,スコア表2[#Headers],0))
*10+50,"-")</f>
        <v>36.394757866431966</v>
      </c>
      <c r="CE48" s="4">
        <f>IFERROR(
(INDEX(スコア表[],MATCH($C48,スコア表['#],0),MATCH(CE$5,スコア表[#Headers],0))
-
INDEX(スコア表2[],MATCH("average",スコア表2[maxmin],0),MATCH(CE$5,スコア表2[#Headers],0)))
/
INDEX(スコア表2[],MATCH("stdev.p",スコア表2[maxmin],0),MATCH(CE$5,スコア表2[#Headers],0))
*10+50,"-")</f>
        <v>39.649090141701095</v>
      </c>
      <c r="CF48" s="4">
        <f>IFERROR(
(INDEX(スコア表[],MATCH($C48,スコア表['#],0),MATCH(CF$5,スコア表[#Headers],0))
-
INDEX(スコア表2[],MATCH("average",スコア表2[maxmin],0),MATCH(CF$5,スコア表2[#Headers],0)))
/
INDEX(スコア表2[],MATCH("stdev.p",スコア表2[maxmin],0),MATCH(CF$5,スコア表2[#Headers],0))
*10+50,"-")</f>
        <v>39.576909482256816</v>
      </c>
      <c r="CG48" s="4">
        <f>IFERROR(
(INDEX(スコア表[],MATCH($C48,スコア表['#],0),MATCH(CG$5,スコア表[#Headers],0))
-
INDEX(スコア表2[],MATCH("average",スコア表2[maxmin],0),MATCH(CG$5,スコア表2[#Headers],0)))
/
INDEX(スコア表2[],MATCH("stdev.p",スコア表2[maxmin],0),MATCH(CG$5,スコア表2[#Headers],0))
*10+50,"-")</f>
        <v>36.519428472788341</v>
      </c>
      <c r="CH48" s="4">
        <f>IFERROR(
(INDEX(スコア表[],MATCH($C48,スコア表['#],0),MATCH(CH$5,スコア表[#Headers],0))
-
INDEX(スコア表2[],MATCH("average",スコア表2[maxmin],0),MATCH(CH$5,スコア表2[#Headers],0)))
/
INDEX(スコア表2[],MATCH("stdev.p",スコア表2[maxmin],0),MATCH(CH$5,スコア表2[#Headers],0))
*10+50,"-")</f>
        <v>43.296545136706072</v>
      </c>
      <c r="CI48" s="4">
        <f>IFERROR(
(INDEX(スコア表[],MATCH($C48,スコア表['#],0),MATCH(CI$5,スコア表[#Headers],0))
-
INDEX(スコア表2[],MATCH("average",スコア表2[maxmin],0),MATCH(CI$5,スコア表2[#Headers],0)))
/
INDEX(スコア表2[],MATCH("stdev.p",スコア表2[maxmin],0),MATCH(CI$5,スコア表2[#Headers],0))
*10+50,"-")</f>
        <v>39.735185371206427</v>
      </c>
      <c r="CJ48" s="4">
        <f>IFERROR(
(INDEX(スコア表[],MATCH($C48,スコア表['#],0),MATCH(CJ$5,スコア表[#Headers],0))
-
INDEX(スコア表2[],MATCH("average",スコア表2[maxmin],0),MATCH(CJ$5,スコア表2[#Headers],0)))
/
INDEX(スコア表2[],MATCH("stdev.p",スコア表2[maxmin],0),MATCH(CJ$5,スコア表2[#Headers],0))
*10+50,"-")</f>
        <v>66.765588957893996</v>
      </c>
      <c r="CK48" s="4">
        <f>IFERROR(
(INDEX(スコア表[],MATCH($C48,スコア表['#],0),MATCH(CK$5,スコア表[#Headers],0))
-
INDEX(スコア表2[],MATCH("average",スコア表2[maxmin],0),MATCH(CK$5,スコア表2[#Headers],0)))
/
INDEX(スコア表2[],MATCH("stdev.p",スコア表2[maxmin],0),MATCH(CK$5,スコア表2[#Headers],0))
*10+50,"-")</f>
        <v>55.716909853597535</v>
      </c>
      <c r="CL48" s="4">
        <f>IFERROR(
(INDEX(スコア表[],MATCH($C48,スコア表['#],0),MATCH(CL$5,スコア表[#Headers],0))
-
INDEX(スコア表2[],MATCH("average",スコア表2[maxmin],0),MATCH(CL$5,スコア表2[#Headers],0)))
/
INDEX(スコア表2[],MATCH("stdev.p",スコア表2[maxmin],0),MATCH(CL$5,スコア表2[#Headers],0))
*10+50,"-")</f>
        <v>53.053468118717603</v>
      </c>
      <c r="CM48" s="4">
        <f>IFERROR(
(INDEX(スコア表[],MATCH($C48,スコア表['#],0),MATCH(CM$5,スコア表[#Headers],0))
-
INDEX(スコア表2[],MATCH("average",スコア表2[maxmin],0),MATCH(CM$5,スコア表2[#Headers],0)))
/
INDEX(スコア表2[],MATCH("stdev.p",スコア表2[maxmin],0),MATCH(CM$5,スコア表2[#Headers],0))
*10+50,"-")</f>
        <v>47.242745460369541</v>
      </c>
      <c r="CN48" s="4">
        <f>IFERROR(
(INDEX(スコア表[],MATCH($C48,スコア表['#],0),MATCH(CN$5,スコア表[#Headers],0))
-
INDEX(スコア表2[],MATCH("average",スコア表2[maxmin],0),MATCH(CN$5,スコア表2[#Headers],0)))
/
INDEX(スコア表2[],MATCH("stdev.p",スコア表2[maxmin],0),MATCH(CN$5,スコア表2[#Headers],0))
*10+50,"-")</f>
        <v>34.008408367356559</v>
      </c>
      <c r="CO48" s="4">
        <f>IFERROR(
(INDEX(スコア表[],MATCH($C48,スコア表['#],0),MATCH(CO$5,スコア表[#Headers],0))
-
INDEX(スコア表2[],MATCH("average",スコア表2[maxmin],0),MATCH(CO$5,スコア表2[#Headers],0)))
/
INDEX(スコア表2[],MATCH("stdev.p",スコア表2[maxmin],0),MATCH(CO$5,スコア表2[#Headers],0))
*10+50,"-")</f>
        <v>63.338294329458122</v>
      </c>
      <c r="CP48" s="4">
        <f>IFERROR(
(INDEX(スコア表[],MATCH($C48,スコア表['#],0),MATCH(CP$5,スコア表[#Headers],0))
-
INDEX(スコア表2[],MATCH("average",スコア表2[maxmin],0),MATCH(CP$5,スコア表2[#Headers],0)))
/
INDEX(スコア表2[],MATCH("stdev.p",スコア表2[maxmin],0),MATCH(CP$5,スコア表2[#Headers],0))
*10+50,"-")</f>
        <v>33.611379646485439</v>
      </c>
      <c r="CQ48" s="4">
        <f>IFERROR(
(INDEX(スコア表[],MATCH($C48,スコア表['#],0),MATCH(CQ$5,スコア表[#Headers],0))
-
INDEX(スコア表2[],MATCH("average",スコア表2[maxmin],0),MATCH(CQ$5,スコア表2[#Headers],0)))
/
INDEX(スコア表2[],MATCH("stdev.p",スコア表2[maxmin],0),MATCH(CQ$5,スコア表2[#Headers],0))
*10+50,"-")</f>
        <v>46.214722554910445</v>
      </c>
      <c r="CR48" s="4">
        <f>IFERROR(
(INDEX(スコア表[],MATCH($C48,スコア表['#],0),MATCH(CR$5,スコア表[#Headers],0))
-
INDEX(スコア表2[],MATCH("average",スコア表2[maxmin],0),MATCH(CR$5,スコア表2[#Headers],0)))
/
INDEX(スコア表2[],MATCH("stdev.p",スコア表2[maxmin],0),MATCH(CR$5,スコア表2[#Headers],0))
*10+50,"-")</f>
        <v>35.945983946661997</v>
      </c>
      <c r="CS48" s="4">
        <f>IFERROR(
(INDEX(スコア表[],MATCH($C48,スコア表['#],0),MATCH(CS$5,スコア表[#Headers],0))
-
INDEX(スコア表2[],MATCH("average",スコア表2[maxmin],0),MATCH(CS$5,スコア表2[#Headers],0)))
/
INDEX(スコア表2[],MATCH("stdev.p",スコア表2[maxmin],0),MATCH(CS$5,スコア表2[#Headers],0))
*10+50,"-")</f>
        <v>42.98177714786771</v>
      </c>
      <c r="CT48" s="4">
        <f>IFERROR(
(INDEX(スコア表[],MATCH($C48,スコア表['#],0),MATCH(CT$5,スコア表[#Headers],0))
-
INDEX(スコア表2[],MATCH("average",スコア表2[maxmin],0),MATCH(CT$5,スコア表2[#Headers],0)))
/
INDEX(スコア表2[],MATCH("stdev.p",スコア表2[maxmin],0),MATCH(CT$5,スコア表2[#Headers],0))
*10+50,"-")</f>
        <v>58.363443844548982</v>
      </c>
      <c r="CU48" s="4">
        <f>IFERROR(
(INDEX(スコア表[],MATCH($C48,スコア表['#],0),MATCH(CU$5,スコア表[#Headers],0))
-
INDEX(スコア表2[],MATCH("average",スコア表2[maxmin],0),MATCH(CU$5,スコア表2[#Headers],0)))
/
INDEX(スコア表2[],MATCH("stdev.p",スコア表2[maxmin],0),MATCH(CU$5,スコア表2[#Headers],0))
*10+50,"-")</f>
        <v>39.141039736966633</v>
      </c>
      <c r="CV48" s="4">
        <f>IFERROR(
(INDEX(スコア表[],MATCH($C48,スコア表['#],0),MATCH(CV$5,スコア表[#Headers],0))
-
INDEX(スコア表2[],MATCH("average",スコア表2[maxmin],0),MATCH(CV$5,スコア表2[#Headers],0)))
/
INDEX(スコア表2[],MATCH("stdev.p",スコア表2[maxmin],0),MATCH(CV$5,スコア表2[#Headers],0))
*10+50,"-")</f>
        <v>40.46915811934084</v>
      </c>
      <c r="CW48" s="4">
        <f>IFERROR(
(INDEX(スコア表[],MATCH($C48,スコア表['#],0),MATCH(CW$5,スコア表[#Headers],0))
-
INDEX(スコア表2[],MATCH("average",スコア表2[maxmin],0),MATCH(CW$5,スコア表2[#Headers],0)))
/
INDEX(スコア表2[],MATCH("stdev.p",スコア表2[maxmin],0),MATCH(CW$5,スコア表2[#Headers],0))
*10+50,"-")</f>
        <v>52.340855895882349</v>
      </c>
      <c r="CX48" s="4">
        <f>IFERROR(
(INDEX(スコア表[],MATCH($C48,スコア表['#],0),MATCH(CX$5,スコア表[#Headers],0))
-
INDEX(スコア表2[],MATCH("average",スコア表2[maxmin],0),MATCH(CX$5,スコア表2[#Headers],0)))
/
INDEX(スコア表2[],MATCH("stdev.p",スコア表2[maxmin],0),MATCH(CX$5,スコア表2[#Headers],0))
*10+50,"-")</f>
        <v>45.794484578164891</v>
      </c>
      <c r="CY48" s="4">
        <f>IFERROR(
(INDEX(スコア表[],MATCH($C48,スコア表['#],0),MATCH(CY$5,スコア表[#Headers],0))
-
INDEX(スコア表2[],MATCH("average",スコア表2[maxmin],0),MATCH(CY$5,スコア表2[#Headers],0)))
/
INDEX(スコア表2[],MATCH("stdev.p",スコア表2[maxmin],0),MATCH(CY$5,スコア表2[#Headers],0))
*10+50,"-")</f>
        <v>36.645557812906475</v>
      </c>
      <c r="CZ48" s="4">
        <f>IFERROR(
(INDEX(スコア表[],MATCH($C48,スコア表['#],0),MATCH(CZ$5,スコア表[#Headers],0))
-
INDEX(スコア表2[],MATCH("average",スコア表2[maxmin],0),MATCH(CZ$5,スコア表2[#Headers],0)))
/
INDEX(スコア表2[],MATCH("stdev.p",スコア表2[maxmin],0),MATCH(CZ$5,スコア表2[#Headers],0))
*10+50,"-")</f>
        <v>35.753870105509193</v>
      </c>
      <c r="DA48" s="4">
        <f>IFERROR(
(INDEX(スコア表[],MATCH($C48,スコア表['#],0),MATCH(DA$5,スコア表[#Headers],0))
-
INDEX(スコア表2[],MATCH("average",スコア表2[maxmin],0),MATCH(DA$5,スコア表2[#Headers],0)))
/
INDEX(スコア表2[],MATCH("stdev.p",スコア表2[maxmin],0),MATCH(DA$5,スコア表2[#Headers],0))
*10+50,"-")</f>
        <v>39.210393913132499</v>
      </c>
      <c r="DB48" s="4">
        <f>IFERROR(
(INDEX(スコア表[],MATCH($C48,スコア表['#],0),MATCH(DB$5,スコア表[#Headers],0))
-
INDEX(スコア表2[],MATCH("average",スコア表2[maxmin],0),MATCH(DB$5,スコア表2[#Headers],0)))
/
INDEX(スコア表2[],MATCH("stdev.p",スコア表2[maxmin],0),MATCH(DB$5,スコア表2[#Headers],0))
*10+50,"-")</f>
        <v>53.853346966746912</v>
      </c>
      <c r="DC48" s="4">
        <f>IFERROR(
(INDEX(スコア表[],MATCH($C48,スコア表['#],0),MATCH(DC$5,スコア表[#Headers],0))
-
INDEX(スコア表2[],MATCH("average",スコア表2[maxmin],0),MATCH(DC$5,スコア表2[#Headers],0)))
/
INDEX(スコア表2[],MATCH("stdev.p",スコア表2[maxmin],0),MATCH(DC$5,スコア表2[#Headers],0))
*10+50,"-")</f>
        <v>38.089679032877839</v>
      </c>
      <c r="DD48" s="4">
        <f>IFERROR(
(INDEX(スコア表[],MATCH($C48,スコア表['#],0),MATCH(DD$5,スコア表[#Headers],0))
-
INDEX(スコア表2[],MATCH("average",スコア表2[maxmin],0),MATCH(DD$5,スコア表2[#Headers],0)))
/
INDEX(スコア表2[],MATCH("stdev.p",スコア表2[maxmin],0),MATCH(DD$5,スコア表2[#Headers],0))
*10+50,"-")</f>
        <v>43.793330674154305</v>
      </c>
      <c r="DE48" s="4">
        <f>IFERROR(
(INDEX(スコア表[],MATCH($C48,スコア表['#],0),MATCH(DE$5,スコア表[#Headers],0))
-
INDEX(スコア表2[],MATCH("average",スコア表2[maxmin],0),MATCH(DE$5,スコア表2[#Headers],0)))
/
INDEX(スコア表2[],MATCH("stdev.p",スコア表2[maxmin],0),MATCH(DE$5,スコア表2[#Headers],0))
*10+50,"-")</f>
        <v>40.393426612252071</v>
      </c>
      <c r="DF48" s="76">
        <f>IFERROR(
(INDEX(スコア表[],MATCH($C48,スコア表['#],0),MATCH(DF$5,スコア表[#Headers],0))
-
INDEX(スコア表2[],MATCH("average",スコア表2[maxmin],0),MATCH(DF$5,スコア表2[#Headers],0)))
/
INDEX(スコア表2[],MATCH("stdev.p",スコア表2[maxmin],0),MATCH(DF$5,スコア表2[#Headers],0))
*10+50,"-")</f>
        <v>39.090260625096903</v>
      </c>
      <c r="DG48" s="4">
        <f>IFERROR(_xlfn.STDEV.P(偏差値表[[#This Row],[Economy]:[Accessibility]]),"")</f>
        <v>5.8913609972776229</v>
      </c>
    </row>
    <row r="49" spans="1:111">
      <c r="A49" s="2">
        <v>44</v>
      </c>
      <c r="B49" s="58">
        <f>INDEX(順位表[Comprehensive],MATCH($C49,順位表['#],0))</f>
        <v>44</v>
      </c>
      <c r="C49" s="3">
        <v>43</v>
      </c>
      <c r="D49" s="1" t="str">
        <f>INDEX(都市マスタ[City Name],MATCH($C49,都市マスタ['#],0))</f>
        <v>Buenos Aires</v>
      </c>
      <c r="E49" s="4">
        <f>IFERROR(
(INDEX(スコア表[],MATCH($C49,スコア表['#],0),MATCH(E$5,スコア表[#Headers],0))
-
INDEX(スコア表2[],MATCH("average",スコア表2[maxmin],0),MATCH(E$5,スコア表2[#Headers],0)))
/
INDEX(スコア表2[],MATCH("stdev.p",スコア表2[maxmin],0),MATCH(E$5,スコア表2[#Headers],0))
*10+50,"-")</f>
        <v>45.980733897299025</v>
      </c>
      <c r="F49" s="4">
        <f>IFERROR(
(INDEX(スコア表[],MATCH($C49,スコア表['#],0),MATCH(F$5,スコア表[#Headers],0))
-
INDEX(スコア表2[],MATCH("average",スコア表2[maxmin],0),MATCH(F$5,スコア表2[#Headers],0)))
/
INDEX(スコア表2[],MATCH("stdev.p",スコア表2[maxmin],0),MATCH(F$5,スコア表2[#Headers],0))
*10+50,"-")</f>
        <v>45.40168021435705</v>
      </c>
      <c r="G49" s="4">
        <f>IFERROR(
(INDEX(スコア表[],MATCH($C49,スコア表['#],0),MATCH(G$5,スコア表[#Headers],0))
-
INDEX(スコア表2[],MATCH("average",スコア表2[maxmin],0),MATCH(G$5,スコア表2[#Headers],0)))
/
INDEX(スコア表2[],MATCH("stdev.p",スコア表2[maxmin],0),MATCH(G$5,スコア表2[#Headers],0))
*10+50,"-")</f>
        <v>48.944293049857997</v>
      </c>
      <c r="H49" s="4">
        <f>IFERROR(
(INDEX(スコア表[],MATCH($C49,スコア表['#],0),MATCH(H$5,スコア表[#Headers],0))
-
INDEX(スコア表2[],MATCH("average",スコア表2[maxmin],0),MATCH(H$5,スコア表2[#Headers],0)))
/
INDEX(スコア表2[],MATCH("stdev.p",スコア表2[maxmin],0),MATCH(H$5,スコア表2[#Headers],0))
*10+50,"-")</f>
        <v>43.44308415345234</v>
      </c>
      <c r="I49" s="4">
        <f>IFERROR(
(INDEX(スコア表[],MATCH($C49,スコア表['#],0),MATCH(I$5,スコア表[#Headers],0))
-
INDEX(スコア表2[],MATCH("average",スコア表2[maxmin],0),MATCH(I$5,スコア表2[#Headers],0)))
/
INDEX(スコア表2[],MATCH("stdev.p",スコア表2[maxmin],0),MATCH(I$5,スコア表2[#Headers],0))
*10+50,"-")</f>
        <v>41.749450679384026</v>
      </c>
      <c r="J49" s="4">
        <f>IFERROR(
(INDEX(スコア表[],MATCH($C49,スコア表['#],0),MATCH(J$5,スコア表[#Headers],0))
-
INDEX(スコア表2[],MATCH("average",スコア表2[maxmin],0),MATCH(J$5,スコア表2[#Headers],0)))
/
INDEX(スコア表2[],MATCH("stdev.p",スコア表2[maxmin],0),MATCH(J$5,スコア表2[#Headers],0))
*10+50,"-")</f>
        <v>39.426261984629846</v>
      </c>
      <c r="K49" s="4">
        <f>IFERROR(
(INDEX(スコア表[],MATCH($C49,スコア表['#],0),MATCH(K$5,スコア表[#Headers],0))
-
INDEX(スコア表2[],MATCH("average",スコア表2[maxmin],0),MATCH(K$5,スコア表2[#Headers],0)))
/
INDEX(スコア表2[],MATCH("stdev.p",スコア表2[maxmin],0),MATCH(K$5,スコア表2[#Headers],0))
*10+50,"-")</f>
        <v>33.039082264925142</v>
      </c>
      <c r="L49" s="4">
        <f>IFERROR(
(INDEX(スコア表[],MATCH($C49,スコア表['#],0),MATCH(L$5,スコア表[#Headers],0))
-
INDEX(スコア表2[],MATCH("average",スコア表2[maxmin],0),MATCH(L$5,スコア表2[#Headers],0)))
/
INDEX(スコア表2[],MATCH("stdev.p",スコア表2[maxmin],0),MATCH(L$5,スコア表2[#Headers],0))
*10+50,"-")</f>
        <v>46.922716058257805</v>
      </c>
      <c r="M49" s="4">
        <f>IFERROR(
(INDEX(スコア表[],MATCH($C49,スコア表['#],0),MATCH(M$5,スコア表[#Headers],0))
-
INDEX(スコア表2[],MATCH("average",スコア表2[maxmin],0),MATCH(M$5,スコア表2[#Headers],0)))
/
INDEX(スコア表2[],MATCH("stdev.p",スコア表2[maxmin],0),MATCH(M$5,スコア表2[#Headers],0))
*10+50,"-")</f>
        <v>45.544318921595732</v>
      </c>
      <c r="N49" s="4">
        <f>IFERROR(
(INDEX(スコア表[],MATCH($C49,スコア表['#],0),MATCH(N$5,スコア表[#Headers],0))
-
INDEX(スコア表2[],MATCH("average",スコア表2[maxmin],0),MATCH(N$5,スコア表2[#Headers],0)))
/
INDEX(スコア表2[],MATCH("stdev.p",スコア表2[maxmin],0),MATCH(N$5,スコア表2[#Headers],0))
*10+50,"-")</f>
        <v>45.570468596686837</v>
      </c>
      <c r="O49" s="4">
        <f>IFERROR(
(INDEX(スコア表[],MATCH($C49,スコア表['#],0),MATCH(O$5,スコア表[#Headers],0))
-
INDEX(スコア表2[],MATCH("average",スコア表2[maxmin],0),MATCH(O$5,スコア表2[#Headers],0)))
/
INDEX(スコア表2[],MATCH("stdev.p",スコア表2[maxmin],0),MATCH(O$5,スコア表2[#Headers],0))
*10+50,"-")</f>
        <v>61.98685092791461</v>
      </c>
      <c r="P49" s="4">
        <f>IFERROR(
(INDEX(スコア表[],MATCH($C49,スコア表['#],0),MATCH(P$5,スコア表[#Headers],0))
-
INDEX(スコア表2[],MATCH("average",スコア表2[maxmin],0),MATCH(P$5,スコア表2[#Headers],0)))
/
INDEX(スコア表2[],MATCH("stdev.p",スコア表2[maxmin],0),MATCH(P$5,スコア表2[#Headers],0))
*10+50,"-")</f>
        <v>35.209096858473963</v>
      </c>
      <c r="Q49" s="4">
        <f>IFERROR(
(INDEX(スコア表[],MATCH($C49,スコア表['#],0),MATCH(Q$5,スコア表[#Headers],0))
-
INDEX(スコア表2[],MATCH("average",スコア表2[maxmin],0),MATCH(Q$5,スコア表2[#Headers],0)))
/
INDEX(スコア表2[],MATCH("stdev.p",スコア表2[maxmin],0),MATCH(Q$5,スコア表2[#Headers],0))
*10+50,"-")</f>
        <v>50.181005151863197</v>
      </c>
      <c r="R49" s="4">
        <f>IFERROR(
(INDEX(スコア表[],MATCH($C49,スコア表['#],0),MATCH(R$5,スコア表[#Headers],0))
-
INDEX(スコア表2[],MATCH("average",スコア表2[maxmin],0),MATCH(R$5,スコア表2[#Headers],0)))
/
INDEX(スコア表2[],MATCH("stdev.p",スコア表2[maxmin],0),MATCH(R$5,スコア表2[#Headers],0))
*10+50,"-")</f>
        <v>43.743857478192865</v>
      </c>
      <c r="S49" s="4">
        <f>IFERROR(
(INDEX(スコア表[],MATCH($C49,スコア表['#],0),MATCH(S$5,スコア表[#Headers],0))
-
INDEX(スコア表2[],MATCH("average",スコア表2[maxmin],0),MATCH(S$5,スコア表2[#Headers],0)))
/
INDEX(スコア表2[],MATCH("stdev.p",スコア表2[maxmin],0),MATCH(S$5,スコア表2[#Headers],0))
*10+50,"-")</f>
        <v>32.340650906204225</v>
      </c>
      <c r="T49" s="4">
        <f>IFERROR(
(INDEX(スコア表[],MATCH($C49,スコア表['#],0),MATCH(T$5,スコア表[#Headers],0))
-
INDEX(スコア表2[],MATCH("average",スコア表2[maxmin],0),MATCH(T$5,スコア表2[#Headers],0)))
/
INDEX(スコア表2[],MATCH("stdev.p",スコア表2[maxmin],0),MATCH(T$5,スコア表2[#Headers],0))
*10+50,"-")</f>
        <v>15.773795292758081</v>
      </c>
      <c r="U49" s="4">
        <f>IFERROR(
(INDEX(スコア表[],MATCH($C49,スコア表['#],0),MATCH(U$5,スコア表[#Headers],0))
-
INDEX(スコア表2[],MATCH("average",スコア表2[maxmin],0),MATCH(U$5,スコア表2[#Headers],0)))
/
INDEX(スコア表2[],MATCH("stdev.p",スコア表2[maxmin],0),MATCH(U$5,スコア表2[#Headers],0))
*10+50,"-")</f>
        <v>42.362210447814341</v>
      </c>
      <c r="V49" s="4">
        <f>IFERROR(
(INDEX(スコア表[],MATCH($C49,スコア表['#],0),MATCH(V$5,スコア表[#Headers],0))
-
INDEX(スコア表2[],MATCH("average",スコア表2[maxmin],0),MATCH(V$5,スコア表2[#Headers],0)))
/
INDEX(スコア表2[],MATCH("stdev.p",スコア表2[maxmin],0),MATCH(V$5,スコア表2[#Headers],0))
*10+50,"-")</f>
        <v>40.448052173437482</v>
      </c>
      <c r="W49" s="4">
        <f>IFERROR(
(INDEX(スコア表[],MATCH($C49,スコア表['#],0),MATCH(W$5,スコア表[#Headers],0))
-
INDEX(スコア表2[],MATCH("average",スコア表2[maxmin],0),MATCH(W$5,スコア表2[#Headers],0)))
/
INDEX(スコア表2[],MATCH("stdev.p",スコア表2[maxmin],0),MATCH(W$5,スコア表2[#Headers],0))
*10+50,"-")</f>
        <v>43.443802133679014</v>
      </c>
      <c r="X49" s="4">
        <f>IFERROR(
(INDEX(スコア表[],MATCH($C49,スコア表['#],0),MATCH(X$5,スコア表[#Headers],0))
-
INDEX(スコア表2[],MATCH("average",スコア表2[maxmin],0),MATCH(X$5,スコア表2[#Headers],0)))
/
INDEX(スコア表2[],MATCH("stdev.p",スコア表2[maxmin],0),MATCH(X$5,スコア表2[#Headers],0))
*10+50,"-")</f>
        <v>40.938699671755664</v>
      </c>
      <c r="Y49" s="4">
        <f>IFERROR(
(INDEX(スコア表[],MATCH($C49,スコア表['#],0),MATCH(Y$5,スコア表[#Headers],0))
-
INDEX(スコア表2[],MATCH("average",スコア表2[maxmin],0),MATCH(Y$5,スコア表2[#Headers],0)))
/
INDEX(スコア表2[],MATCH("stdev.p",スコア表2[maxmin],0),MATCH(Y$5,スコア表2[#Headers],0))
*10+50,"-")</f>
        <v>33.440504689503285</v>
      </c>
      <c r="Z49" s="4">
        <f>IFERROR(
(INDEX(スコア表[],MATCH($C49,スコア表['#],0),MATCH(Z$5,スコア表[#Headers],0))
-
INDEX(スコア表2[],MATCH("average",スコア表2[maxmin],0),MATCH(Z$5,スコア表2[#Headers],0)))
/
INDEX(スコア表2[],MATCH("stdev.p",スコア表2[maxmin],0),MATCH(Z$5,スコア表2[#Headers],0))
*10+50,"-")</f>
        <v>44.135560745674994</v>
      </c>
      <c r="AA49" s="4">
        <f>IFERROR(
(INDEX(スコア表[],MATCH($C49,スコア表['#],0),MATCH(AA$5,スコア表[#Headers],0))
-
INDEX(スコア表2[],MATCH("average",スコア表2[maxmin],0),MATCH(AA$5,スコア表2[#Headers],0)))
/
INDEX(スコア表2[],MATCH("stdev.p",スコア表2[maxmin],0),MATCH(AA$5,スコア表2[#Headers],0))
*10+50,"-")</f>
        <v>44.664612103409482</v>
      </c>
      <c r="AB49" s="4">
        <f>IFERROR(
(INDEX(スコア表[],MATCH($C49,スコア表['#],0),MATCH(AB$5,スコア表[#Headers],0))
-
INDEX(スコア表2[],MATCH("average",スコア表2[maxmin],0),MATCH(AB$5,スコア表2[#Headers],0)))
/
INDEX(スコア表2[],MATCH("stdev.p",スコア表2[maxmin],0),MATCH(AB$5,スコア表2[#Headers],0))
*10+50,"-")</f>
        <v>44.013890424930423</v>
      </c>
      <c r="AC49" s="4">
        <f>IFERROR(
(INDEX(スコア表[],MATCH($C49,スコア表['#],0),MATCH(AC$5,スコア表[#Headers],0))
-
INDEX(スコア表2[],MATCH("average",スコア表2[maxmin],0),MATCH(AC$5,スコア表2[#Headers],0)))
/
INDEX(スコア表2[],MATCH("stdev.p",スコア表2[maxmin],0),MATCH(AC$5,スコア表2[#Headers],0))
*10+50,"-")</f>
        <v>44.860381908055004</v>
      </c>
      <c r="AD49" s="4">
        <f>IFERROR(
(INDEX(スコア表[],MATCH($C49,スコア表['#],0),MATCH(AD$5,スコア表[#Headers],0))
-
INDEX(スコア表2[],MATCH("average",スコア表2[maxmin],0),MATCH(AD$5,スコア表2[#Headers],0)))
/
INDEX(スコア表2[],MATCH("stdev.p",スコア表2[maxmin],0),MATCH(AD$5,スコア表2[#Headers],0))
*10+50,"-")</f>
        <v>49.264729256141223</v>
      </c>
      <c r="AE49" s="4">
        <f>IFERROR(
(INDEX(スコア表[],MATCH($C49,スコア表['#],0),MATCH(AE$5,スコア表[#Headers],0))
-
INDEX(スコア表2[],MATCH("average",スコア表2[maxmin],0),MATCH(AE$5,スコア表2[#Headers],0)))
/
INDEX(スコア表2[],MATCH("stdev.p",スコア表2[maxmin],0),MATCH(AE$5,スコア表2[#Headers],0))
*10+50,"-")</f>
        <v>44.62329006388029</v>
      </c>
      <c r="AF49" s="4">
        <f>IFERROR(
(INDEX(スコア表[],MATCH($C49,スコア表['#],0),MATCH(AF$5,スコア表[#Headers],0))
-
INDEX(スコア表2[],MATCH("average",スコア表2[maxmin],0),MATCH(AF$5,スコア表2[#Headers],0)))
/
INDEX(スコア表2[],MATCH("stdev.p",スコア表2[maxmin],0),MATCH(AF$5,スコア表2[#Headers],0))
*10+50,"-")</f>
        <v>46.890681272039878</v>
      </c>
      <c r="AG49" s="4">
        <f>IFERROR(
(INDEX(スコア表[],MATCH($C49,スコア表['#],0),MATCH(AG$5,スコア表[#Headers],0))
-
INDEX(スコア表2[],MATCH("average",スコア表2[maxmin],0),MATCH(AG$5,スコア表2[#Headers],0)))
/
INDEX(スコア表2[],MATCH("stdev.p",スコア表2[maxmin],0),MATCH(AG$5,スコア表2[#Headers],0))
*10+50,"-")</f>
        <v>63.328002743816768</v>
      </c>
      <c r="AH49" s="4">
        <f>IFERROR(
(INDEX(スコア表[],MATCH($C49,スコア表['#],0),MATCH(AH$5,スコア表[#Headers],0))
-
INDEX(スコア表2[],MATCH("average",スコア表2[maxmin],0),MATCH(AH$5,スコア表2[#Headers],0)))
/
INDEX(スコア表2[],MATCH("stdev.p",スコア表2[maxmin],0),MATCH(AH$5,スコア表2[#Headers],0))
*10+50,"-")</f>
        <v>43.0917216725081</v>
      </c>
      <c r="AI49" s="4">
        <f>IFERROR(
(INDEX(スコア表[],MATCH($C49,スコア表['#],0),MATCH(AI$5,スコア表[#Headers],0))
-
INDEX(スコア表2[],MATCH("average",スコア表2[maxmin],0),MATCH(AI$5,スコア表2[#Headers],0)))
/
INDEX(スコア表2[],MATCH("stdev.p",スコア表2[maxmin],0),MATCH(AI$5,スコア表2[#Headers],0))
*10+50,"-")</f>
        <v>62.285189588290109</v>
      </c>
      <c r="AJ49" s="4">
        <f>IFERROR(
(INDEX(スコア表[],MATCH($C49,スコア表['#],0),MATCH(AJ$5,スコア表[#Headers],0))
-
INDEX(スコア表2[],MATCH("average",スコア表2[maxmin],0),MATCH(AJ$5,スコア表2[#Headers],0)))
/
INDEX(スコア表2[],MATCH("stdev.p",スコア表2[maxmin],0),MATCH(AJ$5,スコア表2[#Headers],0))
*10+50,"-")</f>
        <v>54.644842558665651</v>
      </c>
      <c r="AK49" s="4">
        <f>IFERROR(
(INDEX(スコア表[],MATCH($C49,スコア表['#],0),MATCH(AK$5,スコア表[#Headers],0))
-
INDEX(スコア表2[],MATCH("average",スコア表2[maxmin],0),MATCH(AK$5,スコア表2[#Headers],0)))
/
INDEX(スコア表2[],MATCH("stdev.p",スコア表2[maxmin],0),MATCH(AK$5,スコア表2[#Headers],0))
*10+50,"-")</f>
        <v>59.022681699719442</v>
      </c>
      <c r="AL49" s="4">
        <f>IFERROR(
(INDEX(スコア表[],MATCH($C49,スコア表['#],0),MATCH(AL$5,スコア表[#Headers],0))
-
INDEX(スコア表2[],MATCH("average",スコア表2[maxmin],0),MATCH(AL$5,スコア表2[#Headers],0)))
/
INDEX(スコア表2[],MATCH("stdev.p",スコア表2[maxmin],0),MATCH(AL$5,スコア表2[#Headers],0))
*10+50,"-")</f>
        <v>79.180219864857634</v>
      </c>
      <c r="AM49" s="4">
        <f>IFERROR(
(INDEX(スコア表[],MATCH($C49,スコア表['#],0),MATCH(AM$5,スコア表[#Headers],0))
-
INDEX(スコア表2[],MATCH("average",スコア表2[maxmin],0),MATCH(AM$5,スコア表2[#Headers],0)))
/
INDEX(スコア表2[],MATCH("stdev.p",スコア表2[maxmin],0),MATCH(AM$5,スコア表2[#Headers],0))
*10+50,"-")</f>
        <v>43.131987460904497</v>
      </c>
      <c r="AN49" s="4">
        <f>IFERROR(
(INDEX(スコア表[],MATCH($C49,スコア表['#],0),MATCH(AN$5,スコア表[#Headers],0))
-
INDEX(スコア表2[],MATCH("average",スコア表2[maxmin],0),MATCH(AN$5,スコア表2[#Headers],0)))
/
INDEX(スコア表2[],MATCH("stdev.p",スコア表2[maxmin],0),MATCH(AN$5,スコア表2[#Headers],0))
*10+50,"-")</f>
        <v>42.916681710400681</v>
      </c>
      <c r="AO49" s="4">
        <f>IFERROR(
(INDEX(スコア表[],MATCH($C49,スコア表['#],0),MATCH(AO$5,スコア表[#Headers],0))
-
INDEX(スコア表2[],MATCH("average",スコア表2[maxmin],0),MATCH(AO$5,スコア表2[#Headers],0)))
/
INDEX(スコア表2[],MATCH("stdev.p",スコア表2[maxmin],0),MATCH(AO$5,スコア表2[#Headers],0))
*10+50,"-")</f>
        <v>61.079860322562908</v>
      </c>
      <c r="AP49" s="4">
        <f>IFERROR(
(INDEX(スコア表[],MATCH($C49,スコア表['#],0),MATCH(AP$5,スコア表[#Headers],0))
-
INDEX(スコア表2[],MATCH("average",スコア表2[maxmin],0),MATCH(AP$5,スコア表2[#Headers],0)))
/
INDEX(スコア表2[],MATCH("stdev.p",スコア表2[maxmin],0),MATCH(AP$5,スコア表2[#Headers],0))
*10+50,"-")</f>
        <v>60.738363947149978</v>
      </c>
      <c r="AQ49" s="4">
        <f>IFERROR(
(INDEX(スコア表[],MATCH($C49,スコア表['#],0),MATCH(AQ$5,スコア表[#Headers],0))
-
INDEX(スコア表2[],MATCH("average",スコア表2[maxmin],0),MATCH(AQ$5,スコア表2[#Headers],0)))
/
INDEX(スコア表2[],MATCH("stdev.p",スコア表2[maxmin],0),MATCH(AQ$5,スコア表2[#Headers],0))
*10+50,"-")</f>
        <v>48.282404326123043</v>
      </c>
      <c r="AR49" s="4">
        <f>IFERROR(
(INDEX(スコア表[],MATCH($C49,スコア表['#],0),MATCH(AR$5,スコア表[#Headers],0))
-
INDEX(スコア表2[],MATCH("average",スコア表2[maxmin],0),MATCH(AR$5,スコア表2[#Headers],0)))
/
INDEX(スコア表2[],MATCH("stdev.p",スコア表2[maxmin],0),MATCH(AR$5,スコア表2[#Headers],0))
*10+50,"-")</f>
        <v>42.426174134912692</v>
      </c>
      <c r="AS49" s="4">
        <f>IFERROR(
(INDEX(スコア表[],MATCH($C49,スコア表['#],0),MATCH(AS$5,スコア表[#Headers],0))
-
INDEX(スコア表2[],MATCH("average",スコア表2[maxmin],0),MATCH(AS$5,スコア表2[#Headers],0)))
/
INDEX(スコア表2[],MATCH("stdev.p",スコア表2[maxmin],0),MATCH(AS$5,スコア表2[#Headers],0))
*10+50,"-")</f>
        <v>44.261674641797228</v>
      </c>
      <c r="AT49" s="4">
        <f>IFERROR(
(INDEX(スコア表[],MATCH($C49,スコア表['#],0),MATCH(AT$5,スコア表[#Headers],0))
-
INDEX(スコア表2[],MATCH("average",スコア表2[maxmin],0),MATCH(AT$5,スコア表2[#Headers],0)))
/
INDEX(スコア表2[],MATCH("stdev.p",スコア表2[maxmin],0),MATCH(AT$5,スコア表2[#Headers],0))
*10+50,"-")</f>
        <v>57.096909103216291</v>
      </c>
      <c r="AU49" s="4">
        <f>IFERROR(
(INDEX(スコア表[],MATCH($C49,スコア表['#],0),MATCH(AU$5,スコア表[#Headers],0))
-
INDEX(スコア表2[],MATCH("average",スコア表2[maxmin],0),MATCH(AU$5,スコア表2[#Headers],0)))
/
INDEX(スコア表2[],MATCH("stdev.p",スコア表2[maxmin],0),MATCH(AU$5,スコア表2[#Headers],0))
*10+50,"-")</f>
        <v>45.414289731966832</v>
      </c>
      <c r="AV49" s="4">
        <f>IFERROR(
(INDEX(スコア表[],MATCH($C49,スコア表['#],0),MATCH(AV$5,スコア表[#Headers],0))
-
INDEX(スコア表2[],MATCH("average",スコア表2[maxmin],0),MATCH(AV$5,スコア表2[#Headers],0)))
/
INDEX(スコア表2[],MATCH("stdev.p",スコア表2[maxmin],0),MATCH(AV$5,スコア表2[#Headers],0))
*10+50,"-")</f>
        <v>64.586972298754816</v>
      </c>
      <c r="AW49" s="4">
        <f>IFERROR(
(INDEX(スコア表[],MATCH($C49,スコア表['#],0),MATCH(AW$5,スコア表[#Headers],0))
-
INDEX(スコア表2[],MATCH("average",スコア表2[maxmin],0),MATCH(AW$5,スコア表2[#Headers],0)))
/
INDEX(スコア表2[],MATCH("stdev.p",スコア表2[maxmin],0),MATCH(AW$5,スコア表2[#Headers],0))
*10+50,"-")</f>
        <v>27.932090354534104</v>
      </c>
      <c r="AX49" s="4">
        <f>IFERROR(
(INDEX(スコア表[],MATCH($C49,スコア表['#],0),MATCH(AX$5,スコア表[#Headers],0))
-
INDEX(スコア表2[],MATCH("average",スコア表2[maxmin],0),MATCH(AX$5,スコア表2[#Headers],0)))
/
INDEX(スコア表2[],MATCH("stdev.p",スコア表2[maxmin],0),MATCH(AX$5,スコア表2[#Headers],0))
*10+50,"-")</f>
        <v>49.394194543511887</v>
      </c>
      <c r="AY49" s="4">
        <f>IFERROR(
(INDEX(スコア表[],MATCH($C49,スコア表['#],0),MATCH(AY$5,スコア表[#Headers],0))
-
INDEX(スコア表2[],MATCH("average",スコア表2[maxmin],0),MATCH(AY$5,スコア表2[#Headers],0)))
/
INDEX(スコア表2[],MATCH("stdev.p",スコア表2[maxmin],0),MATCH(AY$5,スコア表2[#Headers],0))
*10+50,"-")</f>
        <v>52.943048917100768</v>
      </c>
      <c r="AZ49" s="4">
        <f>IFERROR(
(INDEX(スコア表[],MATCH($C49,スコア表['#],0),MATCH(AZ$5,スコア表[#Headers],0))
-
INDEX(スコア表2[],MATCH("average",スコア表2[maxmin],0),MATCH(AZ$5,スコア表2[#Headers],0)))
/
INDEX(スコア表2[],MATCH("stdev.p",スコア表2[maxmin],0),MATCH(AZ$5,スコア表2[#Headers],0))
*10+50,"-")</f>
        <v>42.381798651155862</v>
      </c>
      <c r="BA49" s="4">
        <f>IFERROR(
(INDEX(スコア表[],MATCH($C49,スコア表['#],0),MATCH(BA$5,スコア表[#Headers],0))
-
INDEX(スコア表2[],MATCH("average",スコア表2[maxmin],0),MATCH(BA$5,スコア表2[#Headers],0)))
/
INDEX(スコア表2[],MATCH("stdev.p",スコア表2[maxmin],0),MATCH(BA$5,スコア表2[#Headers],0))
*10+50,"-")</f>
        <v>48.847310178284964</v>
      </c>
      <c r="BB49" s="4">
        <f>IFERROR(
(INDEX(スコア表[],MATCH($C49,スコア表['#],0),MATCH(BB$5,スコア表[#Headers],0))
-
INDEX(スコア表2[],MATCH("average",スコア表2[maxmin],0),MATCH(BB$5,スコア表2[#Headers],0)))
/
INDEX(スコア表2[],MATCH("stdev.p",スコア表2[maxmin],0),MATCH(BB$5,スコア表2[#Headers],0))
*10+50,"-")</f>
        <v>56.332875095141446</v>
      </c>
      <c r="BC49" s="4">
        <f>IFERROR(
(INDEX(スコア表[],MATCH($C49,スコア表['#],0),MATCH(BC$5,スコア表[#Headers],0))
-
INDEX(スコア表2[],MATCH("average",スコア表2[maxmin],0),MATCH(BC$5,スコア表2[#Headers],0)))
/
INDEX(スコア表2[],MATCH("stdev.p",スコア表2[maxmin],0),MATCH(BC$5,スコア表2[#Headers],0))
*10+50,"-")</f>
        <v>54.146539346317056</v>
      </c>
      <c r="BD49" s="4">
        <f>IFERROR(
(INDEX(スコア表[],MATCH($C49,スコア表['#],0),MATCH(BD$5,スコア表[#Headers],0))
-
INDEX(スコア表2[],MATCH("average",スコア表2[maxmin],0),MATCH(BD$5,スコア表2[#Headers],0)))
/
INDEX(スコア表2[],MATCH("stdev.p",スコア表2[maxmin],0),MATCH(BD$5,スコア表2[#Headers],0))
*10+50,"-")</f>
        <v>30.715826331018391</v>
      </c>
      <c r="BE49" s="4">
        <f>IFERROR(
(INDEX(スコア表[],MATCH($C49,スコア表['#],0),MATCH(BE$5,スコア表[#Headers],0))
-
INDEX(スコア表2[],MATCH("average",スコア表2[maxmin],0),MATCH(BE$5,スコア表2[#Headers],0)))
/
INDEX(スコア表2[],MATCH("stdev.p",スコア表2[maxmin],0),MATCH(BE$5,スコア表2[#Headers],0))
*10+50,"-")</f>
        <v>65.049879256906067</v>
      </c>
      <c r="BF49" s="4">
        <f>IFERROR(
(INDEX(スコア表[],MATCH($C49,スコア表['#],0),MATCH(BF$5,スコア表[#Headers],0))
-
INDEX(スコア表2[],MATCH("average",スコア表2[maxmin],0),MATCH(BF$5,スコア表2[#Headers],0)))
/
INDEX(スコア表2[],MATCH("stdev.p",スコア表2[maxmin],0),MATCH(BF$5,スコア表2[#Headers],0))
*10+50,"-")</f>
        <v>49.861806167117692</v>
      </c>
      <c r="BG49" s="4">
        <f>IFERROR(
(INDEX(スコア表[],MATCH($C49,スコア表['#],0),MATCH(BG$5,スコア表[#Headers],0))
-
INDEX(スコア表2[],MATCH("average",スコア表2[maxmin],0),MATCH(BG$5,スコア表2[#Headers],0)))
/
INDEX(スコア表2[],MATCH("stdev.p",スコア表2[maxmin],0),MATCH(BG$5,スコア表2[#Headers],0))
*10+50,"-")</f>
        <v>56.652489120114083</v>
      </c>
      <c r="BH49" s="4">
        <f>IFERROR(
(INDEX(スコア表[],MATCH($C49,スコア表['#],0),MATCH(BH$5,スコア表[#Headers],0))
-
INDEX(スコア表2[],MATCH("average",スコア表2[maxmin],0),MATCH(BH$5,スコア表2[#Headers],0)))
/
INDEX(スコア表2[],MATCH("stdev.p",スコア表2[maxmin],0),MATCH(BH$5,スコア表2[#Headers],0))
*10+50,"-")</f>
        <v>44.924929868521112</v>
      </c>
      <c r="BI49" s="4">
        <f>IFERROR(
(INDEX(スコア表[],MATCH($C49,スコア表['#],0),MATCH(BI$5,スコア表[#Headers],0))
-
INDEX(スコア表2[],MATCH("average",スコア表2[maxmin],0),MATCH(BI$5,スコア表2[#Headers],0)))
/
INDEX(スコア表2[],MATCH("stdev.p",スコア表2[maxmin],0),MATCH(BI$5,スコア表2[#Headers],0))
*10+50,"-")</f>
        <v>34.264043786333858</v>
      </c>
      <c r="BJ49" s="4">
        <f>IFERROR(
(INDEX(スコア表[],MATCH($C49,スコア表['#],0),MATCH(BJ$5,スコア表[#Headers],0))
-
INDEX(スコア表2[],MATCH("average",スコア表2[maxmin],0),MATCH(BJ$5,スコア表2[#Headers],0)))
/
INDEX(スコア表2[],MATCH("stdev.p",スコア表2[maxmin],0),MATCH(BJ$5,スコア表2[#Headers],0))
*10+50,"-")</f>
        <v>53.29704612308285</v>
      </c>
      <c r="BK49" s="4">
        <f>IFERROR(
(INDEX(スコア表[],MATCH($C49,スコア表['#],0),MATCH(BK$5,スコア表[#Headers],0))
-
INDEX(スコア表2[],MATCH("average",スコア表2[maxmin],0),MATCH(BK$5,スコア表2[#Headers],0)))
/
INDEX(スコア表2[],MATCH("stdev.p",スコア表2[maxmin],0),MATCH(BK$5,スコア表2[#Headers],0))
*10+50,"-")</f>
        <v>50.946907545722496</v>
      </c>
      <c r="BL49" s="4">
        <f>IFERROR(
(INDEX(スコア表[],MATCH($C49,スコア表['#],0),MATCH(BL$5,スコア表[#Headers],0))
-
INDEX(スコア表2[],MATCH("average",スコア表2[maxmin],0),MATCH(BL$5,スコア表2[#Headers],0)))
/
INDEX(スコア表2[],MATCH("stdev.p",スコア表2[maxmin],0),MATCH(BL$5,スコア表2[#Headers],0))
*10+50,"-")</f>
        <v>63.509092164034783</v>
      </c>
      <c r="BM49" s="4">
        <f>IFERROR(
(INDEX(スコア表[],MATCH($C49,スコア表['#],0),MATCH(BM$5,スコア表[#Headers],0))
-
INDEX(スコア表2[],MATCH("average",スコア表2[maxmin],0),MATCH(BM$5,スコア表2[#Headers],0)))
/
INDEX(スコア表2[],MATCH("stdev.p",スコア表2[maxmin],0),MATCH(BM$5,スコア表2[#Headers],0))
*10+50,"-")</f>
        <v>44.09074984953881</v>
      </c>
      <c r="BN49" s="4">
        <f>IFERROR(
(INDEX(スコア表[],MATCH($C49,スコア表['#],0),MATCH(BN$5,スコア表[#Headers],0))
-
INDEX(スコア表2[],MATCH("average",スコア表2[maxmin],0),MATCH(BN$5,スコア表2[#Headers],0)))
/
INDEX(スコア表2[],MATCH("stdev.p",スコア表2[maxmin],0),MATCH(BN$5,スコア表2[#Headers],0))
*10+50,"-")</f>
        <v>42.745988896291799</v>
      </c>
      <c r="BO49" s="4">
        <f>IFERROR(
(INDEX(スコア表[],MATCH($C49,スコア表['#],0),MATCH(BO$5,スコア表[#Headers],0))
-
INDEX(スコア表2[],MATCH("average",スコア表2[maxmin],0),MATCH(BO$5,スコア表2[#Headers],0)))
/
INDEX(スコア表2[],MATCH("stdev.p",スコア表2[maxmin],0),MATCH(BO$5,スコア表2[#Headers],0))
*10+50,"-")</f>
        <v>43.525130807893277</v>
      </c>
      <c r="BP49" s="4">
        <f>IFERROR(
(INDEX(スコア表[],MATCH($C49,スコア表['#],0),MATCH(BP$5,スコア表[#Headers],0))
-
INDEX(スコア表2[],MATCH("average",スコア表2[maxmin],0),MATCH(BP$5,スコア表2[#Headers],0)))
/
INDEX(スコア表2[],MATCH("stdev.p",スコア表2[maxmin],0),MATCH(BP$5,スコア表2[#Headers],0))
*10+50,"-")</f>
        <v>39.161099385629839</v>
      </c>
      <c r="BQ49" s="4">
        <f>IFERROR(
(INDEX(スコア表[],MATCH($C49,スコア表['#],0),MATCH(BQ$5,スコア表[#Headers],0))
-
INDEX(スコア表2[],MATCH("average",スコア表2[maxmin],0),MATCH(BQ$5,スコア表2[#Headers],0)))
/
INDEX(スコア表2[],MATCH("stdev.p",スコア表2[maxmin],0),MATCH(BQ$5,スコア表2[#Headers],0))
*10+50,"-")</f>
        <v>43.559946539369101</v>
      </c>
      <c r="BR49" s="4">
        <f>IFERROR(
(INDEX(スコア表[],MATCH($C49,スコア表['#],0),MATCH(BR$5,スコア表[#Headers],0))
-
INDEX(スコア表2[],MATCH("average",スコア表2[maxmin],0),MATCH(BR$5,スコア表2[#Headers],0)))
/
INDEX(スコア表2[],MATCH("stdev.p",スコア表2[maxmin],0),MATCH(BR$5,スコア表2[#Headers],0))
*10+50,"-")</f>
        <v>38.740343850800969</v>
      </c>
      <c r="BS49" s="4">
        <f>IFERROR(
(INDEX(スコア表[],MATCH($C49,スコア表['#],0),MATCH(BS$5,スコア表[#Headers],0))
-
INDEX(スコア表2[],MATCH("average",スコア表2[maxmin],0),MATCH(BS$5,スコア表2[#Headers],0)))
/
INDEX(スコア表2[],MATCH("stdev.p",スコア表2[maxmin],0),MATCH(BS$5,スコア表2[#Headers],0))
*10+50,"-")</f>
        <v>37.591086637078305</v>
      </c>
      <c r="BT49" s="4">
        <f>IFERROR(
(INDEX(スコア表[],MATCH($C49,スコア表['#],0),MATCH(BT$5,スコア表[#Headers],0))
-
INDEX(スコア表2[],MATCH("average",スコア表2[maxmin],0),MATCH(BT$5,スコア表2[#Headers],0)))
/
INDEX(スコア表2[],MATCH("stdev.p",スコア表2[maxmin],0),MATCH(BT$5,スコア表2[#Headers],0))
*10+50,"-")</f>
        <v>44.560605268123169</v>
      </c>
      <c r="BU49" s="4">
        <f>IFERROR(
(INDEX(スコア表[],MATCH($C49,スコア表['#],0),MATCH(BU$5,スコア表[#Headers],0))
-
INDEX(スコア表2[],MATCH("average",スコア表2[maxmin],0),MATCH(BU$5,スコア表2[#Headers],0)))
/
INDEX(スコア表2[],MATCH("stdev.p",スコア表2[maxmin],0),MATCH(BU$5,スコア表2[#Headers],0))
*10+50,"-")</f>
        <v>58.8271191050071</v>
      </c>
      <c r="BV49" s="4">
        <f>IFERROR(
(INDEX(スコア表[],MATCH($C49,スコア表['#],0),MATCH(BV$5,スコア表[#Headers],0))
-
INDEX(スコア表2[],MATCH("average",スコア表2[maxmin],0),MATCH(BV$5,スコア表2[#Headers],0)))
/
INDEX(スコア表2[],MATCH("stdev.p",スコア表2[maxmin],0),MATCH(BV$5,スコア表2[#Headers],0))
*10+50,"-")</f>
        <v>38.872305240646057</v>
      </c>
      <c r="BW49" s="4">
        <f>IFERROR(
(INDEX(スコア表[],MATCH($C49,スコア表['#],0),MATCH(BW$5,スコア表[#Headers],0))
-
INDEX(スコア表2[],MATCH("average",スコア表2[maxmin],0),MATCH(BW$5,スコア表2[#Headers],0)))
/
INDEX(スコア表2[],MATCH("stdev.p",スコア表2[maxmin],0),MATCH(BW$5,スコア表2[#Headers],0))
*10+50,"-")</f>
        <v>39.309692808504593</v>
      </c>
      <c r="BX49" s="4">
        <f>IFERROR(
(INDEX(スコア表[],MATCH($C49,スコア表['#],0),MATCH(BX$5,スコア表[#Headers],0))
-
INDEX(スコア表2[],MATCH("average",スコア表2[maxmin],0),MATCH(BX$5,スコア表2[#Headers],0)))
/
INDEX(スコア表2[],MATCH("stdev.p",スコア表2[maxmin],0),MATCH(BX$5,スコア表2[#Headers],0))
*10+50,"-")</f>
        <v>41.732531514415236</v>
      </c>
      <c r="BY49" s="4">
        <f>IFERROR(
(INDEX(スコア表[],MATCH($C49,スコア表['#],0),MATCH(BY$5,スコア表[#Headers],0))
-
INDEX(スコア表2[],MATCH("average",スコア表2[maxmin],0),MATCH(BY$5,スコア表2[#Headers],0)))
/
INDEX(スコア表2[],MATCH("stdev.p",スコア表2[maxmin],0),MATCH(BY$5,スコア表2[#Headers],0))
*10+50,"-")</f>
        <v>53.43498146899978</v>
      </c>
      <c r="BZ49" s="4">
        <f>IFERROR(
(INDEX(スコア表[],MATCH($C49,スコア表['#],0),MATCH(BZ$5,スコア表[#Headers],0))
-
INDEX(スコア表2[],MATCH("average",スコア表2[maxmin],0),MATCH(BZ$5,スコア表2[#Headers],0)))
/
INDEX(スコア表2[],MATCH("stdev.p",スコア表2[maxmin],0),MATCH(BZ$5,スコア表2[#Headers],0))
*10+50,"-")</f>
        <v>39.443441605250356</v>
      </c>
      <c r="CA49" s="4">
        <f>IFERROR(
(INDEX(スコア表[],MATCH($C49,スコア表['#],0),MATCH(CA$5,スコア表[#Headers],0))
-
INDEX(スコア表2[],MATCH("average",スコア表2[maxmin],0),MATCH(CA$5,スコア表2[#Headers],0)))
/
INDEX(スコア表2[],MATCH("stdev.p",スコア表2[maxmin],0),MATCH(CA$5,スコア表2[#Headers],0))
*10+50,"-")</f>
        <v>30.373972548068096</v>
      </c>
      <c r="CB49" s="4">
        <f>IFERROR(
(INDEX(スコア表[],MATCH($C49,スコア表['#],0),MATCH(CB$5,スコア表[#Headers],0))
-
INDEX(スコア表2[],MATCH("average",スコア表2[maxmin],0),MATCH(CB$5,スコア表2[#Headers],0)))
/
INDEX(スコア表2[],MATCH("stdev.p",スコア表2[maxmin],0),MATCH(CB$5,スコア表2[#Headers],0))
*10+50,"-")</f>
        <v>45.09393318735642</v>
      </c>
      <c r="CC49" s="4">
        <f>IFERROR(
(INDEX(スコア表[],MATCH($C49,スコア表['#],0),MATCH(CC$5,スコア表[#Headers],0))
-
INDEX(スコア表2[],MATCH("average",スコア表2[maxmin],0),MATCH(CC$5,スコア表2[#Headers],0)))
/
INDEX(スコア表2[],MATCH("stdev.p",スコア表2[maxmin],0),MATCH(CC$5,スコア表2[#Headers],0))
*10+50,"-")</f>
        <v>56.056632831209413</v>
      </c>
      <c r="CD49" s="4">
        <f>IFERROR(
(INDEX(スコア表[],MATCH($C49,スコア表['#],0),MATCH(CD$5,スコア表[#Headers],0))
-
INDEX(スコア表2[],MATCH("average",スコア表2[maxmin],0),MATCH(CD$5,スコア表2[#Headers],0)))
/
INDEX(スコア表2[],MATCH("stdev.p",スコア表2[maxmin],0),MATCH(CD$5,スコア表2[#Headers],0))
*10+50,"-")</f>
        <v>41.562405038704668</v>
      </c>
      <c r="CE49" s="4">
        <f>IFERROR(
(INDEX(スコア表[],MATCH($C49,スコア表['#],0),MATCH(CE$5,スコア表[#Headers],0))
-
INDEX(スコア表2[],MATCH("average",スコア表2[maxmin],0),MATCH(CE$5,スコア表2[#Headers],0)))
/
INDEX(スコア表2[],MATCH("stdev.p",スコア表2[maxmin],0),MATCH(CE$5,スコア表2[#Headers],0))
*10+50,"-")</f>
        <v>16.185653376036868</v>
      </c>
      <c r="CF49" s="4">
        <f>IFERROR(
(INDEX(スコア表[],MATCH($C49,スコア表['#],0),MATCH(CF$5,スコア表[#Headers],0))
-
INDEX(スコア表2[],MATCH("average",スコア表2[maxmin],0),MATCH(CF$5,スコア表2[#Headers],0)))
/
INDEX(スコア表2[],MATCH("stdev.p",スコア表2[maxmin],0),MATCH(CF$5,スコア表2[#Headers],0))
*10+50,"-")</f>
        <v>39.903226533321011</v>
      </c>
      <c r="CG49" s="4">
        <f>IFERROR(
(INDEX(スコア表[],MATCH($C49,スコア表['#],0),MATCH(CG$5,スコア表[#Headers],0))
-
INDEX(スコア表2[],MATCH("average",スコア表2[maxmin],0),MATCH(CG$5,スコア表2[#Headers],0)))
/
INDEX(スコア表2[],MATCH("stdev.p",スコア表2[maxmin],0),MATCH(CG$5,スコア表2[#Headers],0))
*10+50,"-")</f>
        <v>34.337098436516996</v>
      </c>
      <c r="CH49" s="4">
        <f>IFERROR(
(INDEX(スコア表[],MATCH($C49,スコア表['#],0),MATCH(CH$5,スコア表[#Headers],0))
-
INDEX(スコア表2[],MATCH("average",スコア表2[maxmin],0),MATCH(CH$5,スコア表2[#Headers],0)))
/
INDEX(スコア表2[],MATCH("stdev.p",スコア表2[maxmin],0),MATCH(CH$5,スコア表2[#Headers],0))
*10+50,"-")</f>
        <v>42.420851870391601</v>
      </c>
      <c r="CI49" s="4">
        <f>IFERROR(
(INDEX(スコア表[],MATCH($C49,スコア表['#],0),MATCH(CI$5,スコア表[#Headers],0))
-
INDEX(スコア表2[],MATCH("average",スコア表2[maxmin],0),MATCH(CI$5,スコア表2[#Headers],0)))
/
INDEX(スコア表2[],MATCH("stdev.p",スコア表2[maxmin],0),MATCH(CI$5,スコア表2[#Headers],0))
*10+50,"-")</f>
        <v>44.1572724436733</v>
      </c>
      <c r="CJ49" s="4">
        <f>IFERROR(
(INDEX(スコア表[],MATCH($C49,スコア表['#],0),MATCH(CJ$5,スコア表[#Headers],0))
-
INDEX(スコア表2[],MATCH("average",スコア表2[maxmin],0),MATCH(CJ$5,スコア表2[#Headers],0)))
/
INDEX(スコア表2[],MATCH("stdev.p",スコア表2[maxmin],0),MATCH(CJ$5,スコア表2[#Headers],0))
*10+50,"-")</f>
        <v>57.743729938076754</v>
      </c>
      <c r="CK49" s="4">
        <f>IFERROR(
(INDEX(スコア表[],MATCH($C49,スコア表['#],0),MATCH(CK$5,スコア表[#Headers],0))
-
INDEX(スコア表2[],MATCH("average",スコア表2[maxmin],0),MATCH(CK$5,スコア表2[#Headers],0)))
/
INDEX(スコア表2[],MATCH("stdev.p",スコア表2[maxmin],0),MATCH(CK$5,スコア表2[#Headers],0))
*10+50,"-")</f>
        <v>67.08105382412316</v>
      </c>
      <c r="CL49" s="4">
        <f>IFERROR(
(INDEX(スコア表[],MATCH($C49,スコア表['#],0),MATCH(CL$5,スコア表[#Headers],0))
-
INDEX(スコア表2[],MATCH("average",スコア表2[maxmin],0),MATCH(CL$5,スコア表2[#Headers],0)))
/
INDEX(スコア表2[],MATCH("stdev.p",スコア表2[maxmin],0),MATCH(CL$5,スコア表2[#Headers],0))
*10+50,"-")</f>
        <v>51.748448342097426</v>
      </c>
      <c r="CM49" s="4">
        <f>IFERROR(
(INDEX(スコア表[],MATCH($C49,スコア表['#],0),MATCH(CM$5,スコア表[#Headers],0))
-
INDEX(スコア表2[],MATCH("average",スコア表2[maxmin],0),MATCH(CM$5,スコア表2[#Headers],0)))
/
INDEX(スコア表2[],MATCH("stdev.p",スコア表2[maxmin],0),MATCH(CM$5,スコア表2[#Headers],0))
*10+50,"-")</f>
        <v>44.38263739844902</v>
      </c>
      <c r="CN49" s="4">
        <f>IFERROR(
(INDEX(スコア表[],MATCH($C49,スコア表['#],0),MATCH(CN$5,スコア表[#Headers],0))
-
INDEX(スコア表2[],MATCH("average",スコア表2[maxmin],0),MATCH(CN$5,スコア表2[#Headers],0)))
/
INDEX(スコア表2[],MATCH("stdev.p",スコア表2[maxmin],0),MATCH(CN$5,スコア表2[#Headers],0))
*10+50,"-")</f>
        <v>48.162280364385822</v>
      </c>
      <c r="CO49" s="4">
        <f>IFERROR(
(INDEX(スコア表[],MATCH($C49,スコア表['#],0),MATCH(CO$5,スコア表[#Headers],0))
-
INDEX(スコア表2[],MATCH("average",スコア表2[maxmin],0),MATCH(CO$5,スコア表2[#Headers],0)))
/
INDEX(スコア表2[],MATCH("stdev.p",スコア表2[maxmin],0),MATCH(CO$5,スコア表2[#Headers],0))
*10+50,"-")</f>
        <v>47.694137633511573</v>
      </c>
      <c r="CP49" s="4">
        <f>IFERROR(
(INDEX(スコア表[],MATCH($C49,スコア表['#],0),MATCH(CP$5,スコア表[#Headers],0))
-
INDEX(スコア表2[],MATCH("average",スコア表2[maxmin],0),MATCH(CP$5,スコア表2[#Headers],0)))
/
INDEX(スコア表2[],MATCH("stdev.p",スコア表2[maxmin],0),MATCH(CP$5,スコア表2[#Headers],0))
*10+50,"-")</f>
        <v>51.282572636904895</v>
      </c>
      <c r="CQ49" s="4">
        <f>IFERROR(
(INDEX(スコア表[],MATCH($C49,スコア表['#],0),MATCH(CQ$5,スコア表[#Headers],0))
-
INDEX(スコア表2[],MATCH("average",スコア表2[maxmin],0),MATCH(CQ$5,スコア表2[#Headers],0)))
/
INDEX(スコア表2[],MATCH("stdev.p",スコア表2[maxmin],0),MATCH(CQ$5,スコア表2[#Headers],0))
*10+50,"-")</f>
        <v>49.588204213670373</v>
      </c>
      <c r="CR49" s="4">
        <f>IFERROR(
(INDEX(スコア表[],MATCH($C49,スコア表['#],0),MATCH(CR$5,スコア表[#Headers],0))
-
INDEX(スコア表2[],MATCH("average",スコア表2[maxmin],0),MATCH(CR$5,スコア表2[#Headers],0)))
/
INDEX(スコア表2[],MATCH("stdev.p",スコア表2[maxmin],0),MATCH(CR$5,スコア表2[#Headers],0))
*10+50,"-")</f>
        <v>48.211129893588485</v>
      </c>
      <c r="CS49" s="4">
        <f>IFERROR(
(INDEX(スコア表[],MATCH($C49,スコア表['#],0),MATCH(CS$5,スコア表[#Headers],0))
-
INDEX(スコア表2[],MATCH("average",スコア表2[maxmin],0),MATCH(CS$5,スコア表2[#Headers],0)))
/
INDEX(スコア表2[],MATCH("stdev.p",スコア表2[maxmin],0),MATCH(CS$5,スコア表2[#Headers],0))
*10+50,"-")</f>
        <v>40.862167046983458</v>
      </c>
      <c r="CT49" s="4">
        <f>IFERROR(
(INDEX(スコア表[],MATCH($C49,スコア表['#],0),MATCH(CT$5,スコア表[#Headers],0))
-
INDEX(スコア表2[],MATCH("average",スコア表2[maxmin],0),MATCH(CT$5,スコア表2[#Headers],0)))
/
INDEX(スコア表2[],MATCH("stdev.p",スコア表2[maxmin],0),MATCH(CT$5,スコア表2[#Headers],0))
*10+50,"-")</f>
        <v>59.70156395964402</v>
      </c>
      <c r="CU49" s="4">
        <f>IFERROR(
(INDEX(スコア表[],MATCH($C49,スコア表['#],0),MATCH(CU$5,スコア表[#Headers],0))
-
INDEX(スコア表2[],MATCH("average",スコア表2[maxmin],0),MATCH(CU$5,スコア表2[#Headers],0)))
/
INDEX(スコア表2[],MATCH("stdev.p",スコア表2[maxmin],0),MATCH(CU$5,スコア表2[#Headers],0))
*10+50,"-")</f>
        <v>42.307448264223602</v>
      </c>
      <c r="CV49" s="4">
        <f>IFERROR(
(INDEX(スコア表[],MATCH($C49,スコア表['#],0),MATCH(CV$5,スコア表[#Headers],0))
-
INDEX(スコア表2[],MATCH("average",スコア表2[maxmin],0),MATCH(CV$5,スコア表2[#Headers],0)))
/
INDEX(スコア表2[],MATCH("stdev.p",スコア表2[maxmin],0),MATCH(CV$5,スコア表2[#Headers],0))
*10+50,"-")</f>
        <v>38.122612476106148</v>
      </c>
      <c r="CW49" s="4">
        <f>IFERROR(
(INDEX(スコア表[],MATCH($C49,スコア表['#],0),MATCH(CW$5,スコア表[#Headers],0))
-
INDEX(スコア表2[],MATCH("average",スコア表2[maxmin],0),MATCH(CW$5,スコア表2[#Headers],0)))
/
INDEX(スコア表2[],MATCH("stdev.p",スコア表2[maxmin],0),MATCH(CW$5,スコア表2[#Headers],0))
*10+50,"-")</f>
        <v>38.033044380015639</v>
      </c>
      <c r="CX49" s="4">
        <f>IFERROR(
(INDEX(スコア表[],MATCH($C49,スコア表['#],0),MATCH(CX$5,スコア表[#Headers],0))
-
INDEX(スコア表2[],MATCH("average",スコア表2[maxmin],0),MATCH(CX$5,スコア表2[#Headers],0)))
/
INDEX(スコア表2[],MATCH("stdev.p",スコア表2[maxmin],0),MATCH(CX$5,スコア表2[#Headers],0))
*10+50,"-")</f>
        <v>45.967577620518092</v>
      </c>
      <c r="CY49" s="4">
        <f>IFERROR(
(INDEX(スコア表[],MATCH($C49,スコア表['#],0),MATCH(CY$5,スコア表[#Headers],0))
-
INDEX(スコア表2[],MATCH("average",スコア表2[maxmin],0),MATCH(CY$5,スコア表2[#Headers],0)))
/
INDEX(スコア表2[],MATCH("stdev.p",スコア表2[maxmin],0),MATCH(CY$5,スコア表2[#Headers],0))
*10+50,"-")</f>
        <v>41.043596363540033</v>
      </c>
      <c r="CZ49" s="4">
        <f>IFERROR(
(INDEX(スコア表[],MATCH($C49,スコア表['#],0),MATCH(CZ$5,スコア表[#Headers],0))
-
INDEX(スコア表2[],MATCH("average",スコア表2[maxmin],0),MATCH(CZ$5,スコア表2[#Headers],0)))
/
INDEX(スコア表2[],MATCH("stdev.p",スコア表2[maxmin],0),MATCH(CZ$5,スコア表2[#Headers],0))
*10+50,"-")</f>
        <v>30.41320429331212</v>
      </c>
      <c r="DA49" s="4">
        <f>IFERROR(
(INDEX(スコア表[],MATCH($C49,スコア表['#],0),MATCH(DA$5,スコア表[#Headers],0))
-
INDEX(スコア表2[],MATCH("average",スコア表2[maxmin],0),MATCH(DA$5,スコア表2[#Headers],0)))
/
INDEX(スコア表2[],MATCH("stdev.p",スコア表2[maxmin],0),MATCH(DA$5,スコア表2[#Headers],0))
*10+50,"-")</f>
        <v>38.447984989252859</v>
      </c>
      <c r="DB49" s="4">
        <f>IFERROR(
(INDEX(スコア表[],MATCH($C49,スコア表['#],0),MATCH(DB$5,スコア表[#Headers],0))
-
INDEX(スコア表2[],MATCH("average",スコア表2[maxmin],0),MATCH(DB$5,スコア表2[#Headers],0)))
/
INDEX(スコア表2[],MATCH("stdev.p",スコア表2[maxmin],0),MATCH(DB$5,スコア表2[#Headers],0))
*10+50,"-")</f>
        <v>54.826354659862275</v>
      </c>
      <c r="DC49" s="4">
        <f>IFERROR(
(INDEX(スコア表[],MATCH($C49,スコア表['#],0),MATCH(DC$5,スコア表[#Headers],0))
-
INDEX(スコア表2[],MATCH("average",スコア表2[maxmin],0),MATCH(DC$5,スコア表2[#Headers],0)))
/
INDEX(スコア表2[],MATCH("stdev.p",スコア表2[maxmin],0),MATCH(DC$5,スコア表2[#Headers],0))
*10+50,"-")</f>
        <v>47.104841554310283</v>
      </c>
      <c r="DD49" s="4">
        <f>IFERROR(
(INDEX(スコア表[],MATCH($C49,スコア表['#],0),MATCH(DD$5,スコア表[#Headers],0))
-
INDEX(スコア表2[],MATCH("average",スコア表2[maxmin],0),MATCH(DD$5,スコア表2[#Headers],0)))
/
INDEX(スコア表2[],MATCH("stdev.p",スコア表2[maxmin],0),MATCH(DD$5,スコア表2[#Headers],0))
*10+50,"-")</f>
        <v>45.477595138486066</v>
      </c>
      <c r="DE49" s="4">
        <f>IFERROR(
(INDEX(スコア表[],MATCH($C49,スコア表['#],0),MATCH(DE$5,スコア表[#Headers],0))
-
INDEX(スコア表2[],MATCH("average",スコア表2[maxmin],0),MATCH(DE$5,スコア表2[#Headers],0)))
/
INDEX(スコア表2[],MATCH("stdev.p",スコア表2[maxmin],0),MATCH(DE$5,スコア表2[#Headers],0))
*10+50,"-")</f>
        <v>33.714282544352713</v>
      </c>
      <c r="DF49" s="76">
        <f>IFERROR(
(INDEX(スコア表[],MATCH($C49,スコア表['#],0),MATCH(DF$5,スコア表[#Headers],0))
-
INDEX(スコア表2[],MATCH("average",スコア表2[maxmin],0),MATCH(DF$5,スコア表2[#Headers],0)))
/
INDEX(スコア表2[],MATCH("stdev.p",スコア表2[maxmin],0),MATCH(DF$5,スコア表2[#Headers],0))
*10+50,"-")</f>
        <v>37.791256777097388</v>
      </c>
      <c r="DG49" s="4">
        <f>IFERROR(_xlfn.STDEV.P(偏差値表[[#This Row],[Economy]:[Accessibility]]),"")</f>
        <v>8.3418124438222829</v>
      </c>
    </row>
    <row r="50" spans="1:111">
      <c r="A50" s="2">
        <v>45</v>
      </c>
      <c r="B50" s="58">
        <f>INDEX(順位表[Comprehensive],MATCH($C50,順位表['#],0))</f>
        <v>45</v>
      </c>
      <c r="C50" s="3">
        <v>42</v>
      </c>
      <c r="D50" s="1" t="str">
        <f>INDEX(都市マスタ[City Name],MATCH($C50,都市マスタ['#],0))</f>
        <v>Jakarta</v>
      </c>
      <c r="E50" s="4">
        <f>IFERROR(
(INDEX(スコア表[],MATCH($C50,スコア表['#],0),MATCH(E$5,スコア表[#Headers],0))
-
INDEX(スコア表2[],MATCH("average",スコア表2[maxmin],0),MATCH(E$5,スコア表2[#Headers],0)))
/
INDEX(スコア表2[],MATCH("stdev.p",スコア表2[maxmin],0),MATCH(E$5,スコア表2[#Headers],0))
*10+50,"-")</f>
        <v>59.648595248599435</v>
      </c>
      <c r="F50" s="4">
        <f>IFERROR(
(INDEX(スコア表[],MATCH($C50,スコア表['#],0),MATCH(F$5,スコア表[#Headers],0))
-
INDEX(スコア表2[],MATCH("average",スコア表2[maxmin],0),MATCH(F$5,スコア表2[#Headers],0)))
/
INDEX(スコア表2[],MATCH("stdev.p",スコア表2[maxmin],0),MATCH(F$5,スコア表2[#Headers],0))
*10+50,"-")</f>
        <v>46.805546878344664</v>
      </c>
      <c r="G50" s="4">
        <f>IFERROR(
(INDEX(スコア表[],MATCH($C50,スコア表['#],0),MATCH(G$5,スコア表[#Headers],0))
-
INDEX(スコア表2[],MATCH("average",スコア表2[maxmin],0),MATCH(G$5,スコア表2[#Headers],0)))
/
INDEX(スコア表2[],MATCH("stdev.p",スコア表2[maxmin],0),MATCH(G$5,スコア表2[#Headers],0))
*10+50,"-")</f>
        <v>118.29428206102675</v>
      </c>
      <c r="H50" s="4">
        <f>IFERROR(
(INDEX(スコア表[],MATCH($C50,スコア表['#],0),MATCH(H$5,スコア表[#Headers],0))
-
INDEX(スコア表2[],MATCH("average",スコア表2[maxmin],0),MATCH(H$5,スコア表2[#Headers],0)))
/
INDEX(スコア表2[],MATCH("stdev.p",スコア表2[maxmin],0),MATCH(H$5,スコア表2[#Headers],0))
*10+50,"-")</f>
        <v>49.225323897507998</v>
      </c>
      <c r="I50" s="4">
        <f>IFERROR(
(INDEX(スコア表[],MATCH($C50,スコア表['#],0),MATCH(I$5,スコア表[#Headers],0))
-
INDEX(スコア表2[],MATCH("average",スコア表2[maxmin],0),MATCH(I$5,スコア表2[#Headers],0)))
/
INDEX(スコア表2[],MATCH("stdev.p",スコア表2[maxmin],0),MATCH(I$5,スコア表2[#Headers],0))
*10+50,"-")</f>
        <v>40.382944841442274</v>
      </c>
      <c r="J50" s="4">
        <f>IFERROR(
(INDEX(スコア表[],MATCH($C50,スコア表['#],0),MATCH(J$5,スコア表[#Headers],0))
-
INDEX(スコア表2[],MATCH("average",スコア表2[maxmin],0),MATCH(J$5,スコア表2[#Headers],0)))
/
INDEX(スコア表2[],MATCH("stdev.p",スコア表2[maxmin],0),MATCH(J$5,スコア表2[#Headers],0))
*10+50,"-")</f>
        <v>54.814512297010694</v>
      </c>
      <c r="K50" s="4">
        <f>IFERROR(
(INDEX(スコア表[],MATCH($C50,スコア表['#],0),MATCH(K$5,スコア表[#Headers],0))
-
INDEX(スコア表2[],MATCH("average",スコア表2[maxmin],0),MATCH(K$5,スコア表2[#Headers],0)))
/
INDEX(スコア表2[],MATCH("stdev.p",スコア表2[maxmin],0),MATCH(K$5,スコア表2[#Headers],0))
*10+50,"-")</f>
        <v>45.696136760060391</v>
      </c>
      <c r="L50" s="4">
        <f>IFERROR(
(INDEX(スコア表[],MATCH($C50,スコア表['#],0),MATCH(L$5,スコア表[#Headers],0))
-
INDEX(スコア表2[],MATCH("average",スコア表2[maxmin],0),MATCH(L$5,スコア表2[#Headers],0)))
/
INDEX(スコア表2[],MATCH("stdev.p",スコア表2[maxmin],0),MATCH(L$5,スコア表2[#Headers],0))
*10+50,"-")</f>
        <v>47.883073999623825</v>
      </c>
      <c r="M50" s="4">
        <f>IFERROR(
(INDEX(スコア表[],MATCH($C50,スコア表['#],0),MATCH(M$5,スコア表[#Headers],0))
-
INDEX(スコア表2[],MATCH("average",スコア表2[maxmin],0),MATCH(M$5,スコア表2[#Headers],0)))
/
INDEX(スコア表2[],MATCH("stdev.p",スコア表2[maxmin],0),MATCH(M$5,スコア表2[#Headers],0))
*10+50,"-")</f>
        <v>46.578346293528483</v>
      </c>
      <c r="N50" s="4">
        <f>IFERROR(
(INDEX(スコア表[],MATCH($C50,スコア表['#],0),MATCH(N$5,スコア表[#Headers],0))
-
INDEX(スコア表2[],MATCH("average",スコア表2[maxmin],0),MATCH(N$5,スコア表2[#Headers],0)))
/
INDEX(スコア表2[],MATCH("stdev.p",スコア表2[maxmin],0),MATCH(N$5,スコア表2[#Headers],0))
*10+50,"-")</f>
        <v>56.667572492070697</v>
      </c>
      <c r="O50" s="4">
        <f>IFERROR(
(INDEX(スコア表[],MATCH($C50,スコア表['#],0),MATCH(O$5,スコア表[#Headers],0))
-
INDEX(スコア表2[],MATCH("average",スコア表2[maxmin],0),MATCH(O$5,スコア表2[#Headers],0)))
/
INDEX(スコア表2[],MATCH("stdev.p",スコア表2[maxmin],0),MATCH(O$5,スコア表2[#Headers],0))
*10+50,"-")</f>
        <v>41.485860274761563</v>
      </c>
      <c r="P50" s="4">
        <f>IFERROR(
(INDEX(スコア表[],MATCH($C50,スコア表['#],0),MATCH(P$5,スコア表[#Headers],0))
-
INDEX(スコア表2[],MATCH("average",スコア表2[maxmin],0),MATCH(P$5,スコア表2[#Headers],0)))
/
INDEX(スコア表2[],MATCH("stdev.p",スコア表2[maxmin],0),MATCH(P$5,スコア表2[#Headers],0))
*10+50,"-")</f>
        <v>35.568768400793715</v>
      </c>
      <c r="Q50" s="4">
        <f>IFERROR(
(INDEX(スコア表[],MATCH($C50,スコア表['#],0),MATCH(Q$5,スコア表[#Headers],0))
-
INDEX(スコア表2[],MATCH("average",スコア表2[maxmin],0),MATCH(Q$5,スコア表2[#Headers],0)))
/
INDEX(スコア表2[],MATCH("stdev.p",スコア表2[maxmin],0),MATCH(Q$5,スコア表2[#Headers],0))
*10+50,"-")</f>
        <v>36.023040267723431</v>
      </c>
      <c r="R50" s="4">
        <f>IFERROR(
(INDEX(スコア表[],MATCH($C50,スコア表['#],0),MATCH(R$5,スコア表[#Headers],0))
-
INDEX(スコア表2[],MATCH("average",スコア表2[maxmin],0),MATCH(R$5,スコア表2[#Headers],0)))
/
INDEX(スコア表2[],MATCH("stdev.p",スコア表2[maxmin],0),MATCH(R$5,スコア表2[#Headers],0))
*10+50,"-")</f>
        <v>37.211568835463325</v>
      </c>
      <c r="S50" s="4">
        <f>IFERROR(
(INDEX(スコア表[],MATCH($C50,スコア表['#],0),MATCH(S$5,スコア表[#Headers],0))
-
INDEX(スコア表2[],MATCH("average",スコア表2[maxmin],0),MATCH(S$5,スコア表2[#Headers],0)))
/
INDEX(スコア表2[],MATCH("stdev.p",スコア表2[maxmin],0),MATCH(S$5,スコア表2[#Headers],0))
*10+50,"-")</f>
        <v>55.336971034158026</v>
      </c>
      <c r="T50" s="4">
        <f>IFERROR(
(INDEX(スコア表[],MATCH($C50,スコア表['#],0),MATCH(T$5,スコア表[#Headers],0))
-
INDEX(スコア表2[],MATCH("average",スコア表2[maxmin],0),MATCH(T$5,スコア表2[#Headers],0)))
/
INDEX(スコア表2[],MATCH("stdev.p",スコア表2[maxmin],0),MATCH(T$5,スコア表2[#Headers],0))
*10+50,"-")</f>
        <v>38.885627635157213</v>
      </c>
      <c r="U50" s="4">
        <f>IFERROR(
(INDEX(スコア表[],MATCH($C50,スコア表['#],0),MATCH(U$5,スコア表[#Headers],0))
-
INDEX(スコア表2[],MATCH("average",スコア表2[maxmin],0),MATCH(U$5,スコア表2[#Headers],0)))
/
INDEX(スコア表2[],MATCH("stdev.p",スコア表2[maxmin],0),MATCH(U$5,スコア表2[#Headers],0))
*10+50,"-")</f>
        <v>41.925491382664781</v>
      </c>
      <c r="V50" s="4">
        <f>IFERROR(
(INDEX(スコア表[],MATCH($C50,スコア表['#],0),MATCH(V$5,スコア表[#Headers],0))
-
INDEX(スコア表2[],MATCH("average",スコア表2[maxmin],0),MATCH(V$5,スコア表2[#Headers],0)))
/
INDEX(スコア表2[],MATCH("stdev.p",スコア表2[maxmin],0),MATCH(V$5,スコア表2[#Headers],0))
*10+50,"-")</f>
        <v>40.448052173437482</v>
      </c>
      <c r="W50" s="4">
        <f>IFERROR(
(INDEX(スコア表[],MATCH($C50,スコア表['#],0),MATCH(W$5,スコア表[#Headers],0))
-
INDEX(スコア表2[],MATCH("average",スコア表2[maxmin],0),MATCH(W$5,スコア表2[#Headers],0)))
/
INDEX(スコア表2[],MATCH("stdev.p",スコア表2[maxmin],0),MATCH(W$5,スコア表2[#Headers],0))
*10+50,"-")</f>
        <v>43.362158298237944</v>
      </c>
      <c r="X50" s="4">
        <f>IFERROR(
(INDEX(スコア表[],MATCH($C50,スコア表['#],0),MATCH(X$5,スコア表[#Headers],0))
-
INDEX(スコア表2[],MATCH("average",スコア表2[maxmin],0),MATCH(X$5,スコア表2[#Headers],0)))
/
INDEX(スコア表2[],MATCH("stdev.p",スコア表2[maxmin],0),MATCH(X$5,スコア表2[#Headers],0))
*10+50,"-")</f>
        <v>40.938699671755664</v>
      </c>
      <c r="Y50" s="4">
        <f>IFERROR(
(INDEX(スコア表[],MATCH($C50,スコア表['#],0),MATCH(Y$5,スコア表[#Headers],0))
-
INDEX(スコア表2[],MATCH("average",スコア表2[maxmin],0),MATCH(Y$5,スコア表2[#Headers],0)))
/
INDEX(スコア表2[],MATCH("stdev.p",スコア表2[maxmin],0),MATCH(Y$5,スコア表2[#Headers],0))
*10+50,"-")</f>
        <v>30.961894947605124</v>
      </c>
      <c r="Z50" s="4">
        <f>IFERROR(
(INDEX(スコア表[],MATCH($C50,スコア表['#],0),MATCH(Z$5,スコア表[#Headers],0))
-
INDEX(スコア表2[],MATCH("average",スコア表2[maxmin],0),MATCH(Z$5,スコア表2[#Headers],0)))
/
INDEX(スコア表2[],MATCH("stdev.p",スコア表2[maxmin],0),MATCH(Z$5,スコア表2[#Headers],0))
*10+50,"-")</f>
        <v>44.161328585843265</v>
      </c>
      <c r="AA50" s="4">
        <f>IFERROR(
(INDEX(スコア表[],MATCH($C50,スコア表['#],0),MATCH(AA$5,スコア表[#Headers],0))
-
INDEX(スコア表2[],MATCH("average",スコア表2[maxmin],0),MATCH(AA$5,スコア表2[#Headers],0)))
/
INDEX(スコア表2[],MATCH("stdev.p",スコア表2[maxmin],0),MATCH(AA$5,スコア表2[#Headers],0))
*10+50,"-")</f>
        <v>44.664612103409482</v>
      </c>
      <c r="AB50" s="4">
        <f>IFERROR(
(INDEX(スコア表[],MATCH($C50,スコア表['#],0),MATCH(AB$5,スコア表[#Headers],0))
-
INDEX(スコア表2[],MATCH("average",スコア表2[maxmin],0),MATCH(AB$5,スコア表2[#Headers],0)))
/
INDEX(スコア表2[],MATCH("stdev.p",スコア表2[maxmin],0),MATCH(AB$5,スコア表2[#Headers],0))
*10+50,"-")</f>
        <v>46.21697646140354</v>
      </c>
      <c r="AC50" s="4">
        <f>IFERROR(
(INDEX(スコア表[],MATCH($C50,スコア表['#],0),MATCH(AC$5,スコア表[#Headers],0))
-
INDEX(スコア表2[],MATCH("average",スコア表2[maxmin],0),MATCH(AC$5,スコア表2[#Headers],0)))
/
INDEX(スコア表2[],MATCH("stdev.p",スコア表2[maxmin],0),MATCH(AC$5,スコア表2[#Headers],0))
*10+50,"-")</f>
        <v>44.161906063191957</v>
      </c>
      <c r="AD50" s="4">
        <f>IFERROR(
(INDEX(スコア表[],MATCH($C50,スコア表['#],0),MATCH(AD$5,スコア表[#Headers],0))
-
INDEX(スコア表2[],MATCH("average",スコア表2[maxmin],0),MATCH(AD$5,スコア表2[#Headers],0)))
/
INDEX(スコア表2[],MATCH("stdev.p",スコア表2[maxmin],0),MATCH(AD$5,スコア表2[#Headers],0))
*10+50,"-")</f>
        <v>50.214789958064408</v>
      </c>
      <c r="AE50" s="4">
        <f>IFERROR(
(INDEX(スコア表[],MATCH($C50,スコア表['#],0),MATCH(AE$5,スコア表[#Headers],0))
-
INDEX(スコア表2[],MATCH("average",スコア表2[maxmin],0),MATCH(AE$5,スコア表2[#Headers],0)))
/
INDEX(スコア表2[],MATCH("stdev.p",スコア表2[maxmin],0),MATCH(AE$5,スコア表2[#Headers],0))
*10+50,"-")</f>
        <v>43.798191328802794</v>
      </c>
      <c r="AF50" s="4">
        <f>IFERROR(
(INDEX(スコア表[],MATCH($C50,スコア表['#],0),MATCH(AF$5,スコア表[#Headers],0))
-
INDEX(スコア表2[],MATCH("average",スコア表2[maxmin],0),MATCH(AF$5,スコア表2[#Headers],0)))
/
INDEX(スコア表2[],MATCH("stdev.p",スコア表2[maxmin],0),MATCH(AF$5,スコア表2[#Headers],0))
*10+50,"-")</f>
        <v>45.518557898870931</v>
      </c>
      <c r="AG50" s="4">
        <f>IFERROR(
(INDEX(スコア表[],MATCH($C50,スコア表['#],0),MATCH(AG$5,スコア表[#Headers],0))
-
INDEX(スコア表2[],MATCH("average",スコア表2[maxmin],0),MATCH(AG$5,スコア表2[#Headers],0)))
/
INDEX(スコア表2[],MATCH("stdev.p",スコア表2[maxmin],0),MATCH(AG$5,スコア表2[#Headers],0))
*10+50,"-")</f>
        <v>38.396397066451151</v>
      </c>
      <c r="AH50" s="4">
        <f>IFERROR(
(INDEX(スコア表[],MATCH($C50,スコア表['#],0),MATCH(AH$5,スコア表[#Headers],0))
-
INDEX(スコア表2[],MATCH("average",スコア表2[maxmin],0),MATCH(AH$5,スコア表2[#Headers],0)))
/
INDEX(スコア表2[],MATCH("stdev.p",スコア表2[maxmin],0),MATCH(AH$5,スコア表2[#Headers],0))
*10+50,"-")</f>
        <v>40.910160095405388</v>
      </c>
      <c r="AI50" s="4">
        <f>IFERROR(
(INDEX(スコア表[],MATCH($C50,スコア表['#],0),MATCH(AI$5,スコア表[#Headers],0))
-
INDEX(スコア表2[],MATCH("average",スコア表2[maxmin],0),MATCH(AI$5,スコア表2[#Headers],0)))
/
INDEX(スコア表2[],MATCH("stdev.p",スコア表2[maxmin],0),MATCH(AI$5,スコア表2[#Headers],0))
*10+50,"-")</f>
        <v>46.846759195634249</v>
      </c>
      <c r="AJ50" s="4">
        <f>IFERROR(
(INDEX(スコア表[],MATCH($C50,スコア表['#],0),MATCH(AJ$5,スコア表[#Headers],0))
-
INDEX(スコア表2[],MATCH("average",スコア表2[maxmin],0),MATCH(AJ$5,スコア表2[#Headers],0)))
/
INDEX(スコア表2[],MATCH("stdev.p",スコア表2[maxmin],0),MATCH(AJ$5,スコア表2[#Headers],0))
*10+50,"-")</f>
        <v>40.460124299889628</v>
      </c>
      <c r="AK50" s="4">
        <f>IFERROR(
(INDEX(スコア表[],MATCH($C50,スコア表['#],0),MATCH(AK$5,スコア表[#Headers],0))
-
INDEX(スコア表2[],MATCH("average",スコア表2[maxmin],0),MATCH(AK$5,スコア表2[#Headers],0)))
/
INDEX(スコア表2[],MATCH("stdev.p",スコア表2[maxmin],0),MATCH(AK$5,スコア表2[#Headers],0))
*10+50,"-")</f>
        <v>43.41186269297183</v>
      </c>
      <c r="AL50" s="4">
        <f>IFERROR(
(INDEX(スコア表[],MATCH($C50,スコア表['#],0),MATCH(AL$5,スコア表[#Headers],0))
-
INDEX(スコア表2[],MATCH("average",スコア表2[maxmin],0),MATCH(AL$5,スコア表2[#Headers],0)))
/
INDEX(スコア表2[],MATCH("stdev.p",スコア表2[maxmin],0),MATCH(AL$5,スコア表2[#Headers],0))
*10+50,"-")</f>
        <v>41.858810131760215</v>
      </c>
      <c r="AM50" s="4">
        <f>IFERROR(
(INDEX(スコア表[],MATCH($C50,スコア表['#],0),MATCH(AM$5,スコア表[#Headers],0))
-
INDEX(スコア表2[],MATCH("average",スコア表2[maxmin],0),MATCH(AM$5,スコア表2[#Headers],0)))
/
INDEX(スコア表2[],MATCH("stdev.p",スコア表2[maxmin],0),MATCH(AM$5,スコア表2[#Headers],0))
*10+50,"-")</f>
        <v>56.353532767570151</v>
      </c>
      <c r="AN50" s="4">
        <f>IFERROR(
(INDEX(スコア表[],MATCH($C50,スコア表['#],0),MATCH(AN$5,スコア表[#Headers],0))
-
INDEX(スコア表2[],MATCH("average",スコア表2[maxmin],0),MATCH(AN$5,スコア表2[#Headers],0)))
/
INDEX(スコア表2[],MATCH("stdev.p",スコア表2[maxmin],0),MATCH(AN$5,スコア表2[#Headers],0))
*10+50,"-")</f>
        <v>51.37272094055789</v>
      </c>
      <c r="AO50" s="4">
        <f>IFERROR(
(INDEX(スコア表[],MATCH($C50,スコア表['#],0),MATCH(AO$5,スコア表[#Headers],0))
-
INDEX(スコア表2[],MATCH("average",スコア表2[maxmin],0),MATCH(AO$5,スコア表2[#Headers],0)))
/
INDEX(スコア表2[],MATCH("stdev.p",スコア表2[maxmin],0),MATCH(AO$5,スコア表2[#Headers],0))
*10+50,"-")</f>
        <v>47.326947784726343</v>
      </c>
      <c r="AP50" s="4">
        <f>IFERROR(
(INDEX(スコア表[],MATCH($C50,スコア表['#],0),MATCH(AP$5,スコア表[#Headers],0))
-
INDEX(スコア表2[],MATCH("average",スコア表2[maxmin],0),MATCH(AP$5,スコア表2[#Headers],0)))
/
INDEX(スコア表2[],MATCH("stdev.p",スコア表2[maxmin],0),MATCH(AP$5,スコア表2[#Headers],0))
*10+50,"-")</f>
        <v>47.978957635170033</v>
      </c>
      <c r="AQ50" s="4">
        <f>IFERROR(
(INDEX(スコア表[],MATCH($C50,スコア表['#],0),MATCH(AQ$5,スコア表[#Headers],0))
-
INDEX(スコア表2[],MATCH("average",スコア表2[maxmin],0),MATCH(AQ$5,スコア表2[#Headers],0)))
/
INDEX(スコア表2[],MATCH("stdev.p",スコア表2[maxmin],0),MATCH(AQ$5,スコア表2[#Headers],0))
*10+50,"-")</f>
        <v>42.52687767084101</v>
      </c>
      <c r="AR50" s="4">
        <f>IFERROR(
(INDEX(スコア表[],MATCH($C50,スコア表['#],0),MATCH(AR$5,スコア表[#Headers],0))
-
INDEX(スコア表2[],MATCH("average",スコア表2[maxmin],0),MATCH(AR$5,スコア表2[#Headers],0)))
/
INDEX(スコア表2[],MATCH("stdev.p",スコア表2[maxmin],0),MATCH(AR$5,スコア表2[#Headers],0))
*10+50,"-")</f>
        <v>44.645467981317978</v>
      </c>
      <c r="AS50" s="4">
        <f>IFERROR(
(INDEX(スコア表[],MATCH($C50,スコア表['#],0),MATCH(AS$5,スコア表[#Headers],0))
-
INDEX(スコア表2[],MATCH("average",スコア表2[maxmin],0),MATCH(AS$5,スコア表2[#Headers],0)))
/
INDEX(スコア表2[],MATCH("stdev.p",スコア表2[maxmin],0),MATCH(AS$5,スコア表2[#Headers],0))
*10+50,"-")</f>
        <v>48.340533881184896</v>
      </c>
      <c r="AT50" s="4">
        <f>IFERROR(
(INDEX(スコア表[],MATCH($C50,スコア表['#],0),MATCH(AT$5,スコア表[#Headers],0))
-
INDEX(スコア表2[],MATCH("average",スコア表2[maxmin],0),MATCH(AT$5,スコア表2[#Headers],0)))
/
INDEX(スコア表2[],MATCH("stdev.p",スコア表2[maxmin],0),MATCH(AT$5,スコア表2[#Headers],0))
*10+50,"-")</f>
        <v>35.924199104915019</v>
      </c>
      <c r="AU50" s="4">
        <f>IFERROR(
(INDEX(スコア表[],MATCH($C50,スコア表['#],0),MATCH(AU$5,スコア表[#Headers],0))
-
INDEX(スコア表2[],MATCH("average",スコア表2[maxmin],0),MATCH(AU$5,スコア表2[#Headers],0)))
/
INDEX(スコア表2[],MATCH("stdev.p",スコア表2[maxmin],0),MATCH(AU$5,スコア表2[#Headers],0))
*10+50,"-")</f>
        <v>63.665371270876278</v>
      </c>
      <c r="AV50" s="4">
        <f>IFERROR(
(INDEX(スコア表[],MATCH($C50,スコア表['#],0),MATCH(AV$5,スコア表[#Headers],0))
-
INDEX(スコア表2[],MATCH("average",スコア表2[maxmin],0),MATCH(AV$5,スコア表2[#Headers],0)))
/
INDEX(スコア表2[],MATCH("stdev.p",スコア表2[maxmin],0),MATCH(AV$5,スコア表2[#Headers],0))
*10+50,"-")</f>
        <v>61.912479734632655</v>
      </c>
      <c r="AW50" s="4">
        <f>IFERROR(
(INDEX(スコア表[],MATCH($C50,スコア表['#],0),MATCH(AW$5,スコア表[#Headers],0))
-
INDEX(スコア表2[],MATCH("average",スコア表2[maxmin],0),MATCH(AW$5,スコア表2[#Headers],0)))
/
INDEX(スコア表2[],MATCH("stdev.p",スコア表2[maxmin],0),MATCH(AW$5,スコア表2[#Headers],0))
*10+50,"-")</f>
        <v>68.266184092495678</v>
      </c>
      <c r="AX50" s="4">
        <f>IFERROR(
(INDEX(スコア表[],MATCH($C50,スコア表['#],0),MATCH(AX$5,スコア表[#Headers],0))
-
INDEX(スコア表2[],MATCH("average",スコア表2[maxmin],0),MATCH(AX$5,スコア表2[#Headers],0)))
/
INDEX(スコア表2[],MATCH("stdev.p",スコア表2[maxmin],0),MATCH(AX$5,スコア表2[#Headers],0))
*10+50,"-")</f>
        <v>55.083305009742723</v>
      </c>
      <c r="AY50" s="4">
        <f>IFERROR(
(INDEX(スコア表[],MATCH($C50,スコア表['#],0),MATCH(AY$5,スコア表[#Headers],0))
-
INDEX(スコア表2[],MATCH("average",スコア表2[maxmin],0),MATCH(AY$5,スコア表2[#Headers],0)))
/
INDEX(スコア表2[],MATCH("stdev.p",スコア表2[maxmin],0),MATCH(AY$5,スコア表2[#Headers],0))
*10+50,"-")</f>
        <v>48.363341874066862</v>
      </c>
      <c r="AZ50" s="4">
        <f>IFERROR(
(INDEX(スコア表[],MATCH($C50,スコア表['#],0),MATCH(AZ$5,スコア表[#Headers],0))
-
INDEX(スコア表2[],MATCH("average",スコア表2[maxmin],0),MATCH(AZ$5,スコア表2[#Headers],0)))
/
INDEX(スコア表2[],MATCH("stdev.p",スコア表2[maxmin],0),MATCH(AZ$5,スコア表2[#Headers],0))
*10+50,"-")</f>
        <v>29.834622942349661</v>
      </c>
      <c r="BA50" s="4">
        <f>IFERROR(
(INDEX(スコア表[],MATCH($C50,スコア表['#],0),MATCH(BA$5,スコア表[#Headers],0))
-
INDEX(スコア表2[],MATCH("average",スコア表2[maxmin],0),MATCH(BA$5,スコア表2[#Headers],0)))
/
INDEX(スコア表2[],MATCH("stdev.p",スコア表2[maxmin],0),MATCH(BA$5,スコア表2[#Headers],0))
*10+50,"-")</f>
        <v>39.171017636313898</v>
      </c>
      <c r="BB50" s="4">
        <f>IFERROR(
(INDEX(スコア表[],MATCH($C50,スコア表['#],0),MATCH(BB$5,スコア表[#Headers],0))
-
INDEX(スコア表2[],MATCH("average",スコア表2[maxmin],0),MATCH(BB$5,スコア表2[#Headers],0)))
/
INDEX(スコア表2[],MATCH("stdev.p",スコア表2[maxmin],0),MATCH(BB$5,スコア表2[#Headers],0))
*10+50,"-")</f>
        <v>60.832753492919466</v>
      </c>
      <c r="BC50" s="4">
        <f>IFERROR(
(INDEX(スコア表[],MATCH($C50,スコア表['#],0),MATCH(BC$5,スコア表[#Headers],0))
-
INDEX(スコア表2[],MATCH("average",スコア表2[maxmin],0),MATCH(BC$5,スコア表2[#Headers],0)))
/
INDEX(スコア表2[],MATCH("stdev.p",スコア表2[maxmin],0),MATCH(BC$5,スコア表2[#Headers],0))
*10+50,"-")</f>
        <v>32.407477104769598</v>
      </c>
      <c r="BD50" s="4">
        <f>IFERROR(
(INDEX(スコア表[],MATCH($C50,スコア表['#],0),MATCH(BD$5,スコア表[#Headers],0))
-
INDEX(スコア表2[],MATCH("average",スコア表2[maxmin],0),MATCH(BD$5,スコア表2[#Headers],0)))
/
INDEX(スコア表2[],MATCH("stdev.p",スコア表2[maxmin],0),MATCH(BD$5,スコア表2[#Headers],0))
*10+50,"-")</f>
        <v>35.589028607564359</v>
      </c>
      <c r="BE50" s="4">
        <f>IFERROR(
(INDEX(スコア表[],MATCH($C50,スコア表['#],0),MATCH(BE$5,スコア表[#Headers],0))
-
INDEX(スコア表2[],MATCH("average",スコア表2[maxmin],0),MATCH(BE$5,スコア表2[#Headers],0)))
/
INDEX(スコア表2[],MATCH("stdev.p",スコア表2[maxmin],0),MATCH(BE$5,スコア表2[#Headers],0))
*10+50,"-")</f>
        <v>52.727064346116691</v>
      </c>
      <c r="BF50" s="4">
        <f>IFERROR(
(INDEX(スコア表[],MATCH($C50,スコア表['#],0),MATCH(BF$5,スコア表[#Headers],0))
-
INDEX(スコア表2[],MATCH("average",スコア表2[maxmin],0),MATCH(BF$5,スコア表2[#Headers],0)))
/
INDEX(スコア表2[],MATCH("stdev.p",スコア表2[maxmin],0),MATCH(BF$5,スコア表2[#Headers],0))
*10+50,"-")</f>
        <v>42.52292330691575</v>
      </c>
      <c r="BG50" s="4">
        <f>IFERROR(
(INDEX(スコア表[],MATCH($C50,スコア表['#],0),MATCH(BG$5,スコア表[#Headers],0))
-
INDEX(スコア表2[],MATCH("average",スコア表2[maxmin],0),MATCH(BG$5,スコア表2[#Headers],0)))
/
INDEX(スコア表2[],MATCH("stdev.p",スコア表2[maxmin],0),MATCH(BG$5,スコア表2[#Headers],0))
*10+50,"-")</f>
        <v>41.559373456371958</v>
      </c>
      <c r="BH50" s="4">
        <f>IFERROR(
(INDEX(スコア表[],MATCH($C50,スコア表['#],0),MATCH(BH$5,スコア表[#Headers],0))
-
INDEX(スコア表2[],MATCH("average",スコア表2[maxmin],0),MATCH(BH$5,スコア表2[#Headers],0)))
/
INDEX(スコア表2[],MATCH("stdev.p",スコア表2[maxmin],0),MATCH(BH$5,スコア表2[#Headers],0))
*10+50,"-")</f>
        <v>61.749737414762862</v>
      </c>
      <c r="BI50" s="4">
        <f>IFERROR(
(INDEX(スコア表[],MATCH($C50,スコア表['#],0),MATCH(BI$5,スコア表[#Headers],0))
-
INDEX(スコア表2[],MATCH("average",スコア表2[maxmin],0),MATCH(BI$5,スコア表2[#Headers],0)))
/
INDEX(スコア表2[],MATCH("stdev.p",スコア表2[maxmin],0),MATCH(BI$5,スコア表2[#Headers],0))
*10+50,"-")</f>
        <v>35.674798868655955</v>
      </c>
      <c r="BJ50" s="4">
        <f>IFERROR(
(INDEX(スコア表[],MATCH($C50,スコア表['#],0),MATCH(BJ$5,スコア表[#Headers],0))
-
INDEX(スコア表2[],MATCH("average",スコア表2[maxmin],0),MATCH(BJ$5,スコア表2[#Headers],0)))
/
INDEX(スコア表2[],MATCH("stdev.p",スコア表2[maxmin],0),MATCH(BJ$5,スコア表2[#Headers],0))
*10+50,"-")</f>
        <v>53.150173286143904</v>
      </c>
      <c r="BK50" s="4">
        <f>IFERROR(
(INDEX(スコア表[],MATCH($C50,スコア表['#],0),MATCH(BK$5,スコア表[#Headers],0))
-
INDEX(スコア表2[],MATCH("average",スコア表2[maxmin],0),MATCH(BK$5,スコア表2[#Headers],0)))
/
INDEX(スコア表2[],MATCH("stdev.p",スコア表2[maxmin],0),MATCH(BK$5,スコア表2[#Headers],0))
*10+50,"-")</f>
        <v>29.626345321997718</v>
      </c>
      <c r="BL50" s="4">
        <f>IFERROR(
(INDEX(スコア表[],MATCH($C50,スコア表['#],0),MATCH(BL$5,スコア表[#Headers],0))
-
INDEX(スコア表2[],MATCH("average",スコア表2[maxmin],0),MATCH(BL$5,スコア表2[#Headers],0)))
/
INDEX(スコア表2[],MATCH("stdev.p",スコア表2[maxmin],0),MATCH(BL$5,スコア表2[#Headers],0))
*10+50,"-")</f>
        <v>36.36055264858161</v>
      </c>
      <c r="BM50" s="4">
        <f>IFERROR(
(INDEX(スコア表[],MATCH($C50,スコア表['#],0),MATCH(BM$5,スコア表[#Headers],0))
-
INDEX(スコア表2[],MATCH("average",スコア表2[maxmin],0),MATCH(BM$5,スコア表2[#Headers],0)))
/
INDEX(スコア表2[],MATCH("stdev.p",スコア表2[maxmin],0),MATCH(BM$5,スコア表2[#Headers],0))
*10+50,"-")</f>
        <v>31.006226065280192</v>
      </c>
      <c r="BN50" s="4">
        <f>IFERROR(
(INDEX(スコア表[],MATCH($C50,スコア表['#],0),MATCH(BN$5,スコア表[#Headers],0))
-
INDEX(スコア表2[],MATCH("average",スコア表2[maxmin],0),MATCH(BN$5,スコア表2[#Headers],0)))
/
INDEX(スコア表2[],MATCH("stdev.p",スコア表2[maxmin],0),MATCH(BN$5,スコア表2[#Headers],0))
*10+50,"-")</f>
        <v>31.475759664202631</v>
      </c>
      <c r="BO50" s="4">
        <f>IFERROR(
(INDEX(スコア表[],MATCH($C50,スコア表['#],0),MATCH(BO$5,スコア表[#Headers],0))
-
INDEX(スコア表2[],MATCH("average",スコア表2[maxmin],0),MATCH(BO$5,スコア表2[#Headers],0)))
/
INDEX(スコア表2[],MATCH("stdev.p",スコア表2[maxmin],0),MATCH(BO$5,スコア表2[#Headers],0))
*10+50,"-")</f>
        <v>42.071235244581516</v>
      </c>
      <c r="BP50" s="4">
        <f>IFERROR(
(INDEX(スコア表[],MATCH($C50,スコア表['#],0),MATCH(BP$5,スコア表[#Headers],0))
-
INDEX(スコア表2[],MATCH("average",スコア表2[maxmin],0),MATCH(BP$5,スコア表2[#Headers],0)))
/
INDEX(スコア表2[],MATCH("stdev.p",スコア表2[maxmin],0),MATCH(BP$5,スコア表2[#Headers],0))
*10+50,"-")</f>
        <v>39.742790624636385</v>
      </c>
      <c r="BQ50" s="4">
        <f>IFERROR(
(INDEX(スコア表[],MATCH($C50,スコア表['#],0),MATCH(BQ$5,スコア表[#Headers],0))
-
INDEX(スコア表2[],MATCH("average",スコア表2[maxmin],0),MATCH(BQ$5,スコア表2[#Headers],0)))
/
INDEX(スコア表2[],MATCH("stdev.p",スコア表2[maxmin],0),MATCH(BQ$5,スコア表2[#Headers],0))
*10+50,"-")</f>
        <v>47.714859682017213</v>
      </c>
      <c r="BR50" s="4">
        <f>IFERROR(
(INDEX(スコア表[],MATCH($C50,スコア表['#],0),MATCH(BR$5,スコア表[#Headers],0))
-
INDEX(スコア表2[],MATCH("average",スコア表2[maxmin],0),MATCH(BR$5,スコア表2[#Headers],0)))
/
INDEX(スコア表2[],MATCH("stdev.p",スコア表2[maxmin],0),MATCH(BR$5,スコア表2[#Headers],0))
*10+50,"-")</f>
        <v>50.137942809513184</v>
      </c>
      <c r="BS50" s="4">
        <f>IFERROR(
(INDEX(スコア表[],MATCH($C50,スコア表['#],0),MATCH(BS$5,スコア表[#Headers],0))
-
INDEX(スコア表2[],MATCH("average",スコア表2[maxmin],0),MATCH(BS$5,スコア表2[#Headers],0)))
/
INDEX(スコア表2[],MATCH("stdev.p",スコア表2[maxmin],0),MATCH(BS$5,スコア表2[#Headers],0))
*10+50,"-")</f>
        <v>52.729365130297829</v>
      </c>
      <c r="BT50" s="4">
        <f>IFERROR(
(INDEX(スコア表[],MATCH($C50,スコア表['#],0),MATCH(BT$5,スコア表[#Headers],0))
-
INDEX(スコア表2[],MATCH("average",スコア表2[maxmin],0),MATCH(BT$5,スコア表2[#Headers],0)))
/
INDEX(スコア表2[],MATCH("stdev.p",スコア表2[maxmin],0),MATCH(BT$5,スコア表2[#Headers],0))
*10+50,"-")</f>
        <v>41.845703245452881</v>
      </c>
      <c r="BU50" s="4">
        <f>IFERROR(
(INDEX(スコア表[],MATCH($C50,スコア表['#],0),MATCH(BU$5,スコア表[#Headers],0))
-
INDEX(スコア表2[],MATCH("average",スコア表2[maxmin],0),MATCH(BU$5,スコア表2[#Headers],0)))
/
INDEX(スコア表2[],MATCH("stdev.p",スコア表2[maxmin],0),MATCH(BU$5,スコア表2[#Headers],0))
*10+50,"-")</f>
        <v>39.491764222711595</v>
      </c>
      <c r="BV50" s="4">
        <f>IFERROR(
(INDEX(スコア表[],MATCH($C50,スコア表['#],0),MATCH(BV$5,スコア表[#Headers],0))
-
INDEX(スコア表2[],MATCH("average",スコア表2[maxmin],0),MATCH(BV$5,スコア表2[#Headers],0)))
/
INDEX(スコア表2[],MATCH("stdev.p",スコア表2[maxmin],0),MATCH(BV$5,スコア表2[#Headers],0))
*10+50,"-")</f>
        <v>30.178616223885054</v>
      </c>
      <c r="BW50" s="4">
        <f>IFERROR(
(INDEX(スコア表[],MATCH($C50,スコア表['#],0),MATCH(BW$5,スコア表[#Headers],0))
-
INDEX(スコア表2[],MATCH("average",スコア表2[maxmin],0),MATCH(BW$5,スコア表2[#Headers],0)))
/
INDEX(スコア表2[],MATCH("stdev.p",スコア表2[maxmin],0),MATCH(BW$5,スコア表2[#Headers],0))
*10+50,"-")</f>
        <v>31.428124933545146</v>
      </c>
      <c r="BX50" s="4">
        <f>IFERROR(
(INDEX(スコア表[],MATCH($C50,スコア表['#],0),MATCH(BX$5,スコア表[#Headers],0))
-
INDEX(スコア表2[],MATCH("average",スコア表2[maxmin],0),MATCH(BX$5,スコア表2[#Headers],0)))
/
INDEX(スコア表2[],MATCH("stdev.p",スコア表2[maxmin],0),MATCH(BX$5,スコア表2[#Headers],0))
*10+50,"-")</f>
        <v>44.9174227440121</v>
      </c>
      <c r="BY50" s="4">
        <f>IFERROR(
(INDEX(スコア表[],MATCH($C50,スコア表['#],0),MATCH(BY$5,スコア表[#Headers],0))
-
INDEX(スコア表2[],MATCH("average",スコア表2[maxmin],0),MATCH(BY$5,スコア表2[#Headers],0)))
/
INDEX(スコア表2[],MATCH("stdev.p",スコア表2[maxmin],0),MATCH(BY$5,スコア表2[#Headers],0))
*10+50,"-")</f>
        <v>53.371645236462157</v>
      </c>
      <c r="BZ50" s="4">
        <f>IFERROR(
(INDEX(スコア表[],MATCH($C50,スコア表['#],0),MATCH(BZ$5,スコア表[#Headers],0))
-
INDEX(スコア表2[],MATCH("average",スコア表2[maxmin],0),MATCH(BZ$5,スコア表2[#Headers],0)))
/
INDEX(スコア表2[],MATCH("stdev.p",スコア表2[maxmin],0),MATCH(BZ$5,スコア表2[#Headers],0))
*10+50,"-")</f>
        <v>42.600769583818135</v>
      </c>
      <c r="CA50" s="4">
        <f>IFERROR(
(INDEX(スコア表[],MATCH($C50,スコア表['#],0),MATCH(CA$5,スコア表[#Headers],0))
-
INDEX(スコア表2[],MATCH("average",スコア表2[maxmin],0),MATCH(CA$5,スコア表2[#Headers],0)))
/
INDEX(スコア表2[],MATCH("stdev.p",スコア表2[maxmin],0),MATCH(CA$5,スコア表2[#Headers],0))
*10+50,"-")</f>
        <v>49.164533139287911</v>
      </c>
      <c r="CB50" s="4">
        <f>IFERROR(
(INDEX(スコア表[],MATCH($C50,スコア表['#],0),MATCH(CB$5,スコア表[#Headers],0))
-
INDEX(スコア表2[],MATCH("average",スコア表2[maxmin],0),MATCH(CB$5,スコア表2[#Headers],0)))
/
INDEX(スコア表2[],MATCH("stdev.p",スコア表2[maxmin],0),MATCH(CB$5,スコア表2[#Headers],0))
*10+50,"-")</f>
        <v>46.385234099166638</v>
      </c>
      <c r="CC50" s="4">
        <f>IFERROR(
(INDEX(スコア表[],MATCH($C50,スコア表['#],0),MATCH(CC$5,スコア表[#Headers],0))
-
INDEX(スコア表2[],MATCH("average",スコア表2[maxmin],0),MATCH(CC$5,スコア表2[#Headers],0)))
/
INDEX(スコア表2[],MATCH("stdev.p",スコア表2[maxmin],0),MATCH(CC$5,スコア表2[#Headers],0))
*10+50,"-")</f>
        <v>48.415537399029638</v>
      </c>
      <c r="CD50" s="4">
        <f>IFERROR(
(INDEX(スコア表[],MATCH($C50,スコア表['#],0),MATCH(CD$5,スコア表[#Headers],0))
-
INDEX(スコア表2[],MATCH("average",スコア表2[maxmin],0),MATCH(CD$5,スコア表2[#Headers],0)))
/
INDEX(スコア表2[],MATCH("stdev.p",スコア表2[maxmin],0),MATCH(CD$5,スコア表2[#Headers],0))
*10+50,"-")</f>
        <v>33.339875223181188</v>
      </c>
      <c r="CE50" s="4">
        <f>IFERROR(
(INDEX(スコア表[],MATCH($C50,スコア表['#],0),MATCH(CE$5,スコア表[#Headers],0))
-
INDEX(スコア表2[],MATCH("average",スコア表2[maxmin],0),MATCH(CE$5,スコア表2[#Headers],0)))
/
INDEX(スコア表2[],MATCH("stdev.p",スコア表2[maxmin],0),MATCH(CE$5,スコア表2[#Headers],0))
*10+50,"-")</f>
        <v>46.021352552120696</v>
      </c>
      <c r="CF50" s="4">
        <f>IFERROR(
(INDEX(スコア表[],MATCH($C50,スコア表['#],0),MATCH(CF$5,スコア表[#Headers],0))
-
INDEX(スコア表2[],MATCH("average",スコア表2[maxmin],0),MATCH(CF$5,スコア表2[#Headers],0)))
/
INDEX(スコア表2[],MATCH("stdev.p",スコア表2[maxmin],0),MATCH(CF$5,スコア表2[#Headers],0))
*10+50,"-")</f>
        <v>39.663354881578158</v>
      </c>
      <c r="CG50" s="4">
        <f>IFERROR(
(INDEX(スコア表[],MATCH($C50,スコア表['#],0),MATCH(CG$5,スコア表[#Headers],0))
-
INDEX(スコア表2[],MATCH("average",スコア表2[maxmin],0),MATCH(CG$5,スコア表2[#Headers],0)))
/
INDEX(スコア表2[],MATCH("stdev.p",スコア表2[maxmin],0),MATCH(CG$5,スコア表2[#Headers],0))
*10+50,"-")</f>
        <v>32.973682730971525</v>
      </c>
      <c r="CH50" s="4">
        <f>IFERROR(
(INDEX(スコア表[],MATCH($C50,スコア表['#],0),MATCH(CH$5,スコア表[#Headers],0))
-
INDEX(スコア表2[],MATCH("average",スコア表2[maxmin],0),MATCH(CH$5,スコア表2[#Headers],0)))
/
INDEX(スコア表2[],MATCH("stdev.p",スコア表2[maxmin],0),MATCH(CH$5,スコア表2[#Headers],0))
*10+50,"-")</f>
        <v>43.335642250130249</v>
      </c>
      <c r="CI50" s="4">
        <f>IFERROR(
(INDEX(スコア表[],MATCH($C50,スコア表['#],0),MATCH(CI$5,スコア表[#Headers],0))
-
INDEX(スコア表2[],MATCH("average",スコア表2[maxmin],0),MATCH(CI$5,スコア表2[#Headers],0)))
/
INDEX(スコア表2[],MATCH("stdev.p",スコア表2[maxmin],0),MATCH(CI$5,スコア表2[#Headers],0))
*10+50,"-")</f>
        <v>43.424645847419306</v>
      </c>
      <c r="CJ50" s="4">
        <f>IFERROR(
(INDEX(スコア表[],MATCH($C50,スコア表['#],0),MATCH(CJ$5,スコア表[#Headers],0))
-
INDEX(スコア表2[],MATCH("average",スコア表2[maxmin],0),MATCH(CJ$5,スコア表2[#Headers],0)))
/
INDEX(スコア表2[],MATCH("stdev.p",スコア表2[maxmin],0),MATCH(CJ$5,スコア表2[#Headers],0))
*10+50,"-")</f>
        <v>38.310800384064741</v>
      </c>
      <c r="CK50" s="4">
        <f>IFERROR(
(INDEX(スコア表[],MATCH($C50,スコア表['#],0),MATCH(CK$5,スコア表[#Headers],0))
-
INDEX(スコア表2[],MATCH("average",スコア表2[maxmin],0),MATCH(CK$5,スコア表2[#Headers],0)))
/
INDEX(スコア表2[],MATCH("stdev.p",スコア表2[maxmin],0),MATCH(CK$5,スコア表2[#Headers],0))
*10+50,"-")</f>
        <v>40.363903543460609</v>
      </c>
      <c r="CL50" s="4">
        <f>IFERROR(
(INDEX(スコア表[],MATCH($C50,スコア表['#],0),MATCH(CL$5,スコア表[#Headers],0))
-
INDEX(スコア表2[],MATCH("average",スコア表2[maxmin],0),MATCH(CL$5,スコア表2[#Headers],0)))
/
INDEX(スコア表2[],MATCH("stdev.p",スコア表2[maxmin],0),MATCH(CL$5,スコア表2[#Headers],0))
*10+50,"-")</f>
        <v>51.125269697031406</v>
      </c>
      <c r="CM50" s="4">
        <f>IFERROR(
(INDEX(スコア表[],MATCH($C50,スコア表['#],0),MATCH(CM$5,スコア表[#Headers],0))
-
INDEX(スコア表2[],MATCH("average",スコア表2[maxmin],0),MATCH(CM$5,スコア表2[#Headers],0)))
/
INDEX(スコア表2[],MATCH("stdev.p",スコア表2[maxmin],0),MATCH(CM$5,スコア表2[#Headers],0))
*10+50,"-")</f>
        <v>42.775109692169359</v>
      </c>
      <c r="CN50" s="4">
        <f>IFERROR(
(INDEX(スコア表[],MATCH($C50,スコア表['#],0),MATCH(CN$5,スコア表[#Headers],0))
-
INDEX(スコア表2[],MATCH("average",スコア表2[maxmin],0),MATCH(CN$5,スコア表2[#Headers],0)))
/
INDEX(スコア表2[],MATCH("stdev.p",スコア表2[maxmin],0),MATCH(CN$5,スコア表2[#Headers],0))
*10+50,"-")</f>
        <v>51.114551391856942</v>
      </c>
      <c r="CO50" s="4">
        <f>IFERROR(
(INDEX(スコア表[],MATCH($C50,スコア表['#],0),MATCH(CO$5,スコア表[#Headers],0))
-
INDEX(スコア表2[],MATCH("average",スコア表2[maxmin],0),MATCH(CO$5,スコア表2[#Headers],0)))
/
INDEX(スコア表2[],MATCH("stdev.p",スコア表2[maxmin],0),MATCH(CO$5,スコア表2[#Headers],0))
*10+50,"-")</f>
        <v>66.182393795530174</v>
      </c>
      <c r="CP50" s="4">
        <f>IFERROR(
(INDEX(スコア表[],MATCH($C50,スコア表['#],0),MATCH(CP$5,スコア表[#Headers],0))
-
INDEX(スコア表2[],MATCH("average",スコア表2[maxmin],0),MATCH(CP$5,スコア表2[#Headers],0)))
/
INDEX(スコア表2[],MATCH("stdev.p",スコア表2[maxmin],0),MATCH(CP$5,スコア表2[#Headers],0))
*10+50,"-")</f>
        <v>53.308678460653148</v>
      </c>
      <c r="CQ50" s="4">
        <f>IFERROR(
(INDEX(スコア表[],MATCH($C50,スコア表['#],0),MATCH(CQ$5,スコア表[#Headers],0))
-
INDEX(スコア表2[],MATCH("average",スコア表2[maxmin],0),MATCH(CQ$5,スコア表2[#Headers],0)))
/
INDEX(スコア表2[],MATCH("stdev.p",スコア表2[maxmin],0),MATCH(CQ$5,スコア表2[#Headers],0))
*10+50,"-")</f>
        <v>42.342739167834473</v>
      </c>
      <c r="CR50" s="4">
        <f>IFERROR(
(INDEX(スコア表[],MATCH($C50,スコア表['#],0),MATCH(CR$5,スコア表[#Headers],0))
-
INDEX(スコア表2[],MATCH("average",スコア表2[maxmin],0),MATCH(CR$5,スコア表2[#Headers],0)))
/
INDEX(スコア表2[],MATCH("stdev.p",スコア表2[maxmin],0),MATCH(CR$5,スコア表2[#Headers],0))
*10+50,"-")</f>
        <v>32.731760824233262</v>
      </c>
      <c r="CS50" s="4">
        <f>IFERROR(
(INDEX(スコア表[],MATCH($C50,スコア表['#],0),MATCH(CS$5,スコア表[#Headers],0))
-
INDEX(スコア表2[],MATCH("average",スコア表2[maxmin],0),MATCH(CS$5,スコア表2[#Headers],0)))
/
INDEX(スコア表2[],MATCH("stdev.p",スコア表2[maxmin],0),MATCH(CS$5,スコア表2[#Headers],0))
*10+50,"-")</f>
        <v>43.77066095658833</v>
      </c>
      <c r="CT50" s="4">
        <f>IFERROR(
(INDEX(スコア表[],MATCH($C50,スコア表['#],0),MATCH(CT$5,スコア表[#Headers],0))
-
INDEX(スコア表2[],MATCH("average",スコア表2[maxmin],0),MATCH(CT$5,スコア表2[#Headers],0)))
/
INDEX(スコア表2[],MATCH("stdev.p",スコア表2[maxmin],0),MATCH(CT$5,スコア表2[#Headers],0))
*10+50,"-")</f>
        <v>31.672053644961583</v>
      </c>
      <c r="CU50" s="4">
        <f>IFERROR(
(INDEX(スコア表[],MATCH($C50,スコア表['#],0),MATCH(CU$5,スコア表[#Headers],0))
-
INDEX(スコア表2[],MATCH("average",スコア表2[maxmin],0),MATCH(CU$5,スコア表2[#Headers],0)))
/
INDEX(スコア表2[],MATCH("stdev.p",スコア表2[maxmin],0),MATCH(CU$5,スコア表2[#Headers],0))
*10+50,"-")</f>
        <v>32.130290654818623</v>
      </c>
      <c r="CV50" s="4">
        <f>IFERROR(
(INDEX(スコア表[],MATCH($C50,スコア表['#],0),MATCH(CV$5,スコア表[#Headers],0))
-
INDEX(スコア表2[],MATCH("average",スコア表2[maxmin],0),MATCH(CV$5,スコア表2[#Headers],0)))
/
INDEX(スコア表2[],MATCH("stdev.p",スコア表2[maxmin],0),MATCH(CV$5,スコア表2[#Headers],0))
*10+50,"-")</f>
        <v>41.300947719678064</v>
      </c>
      <c r="CW50" s="4">
        <f>IFERROR(
(INDEX(スコア表[],MATCH($C50,スコア表['#],0),MATCH(CW$5,スコア表[#Headers],0))
-
INDEX(スコア表2[],MATCH("average",スコア表2[maxmin],0),MATCH(CW$5,スコア表2[#Headers],0)))
/
INDEX(スコア表2[],MATCH("stdev.p",スコア表2[maxmin],0),MATCH(CW$5,スコア表2[#Headers],0))
*10+50,"-")</f>
        <v>51.352965788514545</v>
      </c>
      <c r="CX50" s="4">
        <f>IFERROR(
(INDEX(スコア表[],MATCH($C50,スコア表['#],0),MATCH(CX$5,スコア表[#Headers],0))
-
INDEX(スコア表2[],MATCH("average",スコア表2[maxmin],0),MATCH(CX$5,スコア表2[#Headers],0)))
/
INDEX(スコア表2[],MATCH("stdev.p",スコア表2[maxmin],0),MATCH(CX$5,スコア表2[#Headers],0))
*10+50,"-")</f>
        <v>27.925562192636004</v>
      </c>
      <c r="CY50" s="4">
        <f>IFERROR(
(INDEX(スコア表[],MATCH($C50,スコア表['#],0),MATCH(CY$5,スコア表[#Headers],0))
-
INDEX(スコア表2[],MATCH("average",スコア表2[maxmin],0),MATCH(CY$5,スコア表2[#Headers],0)))
/
INDEX(スコア表2[],MATCH("stdev.p",スコア表2[maxmin],0),MATCH(CY$5,スコア表2[#Headers],0))
*10+50,"-")</f>
        <v>37.515345361623147</v>
      </c>
      <c r="CZ50" s="4">
        <f>IFERROR(
(INDEX(スコア表[],MATCH($C50,スコア表['#],0),MATCH(CZ$5,スコア表[#Headers],0))
-
INDEX(スコア表2[],MATCH("average",スコア表2[maxmin],0),MATCH(CZ$5,スコア表2[#Headers],0)))
/
INDEX(スコア表2[],MATCH("stdev.p",スコア表2[maxmin],0),MATCH(CZ$5,スコア表2[#Headers],0))
*10+50,"-")</f>
        <v>39.901530061961665</v>
      </c>
      <c r="DA50" s="4">
        <f>IFERROR(
(INDEX(スコア表[],MATCH($C50,スコア表['#],0),MATCH(DA$5,スコア表[#Headers],0))
-
INDEX(スコア表2[],MATCH("average",スコア表2[maxmin],0),MATCH(DA$5,スコア表2[#Headers],0)))
/
INDEX(スコア表2[],MATCH("stdev.p",スコア表2[maxmin],0),MATCH(DA$5,スコア表2[#Headers],0))
*10+50,"-")</f>
        <v>38.242938230505715</v>
      </c>
      <c r="DB50" s="4">
        <f>IFERROR(
(INDEX(スコア表[],MATCH($C50,スコア表['#],0),MATCH(DB$5,スコア表[#Headers],0))
-
INDEX(スコア表2[],MATCH("average",スコア表2[maxmin],0),MATCH(DB$5,スコア表2[#Headers],0)))
/
INDEX(スコア表2[],MATCH("stdev.p",スコア表2[maxmin],0),MATCH(DB$5,スコア表2[#Headers],0))
*10+50,"-")</f>
        <v>41.045070083430332</v>
      </c>
      <c r="DC50" s="4">
        <f>IFERROR(
(INDEX(スコア表[],MATCH($C50,スコア表['#],0),MATCH(DC$5,スコア表[#Headers],0))
-
INDEX(スコア表2[],MATCH("average",スコア表2[maxmin],0),MATCH(DC$5,スコア表2[#Headers],0)))
/
INDEX(スコア表2[],MATCH("stdev.p",スコア表2[maxmin],0),MATCH(DC$5,スコア表2[#Headers],0))
*10+50,"-")</f>
        <v>50.536064003508258</v>
      </c>
      <c r="DD50" s="4">
        <f>IFERROR(
(INDEX(スコア表[],MATCH($C50,スコア表['#],0),MATCH(DD$5,スコア表[#Headers],0))
-
INDEX(スコア表2[],MATCH("average",スコア表2[maxmin],0),MATCH(DD$5,スコア表2[#Headers],0)))
/
INDEX(スコア表2[],MATCH("stdev.p",スコア表2[maxmin],0),MATCH(DD$5,スコア表2[#Headers],0))
*10+50,"-")</f>
        <v>30.028724873071546</v>
      </c>
      <c r="DE50" s="4">
        <f>IFERROR(
(INDEX(スコア表[],MATCH($C50,スコア表['#],0),MATCH(DE$5,スコア表[#Headers],0))
-
INDEX(スコア表2[],MATCH("average",スコア表2[maxmin],0),MATCH(DE$5,スコア表2[#Headers],0)))
/
INDEX(スコア表2[],MATCH("stdev.p",スコア表2[maxmin],0),MATCH(DE$5,スコア表2[#Headers],0))
*10+50,"-")</f>
        <v>33.754098145932431</v>
      </c>
      <c r="DF50" s="76">
        <f>IFERROR(
(INDEX(スコア表[],MATCH($C50,スコア表['#],0),MATCH(DF$5,スコア表[#Headers],0))
-
INDEX(スコア表2[],MATCH("average",スコア表2[maxmin],0),MATCH(DF$5,スコア表2[#Headers],0)))
/
INDEX(スコア表2[],MATCH("stdev.p",スコア表2[maxmin],0),MATCH(DF$5,スコア表2[#Headers],0))
*10+50,"-")</f>
        <v>34.114628981268716</v>
      </c>
      <c r="DG50" s="4">
        <f>IFERROR(_xlfn.STDEV.P(偏差値表[[#This Row],[Economy]:[Accessibility]]),"")</f>
        <v>6.4110837970315444</v>
      </c>
    </row>
    <row r="51" spans="1:111">
      <c r="A51" s="2">
        <v>46</v>
      </c>
      <c r="B51" s="58">
        <f>INDEX(順位表[Comprehensive],MATCH($C51,順位表['#],0))</f>
        <v>46</v>
      </c>
      <c r="C51" s="3">
        <v>41</v>
      </c>
      <c r="D51" s="1" t="str">
        <f>INDEX(都市マスタ[City Name],MATCH($C51,都市マスタ['#],0))</f>
        <v>Johannesburg</v>
      </c>
      <c r="E51" s="4">
        <f>IFERROR(
(INDEX(スコア表[],MATCH($C51,スコア表['#],0),MATCH(E$5,スコア表[#Headers],0))
-
INDEX(スコア表2[],MATCH("average",スコア表2[maxmin],0),MATCH(E$5,スコア表2[#Headers],0)))
/
INDEX(スコア表2[],MATCH("stdev.p",スコア表2[maxmin],0),MATCH(E$5,スコア表2[#Headers],0))
*10+50,"-")</f>
        <v>49.314228695464152</v>
      </c>
      <c r="F51" s="4">
        <f>IFERROR(
(INDEX(スコア表[],MATCH($C51,スコア表['#],0),MATCH(F$5,スコア表[#Headers],0))
-
INDEX(スコア表2[],MATCH("average",スコア表2[maxmin],0),MATCH(F$5,スコア表2[#Headers],0)))
/
INDEX(スコア表2[],MATCH("stdev.p",スコア表2[maxmin],0),MATCH(F$5,スコア表2[#Headers],0))
*10+50,"-")</f>
        <v>49.820078876094328</v>
      </c>
      <c r="G51" s="4">
        <f>IFERROR(
(INDEX(スコア表[],MATCH($C51,スコア表['#],0),MATCH(G$5,スコア表[#Headers],0))
-
INDEX(スコア表2[],MATCH("average",スコア表2[maxmin],0),MATCH(G$5,スコア表2[#Headers],0)))
/
INDEX(スコア表2[],MATCH("stdev.p",スコア表2[maxmin],0),MATCH(G$5,スコア表2[#Headers],0))
*10+50,"-")</f>
        <v>48.405180177810571</v>
      </c>
      <c r="H51" s="4">
        <f>IFERROR(
(INDEX(スコア表[],MATCH($C51,スコア表['#],0),MATCH(H$5,スコア表[#Headers],0))
-
INDEX(スコア表2[],MATCH("average",スコア表2[maxmin],0),MATCH(H$5,スコア表2[#Headers],0)))
/
INDEX(スコア表2[],MATCH("stdev.p",スコア表2[maxmin],0),MATCH(H$5,スコア表2[#Headers],0))
*10+50,"-")</f>
        <v>41.849280682564647</v>
      </c>
      <c r="I51" s="4">
        <f>IFERROR(
(INDEX(スコア表[],MATCH($C51,スコア表['#],0),MATCH(I$5,スコア表[#Headers],0))
-
INDEX(スコア表2[],MATCH("average",スコア表2[maxmin],0),MATCH(I$5,スコア表2[#Headers],0)))
/
INDEX(スコア表2[],MATCH("stdev.p",スコア表2[maxmin],0),MATCH(I$5,スコア表2[#Headers],0))
*10+50,"-")</f>
        <v>38.647225624152384</v>
      </c>
      <c r="J51" s="4">
        <f>IFERROR(
(INDEX(スコア表[],MATCH($C51,スコア表['#],0),MATCH(J$5,スコア表[#Headers],0))
-
INDEX(スコア表2[],MATCH("average",スコア表2[maxmin],0),MATCH(J$5,スコア表2[#Headers],0)))
/
INDEX(スコア表2[],MATCH("stdev.p",スコア表2[maxmin],0),MATCH(J$5,スコア表2[#Headers],0))
*10+50,"-")</f>
        <v>41.537653441070255</v>
      </c>
      <c r="K51" s="4">
        <f>IFERROR(
(INDEX(スコア表[],MATCH($C51,スコア表['#],0),MATCH(K$5,スコア表[#Headers],0))
-
INDEX(スコア表2[],MATCH("average",スコア表2[maxmin],0),MATCH(K$5,スコア表2[#Headers],0)))
/
INDEX(スコア表2[],MATCH("stdev.p",スコア表2[maxmin],0),MATCH(K$5,スコア表2[#Headers],0))
*10+50,"-")</f>
        <v>37.855184442648998</v>
      </c>
      <c r="L51" s="4">
        <f>IFERROR(
(INDEX(スコア表[],MATCH($C51,スコア表['#],0),MATCH(L$5,スコア表[#Headers],0))
-
INDEX(スコア表2[],MATCH("average",スコア表2[maxmin],0),MATCH(L$5,スコア表2[#Headers],0)))
/
INDEX(スコア表2[],MATCH("stdev.p",スコア表2[maxmin],0),MATCH(L$5,スコア表2[#Headers],0))
*10+50,"-")</f>
        <v>48.850529732802656</v>
      </c>
      <c r="M51" s="4">
        <f>IFERROR(
(INDEX(スコア表[],MATCH($C51,スコア表['#],0),MATCH(M$5,スコア表[#Headers],0))
-
INDEX(スコア表2[],MATCH("average",スコア表2[maxmin],0),MATCH(M$5,スコア表2[#Headers],0)))
/
INDEX(スコア表2[],MATCH("stdev.p",スコア表2[maxmin],0),MATCH(M$5,スコア表2[#Headers],0))
*10+50,"-")</f>
        <v>45.544318921595732</v>
      </c>
      <c r="N51" s="4">
        <f>IFERROR(
(INDEX(スコア表[],MATCH($C51,スコア表['#],0),MATCH(N$5,スコア表[#Headers],0))
-
INDEX(スコア表2[],MATCH("average",スコア表2[maxmin],0),MATCH(N$5,スコア表2[#Headers],0)))
/
INDEX(スコア表2[],MATCH("stdev.p",スコア表2[maxmin],0),MATCH(N$5,スコア表2[#Headers],0))
*10+50,"-")</f>
        <v>46.4454950892654</v>
      </c>
      <c r="O51" s="4">
        <f>IFERROR(
(INDEX(スコア表[],MATCH($C51,スコア表['#],0),MATCH(O$5,スコア表[#Headers],0))
-
INDEX(スコア表2[],MATCH("average",スコア表2[maxmin],0),MATCH(O$5,スコア表2[#Headers],0)))
/
INDEX(スコア表2[],MATCH("stdev.p",スコア表2[maxmin],0),MATCH(O$5,スコア表2[#Headers],0))
*10+50,"-")</f>
        <v>51.684498454523251</v>
      </c>
      <c r="P51" s="4">
        <f>IFERROR(
(INDEX(スコア表[],MATCH($C51,スコア表['#],0),MATCH(P$5,スコア表[#Headers],0))
-
INDEX(スコア表2[],MATCH("average",スコア表2[maxmin],0),MATCH(P$5,スコア表2[#Headers],0)))
/
INDEX(スコア表2[],MATCH("stdev.p",スコア表2[maxmin],0),MATCH(P$5,スコア表2[#Headers],0))
*10+50,"-")</f>
        <v>42.307335510928411</v>
      </c>
      <c r="Q51" s="4">
        <f>IFERROR(
(INDEX(スコア表[],MATCH($C51,スコア表['#],0),MATCH(Q$5,スコア表[#Headers],0))
-
INDEX(スコア表2[],MATCH("average",スコア表2[maxmin],0),MATCH(Q$5,スコア表2[#Headers],0)))
/
INDEX(スコア表2[],MATCH("stdev.p",スコア表2[maxmin],0),MATCH(Q$5,スコア表2[#Headers],0))
*10+50,"-")</f>
        <v>39.991760468610487</v>
      </c>
      <c r="R51" s="4">
        <f>IFERROR(
(INDEX(スコア表[],MATCH($C51,スコア表['#],0),MATCH(R$5,スコア表[#Headers],0))
-
INDEX(スコア表2[],MATCH("average",スコア表2[maxmin],0),MATCH(R$5,スコア表2[#Headers],0)))
/
INDEX(スコア表2[],MATCH("stdev.p",スコア表2[maxmin],0),MATCH(R$5,スコア表2[#Headers],0))
*10+50,"-")</f>
        <v>36.530640550354761</v>
      </c>
      <c r="S51" s="4">
        <f>IFERROR(
(INDEX(スコア表[],MATCH($C51,スコア表['#],0),MATCH(S$5,スコア表[#Headers],0))
-
INDEX(スコア表2[],MATCH("average",スコア表2[maxmin],0),MATCH(S$5,スコア表2[#Headers],0)))
/
INDEX(スコア表2[],MATCH("stdev.p",スコア表2[maxmin],0),MATCH(S$5,スコア表2[#Headers],0))
*10+50,"-")</f>
        <v>46.49223252339241</v>
      </c>
      <c r="T51" s="4">
        <f>IFERROR(
(INDEX(スコア表[],MATCH($C51,スコア表['#],0),MATCH(T$5,スコア表[#Headers],0))
-
INDEX(スコア表2[],MATCH("average",スコア表2[maxmin],0),MATCH(T$5,スコア表2[#Headers],0)))
/
INDEX(スコア表2[],MATCH("stdev.p",スコア表2[maxmin],0),MATCH(T$5,スコア表2[#Headers],0))
*10+50,"-")</f>
        <v>34.2000159607475</v>
      </c>
      <c r="U51" s="4">
        <f>IFERROR(
(INDEX(スコア表[],MATCH($C51,スコア表['#],0),MATCH(U$5,スコア表[#Headers],0))
-
INDEX(スコア表2[],MATCH("average",スコア表2[maxmin],0),MATCH(U$5,スコア表2[#Headers],0)))
/
INDEX(スコア表2[],MATCH("stdev.p",スコア表2[maxmin],0),MATCH(U$5,スコア表2[#Headers],0))
*10+50,"-")</f>
        <v>41.700404490304159</v>
      </c>
      <c r="V51" s="4">
        <f>IFERROR(
(INDEX(スコア表[],MATCH($C51,スコア表['#],0),MATCH(V$5,スコア表[#Headers],0))
-
INDEX(スコア表2[],MATCH("average",スコア表2[maxmin],0),MATCH(V$5,スコア表2[#Headers],0)))
/
INDEX(スコア表2[],MATCH("stdev.p",スコア表2[maxmin],0),MATCH(V$5,スコア表2[#Headers],0))
*10+50,"-")</f>
        <v>40.542821395368904</v>
      </c>
      <c r="W51" s="4">
        <f>IFERROR(
(INDEX(スコア表[],MATCH($C51,スコア表['#],0),MATCH(W$5,スコア表[#Headers],0))
-
INDEX(スコア表2[],MATCH("average",スコア表2[maxmin],0),MATCH(W$5,スコア表2[#Headers],0)))
/
INDEX(スコア表2[],MATCH("stdev.p",スコア表2[maxmin],0),MATCH(W$5,スコア表2[#Headers],0))
*10+50,"-")</f>
        <v>43.564709326266239</v>
      </c>
      <c r="X51" s="4">
        <f>IFERROR(
(INDEX(スコア表[],MATCH($C51,スコア表['#],0),MATCH(X$5,スコア表[#Headers],0))
-
INDEX(スコア表2[],MATCH("average",スコア表2[maxmin],0),MATCH(X$5,スコア表2[#Headers],0)))
/
INDEX(スコア表2[],MATCH("stdev.p",スコア表2[maxmin],0),MATCH(X$5,スコア表2[#Headers],0))
*10+50,"-")</f>
        <v>43.58280968361403</v>
      </c>
      <c r="Y51" s="4">
        <f>IFERROR(
(INDEX(スコア表[],MATCH($C51,スコア表['#],0),MATCH(Y$5,スコア表[#Headers],0))
-
INDEX(スコア表2[],MATCH("average",スコア表2[maxmin],0),MATCH(Y$5,スコア表2[#Headers],0)))
/
INDEX(スコア表2[],MATCH("stdev.p",スコア表2[maxmin],0),MATCH(Y$5,スコア表2[#Headers],0))
*10+50,"-")</f>
        <v>22.61775737481716</v>
      </c>
      <c r="Z51" s="4">
        <f>IFERROR(
(INDEX(スコア表[],MATCH($C51,スコア表['#],0),MATCH(Z$5,スコア表[#Headers],0))
-
INDEX(スコア表2[],MATCH("average",スコア表2[maxmin],0),MATCH(Z$5,スコア表2[#Headers],0)))
/
INDEX(スコア表2[],MATCH("stdev.p",スコア表2[maxmin],0),MATCH(Z$5,スコア表2[#Headers],0))
*10+50,"-")</f>
        <v>44.856943755991146</v>
      </c>
      <c r="AA51" s="4">
        <f>IFERROR(
(INDEX(スコア表[],MATCH($C51,スコア表['#],0),MATCH(AA$5,スコア表[#Headers],0))
-
INDEX(スコア表2[],MATCH("average",スコア表2[maxmin],0),MATCH(AA$5,スコア表2[#Headers],0)))
/
INDEX(スコア表2[],MATCH("stdev.p",スコア表2[maxmin],0),MATCH(AA$5,スコア表2[#Headers],0))
*10+50,"-")</f>
        <v>44.664612103409482</v>
      </c>
      <c r="AB51" s="4">
        <f>IFERROR(
(INDEX(スコア表[],MATCH($C51,スコア表['#],0),MATCH(AB$5,スコア表[#Headers],0))
-
INDEX(スコア表2[],MATCH("average",スコア表2[maxmin],0),MATCH(AB$5,スコア表2[#Headers],0)))
/
INDEX(スコア表2[],MATCH("stdev.p",スコア表2[maxmin],0),MATCH(AB$5,スコア表2[#Headers],0))
*10+50,"-")</f>
        <v>43.787932882723965</v>
      </c>
      <c r="AC51" s="4">
        <f>IFERROR(
(INDEX(スコア表[],MATCH($C51,スコア表['#],0),MATCH(AC$5,スコア表[#Headers],0))
-
INDEX(スコア表2[],MATCH("average",スコア表2[maxmin],0),MATCH(AC$5,スコア表2[#Headers],0)))
/
INDEX(スコア表2[],MATCH("stdev.p",スコア表2[maxmin],0),MATCH(AC$5,スコア表2[#Headers],0))
*10+50,"-")</f>
        <v>43.603125387283811</v>
      </c>
      <c r="AD51" s="4">
        <f>IFERROR(
(INDEX(スコア表[],MATCH($C51,スコア表['#],0),MATCH(AD$5,スコア表[#Headers],0))
-
INDEX(スコア表2[],MATCH("average",スコア表2[maxmin],0),MATCH(AD$5,スコア表2[#Headers],0)))
/
INDEX(スコア表2[],MATCH("stdev.p",スコア表2[maxmin],0),MATCH(AD$5,スコア表2[#Headers],0))
*10+50,"-")</f>
        <v>46.696046617453348</v>
      </c>
      <c r="AE51" s="4">
        <f>IFERROR(
(INDEX(スコア表[],MATCH($C51,スコア表['#],0),MATCH(AE$5,スコア表[#Headers],0))
-
INDEX(スコア表2[],MATCH("average",スコア表2[maxmin],0),MATCH(AE$5,スコア表2[#Headers],0)))
/
INDEX(スコア表2[],MATCH("stdev.p",スコア表2[maxmin],0),MATCH(AE$5,スコア表2[#Headers],0))
*10+50,"-")</f>
        <v>44.488352238585378</v>
      </c>
      <c r="AF51" s="4">
        <f>IFERROR(
(INDEX(スコア表[],MATCH($C51,スコア表['#],0),MATCH(AF$5,スコア表[#Headers],0))
-
INDEX(スコア表2[],MATCH("average",スコア表2[maxmin],0),MATCH(AF$5,スコア表2[#Headers],0)))
/
INDEX(スコア表2[],MATCH("stdev.p",スコア表2[maxmin],0),MATCH(AF$5,スコア表2[#Headers],0))
*10+50,"-")</f>
        <v>46.343516191219386</v>
      </c>
      <c r="AG51" s="4">
        <f>IFERROR(
(INDEX(スコア表[],MATCH($C51,スコア表['#],0),MATCH(AG$5,スコア表[#Headers],0))
-
INDEX(スコア表2[],MATCH("average",スコア表2[maxmin],0),MATCH(AG$5,スコア表2[#Headers],0)))
/
INDEX(スコア表2[],MATCH("stdev.p",スコア表2[maxmin],0),MATCH(AG$5,スコア表2[#Headers],0))
*10+50,"-")</f>
        <v>49.100667329682778</v>
      </c>
      <c r="AH51" s="4">
        <f>IFERROR(
(INDEX(スコア表[],MATCH($C51,スコア表['#],0),MATCH(AH$5,スコア表[#Headers],0))
-
INDEX(スコア表2[],MATCH("average",スコア表2[maxmin],0),MATCH(AH$5,スコア表2[#Headers],0)))
/
INDEX(スコア表2[],MATCH("stdev.p",スコア表2[maxmin],0),MATCH(AH$5,スコア表2[#Headers],0))
*10+50,"-")</f>
        <v>40.910160095405388</v>
      </c>
      <c r="AI51" s="4">
        <f>IFERROR(
(INDEX(スコア表[],MATCH($C51,スコア表['#],0),MATCH(AI$5,スコア表[#Headers],0))
-
INDEX(スコア表2[],MATCH("average",スコア表2[maxmin],0),MATCH(AI$5,スコア表2[#Headers],0)))
/
INDEX(スコア表2[],MATCH("stdev.p",スコア表2[maxmin],0),MATCH(AI$5,スコア表2[#Headers],0))
*10+50,"-")</f>
        <v>50.503355259613357</v>
      </c>
      <c r="AJ51" s="4">
        <f>IFERROR(
(INDEX(スコア表[],MATCH($C51,スコア表['#],0),MATCH(AJ$5,スコア表[#Headers],0))
-
INDEX(スコア表2[],MATCH("average",スコア表2[maxmin],0),MATCH(AJ$5,スコア表2[#Headers],0)))
/
INDEX(スコア表2[],MATCH("stdev.p",スコア表2[maxmin],0),MATCH(AJ$5,スコア表2[#Headers],0))
*10+50,"-")</f>
        <v>41.069283979724148</v>
      </c>
      <c r="AK51" s="4">
        <f>IFERROR(
(INDEX(スコア表[],MATCH($C51,スコア表['#],0),MATCH(AK$5,スコア表[#Headers],0))
-
INDEX(スコア表2[],MATCH("average",スコア表2[maxmin],0),MATCH(AK$5,スコア表2[#Headers],0)))
/
INDEX(スコア表2[],MATCH("stdev.p",スコア表2[maxmin],0),MATCH(AK$5,スコア表2[#Headers],0))
*10+50,"-")</f>
        <v>41.776443558963024</v>
      </c>
      <c r="AL51" s="4">
        <f>IFERROR(
(INDEX(スコア表[],MATCH($C51,スコア表['#],0),MATCH(AL$5,スコア表[#Headers],0))
-
INDEX(スコア表2[],MATCH("average",スコア表2[maxmin],0),MATCH(AL$5,スコア表2[#Headers],0)))
/
INDEX(スコア表2[],MATCH("stdev.p",スコア表2[maxmin],0),MATCH(AL$5,スコア表2[#Headers],0))
*10+50,"-")</f>
        <v>59.421826476754596</v>
      </c>
      <c r="AM51" s="4">
        <f>IFERROR(
(INDEX(スコア表[],MATCH($C51,スコア表['#],0),MATCH(AM$5,スコア表[#Headers],0))
-
INDEX(スコア表2[],MATCH("average",スコア表2[maxmin],0),MATCH(AM$5,スコア表2[#Headers],0)))
/
INDEX(スコア表2[],MATCH("stdev.p",スコア表2[maxmin],0),MATCH(AM$5,スコア表2[#Headers],0))
*10+50,"-")</f>
        <v>37.877347807941717</v>
      </c>
      <c r="AN51" s="4">
        <f>IFERROR(
(INDEX(スコア表[],MATCH($C51,スコア表['#],0),MATCH(AN$5,スコア表[#Headers],0))
-
INDEX(スコア表2[],MATCH("average",スコア表2[maxmin],0),MATCH(AN$5,スコア表2[#Headers],0)))
/
INDEX(スコア表2[],MATCH("stdev.p",スコア表2[maxmin],0),MATCH(AN$5,スコア表2[#Headers],0))
*10+50,"-")</f>
        <v>41.741833391763393</v>
      </c>
      <c r="AO51" s="4">
        <f>IFERROR(
(INDEX(スコア表[],MATCH($C51,スコア表['#],0),MATCH(AO$5,スコア表[#Headers],0))
-
INDEX(スコア表2[],MATCH("average",スコア表2[maxmin],0),MATCH(AO$5,スコア表2[#Headers],0)))
/
INDEX(スコア表2[],MATCH("stdev.p",スコア表2[maxmin],0),MATCH(AO$5,スコア表2[#Headers],0))
*10+50,"-")</f>
        <v>43.029585391050034</v>
      </c>
      <c r="AP51" s="4">
        <f>IFERROR(
(INDEX(スコア表[],MATCH($C51,スコア表['#],0),MATCH(AP$5,スコア表[#Headers],0))
-
INDEX(スコア表2[],MATCH("average",スコア表2[maxmin],0),MATCH(AP$5,スコア表2[#Headers],0)))
/
INDEX(スコア表2[],MATCH("stdev.p",スコア表2[maxmin],0),MATCH(AP$5,スコア表2[#Headers],0))
*10+50,"-")</f>
        <v>49.692742711703332</v>
      </c>
      <c r="AQ51" s="4">
        <f>IFERROR(
(INDEX(スコア表[],MATCH($C51,スコア表['#],0),MATCH(AQ$5,スコア表[#Headers],0))
-
INDEX(スコア表2[],MATCH("average",スコア表2[maxmin],0),MATCH(AQ$5,スコア表2[#Headers],0)))
/
INDEX(スコア表2[],MATCH("stdev.p",スコア表2[maxmin],0),MATCH(AQ$5,スコア表2[#Headers],0))
*10+50,"-")</f>
        <v>50.729067099464295</v>
      </c>
      <c r="AR51" s="4">
        <f>IFERROR(
(INDEX(スコア表[],MATCH($C51,スコア表['#],0),MATCH(AR$5,スコア表[#Headers],0))
-
INDEX(スコア表2[],MATCH("average",スコア表2[maxmin],0),MATCH(AR$5,スコア表2[#Headers],0)))
/
INDEX(スコア表2[],MATCH("stdev.p",スコア表2[maxmin],0),MATCH(AR$5,スコア表2[#Headers],0))
*10+50,"-")</f>
        <v>44.652646334053017</v>
      </c>
      <c r="AS51" s="4">
        <f>IFERROR(
(INDEX(スコア表[],MATCH($C51,スコア表['#],0),MATCH(AS$5,スコア表[#Headers],0))
-
INDEX(スコア表2[],MATCH("average",スコア表2[maxmin],0),MATCH(AS$5,スコア表2[#Headers],0)))
/
INDEX(スコア表2[],MATCH("stdev.p",スコア表2[maxmin],0),MATCH(AS$5,スコア表2[#Headers],0))
*10+50,"-")</f>
        <v>-3.4862058785244443</v>
      </c>
      <c r="AT51" s="4">
        <f>IFERROR(
(INDEX(スコア表[],MATCH($C51,スコア表['#],0),MATCH(AT$5,スコア表[#Headers],0))
-
INDEX(スコア表2[],MATCH("average",スコア表2[maxmin],0),MATCH(AT$5,スコア表2[#Headers],0)))
/
INDEX(スコア表2[],MATCH("stdev.p",スコア表2[maxmin],0),MATCH(AT$5,スコア表2[#Headers],0))
*10+50,"-")</f>
        <v>47.476558817811735</v>
      </c>
      <c r="AU51" s="4">
        <f>IFERROR(
(INDEX(スコア表[],MATCH($C51,スコア表['#],0),MATCH(AU$5,スコア表[#Headers],0))
-
INDEX(スコア表2[],MATCH("average",スコア表2[maxmin],0),MATCH(AU$5,スコア表2[#Headers],0)))
/
INDEX(スコア表2[],MATCH("stdev.p",スコア表2[maxmin],0),MATCH(AU$5,スコア表2[#Headers],0))
*10+50,"-")</f>
        <v>62.246524549099433</v>
      </c>
      <c r="AV51" s="4">
        <f>IFERROR(
(INDEX(スコア表[],MATCH($C51,スコア表['#],0),MATCH(AV$5,スコア表[#Headers],0))
-
INDEX(スコア表2[],MATCH("average",スコア表2[maxmin],0),MATCH(AV$5,スコア表2[#Headers],0)))
/
INDEX(スコア表2[],MATCH("stdev.p",スコア表2[maxmin],0),MATCH(AV$5,スコア表2[#Headers],0))
*10+50,"-")</f>
        <v>62.545500237851989</v>
      </c>
      <c r="AW51" s="4">
        <f>IFERROR(
(INDEX(スコア表[],MATCH($C51,スコア表['#],0),MATCH(AW$5,スコア表[#Headers],0))
-
INDEX(スコア表2[],MATCH("average",スコア表2[maxmin],0),MATCH(AW$5,スコア表2[#Headers],0)))
/
INDEX(スコア表2[],MATCH("stdev.p",スコア表2[maxmin],0),MATCH(AW$5,スコア表2[#Headers],0))
*10+50,"-")</f>
        <v>63.526398679054381</v>
      </c>
      <c r="AX51" s="4">
        <f>IFERROR(
(INDEX(スコア表[],MATCH($C51,スコア表['#],0),MATCH(AX$5,スコア表[#Headers],0))
-
INDEX(スコア表2[],MATCH("average",スコア表2[maxmin],0),MATCH(AX$5,スコア表2[#Headers],0)))
/
INDEX(スコア表2[],MATCH("stdev.p",スコア表2[maxmin],0),MATCH(AX$5,スコア表2[#Headers],0))
*10+50,"-")</f>
        <v>5.0664601933327873</v>
      </c>
      <c r="AY51" s="4">
        <f>IFERROR(
(INDEX(スコア表[],MATCH($C51,スコア表['#],0),MATCH(AY$5,スコア表[#Headers],0))
-
INDEX(スコア表2[],MATCH("average",スコア表2[maxmin],0),MATCH(AY$5,スコア表2[#Headers],0)))
/
INDEX(スコア表2[],MATCH("stdev.p",スコア表2[maxmin],0),MATCH(AY$5,スコア表2[#Headers],0))
*10+50,"-")</f>
        <v>53.999904388559422</v>
      </c>
      <c r="AZ51" s="4">
        <f>IFERROR(
(INDEX(スコア表[],MATCH($C51,スコア表['#],0),MATCH(AZ$5,スコア表[#Headers],0))
-
INDEX(スコア表2[],MATCH("average",スコア表2[maxmin],0),MATCH(AZ$5,スコア表2[#Headers],0)))
/
INDEX(スコア表2[],MATCH("stdev.p",スコア表2[maxmin],0),MATCH(AZ$5,スコア表2[#Headers],0))
*10+50,"-")</f>
        <v>15.630273083295812</v>
      </c>
      <c r="BA51" s="4">
        <f>IFERROR(
(INDEX(スコア表[],MATCH($C51,スコア表['#],0),MATCH(BA$5,スコア表[#Headers],0))
-
INDEX(スコア表2[],MATCH("average",スコア表2[maxmin],0),MATCH(BA$5,スコア表2[#Headers],0)))
/
INDEX(スコア表2[],MATCH("stdev.p",スコア表2[maxmin],0),MATCH(BA$5,スコア表2[#Headers],0))
*10+50,"-")</f>
        <v>50.952444572388522</v>
      </c>
      <c r="BB51" s="4">
        <f>IFERROR(
(INDEX(スコア表[],MATCH($C51,スコア表['#],0),MATCH(BB$5,スコア表[#Headers],0))
-
INDEX(スコア表2[],MATCH("average",スコア表2[maxmin],0),MATCH(BB$5,スコア表2[#Headers],0)))
/
INDEX(スコア表2[],MATCH("stdev.p",スコア表2[maxmin],0),MATCH(BB$5,スコア表2[#Headers],0))
*10+50,"-")</f>
        <v>35.343560804860545</v>
      </c>
      <c r="BC51" s="4">
        <f>IFERROR(
(INDEX(スコア表[],MATCH($C51,スコア表['#],0),MATCH(BC$5,スコア表[#Headers],0))
-
INDEX(スコア表2[],MATCH("average",スコア表2[maxmin],0),MATCH(BC$5,スコア表2[#Headers],0)))
/
INDEX(スコア表2[],MATCH("stdev.p",スコア表2[maxmin],0),MATCH(BC$5,スコア表2[#Headers],0))
*10+50,"-")</f>
        <v>34.73993651632226</v>
      </c>
      <c r="BD51" s="4">
        <f>IFERROR(
(INDEX(スコア表[],MATCH($C51,スコア表['#],0),MATCH(BD$5,スコア表[#Headers],0))
-
INDEX(スコア表2[],MATCH("average",スコア表2[maxmin],0),MATCH(BD$5,スコア表2[#Headers],0)))
/
INDEX(スコア表2[],MATCH("stdev.p",スコア表2[maxmin],0),MATCH(BD$5,スコア表2[#Headers],0))
*10+50,"-")</f>
        <v>30.016054149567623</v>
      </c>
      <c r="BE51" s="4">
        <f>IFERROR(
(INDEX(スコア表[],MATCH($C51,スコア表['#],0),MATCH(BE$5,スコア表[#Headers],0))
-
INDEX(スコア表2[],MATCH("average",スコア表2[maxmin],0),MATCH(BE$5,スコア表2[#Headers],0)))
/
INDEX(スコア表2[],MATCH("stdev.p",スコア表2[maxmin],0),MATCH(BE$5,スコア表2[#Headers],0))
*10+50,"-")</f>
        <v>45.128405789673508</v>
      </c>
      <c r="BF51" s="4">
        <f>IFERROR(
(INDEX(スコア表[],MATCH($C51,スコア表['#],0),MATCH(BF$5,スコア表[#Headers],0))
-
INDEX(スコア表2[],MATCH("average",スコア表2[maxmin],0),MATCH(BF$5,スコア表2[#Headers],0)))
/
INDEX(スコア表2[],MATCH("stdev.p",スコア表2[maxmin],0),MATCH(BF$5,スコア表2[#Headers],0))
*10+50,"-")</f>
        <v>37.749396804052829</v>
      </c>
      <c r="BG51" s="4">
        <f>IFERROR(
(INDEX(スコア表[],MATCH($C51,スコア表['#],0),MATCH(BG$5,スコア表[#Headers],0))
-
INDEX(スコア表2[],MATCH("average",スコア表2[maxmin],0),MATCH(BG$5,スコア表2[#Headers],0)))
/
INDEX(スコア表2[],MATCH("stdev.p",スコア表2[maxmin],0),MATCH(BG$5,スコア表2[#Headers],0))
*10+50,"-")</f>
        <v>46.411697594794575</v>
      </c>
      <c r="BH51" s="4">
        <f>IFERROR(
(INDEX(スコア表[],MATCH($C51,スコア表['#],0),MATCH(BH$5,スコア表[#Headers],0))
-
INDEX(スコア表2[],MATCH("average",スコア表2[maxmin],0),MATCH(BH$5,スコア表2[#Headers],0)))
/
INDEX(スコア表2[],MATCH("stdev.p",スコア表2[maxmin],0),MATCH(BH$5,スコア表2[#Headers],0))
*10+50,"-")</f>
        <v>43.219895752559999</v>
      </c>
      <c r="BI51" s="4">
        <f>IFERROR(
(INDEX(スコア表[],MATCH($C51,スコア表['#],0),MATCH(BI$5,スコア表[#Headers],0))
-
INDEX(スコア表2[],MATCH("average",スコア表2[maxmin],0),MATCH(BI$5,スコア表2[#Headers],0)))
/
INDEX(スコア表2[],MATCH("stdev.p",スコア表2[maxmin],0),MATCH(BI$5,スコア表2[#Headers],0))
*10+50,"-")</f>
        <v>56.377317346820568</v>
      </c>
      <c r="BJ51" s="4">
        <f>IFERROR(
(INDEX(スコア表[],MATCH($C51,スコア表['#],0),MATCH(BJ$5,スコア表[#Headers],0))
-
INDEX(スコア表2[],MATCH("average",スコア表2[maxmin],0),MATCH(BJ$5,スコア表2[#Headers],0)))
/
INDEX(スコア表2[],MATCH("stdev.p",スコア表2[maxmin],0),MATCH(BJ$5,スコア表2[#Headers],0))
*10+50,"-")</f>
        <v>54.426712122990196</v>
      </c>
      <c r="BK51" s="4">
        <f>IFERROR(
(INDEX(スコア表[],MATCH($C51,スコア表['#],0),MATCH(BK$5,スコア表[#Headers],0))
-
INDEX(スコア表2[],MATCH("average",スコア表2[maxmin],0),MATCH(BK$5,スコア表2[#Headers],0)))
/
INDEX(スコア表2[],MATCH("stdev.p",スコア表2[maxmin],0),MATCH(BK$5,スコア表2[#Headers],0))
*10+50,"-")</f>
        <v>43.678534060384223</v>
      </c>
      <c r="BL51" s="4">
        <f>IFERROR(
(INDEX(スコア表[],MATCH($C51,スコア表['#],0),MATCH(BL$5,スコア表[#Headers],0))
-
INDEX(スコア表2[],MATCH("average",スコア表2[maxmin],0),MATCH(BL$5,スコア表2[#Headers],0)))
/
INDEX(スコア表2[],MATCH("stdev.p",スコア表2[maxmin],0),MATCH(BL$5,スコア表2[#Headers],0))
*10+50,"-")</f>
        <v>62.571728192711859</v>
      </c>
      <c r="BM51" s="4">
        <f>IFERROR(
(INDEX(スコア表[],MATCH($C51,スコア表['#],0),MATCH(BM$5,スコア表[#Headers],0))
-
INDEX(スコア表2[],MATCH("average",スコア表2[maxmin],0),MATCH(BM$5,スコア表2[#Headers],0)))
/
INDEX(スコア表2[],MATCH("stdev.p",スコア表2[maxmin],0),MATCH(BM$5,スコア表2[#Headers],0))
*10+50,"-")</f>
        <v>42.338847083439923</v>
      </c>
      <c r="BN51" s="4">
        <f>IFERROR(
(INDEX(スコア表[],MATCH($C51,スコア表['#],0),MATCH(BN$5,スコア表[#Headers],0))
-
INDEX(スコア表2[],MATCH("average",スコア表2[maxmin],0),MATCH(BN$5,スコア表2[#Headers],0)))
/
INDEX(スコア表2[],MATCH("stdev.p",スコア表2[maxmin],0),MATCH(BN$5,スコア表2[#Headers],0))
*10+50,"-")</f>
        <v>39.198065717734686</v>
      </c>
      <c r="BO51" s="4">
        <f>IFERROR(
(INDEX(スコア表[],MATCH($C51,スコア表['#],0),MATCH(BO$5,スコア表[#Headers],0))
-
INDEX(スコア表2[],MATCH("average",スコア表2[maxmin],0),MATCH(BO$5,スコア表2[#Headers],0)))
/
INDEX(スコア表2[],MATCH("stdev.p",スコア表2[maxmin],0),MATCH(BO$5,スコア表2[#Headers],0))
*10+50,"-")</f>
        <v>33.121500601679699</v>
      </c>
      <c r="BP51" s="4">
        <f>IFERROR(
(INDEX(スコア表[],MATCH($C51,スコア表['#],0),MATCH(BP$5,スコア表[#Headers],0))
-
INDEX(スコア表2[],MATCH("average",スコア表2[maxmin],0),MATCH(BP$5,スコア表2[#Headers],0)))
/
INDEX(スコア表2[],MATCH("stdev.p",スコア表2[maxmin],0),MATCH(BP$5,スコア表2[#Headers],0))
*10+50,"-")</f>
        <v>41.836879085205496</v>
      </c>
      <c r="BQ51" s="4">
        <f>IFERROR(
(INDEX(スコア表[],MATCH($C51,スコア表['#],0),MATCH(BQ$5,スコア表[#Headers],0))
-
INDEX(スコア表2[],MATCH("average",スコア表2[maxmin],0),MATCH(BQ$5,スコア表2[#Headers],0)))
/
INDEX(スコア表2[],MATCH("stdev.p",スコア表2[maxmin],0),MATCH(BQ$5,スコア表2[#Headers],0))
*10+50,"-")</f>
        <v>43.648042528771406</v>
      </c>
      <c r="BR51" s="4">
        <f>IFERROR(
(INDEX(スコア表[],MATCH($C51,スコア表['#],0),MATCH(BR$5,スコア表[#Headers],0))
-
INDEX(スコア表2[],MATCH("average",スコア表2[maxmin],0),MATCH(BR$5,スコア表2[#Headers],0)))
/
INDEX(スコア表2[],MATCH("stdev.p",スコア表2[maxmin],0),MATCH(BR$5,スコア表2[#Headers],0))
*10+50,"-")</f>
        <v>41.324738561094257</v>
      </c>
      <c r="BS51" s="4">
        <f>IFERROR(
(INDEX(スコア表[],MATCH($C51,スコア表['#],0),MATCH(BS$5,スコア表[#Headers],0))
-
INDEX(スコア表2[],MATCH("average",スコア表2[maxmin],0),MATCH(BS$5,スコア表2[#Headers],0)))
/
INDEX(スコア表2[],MATCH("stdev.p",スコア表2[maxmin],0),MATCH(BS$5,スコア表2[#Headers],0))
*10+50,"-")</f>
        <v>42.925701246974789</v>
      </c>
      <c r="BT51" s="4">
        <f>IFERROR(
(INDEX(スコア表[],MATCH($C51,スコア表['#],0),MATCH(BT$5,スコア表[#Headers],0))
-
INDEX(スコア表2[],MATCH("average",スコア表2[maxmin],0),MATCH(BT$5,スコア表2[#Headers],0)))
/
INDEX(スコア表2[],MATCH("stdev.p",スコア表2[maxmin],0),MATCH(BT$5,スコア表2[#Headers],0))
*10+50,"-")</f>
        <v>39.661977705466668</v>
      </c>
      <c r="BU51" s="4">
        <f>IFERROR(
(INDEX(スコア表[],MATCH($C51,スコア表['#],0),MATCH(BU$5,スコア表[#Headers],0))
-
INDEX(スコア表2[],MATCH("average",スコア表2[maxmin],0),MATCH(BU$5,スコア表2[#Headers],0)))
/
INDEX(スコア表2[],MATCH("stdev.p",スコア表2[maxmin],0),MATCH(BU$5,スコア表2[#Headers],0))
*10+50,"-")</f>
        <v>30.521672116108896</v>
      </c>
      <c r="BV51" s="4">
        <f>IFERROR(
(INDEX(スコア表[],MATCH($C51,スコア表['#],0),MATCH(BV$5,スコア表[#Headers],0))
-
INDEX(スコア表2[],MATCH("average",スコア表2[maxmin],0),MATCH(BV$5,スコア表2[#Headers],0)))
/
INDEX(スコア表2[],MATCH("stdev.p",スコア表2[maxmin],0),MATCH(BV$5,スコア表2[#Headers],0))
*10+50,"-")</f>
        <v>52.78220766750016</v>
      </c>
      <c r="BW51" s="4">
        <f>IFERROR(
(INDEX(スコア表[],MATCH($C51,スコア表['#],0),MATCH(BW$5,スコア表[#Headers],0))
-
INDEX(スコア表2[],MATCH("average",スコア表2[maxmin],0),MATCH(BW$5,スコア表2[#Headers],0)))
/
INDEX(スコア表2[],MATCH("stdev.p",スコア表2[maxmin],0),MATCH(BW$5,スコア表2[#Headers],0))
*10+50,"-")</f>
        <v>45.404298597718743</v>
      </c>
      <c r="BX51" s="4">
        <f>IFERROR(
(INDEX(スコア表[],MATCH($C51,スコア表['#],0),MATCH(BX$5,スコア表[#Headers],0))
-
INDEX(スコア表2[],MATCH("average",スコア表2[maxmin],0),MATCH(BX$5,スコア表2[#Headers],0)))
/
INDEX(スコア表2[],MATCH("stdev.p",スコア表2[maxmin],0),MATCH(BX$5,スコア表2[#Headers],0))
*10+50,"-")</f>
        <v>70.784953950589625</v>
      </c>
      <c r="BY51" s="4">
        <f>IFERROR(
(INDEX(スコア表[],MATCH($C51,スコア表['#],0),MATCH(BY$5,スコア表[#Headers],0))
-
INDEX(スコア表2[],MATCH("average",スコア表2[maxmin],0),MATCH(BY$5,スコア表2[#Headers],0)))
/
INDEX(スコア表2[],MATCH("stdev.p",スコア表2[maxmin],0),MATCH(BY$5,スコア表2[#Headers],0))
*10+50,"-")</f>
        <v>43.530850282028382</v>
      </c>
      <c r="BZ51" s="4">
        <f>IFERROR(
(INDEX(スコア表[],MATCH($C51,スコア表['#],0),MATCH(BZ$5,スコア表[#Headers],0))
-
INDEX(スコア表2[],MATCH("average",スコア表2[maxmin],0),MATCH(BZ$5,スコア表2[#Headers],0)))
/
INDEX(スコア表2[],MATCH("stdev.p",スコア表2[maxmin],0),MATCH(BZ$5,スコア表2[#Headers],0))
*10+50,"-")</f>
        <v>36.096717246093348</v>
      </c>
      <c r="CA51" s="4">
        <f>IFERROR(
(INDEX(スコア表[],MATCH($C51,スコア表['#],0),MATCH(CA$5,スコア表[#Headers],0))
-
INDEX(スコア表2[],MATCH("average",スコア表2[maxmin],0),MATCH(CA$5,スコア表2[#Headers],0)))
/
INDEX(スコア表2[],MATCH("stdev.p",スコア表2[maxmin],0),MATCH(CA$5,スコア表2[#Headers],0))
*10+50,"-")</f>
        <v>35.454267870682799</v>
      </c>
      <c r="CB51" s="4">
        <f>IFERROR(
(INDEX(スコア表[],MATCH($C51,スコア表['#],0),MATCH(CB$5,スコア表[#Headers],0))
-
INDEX(スコア表2[],MATCH("average",スコア表2[maxmin],0),MATCH(CB$5,スコア表2[#Headers],0)))
/
INDEX(スコア表2[],MATCH("stdev.p",スコア表2[maxmin],0),MATCH(CB$5,スコア表2[#Headers],0))
*10+50,"-")</f>
        <v>46.289959438640608</v>
      </c>
      <c r="CC51" s="4">
        <f>IFERROR(
(INDEX(スコア表[],MATCH($C51,スコア表['#],0),MATCH(CC$5,スコア表[#Headers],0))
-
INDEX(スコア表2[],MATCH("average",スコア表2[maxmin],0),MATCH(CC$5,スコア表2[#Headers],0)))
/
INDEX(スコア表2[],MATCH("stdev.p",スコア表2[maxmin],0),MATCH(CC$5,スコア表2[#Headers],0))
*10+50,"-")</f>
        <v>48.588402876803109</v>
      </c>
      <c r="CD51" s="4">
        <f>IFERROR(
(INDEX(スコア表[],MATCH($C51,スコア表['#],0),MATCH(CD$5,スコア表[#Headers],0))
-
INDEX(スコア表2[],MATCH("average",スコア表2[maxmin],0),MATCH(CD$5,スコア表2[#Headers],0)))
/
INDEX(スコア表2[],MATCH("stdev.p",スコア表2[maxmin],0),MATCH(CD$5,スコア表2[#Headers],0))
*10+50,"-")</f>
        <v>37.608693338347692</v>
      </c>
      <c r="CE51" s="4">
        <f>IFERROR(
(INDEX(スコア表[],MATCH($C51,スコア表['#],0),MATCH(CE$5,スコア表[#Headers],0))
-
INDEX(スコア表2[],MATCH("average",スコア表2[maxmin],0),MATCH(CE$5,スコア表2[#Headers],0)))
/
INDEX(スコア表2[],MATCH("stdev.p",スコア表2[maxmin],0),MATCH(CE$5,スコア表2[#Headers],0))
*10+50,"-")</f>
        <v>37.327398264346677</v>
      </c>
      <c r="CF51" s="4">
        <f>IFERROR(
(INDEX(スコア表[],MATCH($C51,スコア表['#],0),MATCH(CF$5,スコア表[#Headers],0))
-
INDEX(スコア表2[],MATCH("average",スコア表2[maxmin],0),MATCH(CF$5,スコア表2[#Headers],0)))
/
INDEX(スコア表2[],MATCH("stdev.p",スコア表2[maxmin],0),MATCH(CF$5,スコア表2[#Headers],0))
*10+50,"-")</f>
        <v>39.598276979368841</v>
      </c>
      <c r="CG51" s="4">
        <f>IFERROR(
(INDEX(スコア表[],MATCH($C51,スコア表['#],0),MATCH(CG$5,スコア表[#Headers],0))
-
INDEX(スコア表2[],MATCH("average",スコア表2[maxmin],0),MATCH(CG$5,スコア表2[#Headers],0)))
/
INDEX(スコア表2[],MATCH("stdev.p",スコア表2[maxmin],0),MATCH(CG$5,スコア表2[#Headers],0))
*10+50,"-")</f>
        <v>29.691092375968044</v>
      </c>
      <c r="CH51" s="4">
        <f>IFERROR(
(INDEX(スコア表[],MATCH($C51,スコア表['#],0),MATCH(CH$5,スコア表[#Headers],0))
-
INDEX(スコア表2[],MATCH("average",スコア表2[maxmin],0),MATCH(CH$5,スコア表2[#Headers],0)))
/
INDEX(スコア表2[],MATCH("stdev.p",スコア表2[maxmin],0),MATCH(CH$5,スコア表2[#Headers],0))
*10+50,"-")</f>
        <v>42.662896116885946</v>
      </c>
      <c r="CI51" s="4">
        <f>IFERROR(
(INDEX(スコア表[],MATCH($C51,スコア表['#],0),MATCH(CI$5,スコア表[#Headers],0))
-
INDEX(スコア表2[],MATCH("average",スコア表2[maxmin],0),MATCH(CI$5,スコア表2[#Headers],0)))
/
INDEX(スコア表2[],MATCH("stdev.p",スコア表2[maxmin],0),MATCH(CI$5,スコア表2[#Headers],0))
*10+50,"-")</f>
        <v>42.390963681083072</v>
      </c>
      <c r="CJ51" s="4">
        <f>IFERROR(
(INDEX(スコア表[],MATCH($C51,スコア表['#],0),MATCH(CJ$5,スコア表[#Headers],0))
-
INDEX(スコア表2[],MATCH("average",スコア表2[maxmin],0),MATCH(CJ$5,スコア表2[#Headers],0)))
/
INDEX(スコア表2[],MATCH("stdev.p",スコア表2[maxmin],0),MATCH(CJ$5,スコア表2[#Headers],0))
*10+50,"-")</f>
        <v>44.80630922712286</v>
      </c>
      <c r="CK51" s="4">
        <f>IFERROR(
(INDEX(スコア表[],MATCH($C51,スコア表['#],0),MATCH(CK$5,スコア表[#Headers],0))
-
INDEX(スコア表2[],MATCH("average",スコア表2[maxmin],0),MATCH(CK$5,スコア表2[#Headers],0)))
/
INDEX(スコア表2[],MATCH("stdev.p",スコア表2[maxmin],0),MATCH(CK$5,スコア表2[#Headers],0))
*10+50,"-")</f>
        <v>47.039486464693617</v>
      </c>
      <c r="CL51" s="4">
        <f>IFERROR(
(INDEX(スコア表[],MATCH($C51,スコア表['#],0),MATCH(CL$5,スコア表[#Headers],0))
-
INDEX(スコア表2[],MATCH("average",スコア表2[maxmin],0),MATCH(CL$5,スコア表2[#Headers],0)))
/
INDEX(スコア表2[],MATCH("stdev.p",スコア表2[maxmin],0),MATCH(CL$5,スコア表2[#Headers],0))
*10+50,"-")</f>
        <v>41.176400465841674</v>
      </c>
      <c r="CM51" s="4">
        <f>IFERROR(
(INDEX(スコア表[],MATCH($C51,スコア表['#],0),MATCH(CM$5,スコア表[#Headers],0))
-
INDEX(スコア表2[],MATCH("average",スコア表2[maxmin],0),MATCH(CM$5,スコア表2[#Headers],0)))
/
INDEX(スコア表2[],MATCH("stdev.p",スコア表2[maxmin],0),MATCH(CM$5,スコア表2[#Headers],0))
*10+50,"-")</f>
        <v>47.043349715213914</v>
      </c>
      <c r="CN51" s="4">
        <f>IFERROR(
(INDEX(スコア表[],MATCH($C51,スコア表['#],0),MATCH(CN$5,スコア表[#Headers],0))
-
INDEX(スコア表2[],MATCH("average",スコア表2[maxmin],0),MATCH(CN$5,スコア表2[#Headers],0)))
/
INDEX(スコア表2[],MATCH("stdev.p",スコア表2[maxmin],0),MATCH(CN$5,スコア表2[#Headers],0))
*10+50,"-")</f>
        <v>32.975714183349012</v>
      </c>
      <c r="CO51" s="4">
        <f>IFERROR(
(INDEX(スコア表[],MATCH($C51,スコア表['#],0),MATCH(CO$5,スコア表[#Headers],0))
-
INDEX(スコア表2[],MATCH("average",スコア表2[maxmin],0),MATCH(CO$5,スコア表2[#Headers],0)))
/
INDEX(スコア表2[],MATCH("stdev.p",スコア表2[maxmin],0),MATCH(CO$5,スコア表2[#Headers],0))
*10+50,"-")</f>
        <v>64.199450877196398</v>
      </c>
      <c r="CP51" s="4">
        <f>IFERROR(
(INDEX(スコア表[],MATCH($C51,スコア表['#],0),MATCH(CP$5,スコア表[#Headers],0))
-
INDEX(スコア表2[],MATCH("average",スコア表2[maxmin],0),MATCH(CP$5,スコア表2[#Headers],0)))
/
INDEX(スコア表2[],MATCH("stdev.p",スコア表2[maxmin],0),MATCH(CP$5,スコア表2[#Headers],0))
*10+50,"-")</f>
        <v>14.365835966938853</v>
      </c>
      <c r="CQ51" s="4">
        <f>IFERROR(
(INDEX(スコア表[],MATCH($C51,スコア表['#],0),MATCH(CQ$5,スコア表[#Headers],0))
-
INDEX(スコア表2[],MATCH("average",スコア表2[maxmin],0),MATCH(CQ$5,スコア表2[#Headers],0)))
/
INDEX(スコア表2[],MATCH("stdev.p",スコア表2[maxmin],0),MATCH(CQ$5,スコア表2[#Headers],0))
*10+50,"-")</f>
        <v>30.176993208388836</v>
      </c>
      <c r="CR51" s="4">
        <f>IFERROR(
(INDEX(スコア表[],MATCH($C51,スコア表['#],0),MATCH(CR$5,スコア表[#Headers],0))
-
INDEX(スコア表2[],MATCH("average",スコア表2[maxmin],0),MATCH(CR$5,スコア表2[#Headers],0)))
/
INDEX(スコア表2[],MATCH("stdev.p",スコア表2[maxmin],0),MATCH(CR$5,スコア表2[#Headers],0))
*10+50,"-")</f>
        <v>25.90520299688901</v>
      </c>
      <c r="CS51" s="4">
        <f>IFERROR(
(INDEX(スコア表[],MATCH($C51,スコア表['#],0),MATCH(CS$5,スコア表[#Headers],0))
-
INDEX(スコア表2[],MATCH("average",スコア表2[maxmin],0),MATCH(CS$5,スコア表2[#Headers],0)))
/
INDEX(スコア表2[],MATCH("stdev.p",スコア表2[maxmin],0),MATCH(CS$5,スコア表2[#Headers],0))
*10+50,"-")</f>
        <v>47.27160353932495</v>
      </c>
      <c r="CT51" s="4">
        <f>IFERROR(
(INDEX(スコア表[],MATCH($C51,スコア表['#],0),MATCH(CT$5,スコア表[#Headers],0))
-
INDEX(スコア表2[],MATCH("average",スコア表2[maxmin],0),MATCH(CT$5,スコア表2[#Headers],0)))
/
INDEX(スコア表2[],MATCH("stdev.p",スコア表2[maxmin],0),MATCH(CT$5,スコア表2[#Headers],0))
*10+50,"-")</f>
        <v>55.277411635805812</v>
      </c>
      <c r="CU51" s="4">
        <f>IFERROR(
(INDEX(スコア表[],MATCH($C51,スコア表['#],0),MATCH(CU$5,スコア表[#Headers],0))
-
INDEX(スコア表2[],MATCH("average",スコア表2[maxmin],0),MATCH(CU$5,スコア表2[#Headers],0)))
/
INDEX(スコア表2[],MATCH("stdev.p",スコア表2[maxmin],0),MATCH(CU$5,スコア表2[#Headers],0))
*10+50,"-")</f>
        <v>36.154602108731943</v>
      </c>
      <c r="CV51" s="4">
        <f>IFERROR(
(INDEX(スコア表[],MATCH($C51,スコア表['#],0),MATCH(CV$5,スコア表[#Headers],0))
-
INDEX(スコア表2[],MATCH("average",スコア表2[maxmin],0),MATCH(CV$5,スコア表2[#Headers],0)))
/
INDEX(スコア表2[],MATCH("stdev.p",スコア表2[maxmin],0),MATCH(CV$5,スコア表2[#Headers],0))
*10+50,"-")</f>
        <v>40.053051321712331</v>
      </c>
      <c r="CW51" s="4">
        <f>IFERROR(
(INDEX(スコア表[],MATCH($C51,スコア表['#],0),MATCH(CW$5,スコア表[#Headers],0))
-
INDEX(スコア表2[],MATCH("average",スコア表2[maxmin],0),MATCH(CW$5,スコア表2[#Headers],0)))
/
INDEX(スコア表2[],MATCH("stdev.p",スコア表2[maxmin],0),MATCH(CW$5,スコア表2[#Headers],0))
*10+50,"-")</f>
        <v>41.943590412070364</v>
      </c>
      <c r="CX51" s="4">
        <f>IFERROR(
(INDEX(スコア表[],MATCH($C51,スコア表['#],0),MATCH(CX$5,スコア表[#Headers],0))
-
INDEX(スコア表2[],MATCH("average",スコア表2[maxmin],0),MATCH(CX$5,スコア表2[#Headers],0)))
/
INDEX(スコア表2[],MATCH("stdev.p",スコア表2[maxmin],0),MATCH(CX$5,スコア表2[#Headers],0))
*10+50,"-")</f>
        <v>35.615463331864746</v>
      </c>
      <c r="CY51" s="4">
        <f>IFERROR(
(INDEX(スコア表[],MATCH($C51,スコア表['#],0),MATCH(CY$5,スコア表[#Headers],0))
-
INDEX(スコア表2[],MATCH("average",スコア表2[maxmin],0),MATCH(CY$5,スコア表2[#Headers],0)))
/
INDEX(スコア表2[],MATCH("stdev.p",スコア表2[maxmin],0),MATCH(CY$5,スコア表2[#Headers],0))
*10+50,"-")</f>
        <v>53.678417015677482</v>
      </c>
      <c r="CZ51" s="4">
        <f>IFERROR(
(INDEX(スコア表[],MATCH($C51,スコア表['#],0),MATCH(CZ$5,スコア表[#Headers],0))
-
INDEX(スコア表2[],MATCH("average",スコア表2[maxmin],0),MATCH(CZ$5,スコア表2[#Headers],0)))
/
INDEX(スコア表2[],MATCH("stdev.p",スコア表2[maxmin],0),MATCH(CZ$5,スコア表2[#Headers],0))
*10+50,"-")</f>
        <v>33.749237150863692</v>
      </c>
      <c r="DA51" s="4">
        <f>IFERROR(
(INDEX(スコア表[],MATCH($C51,スコア表['#],0),MATCH(DA$5,スコア表[#Headers],0))
-
INDEX(スコア表2[],MATCH("average",スコア表2[maxmin],0),MATCH(DA$5,スコア表2[#Headers],0)))
/
INDEX(スコア表2[],MATCH("stdev.p",スコア表2[maxmin],0),MATCH(DA$5,スコア表2[#Headers],0))
*10+50,"-")</f>
        <v>37.051751815050977</v>
      </c>
      <c r="DB51" s="4">
        <f>IFERROR(
(INDEX(スコア表[],MATCH($C51,スコア表['#],0),MATCH(DB$5,スコア表[#Headers],0))
-
INDEX(スコア表2[],MATCH("average",スコア表2[maxmin],0),MATCH(DB$5,スコア表2[#Headers],0)))
/
INDEX(スコア表2[],MATCH("stdev.p",スコア表2[maxmin],0),MATCH(DB$5,スコア表2[#Headers],0))
*10+50,"-")</f>
        <v>42.975883426317807</v>
      </c>
      <c r="DC51" s="4">
        <f>IFERROR(
(INDEX(スコア表[],MATCH($C51,スコア表['#],0),MATCH(DC$5,スコア表[#Headers],0))
-
INDEX(スコア表2[],MATCH("average",スコア表2[maxmin],0),MATCH(DC$5,スコア表2[#Headers],0)))
/
INDEX(スコア表2[],MATCH("stdev.p",スコア表2[maxmin],0),MATCH(DC$5,スコア表2[#Headers],0))
*10+50,"-")</f>
        <v>16.098537198719626</v>
      </c>
      <c r="DD51" s="4">
        <f>IFERROR(
(INDEX(スコア表[],MATCH($C51,スコア表['#],0),MATCH(DD$5,スコア表[#Headers],0))
-
INDEX(スコア表2[],MATCH("average",スコア表2[maxmin],0),MATCH(DD$5,スコア表2[#Headers],0)))
/
INDEX(スコア表2[],MATCH("stdev.p",スコア表2[maxmin],0),MATCH(DD$5,スコア表2[#Headers],0))
*10+50,"-")</f>
        <v>42.365748944781728</v>
      </c>
      <c r="DE51" s="4">
        <f>IFERROR(
(INDEX(スコア表[],MATCH($C51,スコア表['#],0),MATCH(DE$5,スコア表[#Headers],0))
-
INDEX(スコア表2[],MATCH("average",スコア表2[maxmin],0),MATCH(DE$5,スコア表2[#Headers],0)))
/
INDEX(スコア表2[],MATCH("stdev.p",スコア表2[maxmin],0),MATCH(DE$5,スコア表2[#Headers],0))
*10+50,"-")</f>
        <v>37.450769887787487</v>
      </c>
      <c r="DF51" s="76">
        <f>IFERROR(
(INDEX(スコア表[],MATCH($C51,スコア表['#],0),MATCH(DF$5,スコア表[#Headers],0))
-
INDEX(スコア表2[],MATCH("average",スコア表2[maxmin],0),MATCH(DF$5,スコア表2[#Headers],0)))
/
INDEX(スコア表2[],MATCH("stdev.p",スコア表2[maxmin],0),MATCH(DF$5,スコア表2[#Headers],0))
*10+50,"-")</f>
        <v>30.094606223086529</v>
      </c>
      <c r="DG51" s="4">
        <f>IFERROR(_xlfn.STDEV.P(偏差値表[[#This Row],[Economy]:[Accessibility]]),"")</f>
        <v>9.0083185465633253</v>
      </c>
    </row>
    <row r="52" spans="1:111">
      <c r="A52" s="2">
        <v>47</v>
      </c>
      <c r="B52" s="58">
        <f>INDEX(順位表[Comprehensive],MATCH($C52,順位表['#],0))</f>
        <v>47</v>
      </c>
      <c r="C52" s="3">
        <v>16</v>
      </c>
      <c r="D52" s="1" t="str">
        <f>INDEX(都市マスタ[City Name],MATCH($C52,都市マスタ['#],0))</f>
        <v>Cairo</v>
      </c>
      <c r="E52" s="4">
        <f>IFERROR(
(INDEX(スコア表[],MATCH($C52,スコア表['#],0),MATCH(E$5,スコア表[#Headers],0))
-
INDEX(スコア表2[],MATCH("average",スコア表2[maxmin],0),MATCH(E$5,スコア表2[#Headers],0)))
/
INDEX(スコア表2[],MATCH("stdev.p",スコア表2[maxmin],0),MATCH(E$5,スコア表2[#Headers],0))
*10+50,"-")</f>
        <v>58.49366059552807</v>
      </c>
      <c r="F52" s="4">
        <f>IFERROR(
(INDEX(スコア表[],MATCH($C52,スコア表['#],0),MATCH(F$5,スコア表[#Headers],0))
-
INDEX(スコア表2[],MATCH("average",スコア表2[maxmin],0),MATCH(F$5,スコア表2[#Headers],0)))
/
INDEX(スコア表2[],MATCH("stdev.p",スコア表2[maxmin],0),MATCH(F$5,スコア表2[#Headers],0))
*10+50,"-")</f>
        <v>54.248057520663053</v>
      </c>
      <c r="G52" s="4">
        <f>IFERROR(
(INDEX(スコア表[],MATCH($C52,スコア表['#],0),MATCH(G$5,スコア表[#Headers],0))
-
INDEX(スコア表2[],MATCH("average",スコア表2[maxmin],0),MATCH(G$5,スコア表2[#Headers],0)))
/
INDEX(スコア表2[],MATCH("stdev.p",スコア表2[maxmin],0),MATCH(G$5,スコア表2[#Headers],0))
*10+50,"-")</f>
        <v>48.418519587299755</v>
      </c>
      <c r="H52" s="4">
        <f>IFERROR(
(INDEX(スコア表[],MATCH($C52,スコア表['#],0),MATCH(H$5,スコア表[#Headers],0))
-
INDEX(スコア表2[],MATCH("average",スコア表2[maxmin],0),MATCH(H$5,スコア表2[#Headers],0)))
/
INDEX(スコア表2[],MATCH("stdev.p",スコア表2[maxmin],0),MATCH(H$5,スコア表2[#Headers],0))
*10+50,"-")</f>
        <v>41.337802464361168</v>
      </c>
      <c r="I52" s="4">
        <f>IFERROR(
(INDEX(スコア表[],MATCH($C52,スコア表['#],0),MATCH(I$5,スコア表[#Headers],0))
-
INDEX(スコア表2[],MATCH("average",スコア表2[maxmin],0),MATCH(I$5,スコア表2[#Headers],0)))
/
INDEX(スコア表2[],MATCH("stdev.p",スコア表2[maxmin],0),MATCH(I$5,スコア表2[#Headers],0))
*10+50,"-")</f>
        <v>37.524905322845179</v>
      </c>
      <c r="J52" s="4">
        <f>IFERROR(
(INDEX(スコア表[],MATCH($C52,スコア表['#],0),MATCH(J$5,スコア表[#Headers],0))
-
INDEX(スコア表2[],MATCH("average",スコア表2[maxmin],0),MATCH(J$5,スコア表2[#Headers],0)))
/
INDEX(スコア表2[],MATCH("stdev.p",スコア表2[maxmin],0),MATCH(J$5,スコア表2[#Headers],0))
*10+50,"-")</f>
        <v>61.015762502052191</v>
      </c>
      <c r="K52" s="4">
        <f>IFERROR(
(INDEX(スコア表[],MATCH($C52,スコア表['#],0),MATCH(K$5,スコア表[#Headers],0))
-
INDEX(スコア表2[],MATCH("average",スコア表2[maxmin],0),MATCH(K$5,スコア表2[#Headers],0)))
/
INDEX(スコア表2[],MATCH("stdev.p",スコア表2[maxmin],0),MATCH(K$5,スコア表2[#Headers],0))
*10+50,"-")</f>
        <v>31.577353007489876</v>
      </c>
      <c r="L52" s="4">
        <f>IFERROR(
(INDEX(スコア表[],MATCH($C52,スコア表['#],0),MATCH(L$5,スコア表[#Headers],0))
-
INDEX(スコア表2[],MATCH("average",スコア表2[maxmin],0),MATCH(L$5,スコア表2[#Headers],0)))
/
INDEX(スコア表2[],MATCH("stdev.p",スコア表2[maxmin],0),MATCH(L$5,スコア表2[#Headers],0))
*10+50,"-")</f>
        <v>46.898429075930913</v>
      </c>
      <c r="M52" s="4">
        <f>IFERROR(
(INDEX(スコア表[],MATCH($C52,スコア表['#],0),MATCH(M$5,スコア表[#Headers],0))
-
INDEX(スコア表2[],MATCH("average",スコア表2[maxmin],0),MATCH(M$5,スコア表2[#Headers],0)))
/
INDEX(スコア表2[],MATCH("stdev.p",スコア表2[maxmin],0),MATCH(M$5,スコア表2[#Headers],0))
*10+50,"-")</f>
        <v>45.544318921595732</v>
      </c>
      <c r="N52" s="4">
        <f>IFERROR(
(INDEX(スコア表[],MATCH($C52,スコア表['#],0),MATCH(N$5,スコア表[#Headers],0))
-
INDEX(スコア表2[],MATCH("average",スコア表2[maxmin],0),MATCH(N$5,スコア表2[#Headers],0)))
/
INDEX(スコア表2[],MATCH("stdev.p",スコア表2[maxmin],0),MATCH(N$5,スコア表2[#Headers],0))
*10+50,"-")</f>
        <v>49.163939610182204</v>
      </c>
      <c r="O52" s="4">
        <f>IFERROR(
(INDEX(スコア表[],MATCH($C52,スコア表['#],0),MATCH(O$5,スコア表[#Headers],0))
-
INDEX(スコア表2[],MATCH("average",スコア表2[maxmin],0),MATCH(O$5,スコア表2[#Headers],0)))
/
INDEX(スコア表2[],MATCH("stdev.p",スコア表2[maxmin],0),MATCH(O$5,スコア表2[#Headers],0))
*10+50,"-")</f>
        <v>32.714356842324648</v>
      </c>
      <c r="P52" s="4">
        <f>IFERROR(
(INDEX(スコア表[],MATCH($C52,スコア表['#],0),MATCH(P$5,スコア表[#Headers],0))
-
INDEX(スコア表2[],MATCH("average",スコア表2[maxmin],0),MATCH(P$5,スコア表2[#Headers],0)))
/
INDEX(スコア表2[],MATCH("stdev.p",スコア表2[maxmin],0),MATCH(P$5,スコア表2[#Headers],0))
*10+50,"-")</f>
        <v>34.561435068264586</v>
      </c>
      <c r="Q52" s="4">
        <f>IFERROR(
(INDEX(スコア表[],MATCH($C52,スコア表['#],0),MATCH(Q$5,スコア表[#Headers],0))
-
INDEX(スコア表2[],MATCH("average",スコア表2[maxmin],0),MATCH(Q$5,スコア表2[#Headers],0)))
/
INDEX(スコア表2[],MATCH("stdev.p",スコア表2[maxmin],0),MATCH(Q$5,スコア表2[#Headers],0))
*10+50,"-")</f>
        <v>31.997302238261515</v>
      </c>
      <c r="R52" s="4">
        <f>IFERROR(
(INDEX(スコア表[],MATCH($C52,スコア表['#],0),MATCH(R$5,スコア表[#Headers],0))
-
INDEX(スコア表2[],MATCH("average",スコア表2[maxmin],0),MATCH(R$5,スコア表2[#Headers],0)))
/
INDEX(スコア表2[],MATCH("stdev.p",スコア表2[maxmin],0),MATCH(R$5,スコア表2[#Headers],0))
*10+50,"-")</f>
        <v>32.631877387778452</v>
      </c>
      <c r="S52" s="4">
        <f>IFERROR(
(INDEX(スコア表[],MATCH($C52,スコア表['#],0),MATCH(S$5,スコア表[#Headers],0))
-
INDEX(スコア表2[],MATCH("average",スコア表2[maxmin],0),MATCH(S$5,スコア表2[#Headers],0)))
/
INDEX(スコア表2[],MATCH("stdev.p",スコア表2[maxmin],0),MATCH(S$5,スコア表2[#Headers],0))
*10+50,"-")</f>
        <v>54.452497183072268</v>
      </c>
      <c r="T52" s="4">
        <f>IFERROR(
(INDEX(スコア表[],MATCH($C52,スコア表['#],0),MATCH(T$5,スコア表[#Headers],0))
-
INDEX(スコア表2[],MATCH("average",スコア表2[maxmin],0),MATCH(T$5,スコア表2[#Headers],0)))
/
INDEX(スコア表2[],MATCH("stdev.p",スコア表2[maxmin],0),MATCH(T$5,スコア表2[#Headers],0))
*10+50,"-")</f>
        <v>21.337973196060375</v>
      </c>
      <c r="U52" s="4">
        <f>IFERROR(
(INDEX(スコア表[],MATCH($C52,スコア表['#],0),MATCH(U$5,スコア表[#Headers],0))
-
INDEX(スコア表2[],MATCH("average",スコア表2[maxmin],0),MATCH(U$5,スコア表2[#Headers],0)))
/
INDEX(スコア表2[],MATCH("stdev.p",スコア表2[maxmin],0),MATCH(U$5,スコア表2[#Headers],0))
*10+50,"-")</f>
        <v>43.877786151962965</v>
      </c>
      <c r="V52" s="4">
        <f>IFERROR(
(INDEX(スコア表[],MATCH($C52,スコア表['#],0),MATCH(V$5,スコア表[#Headers],0))
-
INDEX(スコア表2[],MATCH("average",スコア表2[maxmin],0),MATCH(V$5,スコア表2[#Headers],0)))
/
INDEX(スコア表2[],MATCH("stdev.p",スコア表2[maxmin],0),MATCH(V$5,スコア表2[#Headers],0))
*10+50,"-")</f>
        <v>40.732359839231762</v>
      </c>
      <c r="W52" s="4">
        <f>IFERROR(
(INDEX(スコア表[],MATCH($C52,スコア表['#],0),MATCH(W$5,スコア表[#Headers],0))
-
INDEX(スコア表2[],MATCH("average",スコア表2[maxmin],0),MATCH(W$5,スコア表2[#Headers],0)))
/
INDEX(スコア表2[],MATCH("stdev.p",スコア表2[maxmin],0),MATCH(W$5,スコア表2[#Headers],0))
*10+50,"-")</f>
        <v>43.67654992150446</v>
      </c>
      <c r="X52" s="4">
        <f>IFERROR(
(INDEX(スコア表[],MATCH($C52,スコア表['#],0),MATCH(X$5,スコア表[#Headers],0))
-
INDEX(スコア表2[],MATCH("average",スコア表2[maxmin],0),MATCH(X$5,スコア表2[#Headers],0)))
/
INDEX(スコア表2[],MATCH("stdev.p",スコア表2[maxmin],0),MATCH(X$5,スコア表2[#Headers],0))
*10+50,"-")</f>
        <v>57.186864358136091</v>
      </c>
      <c r="Y52" s="4">
        <f>IFERROR(
(INDEX(スコア表[],MATCH($C52,スコア表['#],0),MATCH(Y$5,スコア表[#Headers],0))
-
INDEX(スコア表2[],MATCH("average",スコア表2[maxmin],0),MATCH(Y$5,スコア表2[#Headers],0)))
/
INDEX(スコア表2[],MATCH("stdev.p",スコア表2[maxmin],0),MATCH(Y$5,スコア表2[#Headers],0))
*10+50,"-")</f>
        <v>29.423899328773679</v>
      </c>
      <c r="Z52" s="4">
        <f>IFERROR(
(INDEX(スコア表[],MATCH($C52,スコア表['#],0),MATCH(Z$5,スコア表[#Headers],0))
-
INDEX(スコア表2[],MATCH("average",スコア表2[maxmin],0),MATCH(Z$5,スコア表2[#Headers],0)))
/
INDEX(スコア表2[],MATCH("stdev.p",スコア表2[maxmin],0),MATCH(Z$5,スコア表2[#Headers],0))
*10+50,"-")</f>
        <v>43.980723753578317</v>
      </c>
      <c r="AA52" s="4">
        <f>IFERROR(
(INDEX(スコア表[],MATCH($C52,スコア表['#],0),MATCH(AA$5,スコア表[#Headers],0))
-
INDEX(スコア表2[],MATCH("average",スコア表2[maxmin],0),MATCH(AA$5,スコア表2[#Headers],0)))
/
INDEX(スコア表2[],MATCH("stdev.p",スコア表2[maxmin],0),MATCH(AA$5,スコア表2[#Headers],0))
*10+50,"-")</f>
        <v>44.664612103409482</v>
      </c>
      <c r="AB52" s="4">
        <f>IFERROR(
(INDEX(スコア表[],MATCH($C52,スコア表['#],0),MATCH(AB$5,スコア表[#Headers],0))
-
INDEX(スコア表2[],MATCH("average",スコア表2[maxmin],0),MATCH(AB$5,スコア表2[#Headers],0)))
/
INDEX(スコア表2[],MATCH("stdev.p",スコア表2[maxmin],0),MATCH(AB$5,スコア表2[#Headers],0))
*10+50,"-")</f>
        <v>45.463784654066387</v>
      </c>
      <c r="AC52" s="4">
        <f>IFERROR(
(INDEX(スコア表[],MATCH($C52,スコア表['#],0),MATCH(AC$5,スコア表[#Headers],0))
-
INDEX(スコア表2[],MATCH("average",スコア表2[maxmin],0),MATCH(AC$5,スコア表2[#Headers],0)))
/
INDEX(スコア表2[],MATCH("stdev.p",スコア表2[maxmin],0),MATCH(AC$5,スコア表2[#Headers],0))
*10+50,"-")</f>
        <v>43.184039880330552</v>
      </c>
      <c r="AD52" s="4">
        <f>IFERROR(
(INDEX(スコア表[],MATCH($C52,スコア表['#],0),MATCH(AD$5,スコア表[#Headers],0))
-
INDEX(スコア表2[],MATCH("average",スコア表2[maxmin],0),MATCH(AD$5,スコア表2[#Headers],0)))
/
INDEX(スコア表2[],MATCH("stdev.p",スコア表2[maxmin],0),MATCH(AD$5,スコア表2[#Headers],0))
*10+50,"-")</f>
        <v>41.664243640389991</v>
      </c>
      <c r="AE52" s="4">
        <f>IFERROR(
(INDEX(スコア表[],MATCH($C52,スコア表['#],0),MATCH(AE$5,スコア表[#Headers],0))
-
INDEX(スコア表2[],MATCH("average",スコア表2[maxmin],0),MATCH(AE$5,スコア表2[#Headers],0)))
/
INDEX(スコア表2[],MATCH("stdev.p",スコア表2[maxmin],0),MATCH(AE$5,スコア表2[#Headers],0))
*10+50,"-")</f>
        <v>43.516249708615518</v>
      </c>
      <c r="AF52" s="4">
        <f>IFERROR(
(INDEX(スコア表[],MATCH($C52,スコア表['#],0),MATCH(AF$5,スコア表[#Headers],0))
-
INDEX(スコア表2[],MATCH("average",スコア表2[maxmin],0),MATCH(AF$5,スコア表2[#Headers],0)))
/
INDEX(スコア表2[],MATCH("stdev.p",スコア表2[maxmin],0),MATCH(AF$5,スコア表2[#Headers],0))
*10+50,"-")</f>
        <v>45.069047883686792</v>
      </c>
      <c r="AG52" s="4">
        <f>IFERROR(
(INDEX(スコア表[],MATCH($C52,スコア表['#],0),MATCH(AG$5,スコア表[#Headers],0))
-
INDEX(スコア表2[],MATCH("average",スコア表2[maxmin],0),MATCH(AG$5,スコア表2[#Headers],0)))
/
INDEX(スコア表2[],MATCH("stdev.p",スコア表2[maxmin],0),MATCH(AG$5,スコア表2[#Headers],0))
*10+50,"-")</f>
        <v>58.239793991103589</v>
      </c>
      <c r="AH52" s="4">
        <f>IFERROR(
(INDEX(スコア表[],MATCH($C52,スコア表['#],0),MATCH(AH$5,スコア表[#Headers],0))
-
INDEX(スコア表2[],MATCH("average",スコア表2[maxmin],0),MATCH(AH$5,スコア表2[#Headers],0)))
/
INDEX(スコア表2[],MATCH("stdev.p",スコア表2[maxmin],0),MATCH(AH$5,スコア表2[#Headers],0))
*10+50,"-")</f>
        <v>50.605989326972974</v>
      </c>
      <c r="AI52" s="4">
        <f>IFERROR(
(INDEX(スコア表[],MATCH($C52,スコア表['#],0),MATCH(AI$5,スコア表[#Headers],0))
-
INDEX(スコア表2[],MATCH("average",スコア表2[maxmin],0),MATCH(AI$5,スコア表2[#Headers],0)))
/
INDEX(スコア表2[],MATCH("stdev.p",スコア表2[maxmin],0),MATCH(AI$5,スコア表2[#Headers],0))
*10+50,"-")</f>
        <v>53.360522754751926</v>
      </c>
      <c r="AJ52" s="4">
        <f>IFERROR(
(INDEX(スコア表[],MATCH($C52,スコア表['#],0),MATCH(AJ$5,スコア表[#Headers],0))
-
INDEX(スコア表2[],MATCH("average",スコア表2[maxmin],0),MATCH(AJ$5,スコア表2[#Headers],0)))
/
INDEX(スコア表2[],MATCH("stdev.p",スコア表2[maxmin],0),MATCH(AJ$5,スコア表2[#Headers],0))
*10+50,"-")</f>
        <v>40.460124299889628</v>
      </c>
      <c r="AK52" s="4">
        <f>IFERROR(
(INDEX(スコア表[],MATCH($C52,スコア表['#],0),MATCH(AK$5,スコア表[#Headers],0))
-
INDEX(スコア表2[],MATCH("average",スコア表2[maxmin],0),MATCH(AK$5,スコア表2[#Headers],0)))
/
INDEX(スコア表2[],MATCH("stdev.p",スコア表2[maxmin],0),MATCH(AK$5,スコア表2[#Headers],0))
*10+50,"-")</f>
        <v>43.857886093175779</v>
      </c>
      <c r="AL52" s="4">
        <f>IFERROR(
(INDEX(スコア表[],MATCH($C52,スコア表['#],0),MATCH(AL$5,スコア表[#Headers],0))
-
INDEX(スコア表2[],MATCH("average",スコア表2[maxmin],0),MATCH(AL$5,スコア表2[#Headers],0)))
/
INDEX(スコア表2[],MATCH("stdev.p",スコア表2[maxmin],0),MATCH(AL$5,スコア表2[#Headers],0))
*10+50,"-")</f>
        <v>57.22644943360423</v>
      </c>
      <c r="AM52" s="4">
        <f>IFERROR(
(INDEX(スコア表[],MATCH($C52,スコア表['#],0),MATCH(AM$5,スコア表[#Headers],0))
-
INDEX(スコア表2[],MATCH("average",スコア表2[maxmin],0),MATCH(AM$5,スコア表2[#Headers],0)))
/
INDEX(スコア表2[],MATCH("stdev.p",スコア表2[maxmin],0),MATCH(AM$5,スコア表2[#Headers],0))
*10+50,"-")</f>
        <v>40.671162135968459</v>
      </c>
      <c r="AN52" s="4">
        <f>IFERROR(
(INDEX(スコア表[],MATCH($C52,スコア表['#],0),MATCH(AN$5,スコア表[#Headers],0))
-
INDEX(スコア表2[],MATCH("average",スコア表2[maxmin],0),MATCH(AN$5,スコア表2[#Headers],0)))
/
INDEX(スコア表2[],MATCH("stdev.p",スコア表2[maxmin],0),MATCH(AN$5,スコア表2[#Headers],0))
*10+50,"-")</f>
        <v>53.233440752646011</v>
      </c>
      <c r="AO52" s="4">
        <f>IFERROR(
(INDEX(スコア表[],MATCH($C52,スコア表['#],0),MATCH(AO$5,スコア表[#Headers],0))
-
INDEX(スコア表2[],MATCH("average",スコア表2[maxmin],0),MATCH(AO$5,スコア表2[#Headers],0)))
/
INDEX(スコア表2[],MATCH("stdev.p",スコア表2[maxmin],0),MATCH(AO$5,スコア表2[#Headers],0))
*10+50,"-")</f>
        <v>46.610915357651827</v>
      </c>
      <c r="AP52" s="4">
        <f>IFERROR(
(INDEX(スコア表[],MATCH($C52,スコア表['#],0),MATCH(AP$5,スコア表[#Headers],0))
-
INDEX(スコア表2[],MATCH("average",スコア表2[maxmin],0),MATCH(AP$5,スコア表2[#Headers],0)))
/
INDEX(スコア表2[],MATCH("stdev.p",スコア表2[maxmin],0),MATCH(AP$5,スコア表2[#Headers],0))
*10+50,"-")</f>
        <v>42.512561768319095</v>
      </c>
      <c r="AQ52" s="4">
        <f>IFERROR(
(INDEX(スコア表[],MATCH($C52,スコア表['#],0),MATCH(AQ$5,スコア表[#Headers],0))
-
INDEX(スコア表2[],MATCH("average",スコア表2[maxmin],0),MATCH(AQ$5,スコア表2[#Headers],0)))
/
INDEX(スコア表2[],MATCH("stdev.p",スコア表2[maxmin],0),MATCH(AQ$5,スコア表2[#Headers],0))
*10+50,"-")</f>
        <v>43.226725639033795</v>
      </c>
      <c r="AR52" s="4">
        <f>IFERROR(
(INDEX(スコア表[],MATCH($C52,スコア表['#],0),MATCH(AR$5,スコア表[#Headers],0))
-
INDEX(スコア表2[],MATCH("average",スコア表2[maxmin],0),MATCH(AR$5,スコア表2[#Headers],0)))
/
INDEX(スコア表2[],MATCH("stdev.p",スコア表2[maxmin],0),MATCH(AR$5,スコア表2[#Headers],0))
*10+50,"-")</f>
        <v>44.909256471503291</v>
      </c>
      <c r="AS52" s="4">
        <f>IFERROR(
(INDEX(スコア表[],MATCH($C52,スコア表['#],0),MATCH(AS$5,スコア表[#Headers],0))
-
INDEX(スコア表2[],MATCH("average",スコア表2[maxmin],0),MATCH(AS$5,スコア表2[#Headers],0)))
/
INDEX(スコア表2[],MATCH("stdev.p",スコア表2[maxmin],0),MATCH(AS$5,スコア表2[#Headers],0))
*10+50,"-")</f>
        <v>36.162803084703484</v>
      </c>
      <c r="AT52" s="4">
        <f>IFERROR(
(INDEX(スコア表[],MATCH($C52,スコア表['#],0),MATCH(AT$5,スコア表[#Headers],0))
-
INDEX(スコア表2[],MATCH("average",スコア表2[maxmin],0),MATCH(AT$5,スコア表2[#Headers],0)))
/
INDEX(スコア表2[],MATCH("stdev.p",スコア表2[maxmin],0),MATCH(AT$5,スコア表2[#Headers],0))
*10+50,"-")</f>
        <v>49.025641391646644</v>
      </c>
      <c r="AU52" s="4">
        <f>IFERROR(
(INDEX(スコア表[],MATCH($C52,スコア表['#],0),MATCH(AU$5,スコア表[#Headers],0))
-
INDEX(スコア表2[],MATCH("average",スコア表2[maxmin],0),MATCH(AU$5,スコア表2[#Headers],0)))
/
INDEX(スコア表2[],MATCH("stdev.p",スコア表2[maxmin],0),MATCH(AU$5,スコア表2[#Headers],0))
*10+50,"-")</f>
        <v>26.335127027306015</v>
      </c>
      <c r="AV52" s="4">
        <f>IFERROR(
(INDEX(スコア表[],MATCH($C52,スコア表['#],0),MATCH(AV$5,スコア表[#Headers],0))
-
INDEX(スコア表2[],MATCH("average",スコア表2[maxmin],0),MATCH(AV$5,スコア表2[#Headers],0)))
/
INDEX(スコア表2[],MATCH("stdev.p",スコア表2[maxmin],0),MATCH(AV$5,スコア表2[#Headers],0))
*10+50,"-")</f>
        <v>65.046637898727894</v>
      </c>
      <c r="AW52" s="4">
        <f>IFERROR(
(INDEX(スコア表[],MATCH($C52,スコア表['#],0),MATCH(AW$5,スコア表[#Headers],0))
-
INDEX(スコア表2[],MATCH("average",スコア表2[maxmin],0),MATCH(AW$5,スコア表2[#Headers],0)))
/
INDEX(スコア表2[],MATCH("stdev.p",スコア表2[maxmin],0),MATCH(AW$5,スコア表2[#Headers],0))
*10+50,"-")</f>
        <v>55.667780523493448</v>
      </c>
      <c r="AX52" s="4">
        <f>IFERROR(
(INDEX(スコア表[],MATCH($C52,スコア表['#],0),MATCH(AX$5,スコア表[#Headers],0))
-
INDEX(スコア表2[],MATCH("average",スコア表2[maxmin],0),MATCH(AX$5,スコア表2[#Headers],0)))
/
INDEX(スコア表2[],MATCH("stdev.p",スコア表2[maxmin],0),MATCH(AX$5,スコア表2[#Headers],0))
*10+50,"-")</f>
        <v>54.039132757255679</v>
      </c>
      <c r="AY52" s="4">
        <f>IFERROR(
(INDEX(スコア表[],MATCH($C52,スコア表['#],0),MATCH(AY$5,スコア表[#Headers],0))
-
INDEX(スコア表2[],MATCH("average",スコア表2[maxmin],0),MATCH(AY$5,スコア表2[#Headers],0)))
/
INDEX(スコア表2[],MATCH("stdev.p",スコア表2[maxmin],0),MATCH(AY$5,スコア表2[#Headers],0))
*10+50,"-")</f>
        <v>51.533908288442817</v>
      </c>
      <c r="AZ52" s="4">
        <f>IFERROR(
(INDEX(スコア表[],MATCH($C52,スコア表['#],0),MATCH(AZ$5,スコア表[#Headers],0))
-
INDEX(スコア表2[],MATCH("average",スコア表2[maxmin],0),MATCH(AZ$5,スコア表2[#Headers],0)))
/
INDEX(スコア表2[],MATCH("stdev.p",スコア表2[maxmin],0),MATCH(AZ$5,スコア表2[#Headers],0))
*10+50,"-")</f>
        <v>31.018318763941462</v>
      </c>
      <c r="BA52" s="4">
        <f>IFERROR(
(INDEX(スコア表[],MATCH($C52,スコア表['#],0),MATCH(BA$5,スコア表[#Headers],0))
-
INDEX(スコア表2[],MATCH("average",スコア表2[maxmin],0),MATCH(BA$5,スコア表2[#Headers],0)))
/
INDEX(スコア表2[],MATCH("stdev.p",スコア表2[maxmin],0),MATCH(BA$5,スコア表2[#Headers],0))
*10+50,"-")</f>
        <v>27.246733983631923</v>
      </c>
      <c r="BB52" s="4">
        <f>IFERROR(
(INDEX(スコア表[],MATCH($C52,スコア表['#],0),MATCH(BB$5,スコア表[#Headers],0))
-
INDEX(スコア表2[],MATCH("average",スコア表2[maxmin],0),MATCH(BB$5,スコア表2[#Headers],0)))
/
INDEX(スコア表2[],MATCH("stdev.p",スコア表2[maxmin],0),MATCH(BB$5,スコア表2[#Headers],0))
*10+50,"-")</f>
        <v>61.714999581182298</v>
      </c>
      <c r="BC52" s="4">
        <f>IFERROR(
(INDEX(スコア表[],MATCH($C52,スコア表['#],0),MATCH(BC$5,スコア表[#Headers],0))
-
INDEX(スコア表2[],MATCH("average",スコア表2[maxmin],0),MATCH(BC$5,スコア表2[#Headers],0)))
/
INDEX(スコア表2[],MATCH("stdev.p",スコア表2[maxmin],0),MATCH(BC$5,スコア表2[#Headers],0))
*10+50,"-")</f>
        <v>33.066956408788727</v>
      </c>
      <c r="BD52" s="4">
        <f>IFERROR(
(INDEX(スコア表[],MATCH($C52,スコア表['#],0),MATCH(BD$5,スコア表[#Headers],0))
-
INDEX(スコア表2[],MATCH("average",スコア表2[maxmin],0),MATCH(BD$5,スコア表2[#Headers],0)))
/
INDEX(スコア表2[],MATCH("stdev.p",スコア表2[maxmin],0),MATCH(BD$5,スコア表2[#Headers],0))
*10+50,"-")</f>
        <v>35.267733185469112</v>
      </c>
      <c r="BE52" s="4">
        <f>IFERROR(
(INDEX(スコア表[],MATCH($C52,スコア表['#],0),MATCH(BE$5,スコア表[#Headers],0))
-
INDEX(スコア表2[],MATCH("average",スコア表2[maxmin],0),MATCH(BE$5,スコア表2[#Headers],0)))
/
INDEX(スコア表2[],MATCH("stdev.p",スコア表2[maxmin],0),MATCH(BE$5,スコア表2[#Headers],0))
*10+50,"-")</f>
        <v>55.63041347793262</v>
      </c>
      <c r="BF52" s="4">
        <f>IFERROR(
(INDEX(スコア表[],MATCH($C52,スコア表['#],0),MATCH(BF$5,スコア表[#Headers],0))
-
INDEX(スコア表2[],MATCH("average",スコア表2[maxmin],0),MATCH(BF$5,スコア表2[#Headers],0)))
/
INDEX(スコア表2[],MATCH("stdev.p",スコア表2[maxmin],0),MATCH(BF$5,スコア表2[#Headers],0))
*10+50,"-")</f>
        <v>49.388263930008343</v>
      </c>
      <c r="BG52" s="4">
        <f>IFERROR(
(INDEX(スコア表[],MATCH($C52,スコア表['#],0),MATCH(BG$5,スコア表[#Headers],0))
-
INDEX(スコア表2[],MATCH("average",スコア表2[maxmin],0),MATCH(BG$5,スコア表2[#Headers],0)))
/
INDEX(スコア表2[],MATCH("stdev.p",スコア表2[maxmin],0),MATCH(BG$5,スコア表2[#Headers],0))
*10+50,"-")</f>
        <v>29.018999036541615</v>
      </c>
      <c r="BH52" s="4">
        <f>IFERROR(
(INDEX(スコア表[],MATCH($C52,スコア表['#],0),MATCH(BH$5,スコア表[#Headers],0))
-
INDEX(スコア表2[],MATCH("average",スコア表2[maxmin],0),MATCH(BH$5,スコア表2[#Headers],0)))
/
INDEX(スコア表2[],MATCH("stdev.p",スコア表2[maxmin],0),MATCH(BH$5,スコア表2[#Headers],0))
*10+50,"-")</f>
        <v>43.219895752559999</v>
      </c>
      <c r="BI52" s="4">
        <f>IFERROR(
(INDEX(スコア表[],MATCH($C52,スコア表['#],0),MATCH(BI$5,スコア表[#Headers],0))
-
INDEX(スコア表2[],MATCH("average",スコア表2[maxmin],0),MATCH(BI$5,スコア表2[#Headers],0)))
/
INDEX(スコア表2[],MATCH("stdev.p",スコア表2[maxmin],0),MATCH(BI$5,スコア表2[#Headers],0))
*10+50,"-")</f>
        <v>31.536535610845469</v>
      </c>
      <c r="BJ52" s="4">
        <f>IFERROR(
(INDEX(スコア表[],MATCH($C52,スコア表['#],0),MATCH(BJ$5,スコア表[#Headers],0))
-
INDEX(スコア表2[],MATCH("average",スコア表2[maxmin],0),MATCH(BJ$5,スコア表2[#Headers],0)))
/
INDEX(スコア表2[],MATCH("stdev.p",スコア表2[maxmin],0),MATCH(BJ$5,スコア表2[#Headers],0))
*10+50,"-")</f>
        <v>61.449667240949459</v>
      </c>
      <c r="BK52" s="4">
        <f>IFERROR(
(INDEX(スコア表[],MATCH($C52,スコア表['#],0),MATCH(BK$5,スコア表[#Headers],0))
-
INDEX(スコア表2[],MATCH("average",スコア表2[maxmin],0),MATCH(BK$5,スコア表2[#Headers],0)))
/
INDEX(スコア表2[],MATCH("stdev.p",スコア表2[maxmin],0),MATCH(BK$5,スコア表2[#Headers],0))
*10+50,"-")</f>
        <v>18.772240917180664</v>
      </c>
      <c r="BL52" s="4">
        <f>IFERROR(
(INDEX(スコア表[],MATCH($C52,スコア表['#],0),MATCH(BL$5,スコア表[#Headers],0))
-
INDEX(スコア表2[],MATCH("average",スコア表2[maxmin],0),MATCH(BL$5,スコア表2[#Headers],0)))
/
INDEX(スコア表2[],MATCH("stdev.p",スコア表2[maxmin],0),MATCH(BL$5,スコア表2[#Headers],0))
*10+50,"-")</f>
        <v>59.086041257318065</v>
      </c>
      <c r="BM52" s="4">
        <f>IFERROR(
(INDEX(スコア表[],MATCH($C52,スコア表['#],0),MATCH(BM$5,スコア表[#Headers],0))
-
INDEX(スコア表2[],MATCH("average",スコア表2[maxmin],0),MATCH(BM$5,スコア表2[#Headers],0)))
/
INDEX(スコア表2[],MATCH("stdev.p",スコア表2[maxmin],0),MATCH(BM$5,スコア表2[#Headers],0))
*10+50,"-")</f>
        <v>32.977116677122581</v>
      </c>
      <c r="BN52" s="4">
        <f>IFERROR(
(INDEX(スコア表[],MATCH($C52,スコア表['#],0),MATCH(BN$5,スコア表[#Headers],0))
-
INDEX(スコア表2[],MATCH("average",スコア表2[maxmin],0),MATCH(BN$5,スコア表2[#Headers],0)))
/
INDEX(スコア表2[],MATCH("stdev.p",スコア表2[maxmin],0),MATCH(BN$5,スコア表2[#Headers],0))
*10+50,"-")</f>
        <v>23.742236607799008</v>
      </c>
      <c r="BO52" s="4">
        <f>IFERROR(
(INDEX(スコア表[],MATCH($C52,スコア表['#],0),MATCH(BO$5,スコア表[#Headers],0))
-
INDEX(スコア表2[],MATCH("average",スコア表2[maxmin],0),MATCH(BO$5,スコア表2[#Headers],0)))
/
INDEX(スコア表2[],MATCH("stdev.p",スコア表2[maxmin],0),MATCH(BO$5,スコア表2[#Headers],0))
*10+50,"-")</f>
        <v>36.777076279723495</v>
      </c>
      <c r="BP52" s="4">
        <f>IFERROR(
(INDEX(スコア表[],MATCH($C52,スコア表['#],0),MATCH(BP$5,スコア表[#Headers],0))
-
INDEX(スコア表2[],MATCH("average",スコア表2[maxmin],0),MATCH(BP$5,スコア表2[#Headers],0)))
/
INDEX(スコア表2[],MATCH("stdev.p",スコア表2[maxmin],0),MATCH(BP$5,スコア表2[#Headers],0))
*10+50,"-")</f>
        <v>51.143938909823916</v>
      </c>
      <c r="BQ52" s="4">
        <f>IFERROR(
(INDEX(スコア表[],MATCH($C52,スコア表['#],0),MATCH(BQ$5,スコア表[#Headers],0))
-
INDEX(スコア表2[],MATCH("average",スコア表2[maxmin],0),MATCH(BQ$5,スコア表2[#Headers],0)))
/
INDEX(スコア表2[],MATCH("stdev.p",スコア表2[maxmin],0),MATCH(BQ$5,スコア表2[#Headers],0))
*10+50,"-")</f>
        <v>43.823643067857944</v>
      </c>
      <c r="BR52" s="4">
        <f>IFERROR(
(INDEX(スコア表[],MATCH($C52,スコア表['#],0),MATCH(BR$5,スコア表[#Headers],0))
-
INDEX(スコア表2[],MATCH("average",スコア表2[maxmin],0),MATCH(BR$5,スコア表2[#Headers],0)))
/
INDEX(スコア表2[],MATCH("stdev.p",スコア表2[maxmin],0),MATCH(BR$5,スコア表2[#Headers],0))
*10+50,"-")</f>
        <v>43.178596893486258</v>
      </c>
      <c r="BS52" s="4">
        <f>IFERROR(
(INDEX(スコア表[],MATCH($C52,スコア表['#],0),MATCH(BS$5,スコア表[#Headers],0))
-
INDEX(スコア表2[],MATCH("average",スコア表2[maxmin],0),MATCH(BS$5,スコア表2[#Headers],0)))
/
INDEX(スコア表2[],MATCH("stdev.p",スコア表2[maxmin],0),MATCH(BS$5,スコア表2[#Headers],0))
*10+50,"-")</f>
        <v>42.610899353532062</v>
      </c>
      <c r="BT52" s="4">
        <f>IFERROR(
(INDEX(スコア表[],MATCH($C52,スコア表['#],0),MATCH(BT$5,スコア表[#Headers],0))
-
INDEX(スコア表2[],MATCH("average",スコア表2[maxmin],0),MATCH(BT$5,スコア表2[#Headers],0)))
/
INDEX(スコア表2[],MATCH("stdev.p",スコア表2[maxmin],0),MATCH(BT$5,スコア表2[#Headers],0))
*10+50,"-")</f>
        <v>41.314526762717456</v>
      </c>
      <c r="BU52" s="4">
        <f>IFERROR(
(INDEX(スコア表[],MATCH($C52,スコア表['#],0),MATCH(BU$5,スコア表[#Headers],0))
-
INDEX(スコア表2[],MATCH("average",スコア表2[maxmin],0),MATCH(BU$5,スコア表2[#Headers],0)))
/
INDEX(スコア表2[],MATCH("stdev.p",スコア表2[maxmin],0),MATCH(BU$5,スコア表2[#Headers],0))
*10+50,"-")</f>
        <v>40.822808893858564</v>
      </c>
      <c r="BV52" s="4">
        <f>IFERROR(
(INDEX(スコア表[],MATCH($C52,スコア表['#],0),MATCH(BV$5,スコア表[#Headers],0))
-
INDEX(スコア表2[],MATCH("average",スコア表2[maxmin],0),MATCH(BV$5,スコア表2[#Headers],0)))
/
INDEX(スコア表2[],MATCH("stdev.p",スコア表2[maxmin],0),MATCH(BV$5,スコア表2[#Headers],0))
*10+50,"-")</f>
        <v>52.78220766750016</v>
      </c>
      <c r="BW52" s="4">
        <f>IFERROR(
(INDEX(スコア表[],MATCH($C52,スコア表['#],0),MATCH(BW$5,スコア表[#Headers],0))
-
INDEX(スコア表2[],MATCH("average",スコア表2[maxmin],0),MATCH(BW$5,スコア表2[#Headers],0)))
/
INDEX(スコア表2[],MATCH("stdev.p",スコア表2[maxmin],0),MATCH(BW$5,スコア表2[#Headers],0))
*10+50,"-")</f>
        <v>38.011877077351905</v>
      </c>
      <c r="BX52" s="4">
        <f>IFERROR(
(INDEX(スコア表[],MATCH($C52,スコア表['#],0),MATCH(BX$5,スコア表[#Headers],0))
-
INDEX(スコア表2[],MATCH("average",スコア表2[maxmin],0),MATCH(BX$5,スコア表2[#Headers],0)))
/
INDEX(スコア表2[],MATCH("stdev.p",スコア表2[maxmin],0),MATCH(BX$5,スコア表2[#Headers],0))
*10+50,"-")</f>
        <v>47.372443066896324</v>
      </c>
      <c r="BY52" s="4">
        <f>IFERROR(
(INDEX(スコア表[],MATCH($C52,スコア表['#],0),MATCH(BY$5,スコア表[#Headers],0))
-
INDEX(スコア表2[],MATCH("average",スコア表2[maxmin],0),MATCH(BY$5,スコア表2[#Headers],0)))
/
INDEX(スコア表2[],MATCH("stdev.p",スコア表2[maxmin],0),MATCH(BY$5,スコア表2[#Headers],0))
*10+50,"-")</f>
        <v>58.155799895482616</v>
      </c>
      <c r="BZ52" s="4">
        <f>IFERROR(
(INDEX(スコア表[],MATCH($C52,スコア表['#],0),MATCH(BZ$5,スコア表[#Headers],0))
-
INDEX(スコア表2[],MATCH("average",スコア表2[maxmin],0),MATCH(BZ$5,スコア表2[#Headers],0)))
/
INDEX(スコア表2[],MATCH("stdev.p",スコア表2[maxmin],0),MATCH(BZ$5,スコア表2[#Headers],0))
*10+50,"-")</f>
        <v>34.932460137339262</v>
      </c>
      <c r="CA52" s="4">
        <f>IFERROR(
(INDEX(スコア表[],MATCH($C52,スコア表['#],0),MATCH(CA$5,スコア表[#Headers],0))
-
INDEX(スコア表2[],MATCH("average",スコア表2[maxmin],0),MATCH(CA$5,スコア表2[#Headers],0)))
/
INDEX(スコア表2[],MATCH("stdev.p",スコア表2[maxmin],0),MATCH(CA$5,スコア表2[#Headers],0))
*10+50,"-")</f>
        <v>41.120952889056298</v>
      </c>
      <c r="CB52" s="4">
        <f>IFERROR(
(INDEX(スコア表[],MATCH($C52,スコア表['#],0),MATCH(CB$5,スコア表[#Headers],0))
-
INDEX(スコア表2[],MATCH("average",スコア表2[maxmin],0),MATCH(CB$5,スコア表2[#Headers],0)))
/
INDEX(スコア表2[],MATCH("stdev.p",スコア表2[maxmin],0),MATCH(CB$5,スコア表2[#Headers],0))
*10+50,"-")</f>
        <v>45.078865409380263</v>
      </c>
      <c r="CC52" s="4">
        <f>IFERROR(
(INDEX(スコア表[],MATCH($C52,スコア表['#],0),MATCH(CC$5,スコア表[#Headers],0))
-
INDEX(スコア表2[],MATCH("average",スコア表2[maxmin],0),MATCH(CC$5,スコア表2[#Headers],0)))
/
INDEX(スコア表2[],MATCH("stdev.p",スコア表2[maxmin],0),MATCH(CC$5,スコア表2[#Headers],0))
*10+50,"-")</f>
        <v>35.691321544219825</v>
      </c>
      <c r="CD52" s="4">
        <f>IFERROR(
(INDEX(スコア表[],MATCH($C52,スコア表['#],0),MATCH(CD$5,スコア表[#Headers],0))
-
INDEX(スコア表2[],MATCH("average",スコア表2[maxmin],0),MATCH(CD$5,スコア表2[#Headers],0)))
/
INDEX(スコア表2[],MATCH("stdev.p",スコア表2[maxmin],0),MATCH(CD$5,スコア表2[#Headers],0))
*10+50,"-")</f>
        <v>29.540669811673624</v>
      </c>
      <c r="CE52" s="4">
        <f>IFERROR(
(INDEX(スコア表[],MATCH($C52,スコア表['#],0),MATCH(CE$5,スコア表[#Headers],0))
-
INDEX(スコア表2[],MATCH("average",スコア表2[maxmin],0),MATCH(CE$5,スコア表2[#Headers],0)))
/
INDEX(スコア表2[],MATCH("stdev.p",スコア表2[maxmin],0),MATCH(CE$5,スコア表2[#Headers],0))
*10+50,"-")</f>
        <v>33.851442127896874</v>
      </c>
      <c r="CF52" s="4">
        <f>IFERROR(
(INDEX(スコア表[],MATCH($C52,スコア表['#],0),MATCH(CF$5,スコア表[#Headers],0))
-
INDEX(スコア表2[],MATCH("average",スコア表2[maxmin],0),MATCH(CF$5,スコア表2[#Headers],0)))
/
INDEX(スコア表2[],MATCH("stdev.p",スコア表2[maxmin],0),MATCH(CF$5,スコア表2[#Headers],0))
*10+50,"-")</f>
        <v>40.911328296565713</v>
      </c>
      <c r="CG52" s="4">
        <f>IFERROR(
(INDEX(スコア表[],MATCH($C52,スコア表['#],0),MATCH(CG$5,スコア表[#Headers],0))
-
INDEX(スコア表2[],MATCH("average",スコア表2[maxmin],0),MATCH(CG$5,スコア表2[#Headers],0)))
/
INDEX(スコア表2[],MATCH("stdev.p",スコア表2[maxmin],0),MATCH(CG$5,スコア表2[#Headers],0))
*10+50,"-")</f>
        <v>38.94334058239135</v>
      </c>
      <c r="CH52" s="4">
        <f>IFERROR(
(INDEX(スコア表[],MATCH($C52,スコア表['#],0),MATCH(CH$5,スコア表[#Headers],0))
-
INDEX(スコア表2[],MATCH("average",スコア表2[maxmin],0),MATCH(CH$5,スコア表2[#Headers],0)))
/
INDEX(スコア表2[],MATCH("stdev.p",スコア表2[maxmin],0),MATCH(CH$5,スコア表2[#Headers],0))
*10+50,"-")</f>
        <v>42.94319914542664</v>
      </c>
      <c r="CI52" s="4">
        <f>IFERROR(
(INDEX(スコア表[],MATCH($C52,スコア表['#],0),MATCH(CI$5,スコア表[#Headers],0))
-
INDEX(スコア表2[],MATCH("average",スコア表2[maxmin],0),MATCH(CI$5,スコア表2[#Headers],0)))
/
INDEX(スコア表2[],MATCH("stdev.p",スコア表2[maxmin],0),MATCH(CI$5,スコア表2[#Headers],0))
*10+50,"-")</f>
        <v>39.481292311333299</v>
      </c>
      <c r="CJ52" s="4">
        <f>IFERROR(
(INDEX(スコア表[],MATCH($C52,スコア表['#],0),MATCH(CJ$5,スコア表[#Headers],0))
-
INDEX(スコア表2[],MATCH("average",スコア表2[maxmin],0),MATCH(CJ$5,スコア表2[#Headers],0)))
/
INDEX(スコア表2[],MATCH("stdev.p",スコア表2[maxmin],0),MATCH(CJ$5,スコア表2[#Headers],0))
*10+50,"-")</f>
        <v>55.578656368678239</v>
      </c>
      <c r="CK52" s="4">
        <f>IFERROR(
(INDEX(スコア表[],MATCH($C52,スコア表['#],0),MATCH(CK$5,スコア表[#Headers],0))
-
INDEX(スコア表2[],MATCH("average",スコア表2[maxmin],0),MATCH(CK$5,スコア表2[#Headers],0)))
/
INDEX(スコア表2[],MATCH("stdev.p",スコア表2[maxmin],0),MATCH(CK$5,スコア表2[#Headers],0))
*10+50,"-")</f>
        <v>46.717216511664532</v>
      </c>
      <c r="CL52" s="4">
        <f>IFERROR(
(INDEX(スコア表[],MATCH($C52,スコア表['#],0),MATCH(CL$5,スコア表[#Headers],0))
-
INDEX(スコア表2[],MATCH("average",スコア表2[maxmin],0),MATCH(CL$5,スコア表2[#Headers],0)))
/
INDEX(スコア表2[],MATCH("stdev.p",スコア表2[maxmin],0),MATCH(CL$5,スコア表2[#Headers],0))
*10+50,"-")</f>
        <v>45.037996950194575</v>
      </c>
      <c r="CM52" s="4">
        <f>IFERROR(
(INDEX(スコア表[],MATCH($C52,スコア表['#],0),MATCH(CM$5,スコア表[#Headers],0))
-
INDEX(スコア表2[],MATCH("average",スコア表2[maxmin],0),MATCH(CM$5,スコア表2[#Headers],0)))
/
INDEX(スコア表2[],MATCH("stdev.p",スコア表2[maxmin],0),MATCH(CM$5,スコア表2[#Headers],0))
*10+50,"-")</f>
        <v>43.303462670361689</v>
      </c>
      <c r="CN52" s="4">
        <f>IFERROR(
(INDEX(スコア表[],MATCH($C52,スコア表['#],0),MATCH(CN$5,スコア表[#Headers],0))
-
INDEX(スコア表2[],MATCH("average",スコア表2[maxmin],0),MATCH(CN$5,スコア表2[#Headers],0)))
/
INDEX(スコア表2[],MATCH("stdev.p",スコア表2[maxmin],0),MATCH(CN$5,スコア表2[#Headers],0))
*10+50,"-")</f>
        <v>24.448334386997086</v>
      </c>
      <c r="CO52" s="4">
        <f>IFERROR(
(INDEX(スコア表[],MATCH($C52,スコア表['#],0),MATCH(CO$5,スコア表[#Headers],0))
-
INDEX(スコア表2[],MATCH("average",スコア表2[maxmin],0),MATCH(CO$5,スコア表2[#Headers],0)))
/
INDEX(スコア表2[],MATCH("stdev.p",スコア表2[maxmin],0),MATCH(CO$5,スコア表2[#Headers],0))
*10+50,"-")</f>
        <v>61.775509792819861</v>
      </c>
      <c r="CP52" s="4">
        <f>IFERROR(
(INDEX(スコア表[],MATCH($C52,スコア表['#],0),MATCH(CP$5,スコア表[#Headers],0))
-
INDEX(スコア表2[],MATCH("average",スコア表2[maxmin],0),MATCH(CP$5,スコア表2[#Headers],0)))
/
INDEX(スコア表2[],MATCH("stdev.p",スコア表2[maxmin],0),MATCH(CP$5,スコア表2[#Headers],0))
*10+50,"-")</f>
        <v>54.358631478093407</v>
      </c>
      <c r="CQ52" s="4">
        <f>IFERROR(
(INDEX(スコア表[],MATCH($C52,スコア表['#],0),MATCH(CQ$5,スコア表[#Headers],0))
-
INDEX(スコア表2[],MATCH("average",スコア表2[maxmin],0),MATCH(CQ$5,スコア表2[#Headers],0)))
/
INDEX(スコア表2[],MATCH("stdev.p",スコア表2[maxmin],0),MATCH(CQ$5,スコア表2[#Headers],0))
*10+50,"-")</f>
        <v>37.549530152767908</v>
      </c>
      <c r="CR52" s="4">
        <f>IFERROR(
(INDEX(スコア表[],MATCH($C52,スコア表['#],0),MATCH(CR$5,スコア表[#Headers],0))
-
INDEX(スコア表2[],MATCH("average",スコア表2[maxmin],0),MATCH(CR$5,スコア表2[#Headers],0)))
/
INDEX(スコア表2[],MATCH("stdev.p",スコア表2[maxmin],0),MATCH(CR$5,スコア表2[#Headers],0))
*10+50,"-")</f>
        <v>36.908590423176349</v>
      </c>
      <c r="CS52" s="4">
        <f>IFERROR(
(INDEX(スコア表[],MATCH($C52,スコア表['#],0),MATCH(CS$5,スコア表[#Headers],0))
-
INDEX(スコア表2[],MATCH("average",スコア表2[maxmin],0),MATCH(CS$5,スコア表2[#Headers],0)))
/
INDEX(スコア表2[],MATCH("stdev.p",スコア表2[maxmin],0),MATCH(CS$5,スコア表2[#Headers],0))
*10+50,"-")</f>
        <v>21.215096091455749</v>
      </c>
      <c r="CT52" s="4">
        <f>IFERROR(
(INDEX(スコア表[],MATCH($C52,スコア表['#],0),MATCH(CT$5,スコア表[#Headers],0))
-
INDEX(スコア表2[],MATCH("average",スコア表2[maxmin],0),MATCH(CT$5,スコア表2[#Headers],0)))
/
INDEX(スコア表2[],MATCH("stdev.p",スコア表2[maxmin],0),MATCH(CT$5,スコア表2[#Headers],0))
*10+50,"-")</f>
        <v>41.737655658241522</v>
      </c>
      <c r="CU52" s="4">
        <f>IFERROR(
(INDEX(スコア表[],MATCH($C52,スコア表['#],0),MATCH(CU$5,スコア表[#Headers],0))
-
INDEX(スコア表2[],MATCH("average",スコア表2[maxmin],0),MATCH(CU$5,スコア表2[#Headers],0)))
/
INDEX(スコア表2[],MATCH("stdev.p",スコア表2[maxmin],0),MATCH(CU$5,スコア表2[#Headers],0))
*10+50,"-")</f>
        <v>28.031454931849176</v>
      </c>
      <c r="CV52" s="4">
        <f>IFERROR(
(INDEX(スコア表[],MATCH($C52,スコア表['#],0),MATCH(CV$5,スコア表[#Headers],0))
-
INDEX(スコア表2[],MATCH("average",スコア表2[maxmin],0),MATCH(CV$5,スコア表2[#Headers],0)))
/
INDEX(スコア表2[],MATCH("stdev.p",スコア表2[maxmin],0),MATCH(CV$5,スコア表2[#Headers],0))
*10+50,"-")</f>
        <v>46.680360241127978</v>
      </c>
      <c r="CW52" s="4">
        <f>IFERROR(
(INDEX(スコア表[],MATCH($C52,スコア表['#],0),MATCH(CW$5,スコア表[#Headers],0))
-
INDEX(スコア表2[],MATCH("average",スコア表2[maxmin],0),MATCH(CW$5,スコア表2[#Headers],0)))
/
INDEX(スコア表2[],MATCH("stdev.p",スコア表2[maxmin],0),MATCH(CW$5,スコア表2[#Headers],0))
*10+50,"-")</f>
        <v>42.810266880334382</v>
      </c>
      <c r="CX52" s="4">
        <f>IFERROR(
(INDEX(スコア表[],MATCH($C52,スコア表['#],0),MATCH(CX$5,スコア表[#Headers],0))
-
INDEX(スコア表2[],MATCH("average",スコア表2[maxmin],0),MATCH(CX$5,スコア表2[#Headers],0)))
/
INDEX(スコア表2[],MATCH("stdev.p",スコア表2[maxmin],0),MATCH(CX$5,スコア表2[#Headers],0))
*10+50,"-")</f>
        <v>42.454994499094603</v>
      </c>
      <c r="CY52" s="4">
        <f>IFERROR(
(INDEX(スコア表[],MATCH($C52,スコア表['#],0),MATCH(CY$5,スコア表[#Headers],0))
-
INDEX(スコア表2[],MATCH("average",スコア表2[maxmin],0),MATCH(CY$5,スコア表2[#Headers],0)))
/
INDEX(スコア表2[],MATCH("stdev.p",スコア表2[maxmin],0),MATCH(CY$5,スコア表2[#Headers],0))
*10+50,"-")</f>
        <v>45.060485386053351</v>
      </c>
      <c r="CZ52" s="4">
        <f>IFERROR(
(INDEX(スコア表[],MATCH($C52,スコア表['#],0),MATCH(CZ$5,スコア表[#Headers],0))
-
INDEX(スコア表2[],MATCH("average",スコア表2[maxmin],0),MATCH(CZ$5,スコア表2[#Headers],0)))
/
INDEX(スコア表2[],MATCH("stdev.p",スコア表2[maxmin],0),MATCH(CZ$5,スコア表2[#Headers],0))
*10+50,"-")</f>
        <v>28.126168256492857</v>
      </c>
      <c r="DA52" s="4">
        <f>IFERROR(
(INDEX(スコア表[],MATCH($C52,スコア表['#],0),MATCH(DA$5,スコア表[#Headers],0))
-
INDEX(スコア表2[],MATCH("average",スコア表2[maxmin],0),MATCH(DA$5,スコア表2[#Headers],0)))
/
INDEX(スコア表2[],MATCH("stdev.p",スコア表2[maxmin],0),MATCH(DA$5,スコア表2[#Headers],0))
*10+50,"-")</f>
        <v>40.400245618049262</v>
      </c>
      <c r="DB52" s="4">
        <f>IFERROR(
(INDEX(スコア表[],MATCH($C52,スコア表['#],0),MATCH(DB$5,スコア表[#Headers],0))
-
INDEX(スコア表2[],MATCH("average",スコア表2[maxmin],0),MATCH(DB$5,スコア表2[#Headers],0)))
/
INDEX(スコア表2[],MATCH("stdev.p",スコア表2[maxmin],0),MATCH(DB$5,スコア表2[#Headers],0))
*10+50,"-")</f>
        <v>44.882279974178594</v>
      </c>
      <c r="DC52" s="4">
        <f>IFERROR(
(INDEX(スコア表[],MATCH($C52,スコア表['#],0),MATCH(DC$5,スコア表[#Headers],0))
-
INDEX(スコア表2[],MATCH("average",スコア表2[maxmin],0),MATCH(DC$5,スコア表2[#Headers],0)))
/
INDEX(スコア表2[],MATCH("stdev.p",スコア表2[maxmin],0),MATCH(DC$5,スコア表2[#Headers],0))
*10+50,"-")</f>
        <v>36.774832419376501</v>
      </c>
      <c r="DD52" s="4">
        <f>IFERROR(
(INDEX(スコア表[],MATCH($C52,スコア表['#],0),MATCH(DD$5,スコア表[#Headers],0))
-
INDEX(スコア表2[],MATCH("average",スコア表2[maxmin],0),MATCH(DD$5,スコア表2[#Headers],0)))
/
INDEX(スコア表2[],MATCH("stdev.p",スコア表2[maxmin],0),MATCH(DD$5,スコア表2[#Headers],0))
*10+50,"-")</f>
        <v>23.034954285879913</v>
      </c>
      <c r="DE52" s="4">
        <f>IFERROR(
(INDEX(スコア表[],MATCH($C52,スコア表['#],0),MATCH(DE$5,スコア表[#Headers],0))
-
INDEX(スコア表2[],MATCH("average",スコア表2[maxmin],0),MATCH(DE$5,スコア表2[#Headers],0)))
/
INDEX(スコア表2[],MATCH("stdev.p",スコア表2[maxmin],0),MATCH(DE$5,スコア表2[#Headers],0))
*10+50,"-")</f>
        <v>40.076061496906249</v>
      </c>
      <c r="DF52" s="76">
        <f>IFERROR(
(INDEX(スコア表[],MATCH($C52,スコア表['#],0),MATCH(DF$5,スコア表[#Headers],0))
-
INDEX(スコア表2[],MATCH("average",スコア表2[maxmin],0),MATCH(DF$5,スコア表2[#Headers],0)))
/
INDEX(スコア表2[],MATCH("stdev.p",スコア表2[maxmin],0),MATCH(DF$5,スコア表2[#Headers],0))
*10+50,"-")</f>
        <v>29.953673525929467</v>
      </c>
      <c r="DG52" s="4">
        <f>IFERROR(_xlfn.STDEV.P(偏差値表[[#This Row],[Economy]:[Accessibility]]),"")</f>
        <v>7.5756344202839738</v>
      </c>
    </row>
    <row r="53" spans="1:111">
      <c r="A53" s="2">
        <v>48</v>
      </c>
      <c r="B53" s="61">
        <f>INDEX(順位表[Comprehensive],MATCH($C53,順位表['#],0))</f>
        <v>48</v>
      </c>
      <c r="C53" s="62">
        <v>18</v>
      </c>
      <c r="D53" s="63" t="str">
        <f>INDEX(都市マスタ[City Name],MATCH($C53,都市マスタ['#],0))</f>
        <v>Mumbai</v>
      </c>
      <c r="E53" s="77">
        <f>IFERROR(
(INDEX(スコア表[],MATCH($C53,スコア表['#],0),MATCH(E$5,スコア表[#Headers],0))
-
INDEX(スコア表2[],MATCH("average",スコア表2[maxmin],0),MATCH(E$5,スコア表2[#Headers],0)))
/
INDEX(スコア表2[],MATCH("stdev.p",スコア表2[maxmin],0),MATCH(E$5,スコア表2[#Headers],0))
*10+50,"-")</f>
        <v>65.627958972043402</v>
      </c>
      <c r="F53" s="77">
        <f>IFERROR(
(INDEX(スコア表[],MATCH($C53,スコア表['#],0),MATCH(F$5,スコア表[#Headers],0))
-
INDEX(スコア表2[],MATCH("average",スコア表2[maxmin],0),MATCH(F$5,スコア表2[#Headers],0)))
/
INDEX(スコア表2[],MATCH("stdev.p",スコア表2[maxmin],0),MATCH(F$5,スコア表2[#Headers],0))
*10+50,"-")</f>
        <v>46.626751235567667</v>
      </c>
      <c r="G53" s="77">
        <f>IFERROR(
(INDEX(スコア表[],MATCH($C53,スコア表['#],0),MATCH(G$5,スコア表[#Headers],0))
-
INDEX(スコア表2[],MATCH("average",スコア表2[maxmin],0),MATCH(G$5,スコア表2[#Headers],0)))
/
INDEX(スコア表2[],MATCH("stdev.p",スコア表2[maxmin],0),MATCH(G$5,スコア表2[#Headers],0))
*10+50,"-")</f>
        <v>48.698359760969318</v>
      </c>
      <c r="H53" s="77">
        <f>IFERROR(
(INDEX(スコア表[],MATCH($C53,スコア表['#],0),MATCH(H$5,スコア表[#Headers],0))
-
INDEX(スコア表2[],MATCH("average",スコア表2[maxmin],0),MATCH(H$5,スコア表2[#Headers],0)))
/
INDEX(スコア表2[],MATCH("stdev.p",スコア表2[maxmin],0),MATCH(H$5,スコア表2[#Headers],0))
*10+50,"-")</f>
        <v>41.071386368986055</v>
      </c>
      <c r="I53" s="77">
        <f>IFERROR(
(INDEX(スコア表[],MATCH($C53,スコア表['#],0),MATCH(I$5,スコア表[#Headers],0))
-
INDEX(スコア表2[],MATCH("average",スコア表2[maxmin],0),MATCH(I$5,スコア表2[#Headers],0)))
/
INDEX(スコア表2[],MATCH("stdev.p",スコア表2[maxmin],0),MATCH(I$5,スコア表2[#Headers],0))
*10+50,"-")</f>
        <v>37.257139322180343</v>
      </c>
      <c r="J53" s="77">
        <f>IFERROR(
(INDEX(スコア表[],MATCH($C53,スコア表['#],0),MATCH(J$5,スコア表[#Headers],0))
-
INDEX(スコア表2[],MATCH("average",スコア表2[maxmin],0),MATCH(J$5,スコア表2[#Headers],0)))
/
INDEX(スコア表2[],MATCH("stdev.p",スコア表2[maxmin],0),MATCH(J$5,スコア表2[#Headers],0))
*10+50,"-")</f>
        <v>47.680138884412393</v>
      </c>
      <c r="K53" s="77">
        <f>IFERROR(
(INDEX(スコア表[],MATCH($C53,スコア表['#],0),MATCH(K$5,スコア表[#Headers],0))
-
INDEX(スコア表2[],MATCH("average",スコア表2[maxmin],0),MATCH(K$5,スコア表2[#Headers],0)))
/
INDEX(スコア表2[],MATCH("stdev.p",スコア表2[maxmin],0),MATCH(K$5,スコア表2[#Headers],0))
*10+50,"-")</f>
        <v>35.007769646337032</v>
      </c>
      <c r="L53" s="77">
        <f>IFERROR(
(INDEX(スコア表[],MATCH($C53,スコア表['#],0),MATCH(L$5,スコア表[#Headers],0))
-
INDEX(スコア表2[],MATCH("average",スコア表2[maxmin],0),MATCH(L$5,スコア表2[#Headers],0)))
/
INDEX(スコア表2[],MATCH("stdev.p",スコア表2[maxmin],0),MATCH(L$5,スコア表2[#Headers],0))
*10+50,"-")</f>
        <v>52.6682796197179</v>
      </c>
      <c r="M53" s="77">
        <f>IFERROR(
(INDEX(スコア表[],MATCH($C53,スコア表['#],0),MATCH(M$5,スコア表[#Headers],0))
-
INDEX(スコア表2[],MATCH("average",スコア表2[maxmin],0),MATCH(M$5,スコア表2[#Headers],0)))
/
INDEX(スコア表2[],MATCH("stdev.p",スコア表2[maxmin],0),MATCH(M$5,スコア表2[#Headers],0))
*10+50,"-")</f>
        <v>50.048672066938799</v>
      </c>
      <c r="N53" s="77">
        <f>IFERROR(
(INDEX(スコア表[],MATCH($C53,スコア表['#],0),MATCH(N$5,スコア表[#Headers],0))
-
INDEX(スコア表2[],MATCH("average",スコア表2[maxmin],0),MATCH(N$5,スコア表2[#Headers],0)))
/
INDEX(スコア表2[],MATCH("stdev.p",スコア表2[maxmin],0),MATCH(N$5,スコア表2[#Headers],0))
*10+50,"-")</f>
        <v>59.374652799025327</v>
      </c>
      <c r="O53" s="77">
        <f>IFERROR(
(INDEX(スコア表[],MATCH($C53,スコア表['#],0),MATCH(O$5,スコア表[#Headers],0))
-
INDEX(スコア表2[],MATCH("average",スコア表2[maxmin],0),MATCH(O$5,スコア表2[#Headers],0)))
/
INDEX(スコア表2[],MATCH("stdev.p",スコア表2[maxmin],0),MATCH(O$5,スコア表2[#Headers],0))
*10+50,"-")</f>
        <v>23.405101863628527</v>
      </c>
      <c r="P53" s="77">
        <f>IFERROR(
(INDEX(スコア表[],MATCH($C53,スコア表['#],0),MATCH(P$5,スコア表[#Headers],0))
-
INDEX(スコア表2[],MATCH("average",スコア表2[maxmin],0),MATCH(P$5,スコア表2[#Headers],0)))
/
INDEX(スコア表2[],MATCH("stdev.p",スコア表2[maxmin],0),MATCH(P$5,スコア表2[#Headers],0))
*10+50,"-")</f>
        <v>37.406343262154316</v>
      </c>
      <c r="Q53" s="77">
        <f>IFERROR(
(INDEX(スコア表[],MATCH($C53,スコア表['#],0),MATCH(Q$5,スコア表[#Headers],0))
-
INDEX(スコア表2[],MATCH("average",スコア表2[maxmin],0),MATCH(Q$5,スコア表2[#Headers],0)))
/
INDEX(スコア表2[],MATCH("stdev.p",スコア表2[maxmin],0),MATCH(Q$5,スコア表2[#Headers],0))
*10+50,"-")</f>
        <v>35.831182592613871</v>
      </c>
      <c r="R53" s="77">
        <f>IFERROR(
(INDEX(スコア表[],MATCH($C53,スコア表['#],0),MATCH(R$5,スコア表[#Headers],0))
-
INDEX(スコア表2[],MATCH("average",スコア表2[maxmin],0),MATCH(R$5,スコア表2[#Headers],0)))
/
INDEX(スコア表2[],MATCH("stdev.p",スコア表2[maxmin],0),MATCH(R$5,スコア表2[#Headers],0))
*10+50,"-")</f>
        <v>38.877579501189132</v>
      </c>
      <c r="S53" s="77">
        <f>IFERROR(
(INDEX(スコア表[],MATCH($C53,スコア表['#],0),MATCH(S$5,スコア表[#Headers],0))
-
INDEX(スコア表2[],MATCH("average",スコア表2[maxmin],0),MATCH(S$5,スコア表2[#Headers],0)))
/
INDEX(スコア表2[],MATCH("stdev.p",スコア表2[maxmin],0),MATCH(S$5,スコア表2[#Headers],0))
*10+50,"-")</f>
        <v>33.0541264794131</v>
      </c>
      <c r="T53" s="77">
        <f>IFERROR(
(INDEX(スコア表[],MATCH($C53,スコア表['#],0),MATCH(T$5,スコア表[#Headers],0))
-
INDEX(スコア表2[],MATCH("average",スコア表2[maxmin],0),MATCH(T$5,スコア表2[#Headers],0)))
/
INDEX(スコア表2[],MATCH("stdev.p",スコア表2[maxmin],0),MATCH(T$5,スコア表2[#Headers],0))
*10+50,"-")</f>
        <v>39.15954953366532</v>
      </c>
      <c r="U53" s="77">
        <f>IFERROR(
(INDEX(スコア表[],MATCH($C53,スコア表['#],0),MATCH(U$5,スコア表[#Headers],0))
-
INDEX(スコア表2[],MATCH("average",スコア表2[maxmin],0),MATCH(U$5,スコア表2[#Headers],0)))
/
INDEX(スコア表2[],MATCH("stdev.p",スコア表2[maxmin],0),MATCH(U$5,スコア表2[#Headers],0))
*10+50,"-")</f>
        <v>41.783738272115357</v>
      </c>
      <c r="V53" s="77">
        <f>IFERROR(
(INDEX(スコア表[],MATCH($C53,スコア表['#],0),MATCH(V$5,スコア表[#Headers],0))
-
INDEX(スコア表2[],MATCH("average",スコア表2[maxmin],0),MATCH(V$5,スコア表2[#Headers],0)))
/
INDEX(スコア表2[],MATCH("stdev.p",スコア表2[maxmin],0),MATCH(V$5,スコア表2[#Headers],0))
*10+50,"-")</f>
        <v>40.495436784403196</v>
      </c>
      <c r="W53" s="77">
        <f>IFERROR(
(INDEX(スコア表[],MATCH($C53,スコア表['#],0),MATCH(W$5,スコア表[#Headers],0))
-
INDEX(スコア表2[],MATCH("average",スコア表2[maxmin],0),MATCH(W$5,スコア表2[#Headers],0)))
/
INDEX(スコア表2[],MATCH("stdev.p",スコア表2[maxmin],0),MATCH(W$5,スコア表2[#Headers],0))
*10+50,"-")</f>
        <v>43.451017933541891</v>
      </c>
      <c r="X53" s="77">
        <f>IFERROR(
(INDEX(スコア表[],MATCH($C53,スコア表['#],0),MATCH(X$5,スコア表[#Headers],0))
-
INDEX(スコア表2[],MATCH("average",スコア表2[maxmin],0),MATCH(X$5,スコア表2[#Headers],0)))
/
INDEX(スコア表2[],MATCH("stdev.p",スコア表2[maxmin],0),MATCH(X$5,スコア表2[#Headers],0))
*10+50,"-")</f>
        <v>40.938699671755664</v>
      </c>
      <c r="Y53" s="77">
        <f>IFERROR(
(INDEX(スコア表[],MATCH($C53,スコア表['#],0),MATCH(Y$5,スコア表[#Headers],0))
-
INDEX(スコア表2[],MATCH("average",スコア表2[maxmin],0),MATCH(Y$5,スコア表2[#Headers],0)))
/
INDEX(スコア表2[],MATCH("stdev.p",スコア表2[maxmin],0),MATCH(Y$5,スコア表2[#Headers],0))
*10+50,"-")</f>
        <v>24.413835454870039</v>
      </c>
      <c r="Z53" s="77">
        <f>IFERROR(
(INDEX(スコア表[],MATCH($C53,スコア表['#],0),MATCH(Z$5,スコア表[#Headers],0))
-
INDEX(スコア表2[],MATCH("average",スコア表2[maxmin],0),MATCH(Z$5,スコア表2[#Headers],0)))
/
INDEX(スコア表2[],MATCH("stdev.p",スコア表2[maxmin],0),MATCH(Z$5,スコア表2[#Headers],0))
*10+50,"-")</f>
        <v>44.123136150361091</v>
      </c>
      <c r="AA53" s="77">
        <f>IFERROR(
(INDEX(スコア表[],MATCH($C53,スコア表['#],0),MATCH(AA$5,スコア表[#Headers],0))
-
INDEX(スコア表2[],MATCH("average",スコア表2[maxmin],0),MATCH(AA$5,スコア表2[#Headers],0)))
/
INDEX(スコア表2[],MATCH("stdev.p",スコア表2[maxmin],0),MATCH(AA$5,スコア表2[#Headers],0))
*10+50,"-")</f>
        <v>44.664612103409482</v>
      </c>
      <c r="AB53" s="77">
        <f>IFERROR(
(INDEX(スコア表[],MATCH($C53,スコア表['#],0),MATCH(AB$5,スコア表[#Headers],0))
-
INDEX(スコア表2[],MATCH("average",スコア表2[maxmin],0),MATCH(AB$5,スコア表2[#Headers],0)))
/
INDEX(スコア表2[],MATCH("stdev.p",スコア表2[maxmin],0),MATCH(AB$5,スコア表2[#Headers],0))
*10+50,"-")</f>
        <v>50.905595462094581</v>
      </c>
      <c r="AC53" s="77">
        <f>IFERROR(
(INDEX(スコア表[],MATCH($C53,スコア表['#],0),MATCH(AC$5,スコア表[#Headers],0))
-
INDEX(スコア表2[],MATCH("average",スコア表2[maxmin],0),MATCH(AC$5,スコア表2[#Headers],0)))
/
INDEX(スコア表2[],MATCH("stdev.p",スコア表2[maxmin],0),MATCH(AC$5,スコア表2[#Headers],0))
*10+50,"-")</f>
        <v>43.88251572523788</v>
      </c>
      <c r="AD53" s="77">
        <f>IFERROR(
(INDEX(スコア表[],MATCH($C53,スコア表['#],0),MATCH(AD$5,スコア表[#Headers],0))
-
INDEX(スコア表2[],MATCH("average",スコア表2[maxmin],0),MATCH(AD$5,スコア表2[#Headers],0)))
/
INDEX(スコア表2[],MATCH("stdev.p",スコア表2[maxmin],0),MATCH(AD$5,スコア表2[#Headers],0))
*10+50,"-")</f>
        <v>53.064972063990716</v>
      </c>
      <c r="AE53" s="77">
        <f>IFERROR(
(INDEX(スコア表[],MATCH($C53,スコア表['#],0),MATCH(AE$5,スコア表[#Headers],0))
-
INDEX(スコア表2[],MATCH("average",スコア表2[maxmin],0),MATCH(AE$5,スコア表2[#Headers],0)))
/
INDEX(スコア表2[],MATCH("stdev.p",スコア表2[maxmin],0),MATCH(AE$5,スコア表2[#Headers],0))
*10+50,"-")</f>
        <v>43.694455548566829</v>
      </c>
      <c r="AF53" s="77">
        <f>IFERROR(
(INDEX(スコア表[],MATCH($C53,スコア表['#],0),MATCH(AF$5,スコア表[#Headers],0))
-
INDEX(スコア表2[],MATCH("average",スコア表2[maxmin],0),MATCH(AF$5,スコア表2[#Headers],0)))
/
INDEX(スコア表2[],MATCH("stdev.p",スコア表2[maxmin],0),MATCH(AF$5,スコア表2[#Headers],0))
*10+50,"-")</f>
        <v>45.179316332022168</v>
      </c>
      <c r="AG53" s="77">
        <f>IFERROR(
(INDEX(スコア表[],MATCH($C53,スコア表['#],0),MATCH(AG$5,スコア表[#Headers],0))
-
INDEX(スコア表2[],MATCH("average",スコア表2[maxmin],0),MATCH(AG$5,スコア表2[#Headers],0)))
/
INDEX(スコア表2[],MATCH("stdev.p",スコア表2[maxmin],0),MATCH(AG$5,スコア表2[#Headers],0))
*10+50,"-")</f>
        <v>48.278201965903108</v>
      </c>
      <c r="AH53" s="77">
        <f>IFERROR(
(INDEX(スコア表[],MATCH($C53,スコア表['#],0),MATCH(AH$5,スコア表[#Headers],0))
-
INDEX(スコア表2[],MATCH("average",スコア表2[maxmin],0),MATCH(AH$5,スコア表2[#Headers],0)))
/
INDEX(スコア表2[],MATCH("stdev.p",スコア表2[maxmin],0),MATCH(AH$5,スコア表2[#Headers],0))
*10+50,"-")</f>
        <v>46.727657634345938</v>
      </c>
      <c r="AI53" s="77">
        <f>IFERROR(
(INDEX(スコア表[],MATCH($C53,スコア表['#],0),MATCH(AI$5,スコア表[#Headers],0))
-
INDEX(スコア表2[],MATCH("average",スコア表2[maxmin],0),MATCH(AI$5,スコア表2[#Headers],0)))
/
INDEX(スコア表2[],MATCH("stdev.p",スコア表2[maxmin],0),MATCH(AI$5,スコア表2[#Headers],0))
*10+50,"-")</f>
        <v>50.890331704154441</v>
      </c>
      <c r="AJ53" s="77">
        <f>IFERROR(
(INDEX(スコア表[],MATCH($C53,スコア表['#],0),MATCH(AJ$5,スコア表[#Headers],0))
-
INDEX(スコア表2[],MATCH("average",スコア表2[maxmin],0),MATCH(AJ$5,スコア表2[#Headers],0)))
/
INDEX(スコア表2[],MATCH("stdev.p",スコア表2[maxmin],0),MATCH(AJ$5,スコア表2[#Headers],0))
*10+50,"-")</f>
        <v>41.417375225307914</v>
      </c>
      <c r="AK53" s="77">
        <f>IFERROR(
(INDEX(スコア表[],MATCH($C53,スコア表['#],0),MATCH(AK$5,スコア表[#Headers],0))
-
INDEX(スコア表2[],MATCH("average",スコア表2[maxmin],0),MATCH(AK$5,スコア表2[#Headers],0)))
/
INDEX(スコア表2[],MATCH("stdev.p",スコア表2[maxmin],0),MATCH(AK$5,スコア表2[#Headers],0))
*10+50,"-")</f>
        <v>40.289698891630991</v>
      </c>
      <c r="AL53" s="77">
        <f>IFERROR(
(INDEX(スコア表[],MATCH($C53,スコア表['#],0),MATCH(AL$5,スコア表[#Headers],0))
-
INDEX(スコア表2[],MATCH("average",スコア表2[maxmin],0),MATCH(AL$5,スコア表2[#Headers],0)))
/
INDEX(スコア表2[],MATCH("stdev.p",スコア表2[maxmin],0),MATCH(AL$5,スコア表2[#Headers],0))
*10+50,"-")</f>
        <v>41.858810131760215</v>
      </c>
      <c r="AM53" s="77">
        <f>IFERROR(
(INDEX(スコア表[],MATCH($C53,スコア表['#],0),MATCH(AM$5,スコア表[#Headers],0))
-
INDEX(スコア表2[],MATCH("average",スコア表2[maxmin],0),MATCH(AM$5,スコア表2[#Headers],0)))
/
INDEX(スコア表2[],MATCH("stdev.p",スコア表2[maxmin],0),MATCH(AM$5,スコア表2[#Headers],0))
*10+50,"-")</f>
        <v>38.752685462022171</v>
      </c>
      <c r="AN53" s="77">
        <f>IFERROR(
(INDEX(スコア表[],MATCH($C53,スコア表['#],0),MATCH(AN$5,スコア表[#Headers],0))
-
INDEX(スコア表2[],MATCH("average",スコア表2[maxmin],0),MATCH(AN$5,スコア表2[#Headers],0)))
/
INDEX(スコア表2[],MATCH("stdev.p",スコア表2[maxmin],0),MATCH(AN$5,スコア表2[#Headers],0))
*10+50,"-")</f>
        <v>44.704380983279584</v>
      </c>
      <c r="AO53" s="77">
        <f>IFERROR(
(INDEX(スコア表[],MATCH($C53,スコア表['#],0),MATCH(AO$5,スコア表[#Headers],0))
-
INDEX(スコア表2[],MATCH("average",スコア表2[maxmin],0),MATCH(AO$5,スコア表2[#Headers],0)))
/
INDEX(スコア表2[],MATCH("stdev.p",スコア表2[maxmin],0),MATCH(AO$5,スコア表2[#Headers],0))
*10+50,"-")</f>
        <v>49.446988609516573</v>
      </c>
      <c r="AP53" s="77">
        <f>IFERROR(
(INDEX(スコア表[],MATCH($C53,スコア表['#],0),MATCH(AP$5,スコア表[#Headers],0))
-
INDEX(スコア表2[],MATCH("average",スコア表2[maxmin],0),MATCH(AP$5,スコア表2[#Headers],0)))
/
INDEX(スコア表2[],MATCH("stdev.p",スコア表2[maxmin],0),MATCH(AP$5,スコア表2[#Headers],0))
*10+50,"-")</f>
        <v>47.177620858456372</v>
      </c>
      <c r="AQ53" s="77">
        <f>IFERROR(
(INDEX(スコア表[],MATCH($C53,スコア表['#],0),MATCH(AQ$5,スコア表[#Headers],0))
-
INDEX(スコア表2[],MATCH("average",スコア表2[maxmin],0),MATCH(AQ$5,スコア表2[#Headers],0)))
/
INDEX(スコア表2[],MATCH("stdev.p",スコア表2[maxmin],0),MATCH(AQ$5,スコア表2[#Headers],0))
*10+50,"-")</f>
        <v>43.593669482655862</v>
      </c>
      <c r="AR53" s="77">
        <f>IFERROR(
(INDEX(スコア表[],MATCH($C53,スコア表['#],0),MATCH(AR$5,スコア表[#Headers],0))
-
INDEX(スコア表2[],MATCH("average",スコア表2[maxmin],0),MATCH(AR$5,スコア表2[#Headers],0)))
/
INDEX(スコア表2[],MATCH("stdev.p",スコア表2[maxmin],0),MATCH(AR$5,スコア表2[#Headers],0))
*10+50,"-")</f>
        <v>42.398046416295394</v>
      </c>
      <c r="AS53" s="77">
        <f>IFERROR(
(INDEX(スコア表[],MATCH($C53,スコア表['#],0),MATCH(AS$5,スコア表[#Headers],0))
-
INDEX(スコア表2[],MATCH("average",スコア表2[maxmin],0),MATCH(AS$5,スコア表2[#Headers],0)))
/
INDEX(スコア表2[],MATCH("stdev.p",スコア表2[maxmin],0),MATCH(AS$5,スコア表2[#Headers],0))
*10+50,"-")</f>
        <v>48.303178878716615</v>
      </c>
      <c r="AT53" s="77">
        <f>IFERROR(
(INDEX(スコア表[],MATCH($C53,スコア表['#],0),MATCH(AT$5,スコア表[#Headers],0))
-
INDEX(スコア表2[],MATCH("average",スコア表2[maxmin],0),MATCH(AT$5,スコア表2[#Headers],0)))
/
INDEX(スコア表2[],MATCH("stdev.p",スコア表2[maxmin],0),MATCH(AT$5,スコア表2[#Headers],0))
*10+50,"-")</f>
        <v>25.458281460727189</v>
      </c>
      <c r="AU53" s="77">
        <f>IFERROR(
(INDEX(スコア表[],MATCH($C53,スコア表['#],0),MATCH(AU$5,スコア表[#Headers],0))
-
INDEX(スコア表2[],MATCH("average",スコア表2[maxmin],0),MATCH(AU$5,スコア表2[#Headers],0)))
/
INDEX(スコア表2[],MATCH("stdev.p",スコア表2[maxmin],0),MATCH(AU$5,スコア表2[#Headers],0))
*10+50,"-")</f>
        <v>59.328363062599834</v>
      </c>
      <c r="AV53" s="77">
        <f>IFERROR(
(INDEX(スコア表[],MATCH($C53,スコア表['#],0),MATCH(AV$5,スコア表[#Headers],0))
-
INDEX(スコア表2[],MATCH("average",スコア表2[maxmin],0),MATCH(AV$5,スコア表2[#Headers],0)))
/
INDEX(スコア表2[],MATCH("stdev.p",スコア表2[maxmin],0),MATCH(AV$5,スコア表2[#Headers],0))
*10+50,"-")</f>
        <v>60.247584519865498</v>
      </c>
      <c r="AW53" s="77">
        <f>IFERROR(
(INDEX(スコア表[],MATCH($C53,スコア表['#],0),MATCH(AW$5,スコア表[#Headers],0))
-
INDEX(スコア表2[],MATCH("average",スコア表2[maxmin],0),MATCH(AW$5,スコア表2[#Headers],0)))
/
INDEX(スコア表2[],MATCH("stdev.p",スコア表2[maxmin],0),MATCH(AW$5,スコア表2[#Headers],0))
*10+50,"-")</f>
        <v>71.812801884847488</v>
      </c>
      <c r="AX53" s="77">
        <f>IFERROR(
(INDEX(スコア表[],MATCH($C53,スコア表['#],0),MATCH(AX$5,スコア表[#Headers],0))
-
INDEX(スコア表2[],MATCH("average",スコア表2[maxmin],0),MATCH(AX$5,スコア表2[#Headers],0)))
/
INDEX(スコア表2[],MATCH("stdev.p",スコア表2[maxmin],0),MATCH(AX$5,スコア表2[#Headers],0))
*10+50,"-")</f>
        <v>54.030174752147801</v>
      </c>
      <c r="AY53" s="77">
        <f>IFERROR(
(INDEX(スコア表[],MATCH($C53,スコア表['#],0),MATCH(AY$5,スコア表[#Headers],0))
-
INDEX(スコア表2[],MATCH("average",スコア表2[maxmin],0),MATCH(AY$5,スコア表2[#Headers],0)))
/
INDEX(スコア表2[],MATCH("stdev.p",スコア表2[maxmin],0),MATCH(AY$5,スコア表2[#Headers],0))
*10+50,"-")</f>
        <v>52.355906988504898</v>
      </c>
      <c r="AZ53" s="77">
        <f>IFERROR(
(INDEX(スコア表[],MATCH($C53,スコア表['#],0),MATCH(AZ$5,スコア表[#Headers],0))
-
INDEX(スコア表2[],MATCH("average",スコア表2[maxmin],0),MATCH(AZ$5,スコア表2[#Headers],0)))
/
INDEX(スコア表2[],MATCH("stdev.p",スコア表2[maxmin],0),MATCH(AZ$5,スコア表2[#Headers],0))
*10+50,"-")</f>
        <v>28.650927120757856</v>
      </c>
      <c r="BA53" s="77">
        <f>IFERROR(
(INDEX(スコア表[],MATCH($C53,スコア表['#],0),MATCH(BA$5,スコア表[#Headers],0))
-
INDEX(スコア表2[],MATCH("average",スコア表2[maxmin],0),MATCH(BA$5,スコア表2[#Headers],0)))
/
INDEX(スコア表2[],MATCH("stdev.p",スコア表2[maxmin],0),MATCH(BA$5,スコア表2[#Headers],0))
*10+50,"-")</f>
        <v>35.827877872042869</v>
      </c>
      <c r="BB53" s="77">
        <f>IFERROR(
(INDEX(スコア表[],MATCH($C53,スコア表['#],0),MATCH(BB$5,スコア表[#Headers],0))
-
INDEX(スコア表2[],MATCH("average",スコア表2[maxmin],0),MATCH(BB$5,スコア表2[#Headers],0)))
/
INDEX(スコア表2[],MATCH("stdev.p",スコア表2[maxmin],0),MATCH(BB$5,スコア表2[#Headers],0))
*10+50,"-")</f>
        <v>25.285719178384063</v>
      </c>
      <c r="BC53" s="77">
        <f>IFERROR(
(INDEX(スコア表[],MATCH($C53,スコア表['#],0),MATCH(BC$5,スコア表[#Headers],0))
-
INDEX(スコア表2[],MATCH("average",スコア表2[maxmin],0),MATCH(BC$5,スコア表2[#Headers],0)))
/
INDEX(スコア表2[],MATCH("stdev.p",スコア表2[maxmin],0),MATCH(BC$5,スコア表2[#Headers],0))
*10+50,"-")</f>
        <v>33.341737316110894</v>
      </c>
      <c r="BD53" s="77">
        <f>IFERROR(
(INDEX(スコア表[],MATCH($C53,スコア表['#],0),MATCH(BD$5,スコア表[#Headers],0))
-
INDEX(スコア表2[],MATCH("average",スコア表2[maxmin],0),MATCH(BD$5,スコア表2[#Headers],0)))
/
INDEX(スコア表2[],MATCH("stdev.p",スコア表2[maxmin],0),MATCH(BD$5,スコア表2[#Headers],0))
*10+50,"-")</f>
        <v>28.307826027471513</v>
      </c>
      <c r="BE53" s="77">
        <f>IFERROR(
(INDEX(スコア表[],MATCH($C53,スコア表['#],0),MATCH(BE$5,スコア表[#Headers],0))
-
INDEX(スコア表2[],MATCH("average",スコア表2[maxmin],0),MATCH(BE$5,スコア表2[#Headers],0)))
/
INDEX(スコア表2[],MATCH("stdev.p",スコア表2[maxmin],0),MATCH(BE$5,スコア表2[#Headers],0))
*10+50,"-")</f>
        <v>56.059336147566924</v>
      </c>
      <c r="BF53" s="77">
        <f>IFERROR(
(INDEX(スコア表[],MATCH($C53,スコア表['#],0),MATCH(BF$5,スコア表[#Headers],0))
-
INDEX(スコア表2[],MATCH("average",スコア表2[maxmin],0),MATCH(BF$5,スコア表2[#Headers],0)))
/
INDEX(スコア表2[],MATCH("stdev.p",スコア表2[maxmin],0),MATCH(BF$5,スコア表2[#Headers],0))
*10+50,"-")</f>
        <v>44.064780290584281</v>
      </c>
      <c r="BG53" s="77">
        <f>IFERROR(
(INDEX(スコア表[],MATCH($C53,スコア表['#],0),MATCH(BG$5,スコア表[#Headers],0))
-
INDEX(スコア表2[],MATCH("average",スコア表2[maxmin],0),MATCH(BG$5,スコア表2[#Headers],0)))
/
INDEX(スコア表2[],MATCH("stdev.p",スコア表2[maxmin],0),MATCH(BG$5,スコア表2[#Headers],0))
*10+50,"-")</f>
        <v>47.958004889045924</v>
      </c>
      <c r="BH53" s="77">
        <f>IFERROR(
(INDEX(スコア表[],MATCH($C53,スコア表['#],0),MATCH(BH$5,スコア表[#Headers],0))
-
INDEX(スコア表2[],MATCH("average",スコア表2[maxmin],0),MATCH(BH$5,スコア表2[#Headers],0)))
/
INDEX(スコア表2[],MATCH("stdev.p",スコア表2[maxmin],0),MATCH(BH$5,スコア表2[#Headers],0))
*10+50,"-")</f>
        <v>60.531855903367891</v>
      </c>
      <c r="BI53" s="77">
        <f>IFERROR(
(INDEX(スコア表[],MATCH($C53,スコア表['#],0),MATCH(BI$5,スコア表[#Headers],0))
-
INDEX(スコア表2[],MATCH("average",スコア表2[maxmin],0),MATCH(BI$5,スコア表2[#Headers],0)))
/
INDEX(スコア表2[],MATCH("stdev.p",スコア表2[maxmin],0),MATCH(BI$5,スコア表2[#Headers],0))
*10+50,"-")</f>
        <v>42.698319952369296</v>
      </c>
      <c r="BJ53" s="77">
        <f>IFERROR(
(INDEX(スコア表[],MATCH($C53,スコア表['#],0),MATCH(BJ$5,スコア表[#Headers],0))
-
INDEX(スコア表2[],MATCH("average",スコア表2[maxmin],0),MATCH(BJ$5,スコア表2[#Headers],0)))
/
INDEX(スコア表2[],MATCH("stdev.p",スコア表2[maxmin],0),MATCH(BJ$5,スコア表2[#Headers],0))
*10+50,"-")</f>
        <v>61.71223513987529</v>
      </c>
      <c r="BK53" s="77">
        <f>IFERROR(
(INDEX(スコア表[],MATCH($C53,スコア表['#],0),MATCH(BK$5,スコア表[#Headers],0))
-
INDEX(スコア表2[],MATCH("average",スコア表2[maxmin],0),MATCH(BK$5,スコア表2[#Headers],0)))
/
INDEX(スコア表2[],MATCH("stdev.p",スコア表2[maxmin],0),MATCH(BK$5,スコア表2[#Headers],0))
*10+50,"-")</f>
        <v>19.450622442489774</v>
      </c>
      <c r="BL53" s="77">
        <f>IFERROR(
(INDEX(スコア表[],MATCH($C53,スコア表['#],0),MATCH(BL$5,スコア表[#Headers],0))
-
INDEX(スコア表2[],MATCH("average",スコア表2[maxmin],0),MATCH(BL$5,スコア表2[#Headers],0)))
/
INDEX(スコア表2[],MATCH("stdev.p",スコア表2[maxmin],0),MATCH(BL$5,スコア表2[#Headers],0))
*10+50,"-")</f>
        <v>32.717180463115284</v>
      </c>
      <c r="BM53" s="77">
        <f>IFERROR(
(INDEX(スコア表[],MATCH($C53,スコア表['#],0),MATCH(BM$5,スコア表[#Headers],0))
-
INDEX(スコア表2[],MATCH("average",スコア表2[maxmin],0),MATCH(BM$5,スコア表2[#Headers],0)))
/
INDEX(スコア表2[],MATCH("stdev.p",スコア表2[maxmin],0),MATCH(BM$5,スコア表2[#Headers],0))
*10+50,"-")</f>
        <v>32.101165294073134</v>
      </c>
      <c r="BN53" s="77">
        <f>IFERROR(
(INDEX(スコア表[],MATCH($C53,スコア表['#],0),MATCH(BN$5,スコア表[#Headers],0))
-
INDEX(スコア表2[],MATCH("average",スコア表2[maxmin],0),MATCH(BN$5,スコア表2[#Headers],0)))
/
INDEX(スコア表2[],MATCH("stdev.p",スコア表2[maxmin],0),MATCH(BN$5,スコア表2[#Headers],0))
*10+50,"-")</f>
        <v>35.996269638727803</v>
      </c>
      <c r="BO53" s="77">
        <f>IFERROR(
(INDEX(スコア表[],MATCH($C53,スコア表['#],0),MATCH(BO$5,スコア表[#Headers],0))
-
INDEX(スコア表2[],MATCH("average",スコア表2[maxmin],0),MATCH(BO$5,スコア表2[#Headers],0)))
/
INDEX(スコア表2[],MATCH("stdev.p",スコア表2[maxmin],0),MATCH(BO$5,スコア表2[#Headers],0))
*10+50,"-")</f>
        <v>32.687649928393341</v>
      </c>
      <c r="BP53" s="77">
        <f>IFERROR(
(INDEX(スコア表[],MATCH($C53,スコア表['#],0),MATCH(BP$5,スコア表[#Headers],0))
-
INDEX(スコア表2[],MATCH("average",スコア表2[maxmin],0),MATCH(BP$5,スコア表2[#Headers],0)))
/
INDEX(スコア表2[],MATCH("stdev.p",スコア表2[maxmin],0),MATCH(BP$5,スコア表2[#Headers],0))
*10+50,"-")</f>
        <v>40.789834854942342</v>
      </c>
      <c r="BQ53" s="77">
        <f>IFERROR(
(INDEX(スコア表[],MATCH($C53,スコア表['#],0),MATCH(BQ$5,スコア表[#Headers],0))
-
INDEX(スコア表2[],MATCH("average",スコア表2[maxmin],0),MATCH(BQ$5,スコア表2[#Headers],0)))
/
INDEX(スコア表2[],MATCH("stdev.p",スコア表2[maxmin],0),MATCH(BQ$5,スコア表2[#Headers],0))
*10+50,"-")</f>
        <v>45.266797632738125</v>
      </c>
      <c r="BR53" s="77">
        <f>IFERROR(
(INDEX(スコア表[],MATCH($C53,スコア表['#],0),MATCH(BR$5,スコア表[#Headers],0))
-
INDEX(スコア表2[],MATCH("average",スコア表2[maxmin],0),MATCH(BR$5,スコア表2[#Headers],0)))
/
INDEX(スコア表2[],MATCH("stdev.p",スコア表2[maxmin],0),MATCH(BR$5,スコア表2[#Headers],0))
*10+50,"-")</f>
        <v>49.686393116248063</v>
      </c>
      <c r="BS53" s="77">
        <f>IFERROR(
(INDEX(スコア表[],MATCH($C53,スコア表['#],0),MATCH(BS$5,スコア表[#Headers],0))
-
INDEX(スコア表2[],MATCH("average",スコア表2[maxmin],0),MATCH(BS$5,スコア表2[#Headers],0)))
/
INDEX(スコア表2[],MATCH("stdev.p",スコア表2[maxmin],0),MATCH(BS$5,スコア表2[#Headers],0))
*10+50,"-")</f>
        <v>48.841431200495727</v>
      </c>
      <c r="BT53" s="77">
        <f>IFERROR(
(INDEX(スコア表[],MATCH($C53,スコア表['#],0),MATCH(BT$5,スコア表[#Headers],0))
-
INDEX(スコア表2[],MATCH("average",スコア表2[maxmin],0),MATCH(BT$5,スコア表2[#Headers],0)))
/
INDEX(スコア表2[],MATCH("stdev.p",スコア表2[maxmin],0),MATCH(BT$5,スコア表2[#Headers],0))
*10+50,"-")</f>
        <v>40.311193406547815</v>
      </c>
      <c r="BU53" s="77">
        <f>IFERROR(
(INDEX(スコア表[],MATCH($C53,スコア表['#],0),MATCH(BU$5,スコア表[#Headers],0))
-
INDEX(スコア表2[],MATCH("average",スコア表2[maxmin],0),MATCH(BU$5,スコア表2[#Headers],0)))
/
INDEX(スコア表2[],MATCH("stdev.p",スコア表2[maxmin],0),MATCH(BU$5,スコア表2[#Headers],0))
*10+50,"-")</f>
        <v>47.210970629502107</v>
      </c>
      <c r="BV53" s="77">
        <f>IFERROR(
(INDEX(スコア表[],MATCH($C53,スコア表['#],0),MATCH(BV$5,スコア表[#Headers],0))
-
INDEX(スコア表2[],MATCH("average",スコア表2[maxmin],0),MATCH(BV$5,スコア表2[#Headers],0)))
/
INDEX(スコア表2[],MATCH("stdev.p",スコア表2[maxmin],0),MATCH(BV$5,スコア表2[#Headers],0))
*10+50,"-")</f>
        <v>43.219149749044803</v>
      </c>
      <c r="BW53" s="77">
        <f>IFERROR(
(INDEX(スコア表[],MATCH($C53,スコア表['#],0),MATCH(BW$5,スコア表[#Headers],0))
-
INDEX(スコア表2[],MATCH("average",スコア表2[maxmin],0),MATCH(BW$5,スコア表2[#Headers],0)))
/
INDEX(スコア表2[],MATCH("stdev.p",スコア表2[maxmin],0),MATCH(BW$5,スコア表2[#Headers],0))
*10+50,"-")</f>
        <v>31.313727802219049</v>
      </c>
      <c r="BX53" s="77">
        <f>IFERROR(
(INDEX(スコア表[],MATCH($C53,スコア表['#],0),MATCH(BX$5,スコア表[#Headers],0))
-
INDEX(スコア表2[],MATCH("average",スコア表2[maxmin],0),MATCH(BX$5,スコア表2[#Headers],0)))
/
INDEX(スコア表2[],MATCH("stdev.p",スコア表2[maxmin],0),MATCH(BX$5,スコア表2[#Headers],0))
*10+50,"-")</f>
        <v>47.701067834516529</v>
      </c>
      <c r="BY53" s="77">
        <f>IFERROR(
(INDEX(スコア表[],MATCH($C53,スコア表['#],0),MATCH(BY$5,スコア表[#Headers],0))
-
INDEX(スコア表2[],MATCH("average",スコア表2[maxmin],0),MATCH(BY$5,スコア表2[#Headers],0)))
/
INDEX(スコア表2[],MATCH("stdev.p",スコア表2[maxmin],0),MATCH(BY$5,スコア表2[#Headers],0))
*10+50,"-")</f>
        <v>56.411667317516027</v>
      </c>
      <c r="BZ53" s="77">
        <f>IFERROR(
(INDEX(スコア表[],MATCH($C53,スコア表['#],0),MATCH(BZ$5,スコア表[#Headers],0))
-
INDEX(スコア表2[],MATCH("average",スコア表2[maxmin],0),MATCH(BZ$5,スコア表2[#Headers],0)))
/
INDEX(スコア表2[],MATCH("stdev.p",スコア表2[maxmin],0),MATCH(BZ$5,スコア表2[#Headers],0))
*10+50,"-")</f>
        <v>34.551558041536587</v>
      </c>
      <c r="CA53" s="77">
        <f>IFERROR(
(INDEX(スコア表[],MATCH($C53,スコア表['#],0),MATCH(CA$5,スコア表[#Headers],0))
-
INDEX(スコア表2[],MATCH("average",スコア表2[maxmin],0),MATCH(CA$5,スコア表2[#Headers],0)))
/
INDEX(スコア表2[],MATCH("stdev.p",スコア表2[maxmin],0),MATCH(CA$5,スコア表2[#Headers],0))
*10+50,"-")</f>
        <v>36.536278615871574</v>
      </c>
      <c r="CB53" s="77">
        <f>IFERROR(
(INDEX(スコア表[],MATCH($C53,スコア表['#],0),MATCH(CB$5,スコア表[#Headers],0))
-
INDEX(スコア表2[],MATCH("average",スコア表2[maxmin],0),MATCH(CB$5,スコア表2[#Headers],0)))
/
INDEX(スコア表2[],MATCH("stdev.p",スコア表2[maxmin],0),MATCH(CB$5,スコア表2[#Headers],0))
*10+50,"-")</f>
        <v>51.688152374116449</v>
      </c>
      <c r="CC53" s="77">
        <f>IFERROR(
(INDEX(スコア表[],MATCH($C53,スコア表['#],0),MATCH(CC$5,スコア表[#Headers],0))
-
INDEX(スコア表2[],MATCH("average",スコア表2[maxmin],0),MATCH(CC$5,スコア表2[#Headers],0)))
/
INDEX(スコア表2[],MATCH("stdev.p",スコア表2[maxmin],0),MATCH(CC$5,スコア表2[#Headers],0))
*10+50,"-")</f>
        <v>36.212700496414186</v>
      </c>
      <c r="CD53" s="77">
        <f>IFERROR(
(INDEX(スコア表[],MATCH($C53,スコア表['#],0),MATCH(CD$5,スコア表[#Headers],0))
-
INDEX(スコア表2[],MATCH("average",スコア表2[maxmin],0),MATCH(CD$5,スコア表2[#Headers],0)))
/
INDEX(スコア表2[],MATCH("stdev.p",スコア表2[maxmin],0),MATCH(CD$5,スコア表2[#Headers],0))
*10+50,"-")</f>
        <v>34.640934162455608</v>
      </c>
      <c r="CE53" s="77">
        <f>IFERROR(
(INDEX(スコア表[],MATCH($C53,スコア表['#],0),MATCH(CE$5,スコア表[#Headers],0))
-
INDEX(スコア表2[],MATCH("average",スコア表2[maxmin],0),MATCH(CE$5,スコア表2[#Headers],0)))
/
INDEX(スコア表2[],MATCH("stdev.p",スコア表2[maxmin],0),MATCH(CE$5,スコア表2[#Headers],0))
*10+50,"-")</f>
        <v>32.110243438822856</v>
      </c>
      <c r="CF53" s="77">
        <f>IFERROR(
(INDEX(スコア表[],MATCH($C53,スコア表['#],0),MATCH(CF$5,スコア表[#Headers],0))
-
INDEX(スコア表2[],MATCH("average",スコア表2[maxmin],0),MATCH(CF$5,スコア表2[#Headers],0)))
/
INDEX(スコア表2[],MATCH("stdev.p",スコア表2[maxmin],0),MATCH(CF$5,スコア表2[#Headers],0))
*10+50,"-")</f>
        <v>39.614772274498293</v>
      </c>
      <c r="CG53" s="77">
        <f>IFERROR(
(INDEX(スコア表[],MATCH($C53,スコア表['#],0),MATCH(CG$5,スコア表[#Headers],0))
-
INDEX(スコア表2[],MATCH("average",スコア表2[maxmin],0),MATCH(CG$5,スコア表2[#Headers],0)))
/
INDEX(スコア表2[],MATCH("stdev.p",スコア表2[maxmin],0),MATCH(CG$5,スコア表2[#Headers],0))
*10+50,"-")</f>
        <v>29.516151142534184</v>
      </c>
      <c r="CH53" s="77">
        <f>IFERROR(
(INDEX(スコア表[],MATCH($C53,スコア表['#],0),MATCH(CH$5,スコア表[#Headers],0))
-
INDEX(スコア表2[],MATCH("average",スコア表2[maxmin],0),MATCH(CH$5,スコア表2[#Headers],0)))
/
INDEX(スコア表2[],MATCH("stdev.p",スコア表2[maxmin],0),MATCH(CH$5,スコア表2[#Headers],0))
*10+50,"-")</f>
        <v>45.23934728949154</v>
      </c>
      <c r="CI53" s="77">
        <f>IFERROR(
(INDEX(スコア表[],MATCH($C53,スコア表['#],0),MATCH(CI$5,スコア表[#Headers],0))
-
INDEX(スコア表2[],MATCH("average",スコア表2[maxmin],0),MATCH(CI$5,スコア表2[#Headers],0)))
/
INDEX(スコア表2[],MATCH("stdev.p",スコア表2[maxmin],0),MATCH(CI$5,スコア表2[#Headers],0))
*10+50,"-")</f>
        <v>44.230918939764067</v>
      </c>
      <c r="CJ53" s="77">
        <f>IFERROR(
(INDEX(スコア表[],MATCH($C53,スコア表['#],0),MATCH(CJ$5,スコア表[#Headers],0))
-
INDEX(スコア表2[],MATCH("average",スコア表2[maxmin],0),MATCH(CJ$5,スコア表2[#Headers],0)))
/
INDEX(スコア表2[],MATCH("stdev.p",スコア表2[maxmin],0),MATCH(CJ$5,スコア表2[#Headers],0))
*10+50,"-")</f>
        <v>47.813636791017714</v>
      </c>
      <c r="CK53" s="77">
        <f>IFERROR(
(INDEX(スコア表[],MATCH($C53,スコア表['#],0),MATCH(CK$5,スコア表[#Headers],0))
-
INDEX(スコア表2[],MATCH("average",スコア表2[maxmin],0),MATCH(CK$5,スコア表2[#Headers],0)))
/
INDEX(スコア表2[],MATCH("stdev.p",スコア表2[maxmin],0),MATCH(CK$5,スコア表2[#Headers],0))
*10+50,"-")</f>
        <v>39.540223000504966</v>
      </c>
      <c r="CL53" s="77">
        <f>IFERROR(
(INDEX(スコア表[],MATCH($C53,スコア表['#],0),MATCH(CL$5,スコア表[#Headers],0))
-
INDEX(スコア表2[],MATCH("average",スコア表2[maxmin],0),MATCH(CL$5,スコア表2[#Headers],0)))
/
INDEX(スコア表2[],MATCH("stdev.p",スコア表2[maxmin],0),MATCH(CL$5,スコア表2[#Headers],0))
*10+50,"-")</f>
        <v>43.747116503026497</v>
      </c>
      <c r="CM53" s="77">
        <f>IFERROR(
(INDEX(スコア表[],MATCH($C53,スコア表['#],0),MATCH(CM$5,スコア表[#Headers],0))
-
INDEX(スコア表2[],MATCH("average",スコア表2[maxmin],0),MATCH(CM$5,スコア表2[#Headers],0)))
/
INDEX(スコア表2[],MATCH("stdev.p",スコア表2[maxmin],0),MATCH(CM$5,スコア表2[#Headers],0))
*10+50,"-")</f>
        <v>41.927736147180809</v>
      </c>
      <c r="CN53" s="77">
        <f>IFERROR(
(INDEX(スコア表[],MATCH($C53,スコア表['#],0),MATCH(CN$5,スコア表[#Headers],0))
-
INDEX(スコア表2[],MATCH("average",スコア表2[maxmin],0),MATCH(CN$5,スコア表2[#Headers],0)))
/
INDEX(スコア表2[],MATCH("stdev.p",スコア表2[maxmin],0),MATCH(CN$5,スコア表2[#Headers],0))
*10+50,"-")</f>
        <v>41.185311301354261</v>
      </c>
      <c r="CO53" s="77">
        <f>IFERROR(
(INDEX(スコア表[],MATCH($C53,スコア表['#],0),MATCH(CO$5,スコア表[#Headers],0))
-
INDEX(スコア表2[],MATCH("average",スコア表2[maxmin],0),MATCH(CO$5,スコア表2[#Headers],0)))
/
INDEX(スコア表2[],MATCH("stdev.p",スコア表2[maxmin],0),MATCH(CO$5,スコア表2[#Headers],0))
*10+50,"-")</f>
        <v>66.957291291398491</v>
      </c>
      <c r="CP53" s="77">
        <f>IFERROR(
(INDEX(スコア表[],MATCH($C53,スコア表['#],0),MATCH(CP$5,スコア表[#Headers],0))
-
INDEX(スコア表2[],MATCH("average",スコア表2[maxmin],0),MATCH(CP$5,スコア表2[#Headers],0)))
/
INDEX(スコア表2[],MATCH("stdev.p",スコア表2[maxmin],0),MATCH(CP$5,スコア表2[#Headers],0))
*10+50,"-")</f>
        <v>54.85264141943572</v>
      </c>
      <c r="CQ53" s="77">
        <f>IFERROR(
(INDEX(スコア表[],MATCH($C53,スコア表['#],0),MATCH(CQ$5,スコア表[#Headers],0))
-
INDEX(スコア表2[],MATCH("average",スコア表2[maxmin],0),MATCH(CQ$5,スコア表2[#Headers],0)))
/
INDEX(スコア表2[],MATCH("stdev.p",スコア表2[maxmin],0),MATCH(CQ$5,スコア表2[#Headers],0))
*10+50,"-")</f>
        <v>23.116823570423609</v>
      </c>
      <c r="CR53" s="77">
        <f>IFERROR(
(INDEX(スコア表[],MATCH($C53,スコア表['#],0),MATCH(CR$5,スコア表[#Headers],0))
-
INDEX(スコア表2[],MATCH("average",スコア表2[maxmin],0),MATCH(CR$5,スコア表2[#Headers],0)))
/
INDEX(スコア表2[],MATCH("stdev.p",スコア表2[maxmin],0),MATCH(CR$5,スコア表2[#Headers],0))
*10+50,"-")</f>
        <v>31.479060700811658</v>
      </c>
      <c r="CS53" s="77">
        <f>IFERROR(
(INDEX(スコア表[],MATCH($C53,スコア表['#],0),MATCH(CS$5,スコア表[#Headers],0))
-
INDEX(スコア表2[],MATCH("average",スコア表2[maxmin],0),MATCH(CS$5,スコア表2[#Headers],0)))
/
INDEX(スコア表2[],MATCH("stdev.p",スコア表2[maxmin],0),MATCH(CS$5,スコア表2[#Headers],0))
*10+50,"-")</f>
        <v>51.227333738965307</v>
      </c>
      <c r="CT53" s="77">
        <f>IFERROR(
(INDEX(スコア表[],MATCH($C53,スコア表['#],0),MATCH(CT$5,スコア表[#Headers],0))
-
INDEX(スコア表2[],MATCH("average",スコア表2[maxmin],0),MATCH(CT$5,スコア表2[#Headers],0)))
/
INDEX(スコア表2[],MATCH("stdev.p",スコア表2[maxmin],0),MATCH(CT$5,スコア表2[#Headers],0))
*10+50,"-")</f>
        <v>28.139746185061725</v>
      </c>
      <c r="CU53" s="77">
        <f>IFERROR(
(INDEX(スコア表[],MATCH($C53,スコア表['#],0),MATCH(CU$5,スコア表[#Headers],0))
-
INDEX(スコア表2[],MATCH("average",スコア表2[maxmin],0),MATCH(CU$5,スコア表2[#Headers],0)))
/
INDEX(スコア表2[],MATCH("stdev.p",スコア表2[maxmin],0),MATCH(CU$5,スコア表2[#Headers],0))
*10+50,"-")</f>
        <v>30.523516216478541</v>
      </c>
      <c r="CV53" s="77">
        <f>IFERROR(
(INDEX(スコア表[],MATCH($C53,スコア表['#],0),MATCH(CV$5,スコア表[#Headers],0))
-
INDEX(スコア表2[],MATCH("average",スコア表2[maxmin],0),MATCH(CV$5,スコア表2[#Headers],0)))
/
INDEX(スコア表2[],MATCH("stdev.p",スコア表2[maxmin],0),MATCH(CV$5,スコア表2[#Headers],0))
*10+50,"-")</f>
        <v>40.40041347507583</v>
      </c>
      <c r="CW53" s="77">
        <f>IFERROR(
(INDEX(スコア表[],MATCH($C53,スコア表['#],0),MATCH(CW$5,スコア表[#Headers],0))
-
INDEX(スコア表2[],MATCH("average",スコア表2[maxmin],0),MATCH(CW$5,スコア表2[#Headers],0)))
/
INDEX(スコア表2[],MATCH("stdev.p",スコア表2[maxmin],0),MATCH(CW$5,スコア表2[#Headers],0))
*10+50,"-")</f>
        <v>49.286180537806452</v>
      </c>
      <c r="CX53" s="77">
        <f>IFERROR(
(INDEX(スコア表[],MATCH($C53,スコア表['#],0),MATCH(CX$5,スコア表[#Headers],0))
-
INDEX(スコア表2[],MATCH("average",スコア表2[maxmin],0),MATCH(CX$5,スコア表2[#Headers],0)))
/
INDEX(スコア表2[],MATCH("stdev.p",スコア表2[maxmin],0),MATCH(CX$5,スコア表2[#Headers],0))
*10+50,"-")</f>
        <v>39.892996332341212</v>
      </c>
      <c r="CY53" s="77">
        <f>IFERROR(
(INDEX(スコア表[],MATCH($C53,スコア表['#],0),MATCH(CY$5,スコア表[#Headers],0))
-
INDEX(スコア表2[],MATCH("average",スコア表2[maxmin],0),MATCH(CY$5,スコア表2[#Headers],0)))
/
INDEX(スコア表2[],MATCH("stdev.p",スコア表2[maxmin],0),MATCH(CY$5,スコア表2[#Headers],0))
*10+50,"-")</f>
        <v>40.164411448746449</v>
      </c>
      <c r="CZ53" s="77">
        <f>IFERROR(
(INDEX(スコア表[],MATCH($C53,スコア表['#],0),MATCH(CZ$5,スコア表[#Headers],0))
-
INDEX(スコア表2[],MATCH("average",スコア表2[maxmin],0),MATCH(CZ$5,スコア表2[#Headers],0)))
/
INDEX(スコア表2[],MATCH("stdev.p",スコア表2[maxmin],0),MATCH(CZ$5,スコア表2[#Headers],0))
*10+50,"-")</f>
        <v>29.450422255326426</v>
      </c>
      <c r="DA53" s="77">
        <f>IFERROR(
(INDEX(スコア表[],MATCH($C53,スコア表['#],0),MATCH(DA$5,スコア表[#Headers],0))
-
INDEX(スコア表2[],MATCH("average",スコア表2[maxmin],0),MATCH(DA$5,スコア表2[#Headers],0)))
/
INDEX(スコア表2[],MATCH("stdev.p",スコア表2[maxmin],0),MATCH(DA$5,スコア表2[#Headers],0))
*10+50,"-")</f>
        <v>37.842982551594197</v>
      </c>
      <c r="DB53" s="77">
        <f>IFERROR(
(INDEX(スコア表[],MATCH($C53,スコア表['#],0),MATCH(DB$5,スコア表[#Headers],0))
-
INDEX(スコア表2[],MATCH("average",スコア表2[maxmin],0),MATCH(DB$5,スコア表2[#Headers],0)))
/
INDEX(スコア表2[],MATCH("stdev.p",スコア表2[maxmin],0),MATCH(DB$5,スコア表2[#Headers],0))
*10+50,"-")</f>
        <v>40.936739086183195</v>
      </c>
      <c r="DC53" s="77">
        <f>IFERROR(
(INDEX(スコア表[],MATCH($C53,スコア表['#],0),MATCH(DC$5,スコア表[#Headers],0))
-
INDEX(スコア表2[],MATCH("average",スコア表2[maxmin],0),MATCH(DC$5,スコア表2[#Headers],0)))
/
INDEX(スコア表2[],MATCH("stdev.p",スコア表2[maxmin],0),MATCH(DC$5,スコア表2[#Headers],0))
*10+50,"-")</f>
        <v>35.534710059674239</v>
      </c>
      <c r="DD53" s="77">
        <f>IFERROR(
(INDEX(スコア表[],MATCH($C53,スコア表['#],0),MATCH(DD$5,スコア表[#Headers],0))
-
INDEX(スコア表2[],MATCH("average",スコア表2[maxmin],0),MATCH(DD$5,スコア表2[#Headers],0)))
/
INDEX(スコア表2[],MATCH("stdev.p",スコア表2[maxmin],0),MATCH(DD$5,スコア表2[#Headers],0))
*10+50,"-")</f>
        <v>30.432655342022287</v>
      </c>
      <c r="DE53" s="77">
        <f>IFERROR(
(INDEX(スコア表[],MATCH($C53,スコア表['#],0),MATCH(DE$5,スコア表[#Headers],0))
-
INDEX(スコア表2[],MATCH("average",スコア表2[maxmin],0),MATCH(DE$5,スコア表2[#Headers],0)))
/
INDEX(スコア表2[],MATCH("stdev.p",スコア表2[maxmin],0),MATCH(DE$5,スコア表2[#Headers],0))
*10+50,"-")</f>
        <v>37.873628520015757</v>
      </c>
      <c r="DF53" s="78">
        <f>IFERROR(
(INDEX(スコア表[],MATCH($C53,スコア表['#],0),MATCH(DF$5,スコア表[#Headers],0))
-
INDEX(スコア表2[],MATCH("average",スコア表2[maxmin],0),MATCH(DF$5,スコア表2[#Headers],0)))
/
INDEX(スコア表2[],MATCH("stdev.p",スコア表2[maxmin],0),MATCH(DF$5,スコア表2[#Headers],0))
*10+50,"-")</f>
        <v>29.129746740362577</v>
      </c>
      <c r="DG53" s="77">
        <f>IFERROR(_xlfn.STDEV.P(偏差値表[[#This Row],[Economy]:[Accessibility]]),"")</f>
        <v>4.1395368409599635</v>
      </c>
    </row>
    <row r="54" spans="1:111">
      <c r="A54" s="2">
        <v>49</v>
      </c>
      <c r="B54" s="55"/>
      <c r="C54" s="3"/>
      <c r="D54" s="1"/>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row>
    <row r="55" spans="1:111">
      <c r="A55" s="2">
        <v>50</v>
      </c>
      <c r="B55" s="55"/>
      <c r="C55" s="3"/>
      <c r="D55" s="1"/>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row>
    <row r="57" spans="1:111" s="2" customFormat="1">
      <c r="B57"/>
      <c r="C57"/>
      <c r="D57" s="36" t="s">
        <v>612</v>
      </c>
      <c r="E57" s="54" t="s">
        <v>1088</v>
      </c>
      <c r="F57" s="54" t="s">
        <v>1089</v>
      </c>
      <c r="G57" s="54" t="s">
        <v>1090</v>
      </c>
      <c r="H57" s="135" t="s">
        <v>211</v>
      </c>
      <c r="I57" s="135" t="s">
        <v>212</v>
      </c>
      <c r="J57" s="135" t="s">
        <v>213</v>
      </c>
      <c r="K57" s="135" t="s">
        <v>214</v>
      </c>
      <c r="L57" s="135" t="s">
        <v>215</v>
      </c>
      <c r="M57" s="135" t="s">
        <v>216</v>
      </c>
      <c r="N57" s="135" t="s">
        <v>217</v>
      </c>
      <c r="O57" s="135" t="s">
        <v>218</v>
      </c>
      <c r="P57" s="135" t="s">
        <v>219</v>
      </c>
      <c r="Q57" s="133" t="s">
        <v>611</v>
      </c>
      <c r="R57" s="133" t="s">
        <v>547</v>
      </c>
      <c r="S57" s="133" t="s">
        <v>548</v>
      </c>
      <c r="T57" s="133" t="s">
        <v>549</v>
      </c>
      <c r="U57" s="143" t="s">
        <v>550</v>
      </c>
      <c r="V57" s="143" t="s">
        <v>551</v>
      </c>
      <c r="W57" s="143" t="s">
        <v>552</v>
      </c>
      <c r="X57" s="143" t="s">
        <v>553</v>
      </c>
      <c r="Y57" s="143" t="s">
        <v>554</v>
      </c>
      <c r="Z57" s="143" t="s">
        <v>555</v>
      </c>
      <c r="AA57" s="143" t="s">
        <v>556</v>
      </c>
      <c r="AB57" s="143" t="s">
        <v>557</v>
      </c>
      <c r="AC57" s="151" t="s">
        <v>558</v>
      </c>
      <c r="AD57" s="151" t="s">
        <v>559</v>
      </c>
      <c r="AE57" s="151" t="s">
        <v>560</v>
      </c>
      <c r="AF57" s="151" t="s">
        <v>561</v>
      </c>
      <c r="AG57" s="151" t="s">
        <v>562</v>
      </c>
      <c r="AH57" s="151" t="s">
        <v>563</v>
      </c>
      <c r="AI57" s="151" t="s">
        <v>564</v>
      </c>
      <c r="AJ57" s="151" t="s">
        <v>565</v>
      </c>
      <c r="AK57" s="151" t="s">
        <v>566</v>
      </c>
      <c r="AL57" s="151" t="s">
        <v>567</v>
      </c>
      <c r="AM57" s="151" t="s">
        <v>568</v>
      </c>
      <c r="AN57" s="151" t="s">
        <v>569</v>
      </c>
      <c r="AO57" s="151" t="s">
        <v>570</v>
      </c>
      <c r="AP57" s="151" t="s">
        <v>571</v>
      </c>
      <c r="AQ57" s="151" t="s">
        <v>572</v>
      </c>
      <c r="AR57" s="151" t="s">
        <v>573</v>
      </c>
      <c r="AS57" s="158" t="s">
        <v>574</v>
      </c>
      <c r="AT57" s="158" t="s">
        <v>575</v>
      </c>
      <c r="AU57" s="158" t="s">
        <v>576</v>
      </c>
      <c r="AV57" s="158" t="s">
        <v>577</v>
      </c>
      <c r="AW57" s="158" t="s">
        <v>578</v>
      </c>
      <c r="AX57" s="158" t="s">
        <v>579</v>
      </c>
      <c r="AY57" s="158" t="s">
        <v>580</v>
      </c>
      <c r="AZ57" s="158" t="s">
        <v>581</v>
      </c>
      <c r="BA57" s="158" t="s">
        <v>582</v>
      </c>
      <c r="BB57" s="158" t="s">
        <v>583</v>
      </c>
      <c r="BC57" s="158" t="s">
        <v>584</v>
      </c>
      <c r="BD57" s="158" t="s">
        <v>585</v>
      </c>
      <c r="BE57" s="158" t="s">
        <v>586</v>
      </c>
      <c r="BF57" s="158" t="s">
        <v>587</v>
      </c>
      <c r="BG57" s="166" t="s">
        <v>588</v>
      </c>
      <c r="BH57" s="166" t="s">
        <v>589</v>
      </c>
      <c r="BI57" s="166" t="s">
        <v>590</v>
      </c>
      <c r="BJ57" s="166" t="s">
        <v>591</v>
      </c>
      <c r="BK57" s="166" t="s">
        <v>592</v>
      </c>
      <c r="BL57" s="166" t="s">
        <v>593</v>
      </c>
      <c r="BM57" s="166" t="s">
        <v>594</v>
      </c>
      <c r="BN57" s="166" t="s">
        <v>595</v>
      </c>
      <c r="BO57" s="166" t="s">
        <v>596</v>
      </c>
      <c r="BP57" s="174" t="s">
        <v>597</v>
      </c>
      <c r="BQ57" s="174" t="s">
        <v>598</v>
      </c>
      <c r="BR57" s="174" t="s">
        <v>599</v>
      </c>
      <c r="BS57" s="174" t="s">
        <v>600</v>
      </c>
      <c r="BT57" s="174" t="s">
        <v>601</v>
      </c>
      <c r="BU57" s="174" t="s">
        <v>602</v>
      </c>
      <c r="BV57" s="174" t="s">
        <v>603</v>
      </c>
      <c r="BW57" s="174" t="s">
        <v>604</v>
      </c>
      <c r="BX57" s="174" t="s">
        <v>605</v>
      </c>
      <c r="BY57" s="174" t="s">
        <v>606</v>
      </c>
      <c r="BZ57" s="133" t="s">
        <v>254</v>
      </c>
      <c r="CA57" s="133" t="s">
        <v>255</v>
      </c>
      <c r="CB57" s="133" t="s">
        <v>256</v>
      </c>
      <c r="CC57" s="133" t="s">
        <v>257</v>
      </c>
      <c r="CD57" s="133" t="s">
        <v>258</v>
      </c>
      <c r="CE57" s="133" t="s">
        <v>259</v>
      </c>
      <c r="CF57" s="143" t="s">
        <v>260</v>
      </c>
      <c r="CG57" s="143" t="s">
        <v>261</v>
      </c>
      <c r="CH57" s="143" t="s">
        <v>262</v>
      </c>
      <c r="CI57" s="151" t="s">
        <v>263</v>
      </c>
      <c r="CJ57" s="151" t="s">
        <v>264</v>
      </c>
      <c r="CK57" s="151" t="s">
        <v>265</v>
      </c>
      <c r="CL57" s="151" t="s">
        <v>266</v>
      </c>
      <c r="CM57" s="151" t="s">
        <v>267</v>
      </c>
      <c r="CN57" s="158" t="s">
        <v>268</v>
      </c>
      <c r="CO57" s="158" t="s">
        <v>269</v>
      </c>
      <c r="CP57" s="158" t="s">
        <v>270</v>
      </c>
      <c r="CQ57" s="158" t="s">
        <v>271</v>
      </c>
      <c r="CR57" s="158" t="s">
        <v>272</v>
      </c>
      <c r="CS57" s="166" t="s">
        <v>273</v>
      </c>
      <c r="CT57" s="166" t="s">
        <v>274</v>
      </c>
      <c r="CU57" s="166" t="s">
        <v>275</v>
      </c>
      <c r="CV57" s="174" t="s">
        <v>276</v>
      </c>
      <c r="CW57" s="174" t="s">
        <v>277</v>
      </c>
      <c r="CX57" s="174" t="s">
        <v>278</v>
      </c>
      <c r="CY57" s="174" t="s">
        <v>279</v>
      </c>
      <c r="CZ57" s="133" t="s">
        <v>614</v>
      </c>
      <c r="DA57" s="143" t="s">
        <v>442</v>
      </c>
      <c r="DB57" s="151" t="s">
        <v>7</v>
      </c>
      <c r="DC57" s="158" t="s">
        <v>281</v>
      </c>
      <c r="DD57" s="166" t="s">
        <v>9</v>
      </c>
      <c r="DE57" s="174" t="s">
        <v>10</v>
      </c>
      <c r="DF57" s="228" t="s">
        <v>226</v>
      </c>
      <c r="DG57" s="228"/>
    </row>
    <row r="58" spans="1:111">
      <c r="C58"/>
      <c r="D58" s="43" t="s">
        <v>607</v>
      </c>
      <c r="E58" s="4">
        <f t="shared" ref="E58:AK58" si="0">MAX(E6:E55)</f>
        <v>84.858738765271795</v>
      </c>
      <c r="F58" s="4">
        <f t="shared" si="0"/>
        <v>95.150471958247209</v>
      </c>
      <c r="G58" s="4">
        <f t="shared" si="0"/>
        <v>118.29428206102675</v>
      </c>
      <c r="H58" s="4">
        <f t="shared" si="0"/>
        <v>82.556876413798079</v>
      </c>
      <c r="I58" s="4">
        <f t="shared" si="0"/>
        <v>79.246879468695141</v>
      </c>
      <c r="J58" s="4">
        <f t="shared" si="0"/>
        <v>83.515868132633017</v>
      </c>
      <c r="K58" s="4">
        <f t="shared" si="0"/>
        <v>66.439173332491123</v>
      </c>
      <c r="L58" s="4">
        <f t="shared" si="0"/>
        <v>116.26925088140689</v>
      </c>
      <c r="M58" s="4">
        <f t="shared" si="0"/>
        <v>109.59339218778055</v>
      </c>
      <c r="N58" s="4">
        <f t="shared" si="0"/>
        <v>86.816754042097358</v>
      </c>
      <c r="O58" s="4">
        <f t="shared" si="0"/>
        <v>68.431725556095643</v>
      </c>
      <c r="P58" s="4">
        <f t="shared" si="0"/>
        <v>69.612131471789525</v>
      </c>
      <c r="Q58" s="4">
        <f t="shared" si="0"/>
        <v>66.897786386435456</v>
      </c>
      <c r="R58" s="4">
        <f t="shared" si="0"/>
        <v>73.075888707051021</v>
      </c>
      <c r="S58" s="4">
        <f t="shared" si="0"/>
        <v>78.33329116211182</v>
      </c>
      <c r="T58" s="4">
        <f t="shared" si="0"/>
        <v>59.734814980131418</v>
      </c>
      <c r="U58" s="4">
        <f t="shared" si="0"/>
        <v>83.15513475815608</v>
      </c>
      <c r="V58" s="4">
        <f t="shared" si="0"/>
        <v>78.024048666842702</v>
      </c>
      <c r="W58" s="4">
        <f t="shared" si="0"/>
        <v>95.042373107047609</v>
      </c>
      <c r="X58" s="4">
        <f t="shared" si="0"/>
        <v>100.86718119974063</v>
      </c>
      <c r="Y58" s="4">
        <f t="shared" si="0"/>
        <v>68.458811555712927</v>
      </c>
      <c r="Z58" s="4">
        <f t="shared" si="0"/>
        <v>90.82421638770569</v>
      </c>
      <c r="AA58" s="4">
        <f t="shared" si="0"/>
        <v>92.928747182645438</v>
      </c>
      <c r="AB58" s="4">
        <f t="shared" si="0"/>
        <v>96.228912469004712</v>
      </c>
      <c r="AC58" s="4">
        <f t="shared" si="0"/>
        <v>87.327713276985861</v>
      </c>
      <c r="AD58" s="4">
        <f t="shared" si="0"/>
        <v>83.466914526891131</v>
      </c>
      <c r="AE58" s="4">
        <f t="shared" si="0"/>
        <v>90.070286949470074</v>
      </c>
      <c r="AF58" s="4">
        <f t="shared" si="0"/>
        <v>108.50097277878166</v>
      </c>
      <c r="AG58" s="4">
        <f t="shared" si="0"/>
        <v>76.197672041240935</v>
      </c>
      <c r="AH58" s="4">
        <f t="shared" si="0"/>
        <v>79.693477021675719</v>
      </c>
      <c r="AI58" s="4">
        <f t="shared" si="0"/>
        <v>76.134161501526876</v>
      </c>
      <c r="AJ58" s="4">
        <f t="shared" si="0"/>
        <v>82.405119396383185</v>
      </c>
      <c r="AK58" s="4">
        <f t="shared" si="0"/>
        <v>82.364572976480787</v>
      </c>
      <c r="AL58" s="4">
        <f t="shared" ref="AL58:CW58" si="1">MAX(AL6:AL55)</f>
        <v>79.180219864857634</v>
      </c>
      <c r="AM58" s="4">
        <f t="shared" si="1"/>
        <v>81.233875147441097</v>
      </c>
      <c r="AN58" s="4">
        <f t="shared" si="1"/>
        <v>83.688221363203894</v>
      </c>
      <c r="AO58" s="4">
        <f t="shared" si="1"/>
        <v>75.572932535626137</v>
      </c>
      <c r="AP58" s="4">
        <f t="shared" si="1"/>
        <v>82.167602537846278</v>
      </c>
      <c r="AQ58" s="4">
        <f t="shared" si="1"/>
        <v>92.602904565816146</v>
      </c>
      <c r="AR58" s="4">
        <f t="shared" si="1"/>
        <v>84.128433293283734</v>
      </c>
      <c r="AS58" s="4">
        <f t="shared" si="1"/>
        <v>60.89682558121541</v>
      </c>
      <c r="AT58" s="4">
        <f t="shared" si="1"/>
        <v>67.75247670747558</v>
      </c>
      <c r="AU58" s="4">
        <f t="shared" si="1"/>
        <v>64.901562868812505</v>
      </c>
      <c r="AV58" s="4">
        <f t="shared" si="1"/>
        <v>65.046637898727894</v>
      </c>
      <c r="AW58" s="4">
        <f t="shared" si="1"/>
        <v>71.812801884847488</v>
      </c>
      <c r="AX58" s="4">
        <f t="shared" si="1"/>
        <v>55.213530797049124</v>
      </c>
      <c r="AY58" s="4">
        <f t="shared" si="1"/>
        <v>54.234761160025627</v>
      </c>
      <c r="AZ58" s="4">
        <f t="shared" si="1"/>
        <v>63.434261897564284</v>
      </c>
      <c r="BA58" s="4">
        <f t="shared" si="1"/>
        <v>65.808472508115955</v>
      </c>
      <c r="BB58" s="4">
        <f t="shared" si="1"/>
        <v>63.24966364269001</v>
      </c>
      <c r="BC58" s="4">
        <f t="shared" si="1"/>
        <v>72.886853868832191</v>
      </c>
      <c r="BD58" s="4">
        <f t="shared" si="1"/>
        <v>64.760994110607086</v>
      </c>
      <c r="BE58" s="4">
        <f t="shared" si="1"/>
        <v>74.650316365040709</v>
      </c>
      <c r="BF58" s="4">
        <f t="shared" si="1"/>
        <v>77.345052566149803</v>
      </c>
      <c r="BG58" s="4">
        <f t="shared" si="1"/>
        <v>73.703725110685212</v>
      </c>
      <c r="BH58" s="4">
        <f t="shared" si="1"/>
        <v>79.025612187457767</v>
      </c>
      <c r="BI58" s="4">
        <f t="shared" si="1"/>
        <v>75.174602128650591</v>
      </c>
      <c r="BJ58" s="4">
        <f t="shared" si="1"/>
        <v>61.71223513987529</v>
      </c>
      <c r="BK58" s="4">
        <f t="shared" si="1"/>
        <v>61.704100304072952</v>
      </c>
      <c r="BL58" s="4">
        <f t="shared" si="1"/>
        <v>71.346214773985423</v>
      </c>
      <c r="BM58" s="4">
        <f t="shared" si="1"/>
        <v>68.726882497700657</v>
      </c>
      <c r="BN58" s="4">
        <f t="shared" si="1"/>
        <v>66.972149123477649</v>
      </c>
      <c r="BO58" s="4">
        <f t="shared" si="1"/>
        <v>72.570684148271312</v>
      </c>
      <c r="BP58" s="4">
        <f t="shared" si="1"/>
        <v>78.716103640215323</v>
      </c>
      <c r="BQ58" s="4">
        <f t="shared" si="1"/>
        <v>86.679443566858339</v>
      </c>
      <c r="BR58" s="4">
        <f t="shared" si="1"/>
        <v>83.66680685467351</v>
      </c>
      <c r="BS58" s="4">
        <f t="shared" si="1"/>
        <v>90.865572411726262</v>
      </c>
      <c r="BT58" s="4">
        <f t="shared" si="1"/>
        <v>89.934880812549281</v>
      </c>
      <c r="BU58" s="4">
        <f t="shared" si="1"/>
        <v>68.558688886640795</v>
      </c>
      <c r="BV58" s="4">
        <f t="shared" si="1"/>
        <v>66.692110094317755</v>
      </c>
      <c r="BW58" s="4">
        <f t="shared" si="1"/>
        <v>67.037190602927609</v>
      </c>
      <c r="BX58" s="4">
        <f t="shared" si="1"/>
        <v>78.816881448491472</v>
      </c>
      <c r="BY58" s="4">
        <f t="shared" si="1"/>
        <v>75.058896031665725</v>
      </c>
      <c r="BZ58" s="4">
        <f t="shared" si="1"/>
        <v>77.9527271087683</v>
      </c>
      <c r="CA58" s="4">
        <f t="shared" si="1"/>
        <v>80.278045586518076</v>
      </c>
      <c r="CB58" s="4">
        <f t="shared" si="1"/>
        <v>97.811472641925576</v>
      </c>
      <c r="CC58" s="4">
        <f t="shared" si="1"/>
        <v>81.895763893435927</v>
      </c>
      <c r="CD58" s="4">
        <f t="shared" si="1"/>
        <v>70.402996044093086</v>
      </c>
      <c r="CE58" s="4">
        <f t="shared" si="1"/>
        <v>71.305669843106074</v>
      </c>
      <c r="CF58" s="4">
        <f t="shared" si="1"/>
        <v>74.310676221519913</v>
      </c>
      <c r="CG58" s="4">
        <f t="shared" si="1"/>
        <v>75.802908168886148</v>
      </c>
      <c r="CH58" s="4">
        <f t="shared" si="1"/>
        <v>86.822733811313142</v>
      </c>
      <c r="CI58" s="4">
        <f t="shared" si="1"/>
        <v>82.798261528820944</v>
      </c>
      <c r="CJ58" s="4">
        <f t="shared" si="1"/>
        <v>75.000231511738292</v>
      </c>
      <c r="CK58" s="4">
        <f t="shared" si="1"/>
        <v>83.586610614471368</v>
      </c>
      <c r="CL58" s="4">
        <f t="shared" si="1"/>
        <v>75.925860013620152</v>
      </c>
      <c r="CM58" s="4">
        <f t="shared" si="1"/>
        <v>90.583748719076297</v>
      </c>
      <c r="CN58" s="4">
        <f t="shared" si="1"/>
        <v>73.819623483652833</v>
      </c>
      <c r="CO58" s="4">
        <f t="shared" si="1"/>
        <v>66.957291291398491</v>
      </c>
      <c r="CP58" s="4">
        <f t="shared" si="1"/>
        <v>56.569892692205286</v>
      </c>
      <c r="CQ58" s="4">
        <f t="shared" si="1"/>
        <v>61.135983182639173</v>
      </c>
      <c r="CR58" s="4">
        <f t="shared" si="1"/>
        <v>75.626451507132884</v>
      </c>
      <c r="CS58" s="4">
        <f t="shared" si="1"/>
        <v>78.668457501320063</v>
      </c>
      <c r="CT58" s="4">
        <f t="shared" si="1"/>
        <v>67.733417885185546</v>
      </c>
      <c r="CU58" s="4">
        <f t="shared" si="1"/>
        <v>66.759684464827103</v>
      </c>
      <c r="CV58" s="4">
        <f t="shared" si="1"/>
        <v>72.78654840838098</v>
      </c>
      <c r="CW58" s="4">
        <f t="shared" si="1"/>
        <v>86.347202128658665</v>
      </c>
      <c r="CX58" s="4">
        <f t="shared" ref="CX58:DF58" si="2">MAX(CX6:CX55)</f>
        <v>68.574148956305677</v>
      </c>
      <c r="CY58" s="4">
        <f t="shared" si="2"/>
        <v>84.104046324383376</v>
      </c>
      <c r="CZ58" s="4">
        <f t="shared" si="2"/>
        <v>73.331497303580832</v>
      </c>
      <c r="DA58" s="4">
        <f t="shared" si="2"/>
        <v>79.884047502502668</v>
      </c>
      <c r="DB58" s="4">
        <f t="shared" si="2"/>
        <v>86.772741769308922</v>
      </c>
      <c r="DC58" s="4">
        <f t="shared" si="2"/>
        <v>69.847064135478533</v>
      </c>
      <c r="DD58" s="4">
        <f t="shared" si="2"/>
        <v>70.341467359180612</v>
      </c>
      <c r="DE58" s="4">
        <f t="shared" si="2"/>
        <v>73.087902762382669</v>
      </c>
      <c r="DF58" s="4">
        <f t="shared" si="2"/>
        <v>80.918178715655742</v>
      </c>
      <c r="DG58" s="4"/>
    </row>
    <row r="59" spans="1:111">
      <c r="C59"/>
      <c r="D59" s="43" t="s">
        <v>608</v>
      </c>
      <c r="E59" s="4">
        <f t="shared" ref="E59:BP59" si="3">MIN(E6:E55)</f>
        <v>40.858798024340231</v>
      </c>
      <c r="F59" s="4">
        <f t="shared" si="3"/>
        <v>44.82402566725326</v>
      </c>
      <c r="G59" s="4">
        <f t="shared" si="3"/>
        <v>48.331834628999054</v>
      </c>
      <c r="H59" s="4">
        <f t="shared" si="3"/>
        <v>40.709336247079911</v>
      </c>
      <c r="I59" s="4">
        <f t="shared" si="3"/>
        <v>37.257139322180343</v>
      </c>
      <c r="J59" s="4">
        <f t="shared" si="3"/>
        <v>30.40043971074877</v>
      </c>
      <c r="K59" s="4">
        <f t="shared" si="3"/>
        <v>30.301508395480198</v>
      </c>
      <c r="L59" s="4">
        <f t="shared" si="3"/>
        <v>46.831481232281661</v>
      </c>
      <c r="M59" s="4">
        <f t="shared" si="3"/>
        <v>45.544318921595732</v>
      </c>
      <c r="N59" s="4">
        <f t="shared" si="3"/>
        <v>40.697704461116125</v>
      </c>
      <c r="O59" s="4">
        <f t="shared" si="3"/>
        <v>23.405101863628527</v>
      </c>
      <c r="P59" s="4">
        <f t="shared" si="3"/>
        <v>34.561435068264586</v>
      </c>
      <c r="Q59" s="4">
        <f t="shared" si="3"/>
        <v>31.997302238261515</v>
      </c>
      <c r="R59" s="4">
        <f t="shared" si="3"/>
        <v>32.631877387778452</v>
      </c>
      <c r="S59" s="4">
        <f t="shared" si="3"/>
        <v>32.340650906204225</v>
      </c>
      <c r="T59" s="4">
        <f t="shared" si="3"/>
        <v>15.773795292758081</v>
      </c>
      <c r="U59" s="4">
        <f t="shared" si="3"/>
        <v>40.886770288563461</v>
      </c>
      <c r="V59" s="4">
        <f t="shared" si="3"/>
        <v>40.448052173437482</v>
      </c>
      <c r="W59" s="4">
        <f t="shared" si="3"/>
        <v>43.362158298237944</v>
      </c>
      <c r="X59" s="4">
        <f t="shared" si="3"/>
        <v>40.938699671755664</v>
      </c>
      <c r="Y59" s="4">
        <f t="shared" si="3"/>
        <v>22.61775737481716</v>
      </c>
      <c r="Z59" s="4">
        <f t="shared" si="3"/>
        <v>43.91514407847724</v>
      </c>
      <c r="AA59" s="4">
        <f t="shared" si="3"/>
        <v>44.664612103409482</v>
      </c>
      <c r="AB59" s="4">
        <f t="shared" si="3"/>
        <v>43.128890051284046</v>
      </c>
      <c r="AC59" s="4">
        <f t="shared" si="3"/>
        <v>43.044344711375658</v>
      </c>
      <c r="AD59" s="4">
        <f t="shared" si="3"/>
        <v>31.213575918764707</v>
      </c>
      <c r="AE59" s="4">
        <f t="shared" si="3"/>
        <v>43.516249708615518</v>
      </c>
      <c r="AF59" s="4">
        <f t="shared" si="3"/>
        <v>45.069047883686792</v>
      </c>
      <c r="AG59" s="4">
        <f t="shared" si="3"/>
        <v>29.077780946404829</v>
      </c>
      <c r="AH59" s="4">
        <f t="shared" si="3"/>
        <v>40.910160095405388</v>
      </c>
      <c r="AI59" s="4">
        <f t="shared" si="3"/>
        <v>28.415744224437752</v>
      </c>
      <c r="AJ59" s="4">
        <f t="shared" si="3"/>
        <v>40.460124299889628</v>
      </c>
      <c r="AK59" s="4">
        <f t="shared" si="3"/>
        <v>38.951628691062545</v>
      </c>
      <c r="AL59" s="4">
        <f t="shared" si="3"/>
        <v>37.468056045501186</v>
      </c>
      <c r="AM59" s="4">
        <f t="shared" si="3"/>
        <v>37.877347807941717</v>
      </c>
      <c r="AN59" s="4">
        <f t="shared" si="3"/>
        <v>41.093776106132538</v>
      </c>
      <c r="AO59" s="4">
        <f t="shared" si="3"/>
        <v>30.646378285104198</v>
      </c>
      <c r="AP59" s="4">
        <f t="shared" si="3"/>
        <v>29.478470083153997</v>
      </c>
      <c r="AQ59" s="4">
        <f t="shared" si="3"/>
        <v>42.52687767084101</v>
      </c>
      <c r="AR59" s="4">
        <f t="shared" si="3"/>
        <v>42.398046416295394</v>
      </c>
      <c r="AS59" s="4">
        <f t="shared" si="3"/>
        <v>-3.4862058785244443</v>
      </c>
      <c r="AT59" s="4">
        <f t="shared" si="3"/>
        <v>19.471267810539846</v>
      </c>
      <c r="AU59" s="4">
        <f t="shared" si="3"/>
        <v>26.335127027306015</v>
      </c>
      <c r="AV59" s="4">
        <f t="shared" si="3"/>
        <v>24.866112996806788</v>
      </c>
      <c r="AW59" s="4">
        <f t="shared" si="3"/>
        <v>23.784099163463011</v>
      </c>
      <c r="AX59" s="4">
        <f t="shared" si="3"/>
        <v>5.0664601933327873</v>
      </c>
      <c r="AY59" s="4">
        <f t="shared" si="3"/>
        <v>-15.400271571835219</v>
      </c>
      <c r="AZ59" s="4">
        <f t="shared" si="3"/>
        <v>15.630273083295812</v>
      </c>
      <c r="BA59" s="4">
        <f t="shared" si="3"/>
        <v>27.246733983631923</v>
      </c>
      <c r="BB59" s="4">
        <f t="shared" si="3"/>
        <v>25.285719178384063</v>
      </c>
      <c r="BC59" s="4">
        <f t="shared" si="3"/>
        <v>32.407477104769598</v>
      </c>
      <c r="BD59" s="4">
        <f t="shared" si="3"/>
        <v>28.307826027471513</v>
      </c>
      <c r="BE59" s="4">
        <f t="shared" si="3"/>
        <v>29.377080674856167</v>
      </c>
      <c r="BF59" s="4">
        <f t="shared" si="3"/>
        <v>33.206594485834891</v>
      </c>
      <c r="BG59" s="4">
        <f t="shared" si="3"/>
        <v>29.018999036541615</v>
      </c>
      <c r="BH59" s="4">
        <f t="shared" si="3"/>
        <v>38.231092228112928</v>
      </c>
      <c r="BI59" s="4">
        <f t="shared" si="3"/>
        <v>31.536535610845469</v>
      </c>
      <c r="BJ59" s="4">
        <f t="shared" si="3"/>
        <v>13.742165712753732</v>
      </c>
      <c r="BK59" s="4">
        <f t="shared" si="3"/>
        <v>18.772240917180664</v>
      </c>
      <c r="BL59" s="4">
        <f t="shared" si="3"/>
        <v>21.292189724556557</v>
      </c>
      <c r="BM59" s="4">
        <f t="shared" si="3"/>
        <v>31.006226065280192</v>
      </c>
      <c r="BN59" s="4">
        <f t="shared" si="3"/>
        <v>23.742236607799008</v>
      </c>
      <c r="BO59" s="4">
        <f t="shared" si="3"/>
        <v>32.687649928393341</v>
      </c>
      <c r="BP59" s="4">
        <f t="shared" si="3"/>
        <v>35.903628447004827</v>
      </c>
      <c r="BQ59" s="4">
        <f t="shared" ref="BQ59:DF59" si="4">MIN(BQ6:BQ55)</f>
        <v>41.783639921753696</v>
      </c>
      <c r="BR59" s="4">
        <f t="shared" si="4"/>
        <v>38.078677393745565</v>
      </c>
      <c r="BS59" s="4">
        <f t="shared" si="4"/>
        <v>37.591086637078305</v>
      </c>
      <c r="BT59" s="4">
        <f t="shared" si="4"/>
        <v>38.599624740047169</v>
      </c>
      <c r="BU59" s="4">
        <f t="shared" si="4"/>
        <v>30.521672116108896</v>
      </c>
      <c r="BV59" s="4">
        <f t="shared" si="4"/>
        <v>30.178616223885054</v>
      </c>
      <c r="BW59" s="4">
        <f t="shared" si="4"/>
        <v>31.313727802219049</v>
      </c>
      <c r="BX59" s="4">
        <f t="shared" si="4"/>
        <v>30.142254562516325</v>
      </c>
      <c r="BY59" s="4">
        <f t="shared" si="4"/>
        <v>27.20716200778627</v>
      </c>
      <c r="BZ59" s="4">
        <f t="shared" si="4"/>
        <v>34.551558041536587</v>
      </c>
      <c r="CA59" s="4">
        <f t="shared" si="4"/>
        <v>30.373972548068096</v>
      </c>
      <c r="CB59" s="4">
        <f t="shared" si="4"/>
        <v>45.037330597417544</v>
      </c>
      <c r="CC59" s="4">
        <f t="shared" si="4"/>
        <v>35.244469069143243</v>
      </c>
      <c r="CD59" s="4">
        <f t="shared" si="4"/>
        <v>29.540669811673624</v>
      </c>
      <c r="CE59" s="4">
        <f t="shared" si="4"/>
        <v>16.185653376036868</v>
      </c>
      <c r="CF59" s="4">
        <f t="shared" si="4"/>
        <v>39.239210965683071</v>
      </c>
      <c r="CG59" s="4">
        <f t="shared" si="4"/>
        <v>29.516151142534184</v>
      </c>
      <c r="CH59" s="4">
        <f t="shared" si="4"/>
        <v>42.36546560907793</v>
      </c>
      <c r="CI59" s="4">
        <f t="shared" si="4"/>
        <v>36.377767301628168</v>
      </c>
      <c r="CJ59" s="4">
        <f t="shared" si="4"/>
        <v>31.689409045771146</v>
      </c>
      <c r="CK59" s="4">
        <f t="shared" si="4"/>
        <v>38.265535169319165</v>
      </c>
      <c r="CL59" s="4">
        <f t="shared" si="4"/>
        <v>33.223199974621103</v>
      </c>
      <c r="CM59" s="4">
        <f t="shared" si="4"/>
        <v>41.881096736401247</v>
      </c>
      <c r="CN59" s="4">
        <f t="shared" si="4"/>
        <v>21.651270631321825</v>
      </c>
      <c r="CO59" s="4">
        <f t="shared" si="4"/>
        <v>27.817727617960198</v>
      </c>
      <c r="CP59" s="4">
        <f t="shared" si="4"/>
        <v>13.751514003068451</v>
      </c>
      <c r="CQ59" s="4">
        <f t="shared" si="4"/>
        <v>23.116823570423609</v>
      </c>
      <c r="CR59" s="4">
        <f t="shared" si="4"/>
        <v>25.90520299688901</v>
      </c>
      <c r="CS59" s="4">
        <f t="shared" si="4"/>
        <v>21.215096091455749</v>
      </c>
      <c r="CT59" s="4">
        <f t="shared" si="4"/>
        <v>21.855831241456993</v>
      </c>
      <c r="CU59" s="4">
        <f t="shared" si="4"/>
        <v>28.031454931849176</v>
      </c>
      <c r="CV59" s="4">
        <f t="shared" si="4"/>
        <v>35.05261162857181</v>
      </c>
      <c r="CW59" s="4">
        <f t="shared" si="4"/>
        <v>38.033044380015639</v>
      </c>
      <c r="CX59" s="4">
        <f t="shared" si="4"/>
        <v>27.925562192636004</v>
      </c>
      <c r="CY59" s="4">
        <f t="shared" si="4"/>
        <v>30.03756545155991</v>
      </c>
      <c r="CZ59" s="4">
        <f t="shared" si="4"/>
        <v>28.126168256492857</v>
      </c>
      <c r="DA59" s="4">
        <f t="shared" si="4"/>
        <v>37.051751815050977</v>
      </c>
      <c r="DB59" s="4">
        <f t="shared" si="4"/>
        <v>36.288167736805775</v>
      </c>
      <c r="DC59" s="4">
        <f t="shared" si="4"/>
        <v>16.098537198719626</v>
      </c>
      <c r="DD59" s="4">
        <f t="shared" si="4"/>
        <v>23.034954285879913</v>
      </c>
      <c r="DE59" s="4">
        <f t="shared" si="4"/>
        <v>33.714282544352713</v>
      </c>
      <c r="DF59" s="4">
        <f t="shared" si="4"/>
        <v>29.129746740362577</v>
      </c>
      <c r="DG59" s="4"/>
    </row>
    <row r="60" spans="1:111">
      <c r="C60"/>
      <c r="D60" s="43" t="s">
        <v>609</v>
      </c>
      <c r="E60" s="4">
        <f t="shared" ref="E60:BP60" si="5">AVERAGE(E6:E55)</f>
        <v>49.999999999999993</v>
      </c>
      <c r="F60" s="4">
        <f t="shared" si="5"/>
        <v>49.999999999999993</v>
      </c>
      <c r="G60" s="4">
        <f t="shared" si="5"/>
        <v>50.000000000000007</v>
      </c>
      <c r="H60" s="4">
        <f t="shared" si="5"/>
        <v>50</v>
      </c>
      <c r="I60" s="4">
        <f t="shared" si="5"/>
        <v>50</v>
      </c>
      <c r="J60" s="4">
        <f t="shared" si="5"/>
        <v>50</v>
      </c>
      <c r="K60" s="4">
        <f t="shared" si="5"/>
        <v>50</v>
      </c>
      <c r="L60" s="4">
        <f t="shared" si="5"/>
        <v>50</v>
      </c>
      <c r="M60" s="4">
        <f t="shared" si="5"/>
        <v>49.999999999999993</v>
      </c>
      <c r="N60" s="4">
        <f t="shared" si="5"/>
        <v>50</v>
      </c>
      <c r="O60" s="4">
        <f t="shared" si="5"/>
        <v>50.000000000000021</v>
      </c>
      <c r="P60" s="4">
        <f t="shared" si="5"/>
        <v>49.999999999999993</v>
      </c>
      <c r="Q60" s="4">
        <f t="shared" si="5"/>
        <v>50.000000000000021</v>
      </c>
      <c r="R60" s="4">
        <f t="shared" si="5"/>
        <v>50</v>
      </c>
      <c r="S60" s="4">
        <f t="shared" si="5"/>
        <v>50</v>
      </c>
      <c r="T60" s="4">
        <f t="shared" si="5"/>
        <v>50.000000000000021</v>
      </c>
      <c r="U60" s="4">
        <f t="shared" si="5"/>
        <v>50.000000000000021</v>
      </c>
      <c r="V60" s="4">
        <f t="shared" si="5"/>
        <v>50</v>
      </c>
      <c r="W60" s="4">
        <f t="shared" si="5"/>
        <v>50</v>
      </c>
      <c r="X60" s="4">
        <f t="shared" si="5"/>
        <v>50</v>
      </c>
      <c r="Y60" s="4">
        <f t="shared" si="5"/>
        <v>49.999999999999979</v>
      </c>
      <c r="Z60" s="4">
        <f t="shared" si="5"/>
        <v>50</v>
      </c>
      <c r="AA60" s="4">
        <f t="shared" si="5"/>
        <v>50.000000000000036</v>
      </c>
      <c r="AB60" s="4">
        <f t="shared" si="5"/>
        <v>50</v>
      </c>
      <c r="AC60" s="4">
        <f t="shared" si="5"/>
        <v>50</v>
      </c>
      <c r="AD60" s="4">
        <f t="shared" si="5"/>
        <v>50</v>
      </c>
      <c r="AE60" s="4">
        <f t="shared" si="5"/>
        <v>50</v>
      </c>
      <c r="AF60" s="4">
        <f t="shared" si="5"/>
        <v>50</v>
      </c>
      <c r="AG60" s="4">
        <f t="shared" si="5"/>
        <v>49.999999999999979</v>
      </c>
      <c r="AH60" s="4">
        <f t="shared" si="5"/>
        <v>50.000000000000007</v>
      </c>
      <c r="AI60" s="4">
        <f t="shared" si="5"/>
        <v>50.000000000000007</v>
      </c>
      <c r="AJ60" s="4">
        <f t="shared" si="5"/>
        <v>50</v>
      </c>
      <c r="AK60" s="4">
        <f t="shared" si="5"/>
        <v>49.999999999999964</v>
      </c>
      <c r="AL60" s="4">
        <f t="shared" si="5"/>
        <v>50.000000000000007</v>
      </c>
      <c r="AM60" s="4">
        <f t="shared" si="5"/>
        <v>50</v>
      </c>
      <c r="AN60" s="4">
        <f t="shared" si="5"/>
        <v>50.000000000000007</v>
      </c>
      <c r="AO60" s="4">
        <f t="shared" si="5"/>
        <v>49.999999999999993</v>
      </c>
      <c r="AP60" s="4">
        <f t="shared" si="5"/>
        <v>50.000000000000021</v>
      </c>
      <c r="AQ60" s="4">
        <f t="shared" si="5"/>
        <v>49.999999999999993</v>
      </c>
      <c r="AR60" s="4">
        <f t="shared" si="5"/>
        <v>50.000000000000007</v>
      </c>
      <c r="AS60" s="4">
        <f t="shared" si="5"/>
        <v>50</v>
      </c>
      <c r="AT60" s="4">
        <f t="shared" si="5"/>
        <v>49.999999999999979</v>
      </c>
      <c r="AU60" s="4">
        <f t="shared" si="5"/>
        <v>49.999999999999979</v>
      </c>
      <c r="AV60" s="4">
        <f t="shared" si="5"/>
        <v>50.000000000000007</v>
      </c>
      <c r="AW60" s="4">
        <f t="shared" si="5"/>
        <v>50.000000000000007</v>
      </c>
      <c r="AX60" s="4">
        <f t="shared" si="5"/>
        <v>49.999999999999972</v>
      </c>
      <c r="AY60" s="4">
        <f t="shared" si="5"/>
        <v>50.000000000000028</v>
      </c>
      <c r="AZ60" s="4">
        <f t="shared" si="5"/>
        <v>50</v>
      </c>
      <c r="BA60" s="4">
        <f t="shared" si="5"/>
        <v>50.000000000000007</v>
      </c>
      <c r="BB60" s="4">
        <f t="shared" si="5"/>
        <v>49.999999999999979</v>
      </c>
      <c r="BC60" s="4">
        <f t="shared" si="5"/>
        <v>50</v>
      </c>
      <c r="BD60" s="4">
        <f t="shared" si="5"/>
        <v>50</v>
      </c>
      <c r="BE60" s="4">
        <f t="shared" si="5"/>
        <v>49.999999999999993</v>
      </c>
      <c r="BF60" s="4">
        <f t="shared" si="5"/>
        <v>50.000000000000007</v>
      </c>
      <c r="BG60" s="4">
        <f t="shared" si="5"/>
        <v>49.999999999999979</v>
      </c>
      <c r="BH60" s="4">
        <f t="shared" si="5"/>
        <v>50.000000000000028</v>
      </c>
      <c r="BI60" s="4">
        <f t="shared" si="5"/>
        <v>50</v>
      </c>
      <c r="BJ60" s="4">
        <f t="shared" si="5"/>
        <v>50.000000000000007</v>
      </c>
      <c r="BK60" s="4">
        <f t="shared" si="5"/>
        <v>50</v>
      </c>
      <c r="BL60" s="4">
        <f t="shared" si="5"/>
        <v>50.000000000000007</v>
      </c>
      <c r="BM60" s="4">
        <f t="shared" si="5"/>
        <v>50</v>
      </c>
      <c r="BN60" s="4">
        <f t="shared" si="5"/>
        <v>49.999999999999993</v>
      </c>
      <c r="BO60" s="4">
        <f t="shared" si="5"/>
        <v>49.999999999999993</v>
      </c>
      <c r="BP60" s="4">
        <f t="shared" si="5"/>
        <v>50</v>
      </c>
      <c r="BQ60" s="4">
        <f t="shared" ref="BQ60:DF60" si="6">AVERAGE(BQ6:BQ55)</f>
        <v>49.999999999999993</v>
      </c>
      <c r="BR60" s="4">
        <f t="shared" si="6"/>
        <v>50</v>
      </c>
      <c r="BS60" s="4">
        <f t="shared" si="6"/>
        <v>50</v>
      </c>
      <c r="BT60" s="4">
        <f t="shared" si="6"/>
        <v>50.000000000000007</v>
      </c>
      <c r="BU60" s="4">
        <f t="shared" si="6"/>
        <v>49.999999999999993</v>
      </c>
      <c r="BV60" s="4">
        <f t="shared" si="6"/>
        <v>50</v>
      </c>
      <c r="BW60" s="4">
        <f t="shared" si="6"/>
        <v>50.000000000000007</v>
      </c>
      <c r="BX60" s="4">
        <f t="shared" si="6"/>
        <v>50.000000000000021</v>
      </c>
      <c r="BY60" s="4">
        <f t="shared" si="6"/>
        <v>50</v>
      </c>
      <c r="BZ60" s="4">
        <f t="shared" si="6"/>
        <v>49.999999999999993</v>
      </c>
      <c r="CA60" s="4">
        <f t="shared" si="6"/>
        <v>50</v>
      </c>
      <c r="CB60" s="4">
        <f t="shared" si="6"/>
        <v>50.000000000000007</v>
      </c>
      <c r="CC60" s="4">
        <f t="shared" si="6"/>
        <v>50.000000000000007</v>
      </c>
      <c r="CD60" s="4">
        <f t="shared" si="6"/>
        <v>49.999999999999993</v>
      </c>
      <c r="CE60" s="4">
        <f t="shared" si="6"/>
        <v>49.999999999999993</v>
      </c>
      <c r="CF60" s="4">
        <f t="shared" si="6"/>
        <v>50.000000000000007</v>
      </c>
      <c r="CG60" s="4">
        <f t="shared" si="6"/>
        <v>49.999999999999979</v>
      </c>
      <c r="CH60" s="4">
        <f t="shared" si="6"/>
        <v>49.999999999999979</v>
      </c>
      <c r="CI60" s="4">
        <f t="shared" si="6"/>
        <v>50</v>
      </c>
      <c r="CJ60" s="4">
        <f t="shared" si="6"/>
        <v>50.000000000000021</v>
      </c>
      <c r="CK60" s="4">
        <f t="shared" si="6"/>
        <v>50</v>
      </c>
      <c r="CL60" s="4">
        <f t="shared" si="6"/>
        <v>50.000000000000021</v>
      </c>
      <c r="CM60" s="4">
        <f t="shared" si="6"/>
        <v>50.000000000000007</v>
      </c>
      <c r="CN60" s="4">
        <f t="shared" si="6"/>
        <v>50.000000000000007</v>
      </c>
      <c r="CO60" s="4">
        <f t="shared" si="6"/>
        <v>50</v>
      </c>
      <c r="CP60" s="4">
        <f t="shared" si="6"/>
        <v>50</v>
      </c>
      <c r="CQ60" s="4">
        <f t="shared" si="6"/>
        <v>50.000000000000036</v>
      </c>
      <c r="CR60" s="4">
        <f t="shared" si="6"/>
        <v>49.999999999999979</v>
      </c>
      <c r="CS60" s="4">
        <f t="shared" si="6"/>
        <v>49.999999999999993</v>
      </c>
      <c r="CT60" s="4">
        <f t="shared" si="6"/>
        <v>50.000000000000021</v>
      </c>
      <c r="CU60" s="4">
        <f t="shared" si="6"/>
        <v>50</v>
      </c>
      <c r="CV60" s="4">
        <f t="shared" si="6"/>
        <v>49.999999999999979</v>
      </c>
      <c r="CW60" s="4">
        <f t="shared" si="6"/>
        <v>50.000000000000007</v>
      </c>
      <c r="CX60" s="4">
        <f t="shared" si="6"/>
        <v>49.999999999999979</v>
      </c>
      <c r="CY60" s="4">
        <f t="shared" si="6"/>
        <v>49.999999999999993</v>
      </c>
      <c r="CZ60" s="4">
        <f t="shared" si="6"/>
        <v>50.000000000000007</v>
      </c>
      <c r="DA60" s="4">
        <f t="shared" si="6"/>
        <v>50</v>
      </c>
      <c r="DB60" s="4">
        <f t="shared" si="6"/>
        <v>50</v>
      </c>
      <c r="DC60" s="4">
        <f t="shared" si="6"/>
        <v>50.000000000000007</v>
      </c>
      <c r="DD60" s="4">
        <f t="shared" si="6"/>
        <v>50</v>
      </c>
      <c r="DE60" s="4">
        <f t="shared" si="6"/>
        <v>50</v>
      </c>
      <c r="DF60" s="4">
        <f t="shared" si="6"/>
        <v>50</v>
      </c>
      <c r="DG60" s="4"/>
    </row>
    <row r="61" spans="1:111">
      <c r="C61"/>
      <c r="D61" s="43" t="s">
        <v>610</v>
      </c>
      <c r="E61" s="4">
        <f t="shared" ref="E61:BP61" si="7">_xlfn.STDEV.P(E6:E55)</f>
        <v>10.00000000000002</v>
      </c>
      <c r="F61" s="4">
        <f t="shared" si="7"/>
        <v>10.00000000000006</v>
      </c>
      <c r="G61" s="4">
        <f t="shared" si="7"/>
        <v>9.9999999999999805</v>
      </c>
      <c r="H61" s="4">
        <f t="shared" si="7"/>
        <v>10.00000000000002</v>
      </c>
      <c r="I61" s="4">
        <f t="shared" si="7"/>
        <v>10</v>
      </c>
      <c r="J61" s="4">
        <f t="shared" si="7"/>
        <v>10.00000000000002</v>
      </c>
      <c r="K61" s="4">
        <f t="shared" si="7"/>
        <v>9.9999999999999805</v>
      </c>
      <c r="L61" s="4">
        <f t="shared" si="7"/>
        <v>10.000000000000041</v>
      </c>
      <c r="M61" s="4">
        <f t="shared" si="7"/>
        <v>10.000000000000101</v>
      </c>
      <c r="N61" s="4">
        <f t="shared" si="7"/>
        <v>10.00000000000002</v>
      </c>
      <c r="O61" s="4">
        <f t="shared" si="7"/>
        <v>9.9999999999998579</v>
      </c>
      <c r="P61" s="4">
        <f t="shared" si="7"/>
        <v>10.000000000000041</v>
      </c>
      <c r="Q61" s="4">
        <f t="shared" si="7"/>
        <v>9.9999999999999183</v>
      </c>
      <c r="R61" s="4">
        <f t="shared" si="7"/>
        <v>10.000000000000041</v>
      </c>
      <c r="S61" s="4">
        <f t="shared" si="7"/>
        <v>9.9999999999999591</v>
      </c>
      <c r="T61" s="4">
        <f t="shared" si="7"/>
        <v>9.9999999999998987</v>
      </c>
      <c r="U61" s="4">
        <f t="shared" si="7"/>
        <v>9.9999999999998987</v>
      </c>
      <c r="V61" s="4">
        <f t="shared" si="7"/>
        <v>10.00000000000002</v>
      </c>
      <c r="W61" s="4">
        <f t="shared" si="7"/>
        <v>9.9999999999999591</v>
      </c>
      <c r="X61" s="4">
        <f t="shared" si="7"/>
        <v>10.00000000000002</v>
      </c>
      <c r="Y61" s="4">
        <f t="shared" si="7"/>
        <v>10.000000000000142</v>
      </c>
      <c r="Z61" s="4">
        <f t="shared" si="7"/>
        <v>9.9999999999999805</v>
      </c>
      <c r="AA61" s="4">
        <f t="shared" si="7"/>
        <v>9.9999999999999183</v>
      </c>
      <c r="AB61" s="4">
        <f t="shared" si="7"/>
        <v>10</v>
      </c>
      <c r="AC61" s="4">
        <f t="shared" si="7"/>
        <v>10.000000000000041</v>
      </c>
      <c r="AD61" s="4">
        <f t="shared" si="7"/>
        <v>9.9999999999999591</v>
      </c>
      <c r="AE61" s="4">
        <f t="shared" si="7"/>
        <v>10</v>
      </c>
      <c r="AF61" s="4">
        <f t="shared" si="7"/>
        <v>9.9999999999999805</v>
      </c>
      <c r="AG61" s="4">
        <f t="shared" si="7"/>
        <v>10.000000000000101</v>
      </c>
      <c r="AH61" s="4">
        <f t="shared" si="7"/>
        <v>9.9999999999999591</v>
      </c>
      <c r="AI61" s="4">
        <f t="shared" si="7"/>
        <v>9.9999999999999591</v>
      </c>
      <c r="AJ61" s="4">
        <f t="shared" si="7"/>
        <v>10</v>
      </c>
      <c r="AK61" s="4">
        <f t="shared" si="7"/>
        <v>10.000000000000203</v>
      </c>
      <c r="AL61" s="4">
        <f t="shared" si="7"/>
        <v>9.9999999999999805</v>
      </c>
      <c r="AM61" s="4">
        <f t="shared" si="7"/>
        <v>9.9999999999999591</v>
      </c>
      <c r="AN61" s="4">
        <f t="shared" si="7"/>
        <v>9.9999999999999591</v>
      </c>
      <c r="AO61" s="4">
        <f t="shared" si="7"/>
        <v>10.000000000000041</v>
      </c>
      <c r="AP61" s="4">
        <f t="shared" si="7"/>
        <v>9.9999999999998987</v>
      </c>
      <c r="AQ61" s="4">
        <f t="shared" si="7"/>
        <v>10</v>
      </c>
      <c r="AR61" s="4">
        <f t="shared" si="7"/>
        <v>10</v>
      </c>
      <c r="AS61" s="4">
        <f t="shared" si="7"/>
        <v>9.9999999999999591</v>
      </c>
      <c r="AT61" s="4">
        <f t="shared" si="7"/>
        <v>10.000000000000121</v>
      </c>
      <c r="AU61" s="4">
        <f t="shared" si="7"/>
        <v>10.000000000000101</v>
      </c>
      <c r="AV61" s="4">
        <f t="shared" si="7"/>
        <v>9.9999999999999591</v>
      </c>
      <c r="AW61" s="4">
        <f t="shared" si="7"/>
        <v>9.9999999999999591</v>
      </c>
      <c r="AX61" s="4">
        <f t="shared" si="7"/>
        <v>10.000000000000181</v>
      </c>
      <c r="AY61" s="4">
        <f t="shared" si="7"/>
        <v>9.9999999999999183</v>
      </c>
      <c r="AZ61" s="4">
        <f t="shared" si="7"/>
        <v>9.9999999999999591</v>
      </c>
      <c r="BA61" s="4">
        <f t="shared" si="7"/>
        <v>9.9999999999999396</v>
      </c>
      <c r="BB61" s="4">
        <f t="shared" si="7"/>
        <v>10.000000000000101</v>
      </c>
      <c r="BC61" s="4">
        <f t="shared" si="7"/>
        <v>10</v>
      </c>
      <c r="BD61" s="4">
        <f t="shared" si="7"/>
        <v>9.9999999999999591</v>
      </c>
      <c r="BE61" s="4">
        <f t="shared" si="7"/>
        <v>10.00000000000006</v>
      </c>
      <c r="BF61" s="4">
        <f t="shared" si="7"/>
        <v>9.9999999999998987</v>
      </c>
      <c r="BG61" s="4">
        <f t="shared" si="7"/>
        <v>10.000000000000082</v>
      </c>
      <c r="BH61" s="4">
        <f t="shared" si="7"/>
        <v>9.9999999999998987</v>
      </c>
      <c r="BI61" s="4">
        <f t="shared" si="7"/>
        <v>10.00000000000002</v>
      </c>
      <c r="BJ61" s="4">
        <f t="shared" si="7"/>
        <v>9.9999999999999805</v>
      </c>
      <c r="BK61" s="4">
        <f t="shared" si="7"/>
        <v>10.00000000000002</v>
      </c>
      <c r="BL61" s="4">
        <f t="shared" si="7"/>
        <v>10</v>
      </c>
      <c r="BM61" s="4">
        <f t="shared" si="7"/>
        <v>9.9999999999999591</v>
      </c>
      <c r="BN61" s="4">
        <f t="shared" si="7"/>
        <v>10.000000000000082</v>
      </c>
      <c r="BO61" s="4">
        <f t="shared" si="7"/>
        <v>10.000000000000041</v>
      </c>
      <c r="BP61" s="4">
        <f t="shared" si="7"/>
        <v>10.000000000000041</v>
      </c>
      <c r="BQ61" s="4">
        <f t="shared" ref="BQ61:DF61" si="8">_xlfn.STDEV.P(BQ6:BQ55)</f>
        <v>10</v>
      </c>
      <c r="BR61" s="4">
        <f t="shared" si="8"/>
        <v>10</v>
      </c>
      <c r="BS61" s="4">
        <f t="shared" si="8"/>
        <v>9.9999999999999591</v>
      </c>
      <c r="BT61" s="4">
        <f t="shared" si="8"/>
        <v>10</v>
      </c>
      <c r="BU61" s="4">
        <f t="shared" si="8"/>
        <v>10.000000000000041</v>
      </c>
      <c r="BV61" s="4">
        <f t="shared" si="8"/>
        <v>9.9999999999999805</v>
      </c>
      <c r="BW61" s="4">
        <f t="shared" si="8"/>
        <v>9.9999999999999183</v>
      </c>
      <c r="BX61" s="4">
        <f t="shared" si="8"/>
        <v>9.9999999999999591</v>
      </c>
      <c r="BY61" s="4">
        <f t="shared" si="8"/>
        <v>10.00000000000002</v>
      </c>
      <c r="BZ61" s="4">
        <f t="shared" si="8"/>
        <v>10.000000000000041</v>
      </c>
      <c r="CA61" s="4">
        <f t="shared" si="8"/>
        <v>9.9999999999999591</v>
      </c>
      <c r="CB61" s="4">
        <f t="shared" si="8"/>
        <v>9.9999999999999805</v>
      </c>
      <c r="CC61" s="4">
        <f t="shared" si="8"/>
        <v>10.00000000000002</v>
      </c>
      <c r="CD61" s="4">
        <f t="shared" si="8"/>
        <v>10.00000000000006</v>
      </c>
      <c r="CE61" s="4">
        <f t="shared" si="8"/>
        <v>10.000000000000041</v>
      </c>
      <c r="CF61" s="4">
        <f t="shared" si="8"/>
        <v>9.9999999999999396</v>
      </c>
      <c r="CG61" s="4">
        <f t="shared" si="8"/>
        <v>10.000000000000101</v>
      </c>
      <c r="CH61" s="4">
        <f t="shared" si="8"/>
        <v>10.00000000000006</v>
      </c>
      <c r="CI61" s="4">
        <f t="shared" si="8"/>
        <v>10</v>
      </c>
      <c r="CJ61" s="4">
        <f t="shared" si="8"/>
        <v>9.9999999999999396</v>
      </c>
      <c r="CK61" s="4">
        <f t="shared" si="8"/>
        <v>9.9999999999999591</v>
      </c>
      <c r="CL61" s="4">
        <f t="shared" si="8"/>
        <v>9.9999999999999183</v>
      </c>
      <c r="CM61" s="4">
        <f t="shared" si="8"/>
        <v>9.9999999999999591</v>
      </c>
      <c r="CN61" s="4">
        <f t="shared" si="8"/>
        <v>9.9999999999999183</v>
      </c>
      <c r="CO61" s="4">
        <f t="shared" si="8"/>
        <v>10.00000000000006</v>
      </c>
      <c r="CP61" s="4">
        <f t="shared" si="8"/>
        <v>9.9999999999999591</v>
      </c>
      <c r="CQ61" s="4">
        <f t="shared" si="8"/>
        <v>9.9999999999998188</v>
      </c>
      <c r="CR61" s="4">
        <f t="shared" si="8"/>
        <v>10.00000000000006</v>
      </c>
      <c r="CS61" s="4">
        <f t="shared" si="8"/>
        <v>10</v>
      </c>
      <c r="CT61" s="4">
        <f t="shared" si="8"/>
        <v>9.9999999999999183</v>
      </c>
      <c r="CU61" s="4">
        <f t="shared" si="8"/>
        <v>9.9999999999999591</v>
      </c>
      <c r="CV61" s="4">
        <f t="shared" si="8"/>
        <v>10.00000000000006</v>
      </c>
      <c r="CW61" s="4">
        <f t="shared" si="8"/>
        <v>9.9999999999999183</v>
      </c>
      <c r="CX61" s="4">
        <f t="shared" si="8"/>
        <v>10.000000000000041</v>
      </c>
      <c r="CY61" s="4">
        <f t="shared" si="8"/>
        <v>10.00000000000006</v>
      </c>
      <c r="CZ61" s="4">
        <f t="shared" si="8"/>
        <v>10</v>
      </c>
      <c r="DA61" s="4">
        <f t="shared" si="8"/>
        <v>10</v>
      </c>
      <c r="DB61" s="4">
        <f t="shared" si="8"/>
        <v>10.000000000000041</v>
      </c>
      <c r="DC61" s="4">
        <f t="shared" si="8"/>
        <v>9.9999999999999805</v>
      </c>
      <c r="DD61" s="4">
        <f t="shared" si="8"/>
        <v>9.9999999999999591</v>
      </c>
      <c r="DE61" s="4">
        <f t="shared" si="8"/>
        <v>10.000000000000041</v>
      </c>
      <c r="DF61" s="4">
        <f t="shared" si="8"/>
        <v>10.00000000000006</v>
      </c>
      <c r="DG61" s="4"/>
    </row>
  </sheetData>
  <phoneticPr fontId="5"/>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B1:BQ78"/>
  <sheetViews>
    <sheetView showGridLines="0" zoomScale="115" zoomScaleNormal="115" zoomScaleSheetLayoutView="55" workbookViewId="0">
      <pane ySplit="8" topLeftCell="A9" activePane="bottomLeft" state="frozen"/>
      <selection pane="bottomLeft" activeCell="M27" sqref="M27"/>
    </sheetView>
  </sheetViews>
  <sheetFormatPr defaultColWidth="9.28515625" defaultRowHeight="15.75"/>
  <cols>
    <col min="1" max="1" width="3.28515625" bestFit="1" customWidth="1"/>
    <col min="2" max="2" width="3.28515625" style="2" bestFit="1" customWidth="1"/>
    <col min="3" max="6" width="15.140625" style="2" bestFit="1" customWidth="1"/>
    <col min="7" max="7" width="3.28515625" bestFit="1" customWidth="1"/>
    <col min="8" max="8" width="3.28515625" customWidth="1"/>
    <col min="9" max="9" width="15.140625" bestFit="1" customWidth="1"/>
    <col min="10" max="10" width="17.28515625" bestFit="1" customWidth="1"/>
    <col min="11" max="11" width="22.7109375" customWidth="1"/>
    <col min="12" max="15" width="9.28515625" style="2" customWidth="1"/>
    <col min="16" max="19" width="9.28515625" customWidth="1"/>
    <col min="20" max="20" width="3.28515625" bestFit="1" customWidth="1"/>
    <col min="21" max="21" width="3.28515625" style="2" bestFit="1" customWidth="1"/>
    <col min="22" max="22" width="8.140625" customWidth="1"/>
    <col min="23" max="23" width="3.28515625" style="2" customWidth="1"/>
    <col min="24" max="24" width="15.140625" bestFit="1" customWidth="1"/>
    <col min="25" max="36" width="9.28515625" style="2" customWidth="1"/>
    <col min="41" max="41" width="10.85546875" bestFit="1" customWidth="1"/>
    <col min="45" max="45" width="10.85546875" bestFit="1" customWidth="1"/>
  </cols>
  <sheetData>
    <row r="1" spans="2:69">
      <c r="B1"/>
      <c r="C1"/>
      <c r="D1"/>
      <c r="E1"/>
      <c r="F1"/>
      <c r="L1"/>
      <c r="M1"/>
      <c r="N1"/>
      <c r="O1"/>
      <c r="U1"/>
      <c r="W1"/>
      <c r="Y1"/>
      <c r="Z1"/>
      <c r="AA1"/>
      <c r="AB1"/>
      <c r="AC1"/>
      <c r="AD1"/>
      <c r="AE1"/>
      <c r="AF1"/>
      <c r="AG1"/>
      <c r="AH1"/>
      <c r="AI1"/>
      <c r="AJ1"/>
    </row>
    <row r="2" spans="2:69">
      <c r="B2"/>
      <c r="C2" s="434" t="s">
        <v>651</v>
      </c>
      <c r="D2" s="435"/>
      <c r="E2" s="435"/>
      <c r="F2" s="436"/>
      <c r="K2" s="36" t="s">
        <v>356</v>
      </c>
      <c r="L2" s="434" t="s">
        <v>362</v>
      </c>
      <c r="M2" s="435"/>
      <c r="N2" s="435"/>
      <c r="O2" s="436"/>
      <c r="P2" s="434" t="s">
        <v>356</v>
      </c>
      <c r="Q2" s="435"/>
      <c r="R2" s="435"/>
      <c r="S2" s="436"/>
      <c r="U2"/>
      <c r="W2"/>
      <c r="Y2"/>
      <c r="Z2"/>
      <c r="AA2"/>
      <c r="AB2"/>
      <c r="AC2"/>
      <c r="AD2"/>
      <c r="AE2"/>
      <c r="AF2"/>
      <c r="AG2"/>
      <c r="AH2"/>
      <c r="AI2"/>
      <c r="AJ2"/>
    </row>
    <row r="3" spans="2:69">
      <c r="B3" s="36" t="s">
        <v>656</v>
      </c>
      <c r="C3" s="235" t="s">
        <v>652</v>
      </c>
      <c r="D3" s="235" t="s">
        <v>2509</v>
      </c>
      <c r="E3" s="235" t="s">
        <v>653</v>
      </c>
      <c r="F3" s="235" t="s">
        <v>654</v>
      </c>
      <c r="J3" s="35" t="s">
        <v>353</v>
      </c>
      <c r="K3" s="11">
        <v>5</v>
      </c>
      <c r="L3" s="11">
        <f>COUNTIF(L$9:L$78,$J3)</f>
        <v>15</v>
      </c>
      <c r="M3" s="11">
        <f t="shared" ref="L3:O4" si="0">COUNTIF(M$9:M$78,$J3)</f>
        <v>14</v>
      </c>
      <c r="N3" s="11">
        <f t="shared" si="0"/>
        <v>19</v>
      </c>
      <c r="O3" s="11">
        <f t="shared" si="0"/>
        <v>20</v>
      </c>
      <c r="P3" s="11">
        <f t="shared" ref="P3:S4" si="1">L3*$K3</f>
        <v>75</v>
      </c>
      <c r="Q3" s="11">
        <f t="shared" si="1"/>
        <v>70</v>
      </c>
      <c r="R3" s="11">
        <f t="shared" si="1"/>
        <v>95</v>
      </c>
      <c r="S3" s="11">
        <f t="shared" si="1"/>
        <v>100</v>
      </c>
      <c r="U3"/>
      <c r="W3"/>
      <c r="Y3"/>
      <c r="Z3"/>
      <c r="AA3"/>
      <c r="AB3"/>
      <c r="AC3"/>
      <c r="AD3"/>
      <c r="AE3"/>
      <c r="AF3"/>
      <c r="AG3"/>
      <c r="AH3"/>
      <c r="AI3"/>
      <c r="AJ3"/>
    </row>
    <row r="4" spans="2:69">
      <c r="B4" s="36" t="s">
        <v>671</v>
      </c>
      <c r="C4" s="235" t="s">
        <v>648</v>
      </c>
      <c r="D4" s="235" t="s">
        <v>2510</v>
      </c>
      <c r="E4" s="235" t="s">
        <v>649</v>
      </c>
      <c r="F4" s="235" t="s">
        <v>650</v>
      </c>
      <c r="J4" s="35" t="s">
        <v>355</v>
      </c>
      <c r="K4" s="11">
        <v>1</v>
      </c>
      <c r="L4" s="11">
        <f t="shared" si="0"/>
        <v>17</v>
      </c>
      <c r="M4" s="11">
        <f t="shared" si="0"/>
        <v>20</v>
      </c>
      <c r="N4" s="11">
        <f t="shared" si="0"/>
        <v>11</v>
      </c>
      <c r="O4" s="11">
        <f t="shared" si="0"/>
        <v>11</v>
      </c>
      <c r="P4" s="11">
        <f t="shared" si="1"/>
        <v>17</v>
      </c>
      <c r="Q4" s="11">
        <f t="shared" si="1"/>
        <v>20</v>
      </c>
      <c r="R4" s="11">
        <f t="shared" si="1"/>
        <v>11</v>
      </c>
      <c r="S4" s="11">
        <f t="shared" si="1"/>
        <v>11</v>
      </c>
      <c r="U4"/>
      <c r="W4"/>
      <c r="Y4"/>
      <c r="Z4"/>
      <c r="AA4"/>
      <c r="AB4"/>
      <c r="AC4"/>
      <c r="AD4"/>
      <c r="AE4"/>
      <c r="AF4"/>
      <c r="AG4"/>
      <c r="AH4"/>
      <c r="AI4"/>
      <c r="AJ4"/>
    </row>
    <row r="5" spans="2:69">
      <c r="B5"/>
      <c r="C5"/>
      <c r="D5"/>
      <c r="E5"/>
      <c r="F5"/>
      <c r="J5" s="35" t="s">
        <v>620</v>
      </c>
      <c r="K5" s="11" t="s">
        <v>253</v>
      </c>
      <c r="L5" s="11">
        <f>L3+L4</f>
        <v>32</v>
      </c>
      <c r="M5" s="11">
        <f t="shared" ref="M5:O5" si="2">M3+M4</f>
        <v>34</v>
      </c>
      <c r="N5" s="11">
        <f t="shared" si="2"/>
        <v>30</v>
      </c>
      <c r="O5" s="11">
        <f t="shared" si="2"/>
        <v>31</v>
      </c>
      <c r="P5" s="11">
        <f>P3+P4</f>
        <v>92</v>
      </c>
      <c r="Q5" s="11">
        <f t="shared" ref="Q5:S5" si="3">Q3+Q4</f>
        <v>90</v>
      </c>
      <c r="R5" s="11">
        <f t="shared" si="3"/>
        <v>106</v>
      </c>
      <c r="S5" s="11">
        <f t="shared" si="3"/>
        <v>111</v>
      </c>
      <c r="U5"/>
      <c r="W5"/>
      <c r="Y5"/>
      <c r="Z5"/>
      <c r="AA5"/>
      <c r="AB5"/>
      <c r="AC5"/>
      <c r="AD5"/>
      <c r="AE5"/>
      <c r="AF5"/>
      <c r="AG5"/>
      <c r="AH5"/>
      <c r="AI5"/>
      <c r="AJ5"/>
    </row>
    <row r="6" spans="2:69">
      <c r="B6"/>
      <c r="C6"/>
      <c r="D6"/>
      <c r="E6"/>
      <c r="F6"/>
      <c r="L6"/>
      <c r="M6"/>
      <c r="N6"/>
      <c r="O6"/>
      <c r="U6"/>
      <c r="W6"/>
      <c r="Y6"/>
      <c r="Z6"/>
      <c r="AA6"/>
      <c r="AB6"/>
      <c r="AC6"/>
      <c r="AD6"/>
      <c r="AE6"/>
      <c r="AF6"/>
      <c r="AG6"/>
      <c r="AH6"/>
      <c r="AI6"/>
      <c r="AJ6"/>
      <c r="AL6" t="str">
        <f>$C$3</f>
        <v>経営者</v>
      </c>
      <c r="AP6" t="str">
        <f>$D$3</f>
        <v>高度人材</v>
      </c>
      <c r="AT6" t="str">
        <f>$E$3</f>
        <v>観光客</v>
      </c>
      <c r="AX6" t="str">
        <f>$F$3</f>
        <v>居住者</v>
      </c>
    </row>
    <row r="7" spans="2:69" ht="15.4" customHeight="1">
      <c r="B7"/>
      <c r="C7" t="s">
        <v>367</v>
      </c>
      <c r="D7"/>
      <c r="E7"/>
      <c r="F7"/>
      <c r="H7" t="s">
        <v>361</v>
      </c>
      <c r="L7" t="s">
        <v>366</v>
      </c>
      <c r="M7"/>
      <c r="N7"/>
      <c r="O7"/>
      <c r="P7" t="s">
        <v>365</v>
      </c>
      <c r="U7"/>
      <c r="W7"/>
      <c r="Y7" t="s">
        <v>357</v>
      </c>
      <c r="Z7"/>
      <c r="AA7"/>
      <c r="AB7"/>
      <c r="AC7" t="s">
        <v>358</v>
      </c>
      <c r="AD7"/>
      <c r="AE7"/>
      <c r="AF7"/>
      <c r="AG7" t="s">
        <v>359</v>
      </c>
      <c r="AH7"/>
      <c r="AI7"/>
      <c r="AJ7"/>
      <c r="AL7" t="str">
        <f>$C$4</f>
        <v>Corporate Executive</v>
      </c>
      <c r="AP7" t="str">
        <f>$D$4</f>
        <v>Highly-Skilled Worker</v>
      </c>
      <c r="AT7" t="str">
        <f>$E$4</f>
        <v>Tourist</v>
      </c>
      <c r="AX7" t="str">
        <f>$F$4</f>
        <v>Resident</v>
      </c>
      <c r="BC7" t="s">
        <v>3593</v>
      </c>
      <c r="BF7" t="s">
        <v>357</v>
      </c>
      <c r="BJ7" t="s">
        <v>358</v>
      </c>
      <c r="BN7" t="s">
        <v>359</v>
      </c>
    </row>
    <row r="8" spans="2:69" s="2" customFormat="1">
      <c r="B8"/>
      <c r="C8" s="230" t="str">
        <f>IF(JPEN!$C$2="EN",$C$4,$C$3)</f>
        <v>経営者</v>
      </c>
      <c r="D8" s="230" t="str">
        <f>IF(JPEN!$C$2="EN",$D$4,$D$3)</f>
        <v>高度人材</v>
      </c>
      <c r="E8" s="230" t="str">
        <f>IF(JPEN!$C$2="EN",$E$4,$E$3)</f>
        <v>観光客</v>
      </c>
      <c r="F8" s="230" t="str">
        <f>IF(JPEN!$C$2="EN",$F$4,$F$3)</f>
        <v>居住者</v>
      </c>
      <c r="H8" s="35" t="s">
        <v>208</v>
      </c>
      <c r="I8" s="36" t="str">
        <f>IF(JPEN!$C$2="EN",指標!$E$2,指標!$D$2)</f>
        <v>分野</v>
      </c>
      <c r="J8" s="36" t="str">
        <f>IF(JPEN!$C$2="EN",指標!$G$2,指標!$F$2)</f>
        <v>指標グループ</v>
      </c>
      <c r="K8" s="36" t="str">
        <f>IF(JPEN!$C$2="EN",指標!$I$2,指標!$H$2)</f>
        <v>指標</v>
      </c>
      <c r="L8" s="230" t="str">
        <f>IF(JPEN!$C$2="EN",$C$4,$C$3)</f>
        <v>経営者</v>
      </c>
      <c r="M8" s="230" t="str">
        <f>IF(JPEN!$C$2="EN",$D$4,$D$3)</f>
        <v>高度人材</v>
      </c>
      <c r="N8" s="230" t="str">
        <f>IF(JPEN!$C$2="EN",$E$4,$E$3)</f>
        <v>観光客</v>
      </c>
      <c r="O8" s="230" t="str">
        <f>IF(JPEN!$C$2="EN",$F$4,$F$3)</f>
        <v>居住者</v>
      </c>
      <c r="P8" s="230" t="str">
        <f>IF(JPEN!$C$2="EN",$C$4,$C$3)</f>
        <v>経営者</v>
      </c>
      <c r="Q8" s="230" t="str">
        <f>IF(JPEN!$C$2="EN",$D$4,$D$3)</f>
        <v>高度人材</v>
      </c>
      <c r="R8" s="230" t="str">
        <f>IF(JPEN!$C$2="EN",$E$4,$E$3)</f>
        <v>観光客</v>
      </c>
      <c r="S8" s="230" t="str">
        <f>IF(JPEN!$C$2="EN",$F$4,$F$3)</f>
        <v>居住者</v>
      </c>
      <c r="V8" s="84" t="s">
        <v>537</v>
      </c>
      <c r="W8" s="35" t="s">
        <v>208</v>
      </c>
      <c r="X8" s="36" t="s">
        <v>210</v>
      </c>
      <c r="Y8" s="230" t="str">
        <f>IF(JPEN!$C$2="EN",$C$4,$C$3)</f>
        <v>経営者</v>
      </c>
      <c r="Z8" s="230" t="str">
        <f>IF(JPEN!$C$2="EN",$D$4,$D$3)</f>
        <v>高度人材</v>
      </c>
      <c r="AA8" s="230" t="str">
        <f>IF(JPEN!$C$2="EN",$E$4,$E$3)</f>
        <v>観光客</v>
      </c>
      <c r="AB8" s="230" t="str">
        <f>IF(JPEN!$C$2="EN",$F$4,$F$3)</f>
        <v>居住者</v>
      </c>
      <c r="AC8" s="230" t="str">
        <f>IF(JPEN!$C$2="EN",$C$4,$C$3)</f>
        <v>経営者</v>
      </c>
      <c r="AD8" s="230" t="str">
        <f>IF(JPEN!$C$2="EN",$D$4,$D$3)</f>
        <v>高度人材</v>
      </c>
      <c r="AE8" s="230" t="str">
        <f>IF(JPEN!$C$2="EN",$E$4,$E$3)</f>
        <v>観光客</v>
      </c>
      <c r="AF8" s="230" t="str">
        <f>IF(JPEN!$C$2="EN",$F$4,$F$3)</f>
        <v>居住者</v>
      </c>
      <c r="AG8" s="230" t="str">
        <f>IF(JPEN!$C$2="EN",$C$4,$C$3)</f>
        <v>経営者</v>
      </c>
      <c r="AH8" s="230" t="str">
        <f>IF(JPEN!$C$2="EN",$D$4,$D$3)</f>
        <v>高度人材</v>
      </c>
      <c r="AI8" s="230" t="str">
        <f>IF(JPEN!$C$2="EN",$E$4,$E$3)</f>
        <v>観光客</v>
      </c>
      <c r="AJ8" s="230" t="str">
        <f>IF(JPEN!$C$2="EN",$F$4,$F$3)</f>
        <v>居住者</v>
      </c>
      <c r="AL8" s="343" t="s">
        <v>3588</v>
      </c>
      <c r="AM8" s="343" t="s">
        <v>3589</v>
      </c>
      <c r="AN8" s="344" t="s">
        <v>3591</v>
      </c>
      <c r="AO8" s="344" t="s">
        <v>3594</v>
      </c>
      <c r="AP8" s="345" t="s">
        <v>3588</v>
      </c>
      <c r="AQ8" s="345" t="s">
        <v>3589</v>
      </c>
      <c r="AR8" s="346" t="s">
        <v>3590</v>
      </c>
      <c r="AS8" s="346" t="s">
        <v>3594</v>
      </c>
      <c r="AT8" s="347" t="s">
        <v>3588</v>
      </c>
      <c r="AU8" s="347" t="s">
        <v>3589</v>
      </c>
      <c r="AV8" s="348" t="s">
        <v>3590</v>
      </c>
      <c r="AW8" s="348" t="s">
        <v>3594</v>
      </c>
      <c r="AX8" s="349" t="s">
        <v>3588</v>
      </c>
      <c r="AY8" s="349" t="s">
        <v>3589</v>
      </c>
      <c r="AZ8" s="350" t="s">
        <v>3590</v>
      </c>
      <c r="BA8" s="350" t="s">
        <v>3594</v>
      </c>
      <c r="BC8" s="84" t="s">
        <v>3588</v>
      </c>
      <c r="BD8" s="35" t="s">
        <v>523</v>
      </c>
      <c r="BE8" s="36" t="s">
        <v>669</v>
      </c>
      <c r="BF8" s="230" t="s">
        <v>648</v>
      </c>
      <c r="BG8" s="230" t="s">
        <v>3592</v>
      </c>
      <c r="BH8" s="230" t="s">
        <v>649</v>
      </c>
      <c r="BI8" s="230" t="s">
        <v>650</v>
      </c>
      <c r="BJ8" s="230" t="s">
        <v>648</v>
      </c>
      <c r="BK8" s="230" t="s">
        <v>3592</v>
      </c>
      <c r="BL8" s="230" t="s">
        <v>649</v>
      </c>
      <c r="BM8" s="230" t="s">
        <v>650</v>
      </c>
      <c r="BN8" s="230" t="s">
        <v>648</v>
      </c>
      <c r="BO8" s="230" t="s">
        <v>3592</v>
      </c>
      <c r="BP8" s="230" t="s">
        <v>649</v>
      </c>
      <c r="BQ8" s="230" t="s">
        <v>650</v>
      </c>
    </row>
    <row r="9" spans="2:69">
      <c r="B9" s="2">
        <v>1</v>
      </c>
      <c r="C9" s="4" t="str">
        <f t="shared" ref="C9:C56" ca="1" si="4">INDEX($X:$X,MATCH($B9,AC:AC,0),1)</f>
        <v>London</v>
      </c>
      <c r="D9" s="4" t="str">
        <f t="shared" ref="D9:D56" ca="1" si="5">INDEX($X:$X,MATCH($B9,AD:AD,0),1)</f>
        <v>London</v>
      </c>
      <c r="E9" s="4" t="str">
        <f t="shared" ref="E9:E56" ca="1" si="6">INDEX($X:$X,MATCH($B9,AE:AE,0),1)</f>
        <v>London</v>
      </c>
      <c r="F9" s="4" t="str">
        <f t="shared" ref="F9:F56" ca="1" si="7">INDEX($X:$X,MATCH($B9,AF:AF,0),1)</f>
        <v>Vienna</v>
      </c>
      <c r="H9" s="135" t="s">
        <v>211</v>
      </c>
      <c r="I9" s="183" t="str">
        <f>IFERROR(INDEX(指標マスタ[],MATCH($H9,指標マスタ['#],0),MATCH(I$8,指標マスタ[#Headers],0))&amp;"","")</f>
        <v>経済</v>
      </c>
      <c r="J9" s="183" t="str">
        <f>IFERROR(INDEX(指標マスタ[],MATCH($H9,指標マスタ['#],0),MATCH(J$8,指標マスタ[#Headers],0))&amp;"","")</f>
        <v>市場の規模</v>
      </c>
      <c r="K9" s="183" t="str">
        <f>IFERROR(INDEX(指標マスタ[],MATCH($H9,指標マスタ['#],0),MATCH(K$8,指標マスタ[#Headers],0))&amp;"","")</f>
        <v>GDP</v>
      </c>
      <c r="L9" s="11" t="s">
        <v>352</v>
      </c>
      <c r="M9" s="11"/>
      <c r="N9" s="11"/>
      <c r="O9" s="11"/>
      <c r="P9" s="3">
        <f t="shared" ref="P9:P56" si="8">IF(L9=$J$3,$K$3,IF(L9=$J$4,$K$4,0))</f>
        <v>5</v>
      </c>
      <c r="Q9" s="3">
        <f t="shared" ref="Q9:Q56" si="9">IF(M9=$J$3,$K$3,IF(M9=$J$4,$K$4,0))</f>
        <v>0</v>
      </c>
      <c r="R9" s="3">
        <f t="shared" ref="R9:R56" si="10">IF(N9=$J$3,$K$3,IF(N9=$J$4,$K$4,0))</f>
        <v>0</v>
      </c>
      <c r="S9" s="3">
        <f t="shared" ref="S9:S56" si="11">IF(O9=$J$3,$K$3,IF(O9=$J$4,$K$4,0))</f>
        <v>0</v>
      </c>
      <c r="U9" s="2">
        <v>1</v>
      </c>
      <c r="V9" s="83">
        <f>INDEX(順位表[Comprehensive],MATCH($W9,順位表['#],0))</f>
        <v>14</v>
      </c>
      <c r="W9" s="3">
        <v>1</v>
      </c>
      <c r="X9" s="1" t="str">
        <f>INDEX(都市マスタ[City Name],MATCH($W9,都市マスタ['#],0))</f>
        <v>Madrid</v>
      </c>
      <c r="Y9" s="4">
        <f t="array" aca="1" ref="Y9" ca="1">SUMPRODUCT(INDIRECT("スコア!$H"&amp;MATCH($W9,スコア!$C:$C,0)&amp;":$BY"&amp;MATCH($W9,スコア!$C:$C,0)),TRANSPOSE(P$9:P$78))/P$5</f>
        <v>41.262730105104332</v>
      </c>
      <c r="Z9" s="4">
        <f t="array" aca="1" ref="Z9" ca="1">SUMPRODUCT(INDIRECT("スコア!$H"&amp;MATCH($W9,スコア!$C:$C,0)&amp;":$BY"&amp;MATCH($W9,スコア!$C:$C,0)),TRANSPOSE(Q$9:Q$78))/Q$5</f>
        <v>55.42144222411109</v>
      </c>
      <c r="AA9" s="4">
        <f t="array" aca="1" ref="AA9" ca="1">SUMPRODUCT(INDIRECT("スコア!$H"&amp;MATCH($W9,スコア!$C:$C,0)&amp;":$BY"&amp;MATCH($W9,スコア!$C:$C,0)),TRANSPOSE(R$9:R$78))/R$5</f>
        <v>48.757584602566979</v>
      </c>
      <c r="AB9" s="4">
        <f t="array" aca="1" ref="AB9" ca="1">SUMPRODUCT(INDIRECT("スコア!$H"&amp;MATCH($W9,スコア!$C:$C,0)&amp;":$BY"&amp;MATCH($W9,スコア!$C:$C,0)),TRANSPOSE(S$9:S$78))/S$5</f>
        <v>63.359373112212609</v>
      </c>
      <c r="AC9" s="12">
        <f t="shared" ref="AC9:AC56" ca="1" si="12">RANK(Y9,Y$9:Y$58,0)</f>
        <v>31</v>
      </c>
      <c r="AD9" s="12">
        <f t="shared" ref="AD9:AD56" ca="1" si="13">RANK(Z9,Z$9:Z$58,0)</f>
        <v>7</v>
      </c>
      <c r="AE9" s="12">
        <f t="shared" ref="AE9:AE56" ca="1" si="14">RANK(AA9,AA$9:AA$58,0)</f>
        <v>8</v>
      </c>
      <c r="AF9" s="12">
        <f t="shared" ref="AF9:AF56" ca="1" si="15">RANK(AB9,AB$9:AB$58,0)</f>
        <v>4</v>
      </c>
      <c r="AG9" s="4">
        <f t="shared" ref="AG9:AG56" ca="1" si="16">(Y9-Y$62)/Y$63*10+50</f>
        <v>49.076924313087481</v>
      </c>
      <c r="AH9" s="4">
        <f t="shared" ref="AH9:AH56" ca="1" si="17">(Z9-Z$62)/Z$63*10+50</f>
        <v>58.250244523400283</v>
      </c>
      <c r="AI9" s="4">
        <f t="shared" ref="AI9:AI56" ca="1" si="18">(AA9-AA$62)/AA$63*10+50</f>
        <v>61.13816332742033</v>
      </c>
      <c r="AJ9" s="4">
        <f t="shared" ref="AJ9:AJ56" ca="1" si="19">(AB9-AB$62)/AB$63*10+50</f>
        <v>63.821772118703116</v>
      </c>
      <c r="AL9" s="351">
        <v>1</v>
      </c>
      <c r="AM9" s="352" t="str">
        <f ca="1">INDEX($X:$X,MATCH($AL9,$AC:$AC,0),1)</f>
        <v>London</v>
      </c>
      <c r="AN9" s="353">
        <f ca="1">INDEX($Y:$Y,MATCH($AL9,$AC:$AC,0),1)</f>
        <v>67.097149837911942</v>
      </c>
      <c r="AO9" s="354">
        <f t="shared" ref="AO9:AO56" ca="1" si="20">VLOOKUP($AM9,$BE:$BQ,6,FALSE)-AL9</f>
        <v>0</v>
      </c>
      <c r="AP9" s="351">
        <v>1</v>
      </c>
      <c r="AQ9" s="352" t="str">
        <f ca="1">INDEX($X:$X,MATCH($AL9,$AD:$AD,0),1)</f>
        <v>London</v>
      </c>
      <c r="AR9" s="352">
        <f t="shared" ref="AR9:AR56" ca="1" si="21">INDEX($Z:$Z,MATCH($AP9,$AD:$AD,0),1)</f>
        <v>76.088914130294441</v>
      </c>
      <c r="AS9" s="354">
        <f t="shared" ref="AS9:AS56" ca="1" si="22">VLOOKUP($AQ9,$BE:$BQ,7,FALSE)-AP9</f>
        <v>0</v>
      </c>
      <c r="AT9" s="351">
        <v>1</v>
      </c>
      <c r="AU9" s="352" t="str">
        <f t="shared" ref="AU9:AU56" ca="1" si="23">INDEX($X:$X,MATCH($AT9,$AE:$AE,0),1)</f>
        <v>London</v>
      </c>
      <c r="AV9" s="352">
        <f t="shared" ref="AV9:AV56" ca="1" si="24">INDEX($AA:$AA,MATCH($AT9,$AE:$AE,0),1)</f>
        <v>68.319325211647183</v>
      </c>
      <c r="AW9" s="354">
        <f t="shared" ref="AW9:AW56" ca="1" si="25">VLOOKUP($AU9,$BE:$BQ,8,FALSE)-AT9</f>
        <v>0</v>
      </c>
      <c r="AX9" s="351">
        <v>1</v>
      </c>
      <c r="AY9" s="352" t="str">
        <f t="shared" ref="AY9:AY56" ca="1" si="26">INDEX($X:$X,MATCH($AX9,$AF:$AF,0),1)</f>
        <v>Vienna</v>
      </c>
      <c r="AZ9" s="352">
        <f t="shared" ref="AZ9:AZ56" ca="1" si="27">INDEX($AB:$AB,MATCH($AX9,$AF:$AF,0),1)</f>
        <v>64.938637790274768</v>
      </c>
      <c r="BA9" s="354">
        <f t="shared" ref="BA9:BA56" ca="1" si="28">VLOOKUP($AY9,$BE:$BQ,9,FALSE)-AX9</f>
        <v>0</v>
      </c>
      <c r="BC9" s="83">
        <v>9</v>
      </c>
      <c r="BD9" s="3">
        <v>1</v>
      </c>
      <c r="BE9" s="1" t="s">
        <v>105</v>
      </c>
      <c r="BF9" s="4">
        <v>41.054743651404358</v>
      </c>
      <c r="BG9" s="4">
        <v>52.143973563709999</v>
      </c>
      <c r="BH9" s="4">
        <v>50.582402495299043</v>
      </c>
      <c r="BI9" s="4">
        <v>63.850406697109008</v>
      </c>
      <c r="BJ9" s="12">
        <v>32</v>
      </c>
      <c r="BK9" s="12">
        <v>16</v>
      </c>
      <c r="BL9" s="12">
        <v>6</v>
      </c>
      <c r="BM9" s="12">
        <v>5</v>
      </c>
      <c r="BN9" s="4">
        <v>48.673948989190961</v>
      </c>
      <c r="BO9" s="4">
        <v>55.054206380441727</v>
      </c>
      <c r="BP9" s="4">
        <v>62.604639804214258</v>
      </c>
      <c r="BQ9" s="4">
        <v>62.245129405609532</v>
      </c>
    </row>
    <row r="10" spans="2:69">
      <c r="B10" s="2">
        <v>2</v>
      </c>
      <c r="C10" s="4" t="str">
        <f t="shared" ca="1" si="4"/>
        <v>New York</v>
      </c>
      <c r="D10" s="4" t="str">
        <f t="shared" ca="1" si="5"/>
        <v>New York</v>
      </c>
      <c r="E10" s="4" t="str">
        <f t="shared" ca="1" si="6"/>
        <v>Tokyo</v>
      </c>
      <c r="F10" s="4" t="str">
        <f t="shared" ca="1" si="7"/>
        <v>Melbourne</v>
      </c>
      <c r="H10" s="135" t="s">
        <v>212</v>
      </c>
      <c r="I10" s="183" t="str">
        <f>IFERROR(INDEX(指標マスタ[],MATCH($H10,指標マスタ['#],0),MATCH(I$8,指標マスタ[#Headers],0))&amp;"","")</f>
        <v/>
      </c>
      <c r="J10" s="183" t="str">
        <f>IFERROR(INDEX(指標マスタ[],MATCH($H10,指標マスタ['#],0),MATCH(J$8,指標マスタ[#Headers],0))&amp;"","")</f>
        <v/>
      </c>
      <c r="K10" s="183" t="str">
        <f>IFERROR(INDEX(指標マスタ[],MATCH($H10,指標マスタ['#],0),MATCH(K$8,指標マスタ[#Headers],0))&amp;"","")</f>
        <v>1人あたりGDP</v>
      </c>
      <c r="L10" s="11" t="s">
        <v>352</v>
      </c>
      <c r="M10" s="11"/>
      <c r="N10" s="11"/>
      <c r="O10" s="11"/>
      <c r="P10" s="3">
        <f t="shared" si="8"/>
        <v>5</v>
      </c>
      <c r="Q10" s="3">
        <f t="shared" si="9"/>
        <v>0</v>
      </c>
      <c r="R10" s="3">
        <f t="shared" si="10"/>
        <v>0</v>
      </c>
      <c r="S10" s="3">
        <f t="shared" si="11"/>
        <v>0</v>
      </c>
      <c r="U10" s="2">
        <v>2</v>
      </c>
      <c r="V10" s="83">
        <f>INDEX(順位表[Comprehensive],MATCH($W10,順位表['#],0))</f>
        <v>22</v>
      </c>
      <c r="W10" s="3">
        <v>2</v>
      </c>
      <c r="X10" s="1" t="str">
        <f>INDEX(都市マスタ[City Name],MATCH($W10,都市マスタ['#],0))</f>
        <v>Barcelona</v>
      </c>
      <c r="Y10" s="4">
        <f t="array" aca="1" ref="Y10" ca="1">SUMPRODUCT(INDIRECT("スコア!$H"&amp;MATCH($W10,スコア!$C:$C,0)&amp;":$BY"&amp;MATCH($W10,スコア!$C:$C,0)),TRANSPOSE(P$9:P$78))/P$5</f>
        <v>40.695565789221732</v>
      </c>
      <c r="Z10" s="4">
        <f t="array" aca="1" ref="Z10" ca="1">SUMPRODUCT(INDIRECT("スコア!$H"&amp;MATCH($W10,スコア!$C:$C,0)&amp;":$BY"&amp;MATCH($W10,スコア!$C:$C,0)),TRANSPOSE(Q$9:Q$78))/Q$5</f>
        <v>52.594575721016675</v>
      </c>
      <c r="AA10" s="4">
        <f t="array" aca="1" ref="AA10" ca="1">SUMPRODUCT(INDIRECT("スコア!$H"&amp;MATCH($W10,スコア!$C:$C,0)&amp;":$BY"&amp;MATCH($W10,スコア!$C:$C,0)),TRANSPOSE(R$9:R$78))/R$5</f>
        <v>43.410154526121701</v>
      </c>
      <c r="AB10" s="4">
        <f t="array" aca="1" ref="AB10" ca="1">SUMPRODUCT(INDIRECT("スコア!$H"&amp;MATCH($W10,スコア!$C:$C,0)&amp;":$BY"&amp;MATCH($W10,スコア!$C:$C,0)),TRANSPOSE(S$9:S$78))/S$5</f>
        <v>58.885990479025224</v>
      </c>
      <c r="AC10" s="12">
        <f t="shared" ca="1" si="12"/>
        <v>32</v>
      </c>
      <c r="AD10" s="12">
        <f t="shared" ca="1" si="13"/>
        <v>13</v>
      </c>
      <c r="AE10" s="12">
        <f t="shared" ca="1" si="14"/>
        <v>13</v>
      </c>
      <c r="AF10" s="12">
        <f t="shared" ca="1" si="15"/>
        <v>12</v>
      </c>
      <c r="AG10" s="4">
        <f t="shared" ca="1" si="16"/>
        <v>48.499389473213014</v>
      </c>
      <c r="AH10" s="4">
        <f t="shared" ca="1" si="17"/>
        <v>55.178793495115727</v>
      </c>
      <c r="AI10" s="4">
        <f t="shared" ca="1" si="18"/>
        <v>55.485616741960413</v>
      </c>
      <c r="AJ10" s="4">
        <f t="shared" ca="1" si="19"/>
        <v>58.070302718733736</v>
      </c>
      <c r="AL10" s="351">
        <v>2</v>
      </c>
      <c r="AM10" s="352" t="str">
        <f t="shared" ref="AM10:AM56" ca="1" si="29">INDEX($X:$X,MATCH($AL10,AC:AC,0),1)</f>
        <v>New York</v>
      </c>
      <c r="AN10" s="353">
        <f t="shared" ref="AN10:AN56" ca="1" si="30">INDEX($Y:$Y,MATCH($AL10,AC:AC,0),1)</f>
        <v>60.195540887621746</v>
      </c>
      <c r="AO10" s="354">
        <f t="shared" ca="1" si="20"/>
        <v>0</v>
      </c>
      <c r="AP10" s="351">
        <v>2</v>
      </c>
      <c r="AQ10" s="352" t="str">
        <f t="shared" ref="AQ10:AQ56" ca="1" si="31">INDEX($X:$X,MATCH($AL10,AD:AD,0),1)</f>
        <v>New York</v>
      </c>
      <c r="AR10" s="352">
        <f t="shared" ca="1" si="21"/>
        <v>64.048170050129997</v>
      </c>
      <c r="AS10" s="354">
        <f t="shared" ca="1" si="22"/>
        <v>1</v>
      </c>
      <c r="AT10" s="351">
        <v>2</v>
      </c>
      <c r="AU10" s="352" t="str">
        <f t="shared" ca="1" si="23"/>
        <v>Tokyo</v>
      </c>
      <c r="AV10" s="352">
        <f t="shared" ca="1" si="24"/>
        <v>55.942080825761323</v>
      </c>
      <c r="AW10" s="354">
        <f t="shared" ca="1" si="25"/>
        <v>1</v>
      </c>
      <c r="AX10" s="351">
        <v>2</v>
      </c>
      <c r="AY10" s="352" t="str">
        <f t="shared" ca="1" si="26"/>
        <v>Melbourne</v>
      </c>
      <c r="AZ10" s="352">
        <f t="shared" ca="1" si="27"/>
        <v>64.310343612290097</v>
      </c>
      <c r="BA10" s="354">
        <f t="shared" ca="1" si="28"/>
        <v>0</v>
      </c>
      <c r="BC10" s="83">
        <v>18</v>
      </c>
      <c r="BD10" s="3">
        <v>2</v>
      </c>
      <c r="BE10" s="1" t="s">
        <v>106</v>
      </c>
      <c r="BF10" s="4">
        <v>41.343992074185877</v>
      </c>
      <c r="BG10" s="4">
        <v>54.104386345344444</v>
      </c>
      <c r="BH10" s="4">
        <v>45.242422908877366</v>
      </c>
      <c r="BI10" s="4">
        <v>61.625932484480167</v>
      </c>
      <c r="BJ10" s="12">
        <v>31</v>
      </c>
      <c r="BK10" s="12">
        <v>9</v>
      </c>
      <c r="BL10" s="12">
        <v>11</v>
      </c>
      <c r="BM10" s="12">
        <v>9</v>
      </c>
      <c r="BN10" s="4">
        <v>48.973386921780133</v>
      </c>
      <c r="BO10" s="4">
        <v>57.157365047079438</v>
      </c>
      <c r="BP10" s="4">
        <v>56.803395424715056</v>
      </c>
      <c r="BQ10" s="4">
        <v>59.458198341256129</v>
      </c>
    </row>
    <row r="11" spans="2:69">
      <c r="B11" s="2">
        <v>3</v>
      </c>
      <c r="C11" s="4" t="str">
        <f t="shared" ca="1" si="4"/>
        <v>Singapore</v>
      </c>
      <c r="D11" s="4" t="str">
        <f t="shared" ca="1" si="5"/>
        <v>Paris</v>
      </c>
      <c r="E11" s="4" t="str">
        <f t="shared" ca="1" si="6"/>
        <v>Paris</v>
      </c>
      <c r="F11" s="4" t="str">
        <f t="shared" ca="1" si="7"/>
        <v>Amsterdam</v>
      </c>
      <c r="H11" s="135" t="s">
        <v>213</v>
      </c>
      <c r="I11" s="183" t="str">
        <f>IFERROR(INDEX(指標マスタ[],MATCH($H11,指標マスタ['#],0),MATCH(I$8,指標マスタ[#Headers],0))&amp;"","")</f>
        <v/>
      </c>
      <c r="J11" s="183" t="str">
        <f>IFERROR(INDEX(指標マスタ[],MATCH($H11,指標マスタ['#],0),MATCH(J$8,指標マスタ[#Headers],0))&amp;"","")</f>
        <v>市場の魅力</v>
      </c>
      <c r="K11" s="183" t="str">
        <f>IFERROR(INDEX(指標マスタ[],MATCH($H11,指標マスタ['#],0),MATCH(K$8,指標マスタ[#Headers],0))&amp;"","")</f>
        <v>GDP成長率</v>
      </c>
      <c r="L11" s="11" t="s">
        <v>352</v>
      </c>
      <c r="M11" s="11"/>
      <c r="N11" s="11"/>
      <c r="O11" s="11"/>
      <c r="P11" s="3">
        <f t="shared" si="8"/>
        <v>5</v>
      </c>
      <c r="Q11" s="3">
        <f t="shared" si="9"/>
        <v>0</v>
      </c>
      <c r="R11" s="3">
        <f t="shared" si="10"/>
        <v>0</v>
      </c>
      <c r="S11" s="3">
        <f t="shared" si="11"/>
        <v>0</v>
      </c>
      <c r="U11" s="2">
        <v>3</v>
      </c>
      <c r="V11" s="83">
        <f>INDEX(順位表[Comprehensive],MATCH($W11,順位表['#],0))</f>
        <v>1</v>
      </c>
      <c r="W11" s="3">
        <v>3</v>
      </c>
      <c r="X11" s="1" t="str">
        <f>INDEX(都市マスタ[City Name],MATCH($W11,都市マスタ['#],0))</f>
        <v>London</v>
      </c>
      <c r="Y11" s="4">
        <f t="array" aca="1" ref="Y11" ca="1">SUMPRODUCT(INDIRECT("スコア!$H"&amp;MATCH($W11,スコア!$C:$C,0)&amp;":$BY"&amp;MATCH($W11,スコア!$C:$C,0)),TRANSPOSE(P$9:P$78))/P$5</f>
        <v>67.097149837911942</v>
      </c>
      <c r="Z11" s="4">
        <f t="array" aca="1" ref="Z11" ca="1">SUMPRODUCT(INDIRECT("スコア!$H"&amp;MATCH($W11,スコア!$C:$C,0)&amp;":$BY"&amp;MATCH($W11,スコア!$C:$C,0)),TRANSPOSE(Q$9:Q$78))/Q$5</f>
        <v>76.088914130294441</v>
      </c>
      <c r="AA11" s="4">
        <f t="array" aca="1" ref="AA11" ca="1">SUMPRODUCT(INDIRECT("スコア!$H"&amp;MATCH($W11,スコア!$C:$C,0)&amp;":$BY"&amp;MATCH($W11,スコア!$C:$C,0)),TRANSPOSE(R$9:R$78))/R$5</f>
        <v>68.319325211647183</v>
      </c>
      <c r="AB11" s="4">
        <f t="array" aca="1" ref="AB11" ca="1">SUMPRODUCT(INDIRECT("スコア!$H"&amp;MATCH($W11,スコア!$C:$C,0)&amp;":$BY"&amp;MATCH($W11,スコア!$C:$C,0)),TRANSPOSE(S$9:S$78))/S$5</f>
        <v>59.875859885353151</v>
      </c>
      <c r="AC11" s="12">
        <f t="shared" ca="1" si="12"/>
        <v>1</v>
      </c>
      <c r="AD11" s="12">
        <f t="shared" ca="1" si="13"/>
        <v>1</v>
      </c>
      <c r="AE11" s="12">
        <f t="shared" ca="1" si="14"/>
        <v>1</v>
      </c>
      <c r="AF11" s="12">
        <f t="shared" ca="1" si="15"/>
        <v>11</v>
      </c>
      <c r="AG11" s="4">
        <f t="shared" ca="1" si="16"/>
        <v>75.383722970577779</v>
      </c>
      <c r="AH11" s="4">
        <f t="shared" ca="1" si="17"/>
        <v>80.705895601653197</v>
      </c>
      <c r="AI11" s="4">
        <f t="shared" ca="1" si="18"/>
        <v>81.816068134922347</v>
      </c>
      <c r="AJ11" s="4">
        <f t="shared" ca="1" si="19"/>
        <v>59.342986964034786</v>
      </c>
      <c r="AL11" s="351">
        <v>3</v>
      </c>
      <c r="AM11" s="352" t="str">
        <f t="shared" ca="1" si="29"/>
        <v>Singapore</v>
      </c>
      <c r="AN11" s="353">
        <f t="shared" ca="1" si="30"/>
        <v>55.448202591946753</v>
      </c>
      <c r="AO11" s="354">
        <f t="shared" ca="1" si="20"/>
        <v>0</v>
      </c>
      <c r="AP11" s="351">
        <v>3</v>
      </c>
      <c r="AQ11" s="352" t="str">
        <f t="shared" ca="1" si="31"/>
        <v>Paris</v>
      </c>
      <c r="AR11" s="352">
        <f t="shared" ca="1" si="21"/>
        <v>61.497371216560005</v>
      </c>
      <c r="AS11" s="354">
        <f t="shared" ca="1" si="22"/>
        <v>-1</v>
      </c>
      <c r="AT11" s="351">
        <v>3</v>
      </c>
      <c r="AU11" s="352" t="str">
        <f t="shared" ca="1" si="23"/>
        <v>Paris</v>
      </c>
      <c r="AV11" s="352">
        <f t="shared" ca="1" si="24"/>
        <v>55.695741170908505</v>
      </c>
      <c r="AW11" s="354">
        <f t="shared" ca="1" si="25"/>
        <v>-1</v>
      </c>
      <c r="AX11" s="351">
        <v>3</v>
      </c>
      <c r="AY11" s="352" t="str">
        <f t="shared" ca="1" si="26"/>
        <v>Amsterdam</v>
      </c>
      <c r="AZ11" s="352">
        <f t="shared" ca="1" si="27"/>
        <v>63.941919926116213</v>
      </c>
      <c r="BA11" s="354">
        <f t="shared" ca="1" si="28"/>
        <v>5</v>
      </c>
      <c r="BC11" s="83">
        <v>1</v>
      </c>
      <c r="BD11" s="3">
        <v>3</v>
      </c>
      <c r="BE11" s="1" t="s">
        <v>108</v>
      </c>
      <c r="BF11" s="4">
        <v>67.134143262664125</v>
      </c>
      <c r="BG11" s="4">
        <v>76.076462974731101</v>
      </c>
      <c r="BH11" s="4">
        <v>68.35873414723963</v>
      </c>
      <c r="BI11" s="4">
        <v>63.920524944794586</v>
      </c>
      <c r="BJ11" s="12">
        <v>1</v>
      </c>
      <c r="BK11" s="12">
        <v>1</v>
      </c>
      <c r="BL11" s="12">
        <v>1</v>
      </c>
      <c r="BM11" s="12">
        <v>4</v>
      </c>
      <c r="BN11" s="4">
        <v>75.672061641515</v>
      </c>
      <c r="BO11" s="4">
        <v>80.729320820901378</v>
      </c>
      <c r="BP11" s="4">
        <v>81.916482183941071</v>
      </c>
      <c r="BQ11" s="4">
        <v>62.332977006423945</v>
      </c>
    </row>
    <row r="12" spans="2:69">
      <c r="B12" s="2">
        <v>4</v>
      </c>
      <c r="C12" s="4" t="str">
        <f t="shared" ca="1" si="4"/>
        <v>San Francisco</v>
      </c>
      <c r="D12" s="4" t="str">
        <f t="shared" ca="1" si="5"/>
        <v>Singapore</v>
      </c>
      <c r="E12" s="4" t="str">
        <f t="shared" ca="1" si="6"/>
        <v>Dubai</v>
      </c>
      <c r="F12" s="4" t="str">
        <f t="shared" ca="1" si="7"/>
        <v>Madrid</v>
      </c>
      <c r="H12" s="135" t="s">
        <v>214</v>
      </c>
      <c r="I12" s="183" t="str">
        <f>IFERROR(INDEX(指標マスタ[],MATCH($H12,指標マスタ['#],0),MATCH(I$8,指標マスタ[#Headers],0))&amp;"","")</f>
        <v/>
      </c>
      <c r="J12" s="183" t="str">
        <f>IFERROR(INDEX(指標マスタ[],MATCH($H12,指標マスタ['#],0),MATCH(J$8,指標マスタ[#Headers],0))&amp;"","")</f>
        <v/>
      </c>
      <c r="K12" s="183" t="str">
        <f>IFERROR(INDEX(指標マスタ[],MATCH($H12,指標マスタ['#],0),MATCH(K$8,指標マスタ[#Headers],0))&amp;"","")</f>
        <v>経済自由度</v>
      </c>
      <c r="L12" s="11" t="s">
        <v>352</v>
      </c>
      <c r="M12" s="11"/>
      <c r="N12" s="11"/>
      <c r="O12" s="11"/>
      <c r="P12" s="3">
        <f t="shared" si="8"/>
        <v>5</v>
      </c>
      <c r="Q12" s="3">
        <f t="shared" si="9"/>
        <v>0</v>
      </c>
      <c r="R12" s="3">
        <f t="shared" si="10"/>
        <v>0</v>
      </c>
      <c r="S12" s="3">
        <f t="shared" si="11"/>
        <v>0</v>
      </c>
      <c r="U12" s="2">
        <v>4</v>
      </c>
      <c r="V12" s="83">
        <f>INDEX(順位表[Comprehensive],MATCH($W12,順位表['#],0))</f>
        <v>4</v>
      </c>
      <c r="W12" s="3">
        <v>4</v>
      </c>
      <c r="X12" s="1" t="str">
        <f>INDEX(都市マスタ[City Name],MATCH($W12,都市マスタ['#],0))</f>
        <v>Paris</v>
      </c>
      <c r="Y12" s="4">
        <f t="array" aca="1" ref="Y12" ca="1">SUMPRODUCT(INDIRECT("スコア!$H"&amp;MATCH($W12,スコア!$C:$C,0)&amp;":$BY"&amp;MATCH($W12,スコア!$C:$C,0)),TRANSPOSE(P$9:P$78))/P$5</f>
        <v>51.658290775808688</v>
      </c>
      <c r="Z12" s="4">
        <f t="array" aca="1" ref="Z12" ca="1">SUMPRODUCT(INDIRECT("スコア!$H"&amp;MATCH($W12,スコア!$C:$C,0)&amp;":$BY"&amp;MATCH($W12,スコア!$C:$C,0)),TRANSPOSE(Q$9:Q$78))/Q$5</f>
        <v>61.497371216560005</v>
      </c>
      <c r="AA12" s="4">
        <f t="array" aca="1" ref="AA12" ca="1">SUMPRODUCT(INDIRECT("スコア!$H"&amp;MATCH($W12,スコア!$C:$C,0)&amp;":$BY"&amp;MATCH($W12,スコア!$C:$C,0)),TRANSPOSE(R$9:R$78))/R$5</f>
        <v>55.695741170908505</v>
      </c>
      <c r="AB12" s="4">
        <f t="array" aca="1" ref="AB12" ca="1">SUMPRODUCT(INDIRECT("スコア!$H"&amp;MATCH($W12,スコア!$C:$C,0)&amp;":$BY"&amp;MATCH($W12,スコア!$C:$C,0)),TRANSPOSE(S$9:S$78))/S$5</f>
        <v>61.63743761174775</v>
      </c>
      <c r="AC12" s="12">
        <f t="shared" ca="1" si="12"/>
        <v>7</v>
      </c>
      <c r="AD12" s="12">
        <f t="shared" ca="1" si="13"/>
        <v>3</v>
      </c>
      <c r="AE12" s="12">
        <f t="shared" ca="1" si="14"/>
        <v>3</v>
      </c>
      <c r="AF12" s="12">
        <f t="shared" ca="1" si="15"/>
        <v>6</v>
      </c>
      <c r="AG12" s="4">
        <f t="shared" ca="1" si="16"/>
        <v>59.66256642637461</v>
      </c>
      <c r="AH12" s="4">
        <f t="shared" ca="1" si="17"/>
        <v>64.851871565644075</v>
      </c>
      <c r="AI12" s="4">
        <f t="shared" ca="1" si="18"/>
        <v>68.472200922884426</v>
      </c>
      <c r="AJ12" s="4">
        <f t="shared" ca="1" si="19"/>
        <v>61.607863729518883</v>
      </c>
      <c r="AL12" s="351">
        <v>4</v>
      </c>
      <c r="AM12" s="352" t="str">
        <f t="shared" ca="1" si="29"/>
        <v>San Francisco</v>
      </c>
      <c r="AN12" s="353">
        <f t="shared" ca="1" si="30"/>
        <v>52.068601034333696</v>
      </c>
      <c r="AO12" s="354">
        <f t="shared" ca="1" si="20"/>
        <v>3</v>
      </c>
      <c r="AP12" s="351">
        <v>4</v>
      </c>
      <c r="AQ12" s="352" t="str">
        <f t="shared" ca="1" si="31"/>
        <v>Singapore</v>
      </c>
      <c r="AR12" s="352">
        <f t="shared" ca="1" si="21"/>
        <v>58.223975987636692</v>
      </c>
      <c r="AS12" s="354">
        <f t="shared" ca="1" si="22"/>
        <v>1</v>
      </c>
      <c r="AT12" s="351">
        <v>4</v>
      </c>
      <c r="AU12" s="352" t="str">
        <f t="shared" ca="1" si="23"/>
        <v>Dubai</v>
      </c>
      <c r="AV12" s="352">
        <f t="shared" ca="1" si="24"/>
        <v>52.042032826838678</v>
      </c>
      <c r="AW12" s="354">
        <f t="shared" ca="1" si="25"/>
        <v>1</v>
      </c>
      <c r="AX12" s="351">
        <v>4</v>
      </c>
      <c r="AY12" s="352" t="str">
        <f t="shared" ca="1" si="26"/>
        <v>Madrid</v>
      </c>
      <c r="AZ12" s="352">
        <f t="shared" ca="1" si="27"/>
        <v>63.359373112212609</v>
      </c>
      <c r="BA12" s="354">
        <f t="shared" ca="1" si="28"/>
        <v>1</v>
      </c>
      <c r="BC12" s="83">
        <v>4</v>
      </c>
      <c r="BD12" s="3">
        <v>4</v>
      </c>
      <c r="BE12" s="1" t="s">
        <v>110</v>
      </c>
      <c r="BF12" s="4">
        <v>52.502282668475011</v>
      </c>
      <c r="BG12" s="4">
        <v>62.202168977414459</v>
      </c>
      <c r="BH12" s="4">
        <v>57.847754672284914</v>
      </c>
      <c r="BI12" s="4">
        <v>64.286565408427933</v>
      </c>
      <c r="BJ12" s="12">
        <v>6</v>
      </c>
      <c r="BK12" s="12">
        <v>2</v>
      </c>
      <c r="BL12" s="12">
        <v>2</v>
      </c>
      <c r="BM12" s="12">
        <v>3</v>
      </c>
      <c r="BN12" s="4">
        <v>60.524756622097925</v>
      </c>
      <c r="BO12" s="4">
        <v>65.844781229393476</v>
      </c>
      <c r="BP12" s="4">
        <v>70.497569505480229</v>
      </c>
      <c r="BQ12" s="4">
        <v>62.791570562203816</v>
      </c>
    </row>
    <row r="13" spans="2:69">
      <c r="B13" s="2">
        <v>5</v>
      </c>
      <c r="C13" s="4" t="str">
        <f t="shared" ca="1" si="4"/>
        <v>Zurich</v>
      </c>
      <c r="D13" s="4" t="str">
        <f t="shared" ca="1" si="5"/>
        <v>Dubai</v>
      </c>
      <c r="E13" s="4" t="str">
        <f t="shared" ca="1" si="6"/>
        <v>Amsterdam</v>
      </c>
      <c r="F13" s="4" t="str">
        <f t="shared" ca="1" si="7"/>
        <v>Tokyo</v>
      </c>
      <c r="H13" s="135" t="s">
        <v>215</v>
      </c>
      <c r="I13" s="183" t="str">
        <f>IFERROR(INDEX(指標マスタ[],MATCH($H13,指標マスタ['#],0),MATCH(I$8,指標マスタ[#Headers],0))&amp;"","")</f>
        <v/>
      </c>
      <c r="J13" s="183" t="str">
        <f>IFERROR(INDEX(指標マスタ[],MATCH($H13,指標マスタ['#],0),MATCH(J$8,指標マスタ[#Headers],0))&amp;"","")</f>
        <v>経済集積</v>
      </c>
      <c r="K13" s="183" t="str">
        <f>IFERROR(INDEX(指標マスタ[],MATCH($H13,指標マスタ['#],0),MATCH(K$8,指標マスタ[#Headers],0))&amp;"","")</f>
        <v>上場株式時価総額</v>
      </c>
      <c r="L13" s="11" t="s">
        <v>354</v>
      </c>
      <c r="M13" s="11"/>
      <c r="N13" s="11"/>
      <c r="O13" s="11"/>
      <c r="P13" s="3">
        <f t="shared" si="8"/>
        <v>1</v>
      </c>
      <c r="Q13" s="3">
        <f t="shared" si="9"/>
        <v>0</v>
      </c>
      <c r="R13" s="3">
        <f t="shared" si="10"/>
        <v>0</v>
      </c>
      <c r="S13" s="3">
        <f t="shared" si="11"/>
        <v>0</v>
      </c>
      <c r="U13" s="2">
        <v>5</v>
      </c>
      <c r="V13" s="83">
        <f>INDEX(順位表[Comprehensive],MATCH($W13,順位表['#],0))</f>
        <v>24</v>
      </c>
      <c r="W13" s="3">
        <v>5</v>
      </c>
      <c r="X13" s="1" t="str">
        <f>INDEX(都市マスタ[City Name],MATCH($W13,都市マスタ['#],0))</f>
        <v>Brussels</v>
      </c>
      <c r="Y13" s="4">
        <f t="array" aca="1" ref="Y13" ca="1">SUMPRODUCT(INDIRECT("スコア!$H"&amp;MATCH($W13,スコア!$C:$C,0)&amp;":$BY"&amp;MATCH($W13,スコア!$C:$C,0)),TRANSPOSE(P$9:P$78))/P$5</f>
        <v>42.53526744506847</v>
      </c>
      <c r="Z13" s="4">
        <f t="array" aca="1" ref="Z13" ca="1">SUMPRODUCT(INDIRECT("スコア!$H"&amp;MATCH($W13,スコア!$C:$C,0)&amp;":$BY"&amp;MATCH($W13,スコア!$C:$C,0)),TRANSPOSE(Q$9:Q$78))/Q$5</f>
        <v>48.384190330365549</v>
      </c>
      <c r="AA13" s="4">
        <f t="array" aca="1" ref="AA13" ca="1">SUMPRODUCT(INDIRECT("スコア!$H"&amp;MATCH($W13,スコア!$C:$C,0)&amp;":$BY"&amp;MATCH($W13,スコア!$C:$C,0)),TRANSPOSE(R$9:R$78))/R$5</f>
        <v>35.976946048772632</v>
      </c>
      <c r="AB13" s="4">
        <f t="array" aca="1" ref="AB13" ca="1">SUMPRODUCT(INDIRECT("スコア!$H"&amp;MATCH($W13,スコア!$C:$C,0)&amp;":$BY"&amp;MATCH($W13,スコア!$C:$C,0)),TRANSPOSE(S$9:S$78))/S$5</f>
        <v>56.423858911441435</v>
      </c>
      <c r="AC13" s="12">
        <f t="shared" ca="1" si="12"/>
        <v>29</v>
      </c>
      <c r="AD13" s="12">
        <f t="shared" ca="1" si="13"/>
        <v>26</v>
      </c>
      <c r="AE13" s="12">
        <f t="shared" ca="1" si="14"/>
        <v>27</v>
      </c>
      <c r="AF13" s="12">
        <f t="shared" ca="1" si="15"/>
        <v>17</v>
      </c>
      <c r="AG13" s="4">
        <f t="shared" ca="1" si="16"/>
        <v>50.372729828860791</v>
      </c>
      <c r="AH13" s="4">
        <f t="shared" ca="1" si="17"/>
        <v>50.604119550154493</v>
      </c>
      <c r="AI13" s="4">
        <f t="shared" ca="1" si="18"/>
        <v>47.628280302400697</v>
      </c>
      <c r="AJ13" s="4">
        <f t="shared" ca="1" si="19"/>
        <v>54.904717404256203</v>
      </c>
      <c r="AL13" s="351">
        <v>5</v>
      </c>
      <c r="AM13" s="352" t="str">
        <f t="shared" ca="1" si="29"/>
        <v>Zurich</v>
      </c>
      <c r="AN13" s="353">
        <f t="shared" ca="1" si="30"/>
        <v>52.05325813989564</v>
      </c>
      <c r="AO13" s="354">
        <f t="shared" ca="1" si="20"/>
        <v>-1</v>
      </c>
      <c r="AP13" s="351">
        <v>5</v>
      </c>
      <c r="AQ13" s="352" t="str">
        <f t="shared" ca="1" si="31"/>
        <v>Dubai</v>
      </c>
      <c r="AR13" s="352">
        <f t="shared" ca="1" si="21"/>
        <v>58.171568347377764</v>
      </c>
      <c r="AS13" s="354">
        <f t="shared" ca="1" si="22"/>
        <v>2</v>
      </c>
      <c r="AT13" s="351">
        <v>5</v>
      </c>
      <c r="AU13" s="352" t="str">
        <f t="shared" ca="1" si="23"/>
        <v>Amsterdam</v>
      </c>
      <c r="AV13" s="352">
        <f t="shared" ca="1" si="24"/>
        <v>51.941077721579241</v>
      </c>
      <c r="AW13" s="354">
        <f t="shared" ca="1" si="25"/>
        <v>2</v>
      </c>
      <c r="AX13" s="351">
        <v>5</v>
      </c>
      <c r="AY13" s="352" t="str">
        <f t="shared" ca="1" si="26"/>
        <v>Tokyo</v>
      </c>
      <c r="AZ13" s="352">
        <f t="shared" ca="1" si="27"/>
        <v>63.29753647461802</v>
      </c>
      <c r="BA13" s="354">
        <f t="shared" ca="1" si="28"/>
        <v>2</v>
      </c>
      <c r="BC13" s="83">
        <v>24</v>
      </c>
      <c r="BD13" s="3">
        <v>5</v>
      </c>
      <c r="BE13" s="1" t="s">
        <v>112</v>
      </c>
      <c r="BF13" s="4">
        <v>42.501524928496735</v>
      </c>
      <c r="BG13" s="4">
        <v>52.534913376793341</v>
      </c>
      <c r="BH13" s="4">
        <v>36.627589842164156</v>
      </c>
      <c r="BI13" s="4">
        <v>59.144384794602701</v>
      </c>
      <c r="BJ13" s="12">
        <v>28</v>
      </c>
      <c r="BK13" s="12">
        <v>14</v>
      </c>
      <c r="BL13" s="12">
        <v>27</v>
      </c>
      <c r="BM13" s="12">
        <v>16</v>
      </c>
      <c r="BN13" s="4">
        <v>50.171696808713186</v>
      </c>
      <c r="BO13" s="4">
        <v>55.473612162592602</v>
      </c>
      <c r="BP13" s="4">
        <v>47.444417342537896</v>
      </c>
      <c r="BQ13" s="4">
        <v>56.349192938842009</v>
      </c>
    </row>
    <row r="14" spans="2:69">
      <c r="B14" s="2">
        <v>6</v>
      </c>
      <c r="C14" s="4" t="str">
        <f t="shared" ca="1" si="4"/>
        <v>Amsterdam</v>
      </c>
      <c r="D14" s="4" t="str">
        <f t="shared" ca="1" si="5"/>
        <v>Amsterdam</v>
      </c>
      <c r="E14" s="4" t="str">
        <f t="shared" ca="1" si="6"/>
        <v>New York</v>
      </c>
      <c r="F14" s="4" t="str">
        <f t="shared" ca="1" si="7"/>
        <v>Paris</v>
      </c>
      <c r="H14" s="135" t="s">
        <v>216</v>
      </c>
      <c r="I14" s="183" t="str">
        <f>IFERROR(INDEX(指標マスタ[],MATCH($H14,指標マスタ['#],0),MATCH(I$8,指標マスタ[#Headers],0))&amp;"","")</f>
        <v/>
      </c>
      <c r="J14" s="183" t="str">
        <f>IFERROR(INDEX(指標マスタ[],MATCH($H14,指標マスタ['#],0),MATCH(J$8,指標マスタ[#Headers],0))&amp;"","")</f>
        <v/>
      </c>
      <c r="K14" s="183" t="str">
        <f>IFERROR(INDEX(指標マスタ[],MATCH($H14,指標マスタ['#],0),MATCH(K$8,指標マスタ[#Headers],0))&amp;"","")</f>
        <v>世界トップ500企業</v>
      </c>
      <c r="L14" s="11" t="s">
        <v>352</v>
      </c>
      <c r="M14" s="11" t="s">
        <v>354</v>
      </c>
      <c r="N14" s="11"/>
      <c r="O14" s="11"/>
      <c r="P14" s="3">
        <f t="shared" si="8"/>
        <v>5</v>
      </c>
      <c r="Q14" s="3">
        <f t="shared" si="9"/>
        <v>1</v>
      </c>
      <c r="R14" s="3">
        <f t="shared" si="10"/>
        <v>0</v>
      </c>
      <c r="S14" s="3">
        <f t="shared" si="11"/>
        <v>0</v>
      </c>
      <c r="U14" s="2">
        <v>6</v>
      </c>
      <c r="V14" s="83">
        <f>INDEX(順位表[Comprehensive],MATCH($W14,順位表['#],0))</f>
        <v>6</v>
      </c>
      <c r="W14" s="3">
        <v>6</v>
      </c>
      <c r="X14" s="1" t="str">
        <f>INDEX(都市マスタ[City Name],MATCH($W14,都市マスタ['#],0))</f>
        <v>Amsterdam</v>
      </c>
      <c r="Y14" s="4">
        <f t="array" aca="1" ref="Y14" ca="1">SUMPRODUCT(INDIRECT("スコア!$H"&amp;MATCH($W14,スコア!$C:$C,0)&amp;":$BY"&amp;MATCH($W14,スコア!$C:$C,0)),TRANSPOSE(P$9:P$78))/P$5</f>
        <v>52.007993733399992</v>
      </c>
      <c r="Z14" s="4">
        <f t="array" aca="1" ref="Z14" ca="1">SUMPRODUCT(INDIRECT("スコア!$H"&amp;MATCH($W14,スコア!$C:$C,0)&amp;":$BY"&amp;MATCH($W14,スコア!$C:$C,0)),TRANSPOSE(Q$9:Q$78))/Q$5</f>
        <v>56.211546537151094</v>
      </c>
      <c r="AA14" s="4">
        <f t="array" aca="1" ref="AA14" ca="1">SUMPRODUCT(INDIRECT("スコア!$H"&amp;MATCH($W14,スコア!$C:$C,0)&amp;":$BY"&amp;MATCH($W14,スコア!$C:$C,0)),TRANSPOSE(R$9:R$78))/R$5</f>
        <v>51.941077721579241</v>
      </c>
      <c r="AB14" s="4">
        <f t="array" aca="1" ref="AB14" ca="1">SUMPRODUCT(INDIRECT("スコア!$H"&amp;MATCH($W14,スコア!$C:$C,0)&amp;":$BY"&amp;MATCH($W14,スコア!$C:$C,0)),TRANSPOSE(S$9:S$78))/S$5</f>
        <v>63.941919926116213</v>
      </c>
      <c r="AC14" s="12">
        <f t="shared" ca="1" si="12"/>
        <v>6</v>
      </c>
      <c r="AD14" s="12">
        <f t="shared" ca="1" si="13"/>
        <v>6</v>
      </c>
      <c r="AE14" s="12">
        <f t="shared" ca="1" si="14"/>
        <v>5</v>
      </c>
      <c r="AF14" s="12">
        <f t="shared" ca="1" si="15"/>
        <v>3</v>
      </c>
      <c r="AG14" s="4">
        <f t="shared" ca="1" si="16"/>
        <v>60.018663655978749</v>
      </c>
      <c r="AH14" s="4">
        <f t="shared" ca="1" si="17"/>
        <v>59.10870978947576</v>
      </c>
      <c r="AI14" s="4">
        <f t="shared" ca="1" si="18"/>
        <v>64.503301889768764</v>
      </c>
      <c r="AJ14" s="4">
        <f t="shared" ca="1" si="19"/>
        <v>64.570757941950006</v>
      </c>
      <c r="AL14" s="351">
        <v>6</v>
      </c>
      <c r="AM14" s="352" t="str">
        <f t="shared" ca="1" si="29"/>
        <v>Amsterdam</v>
      </c>
      <c r="AN14" s="353">
        <f t="shared" ca="1" si="30"/>
        <v>52.007993733399992</v>
      </c>
      <c r="AO14" s="354">
        <f t="shared" ca="1" si="20"/>
        <v>-1</v>
      </c>
      <c r="AP14" s="351">
        <v>6</v>
      </c>
      <c r="AQ14" s="352" t="str">
        <f t="shared" ca="1" si="31"/>
        <v>Amsterdam</v>
      </c>
      <c r="AR14" s="352">
        <f t="shared" ca="1" si="21"/>
        <v>56.211546537151094</v>
      </c>
      <c r="AS14" s="354">
        <f t="shared" ca="1" si="22"/>
        <v>-2</v>
      </c>
      <c r="AT14" s="351">
        <v>6</v>
      </c>
      <c r="AU14" s="352" t="str">
        <f t="shared" ca="1" si="23"/>
        <v>New York</v>
      </c>
      <c r="AV14" s="352">
        <f t="shared" ca="1" si="24"/>
        <v>51.301673351467919</v>
      </c>
      <c r="AW14" s="354">
        <f t="shared" ca="1" si="25"/>
        <v>-2</v>
      </c>
      <c r="AX14" s="351">
        <v>6</v>
      </c>
      <c r="AY14" s="352" t="str">
        <f t="shared" ca="1" si="26"/>
        <v>Paris</v>
      </c>
      <c r="AZ14" s="352">
        <f t="shared" ca="1" si="27"/>
        <v>61.63743761174775</v>
      </c>
      <c r="BA14" s="354">
        <f t="shared" ca="1" si="28"/>
        <v>-3</v>
      </c>
      <c r="BC14" s="83">
        <v>6</v>
      </c>
      <c r="BD14" s="3">
        <v>6</v>
      </c>
      <c r="BE14" s="1" t="s">
        <v>114</v>
      </c>
      <c r="BF14" s="4">
        <v>53.099875945569565</v>
      </c>
      <c r="BG14" s="4">
        <v>57.489292636186654</v>
      </c>
      <c r="BH14" s="4">
        <v>50.478741835317912</v>
      </c>
      <c r="BI14" s="4">
        <v>63.208439299691875</v>
      </c>
      <c r="BJ14" s="12">
        <v>5</v>
      </c>
      <c r="BK14" s="12">
        <v>4</v>
      </c>
      <c r="BL14" s="12">
        <v>7</v>
      </c>
      <c r="BM14" s="12">
        <v>8</v>
      </c>
      <c r="BN14" s="4">
        <v>61.143401639075407</v>
      </c>
      <c r="BO14" s="4">
        <v>60.788740575760698</v>
      </c>
      <c r="BP14" s="4">
        <v>62.492024987741956</v>
      </c>
      <c r="BQ14" s="4">
        <v>61.44084097106321</v>
      </c>
    </row>
    <row r="15" spans="2:69">
      <c r="B15" s="2">
        <v>7</v>
      </c>
      <c r="C15" s="4" t="str">
        <f t="shared" ca="1" si="4"/>
        <v>Paris</v>
      </c>
      <c r="D15" s="4" t="str">
        <f t="shared" ca="1" si="5"/>
        <v>Madrid</v>
      </c>
      <c r="E15" s="4" t="str">
        <f t="shared" ca="1" si="6"/>
        <v>Istanbul</v>
      </c>
      <c r="F15" s="4" t="str">
        <f t="shared" ca="1" si="7"/>
        <v>Berlin</v>
      </c>
      <c r="H15" s="135" t="s">
        <v>217</v>
      </c>
      <c r="I15" s="183" t="str">
        <f>IFERROR(INDEX(指標マスタ[],MATCH($H15,指標マスタ['#],0),MATCH(I$8,指標マスタ[#Headers],0))&amp;"","")</f>
        <v/>
      </c>
      <c r="J15" s="183" t="str">
        <f>IFERROR(INDEX(指標マスタ[],MATCH($H15,指標マスタ['#],0),MATCH(J$8,指標マスタ[#Headers],0))&amp;"","")</f>
        <v>人的集積</v>
      </c>
      <c r="K15" s="183" t="str">
        <f>IFERROR(INDEX(指標マスタ[],MATCH($H15,指標マスタ['#],0),MATCH(K$8,指標マスタ[#Headers],0))&amp;"","")</f>
        <v>従業者数</v>
      </c>
      <c r="L15" s="11" t="s">
        <v>352</v>
      </c>
      <c r="M15" s="11"/>
      <c r="N15" s="11"/>
      <c r="O15" s="11"/>
      <c r="P15" s="3">
        <f t="shared" si="8"/>
        <v>5</v>
      </c>
      <c r="Q15" s="3">
        <f t="shared" si="9"/>
        <v>0</v>
      </c>
      <c r="R15" s="3">
        <f t="shared" si="10"/>
        <v>0</v>
      </c>
      <c r="S15" s="3">
        <f t="shared" si="11"/>
        <v>0</v>
      </c>
      <c r="U15" s="2">
        <v>7</v>
      </c>
      <c r="V15" s="83">
        <f>INDEX(順位表[Comprehensive],MATCH($W15,順位表['#],0))</f>
        <v>26</v>
      </c>
      <c r="W15" s="3">
        <v>7</v>
      </c>
      <c r="X15" s="1" t="str">
        <f>INDEX(都市マスタ[City Name],MATCH($W15,都市マスタ['#],0))</f>
        <v>Geneva</v>
      </c>
      <c r="Y15" s="4">
        <f t="array" aca="1" ref="Y15" ca="1">SUMPRODUCT(INDIRECT("スコア!$H"&amp;MATCH($W15,スコア!$C:$C,0)&amp;":$BY"&amp;MATCH($W15,スコア!$C:$C,0)),TRANSPOSE(P$9:P$78))/P$5</f>
        <v>48.918894628313033</v>
      </c>
      <c r="Z15" s="4">
        <f t="array" aca="1" ref="Z15" ca="1">SUMPRODUCT(INDIRECT("スコア!$H"&amp;MATCH($W15,スコア!$C:$C,0)&amp;":$BY"&amp;MATCH($W15,スコア!$C:$C,0)),TRANSPOSE(Q$9:Q$78))/Q$5</f>
        <v>52.422137737180009</v>
      </c>
      <c r="AA15" s="4">
        <f t="array" aca="1" ref="AA15" ca="1">SUMPRODUCT(INDIRECT("スコア!$H"&amp;MATCH($W15,スコア!$C:$C,0)&amp;":$BY"&amp;MATCH($W15,スコア!$C:$C,0)),TRANSPOSE(R$9:R$78))/R$5</f>
        <v>28.199738139858496</v>
      </c>
      <c r="AB15" s="4">
        <f t="array" aca="1" ref="AB15" ca="1">SUMPRODUCT(INDIRECT("スコア!$H"&amp;MATCH($W15,スコア!$C:$C,0)&amp;":$BY"&amp;MATCH($W15,スコア!$C:$C,0)),TRANSPOSE(S$9:S$78))/S$5</f>
        <v>53.34693244464416</v>
      </c>
      <c r="AC15" s="12">
        <f t="shared" ca="1" si="12"/>
        <v>10</v>
      </c>
      <c r="AD15" s="12">
        <f t="shared" ca="1" si="13"/>
        <v>15</v>
      </c>
      <c r="AE15" s="12">
        <f t="shared" ca="1" si="14"/>
        <v>40</v>
      </c>
      <c r="AF15" s="12">
        <f t="shared" ca="1" si="15"/>
        <v>25</v>
      </c>
      <c r="AG15" s="4">
        <f t="shared" ca="1" si="16"/>
        <v>56.873080785102147</v>
      </c>
      <c r="AH15" s="4">
        <f t="shared" ca="1" si="17"/>
        <v>54.991435930762869</v>
      </c>
      <c r="AI15" s="4">
        <f t="shared" ca="1" si="18"/>
        <v>39.407316328774016</v>
      </c>
      <c r="AJ15" s="4">
        <f t="shared" ca="1" si="19"/>
        <v>50.948684605172566</v>
      </c>
      <c r="AL15" s="351">
        <v>7</v>
      </c>
      <c r="AM15" s="352" t="str">
        <f t="shared" ca="1" si="29"/>
        <v>Paris</v>
      </c>
      <c r="AN15" s="353">
        <f t="shared" ca="1" si="30"/>
        <v>51.658290775808688</v>
      </c>
      <c r="AO15" s="354">
        <f t="shared" ca="1" si="20"/>
        <v>-1</v>
      </c>
      <c r="AP15" s="351">
        <v>7</v>
      </c>
      <c r="AQ15" s="352" t="str">
        <f t="shared" ca="1" si="31"/>
        <v>Madrid</v>
      </c>
      <c r="AR15" s="352">
        <f t="shared" ca="1" si="21"/>
        <v>55.42144222411109</v>
      </c>
      <c r="AS15" s="354">
        <f t="shared" ca="1" si="22"/>
        <v>9</v>
      </c>
      <c r="AT15" s="351">
        <v>7</v>
      </c>
      <c r="AU15" s="352" t="str">
        <f t="shared" ca="1" si="23"/>
        <v>Istanbul</v>
      </c>
      <c r="AV15" s="352">
        <f t="shared" ca="1" si="24"/>
        <v>49.699834007021693</v>
      </c>
      <c r="AW15" s="354">
        <f t="shared" ca="1" si="25"/>
        <v>2</v>
      </c>
      <c r="AX15" s="351">
        <v>7</v>
      </c>
      <c r="AY15" s="352" t="str">
        <f t="shared" ca="1" si="26"/>
        <v>Berlin</v>
      </c>
      <c r="AZ15" s="352">
        <f t="shared" ca="1" si="27"/>
        <v>60.888619645309902</v>
      </c>
      <c r="BA15" s="354">
        <f t="shared" ca="1" si="28"/>
        <v>-1</v>
      </c>
      <c r="BC15" s="83">
        <v>31</v>
      </c>
      <c r="BD15" s="3">
        <v>7</v>
      </c>
      <c r="BE15" s="1" t="s">
        <v>116</v>
      </c>
      <c r="BF15" s="4">
        <v>48.992256216741303</v>
      </c>
      <c r="BG15" s="4">
        <v>51.918179816916677</v>
      </c>
      <c r="BH15" s="4">
        <v>27.309307786390569</v>
      </c>
      <c r="BI15" s="4">
        <v>53.407319526867575</v>
      </c>
      <c r="BJ15" s="12">
        <v>10</v>
      </c>
      <c r="BK15" s="12">
        <v>18</v>
      </c>
      <c r="BL15" s="12">
        <v>46</v>
      </c>
      <c r="BM15" s="12">
        <v>27</v>
      </c>
      <c r="BN15" s="4">
        <v>56.891080580122271</v>
      </c>
      <c r="BO15" s="4">
        <v>54.811971642997783</v>
      </c>
      <c r="BP15" s="4">
        <v>37.321226695873108</v>
      </c>
      <c r="BQ15" s="4">
        <v>49.161514465384336</v>
      </c>
    </row>
    <row r="16" spans="2:69">
      <c r="B16" s="2">
        <v>8</v>
      </c>
      <c r="C16" s="4" t="str">
        <f t="shared" ca="1" si="4"/>
        <v>Dublin</v>
      </c>
      <c r="D16" s="4" t="str">
        <f t="shared" ca="1" si="5"/>
        <v>Copenhagen</v>
      </c>
      <c r="E16" s="4" t="str">
        <f t="shared" ca="1" si="6"/>
        <v>Madrid</v>
      </c>
      <c r="F16" s="4" t="str">
        <f t="shared" ca="1" si="7"/>
        <v>Copenhagen</v>
      </c>
      <c r="H16" s="135" t="s">
        <v>218</v>
      </c>
      <c r="I16" s="183" t="str">
        <f>IFERROR(INDEX(指標マスタ[],MATCH($H16,指標マスタ['#],0),MATCH(I$8,指標マスタ[#Headers],0))&amp;"","")</f>
        <v/>
      </c>
      <c r="J16" s="183" t="str">
        <f>IFERROR(INDEX(指標マスタ[],MATCH($H16,指標マスタ['#],0),MATCH(J$8,指標マスタ[#Headers],0))&amp;"","")</f>
        <v/>
      </c>
      <c r="K16" s="183" t="str">
        <f>IFERROR(INDEX(指標マスタ[],MATCH($H16,指標マスタ['#],0),MATCH(K$8,指標マスタ[#Headers],0))&amp;"","")</f>
        <v>ビジネスサポート人材の多さ</v>
      </c>
      <c r="L16" s="11" t="s">
        <v>352</v>
      </c>
      <c r="M16" s="11" t="s">
        <v>354</v>
      </c>
      <c r="N16" s="11"/>
      <c r="O16" s="11"/>
      <c r="P16" s="3">
        <f t="shared" si="8"/>
        <v>5</v>
      </c>
      <c r="Q16" s="3">
        <f t="shared" si="9"/>
        <v>1</v>
      </c>
      <c r="R16" s="3">
        <f t="shared" si="10"/>
        <v>0</v>
      </c>
      <c r="S16" s="3">
        <f t="shared" si="11"/>
        <v>0</v>
      </c>
      <c r="U16" s="2">
        <v>8</v>
      </c>
      <c r="V16" s="83">
        <f>INDEX(順位表[Comprehensive],MATCH($W16,順位表['#],0))</f>
        <v>20</v>
      </c>
      <c r="W16" s="3">
        <v>8</v>
      </c>
      <c r="X16" s="1" t="str">
        <f>INDEX(都市マスタ[City Name],MATCH($W16,都市マスタ['#],0))</f>
        <v>Frankfurt</v>
      </c>
      <c r="Y16" s="4">
        <f t="array" aca="1" ref="Y16" ca="1">SUMPRODUCT(INDIRECT("スコア!$H"&amp;MATCH($W16,スコア!$C:$C,0)&amp;":$BY"&amp;MATCH($W16,スコア!$C:$C,0)),TRANSPOSE(P$9:P$78))/P$5</f>
        <v>45.332607550123917</v>
      </c>
      <c r="Z16" s="4">
        <f t="array" aca="1" ref="Z16" ca="1">SUMPRODUCT(INDIRECT("スコア!$H"&amp;MATCH($W16,スコア!$C:$C,0)&amp;":$BY"&amp;MATCH($W16,スコア!$C:$C,0)),TRANSPOSE(Q$9:Q$78))/Q$5</f>
        <v>51.951342510720011</v>
      </c>
      <c r="AA16" s="4">
        <f t="array" aca="1" ref="AA16" ca="1">SUMPRODUCT(INDIRECT("スコア!$H"&amp;MATCH($W16,スコア!$C:$C,0)&amp;":$BY"&amp;MATCH($W16,スコア!$C:$C,0)),TRANSPOSE(R$9:R$78))/R$5</f>
        <v>37.252201756568873</v>
      </c>
      <c r="AB16" s="4">
        <f t="array" aca="1" ref="AB16" ca="1">SUMPRODUCT(INDIRECT("スコア!$H"&amp;MATCH($W16,スコア!$C:$C,0)&amp;":$BY"&amp;MATCH($W16,スコア!$C:$C,0)),TRANSPOSE(S$9:S$78))/S$5</f>
        <v>60.250503853947741</v>
      </c>
      <c r="AC16" s="12">
        <f t="shared" ca="1" si="12"/>
        <v>21</v>
      </c>
      <c r="AD16" s="12">
        <f t="shared" ca="1" si="13"/>
        <v>16</v>
      </c>
      <c r="AE16" s="12">
        <f t="shared" ca="1" si="14"/>
        <v>25</v>
      </c>
      <c r="AF16" s="12">
        <f t="shared" ca="1" si="15"/>
        <v>10</v>
      </c>
      <c r="AG16" s="4">
        <f t="shared" ca="1" si="16"/>
        <v>53.22121892524116</v>
      </c>
      <c r="AH16" s="4">
        <f t="shared" ca="1" si="17"/>
        <v>54.47990682925095</v>
      </c>
      <c r="AI16" s="4">
        <f t="shared" ca="1" si="18"/>
        <v>48.976300228541312</v>
      </c>
      <c r="AJ16" s="4">
        <f t="shared" ca="1" si="19"/>
        <v>59.824670177375197</v>
      </c>
      <c r="AL16" s="351">
        <v>8</v>
      </c>
      <c r="AM16" s="352" t="str">
        <f t="shared" ca="1" si="29"/>
        <v>Dublin</v>
      </c>
      <c r="AN16" s="353">
        <f t="shared" ca="1" si="30"/>
        <v>51.549085298866309</v>
      </c>
      <c r="AO16" s="354">
        <f t="shared" ca="1" si="20"/>
        <v>1</v>
      </c>
      <c r="AP16" s="351">
        <v>8</v>
      </c>
      <c r="AQ16" s="352" t="str">
        <f t="shared" ca="1" si="31"/>
        <v>Copenhagen</v>
      </c>
      <c r="AR16" s="352">
        <f t="shared" ca="1" si="21"/>
        <v>54.485906639551104</v>
      </c>
      <c r="AS16" s="354">
        <f t="shared" ca="1" si="22"/>
        <v>0</v>
      </c>
      <c r="AT16" s="351">
        <v>8</v>
      </c>
      <c r="AU16" s="352" t="str">
        <f t="shared" ca="1" si="23"/>
        <v>Madrid</v>
      </c>
      <c r="AV16" s="352">
        <f t="shared" ca="1" si="24"/>
        <v>48.757584602566979</v>
      </c>
      <c r="AW16" s="354">
        <f t="shared" ca="1" si="25"/>
        <v>-2</v>
      </c>
      <c r="AX16" s="351">
        <v>8</v>
      </c>
      <c r="AY16" s="352" t="str">
        <f t="shared" ca="1" si="26"/>
        <v>Copenhagen</v>
      </c>
      <c r="AZ16" s="352">
        <f t="shared" ca="1" si="27"/>
        <v>60.815673995957653</v>
      </c>
      <c r="BA16" s="354">
        <f t="shared" ca="1" si="28"/>
        <v>2</v>
      </c>
      <c r="BC16" s="83">
        <v>25</v>
      </c>
      <c r="BD16" s="3">
        <v>8</v>
      </c>
      <c r="BE16" s="1" t="s">
        <v>118</v>
      </c>
      <c r="BF16" s="4">
        <v>46.17381546970217</v>
      </c>
      <c r="BG16" s="4">
        <v>50.744644671034436</v>
      </c>
      <c r="BH16" s="4">
        <v>37.26890915535283</v>
      </c>
      <c r="BI16" s="4">
        <v>59.475805004146842</v>
      </c>
      <c r="BJ16" s="12">
        <v>19</v>
      </c>
      <c r="BK16" s="12">
        <v>20</v>
      </c>
      <c r="BL16" s="12">
        <v>25</v>
      </c>
      <c r="BM16" s="12">
        <v>15</v>
      </c>
      <c r="BN16" s="4">
        <v>53.973353104539974</v>
      </c>
      <c r="BO16" s="4">
        <v>53.552986476308327</v>
      </c>
      <c r="BP16" s="4">
        <v>48.141133500509795</v>
      </c>
      <c r="BQ16" s="4">
        <v>56.764412531898806</v>
      </c>
    </row>
    <row r="17" spans="2:69">
      <c r="B17" s="2">
        <v>9</v>
      </c>
      <c r="C17" s="4" t="str">
        <f t="shared" ca="1" si="4"/>
        <v>Copenhagen</v>
      </c>
      <c r="D17" s="4" t="str">
        <f t="shared" ca="1" si="5"/>
        <v>Melbourne</v>
      </c>
      <c r="E17" s="4" t="str">
        <f t="shared" ca="1" si="6"/>
        <v>Moscow</v>
      </c>
      <c r="F17" s="4" t="str">
        <f t="shared" ca="1" si="7"/>
        <v>Stockholm</v>
      </c>
      <c r="H17" s="135" t="s">
        <v>219</v>
      </c>
      <c r="I17" s="183" t="str">
        <f>IFERROR(INDEX(指標マスタ[],MATCH($H17,指標マスタ['#],0),MATCH(I$8,指標マスタ[#Headers],0))&amp;"","")</f>
        <v/>
      </c>
      <c r="J17" s="183" t="str">
        <f>IFERROR(INDEX(指標マスタ[],MATCH($H17,指標マスタ['#],0),MATCH(J$8,指標マスタ[#Headers],0))&amp;"","")</f>
        <v>ビジネス環境</v>
      </c>
      <c r="K17" s="183" t="str">
        <f>IFERROR(INDEX(指標マスタ[],MATCH($H17,指標マスタ['#],0),MATCH(K$8,指標マスタ[#Headers],0))&amp;"","")</f>
        <v>賃金水準の高さ</v>
      </c>
      <c r="L17" s="11" t="s">
        <v>354</v>
      </c>
      <c r="M17" s="11" t="s">
        <v>352</v>
      </c>
      <c r="N17" s="11"/>
      <c r="O17" s="11"/>
      <c r="P17" s="3">
        <f t="shared" si="8"/>
        <v>1</v>
      </c>
      <c r="Q17" s="3">
        <f t="shared" si="9"/>
        <v>5</v>
      </c>
      <c r="R17" s="3">
        <f t="shared" si="10"/>
        <v>0</v>
      </c>
      <c r="S17" s="3">
        <f t="shared" si="11"/>
        <v>0</v>
      </c>
      <c r="U17" s="2">
        <v>9</v>
      </c>
      <c r="V17" s="83">
        <f>INDEX(順位表[Comprehensive],MATCH($W17,順位表['#],0))</f>
        <v>10</v>
      </c>
      <c r="W17" s="3">
        <v>9</v>
      </c>
      <c r="X17" s="1" t="str">
        <f>INDEX(都市マスタ[City Name],MATCH($W17,都市マスタ['#],0))</f>
        <v>Berlin</v>
      </c>
      <c r="Y17" s="4">
        <f t="array" aca="1" ref="Y17" ca="1">SUMPRODUCT(INDIRECT("スコア!$H"&amp;MATCH($W17,スコア!$C:$C,0)&amp;":$BY"&amp;MATCH($W17,スコア!$C:$C,0)),TRANSPOSE(P$9:P$78))/P$5</f>
        <v>43.725368600705437</v>
      </c>
      <c r="Z17" s="4">
        <f t="array" aca="1" ref="Z17" ca="1">SUMPRODUCT(INDIRECT("スコア!$H"&amp;MATCH($W17,スコア!$C:$C,0)&amp;":$BY"&amp;MATCH($W17,スコア!$C:$C,0)),TRANSPOSE(Q$9:Q$78))/Q$5</f>
        <v>53.680512925515551</v>
      </c>
      <c r="AA17" s="4">
        <f t="array" aca="1" ref="AA17" ca="1">SUMPRODUCT(INDIRECT("スコア!$H"&amp;MATCH($W17,スコア!$C:$C,0)&amp;":$BY"&amp;MATCH($W17,スコア!$C:$C,0)),TRANSPOSE(R$9:R$78))/R$5</f>
        <v>44.144356065844342</v>
      </c>
      <c r="AB17" s="4">
        <f t="array" aca="1" ref="AB17" ca="1">SUMPRODUCT(INDIRECT("スコア!$H"&amp;MATCH($W17,スコア!$C:$C,0)&amp;":$BY"&amp;MATCH($W17,スコア!$C:$C,0)),TRANSPOSE(S$9:S$78))/S$5</f>
        <v>60.888619645309902</v>
      </c>
      <c r="AC17" s="12">
        <f t="shared" ca="1" si="12"/>
        <v>27</v>
      </c>
      <c r="AD17" s="12">
        <f t="shared" ca="1" si="13"/>
        <v>10</v>
      </c>
      <c r="AE17" s="12">
        <f t="shared" ca="1" si="14"/>
        <v>11</v>
      </c>
      <c r="AF17" s="12">
        <f t="shared" ca="1" si="15"/>
        <v>7</v>
      </c>
      <c r="AG17" s="4">
        <f t="shared" ca="1" si="16"/>
        <v>51.584591825653767</v>
      </c>
      <c r="AH17" s="4">
        <f t="shared" ca="1" si="17"/>
        <v>56.35868753671955</v>
      </c>
      <c r="AI17" s="4">
        <f t="shared" ca="1" si="18"/>
        <v>56.261710743578</v>
      </c>
      <c r="AJ17" s="4">
        <f t="shared" ca="1" si="19"/>
        <v>60.645101548577102</v>
      </c>
      <c r="AL17" s="351">
        <v>9</v>
      </c>
      <c r="AM17" s="352" t="str">
        <f t="shared" ca="1" si="29"/>
        <v>Copenhagen</v>
      </c>
      <c r="AN17" s="353">
        <f t="shared" ca="1" si="30"/>
        <v>49.787825945340224</v>
      </c>
      <c r="AO17" s="354">
        <f t="shared" ca="1" si="20"/>
        <v>2</v>
      </c>
      <c r="AP17" s="351">
        <v>9</v>
      </c>
      <c r="AQ17" s="352" t="str">
        <f t="shared" ca="1" si="31"/>
        <v>Melbourne</v>
      </c>
      <c r="AR17" s="352">
        <f t="shared" ca="1" si="21"/>
        <v>54.073335988792223</v>
      </c>
      <c r="AS17" s="354">
        <f t="shared" ca="1" si="22"/>
        <v>-3</v>
      </c>
      <c r="AT17" s="351">
        <v>9</v>
      </c>
      <c r="AU17" s="352" t="str">
        <f t="shared" ca="1" si="23"/>
        <v>Moscow</v>
      </c>
      <c r="AV17" s="352">
        <f t="shared" ca="1" si="24"/>
        <v>47.020564575967924</v>
      </c>
      <c r="AW17" s="354">
        <f t="shared" ca="1" si="25"/>
        <v>-1</v>
      </c>
      <c r="AX17" s="351">
        <v>9</v>
      </c>
      <c r="AY17" s="352" t="str">
        <f t="shared" ca="1" si="26"/>
        <v>Stockholm</v>
      </c>
      <c r="AZ17" s="352">
        <f t="shared" ca="1" si="27"/>
        <v>60.448131787531558</v>
      </c>
      <c r="BA17" s="354">
        <f t="shared" ca="1" si="28"/>
        <v>4</v>
      </c>
      <c r="BC17" s="83">
        <v>7</v>
      </c>
      <c r="BD17" s="3">
        <v>9</v>
      </c>
      <c r="BE17" s="1" t="s">
        <v>120</v>
      </c>
      <c r="BF17" s="4">
        <v>45.737496439022813</v>
      </c>
      <c r="BG17" s="4">
        <v>53.71686214647999</v>
      </c>
      <c r="BH17" s="4">
        <v>46.452186124144347</v>
      </c>
      <c r="BI17" s="4">
        <v>63.517643670882876</v>
      </c>
      <c r="BJ17" s="12">
        <v>21</v>
      </c>
      <c r="BK17" s="12">
        <v>11</v>
      </c>
      <c r="BL17" s="12">
        <v>10</v>
      </c>
      <c r="BM17" s="12">
        <v>6</v>
      </c>
      <c r="BN17" s="4">
        <v>53.521663628623202</v>
      </c>
      <c r="BO17" s="4">
        <v>56.741623584358457</v>
      </c>
      <c r="BP17" s="4">
        <v>58.117657387614301</v>
      </c>
      <c r="BQ17" s="4">
        <v>61.828227465549787</v>
      </c>
    </row>
    <row r="18" spans="2:69">
      <c r="B18" s="2">
        <v>10</v>
      </c>
      <c r="C18" s="4" t="str">
        <f t="shared" ca="1" si="4"/>
        <v>Geneva</v>
      </c>
      <c r="D18" s="4" t="str">
        <f t="shared" ca="1" si="5"/>
        <v>Berlin</v>
      </c>
      <c r="E18" s="4" t="str">
        <f t="shared" ca="1" si="6"/>
        <v>Singapore</v>
      </c>
      <c r="F18" s="4" t="str">
        <f t="shared" ca="1" si="7"/>
        <v>Frankfurt</v>
      </c>
      <c r="H18" s="133" t="s">
        <v>611</v>
      </c>
      <c r="I18" s="183" t="str">
        <f>IFERROR(INDEX(指標マスタ[],MATCH($H18,指標マスタ['#],0),MATCH(I$8,指標マスタ[#Headers],0))&amp;"","")</f>
        <v/>
      </c>
      <c r="J18" s="183" t="str">
        <f>IFERROR(INDEX(指標マスタ[],MATCH($H18,指標マスタ['#],0),MATCH(J$8,指標マスタ[#Headers],0))&amp;"","")</f>
        <v/>
      </c>
      <c r="K18" s="183" t="str">
        <f>IFERROR(INDEX(指標マスタ[],MATCH($H18,指標マスタ['#],0),MATCH(K$8,指標マスタ[#Headers],0))&amp;"","")</f>
        <v>優秀な人材確保の容易性</v>
      </c>
      <c r="L18" s="11" t="s">
        <v>352</v>
      </c>
      <c r="M18" s="11"/>
      <c r="N18" s="11"/>
      <c r="O18" s="11"/>
      <c r="P18" s="3">
        <f t="shared" si="8"/>
        <v>5</v>
      </c>
      <c r="Q18" s="3">
        <f t="shared" si="9"/>
        <v>0</v>
      </c>
      <c r="R18" s="3">
        <f t="shared" si="10"/>
        <v>0</v>
      </c>
      <c r="S18" s="3">
        <f t="shared" si="11"/>
        <v>0</v>
      </c>
      <c r="U18" s="2">
        <v>10</v>
      </c>
      <c r="V18" s="83">
        <f>INDEX(順位表[Comprehensive],MATCH($W18,順位表['#],0))</f>
        <v>33</v>
      </c>
      <c r="W18" s="3">
        <v>10</v>
      </c>
      <c r="X18" s="1" t="str">
        <f>INDEX(都市マスタ[City Name],MATCH($W18,都市マスタ['#],0))</f>
        <v>Milan</v>
      </c>
      <c r="Y18" s="4">
        <f t="array" aca="1" ref="Y18" ca="1">SUMPRODUCT(INDIRECT("スコア!$H"&amp;MATCH($W18,スコア!$C:$C,0)&amp;":$BY"&amp;MATCH($W18,スコア!$C:$C,0)),TRANSPOSE(P$9:P$78))/P$5</f>
        <v>37.529365665547836</v>
      </c>
      <c r="Z18" s="4">
        <f t="array" aca="1" ref="Z18" ca="1">SUMPRODUCT(INDIRECT("スコア!$H"&amp;MATCH($W18,スコア!$C:$C,0)&amp;":$BY"&amp;MATCH($W18,スコア!$C:$C,0)),TRANSPOSE(Q$9:Q$78))/Q$5</f>
        <v>45.875446889234432</v>
      </c>
      <c r="AA18" s="4">
        <f t="array" aca="1" ref="AA18" ca="1">SUMPRODUCT(INDIRECT("スコア!$H"&amp;MATCH($W18,スコア!$C:$C,0)&amp;":$BY"&amp;MATCH($W18,スコア!$C:$C,0)),TRANSPOSE(R$9:R$78))/R$5</f>
        <v>37.25520710061037</v>
      </c>
      <c r="AB18" s="4">
        <f t="array" aca="1" ref="AB18" ca="1">SUMPRODUCT(INDIRECT("スコア!$H"&amp;MATCH($W18,スコア!$C:$C,0)&amp;":$BY"&amp;MATCH($W18,スコア!$C:$C,0)),TRANSPOSE(S$9:S$78))/S$5</f>
        <v>54.206566059721609</v>
      </c>
      <c r="AC18" s="12">
        <f t="shared" ca="1" si="12"/>
        <v>34</v>
      </c>
      <c r="AD18" s="12">
        <f t="shared" ca="1" si="13"/>
        <v>34</v>
      </c>
      <c r="AE18" s="12">
        <f t="shared" ca="1" si="14"/>
        <v>24</v>
      </c>
      <c r="AF18" s="12">
        <f t="shared" ca="1" si="15"/>
        <v>21</v>
      </c>
      <c r="AG18" s="4">
        <f t="shared" ca="1" si="16"/>
        <v>45.275295801891446</v>
      </c>
      <c r="AH18" s="4">
        <f t="shared" ca="1" si="17"/>
        <v>47.878316045273891</v>
      </c>
      <c r="AI18" s="4">
        <f t="shared" ca="1" si="18"/>
        <v>48.979477053101348</v>
      </c>
      <c r="AJ18" s="4">
        <f t="shared" ca="1" si="19"/>
        <v>52.053923489864211</v>
      </c>
      <c r="AL18" s="351">
        <v>10</v>
      </c>
      <c r="AM18" s="352" t="str">
        <f t="shared" ca="1" si="29"/>
        <v>Geneva</v>
      </c>
      <c r="AN18" s="353">
        <f t="shared" ca="1" si="30"/>
        <v>48.918894628313033</v>
      </c>
      <c r="AO18" s="354">
        <f t="shared" ca="1" si="20"/>
        <v>0</v>
      </c>
      <c r="AP18" s="351">
        <v>10</v>
      </c>
      <c r="AQ18" s="352" t="str">
        <f t="shared" ca="1" si="31"/>
        <v>Berlin</v>
      </c>
      <c r="AR18" s="352">
        <f t="shared" ca="1" si="21"/>
        <v>53.680512925515551</v>
      </c>
      <c r="AS18" s="354">
        <f t="shared" ca="1" si="22"/>
        <v>1</v>
      </c>
      <c r="AT18" s="351">
        <v>10</v>
      </c>
      <c r="AU18" s="352" t="str">
        <f t="shared" ca="1" si="23"/>
        <v>Singapore</v>
      </c>
      <c r="AV18" s="352">
        <f t="shared" ca="1" si="24"/>
        <v>44.488707341760374</v>
      </c>
      <c r="AW18" s="354">
        <f t="shared" ca="1" si="25"/>
        <v>5</v>
      </c>
      <c r="AX18" s="351">
        <v>10</v>
      </c>
      <c r="AY18" s="352" t="str">
        <f t="shared" ca="1" si="26"/>
        <v>Frankfurt</v>
      </c>
      <c r="AZ18" s="352">
        <f t="shared" ca="1" si="27"/>
        <v>60.250503853947741</v>
      </c>
      <c r="BA18" s="354">
        <f t="shared" ca="1" si="28"/>
        <v>5</v>
      </c>
      <c r="BC18" s="83">
        <v>33</v>
      </c>
      <c r="BD18" s="3">
        <v>10</v>
      </c>
      <c r="BE18" s="1" t="s">
        <v>122</v>
      </c>
      <c r="BF18" s="4">
        <v>37.607335376085871</v>
      </c>
      <c r="BG18" s="4">
        <v>47.829870626108871</v>
      </c>
      <c r="BH18" s="4">
        <v>39.741206668124534</v>
      </c>
      <c r="BI18" s="4">
        <v>58.024352830548636</v>
      </c>
      <c r="BJ18" s="12">
        <v>35</v>
      </c>
      <c r="BK18" s="12">
        <v>27</v>
      </c>
      <c r="BL18" s="12">
        <v>22</v>
      </c>
      <c r="BM18" s="12">
        <v>18</v>
      </c>
      <c r="BN18" s="4">
        <v>45.105097007820262</v>
      </c>
      <c r="BO18" s="4">
        <v>50.425975496118269</v>
      </c>
      <c r="BP18" s="4">
        <v>50.826986848505001</v>
      </c>
      <c r="BQ18" s="4">
        <v>54.945961624237491</v>
      </c>
    </row>
    <row r="19" spans="2:69">
      <c r="B19" s="2">
        <v>11</v>
      </c>
      <c r="C19" s="4" t="str">
        <f t="shared" ca="1" si="4"/>
        <v>Beijing</v>
      </c>
      <c r="D19" s="4" t="str">
        <f t="shared" ca="1" si="5"/>
        <v>Toronto</v>
      </c>
      <c r="E19" s="4" t="str">
        <f t="shared" ca="1" si="6"/>
        <v>Berlin</v>
      </c>
      <c r="F19" s="4" t="str">
        <f t="shared" ca="1" si="7"/>
        <v>London</v>
      </c>
      <c r="H19" s="133" t="s">
        <v>547</v>
      </c>
      <c r="I19" s="183" t="str">
        <f>IFERROR(INDEX(指標マスタ[],MATCH($H19,指標マスタ['#],0),MATCH(I$8,指標マスタ[#Headers],0))&amp;"","")</f>
        <v/>
      </c>
      <c r="J19" s="183" t="str">
        <f>IFERROR(INDEX(指標マスタ[],MATCH($H19,指標マスタ['#],0),MATCH(J$8,指標マスタ[#Headers],0))&amp;"","")</f>
        <v/>
      </c>
      <c r="K19" s="183" t="str">
        <f>IFERROR(INDEX(指標マスタ[],MATCH($H19,指標マスタ['#],0),MATCH(K$8,指標マスタ[#Headers],0))&amp;"","")</f>
        <v>ワークプレイス充実度</v>
      </c>
      <c r="L19" s="11" t="s">
        <v>352</v>
      </c>
      <c r="M19" s="11" t="s">
        <v>352</v>
      </c>
      <c r="N19" s="11"/>
      <c r="O19" s="11"/>
      <c r="P19" s="3">
        <f t="shared" si="8"/>
        <v>5</v>
      </c>
      <c r="Q19" s="3">
        <f t="shared" si="9"/>
        <v>5</v>
      </c>
      <c r="R19" s="3">
        <f t="shared" si="10"/>
        <v>0</v>
      </c>
      <c r="S19" s="3">
        <f t="shared" si="11"/>
        <v>0</v>
      </c>
      <c r="U19" s="2">
        <v>11</v>
      </c>
      <c r="V19" s="83">
        <f>INDEX(順位表[Comprehensive],MATCH($W19,順位表['#],0))</f>
        <v>19</v>
      </c>
      <c r="W19" s="3">
        <v>11</v>
      </c>
      <c r="X19" s="1" t="str">
        <f>INDEX(都市マスタ[City Name],MATCH($W19,都市マスタ['#],0))</f>
        <v>Zurich</v>
      </c>
      <c r="Y19" s="4">
        <f t="array" aca="1" ref="Y19" ca="1">SUMPRODUCT(INDIRECT("スコア!$H"&amp;MATCH($W19,スコア!$C:$C,0)&amp;":$BY"&amp;MATCH($W19,スコア!$C:$C,0)),TRANSPOSE(P$9:P$78))/P$5</f>
        <v>52.05325813989564</v>
      </c>
      <c r="Z19" s="4">
        <f t="array" aca="1" ref="Z19" ca="1">SUMPRODUCT(INDIRECT("スコア!$H"&amp;MATCH($W19,スコア!$C:$C,0)&amp;":$BY"&amp;MATCH($W19,スコア!$C:$C,0)),TRANSPOSE(Q$9:Q$78))/Q$5</f>
        <v>52.849860279682225</v>
      </c>
      <c r="AA19" s="4">
        <f t="array" aca="1" ref="AA19" ca="1">SUMPRODUCT(INDIRECT("スコア!$H"&amp;MATCH($W19,スコア!$C:$C,0)&amp;":$BY"&amp;MATCH($W19,スコア!$C:$C,0)),TRANSPOSE(R$9:R$78))/R$5</f>
        <v>30.707331548834912</v>
      </c>
      <c r="AB19" s="4">
        <f t="array" aca="1" ref="AB19" ca="1">SUMPRODUCT(INDIRECT("スコア!$H"&amp;MATCH($W19,スコア!$C:$C,0)&amp;":$BY"&amp;MATCH($W19,スコア!$C:$C,0)),TRANSPOSE(S$9:S$78))/S$5</f>
        <v>55.968281833114411</v>
      </c>
      <c r="AC19" s="12">
        <f t="shared" ca="1" si="12"/>
        <v>5</v>
      </c>
      <c r="AD19" s="12">
        <f t="shared" ca="1" si="13"/>
        <v>12</v>
      </c>
      <c r="AE19" s="12">
        <f t="shared" ca="1" si="14"/>
        <v>36</v>
      </c>
      <c r="AF19" s="12">
        <f t="shared" ca="1" si="15"/>
        <v>18</v>
      </c>
      <c r="AG19" s="4">
        <f t="shared" ca="1" si="16"/>
        <v>60.064755716119727</v>
      </c>
      <c r="AH19" s="4">
        <f t="shared" ca="1" si="17"/>
        <v>55.45616563821487</v>
      </c>
      <c r="AI19" s="4">
        <f t="shared" ca="1" si="18"/>
        <v>42.0579893359943</v>
      </c>
      <c r="AJ19" s="4">
        <f t="shared" ca="1" si="19"/>
        <v>54.318977743649896</v>
      </c>
      <c r="AL19" s="351">
        <v>11</v>
      </c>
      <c r="AM19" s="352" t="str">
        <f t="shared" ca="1" si="29"/>
        <v>Beijing</v>
      </c>
      <c r="AN19" s="353">
        <f t="shared" ca="1" si="30"/>
        <v>48.632588799058716</v>
      </c>
      <c r="AO19" s="354">
        <f t="shared" ca="1" si="20"/>
        <v>2</v>
      </c>
      <c r="AP19" s="351">
        <v>11</v>
      </c>
      <c r="AQ19" s="352" t="str">
        <f t="shared" ca="1" si="31"/>
        <v>Toronto</v>
      </c>
      <c r="AR19" s="352">
        <f t="shared" ca="1" si="21"/>
        <v>53.066851322868906</v>
      </c>
      <c r="AS19" s="354">
        <f t="shared" ca="1" si="22"/>
        <v>1</v>
      </c>
      <c r="AT19" s="351">
        <v>11</v>
      </c>
      <c r="AU19" s="352" t="str">
        <f t="shared" ca="1" si="23"/>
        <v>Berlin</v>
      </c>
      <c r="AV19" s="352">
        <f t="shared" ca="1" si="24"/>
        <v>44.144356065844342</v>
      </c>
      <c r="AW19" s="354">
        <f t="shared" ca="1" si="25"/>
        <v>-1</v>
      </c>
      <c r="AX19" s="351">
        <v>11</v>
      </c>
      <c r="AY19" s="352" t="str">
        <f t="shared" ca="1" si="26"/>
        <v>London</v>
      </c>
      <c r="AZ19" s="352">
        <f t="shared" ca="1" si="27"/>
        <v>59.875859885353151</v>
      </c>
      <c r="BA19" s="354">
        <f t="shared" ca="1" si="28"/>
        <v>-7</v>
      </c>
      <c r="BC19" s="83">
        <v>21</v>
      </c>
      <c r="BD19" s="3">
        <v>11</v>
      </c>
      <c r="BE19" s="1" t="s">
        <v>124</v>
      </c>
      <c r="BF19" s="4">
        <v>53.152248922261961</v>
      </c>
      <c r="BG19" s="4">
        <v>54.068840169777779</v>
      </c>
      <c r="BH19" s="4">
        <v>31.289476773545278</v>
      </c>
      <c r="BI19" s="4">
        <v>59.032100749256763</v>
      </c>
      <c r="BJ19" s="12">
        <v>4</v>
      </c>
      <c r="BK19" s="12">
        <v>10</v>
      </c>
      <c r="BL19" s="12">
        <v>38</v>
      </c>
      <c r="BM19" s="12">
        <v>17</v>
      </c>
      <c r="BN19" s="4">
        <v>61.197619586794886</v>
      </c>
      <c r="BO19" s="4">
        <v>57.119230605236773</v>
      </c>
      <c r="BP19" s="4">
        <v>41.645200709725266</v>
      </c>
      <c r="BQ19" s="4">
        <v>56.208517945969852</v>
      </c>
    </row>
    <row r="20" spans="2:69">
      <c r="B20" s="2">
        <v>12</v>
      </c>
      <c r="C20" s="4" t="str">
        <f t="shared" ca="1" si="4"/>
        <v>Tokyo</v>
      </c>
      <c r="D20" s="4" t="str">
        <f t="shared" ca="1" si="5"/>
        <v>Zurich</v>
      </c>
      <c r="E20" s="4" t="str">
        <f t="shared" ca="1" si="6"/>
        <v>Vienna</v>
      </c>
      <c r="F20" s="4" t="str">
        <f t="shared" ca="1" si="7"/>
        <v>Barcelona</v>
      </c>
      <c r="H20" s="133" t="s">
        <v>548</v>
      </c>
      <c r="I20" s="183" t="str">
        <f>IFERROR(INDEX(指標マスタ[],MATCH($H20,指標マスタ['#],0),MATCH(I$8,指標マスタ[#Headers],0))&amp;"","")</f>
        <v/>
      </c>
      <c r="J20" s="183" t="str">
        <f>IFERROR(INDEX(指標マスタ[],MATCH($H20,指標マスタ['#],0),MATCH(J$8,指標マスタ[#Headers],0))&amp;"","")</f>
        <v>ビジネスの容易性</v>
      </c>
      <c r="K20" s="183" t="str">
        <f>IFERROR(INDEX(指標マスタ[],MATCH($H20,指標マスタ['#],0),MATCH(K$8,指標マスタ[#Headers],0))&amp;"","")</f>
        <v>法人税率の低さ</v>
      </c>
      <c r="L20" s="11" t="s">
        <v>352</v>
      </c>
      <c r="M20" s="11"/>
      <c r="N20" s="11"/>
      <c r="O20" s="11"/>
      <c r="P20" s="3">
        <f t="shared" si="8"/>
        <v>5</v>
      </c>
      <c r="Q20" s="3">
        <f t="shared" si="9"/>
        <v>0</v>
      </c>
      <c r="R20" s="3">
        <f t="shared" si="10"/>
        <v>0</v>
      </c>
      <c r="S20" s="3">
        <f t="shared" si="11"/>
        <v>0</v>
      </c>
      <c r="U20" s="2">
        <v>12</v>
      </c>
      <c r="V20" s="83">
        <f>INDEX(順位表[Comprehensive],MATCH($W20,順位表['#],0))</f>
        <v>11</v>
      </c>
      <c r="W20" s="3">
        <v>12</v>
      </c>
      <c r="X20" s="1" t="str">
        <f>INDEX(都市マスタ[City Name],MATCH($W20,都市マスタ['#],0))</f>
        <v>Copenhagen</v>
      </c>
      <c r="Y20" s="4">
        <f t="array" aca="1" ref="Y20" ca="1">SUMPRODUCT(INDIRECT("スコア!$H"&amp;MATCH($W20,スコア!$C:$C,0)&amp;":$BY"&amp;MATCH($W20,スコア!$C:$C,0)),TRANSPOSE(P$9:P$78))/P$5</f>
        <v>49.787825945340224</v>
      </c>
      <c r="Z20" s="4">
        <f t="array" aca="1" ref="Z20" ca="1">SUMPRODUCT(INDIRECT("スコア!$H"&amp;MATCH($W20,スコア!$C:$C,0)&amp;":$BY"&amp;MATCH($W20,スコア!$C:$C,0)),TRANSPOSE(Q$9:Q$78))/Q$5</f>
        <v>54.485906639551104</v>
      </c>
      <c r="AA20" s="4">
        <f t="array" aca="1" ref="AA20" ca="1">SUMPRODUCT(INDIRECT("スコア!$H"&amp;MATCH($W20,スコア!$C:$C,0)&amp;":$BY"&amp;MATCH($W20,スコア!$C:$C,0)),TRANSPOSE(R$9:R$78))/R$5</f>
        <v>39.989935591381133</v>
      </c>
      <c r="AB20" s="4">
        <f t="array" aca="1" ref="AB20" ca="1">SUMPRODUCT(INDIRECT("スコア!$H"&amp;MATCH($W20,スコア!$C:$C,0)&amp;":$BY"&amp;MATCH($W20,スコア!$C:$C,0)),TRANSPOSE(S$9:S$78))/S$5</f>
        <v>60.815673995957653</v>
      </c>
      <c r="AC20" s="12">
        <f t="shared" ca="1" si="12"/>
        <v>9</v>
      </c>
      <c r="AD20" s="12">
        <f t="shared" ca="1" si="13"/>
        <v>8</v>
      </c>
      <c r="AE20" s="12">
        <f t="shared" ca="1" si="14"/>
        <v>18</v>
      </c>
      <c r="AF20" s="12">
        <f t="shared" ca="1" si="15"/>
        <v>8</v>
      </c>
      <c r="AG20" s="4">
        <f t="shared" ca="1" si="16"/>
        <v>57.757900395553605</v>
      </c>
      <c r="AH20" s="4">
        <f t="shared" ca="1" si="17"/>
        <v>57.233765064590273</v>
      </c>
      <c r="AI20" s="4">
        <f t="shared" ca="1" si="18"/>
        <v>51.870245136401294</v>
      </c>
      <c r="AJ20" s="4">
        <f t="shared" ca="1" si="19"/>
        <v>60.551314652951895</v>
      </c>
      <c r="AL20" s="351">
        <v>12</v>
      </c>
      <c r="AM20" s="352" t="str">
        <f t="shared" ca="1" si="29"/>
        <v>Tokyo</v>
      </c>
      <c r="AN20" s="353">
        <f t="shared" ca="1" si="30"/>
        <v>47.832299790476092</v>
      </c>
      <c r="AO20" s="354">
        <f t="shared" ca="1" si="20"/>
        <v>-4</v>
      </c>
      <c r="AP20" s="351">
        <v>12</v>
      </c>
      <c r="AQ20" s="352" t="str">
        <f t="shared" ca="1" si="31"/>
        <v>Zurich</v>
      </c>
      <c r="AR20" s="352">
        <f t="shared" ca="1" si="21"/>
        <v>52.849860279682225</v>
      </c>
      <c r="AS20" s="354">
        <f t="shared" ca="1" si="22"/>
        <v>-2</v>
      </c>
      <c r="AT20" s="351">
        <v>12</v>
      </c>
      <c r="AU20" s="352" t="str">
        <f t="shared" ca="1" si="23"/>
        <v>Vienna</v>
      </c>
      <c r="AV20" s="352">
        <f t="shared" ca="1" si="24"/>
        <v>43.732286344790559</v>
      </c>
      <c r="AW20" s="354">
        <f t="shared" ca="1" si="25"/>
        <v>1</v>
      </c>
      <c r="AX20" s="351">
        <v>12</v>
      </c>
      <c r="AY20" s="352" t="str">
        <f t="shared" ca="1" si="26"/>
        <v>Barcelona</v>
      </c>
      <c r="AZ20" s="352">
        <f t="shared" ca="1" si="27"/>
        <v>58.885990479025224</v>
      </c>
      <c r="BA20" s="354">
        <f t="shared" ca="1" si="28"/>
        <v>-3</v>
      </c>
      <c r="BC20" s="83">
        <v>15</v>
      </c>
      <c r="BD20" s="3">
        <v>12</v>
      </c>
      <c r="BE20" s="1" t="s">
        <v>126</v>
      </c>
      <c r="BF20" s="4">
        <v>48.468822548230442</v>
      </c>
      <c r="BG20" s="4">
        <v>54.620479786627769</v>
      </c>
      <c r="BH20" s="4">
        <v>38.776877371559443</v>
      </c>
      <c r="BI20" s="4">
        <v>61.31533847216307</v>
      </c>
      <c r="BJ20" s="12">
        <v>11</v>
      </c>
      <c r="BK20" s="12">
        <v>8</v>
      </c>
      <c r="BL20" s="12">
        <v>23</v>
      </c>
      <c r="BM20" s="12">
        <v>10</v>
      </c>
      <c r="BN20" s="4">
        <v>56.349207632158617</v>
      </c>
      <c r="BO20" s="4">
        <v>57.711037418530189</v>
      </c>
      <c r="BP20" s="4">
        <v>49.779359264701185</v>
      </c>
      <c r="BQ20" s="4">
        <v>59.069070835792388</v>
      </c>
    </row>
    <row r="21" spans="2:69">
      <c r="B21" s="2">
        <v>13</v>
      </c>
      <c r="C21" s="4" t="str">
        <f t="shared" ca="1" si="4"/>
        <v>Toronto</v>
      </c>
      <c r="D21" s="4" t="str">
        <f t="shared" ca="1" si="5"/>
        <v>Barcelona</v>
      </c>
      <c r="E21" s="4" t="str">
        <f t="shared" ca="1" si="6"/>
        <v>Barcelona</v>
      </c>
      <c r="F21" s="4" t="str">
        <f t="shared" ca="1" si="7"/>
        <v>Singapore</v>
      </c>
      <c r="H21" s="133" t="s">
        <v>549</v>
      </c>
      <c r="I21" s="183" t="str">
        <f>IFERROR(INDEX(指標マスタ[],MATCH($H21,指標マスタ['#],0),MATCH(I$8,指標マスタ[#Headers],0))&amp;"","")</f>
        <v/>
      </c>
      <c r="J21" s="183" t="str">
        <f>IFERROR(INDEX(指標マスタ[],MATCH($H21,指標マスタ['#],0),MATCH(J$8,指標マスタ[#Headers],0))&amp;"","")</f>
        <v/>
      </c>
      <c r="K21" s="183" t="str">
        <f>IFERROR(INDEX(指標マスタ[],MATCH($H21,指標マスタ['#],0),MATCH(K$8,指標マスタ[#Headers],0))&amp;"","")</f>
        <v>政治・経済・商機のリスクの低さ</v>
      </c>
      <c r="L21" s="11" t="s">
        <v>352</v>
      </c>
      <c r="M21" s="11" t="s">
        <v>352</v>
      </c>
      <c r="N21" s="11"/>
      <c r="O21" s="11"/>
      <c r="P21" s="3">
        <f t="shared" si="8"/>
        <v>5</v>
      </c>
      <c r="Q21" s="3">
        <f t="shared" si="9"/>
        <v>5</v>
      </c>
      <c r="R21" s="3">
        <f t="shared" si="10"/>
        <v>0</v>
      </c>
      <c r="S21" s="3">
        <f t="shared" si="11"/>
        <v>0</v>
      </c>
      <c r="U21" s="2">
        <v>13</v>
      </c>
      <c r="V21" s="83">
        <f>INDEX(順位表[Comprehensive],MATCH($W21,順位表['#],0))</f>
        <v>13</v>
      </c>
      <c r="W21" s="3">
        <v>13</v>
      </c>
      <c r="X21" s="1" t="str">
        <f>INDEX(都市マスタ[City Name],MATCH($W21,都市マスタ['#],0))</f>
        <v>Vienna</v>
      </c>
      <c r="Y21" s="4">
        <f t="array" aca="1" ref="Y21" ca="1">SUMPRODUCT(INDIRECT("スコア!$H"&amp;MATCH($W21,スコア!$C:$C,0)&amp;":$BY"&amp;MATCH($W21,スコア!$C:$C,0)),TRANSPOSE(P$9:P$78))/P$5</f>
        <v>42.045588487968473</v>
      </c>
      <c r="Z21" s="4">
        <f t="array" aca="1" ref="Z21" ca="1">SUMPRODUCT(INDIRECT("スコア!$H"&amp;MATCH($W21,スコア!$C:$C,0)&amp;":$BY"&amp;MATCH($W21,スコア!$C:$C,0)),TRANSPOSE(Q$9:Q$78))/Q$5</f>
        <v>52.493020146021109</v>
      </c>
      <c r="AA21" s="4">
        <f t="array" aca="1" ref="AA21" ca="1">SUMPRODUCT(INDIRECT("スコア!$H"&amp;MATCH($W21,スコア!$C:$C,0)&amp;":$BY"&amp;MATCH($W21,スコア!$C:$C,0)),TRANSPOSE(R$9:R$78))/R$5</f>
        <v>43.732286344790559</v>
      </c>
      <c r="AB21" s="4">
        <f t="array" aca="1" ref="AB21" ca="1">SUMPRODUCT(INDIRECT("スコア!$H"&amp;MATCH($W21,スコア!$C:$C,0)&amp;":$BY"&amp;MATCH($W21,スコア!$C:$C,0)),TRANSPOSE(S$9:S$78))/S$5</f>
        <v>64.938637790274768</v>
      </c>
      <c r="AC21" s="12">
        <f t="shared" ca="1" si="12"/>
        <v>30</v>
      </c>
      <c r="AD21" s="12">
        <f t="shared" ca="1" si="13"/>
        <v>14</v>
      </c>
      <c r="AE21" s="12">
        <f t="shared" ca="1" si="14"/>
        <v>12</v>
      </c>
      <c r="AF21" s="12">
        <f t="shared" ca="1" si="15"/>
        <v>1</v>
      </c>
      <c r="AG21" s="4">
        <f t="shared" ca="1" si="16"/>
        <v>49.874097157236257</v>
      </c>
      <c r="AH21" s="4">
        <f t="shared" ca="1" si="17"/>
        <v>55.068451186801305</v>
      </c>
      <c r="AI21" s="4">
        <f t="shared" ca="1" si="18"/>
        <v>55.826128929245542</v>
      </c>
      <c r="AJ21" s="4">
        <f t="shared" ca="1" si="19"/>
        <v>65.852247312785735</v>
      </c>
      <c r="AL21" s="351">
        <v>13</v>
      </c>
      <c r="AM21" s="352" t="str">
        <f t="shared" ca="1" si="29"/>
        <v>Toronto</v>
      </c>
      <c r="AN21" s="353">
        <f t="shared" ca="1" si="30"/>
        <v>47.805340779966322</v>
      </c>
      <c r="AO21" s="354">
        <f t="shared" ca="1" si="20"/>
        <v>-1</v>
      </c>
      <c r="AP21" s="351">
        <v>13</v>
      </c>
      <c r="AQ21" s="352" t="str">
        <f t="shared" ca="1" si="31"/>
        <v>Barcelona</v>
      </c>
      <c r="AR21" s="352">
        <f t="shared" ca="1" si="21"/>
        <v>52.594575721016675</v>
      </c>
      <c r="AS21" s="354">
        <f t="shared" ca="1" si="22"/>
        <v>-4</v>
      </c>
      <c r="AT21" s="351">
        <v>13</v>
      </c>
      <c r="AU21" s="352" t="str">
        <f t="shared" ca="1" si="23"/>
        <v>Barcelona</v>
      </c>
      <c r="AV21" s="352">
        <f t="shared" ca="1" si="24"/>
        <v>43.410154526121701</v>
      </c>
      <c r="AW21" s="354">
        <f t="shared" ca="1" si="25"/>
        <v>-2</v>
      </c>
      <c r="AX21" s="351">
        <v>13</v>
      </c>
      <c r="AY21" s="352" t="str">
        <f t="shared" ca="1" si="26"/>
        <v>Singapore</v>
      </c>
      <c r="AZ21" s="352">
        <f t="shared" ca="1" si="27"/>
        <v>58.200258364874784</v>
      </c>
      <c r="BA21" s="354">
        <f t="shared" ca="1" si="28"/>
        <v>-2</v>
      </c>
      <c r="BC21" s="83">
        <v>19</v>
      </c>
      <c r="BD21" s="3">
        <v>13</v>
      </c>
      <c r="BE21" s="1" t="s">
        <v>128</v>
      </c>
      <c r="BF21" s="4">
        <v>41.686516221277166</v>
      </c>
      <c r="BG21" s="4">
        <v>51.358971104464437</v>
      </c>
      <c r="BH21" s="4">
        <v>43.610612016221694</v>
      </c>
      <c r="BI21" s="4">
        <v>67.093068731106314</v>
      </c>
      <c r="BJ21" s="12">
        <v>30</v>
      </c>
      <c r="BK21" s="12">
        <v>19</v>
      </c>
      <c r="BL21" s="12">
        <v>13</v>
      </c>
      <c r="BM21" s="12">
        <v>1</v>
      </c>
      <c r="BN21" s="4">
        <v>49.327977351282165</v>
      </c>
      <c r="BO21" s="4">
        <v>54.212044596474094</v>
      </c>
      <c r="BP21" s="4">
        <v>55.030629514992199</v>
      </c>
      <c r="BQ21" s="4">
        <v>66.307696416924387</v>
      </c>
    </row>
    <row r="22" spans="2:69">
      <c r="B22" s="2">
        <v>14</v>
      </c>
      <c r="C22" s="4" t="str">
        <f t="shared" ca="1" si="4"/>
        <v>Stockholm</v>
      </c>
      <c r="D22" s="4" t="str">
        <f t="shared" ca="1" si="5"/>
        <v>Vienna</v>
      </c>
      <c r="E22" s="4" t="str">
        <f t="shared" ca="1" si="6"/>
        <v>Bangkok</v>
      </c>
      <c r="F22" s="4" t="str">
        <f t="shared" ca="1" si="7"/>
        <v>Helsinki</v>
      </c>
      <c r="H22" s="143" t="s">
        <v>550</v>
      </c>
      <c r="I22" s="187" t="str">
        <f>IFERROR(INDEX(指標マスタ[],MATCH($H22,指標マスタ['#],0),MATCH(I$8,指標マスタ[#Headers],0))&amp;"","")</f>
        <v>研究・開発</v>
      </c>
      <c r="J22" s="187" t="str">
        <f>IFERROR(INDEX(指標マスタ[],MATCH($H22,指標マスタ['#],0),MATCH(J$8,指標マスタ[#Headers],0))&amp;"","")</f>
        <v>研究集積</v>
      </c>
      <c r="K22" s="187" t="str">
        <f>IFERROR(INDEX(指標マスタ[],MATCH($H22,指標マスタ['#],0),MATCH(K$8,指標マスタ[#Headers],0))&amp;"","")</f>
        <v>研究者数</v>
      </c>
      <c r="L22" s="11"/>
      <c r="M22" s="11"/>
      <c r="N22" s="11"/>
      <c r="O22" s="11"/>
      <c r="P22" s="3">
        <f t="shared" si="8"/>
        <v>0</v>
      </c>
      <c r="Q22" s="3">
        <f t="shared" si="9"/>
        <v>0</v>
      </c>
      <c r="R22" s="3">
        <f t="shared" si="10"/>
        <v>0</v>
      </c>
      <c r="S22" s="3">
        <f t="shared" si="11"/>
        <v>0</v>
      </c>
      <c r="U22" s="2">
        <v>14</v>
      </c>
      <c r="V22" s="83">
        <f>INDEX(順位表[Comprehensive],MATCH($W22,順位表['#],0))</f>
        <v>16</v>
      </c>
      <c r="W22" s="3">
        <v>14</v>
      </c>
      <c r="X22" s="1" t="str">
        <f>INDEX(都市マスタ[City Name],MATCH($W22,都市マスタ['#],0))</f>
        <v>Stockholm</v>
      </c>
      <c r="Y22" s="4">
        <f t="array" aca="1" ref="Y22" ca="1">SUMPRODUCT(INDIRECT("スコア!$H"&amp;MATCH($W22,スコア!$C:$C,0)&amp;":$BY"&amp;MATCH($W22,スコア!$C:$C,0)),TRANSPOSE(P$9:P$78))/P$5</f>
        <v>47.42388849661522</v>
      </c>
      <c r="Z22" s="4">
        <f t="array" aca="1" ref="Z22" ca="1">SUMPRODUCT(INDIRECT("スコア!$H"&amp;MATCH($W22,スコア!$C:$C,0)&amp;":$BY"&amp;MATCH($W22,スコア!$C:$C,0)),TRANSPOSE(Q$9:Q$78))/Q$5</f>
        <v>50.087801009595559</v>
      </c>
      <c r="AA22" s="4">
        <f t="array" aca="1" ref="AA22" ca="1">SUMPRODUCT(INDIRECT("スコア!$H"&amp;MATCH($W22,スコア!$C:$C,0)&amp;":$BY"&amp;MATCH($W22,スコア!$C:$C,0)),TRANSPOSE(R$9:R$78))/R$5</f>
        <v>35.264525648007542</v>
      </c>
      <c r="AB22" s="4">
        <f t="array" aca="1" ref="AB22" ca="1">SUMPRODUCT(INDIRECT("スコア!$H"&amp;MATCH($W22,スコア!$C:$C,0)&amp;":$BY"&amp;MATCH($W22,スコア!$C:$C,0)),TRANSPOSE(S$9:S$78))/S$5</f>
        <v>60.448131787531558</v>
      </c>
      <c r="AC22" s="12">
        <f t="shared" ca="1" si="12"/>
        <v>14</v>
      </c>
      <c r="AD22" s="12">
        <f t="shared" ca="1" si="13"/>
        <v>21</v>
      </c>
      <c r="AE22" s="12">
        <f t="shared" ca="1" si="14"/>
        <v>28</v>
      </c>
      <c r="AF22" s="12">
        <f t="shared" ca="1" si="15"/>
        <v>9</v>
      </c>
      <c r="AG22" s="4">
        <f t="shared" ca="1" si="16"/>
        <v>55.350738665362435</v>
      </c>
      <c r="AH22" s="4">
        <f t="shared" ca="1" si="17"/>
        <v>52.455129057249991</v>
      </c>
      <c r="AI22" s="4">
        <f t="shared" ca="1" si="18"/>
        <v>46.875210239550306</v>
      </c>
      <c r="AJ22" s="4">
        <f t="shared" ca="1" si="19"/>
        <v>60.078762238303284</v>
      </c>
      <c r="AL22" s="351">
        <v>14</v>
      </c>
      <c r="AM22" s="352" t="str">
        <f t="shared" ca="1" si="29"/>
        <v>Stockholm</v>
      </c>
      <c r="AN22" s="353">
        <f t="shared" ca="1" si="30"/>
        <v>47.42388849661522</v>
      </c>
      <c r="AO22" s="354">
        <f t="shared" ca="1" si="20"/>
        <v>0</v>
      </c>
      <c r="AP22" s="351">
        <v>14</v>
      </c>
      <c r="AQ22" s="352" t="str">
        <f t="shared" ca="1" si="31"/>
        <v>Vienna</v>
      </c>
      <c r="AR22" s="352">
        <f t="shared" ca="1" si="21"/>
        <v>52.493020146021109</v>
      </c>
      <c r="AS22" s="354">
        <f t="shared" ca="1" si="22"/>
        <v>5</v>
      </c>
      <c r="AT22" s="351">
        <v>14</v>
      </c>
      <c r="AU22" s="352" t="str">
        <f t="shared" ca="1" si="23"/>
        <v>Bangkok</v>
      </c>
      <c r="AV22" s="352">
        <f t="shared" ca="1" si="24"/>
        <v>43.176410914814149</v>
      </c>
      <c r="AW22" s="354">
        <f t="shared" ca="1" si="25"/>
        <v>7</v>
      </c>
      <c r="AX22" s="351">
        <v>14</v>
      </c>
      <c r="AY22" s="352" t="str">
        <f t="shared" ca="1" si="26"/>
        <v>Helsinki</v>
      </c>
      <c r="AZ22" s="352">
        <f t="shared" ca="1" si="27"/>
        <v>57.643851587481088</v>
      </c>
      <c r="BA22" s="354">
        <f t="shared" ca="1" si="28"/>
        <v>-2</v>
      </c>
      <c r="BC22" s="83">
        <v>22</v>
      </c>
      <c r="BD22" s="3">
        <v>14</v>
      </c>
      <c r="BE22" s="1" t="s">
        <v>130</v>
      </c>
      <c r="BF22" s="4">
        <v>47.251175760660864</v>
      </c>
      <c r="BG22" s="4">
        <v>50.717202249177788</v>
      </c>
      <c r="BH22" s="4">
        <v>32.990623127963204</v>
      </c>
      <c r="BI22" s="4">
        <v>59.659941285338732</v>
      </c>
      <c r="BJ22" s="12">
        <v>14</v>
      </c>
      <c r="BK22" s="12">
        <v>21</v>
      </c>
      <c r="BL22" s="12">
        <v>31</v>
      </c>
      <c r="BM22" s="12">
        <v>13</v>
      </c>
      <c r="BN22" s="4">
        <v>55.088666146098078</v>
      </c>
      <c r="BO22" s="4">
        <v>53.52354585650518</v>
      </c>
      <c r="BP22" s="4">
        <v>43.493291244072346</v>
      </c>
      <c r="BQ22" s="4">
        <v>56.995107551519524</v>
      </c>
    </row>
    <row r="23" spans="2:69">
      <c r="B23" s="2">
        <v>15</v>
      </c>
      <c r="C23" s="4" t="str">
        <f t="shared" ca="1" si="4"/>
        <v>Dubai</v>
      </c>
      <c r="D23" s="4" t="str">
        <f t="shared" ca="1" si="5"/>
        <v>Geneva</v>
      </c>
      <c r="E23" s="4" t="str">
        <f t="shared" ca="1" si="6"/>
        <v>Seoul</v>
      </c>
      <c r="F23" s="4" t="str">
        <f t="shared" ca="1" si="7"/>
        <v>Sydney</v>
      </c>
      <c r="H23" s="143" t="s">
        <v>551</v>
      </c>
      <c r="I23" s="187" t="str">
        <f>IFERROR(INDEX(指標マスタ[],MATCH($H23,指標マスタ['#],0),MATCH(I$8,指標マスタ[#Headers],0))&amp;"","")</f>
        <v/>
      </c>
      <c r="J23" s="187" t="str">
        <f>IFERROR(INDEX(指標マスタ[],MATCH($H23,指標マスタ['#],0),MATCH(J$8,指標マスタ[#Headers],0))&amp;"","")</f>
        <v/>
      </c>
      <c r="K23" s="187" t="str">
        <f>IFERROR(INDEX(指標マスタ[],MATCH($H23,指標マスタ['#],0),MATCH(K$8,指標マスタ[#Headers],0))&amp;"","")</f>
        <v>世界トップ大学</v>
      </c>
      <c r="L23" s="11" t="s">
        <v>354</v>
      </c>
      <c r="M23" s="11" t="s">
        <v>354</v>
      </c>
      <c r="N23" s="11"/>
      <c r="O23" s="11"/>
      <c r="P23" s="3">
        <f t="shared" si="8"/>
        <v>1</v>
      </c>
      <c r="Q23" s="3">
        <f t="shared" si="9"/>
        <v>1</v>
      </c>
      <c r="R23" s="3">
        <f t="shared" si="10"/>
        <v>0</v>
      </c>
      <c r="S23" s="3">
        <f t="shared" si="11"/>
        <v>0</v>
      </c>
      <c r="U23" s="2">
        <v>15</v>
      </c>
      <c r="V23" s="83">
        <f>INDEX(順位表[Comprehensive],MATCH($W23,順位表['#],0))</f>
        <v>30</v>
      </c>
      <c r="W23" s="3">
        <v>15</v>
      </c>
      <c r="X23" s="1" t="str">
        <f>INDEX(都市マスタ[City Name],MATCH($W23,都市マスタ['#],0))</f>
        <v>Istanbul</v>
      </c>
      <c r="Y23" s="4">
        <f t="array" aca="1" ref="Y23" ca="1">SUMPRODUCT(INDIRECT("スコア!$H"&amp;MATCH($W23,スコア!$C:$C,0)&amp;":$BY"&amp;MATCH($W23,スコア!$C:$C,0)),TRANSPOSE(P$9:P$78))/P$5</f>
        <v>32.550237795516288</v>
      </c>
      <c r="Z23" s="4">
        <f t="array" aca="1" ref="Z23" ca="1">SUMPRODUCT(INDIRECT("スコア!$H"&amp;MATCH($W23,スコア!$C:$C,0)&amp;":$BY"&amp;MATCH($W23,スコア!$C:$C,0)),TRANSPOSE(Q$9:Q$78))/Q$5</f>
        <v>35.211803807849989</v>
      </c>
      <c r="AA23" s="4">
        <f t="array" aca="1" ref="AA23" ca="1">SUMPRODUCT(INDIRECT("スコア!$H"&amp;MATCH($W23,スコア!$C:$C,0)&amp;":$BY"&amp;MATCH($W23,スコア!$C:$C,0)),TRANSPOSE(R$9:R$78))/R$5</f>
        <v>49.699834007021693</v>
      </c>
      <c r="AB23" s="4">
        <f t="array" aca="1" ref="AB23" ca="1">SUMPRODUCT(INDIRECT("スコア!$H"&amp;MATCH($W23,スコア!$C:$C,0)&amp;":$BY"&amp;MATCH($W23,スコア!$C:$C,0)),TRANSPOSE(S$9:S$78))/S$5</f>
        <v>46.982373006615312</v>
      </c>
      <c r="AC23" s="12">
        <f t="shared" ca="1" si="12"/>
        <v>39</v>
      </c>
      <c r="AD23" s="12">
        <f t="shared" ca="1" si="13"/>
        <v>43</v>
      </c>
      <c r="AE23" s="12">
        <f t="shared" ca="1" si="14"/>
        <v>7</v>
      </c>
      <c r="AF23" s="12">
        <f t="shared" ca="1" si="15"/>
        <v>38</v>
      </c>
      <c r="AG23" s="4">
        <f t="shared" ca="1" si="16"/>
        <v>40.205125241780962</v>
      </c>
      <c r="AH23" s="4">
        <f t="shared" ca="1" si="17"/>
        <v>36.292039342173467</v>
      </c>
      <c r="AI23" s="4">
        <f t="shared" ca="1" si="18"/>
        <v>62.134176099473748</v>
      </c>
      <c r="AJ23" s="4">
        <f t="shared" ca="1" si="19"/>
        <v>42.76571170664657</v>
      </c>
      <c r="AL23" s="351">
        <v>15</v>
      </c>
      <c r="AM23" s="352" t="str">
        <f t="shared" ca="1" si="29"/>
        <v>Dubai</v>
      </c>
      <c r="AN23" s="353">
        <f t="shared" ca="1" si="30"/>
        <v>47.399428044043468</v>
      </c>
      <c r="AO23" s="354">
        <f t="shared" ca="1" si="20"/>
        <v>5</v>
      </c>
      <c r="AP23" s="351">
        <v>15</v>
      </c>
      <c r="AQ23" s="352" t="str">
        <f t="shared" ca="1" si="31"/>
        <v>Geneva</v>
      </c>
      <c r="AR23" s="352">
        <f t="shared" ca="1" si="21"/>
        <v>52.422137737180009</v>
      </c>
      <c r="AS23" s="354">
        <f t="shared" ca="1" si="22"/>
        <v>3</v>
      </c>
      <c r="AT23" s="351">
        <v>15</v>
      </c>
      <c r="AU23" s="352" t="str">
        <f t="shared" ca="1" si="23"/>
        <v>Seoul</v>
      </c>
      <c r="AV23" s="352">
        <f t="shared" ca="1" si="24"/>
        <v>42.576059453838681</v>
      </c>
      <c r="AW23" s="354">
        <f t="shared" ca="1" si="25"/>
        <v>-3</v>
      </c>
      <c r="AX23" s="351">
        <v>15</v>
      </c>
      <c r="AY23" s="352" t="str">
        <f t="shared" ca="1" si="26"/>
        <v>Sydney</v>
      </c>
      <c r="AZ23" s="352">
        <f t="shared" ca="1" si="27"/>
        <v>56.847566744167572</v>
      </c>
      <c r="BA23" s="354">
        <f t="shared" ca="1" si="28"/>
        <v>-1</v>
      </c>
      <c r="BC23" s="83">
        <v>34</v>
      </c>
      <c r="BD23" s="3">
        <v>15</v>
      </c>
      <c r="BE23" s="1" t="s">
        <v>132</v>
      </c>
      <c r="BF23" s="4">
        <v>29.090765731193475</v>
      </c>
      <c r="BG23" s="4">
        <v>37.587018217604438</v>
      </c>
      <c r="BH23" s="4">
        <v>47.857175251695267</v>
      </c>
      <c r="BI23" s="4">
        <v>47.670691220169367</v>
      </c>
      <c r="BJ23" s="12">
        <v>42</v>
      </c>
      <c r="BK23" s="12">
        <v>41</v>
      </c>
      <c r="BL23" s="12">
        <v>9</v>
      </c>
      <c r="BM23" s="12">
        <v>38</v>
      </c>
      <c r="BN23" s="4">
        <v>36.288509582053933</v>
      </c>
      <c r="BO23" s="4">
        <v>39.43729800133238</v>
      </c>
      <c r="BP23" s="4">
        <v>59.644008780452502</v>
      </c>
      <c r="BQ23" s="4">
        <v>41.974383438276362</v>
      </c>
    </row>
    <row r="24" spans="2:69">
      <c r="B24" s="2">
        <v>16</v>
      </c>
      <c r="C24" s="4" t="str">
        <f t="shared" ca="1" si="4"/>
        <v>Sydney</v>
      </c>
      <c r="D24" s="4" t="str">
        <f t="shared" ca="1" si="5"/>
        <v>Frankfurt</v>
      </c>
      <c r="E24" s="4" t="str">
        <f t="shared" ca="1" si="6"/>
        <v>Beijing</v>
      </c>
      <c r="F24" s="4" t="str">
        <f t="shared" ca="1" si="7"/>
        <v>Osaka</v>
      </c>
      <c r="H24" s="143" t="s">
        <v>552</v>
      </c>
      <c r="I24" s="187" t="str">
        <f>IFERROR(INDEX(指標マスタ[],MATCH($H24,指標マスタ['#],0),MATCH(I$8,指標マスタ[#Headers],0))&amp;"","")</f>
        <v/>
      </c>
      <c r="J24" s="188" t="str">
        <f>IFERROR(INDEX(指標マスタ[],MATCH($H24,指標マスタ['#],0),MATCH(J$8,指標マスタ[#Headers],0))&amp;"","")</f>
        <v>研究環境</v>
      </c>
      <c r="K24" s="187" t="str">
        <f>IFERROR(INDEX(指標マスタ[],MATCH($H24,指標マスタ['#],0),MATCH(K$8,指標マスタ[#Headers],0))&amp;"","")</f>
        <v>研究開発費</v>
      </c>
      <c r="L24" s="11"/>
      <c r="M24" s="11"/>
      <c r="N24" s="11"/>
      <c r="O24" s="11"/>
      <c r="P24" s="3">
        <f t="shared" si="8"/>
        <v>0</v>
      </c>
      <c r="Q24" s="3">
        <f t="shared" si="9"/>
        <v>0</v>
      </c>
      <c r="R24" s="3">
        <f t="shared" si="10"/>
        <v>0</v>
      </c>
      <c r="S24" s="3">
        <f t="shared" si="11"/>
        <v>0</v>
      </c>
      <c r="U24" s="2">
        <v>16</v>
      </c>
      <c r="V24" s="83">
        <f>INDEX(順位表[Comprehensive],MATCH($W24,順位表['#],0))</f>
        <v>47</v>
      </c>
      <c r="W24" s="3">
        <v>16</v>
      </c>
      <c r="X24" s="1" t="str">
        <f>INDEX(都市マスタ[City Name],MATCH($W24,都市マスタ['#],0))</f>
        <v>Cairo</v>
      </c>
      <c r="Y24" s="4">
        <f t="array" aca="1" ref="Y24" ca="1">SUMPRODUCT(INDIRECT("スコア!$H"&amp;MATCH($W24,スコア!$C:$C,0)&amp;":$BY"&amp;MATCH($W24,スコア!$C:$C,0)),TRANSPOSE(P$9:P$78))/P$5</f>
        <v>20.224266958359781</v>
      </c>
      <c r="Z24" s="4">
        <f t="array" aca="1" ref="Z24" ca="1">SUMPRODUCT(INDIRECT("スコア!$H"&amp;MATCH($W24,スコア!$C:$C,0)&amp;":$BY"&amp;MATCH($W24,スコア!$C:$C,0)),TRANSPOSE(Q$9:Q$78))/Q$5</f>
        <v>26.700595895152219</v>
      </c>
      <c r="AA24" s="4">
        <f t="array" aca="1" ref="AA24" ca="1">SUMPRODUCT(INDIRECT("スコア!$H"&amp;MATCH($W24,スコア!$C:$C,0)&amp;":$BY"&amp;MATCH($W24,スコア!$C:$C,0)),TRANSPOSE(R$9:R$78))/R$5</f>
        <v>29.370460595464156</v>
      </c>
      <c r="AB24" s="4">
        <f t="array" aca="1" ref="AB24" ca="1">SUMPRODUCT(INDIRECT("スコア!$H"&amp;MATCH($W24,スコア!$C:$C,0)&amp;":$BY"&amp;MATCH($W24,スコア!$C:$C,0)),TRANSPOSE(S$9:S$78))/S$5</f>
        <v>35.627232846536934</v>
      </c>
      <c r="AC24" s="12">
        <f t="shared" ca="1" si="12"/>
        <v>48</v>
      </c>
      <c r="AD24" s="12">
        <f t="shared" ca="1" si="13"/>
        <v>48</v>
      </c>
      <c r="AE24" s="12">
        <f t="shared" ca="1" si="14"/>
        <v>38</v>
      </c>
      <c r="AF24" s="12">
        <f t="shared" ca="1" si="15"/>
        <v>47</v>
      </c>
      <c r="AG24" s="4">
        <f t="shared" ca="1" si="16"/>
        <v>27.653775669203043</v>
      </c>
      <c r="AH24" s="4">
        <f t="shared" ca="1" si="17"/>
        <v>27.044429571148434</v>
      </c>
      <c r="AI24" s="4">
        <f t="shared" ca="1" si="18"/>
        <v>40.644838488830771</v>
      </c>
      <c r="AJ24" s="4">
        <f t="shared" ca="1" si="19"/>
        <v>28.166303044723037</v>
      </c>
      <c r="AL24" s="351">
        <v>16</v>
      </c>
      <c r="AM24" s="352" t="str">
        <f t="shared" ca="1" si="29"/>
        <v>Sydney</v>
      </c>
      <c r="AN24" s="353">
        <f t="shared" ca="1" si="30"/>
        <v>47.338671444474997</v>
      </c>
      <c r="AO24" s="354">
        <f t="shared" ca="1" si="20"/>
        <v>2</v>
      </c>
      <c r="AP24" s="351">
        <v>16</v>
      </c>
      <c r="AQ24" s="352" t="str">
        <f t="shared" ca="1" si="31"/>
        <v>Frankfurt</v>
      </c>
      <c r="AR24" s="352">
        <f t="shared" ca="1" si="21"/>
        <v>51.951342510720011</v>
      </c>
      <c r="AS24" s="354">
        <f t="shared" ca="1" si="22"/>
        <v>4</v>
      </c>
      <c r="AT24" s="351">
        <v>16</v>
      </c>
      <c r="AU24" s="352" t="str">
        <f t="shared" ca="1" si="23"/>
        <v>Beijing</v>
      </c>
      <c r="AV24" s="352">
        <f t="shared" ca="1" si="24"/>
        <v>42.294642826796228</v>
      </c>
      <c r="AW24" s="354">
        <f t="shared" ca="1" si="25"/>
        <v>0</v>
      </c>
      <c r="AX24" s="351">
        <v>16</v>
      </c>
      <c r="AY24" s="352" t="str">
        <f t="shared" ca="1" si="26"/>
        <v>Osaka</v>
      </c>
      <c r="AZ24" s="352">
        <f t="shared" ca="1" si="27"/>
        <v>56.486885544955854</v>
      </c>
      <c r="BA24" s="354">
        <f t="shared" ca="1" si="28"/>
        <v>7</v>
      </c>
      <c r="BC24" s="83">
        <v>46</v>
      </c>
      <c r="BD24" s="3">
        <v>16</v>
      </c>
      <c r="BE24" s="1" t="s">
        <v>134</v>
      </c>
      <c r="BF24" s="4">
        <v>21.950961152357603</v>
      </c>
      <c r="BG24" s="4">
        <v>27.309796053255553</v>
      </c>
      <c r="BH24" s="4">
        <v>30.807342027324527</v>
      </c>
      <c r="BI24" s="4">
        <v>40.197940504678378</v>
      </c>
      <c r="BJ24" s="12">
        <v>48</v>
      </c>
      <c r="BK24" s="12">
        <v>48</v>
      </c>
      <c r="BL24" s="12">
        <v>40</v>
      </c>
      <c r="BM24" s="12">
        <v>45</v>
      </c>
      <c r="BN24" s="4">
        <v>28.897187266038443</v>
      </c>
      <c r="BO24" s="4">
        <v>28.411748144484967</v>
      </c>
      <c r="BP24" s="4">
        <v>41.121419402810446</v>
      </c>
      <c r="BQ24" s="4">
        <v>32.612152585278878</v>
      </c>
    </row>
    <row r="25" spans="2:69">
      <c r="B25" s="2">
        <v>17</v>
      </c>
      <c r="C25" s="4" t="str">
        <f t="shared" ca="1" si="4"/>
        <v>Washington, DC</v>
      </c>
      <c r="D25" s="4" t="str">
        <f t="shared" ca="1" si="5"/>
        <v>Tokyo</v>
      </c>
      <c r="E25" s="4" t="str">
        <f t="shared" ca="1" si="6"/>
        <v>Shanghai</v>
      </c>
      <c r="F25" s="4" t="str">
        <f t="shared" ca="1" si="7"/>
        <v>Brussels</v>
      </c>
      <c r="H25" s="143" t="s">
        <v>553</v>
      </c>
      <c r="I25" s="187" t="str">
        <f>IFERROR(INDEX(指標マスタ[],MATCH($H25,指標マスタ['#],0),MATCH(I$8,指標マスタ[#Headers],0))&amp;"","")</f>
        <v/>
      </c>
      <c r="J25" s="188" t="str">
        <f>IFERROR(INDEX(指標マスタ[],MATCH($H25,指標マスタ['#],0),MATCH(J$8,指標マスタ[#Headers],0))&amp;"","")</f>
        <v/>
      </c>
      <c r="K25" s="187" t="str">
        <f>IFERROR(INDEX(指標マスタ[],MATCH($H25,指標マスタ['#],0),MATCH(K$8,指標マスタ[#Headers],0))&amp;"","")</f>
        <v>留学生数</v>
      </c>
      <c r="L25" s="11"/>
      <c r="M25" s="11" t="s">
        <v>352</v>
      </c>
      <c r="N25" s="11"/>
      <c r="O25" s="11"/>
      <c r="P25" s="3">
        <f t="shared" si="8"/>
        <v>0</v>
      </c>
      <c r="Q25" s="3">
        <f t="shared" si="9"/>
        <v>5</v>
      </c>
      <c r="R25" s="3">
        <f t="shared" si="10"/>
        <v>0</v>
      </c>
      <c r="S25" s="3">
        <f t="shared" si="11"/>
        <v>0</v>
      </c>
      <c r="U25" s="2">
        <v>17</v>
      </c>
      <c r="V25" s="83">
        <f>INDEX(順位表[Comprehensive],MATCH($W25,順位表['#],0))</f>
        <v>34</v>
      </c>
      <c r="W25" s="3">
        <v>17</v>
      </c>
      <c r="X25" s="1" t="str">
        <f>INDEX(都市マスタ[City Name],MATCH($W25,都市マスタ['#],0))</f>
        <v>Moscow</v>
      </c>
      <c r="Y25" s="4">
        <f t="array" aca="1" ref="Y25" ca="1">SUMPRODUCT(INDIRECT("スコア!$H"&amp;MATCH($W25,スコア!$C:$C,0)&amp;":$BY"&amp;MATCH($W25,スコア!$C:$C,0)),TRANSPOSE(P$9:P$78))/P$5</f>
        <v>29.892512574978255</v>
      </c>
      <c r="Z25" s="4">
        <f t="array" aca="1" ref="Z25" ca="1">SUMPRODUCT(INDIRECT("スコア!$H"&amp;MATCH($W25,スコア!$C:$C,0)&amp;":$BY"&amp;MATCH($W25,スコア!$C:$C,0)),TRANSPOSE(Q$9:Q$78))/Q$5</f>
        <v>39.017339220650008</v>
      </c>
      <c r="AA25" s="4">
        <f t="array" aca="1" ref="AA25" ca="1">SUMPRODUCT(INDIRECT("スコア!$H"&amp;MATCH($W25,スコア!$C:$C,0)&amp;":$BY"&amp;MATCH($W25,スコア!$C:$C,0)),TRANSPOSE(R$9:R$78))/R$5</f>
        <v>47.020564575967924</v>
      </c>
      <c r="AB25" s="4">
        <f t="array" aca="1" ref="AB25" ca="1">SUMPRODUCT(INDIRECT("スコア!$H"&amp;MATCH($W25,スコア!$C:$C,0)&amp;":$BY"&amp;MATCH($W25,スコア!$C:$C,0)),TRANSPOSE(S$9:S$78))/S$5</f>
        <v>53.296559065798206</v>
      </c>
      <c r="AC25" s="12">
        <f t="shared" ca="1" si="12"/>
        <v>40</v>
      </c>
      <c r="AD25" s="12">
        <f t="shared" ca="1" si="13"/>
        <v>40</v>
      </c>
      <c r="AE25" s="12">
        <f t="shared" ca="1" si="14"/>
        <v>9</v>
      </c>
      <c r="AF25" s="12">
        <f t="shared" ca="1" si="15"/>
        <v>26</v>
      </c>
      <c r="AG25" s="4">
        <f t="shared" ca="1" si="16"/>
        <v>37.498803869490182</v>
      </c>
      <c r="AH25" s="4">
        <f t="shared" ca="1" si="17"/>
        <v>40.426835111277931</v>
      </c>
      <c r="AI25" s="4">
        <f t="shared" ca="1" si="18"/>
        <v>59.302031488412737</v>
      </c>
      <c r="AJ25" s="4">
        <f t="shared" ca="1" si="19"/>
        <v>50.883919086377873</v>
      </c>
      <c r="AL25" s="351">
        <v>17</v>
      </c>
      <c r="AM25" s="352" t="str">
        <f t="shared" ca="1" si="29"/>
        <v>Washington, DC</v>
      </c>
      <c r="AN25" s="353">
        <f t="shared" ca="1" si="30"/>
        <v>46.959300605979351</v>
      </c>
      <c r="AO25" s="354">
        <f t="shared" ca="1" si="20"/>
        <v>-1</v>
      </c>
      <c r="AP25" s="351">
        <v>17</v>
      </c>
      <c r="AQ25" s="352" t="str">
        <f t="shared" ca="1" si="31"/>
        <v>Tokyo</v>
      </c>
      <c r="AR25" s="352">
        <f t="shared" ca="1" si="21"/>
        <v>51.647678715210013</v>
      </c>
      <c r="AS25" s="354">
        <f t="shared" ca="1" si="22"/>
        <v>-4</v>
      </c>
      <c r="AT25" s="351">
        <v>17</v>
      </c>
      <c r="AU25" s="352" t="str">
        <f t="shared" ca="1" si="23"/>
        <v>Shanghai</v>
      </c>
      <c r="AV25" s="352">
        <f t="shared" ca="1" si="24"/>
        <v>41.353960190531126</v>
      </c>
      <c r="AW25" s="354">
        <f t="shared" ca="1" si="25"/>
        <v>-3</v>
      </c>
      <c r="AX25" s="351">
        <v>17</v>
      </c>
      <c r="AY25" s="352" t="str">
        <f t="shared" ca="1" si="26"/>
        <v>Brussels</v>
      </c>
      <c r="AZ25" s="352">
        <f t="shared" ca="1" si="27"/>
        <v>56.423858911441435</v>
      </c>
      <c r="BA25" s="354">
        <f t="shared" ca="1" si="28"/>
        <v>-1</v>
      </c>
      <c r="BC25" s="83">
        <v>32</v>
      </c>
      <c r="BD25" s="3">
        <v>17</v>
      </c>
      <c r="BE25" s="1" t="s">
        <v>136</v>
      </c>
      <c r="BF25" s="4">
        <v>29.916347822409783</v>
      </c>
      <c r="BG25" s="4">
        <v>39.160029142913331</v>
      </c>
      <c r="BH25" s="4">
        <v>48.250689198867939</v>
      </c>
      <c r="BI25" s="4">
        <v>53.357959644048655</v>
      </c>
      <c r="BJ25" s="12">
        <v>41</v>
      </c>
      <c r="BK25" s="12">
        <v>39</v>
      </c>
      <c r="BL25" s="12">
        <v>8</v>
      </c>
      <c r="BM25" s="12">
        <v>28</v>
      </c>
      <c r="BN25" s="4">
        <v>37.143174897768318</v>
      </c>
      <c r="BO25" s="4">
        <v>41.124846456061896</v>
      </c>
      <c r="BP25" s="4">
        <v>60.071514267569867</v>
      </c>
      <c r="BQ25" s="4">
        <v>49.09967396843458</v>
      </c>
    </row>
    <row r="26" spans="2:69">
      <c r="B26" s="2">
        <v>18</v>
      </c>
      <c r="C26" s="4" t="str">
        <f t="shared" ca="1" si="4"/>
        <v>Boston</v>
      </c>
      <c r="D26" s="4" t="str">
        <f t="shared" ca="1" si="5"/>
        <v>San Francisco</v>
      </c>
      <c r="E26" s="4" t="str">
        <f t="shared" ca="1" si="6"/>
        <v>Copenhagen</v>
      </c>
      <c r="F26" s="4" t="str">
        <f t="shared" ca="1" si="7"/>
        <v>Zurich</v>
      </c>
      <c r="H26" s="143" t="s">
        <v>554</v>
      </c>
      <c r="I26" s="187" t="str">
        <f>IFERROR(INDEX(指標マスタ[],MATCH($H26,指標マスタ['#],0),MATCH(I$8,指標マスタ[#Headers],0))&amp;"","")</f>
        <v/>
      </c>
      <c r="J26" s="188" t="str">
        <f>IFERROR(INDEX(指標マスタ[],MATCH($H26,指標マスタ['#],0),MATCH(J$8,指標マスタ[#Headers],0))&amp;"","")</f>
        <v/>
      </c>
      <c r="K26" s="187" t="str">
        <f>IFERROR(INDEX(指標マスタ[],MATCH($H26,指標マスタ['#],0),MATCH(K$8,指標マスタ[#Headers],0))&amp;"","")</f>
        <v>学力の高さ</v>
      </c>
      <c r="L26" s="11"/>
      <c r="M26" s="11"/>
      <c r="N26" s="11"/>
      <c r="O26" s="11" t="s">
        <v>352</v>
      </c>
      <c r="P26" s="3">
        <f t="shared" si="8"/>
        <v>0</v>
      </c>
      <c r="Q26" s="3">
        <f t="shared" si="9"/>
        <v>0</v>
      </c>
      <c r="R26" s="3">
        <f t="shared" si="10"/>
        <v>0</v>
      </c>
      <c r="S26" s="3">
        <f t="shared" si="11"/>
        <v>5</v>
      </c>
      <c r="U26" s="2">
        <v>18</v>
      </c>
      <c r="V26" s="83">
        <f>INDEX(順位表[Comprehensive],MATCH($W26,順位表['#],0))</f>
        <v>48</v>
      </c>
      <c r="W26" s="3">
        <v>18</v>
      </c>
      <c r="X26" s="1" t="str">
        <f>INDEX(都市マスタ[City Name],MATCH($W26,都市マスタ['#],0))</f>
        <v>Mumbai</v>
      </c>
      <c r="Y26" s="4">
        <f t="array" aca="1" ref="Y26" ca="1">SUMPRODUCT(INDIRECT("スコア!$H"&amp;MATCH($W26,スコア!$C:$C,0)&amp;":$BY"&amp;MATCH($W26,スコア!$C:$C,0)),TRANSPOSE(P$9:P$78))/P$5</f>
        <v>21.698000375338044</v>
      </c>
      <c r="Z26" s="4">
        <f t="array" aca="1" ref="Z26" ca="1">SUMPRODUCT(INDIRECT("スコア!$H"&amp;MATCH($W26,スコア!$C:$C,0)&amp;":$BY"&amp;MATCH($W26,スコア!$C:$C,0)),TRANSPOSE(Q$9:Q$78))/Q$5</f>
        <v>30.246485011443337</v>
      </c>
      <c r="AA26" s="4">
        <f t="array" aca="1" ref="AA26" ca="1">SUMPRODUCT(INDIRECT("スコア!$H"&amp;MATCH($W26,スコア!$C:$C,0)&amp;":$BY"&amp;MATCH($W26,スコア!$C:$C,0)),TRANSPOSE(R$9:R$78))/R$5</f>
        <v>26.139478006791506</v>
      </c>
      <c r="AB26" s="4">
        <f t="array" aca="1" ref="AB26" ca="1">SUMPRODUCT(INDIRECT("スコア!$H"&amp;MATCH($W26,スコア!$C:$C,0)&amp;":$BY"&amp;MATCH($W26,スコア!$C:$C,0)),TRANSPOSE(S$9:S$78))/S$5</f>
        <v>35.109076419946852</v>
      </c>
      <c r="AC26" s="12">
        <f t="shared" ca="1" si="12"/>
        <v>47</v>
      </c>
      <c r="AD26" s="12">
        <f t="shared" ca="1" si="13"/>
        <v>47</v>
      </c>
      <c r="AE26" s="12">
        <f t="shared" ca="1" si="14"/>
        <v>46</v>
      </c>
      <c r="AF26" s="12">
        <f t="shared" ca="1" si="15"/>
        <v>48</v>
      </c>
      <c r="AG26" s="4">
        <f t="shared" ca="1" si="16"/>
        <v>29.154456105467254</v>
      </c>
      <c r="AH26" s="4">
        <f t="shared" ca="1" si="17"/>
        <v>30.897114075525838</v>
      </c>
      <c r="AI26" s="4">
        <f t="shared" ca="1" si="18"/>
        <v>37.229500777407608</v>
      </c>
      <c r="AJ26" s="4">
        <f t="shared" ca="1" si="19"/>
        <v>27.500104537619947</v>
      </c>
      <c r="AL26" s="351">
        <v>18</v>
      </c>
      <c r="AM26" s="352" t="str">
        <f t="shared" ca="1" si="29"/>
        <v>Boston</v>
      </c>
      <c r="AN26" s="353">
        <f t="shared" ca="1" si="30"/>
        <v>46.767678771759776</v>
      </c>
      <c r="AO26" s="354">
        <f t="shared" ca="1" si="20"/>
        <v>4</v>
      </c>
      <c r="AP26" s="351">
        <v>18</v>
      </c>
      <c r="AQ26" s="352" t="str">
        <f t="shared" ca="1" si="31"/>
        <v>San Francisco</v>
      </c>
      <c r="AR26" s="352">
        <f t="shared" ca="1" si="21"/>
        <v>51.521000792959995</v>
      </c>
      <c r="AS26" s="354">
        <f t="shared" ca="1" si="22"/>
        <v>-1</v>
      </c>
      <c r="AT26" s="351">
        <v>18</v>
      </c>
      <c r="AU26" s="352" t="str">
        <f t="shared" ca="1" si="23"/>
        <v>Copenhagen</v>
      </c>
      <c r="AV26" s="352">
        <f t="shared" ca="1" si="24"/>
        <v>39.989935591381133</v>
      </c>
      <c r="AW26" s="354">
        <f t="shared" ca="1" si="25"/>
        <v>5</v>
      </c>
      <c r="AX26" s="351">
        <v>18</v>
      </c>
      <c r="AY26" s="352" t="str">
        <f t="shared" ca="1" si="26"/>
        <v>Zurich</v>
      </c>
      <c r="AZ26" s="352">
        <f t="shared" ca="1" si="27"/>
        <v>55.968281833114411</v>
      </c>
      <c r="BA26" s="354">
        <f t="shared" ca="1" si="28"/>
        <v>-1</v>
      </c>
      <c r="BC26" s="83">
        <v>48</v>
      </c>
      <c r="BD26" s="3">
        <v>18</v>
      </c>
      <c r="BE26" s="1" t="s">
        <v>138</v>
      </c>
      <c r="BF26" s="4">
        <v>24.03206532054892</v>
      </c>
      <c r="BG26" s="4">
        <v>27.433421806353337</v>
      </c>
      <c r="BH26" s="4">
        <v>25.436320637982075</v>
      </c>
      <c r="BI26" s="4">
        <v>34.326814350769368</v>
      </c>
      <c r="BJ26" s="12">
        <v>46</v>
      </c>
      <c r="BK26" s="12">
        <v>47</v>
      </c>
      <c r="BL26" s="12">
        <v>47</v>
      </c>
      <c r="BM26" s="12">
        <v>48</v>
      </c>
      <c r="BN26" s="4">
        <v>31.051603610415949</v>
      </c>
      <c r="BO26" s="4">
        <v>28.544375607681999</v>
      </c>
      <c r="BP26" s="4">
        <v>35.286451844821649</v>
      </c>
      <c r="BQ26" s="4">
        <v>25.256516018141525</v>
      </c>
    </row>
    <row r="27" spans="2:69">
      <c r="B27" s="2">
        <v>19</v>
      </c>
      <c r="C27" s="4" t="str">
        <f t="shared" ca="1" si="4"/>
        <v>Los Angeles</v>
      </c>
      <c r="D27" s="4" t="str">
        <f t="shared" ca="1" si="5"/>
        <v>Sydney</v>
      </c>
      <c r="E27" s="4" t="str">
        <f t="shared" ca="1" si="6"/>
        <v>Melbourne</v>
      </c>
      <c r="F27" s="4" t="str">
        <f t="shared" ca="1" si="7"/>
        <v>Taipei</v>
      </c>
      <c r="H27" s="143" t="s">
        <v>555</v>
      </c>
      <c r="I27" s="187" t="str">
        <f>IFERROR(INDEX(指標マスタ[],MATCH($H27,指標マスタ['#],0),MATCH(I$8,指標マスタ[#Headers],0))&amp;"","")</f>
        <v/>
      </c>
      <c r="J27" s="188" t="str">
        <f>IFERROR(INDEX(指標マスタ[],MATCH($H27,指標マスタ['#],0),MATCH(J$8,指標マスタ[#Headers],0))&amp;"","")</f>
        <v>イノベーション</v>
      </c>
      <c r="K27" s="187" t="str">
        <f>IFERROR(INDEX(指標マスタ[],MATCH($H27,指標マスタ['#],0),MATCH(K$8,指標マスタ[#Headers],0))&amp;"","")</f>
        <v>特許登録件数</v>
      </c>
      <c r="L27" s="11"/>
      <c r="M27" s="11"/>
      <c r="N27" s="11"/>
      <c r="O27" s="11"/>
      <c r="P27" s="3">
        <f t="shared" si="8"/>
        <v>0</v>
      </c>
      <c r="Q27" s="3">
        <f t="shared" si="9"/>
        <v>0</v>
      </c>
      <c r="R27" s="3">
        <f t="shared" si="10"/>
        <v>0</v>
      </c>
      <c r="S27" s="3">
        <f t="shared" si="11"/>
        <v>0</v>
      </c>
      <c r="U27" s="2">
        <v>19</v>
      </c>
      <c r="V27" s="83">
        <f>INDEX(順位表[Comprehensive],MATCH($W27,順位表['#],0))</f>
        <v>38</v>
      </c>
      <c r="W27" s="3">
        <v>19</v>
      </c>
      <c r="X27" s="1" t="str">
        <f>INDEX(都市マスタ[City Name],MATCH($W27,都市マスタ['#],0))</f>
        <v>Bangkok</v>
      </c>
      <c r="Y27" s="4">
        <f t="array" aca="1" ref="Y27" ca="1">SUMPRODUCT(INDIRECT("スコア!$H"&amp;MATCH($W27,スコア!$C:$C,0)&amp;":$BY"&amp;MATCH($W27,スコア!$C:$C,0)),TRANSPOSE(P$9:P$78))/P$5</f>
        <v>36.770985047909782</v>
      </c>
      <c r="Z27" s="4">
        <f t="array" aca="1" ref="Z27" ca="1">SUMPRODUCT(INDIRECT("スコア!$H"&amp;MATCH($W27,スコア!$C:$C,0)&amp;":$BY"&amp;MATCH($W27,スコア!$C:$C,0)),TRANSPOSE(Q$9:Q$78))/Q$5</f>
        <v>41.515701641349999</v>
      </c>
      <c r="AA27" s="4">
        <f t="array" aca="1" ref="AA27" ca="1">SUMPRODUCT(INDIRECT("スコア!$H"&amp;MATCH($W27,スコア!$C:$C,0)&amp;":$BY"&amp;MATCH($W27,スコア!$C:$C,0)),TRANSPOSE(R$9:R$78))/R$5</f>
        <v>43.176410914814149</v>
      </c>
      <c r="AB27" s="4">
        <f t="array" aca="1" ref="AB27" ca="1">SUMPRODUCT(INDIRECT("スコア!$H"&amp;MATCH($W27,スコア!$C:$C,0)&amp;":$BY"&amp;MATCH($W27,スコア!$C:$C,0)),TRANSPOSE(S$9:S$78))/S$5</f>
        <v>40.347301424489174</v>
      </c>
      <c r="AC27" s="12">
        <f t="shared" ca="1" si="12"/>
        <v>35</v>
      </c>
      <c r="AD27" s="12">
        <f t="shared" ca="1" si="13"/>
        <v>38</v>
      </c>
      <c r="AE27" s="12">
        <f t="shared" ca="1" si="14"/>
        <v>14</v>
      </c>
      <c r="AF27" s="12">
        <f t="shared" ca="1" si="15"/>
        <v>44</v>
      </c>
      <c r="AG27" s="4">
        <f t="shared" ca="1" si="16"/>
        <v>44.503048295646444</v>
      </c>
      <c r="AH27" s="4">
        <f t="shared" ca="1" si="17"/>
        <v>43.14135941502083</v>
      </c>
      <c r="AI27" s="4">
        <f t="shared" ca="1" si="18"/>
        <v>55.23853606337623</v>
      </c>
      <c r="AJ27" s="4">
        <f t="shared" ca="1" si="19"/>
        <v>34.234938844050184</v>
      </c>
      <c r="AL27" s="351">
        <v>19</v>
      </c>
      <c r="AM27" s="352" t="str">
        <f t="shared" ca="1" si="29"/>
        <v>Los Angeles</v>
      </c>
      <c r="AN27" s="353">
        <f t="shared" ca="1" si="30"/>
        <v>46.461584741300001</v>
      </c>
      <c r="AO27" s="354">
        <f t="shared" ca="1" si="20"/>
        <v>-2</v>
      </c>
      <c r="AP27" s="351">
        <v>19</v>
      </c>
      <c r="AQ27" s="352" t="str">
        <f t="shared" ca="1" si="31"/>
        <v>Sydney</v>
      </c>
      <c r="AR27" s="352">
        <f t="shared" ca="1" si="21"/>
        <v>51.362416420224434</v>
      </c>
      <c r="AS27" s="354">
        <f t="shared" ca="1" si="22"/>
        <v>-4</v>
      </c>
      <c r="AT27" s="351">
        <v>19</v>
      </c>
      <c r="AU27" s="352" t="str">
        <f t="shared" ca="1" si="23"/>
        <v>Melbourne</v>
      </c>
      <c r="AV27" s="352">
        <f t="shared" ca="1" si="24"/>
        <v>39.896561499409437</v>
      </c>
      <c r="AW27" s="354">
        <f t="shared" ca="1" si="25"/>
        <v>0</v>
      </c>
      <c r="AX27" s="351">
        <v>19</v>
      </c>
      <c r="AY27" s="352" t="str">
        <f t="shared" ca="1" si="26"/>
        <v>Taipei</v>
      </c>
      <c r="AZ27" s="352">
        <f t="shared" ca="1" si="27"/>
        <v>55.417374790660361</v>
      </c>
      <c r="BA27" s="354">
        <f t="shared" ca="1" si="28"/>
        <v>3</v>
      </c>
      <c r="BC27" s="83">
        <v>35</v>
      </c>
      <c r="BD27" s="3">
        <v>19</v>
      </c>
      <c r="BE27" s="1" t="s">
        <v>140</v>
      </c>
      <c r="BF27" s="4">
        <v>35.891774818585873</v>
      </c>
      <c r="BG27" s="4">
        <v>38.121268002654446</v>
      </c>
      <c r="BH27" s="4">
        <v>40.62224585565378</v>
      </c>
      <c r="BI27" s="4">
        <v>40.898017034872062</v>
      </c>
      <c r="BJ27" s="12">
        <v>38</v>
      </c>
      <c r="BK27" s="12">
        <v>40</v>
      </c>
      <c r="BL27" s="12">
        <v>21</v>
      </c>
      <c r="BM27" s="12">
        <v>44</v>
      </c>
      <c r="BN27" s="4">
        <v>43.329101475573751</v>
      </c>
      <c r="BO27" s="4">
        <v>40.010448756164983</v>
      </c>
      <c r="BP27" s="4">
        <v>51.784129764887865</v>
      </c>
      <c r="BQ27" s="4">
        <v>33.489243008869721</v>
      </c>
    </row>
    <row r="28" spans="2:69">
      <c r="B28" s="2">
        <v>20</v>
      </c>
      <c r="C28" s="4" t="str">
        <f t="shared" ca="1" si="4"/>
        <v>Melbourne</v>
      </c>
      <c r="D28" s="4" t="str">
        <f t="shared" ca="1" si="5"/>
        <v>Taipei</v>
      </c>
      <c r="E28" s="4" t="str">
        <f t="shared" ca="1" si="6"/>
        <v>Sydney</v>
      </c>
      <c r="F28" s="4" t="str">
        <f t="shared" ca="1" si="7"/>
        <v>Toronto</v>
      </c>
      <c r="H28" s="143" t="s">
        <v>556</v>
      </c>
      <c r="I28" s="187" t="str">
        <f>IFERROR(INDEX(指標マスタ[],MATCH($H28,指標マスタ['#],0),MATCH(I$8,指標マスタ[#Headers],0))&amp;"","")</f>
        <v/>
      </c>
      <c r="J28" s="188" t="str">
        <f>IFERROR(INDEX(指標マスタ[],MATCH($H28,指標マスタ['#],0),MATCH(J$8,指標マスタ[#Headers],0))&amp;"","")</f>
        <v/>
      </c>
      <c r="K28" s="187" t="str">
        <f>IFERROR(INDEX(指標マスタ[],MATCH($H28,指標マスタ['#],0),MATCH(K$8,指標マスタ[#Headers],0))&amp;"","")</f>
        <v>主要科学技術賞受賞者数</v>
      </c>
      <c r="L28" s="11"/>
      <c r="M28" s="11"/>
      <c r="N28" s="11"/>
      <c r="O28" s="11"/>
      <c r="P28" s="3">
        <f t="shared" si="8"/>
        <v>0</v>
      </c>
      <c r="Q28" s="3">
        <f t="shared" si="9"/>
        <v>0</v>
      </c>
      <c r="R28" s="3">
        <f t="shared" si="10"/>
        <v>0</v>
      </c>
      <c r="S28" s="3">
        <f t="shared" si="11"/>
        <v>0</v>
      </c>
      <c r="U28" s="2">
        <v>20</v>
      </c>
      <c r="V28" s="83">
        <f>INDEX(順位表[Comprehensive],MATCH($W28,順位表['#],0))</f>
        <v>41</v>
      </c>
      <c r="W28" s="3">
        <v>20</v>
      </c>
      <c r="X28" s="1" t="str">
        <f>INDEX(都市マスタ[City Name],MATCH($W28,都市マスタ['#],0))</f>
        <v>Kuala Lumpur</v>
      </c>
      <c r="Y28" s="4">
        <f t="array" aca="1" ref="Y28" ca="1">SUMPRODUCT(INDIRECT("スコア!$H"&amp;MATCH($W28,スコア!$C:$C,0)&amp;":$BY"&amp;MATCH($W28,スコア!$C:$C,0)),TRANSPOSE(P$9:P$78))/P$5</f>
        <v>35.751355272138042</v>
      </c>
      <c r="Z28" s="4">
        <f t="array" aca="1" ref="Z28" ca="1">SUMPRODUCT(INDIRECT("スコア!$H"&amp;MATCH($W28,スコア!$C:$C,0)&amp;":$BY"&amp;MATCH($W28,スコア!$C:$C,0)),TRANSPOSE(Q$9:Q$78))/Q$5</f>
        <v>42.432310265741123</v>
      </c>
      <c r="AA28" s="4">
        <f t="array" aca="1" ref="AA28" ca="1">SUMPRODUCT(INDIRECT("スコア!$H"&amp;MATCH($W28,スコア!$C:$C,0)&amp;":$BY"&amp;MATCH($W28,スコア!$C:$C,0)),TRANSPOSE(R$9:R$78))/R$5</f>
        <v>32.716123775457547</v>
      </c>
      <c r="AB28" s="4">
        <f t="array" aca="1" ref="AB28" ca="1">SUMPRODUCT(INDIRECT("スコア!$H"&amp;MATCH($W28,スコア!$C:$C,0)&amp;":$BY"&amp;MATCH($W28,スコア!$C:$C,0)),TRANSPOSE(S$9:S$78))/S$5</f>
        <v>48.360428203071173</v>
      </c>
      <c r="AC28" s="12">
        <f t="shared" ca="1" si="12"/>
        <v>37</v>
      </c>
      <c r="AD28" s="12">
        <f t="shared" ca="1" si="13"/>
        <v>36</v>
      </c>
      <c r="AE28" s="12">
        <f t="shared" ca="1" si="14"/>
        <v>32</v>
      </c>
      <c r="AF28" s="12">
        <f t="shared" ca="1" si="15"/>
        <v>34</v>
      </c>
      <c r="AG28" s="4">
        <f t="shared" ca="1" si="16"/>
        <v>43.464774725199419</v>
      </c>
      <c r="AH28" s="4">
        <f t="shared" ca="1" si="17"/>
        <v>44.137274326050004</v>
      </c>
      <c r="AI28" s="4">
        <f t="shared" ca="1" si="18"/>
        <v>44.181400297740304</v>
      </c>
      <c r="AJ28" s="4">
        <f t="shared" ca="1" si="19"/>
        <v>44.537490010403545</v>
      </c>
      <c r="AL28" s="351">
        <v>20</v>
      </c>
      <c r="AM28" s="352" t="str">
        <f t="shared" ca="1" si="29"/>
        <v>Melbourne</v>
      </c>
      <c r="AN28" s="353">
        <f t="shared" ca="1" si="30"/>
        <v>45.513736545013039</v>
      </c>
      <c r="AO28" s="354">
        <f t="shared" ca="1" si="20"/>
        <v>3</v>
      </c>
      <c r="AP28" s="351">
        <v>20</v>
      </c>
      <c r="AQ28" s="352" t="str">
        <f t="shared" ca="1" si="31"/>
        <v>Taipei</v>
      </c>
      <c r="AR28" s="352">
        <f t="shared" ca="1" si="21"/>
        <v>50.134590313378894</v>
      </c>
      <c r="AS28" s="354">
        <f t="shared" ca="1" si="22"/>
        <v>2</v>
      </c>
      <c r="AT28" s="351">
        <v>20</v>
      </c>
      <c r="AU28" s="352" t="str">
        <f t="shared" ca="1" si="23"/>
        <v>Sydney</v>
      </c>
      <c r="AV28" s="352">
        <f t="shared" ca="1" si="24"/>
        <v>39.803305900812269</v>
      </c>
      <c r="AW28" s="354">
        <f t="shared" ca="1" si="25"/>
        <v>4</v>
      </c>
      <c r="AX28" s="351">
        <v>20</v>
      </c>
      <c r="AY28" s="352" t="str">
        <f t="shared" ca="1" si="26"/>
        <v>Toronto</v>
      </c>
      <c r="AZ28" s="352">
        <f t="shared" ca="1" si="27"/>
        <v>54.682645130639635</v>
      </c>
      <c r="BA28" s="354">
        <f t="shared" ca="1" si="28"/>
        <v>-1</v>
      </c>
      <c r="BC28" s="83">
        <v>39</v>
      </c>
      <c r="BD28" s="3">
        <v>20</v>
      </c>
      <c r="BE28" s="1" t="s">
        <v>142</v>
      </c>
      <c r="BF28" s="4">
        <v>37.934005923356516</v>
      </c>
      <c r="BG28" s="4">
        <v>42.574028995479999</v>
      </c>
      <c r="BH28" s="4">
        <v>31.274645425307547</v>
      </c>
      <c r="BI28" s="4">
        <v>48.742935671785588</v>
      </c>
      <c r="BJ28" s="12">
        <v>34</v>
      </c>
      <c r="BK28" s="12">
        <v>34</v>
      </c>
      <c r="BL28" s="12">
        <v>39</v>
      </c>
      <c r="BM28" s="12">
        <v>37</v>
      </c>
      <c r="BN28" s="4">
        <v>45.443275354211387</v>
      </c>
      <c r="BO28" s="4">
        <v>44.787433970839857</v>
      </c>
      <c r="BP28" s="4">
        <v>41.629088236969132</v>
      </c>
      <c r="BQ28" s="4">
        <v>43.317744199136044</v>
      </c>
    </row>
    <row r="29" spans="2:69">
      <c r="B29" s="2">
        <v>21</v>
      </c>
      <c r="C29" s="4" t="str">
        <f t="shared" ca="1" si="4"/>
        <v>Frankfurt</v>
      </c>
      <c r="D29" s="4" t="str">
        <f t="shared" ca="1" si="5"/>
        <v>Stockholm</v>
      </c>
      <c r="E29" s="4" t="str">
        <f t="shared" ca="1" si="6"/>
        <v>Buenos Aires</v>
      </c>
      <c r="F29" s="4" t="str">
        <f t="shared" ca="1" si="7"/>
        <v>Milan</v>
      </c>
      <c r="H29" s="143" t="s">
        <v>557</v>
      </c>
      <c r="I29" s="187" t="str">
        <f>IFERROR(INDEX(指標マスタ[],MATCH($H29,指標マスタ['#],0),MATCH(I$8,指標マスタ[#Headers],0))&amp;"","")</f>
        <v/>
      </c>
      <c r="J29" s="188" t="str">
        <f>IFERROR(INDEX(指標マスタ[],MATCH($H29,指標マスタ['#],0),MATCH(J$8,指標マスタ[#Headers],0))&amp;"","")</f>
        <v/>
      </c>
      <c r="K29" s="187" t="str">
        <f>IFERROR(INDEX(指標マスタ[],MATCH($H29,指標マスタ['#],0),MATCH(K$8,指標マスタ[#Headers],0))&amp;"","")</f>
        <v>スタートアップ数</v>
      </c>
      <c r="L29" s="11" t="s">
        <v>352</v>
      </c>
      <c r="M29" s="11" t="s">
        <v>352</v>
      </c>
      <c r="N29" s="11"/>
      <c r="O29" s="11"/>
      <c r="P29" s="3">
        <f t="shared" si="8"/>
        <v>5</v>
      </c>
      <c r="Q29" s="3">
        <f t="shared" si="9"/>
        <v>5</v>
      </c>
      <c r="R29" s="3">
        <f t="shared" si="10"/>
        <v>0</v>
      </c>
      <c r="S29" s="3">
        <f t="shared" si="11"/>
        <v>0</v>
      </c>
      <c r="U29" s="2">
        <v>21</v>
      </c>
      <c r="V29" s="83">
        <f>INDEX(順位表[Comprehensive],MATCH($W29,順位表['#],0))</f>
        <v>5</v>
      </c>
      <c r="W29" s="3">
        <v>21</v>
      </c>
      <c r="X29" s="1" t="str">
        <f>INDEX(都市マスタ[City Name],MATCH($W29,都市マスタ['#],0))</f>
        <v>Singapore</v>
      </c>
      <c r="Y29" s="4">
        <f t="array" aca="1" ref="Y29" ca="1">SUMPRODUCT(INDIRECT("スコア!$H"&amp;MATCH($W29,スコア!$C:$C,0)&amp;":$BY"&amp;MATCH($W29,スコア!$C:$C,0)),TRANSPOSE(P$9:P$78))/P$5</f>
        <v>55.448202591946753</v>
      </c>
      <c r="Z29" s="4">
        <f t="array" aca="1" ref="Z29" ca="1">SUMPRODUCT(INDIRECT("スコア!$H"&amp;MATCH($W29,スコア!$C:$C,0)&amp;":$BY"&amp;MATCH($W29,スコア!$C:$C,0)),TRANSPOSE(Q$9:Q$78))/Q$5</f>
        <v>58.223975987636692</v>
      </c>
      <c r="AA29" s="4">
        <f t="array" aca="1" ref="AA29" ca="1">SUMPRODUCT(INDIRECT("スコア!$H"&amp;MATCH($W29,スコア!$C:$C,0)&amp;":$BY"&amp;MATCH($W29,スコア!$C:$C,0)),TRANSPOSE(R$9:R$78))/R$5</f>
        <v>44.488707341760374</v>
      </c>
      <c r="AB29" s="4">
        <f t="array" aca="1" ref="AB29" ca="1">SUMPRODUCT(INDIRECT("スコア!$H"&amp;MATCH($W29,スコア!$C:$C,0)&amp;":$BY"&amp;MATCH($W29,スコア!$C:$C,0)),TRANSPOSE(S$9:S$78))/S$5</f>
        <v>58.200258364874784</v>
      </c>
      <c r="AC29" s="12">
        <f t="shared" ca="1" si="12"/>
        <v>3</v>
      </c>
      <c r="AD29" s="12">
        <f t="shared" ca="1" si="13"/>
        <v>4</v>
      </c>
      <c r="AE29" s="12">
        <f t="shared" ca="1" si="14"/>
        <v>10</v>
      </c>
      <c r="AF29" s="12">
        <f t="shared" ca="1" si="15"/>
        <v>13</v>
      </c>
      <c r="AG29" s="4">
        <f t="shared" ca="1" si="16"/>
        <v>63.521776275403113</v>
      </c>
      <c r="AH29" s="4">
        <f t="shared" ca="1" si="17"/>
        <v>61.295257508753636</v>
      </c>
      <c r="AI29" s="4">
        <f t="shared" ca="1" si="18"/>
        <v>56.625710197718007</v>
      </c>
      <c r="AJ29" s="4">
        <f t="shared" ca="1" si="19"/>
        <v>57.188650601194574</v>
      </c>
      <c r="AL29" s="351">
        <v>21</v>
      </c>
      <c r="AM29" s="352" t="str">
        <f t="shared" ca="1" si="29"/>
        <v>Frankfurt</v>
      </c>
      <c r="AN29" s="353">
        <f t="shared" ca="1" si="30"/>
        <v>45.332607550123917</v>
      </c>
      <c r="AO29" s="354">
        <f t="shared" ca="1" si="20"/>
        <v>-2</v>
      </c>
      <c r="AP29" s="351">
        <v>21</v>
      </c>
      <c r="AQ29" s="352" t="str">
        <f t="shared" ca="1" si="31"/>
        <v>Stockholm</v>
      </c>
      <c r="AR29" s="352">
        <f t="shared" ca="1" si="21"/>
        <v>50.087801009595559</v>
      </c>
      <c r="AS29" s="354">
        <f t="shared" ca="1" si="22"/>
        <v>0</v>
      </c>
      <c r="AT29" s="351">
        <v>21</v>
      </c>
      <c r="AU29" s="352" t="str">
        <f t="shared" ca="1" si="23"/>
        <v>Buenos Aires</v>
      </c>
      <c r="AV29" s="352">
        <f t="shared" ca="1" si="24"/>
        <v>39.078305816596227</v>
      </c>
      <c r="AW29" s="354">
        <f t="shared" ca="1" si="25"/>
        <v>-4</v>
      </c>
      <c r="AX29" s="351">
        <v>21</v>
      </c>
      <c r="AY29" s="352" t="str">
        <f t="shared" ca="1" si="26"/>
        <v>Milan</v>
      </c>
      <c r="AZ29" s="352">
        <f t="shared" ca="1" si="27"/>
        <v>54.206566059721609</v>
      </c>
      <c r="BA29" s="354">
        <f t="shared" ca="1" si="28"/>
        <v>-3</v>
      </c>
      <c r="BC29" s="83">
        <v>5</v>
      </c>
      <c r="BD29" s="3">
        <v>21</v>
      </c>
      <c r="BE29" s="1" t="s">
        <v>144</v>
      </c>
      <c r="BF29" s="4">
        <v>54.639593988078275</v>
      </c>
      <c r="BG29" s="4">
        <v>55.281271859865555</v>
      </c>
      <c r="BH29" s="4">
        <v>42.912900679887734</v>
      </c>
      <c r="BI29" s="4">
        <v>60.640400969818025</v>
      </c>
      <c r="BJ29" s="12">
        <v>3</v>
      </c>
      <c r="BK29" s="12">
        <v>5</v>
      </c>
      <c r="BL29" s="12">
        <v>15</v>
      </c>
      <c r="BM29" s="12">
        <v>11</v>
      </c>
      <c r="BN29" s="4">
        <v>62.737360157450127</v>
      </c>
      <c r="BO29" s="4">
        <v>58.419944536814164</v>
      </c>
      <c r="BP29" s="4">
        <v>54.272650218833029</v>
      </c>
      <c r="BQ29" s="4">
        <v>58.223475826821897</v>
      </c>
    </row>
    <row r="30" spans="2:69" ht="15.4" customHeight="1">
      <c r="B30" s="2">
        <v>22</v>
      </c>
      <c r="C30" s="4" t="str">
        <f t="shared" ca="1" si="4"/>
        <v>Seoul</v>
      </c>
      <c r="D30" s="4" t="str">
        <f t="shared" ca="1" si="5"/>
        <v>Boston</v>
      </c>
      <c r="E30" s="4" t="str">
        <f t="shared" ca="1" si="6"/>
        <v>Mexico City</v>
      </c>
      <c r="F30" s="4" t="str">
        <f t="shared" ca="1" si="7"/>
        <v>Hong Kong</v>
      </c>
      <c r="H30" s="151" t="s">
        <v>558</v>
      </c>
      <c r="I30" s="193" t="str">
        <f>IFERROR(INDEX(指標マスタ[],MATCH($H30,指標マスタ['#],0),MATCH(I$8,指標マスタ[#Headers],0))&amp;"","")</f>
        <v>文化・交流</v>
      </c>
      <c r="J30" s="193" t="str">
        <f>IFERROR(INDEX(指標マスタ[],MATCH($H30,指標マスタ['#],0),MATCH(J$8,指標マスタ[#Headers],0))&amp;"","")</f>
        <v>発信力</v>
      </c>
      <c r="K30" s="193" t="str">
        <f>IFERROR(INDEX(指標マスタ[],MATCH($H30,指標マスタ['#],0),MATCH(K$8,指標マスタ[#Headers],0))&amp;"","")</f>
        <v>国際コンベンション件数</v>
      </c>
      <c r="L30" s="11" t="s">
        <v>354</v>
      </c>
      <c r="M30" s="11"/>
      <c r="N30" s="11" t="s">
        <v>354</v>
      </c>
      <c r="O30" s="11"/>
      <c r="P30" s="3">
        <f t="shared" si="8"/>
        <v>1</v>
      </c>
      <c r="Q30" s="3">
        <f t="shared" si="9"/>
        <v>0</v>
      </c>
      <c r="R30" s="3">
        <f t="shared" si="10"/>
        <v>1</v>
      </c>
      <c r="S30" s="3">
        <f t="shared" si="11"/>
        <v>0</v>
      </c>
      <c r="U30" s="2">
        <v>22</v>
      </c>
      <c r="V30" s="83">
        <f>INDEX(順位表[Comprehensive],MATCH($W30,順位表['#],0))</f>
        <v>18</v>
      </c>
      <c r="W30" s="3">
        <v>22</v>
      </c>
      <c r="X30" s="1" t="str">
        <f>INDEX(都市マスタ[City Name],MATCH($W30,都市マスタ['#],0))</f>
        <v>Hong Kong</v>
      </c>
      <c r="Y30" s="4">
        <f t="array" aca="1" ref="Y30" ca="1">SUMPRODUCT(INDIRECT("スコア!$H"&amp;MATCH($W30,スコア!$C:$C,0)&amp;":$BY"&amp;MATCH($W30,スコア!$C:$C,0)),TRANSPOSE(P$9:P$78))/P$5</f>
        <v>43.07596402788586</v>
      </c>
      <c r="Z30" s="4">
        <f t="array" aca="1" ref="Z30" ca="1">SUMPRODUCT(INDIRECT("スコア!$H"&amp;MATCH($W30,スコア!$C:$C,0)&amp;":$BY"&amp;MATCH($W30,スコア!$C:$C,0)),TRANSPOSE(Q$9:Q$78))/Q$5</f>
        <v>49.838687023466655</v>
      </c>
      <c r="AA30" s="4">
        <f t="array" aca="1" ref="AA30" ca="1">SUMPRODUCT(INDIRECT("スコア!$H"&amp;MATCH($W30,スコア!$C:$C,0)&amp;":$BY"&amp;MATCH($W30,スコア!$C:$C,0)),TRANSPOSE(R$9:R$78))/R$5</f>
        <v>34.962574563755659</v>
      </c>
      <c r="AB30" s="4">
        <f t="array" aca="1" ref="AB30" ca="1">SUMPRODUCT(INDIRECT("スコア!$H"&amp;MATCH($W30,スコア!$C:$C,0)&amp;":$BY"&amp;MATCH($W30,スコア!$C:$C,0)),TRANSPOSE(S$9:S$78))/S$5</f>
        <v>53.628266142353141</v>
      </c>
      <c r="AC30" s="12">
        <f t="shared" ca="1" si="12"/>
        <v>28</v>
      </c>
      <c r="AD30" s="12">
        <f t="shared" ca="1" si="13"/>
        <v>23</v>
      </c>
      <c r="AE30" s="12">
        <f t="shared" ca="1" si="14"/>
        <v>29</v>
      </c>
      <c r="AF30" s="12">
        <f t="shared" ca="1" si="15"/>
        <v>22</v>
      </c>
      <c r="AG30" s="4">
        <f t="shared" ca="1" si="16"/>
        <v>50.923312976695414</v>
      </c>
      <c r="AH30" s="4">
        <f t="shared" ca="1" si="17"/>
        <v>52.184461373431837</v>
      </c>
      <c r="AI30" s="4">
        <f t="shared" ca="1" si="18"/>
        <v>46.556030269758445</v>
      </c>
      <c r="AJ30" s="4">
        <f t="shared" ca="1" si="19"/>
        <v>51.310397940747556</v>
      </c>
      <c r="AL30" s="351">
        <v>22</v>
      </c>
      <c r="AM30" s="352" t="str">
        <f t="shared" ca="1" si="29"/>
        <v>Seoul</v>
      </c>
      <c r="AN30" s="353">
        <f t="shared" ca="1" si="30"/>
        <v>45.15016069767065</v>
      </c>
      <c r="AO30" s="354">
        <f t="shared" ca="1" si="20"/>
        <v>4</v>
      </c>
      <c r="AP30" s="351">
        <v>22</v>
      </c>
      <c r="AQ30" s="352" t="str">
        <f t="shared" ca="1" si="31"/>
        <v>Boston</v>
      </c>
      <c r="AR30" s="352">
        <f t="shared" ca="1" si="21"/>
        <v>49.87953932837334</v>
      </c>
      <c r="AS30" s="354">
        <f t="shared" ca="1" si="22"/>
        <v>8</v>
      </c>
      <c r="AT30" s="351">
        <v>22</v>
      </c>
      <c r="AU30" s="352" t="str">
        <f t="shared" ca="1" si="23"/>
        <v>Mexico City</v>
      </c>
      <c r="AV30" s="352">
        <f t="shared" ca="1" si="24"/>
        <v>38.80821394922453</v>
      </c>
      <c r="AW30" s="354">
        <f t="shared" ca="1" si="25"/>
        <v>-4</v>
      </c>
      <c r="AX30" s="351">
        <v>22</v>
      </c>
      <c r="AY30" s="352" t="str">
        <f t="shared" ca="1" si="26"/>
        <v>Hong Kong</v>
      </c>
      <c r="AZ30" s="352">
        <f t="shared" ca="1" si="27"/>
        <v>53.628266142353141</v>
      </c>
      <c r="BA30" s="354">
        <f t="shared" ca="1" si="28"/>
        <v>7</v>
      </c>
      <c r="BC30" s="83">
        <v>13</v>
      </c>
      <c r="BD30" s="3">
        <v>22</v>
      </c>
      <c r="BE30" s="1" t="s">
        <v>146</v>
      </c>
      <c r="BF30" s="4">
        <v>41.867251982430425</v>
      </c>
      <c r="BG30" s="4">
        <v>47.906649493574442</v>
      </c>
      <c r="BH30" s="4">
        <v>35.645463742650001</v>
      </c>
      <c r="BI30" s="4">
        <v>53.057703077472077</v>
      </c>
      <c r="BJ30" s="12">
        <v>29</v>
      </c>
      <c r="BK30" s="12">
        <v>26</v>
      </c>
      <c r="BL30" s="12">
        <v>29</v>
      </c>
      <c r="BM30" s="12">
        <v>29</v>
      </c>
      <c r="BN30" s="4">
        <v>49.515079988331081</v>
      </c>
      <c r="BO30" s="4">
        <v>50.50834495526361</v>
      </c>
      <c r="BP30" s="4">
        <v>46.377455676756718</v>
      </c>
      <c r="BQ30" s="4">
        <v>48.723497725114832</v>
      </c>
    </row>
    <row r="31" spans="2:69">
      <c r="B31" s="2">
        <v>23</v>
      </c>
      <c r="C31" s="4" t="str">
        <f t="shared" ca="1" si="4"/>
        <v>Helsinki</v>
      </c>
      <c r="D31" s="4" t="str">
        <f t="shared" ca="1" si="5"/>
        <v>Hong Kong</v>
      </c>
      <c r="E31" s="4" t="str">
        <f t="shared" ca="1" si="6"/>
        <v>Sao Paulo</v>
      </c>
      <c r="F31" s="4" t="str">
        <f t="shared" ca="1" si="7"/>
        <v>Shanghai</v>
      </c>
      <c r="H31" s="151" t="s">
        <v>559</v>
      </c>
      <c r="I31" s="193" t="str">
        <f>IFERROR(INDEX(指標マスタ[],MATCH($H31,指標マスタ['#],0),MATCH(I$8,指標マスタ[#Headers],0))&amp;"","")</f>
        <v/>
      </c>
      <c r="J31" s="193" t="str">
        <f>IFERROR(INDEX(指標マスタ[],MATCH($H31,指標マスタ['#],0),MATCH(J$8,指標マスタ[#Headers],0))&amp;"","")</f>
        <v/>
      </c>
      <c r="K31" s="193" t="str">
        <f>IFERROR(INDEX(指標マスタ[],MATCH($H31,指標マスタ['#],0),MATCH(K$8,指標マスタ[#Headers],0))&amp;"","")</f>
        <v>文化イベント開催件数</v>
      </c>
      <c r="L31" s="11"/>
      <c r="M31" s="11"/>
      <c r="N31" s="11" t="s">
        <v>352</v>
      </c>
      <c r="O31" s="11" t="s">
        <v>354</v>
      </c>
      <c r="P31" s="3">
        <f t="shared" si="8"/>
        <v>0</v>
      </c>
      <c r="Q31" s="3">
        <f t="shared" si="9"/>
        <v>0</v>
      </c>
      <c r="R31" s="3">
        <f t="shared" si="10"/>
        <v>5</v>
      </c>
      <c r="S31" s="3">
        <f t="shared" si="11"/>
        <v>1</v>
      </c>
      <c r="U31" s="2">
        <v>23</v>
      </c>
      <c r="V31" s="83">
        <f>INDEX(順位表[Comprehensive],MATCH($W31,順位表['#],0))</f>
        <v>17</v>
      </c>
      <c r="W31" s="3">
        <v>23</v>
      </c>
      <c r="X31" s="1" t="str">
        <f>INDEX(都市マスタ[City Name],MATCH($W31,都市マスタ['#],0))</f>
        <v>Beijing</v>
      </c>
      <c r="Y31" s="4">
        <f t="array" aca="1" ref="Y31" ca="1">SUMPRODUCT(INDIRECT("スコア!$H"&amp;MATCH($W31,スコア!$C:$C,0)&amp;":$BY"&amp;MATCH($W31,スコア!$C:$C,0)),TRANSPOSE(P$9:P$78))/P$5</f>
        <v>48.632588799058716</v>
      </c>
      <c r="Z31" s="4">
        <f t="array" aca="1" ref="Z31" ca="1">SUMPRODUCT(INDIRECT("スコア!$H"&amp;MATCH($W31,スコア!$C:$C,0)&amp;":$BY"&amp;MATCH($W31,スコア!$C:$C,0)),TRANSPOSE(Q$9:Q$78))/Q$5</f>
        <v>46.466459385738887</v>
      </c>
      <c r="AA31" s="4">
        <f t="array" aca="1" ref="AA31" ca="1">SUMPRODUCT(INDIRECT("スコア!$H"&amp;MATCH($W31,スコア!$C:$C,0)&amp;":$BY"&amp;MATCH($W31,スコア!$C:$C,0)),TRANSPOSE(R$9:R$78))/R$5</f>
        <v>42.294642826796228</v>
      </c>
      <c r="AB31" s="4">
        <f t="array" aca="1" ref="AB31" ca="1">SUMPRODUCT(INDIRECT("スコア!$H"&amp;MATCH($W31,スコア!$C:$C,0)&amp;":$BY"&amp;MATCH($W31,スコア!$C:$C,0)),TRANSPOSE(S$9:S$78))/S$5</f>
        <v>52.057889132514418</v>
      </c>
      <c r="AC31" s="12">
        <f t="shared" ca="1" si="12"/>
        <v>11</v>
      </c>
      <c r="AD31" s="12">
        <f t="shared" ca="1" si="13"/>
        <v>30</v>
      </c>
      <c r="AE31" s="12">
        <f t="shared" ca="1" si="14"/>
        <v>16</v>
      </c>
      <c r="AF31" s="12">
        <f t="shared" ca="1" si="15"/>
        <v>30</v>
      </c>
      <c r="AG31" s="4">
        <f t="shared" ca="1" si="16"/>
        <v>56.581539891884624</v>
      </c>
      <c r="AH31" s="4">
        <f t="shared" ca="1" si="17"/>
        <v>48.520463786644264</v>
      </c>
      <c r="AI31" s="4">
        <f t="shared" ca="1" si="18"/>
        <v>54.306455582876247</v>
      </c>
      <c r="AJ31" s="4">
        <f t="shared" ca="1" si="19"/>
        <v>49.291349703850514</v>
      </c>
      <c r="AL31" s="351">
        <v>23</v>
      </c>
      <c r="AM31" s="352" t="str">
        <f t="shared" ca="1" si="29"/>
        <v>Helsinki</v>
      </c>
      <c r="AN31" s="353">
        <f t="shared" ca="1" si="30"/>
        <v>45.085310387672827</v>
      </c>
      <c r="AO31" s="354">
        <f t="shared" ca="1" si="20"/>
        <v>-8</v>
      </c>
      <c r="AP31" s="351">
        <v>23</v>
      </c>
      <c r="AQ31" s="352" t="str">
        <f t="shared" ca="1" si="31"/>
        <v>Hong Kong</v>
      </c>
      <c r="AR31" s="352">
        <f t="shared" ca="1" si="21"/>
        <v>49.838687023466655</v>
      </c>
      <c r="AS31" s="354">
        <f t="shared" ca="1" si="22"/>
        <v>3</v>
      </c>
      <c r="AT31" s="351">
        <v>23</v>
      </c>
      <c r="AU31" s="352" t="str">
        <f t="shared" ca="1" si="23"/>
        <v>Sao Paulo</v>
      </c>
      <c r="AV31" s="352">
        <f t="shared" ca="1" si="24"/>
        <v>37.967585544310388</v>
      </c>
      <c r="AW31" s="354">
        <f t="shared" ca="1" si="25"/>
        <v>-3</v>
      </c>
      <c r="AX31" s="351">
        <v>23</v>
      </c>
      <c r="AY31" s="352" t="str">
        <f t="shared" ca="1" si="26"/>
        <v>Shanghai</v>
      </c>
      <c r="AZ31" s="352">
        <f t="shared" ca="1" si="27"/>
        <v>53.615043989453149</v>
      </c>
      <c r="BA31" s="354">
        <f t="shared" ca="1" si="28"/>
        <v>7</v>
      </c>
      <c r="BC31" s="83">
        <v>17</v>
      </c>
      <c r="BD31" s="3">
        <v>23</v>
      </c>
      <c r="BE31" s="1" t="s">
        <v>148</v>
      </c>
      <c r="BF31" s="4">
        <v>47.633980423421733</v>
      </c>
      <c r="BG31" s="4">
        <v>41.527982473832232</v>
      </c>
      <c r="BH31" s="4">
        <v>42.403188026359437</v>
      </c>
      <c r="BI31" s="4">
        <v>51.768499998157658</v>
      </c>
      <c r="BJ31" s="12">
        <v>13</v>
      </c>
      <c r="BK31" s="12">
        <v>37</v>
      </c>
      <c r="BL31" s="12">
        <v>16</v>
      </c>
      <c r="BM31" s="12">
        <v>33</v>
      </c>
      <c r="BN31" s="4">
        <v>55.484956074666478</v>
      </c>
      <c r="BO31" s="4">
        <v>43.665220410349022</v>
      </c>
      <c r="BP31" s="4">
        <v>53.718908838630085</v>
      </c>
      <c r="BQ31" s="4">
        <v>47.108320489252257</v>
      </c>
    </row>
    <row r="32" spans="2:69">
      <c r="B32" s="2">
        <v>24</v>
      </c>
      <c r="C32" s="4" t="str">
        <f t="shared" ca="1" si="4"/>
        <v>Vancouver</v>
      </c>
      <c r="D32" s="4" t="str">
        <f t="shared" ca="1" si="5"/>
        <v>Vancouver</v>
      </c>
      <c r="E32" s="4" t="str">
        <f t="shared" ca="1" si="6"/>
        <v>Milan</v>
      </c>
      <c r="F32" s="4" t="str">
        <f t="shared" ca="1" si="7"/>
        <v>Seoul</v>
      </c>
      <c r="H32" s="151" t="s">
        <v>560</v>
      </c>
      <c r="I32" s="193" t="str">
        <f>IFERROR(INDEX(指標マスタ[],MATCH($H32,指標マスタ['#],0),MATCH(I$8,指標マスタ[#Headers],0))&amp;"","")</f>
        <v/>
      </c>
      <c r="J32" s="193" t="str">
        <f>IFERROR(INDEX(指標マスタ[],MATCH($H32,指標マスタ['#],0),MATCH(J$8,指標マスタ[#Headers],0))&amp;"","")</f>
        <v/>
      </c>
      <c r="K32" s="193" t="str">
        <f>IFERROR(INDEX(指標マスタ[],MATCH($H32,指標マスタ['#],0),MATCH(K$8,指標マスタ[#Headers],0))&amp;"","")</f>
        <v>コンテンツ輸出額</v>
      </c>
      <c r="L32" s="11"/>
      <c r="M32" s="11"/>
      <c r="N32" s="11" t="s">
        <v>354</v>
      </c>
      <c r="O32" s="11"/>
      <c r="P32" s="3">
        <f t="shared" si="8"/>
        <v>0</v>
      </c>
      <c r="Q32" s="3">
        <f t="shared" si="9"/>
        <v>0</v>
      </c>
      <c r="R32" s="3">
        <f t="shared" si="10"/>
        <v>1</v>
      </c>
      <c r="S32" s="3">
        <f t="shared" si="11"/>
        <v>0</v>
      </c>
      <c r="U32" s="2">
        <v>24</v>
      </c>
      <c r="V32" s="83">
        <f>INDEX(順位表[Comprehensive],MATCH($W32,順位表['#],0))</f>
        <v>15</v>
      </c>
      <c r="W32" s="3">
        <v>24</v>
      </c>
      <c r="X32" s="1" t="str">
        <f>INDEX(都市マスタ[City Name],MATCH($W32,都市マスタ['#],0))</f>
        <v>Shanghai</v>
      </c>
      <c r="Y32" s="4">
        <f t="array" aca="1" ref="Y32" ca="1">SUMPRODUCT(INDIRECT("スコア!$H"&amp;MATCH($W32,スコア!$C:$C,0)&amp;":$BY"&amp;MATCH($W32,スコア!$C:$C,0)),TRANSPOSE(P$9:P$78))/P$5</f>
        <v>44.7486771785413</v>
      </c>
      <c r="Z32" s="4">
        <f t="array" aca="1" ref="Z32" ca="1">SUMPRODUCT(INDIRECT("スコア!$H"&amp;MATCH($W32,スコア!$C:$C,0)&amp;":$BY"&amp;MATCH($W32,スコア!$C:$C,0)),TRANSPOSE(Q$9:Q$78))/Q$5</f>
        <v>46.060020001778888</v>
      </c>
      <c r="AA32" s="4">
        <f t="array" aca="1" ref="AA32" ca="1">SUMPRODUCT(INDIRECT("スコア!$H"&amp;MATCH($W32,スコア!$C:$C,0)&amp;":$BY"&amp;MATCH($W32,スコア!$C:$C,0)),TRANSPOSE(R$9:R$78))/R$5</f>
        <v>41.353960190531126</v>
      </c>
      <c r="AB32" s="4">
        <f t="array" aca="1" ref="AB32" ca="1">SUMPRODUCT(INDIRECT("スコア!$H"&amp;MATCH($W32,スコア!$C:$C,0)&amp;":$BY"&amp;MATCH($W32,スコア!$C:$C,0)),TRANSPOSE(S$9:S$78))/S$5</f>
        <v>53.615043989453149</v>
      </c>
      <c r="AC32" s="12">
        <f t="shared" ca="1" si="12"/>
        <v>25</v>
      </c>
      <c r="AD32" s="12">
        <f t="shared" ca="1" si="13"/>
        <v>33</v>
      </c>
      <c r="AE32" s="12">
        <f t="shared" ca="1" si="14"/>
        <v>17</v>
      </c>
      <c r="AF32" s="12">
        <f t="shared" ca="1" si="15"/>
        <v>23</v>
      </c>
      <c r="AG32" s="4">
        <f t="shared" ca="1" si="16"/>
        <v>52.626611464570786</v>
      </c>
      <c r="AH32" s="4">
        <f t="shared" ca="1" si="17"/>
        <v>48.078858686993193</v>
      </c>
      <c r="AI32" s="4">
        <f t="shared" ca="1" si="18"/>
        <v>53.312098976504984</v>
      </c>
      <c r="AJ32" s="4">
        <f t="shared" ca="1" si="19"/>
        <v>51.293398096548707</v>
      </c>
      <c r="AL32" s="351">
        <v>24</v>
      </c>
      <c r="AM32" s="352" t="str">
        <f t="shared" ca="1" si="29"/>
        <v>Vancouver</v>
      </c>
      <c r="AN32" s="353">
        <f t="shared" ca="1" si="30"/>
        <v>44.981353536766299</v>
      </c>
      <c r="AO32" s="354">
        <f t="shared" ca="1" si="20"/>
        <v>0</v>
      </c>
      <c r="AP32" s="351">
        <v>24</v>
      </c>
      <c r="AQ32" s="352" t="str">
        <f t="shared" ca="1" si="31"/>
        <v>Vancouver</v>
      </c>
      <c r="AR32" s="352">
        <f t="shared" ca="1" si="21"/>
        <v>48.997026712963333</v>
      </c>
      <c r="AS32" s="354">
        <f t="shared" ca="1" si="22"/>
        <v>5</v>
      </c>
      <c r="AT32" s="351">
        <v>24</v>
      </c>
      <c r="AU32" s="352" t="str">
        <f t="shared" ca="1" si="23"/>
        <v>Milan</v>
      </c>
      <c r="AV32" s="352">
        <f t="shared" ca="1" si="24"/>
        <v>37.25520710061037</v>
      </c>
      <c r="AW32" s="354">
        <f t="shared" ca="1" si="25"/>
        <v>-2</v>
      </c>
      <c r="AX32" s="351">
        <v>24</v>
      </c>
      <c r="AY32" s="352" t="str">
        <f t="shared" ca="1" si="26"/>
        <v>Seoul</v>
      </c>
      <c r="AZ32" s="352">
        <f t="shared" ca="1" si="27"/>
        <v>53.446604343358565</v>
      </c>
      <c r="BA32" s="354">
        <f t="shared" ca="1" si="28"/>
        <v>-4</v>
      </c>
      <c r="BC32" s="83">
        <v>10</v>
      </c>
      <c r="BD32" s="3">
        <v>24</v>
      </c>
      <c r="BE32" s="1" t="s">
        <v>150</v>
      </c>
      <c r="BF32" s="4">
        <v>43.754861480860875</v>
      </c>
      <c r="BG32" s="4">
        <v>39.315095432990013</v>
      </c>
      <c r="BH32" s="4">
        <v>43.565653795025476</v>
      </c>
      <c r="BI32" s="4">
        <v>52.897560471450454</v>
      </c>
      <c r="BJ32" s="12">
        <v>27</v>
      </c>
      <c r="BK32" s="12">
        <v>38</v>
      </c>
      <c r="BL32" s="12">
        <v>14</v>
      </c>
      <c r="BM32" s="12">
        <v>30</v>
      </c>
      <c r="BN32" s="4">
        <v>51.469185322114129</v>
      </c>
      <c r="BO32" s="4">
        <v>41.29120377373161</v>
      </c>
      <c r="BP32" s="4">
        <v>54.981787824905965</v>
      </c>
      <c r="BQ32" s="4">
        <v>48.52286316575946</v>
      </c>
    </row>
    <row r="33" spans="2:69">
      <c r="B33" s="2">
        <v>25</v>
      </c>
      <c r="C33" s="4" t="str">
        <f t="shared" ca="1" si="4"/>
        <v>Shanghai</v>
      </c>
      <c r="D33" s="4" t="str">
        <f t="shared" ca="1" si="5"/>
        <v>Los Angeles</v>
      </c>
      <c r="E33" s="4" t="str">
        <f t="shared" ca="1" si="6"/>
        <v>Frankfurt</v>
      </c>
      <c r="F33" s="4" t="str">
        <f t="shared" ca="1" si="7"/>
        <v>Geneva</v>
      </c>
      <c r="H33" s="151" t="s">
        <v>561</v>
      </c>
      <c r="I33" s="193" t="str">
        <f>IFERROR(INDEX(指標マスタ[],MATCH($H33,指標マスタ['#],0),MATCH(I$8,指標マスタ[#Headers],0))&amp;"","")</f>
        <v/>
      </c>
      <c r="J33" s="193" t="str">
        <f>IFERROR(INDEX(指標マスタ[],MATCH($H33,指標マスタ['#],0),MATCH(J$8,指標マスタ[#Headers],0))&amp;"","")</f>
        <v/>
      </c>
      <c r="K33" s="193" t="str">
        <f>IFERROR(INDEX(指標マスタ[],MATCH($H33,指標マスタ['#],0),MATCH(K$8,指標マスタ[#Headers],0))&amp;"","")</f>
        <v>アート市場環境</v>
      </c>
      <c r="L33" s="11"/>
      <c r="M33" s="11"/>
      <c r="N33" s="11"/>
      <c r="O33" s="11"/>
      <c r="P33" s="3">
        <f t="shared" si="8"/>
        <v>0</v>
      </c>
      <c r="Q33" s="3">
        <f t="shared" si="9"/>
        <v>0</v>
      </c>
      <c r="R33" s="3">
        <f t="shared" si="10"/>
        <v>0</v>
      </c>
      <c r="S33" s="3">
        <f t="shared" si="11"/>
        <v>0</v>
      </c>
      <c r="U33" s="2">
        <v>25</v>
      </c>
      <c r="V33" s="83">
        <f>INDEX(順位表[Comprehensive],MATCH($W33,順位表['#],0))</f>
        <v>35</v>
      </c>
      <c r="W33" s="3">
        <v>25</v>
      </c>
      <c r="X33" s="1" t="str">
        <f>INDEX(都市マスタ[City Name],MATCH($W33,都市マスタ['#],0))</f>
        <v>Taipei</v>
      </c>
      <c r="Y33" s="4">
        <f t="array" aca="1" ref="Y33" ca="1">SUMPRODUCT(INDIRECT("スコア!$H"&amp;MATCH($W33,スコア!$C:$C,0)&amp;":$BY"&amp;MATCH($W33,スコア!$C:$C,0)),TRANSPOSE(P$9:P$78))/P$5</f>
        <v>36.060569582439122</v>
      </c>
      <c r="Z33" s="4">
        <f t="array" aca="1" ref="Z33" ca="1">SUMPRODUCT(INDIRECT("スコア!$H"&amp;MATCH($W33,スコア!$C:$C,0)&amp;":$BY"&amp;MATCH($W33,スコア!$C:$C,0)),TRANSPOSE(Q$9:Q$78))/Q$5</f>
        <v>50.134590313378894</v>
      </c>
      <c r="AA33" s="4">
        <f t="array" aca="1" ref="AA33" ca="1">SUMPRODUCT(INDIRECT("スコア!$H"&amp;MATCH($W33,スコア!$C:$C,0)&amp;":$BY"&amp;MATCH($W33,スコア!$C:$C,0)),TRANSPOSE(R$9:R$78))/R$5</f>
        <v>28.55363361807925</v>
      </c>
      <c r="AB33" s="4">
        <f t="array" aca="1" ref="AB33" ca="1">SUMPRODUCT(INDIRECT("スコア!$H"&amp;MATCH($W33,スコア!$C:$C,0)&amp;":$BY"&amp;MATCH($W33,スコア!$C:$C,0)),TRANSPOSE(S$9:S$78))/S$5</f>
        <v>55.417374790660361</v>
      </c>
      <c r="AC33" s="12">
        <f t="shared" ca="1" si="12"/>
        <v>36</v>
      </c>
      <c r="AD33" s="12">
        <f t="shared" ca="1" si="13"/>
        <v>20</v>
      </c>
      <c r="AE33" s="12">
        <f t="shared" ca="1" si="14"/>
        <v>39</v>
      </c>
      <c r="AF33" s="12">
        <f t="shared" ca="1" si="15"/>
        <v>19</v>
      </c>
      <c r="AG33" s="4">
        <f t="shared" ca="1" si="16"/>
        <v>43.779642977989134</v>
      </c>
      <c r="AH33" s="4">
        <f t="shared" ca="1" si="17"/>
        <v>52.505966638388237</v>
      </c>
      <c r="AI33" s="4">
        <f t="shared" ca="1" si="18"/>
        <v>39.781404563389358</v>
      </c>
      <c r="AJ33" s="4">
        <f t="shared" ca="1" si="19"/>
        <v>53.610671467009205</v>
      </c>
      <c r="AL33" s="351">
        <v>25</v>
      </c>
      <c r="AM33" s="352" t="str">
        <f t="shared" ca="1" si="29"/>
        <v>Shanghai</v>
      </c>
      <c r="AN33" s="353">
        <f t="shared" ca="1" si="30"/>
        <v>44.7486771785413</v>
      </c>
      <c r="AO33" s="354">
        <f t="shared" ca="1" si="20"/>
        <v>2</v>
      </c>
      <c r="AP33" s="351">
        <v>25</v>
      </c>
      <c r="AQ33" s="352" t="str">
        <f t="shared" ca="1" si="31"/>
        <v>Los Angeles</v>
      </c>
      <c r="AR33" s="352">
        <f t="shared" ca="1" si="21"/>
        <v>48.788598931028901</v>
      </c>
      <c r="AS33" s="354">
        <f t="shared" ca="1" si="22"/>
        <v>-1</v>
      </c>
      <c r="AT33" s="351">
        <v>25</v>
      </c>
      <c r="AU33" s="352" t="str">
        <f t="shared" ca="1" si="23"/>
        <v>Frankfurt</v>
      </c>
      <c r="AV33" s="352">
        <f t="shared" ca="1" si="24"/>
        <v>37.252201756568873</v>
      </c>
      <c r="AW33" s="354">
        <f t="shared" ca="1" si="25"/>
        <v>0</v>
      </c>
      <c r="AX33" s="351">
        <v>25</v>
      </c>
      <c r="AY33" s="352" t="str">
        <f t="shared" ca="1" si="26"/>
        <v>Geneva</v>
      </c>
      <c r="AZ33" s="352">
        <f t="shared" ca="1" si="27"/>
        <v>53.34693244464416</v>
      </c>
      <c r="BA33" s="354">
        <f t="shared" ca="1" si="28"/>
        <v>2</v>
      </c>
      <c r="BC33" s="83">
        <v>38</v>
      </c>
      <c r="BD33" s="3">
        <v>25</v>
      </c>
      <c r="BE33" s="1" t="s">
        <v>152</v>
      </c>
      <c r="BF33" s="4">
        <v>36.074970243541294</v>
      </c>
      <c r="BG33" s="4">
        <v>50.296887032711098</v>
      </c>
      <c r="BH33" s="4">
        <v>29.691790519502831</v>
      </c>
      <c r="BI33" s="4">
        <v>56.390442076259461</v>
      </c>
      <c r="BJ33" s="12">
        <v>36</v>
      </c>
      <c r="BK33" s="12">
        <v>22</v>
      </c>
      <c r="BL33" s="12">
        <v>43</v>
      </c>
      <c r="BM33" s="12">
        <v>22</v>
      </c>
      <c r="BN33" s="4">
        <v>43.518750424324907</v>
      </c>
      <c r="BO33" s="4">
        <v>53.072625724524286</v>
      </c>
      <c r="BP33" s="4">
        <v>39.909507108005386</v>
      </c>
      <c r="BQ33" s="4">
        <v>52.898917602932215</v>
      </c>
    </row>
    <row r="34" spans="2:69">
      <c r="B34" s="2">
        <v>26</v>
      </c>
      <c r="C34" s="4" t="str">
        <f t="shared" ca="1" si="4"/>
        <v>Chicago</v>
      </c>
      <c r="D34" s="4" t="str">
        <f t="shared" ca="1" si="5"/>
        <v>Brussels</v>
      </c>
      <c r="E34" s="4" t="str">
        <f t="shared" ca="1" si="6"/>
        <v>Toronto</v>
      </c>
      <c r="F34" s="4" t="str">
        <f t="shared" ca="1" si="7"/>
        <v>Moscow</v>
      </c>
      <c r="H34" s="151" t="s">
        <v>562</v>
      </c>
      <c r="I34" s="193" t="str">
        <f>IFERROR(INDEX(指標マスタ[],MATCH($H34,指標マスタ['#],0),MATCH(I$8,指標マスタ[#Headers],0))&amp;"","")</f>
        <v/>
      </c>
      <c r="J34" s="193" t="str">
        <f>IFERROR(INDEX(指標マスタ[],MATCH($H34,指標マスタ['#],0),MATCH(J$8,指標マスタ[#Headers],0))&amp;"","")</f>
        <v>観光資源</v>
      </c>
      <c r="K34" s="193" t="str">
        <f>IFERROR(INDEX(指標マスタ[],MATCH($H34,指標マスタ['#],0),MATCH(K$8,指標マスタ[#Headers],0))&amp;"","")</f>
        <v>観光地の充実度</v>
      </c>
      <c r="L34" s="11"/>
      <c r="M34" s="11"/>
      <c r="N34" s="11" t="s">
        <v>352</v>
      </c>
      <c r="O34" s="11"/>
      <c r="P34" s="3">
        <f t="shared" si="8"/>
        <v>0</v>
      </c>
      <c r="Q34" s="3">
        <f t="shared" si="9"/>
        <v>0</v>
      </c>
      <c r="R34" s="3">
        <f t="shared" si="10"/>
        <v>5</v>
      </c>
      <c r="S34" s="3">
        <f t="shared" si="11"/>
        <v>0</v>
      </c>
      <c r="U34" s="2">
        <v>26</v>
      </c>
      <c r="V34" s="83">
        <f>INDEX(順位表[Comprehensive],MATCH($W34,順位表['#],0))</f>
        <v>7</v>
      </c>
      <c r="W34" s="3">
        <v>26</v>
      </c>
      <c r="X34" s="1" t="str">
        <f>INDEX(都市マスタ[City Name],MATCH($W34,都市マスタ['#],0))</f>
        <v>Seoul</v>
      </c>
      <c r="Y34" s="4">
        <f t="array" aca="1" ref="Y34" ca="1">SUMPRODUCT(INDIRECT("スコア!$H"&amp;MATCH($W34,スコア!$C:$C,0)&amp;":$BY"&amp;MATCH($W34,スコア!$C:$C,0)),TRANSPOSE(P$9:P$78))/P$5</f>
        <v>45.15016069767065</v>
      </c>
      <c r="Z34" s="4">
        <f t="array" aca="1" ref="Z34" ca="1">SUMPRODUCT(INDIRECT("スコア!$H"&amp;MATCH($W34,スコア!$C:$C,0)&amp;":$BY"&amp;MATCH($W34,スコア!$C:$C,0)),TRANSPOSE(Q$9:Q$78))/Q$5</f>
        <v>46.19993065972222</v>
      </c>
      <c r="AA34" s="4">
        <f t="array" aca="1" ref="AA34" ca="1">SUMPRODUCT(INDIRECT("スコア!$H"&amp;MATCH($W34,スコア!$C:$C,0)&amp;":$BY"&amp;MATCH($W34,スコア!$C:$C,0)),TRANSPOSE(R$9:R$78))/R$5</f>
        <v>42.576059453838681</v>
      </c>
      <c r="AB34" s="4">
        <f t="array" aca="1" ref="AB34" ca="1">SUMPRODUCT(INDIRECT("スコア!$H"&amp;MATCH($W34,スコア!$C:$C,0)&amp;":$BY"&amp;MATCH($W34,スコア!$C:$C,0)),TRANSPOSE(S$9:S$78))/S$5</f>
        <v>53.446604343358565</v>
      </c>
      <c r="AC34" s="12">
        <f t="shared" ca="1" si="12"/>
        <v>22</v>
      </c>
      <c r="AD34" s="12">
        <f t="shared" ca="1" si="13"/>
        <v>32</v>
      </c>
      <c r="AE34" s="12">
        <f t="shared" ca="1" si="14"/>
        <v>15</v>
      </c>
      <c r="AF34" s="12">
        <f t="shared" ca="1" si="15"/>
        <v>24</v>
      </c>
      <c r="AG34" s="4">
        <f t="shared" ca="1" si="16"/>
        <v>53.035436056385549</v>
      </c>
      <c r="AH34" s="4">
        <f t="shared" ca="1" si="17"/>
        <v>48.230874614783772</v>
      </c>
      <c r="AI34" s="4">
        <f t="shared" ca="1" si="18"/>
        <v>54.603929429479187</v>
      </c>
      <c r="AJ34" s="4">
        <f t="shared" ca="1" si="19"/>
        <v>51.076833686639425</v>
      </c>
      <c r="AL34" s="351">
        <v>26</v>
      </c>
      <c r="AM34" s="352" t="str">
        <f t="shared" ca="1" si="29"/>
        <v>Chicago</v>
      </c>
      <c r="AN34" s="353">
        <f t="shared" ca="1" si="30"/>
        <v>44.094504115241286</v>
      </c>
      <c r="AO34" s="354">
        <f t="shared" ca="1" si="20"/>
        <v>-1</v>
      </c>
      <c r="AP34" s="351">
        <v>26</v>
      </c>
      <c r="AQ34" s="352" t="str">
        <f t="shared" ca="1" si="31"/>
        <v>Brussels</v>
      </c>
      <c r="AR34" s="352">
        <f t="shared" ca="1" si="21"/>
        <v>48.384190330365549</v>
      </c>
      <c r="AS34" s="354">
        <f t="shared" ca="1" si="22"/>
        <v>-12</v>
      </c>
      <c r="AT34" s="351">
        <v>26</v>
      </c>
      <c r="AU34" s="352" t="str">
        <f t="shared" ca="1" si="23"/>
        <v>Toronto</v>
      </c>
      <c r="AV34" s="352">
        <f t="shared" ca="1" si="24"/>
        <v>36.053190917888685</v>
      </c>
      <c r="AW34" s="354">
        <f t="shared" ca="1" si="25"/>
        <v>0</v>
      </c>
      <c r="AX34" s="351">
        <v>26</v>
      </c>
      <c r="AY34" s="352" t="str">
        <f t="shared" ca="1" si="26"/>
        <v>Moscow</v>
      </c>
      <c r="AZ34" s="352">
        <f t="shared" ca="1" si="27"/>
        <v>53.296559065798206</v>
      </c>
      <c r="BA34" s="354">
        <f t="shared" ca="1" si="28"/>
        <v>2</v>
      </c>
      <c r="BC34" s="83">
        <v>8</v>
      </c>
      <c r="BD34" s="3">
        <v>26</v>
      </c>
      <c r="BE34" s="1" t="s">
        <v>154</v>
      </c>
      <c r="BF34" s="4">
        <v>44.470749535276077</v>
      </c>
      <c r="BG34" s="4">
        <v>47.467567044811119</v>
      </c>
      <c r="BH34" s="4">
        <v>44.431184086125469</v>
      </c>
      <c r="BI34" s="4">
        <v>57.032520420425229</v>
      </c>
      <c r="BJ34" s="12">
        <v>26</v>
      </c>
      <c r="BK34" s="12">
        <v>28</v>
      </c>
      <c r="BL34" s="12">
        <v>12</v>
      </c>
      <c r="BM34" s="12">
        <v>20</v>
      </c>
      <c r="BN34" s="4">
        <v>52.210292350176616</v>
      </c>
      <c r="BO34" s="4">
        <v>50.037291070012373</v>
      </c>
      <c r="BP34" s="4">
        <v>55.922082194063812</v>
      </c>
      <c r="BQ34" s="4">
        <v>53.703345037040101</v>
      </c>
    </row>
    <row r="35" spans="2:69">
      <c r="B35" s="2">
        <v>27</v>
      </c>
      <c r="C35" s="4" t="str">
        <f t="shared" ca="1" si="4"/>
        <v>Berlin</v>
      </c>
      <c r="D35" s="4" t="str">
        <f t="shared" ca="1" si="5"/>
        <v>Chicago</v>
      </c>
      <c r="E35" s="4" t="str">
        <f t="shared" ca="1" si="6"/>
        <v>Brussels</v>
      </c>
      <c r="F35" s="4" t="str">
        <f t="shared" ca="1" si="7"/>
        <v>Vancouver</v>
      </c>
      <c r="H35" s="151" t="s">
        <v>563</v>
      </c>
      <c r="I35" s="193" t="str">
        <f>IFERROR(INDEX(指標マスタ[],MATCH($H35,指標マスタ['#],0),MATCH(I$8,指標マスタ[#Headers],0))&amp;"","")</f>
        <v/>
      </c>
      <c r="J35" s="193" t="str">
        <f>IFERROR(INDEX(指標マスタ[],MATCH($H35,指標マスタ['#],0),MATCH(J$8,指標マスタ[#Headers],0))&amp;"","")</f>
        <v/>
      </c>
      <c r="K35" s="193" t="str">
        <f>IFERROR(INDEX(指標マスタ[],MATCH($H35,指標マスタ['#],0),MATCH(K$8,指標マスタ[#Headers],0))&amp;"","")</f>
        <v>世界遺産への近接性</v>
      </c>
      <c r="L35" s="11"/>
      <c r="M35" s="11"/>
      <c r="N35" s="11" t="s">
        <v>352</v>
      </c>
      <c r="O35" s="11"/>
      <c r="P35" s="3">
        <f t="shared" si="8"/>
        <v>0</v>
      </c>
      <c r="Q35" s="3">
        <f t="shared" si="9"/>
        <v>0</v>
      </c>
      <c r="R35" s="3">
        <f t="shared" si="10"/>
        <v>5</v>
      </c>
      <c r="S35" s="3">
        <f t="shared" si="11"/>
        <v>0</v>
      </c>
      <c r="U35" s="2">
        <v>27</v>
      </c>
      <c r="V35" s="83">
        <f>INDEX(順位表[Comprehensive],MATCH($W35,順位表['#],0))</f>
        <v>42</v>
      </c>
      <c r="W35" s="3">
        <v>27</v>
      </c>
      <c r="X35" s="1" t="str">
        <f>INDEX(都市マスタ[City Name],MATCH($W35,都市マスタ['#],0))</f>
        <v>Fukuoka</v>
      </c>
      <c r="Y35" s="4">
        <f t="array" aca="1" ref="Y35" ca="1">SUMPRODUCT(INDIRECT("スコア!$H"&amp;MATCH($W35,スコア!$C:$C,0)&amp;":$BY"&amp;MATCH($W35,スコア!$C:$C,0)),TRANSPOSE(P$9:P$78))/P$5</f>
        <v>29.70633153492501</v>
      </c>
      <c r="Z35" s="4">
        <f t="array" aca="1" ref="Z35" ca="1">SUMPRODUCT(INDIRECT("スコア!$H"&amp;MATCH($W35,スコア!$C:$C,0)&amp;":$BY"&amp;MATCH($W35,スコア!$C:$C,0)),TRANSPOSE(Q$9:Q$78))/Q$5</f>
        <v>39.633622828091113</v>
      </c>
      <c r="AA35" s="4">
        <f t="array" aca="1" ref="AA35" ca="1">SUMPRODUCT(INDIRECT("スコア!$H"&amp;MATCH($W35,スコア!$C:$C,0)&amp;":$BY"&amp;MATCH($W35,スコア!$C:$C,0)),TRANSPOSE(R$9:R$78))/R$5</f>
        <v>27.421943963677361</v>
      </c>
      <c r="AB35" s="4">
        <f t="array" aca="1" ref="AB35" ca="1">SUMPRODUCT(INDIRECT("スコア!$H"&amp;MATCH($W35,スコア!$C:$C,0)&amp;":$BY"&amp;MATCH($W35,スコア!$C:$C,0)),TRANSPOSE(S$9:S$78))/S$5</f>
        <v>52.467335094629739</v>
      </c>
      <c r="AC35" s="12">
        <f t="shared" ca="1" si="12"/>
        <v>41</v>
      </c>
      <c r="AD35" s="12">
        <f t="shared" ca="1" si="13"/>
        <v>39</v>
      </c>
      <c r="AE35" s="12">
        <f t="shared" ca="1" si="14"/>
        <v>43</v>
      </c>
      <c r="AF35" s="12">
        <f t="shared" ca="1" si="15"/>
        <v>28</v>
      </c>
      <c r="AG35" s="4">
        <f t="shared" ca="1" si="16"/>
        <v>37.309218533911576</v>
      </c>
      <c r="AH35" s="4">
        <f t="shared" ca="1" si="17"/>
        <v>41.096440456177618</v>
      </c>
      <c r="AI35" s="4">
        <f t="shared" ca="1" si="18"/>
        <v>38.585142358864744</v>
      </c>
      <c r="AJ35" s="4">
        <f t="shared" ca="1" si="19"/>
        <v>49.817778161943167</v>
      </c>
      <c r="AL35" s="351">
        <v>27</v>
      </c>
      <c r="AM35" s="352" t="str">
        <f t="shared" ca="1" si="29"/>
        <v>Berlin</v>
      </c>
      <c r="AN35" s="353">
        <f t="shared" ca="1" si="30"/>
        <v>43.725368600705437</v>
      </c>
      <c r="AO35" s="354">
        <f t="shared" ca="1" si="20"/>
        <v>-6</v>
      </c>
      <c r="AP35" s="351">
        <v>27</v>
      </c>
      <c r="AQ35" s="352" t="str">
        <f t="shared" ca="1" si="31"/>
        <v>Chicago</v>
      </c>
      <c r="AR35" s="352">
        <f t="shared" ca="1" si="21"/>
        <v>48.332155381240014</v>
      </c>
      <c r="AS35" s="354">
        <f t="shared" ca="1" si="22"/>
        <v>4</v>
      </c>
      <c r="AT35" s="351">
        <v>27</v>
      </c>
      <c r="AU35" s="352" t="str">
        <f t="shared" ca="1" si="23"/>
        <v>Brussels</v>
      </c>
      <c r="AV35" s="352">
        <f t="shared" ca="1" si="24"/>
        <v>35.976946048772632</v>
      </c>
      <c r="AW35" s="354">
        <f t="shared" ca="1" si="25"/>
        <v>0</v>
      </c>
      <c r="AX35" s="351">
        <v>27</v>
      </c>
      <c r="AY35" s="352" t="str">
        <f t="shared" ca="1" si="26"/>
        <v>Vancouver</v>
      </c>
      <c r="AZ35" s="352">
        <f t="shared" ca="1" si="27"/>
        <v>53.203553972656756</v>
      </c>
      <c r="BA35" s="354">
        <f t="shared" ca="1" si="28"/>
        <v>-3</v>
      </c>
      <c r="BC35" s="83">
        <v>42</v>
      </c>
      <c r="BD35" s="3">
        <v>27</v>
      </c>
      <c r="BE35" s="1" t="s">
        <v>156</v>
      </c>
      <c r="BF35" s="4">
        <v>33.980753059817395</v>
      </c>
      <c r="BG35" s="4">
        <v>41.563488305991108</v>
      </c>
      <c r="BH35" s="4">
        <v>28.457113554059433</v>
      </c>
      <c r="BI35" s="4">
        <v>53.685977356667578</v>
      </c>
      <c r="BJ35" s="12">
        <v>39</v>
      </c>
      <c r="BK35" s="12">
        <v>36</v>
      </c>
      <c r="BL35" s="12">
        <v>44</v>
      </c>
      <c r="BM35" s="12">
        <v>26</v>
      </c>
      <c r="BN35" s="4">
        <v>41.350759125161737</v>
      </c>
      <c r="BO35" s="4">
        <v>43.703311571211003</v>
      </c>
      <c r="BP35" s="4">
        <v>38.568179357523221</v>
      </c>
      <c r="BQ35" s="4">
        <v>49.510630745440992</v>
      </c>
    </row>
    <row r="36" spans="2:69">
      <c r="B36" s="2">
        <v>28</v>
      </c>
      <c r="C36" s="4" t="str">
        <f t="shared" ca="1" si="4"/>
        <v>Hong Kong</v>
      </c>
      <c r="D36" s="4" t="str">
        <f t="shared" ca="1" si="5"/>
        <v>Washington, DC</v>
      </c>
      <c r="E36" s="4" t="str">
        <f t="shared" ca="1" si="6"/>
        <v>Stockholm</v>
      </c>
      <c r="F36" s="4" t="str">
        <f t="shared" ca="1" si="7"/>
        <v>Fukuoka</v>
      </c>
      <c r="H36" s="151" t="s">
        <v>564</v>
      </c>
      <c r="I36" s="193" t="str">
        <f>IFERROR(INDEX(指標マスタ[],MATCH($H36,指標マスタ['#],0),MATCH(I$8,指標マスタ[#Headers],0))&amp;"","")</f>
        <v/>
      </c>
      <c r="J36" s="193" t="str">
        <f>IFERROR(INDEX(指標マスタ[],MATCH($H36,指標マスタ['#],0),MATCH(J$8,指標マスタ[#Headers],0))&amp;"","")</f>
        <v/>
      </c>
      <c r="K36" s="193" t="str">
        <f>IFERROR(INDEX(指標マスタ[],MATCH($H36,指標マスタ['#],0),MATCH(K$8,指標マスタ[#Headers],0))&amp;"","")</f>
        <v>ナイトライフ充実度</v>
      </c>
      <c r="L36" s="11"/>
      <c r="M36" s="11" t="s">
        <v>354</v>
      </c>
      <c r="N36" s="11" t="s">
        <v>352</v>
      </c>
      <c r="O36" s="11"/>
      <c r="P36" s="3">
        <f t="shared" si="8"/>
        <v>0</v>
      </c>
      <c r="Q36" s="3">
        <f t="shared" si="9"/>
        <v>1</v>
      </c>
      <c r="R36" s="3">
        <f t="shared" si="10"/>
        <v>5</v>
      </c>
      <c r="S36" s="3">
        <f t="shared" si="11"/>
        <v>0</v>
      </c>
      <c r="U36" s="2">
        <v>28</v>
      </c>
      <c r="V36" s="83">
        <f>INDEX(順位表[Comprehensive],MATCH($W36,順位表['#],0))</f>
        <v>37</v>
      </c>
      <c r="W36" s="3">
        <v>28</v>
      </c>
      <c r="X36" s="1" t="str">
        <f>INDEX(都市マスタ[City Name],MATCH($W36,都市マスタ['#],0))</f>
        <v>Osaka</v>
      </c>
      <c r="Y36" s="4">
        <f t="array" aca="1" ref="Y36" ca="1">SUMPRODUCT(INDIRECT("スコア!$H"&amp;MATCH($W36,スコア!$C:$C,0)&amp;":$BY"&amp;MATCH($W36,スコア!$C:$C,0)),TRANSPOSE(P$9:P$78))/P$5</f>
        <v>32.954324188454351</v>
      </c>
      <c r="Z36" s="4">
        <f t="array" aca="1" ref="Z36" ca="1">SUMPRODUCT(INDIRECT("スコア!$H"&amp;MATCH($W36,スコア!$C:$C,0)&amp;":$BY"&amp;MATCH($W36,スコア!$C:$C,0)),TRANSPOSE(Q$9:Q$78))/Q$5</f>
        <v>44.479277276362225</v>
      </c>
      <c r="AA36" s="4">
        <f t="array" aca="1" ref="AA36" ca="1">SUMPRODUCT(INDIRECT("スコア!$H"&amp;MATCH($W36,スコア!$C:$C,0)&amp;":$BY"&amp;MATCH($W36,スコア!$C:$C,0)),TRANSPOSE(R$9:R$78))/R$5</f>
        <v>33.200005083390565</v>
      </c>
      <c r="AB36" s="4">
        <f t="array" aca="1" ref="AB36" ca="1">SUMPRODUCT(INDIRECT("スコア!$H"&amp;MATCH($W36,スコア!$C:$C,0)&amp;":$BY"&amp;MATCH($W36,スコア!$C:$C,0)),TRANSPOSE(S$9:S$78))/S$5</f>
        <v>56.486885544955854</v>
      </c>
      <c r="AC36" s="12">
        <f t="shared" ca="1" si="12"/>
        <v>38</v>
      </c>
      <c r="AD36" s="12">
        <f t="shared" ca="1" si="13"/>
        <v>35</v>
      </c>
      <c r="AE36" s="12">
        <f t="shared" ca="1" si="14"/>
        <v>31</v>
      </c>
      <c r="AF36" s="12">
        <f t="shared" ca="1" si="15"/>
        <v>16</v>
      </c>
      <c r="AG36" s="4">
        <f t="shared" ca="1" si="16"/>
        <v>40.616600300605441</v>
      </c>
      <c r="AH36" s="4">
        <f t="shared" ca="1" si="17"/>
        <v>46.361347844468561</v>
      </c>
      <c r="AI36" s="4">
        <f t="shared" ca="1" si="18"/>
        <v>44.692891162664878</v>
      </c>
      <c r="AJ36" s="4">
        <f t="shared" ca="1" si="19"/>
        <v>54.98575132953502</v>
      </c>
      <c r="AL36" s="351">
        <v>28</v>
      </c>
      <c r="AM36" s="352" t="str">
        <f t="shared" ca="1" si="29"/>
        <v>Hong Kong</v>
      </c>
      <c r="AN36" s="353">
        <f t="shared" ca="1" si="30"/>
        <v>43.07596402788586</v>
      </c>
      <c r="AO36" s="354">
        <f t="shared" ca="1" si="20"/>
        <v>1</v>
      </c>
      <c r="AP36" s="351">
        <v>28</v>
      </c>
      <c r="AQ36" s="352" t="str">
        <f t="shared" ca="1" si="31"/>
        <v>Washington, DC</v>
      </c>
      <c r="AR36" s="352">
        <f t="shared" ca="1" si="21"/>
        <v>48.306586644605552</v>
      </c>
      <c r="AS36" s="354">
        <f t="shared" ca="1" si="22"/>
        <v>4</v>
      </c>
      <c r="AT36" s="351">
        <v>28</v>
      </c>
      <c r="AU36" s="352" t="str">
        <f t="shared" ca="1" si="23"/>
        <v>Stockholm</v>
      </c>
      <c r="AV36" s="352">
        <f t="shared" ca="1" si="24"/>
        <v>35.264525648007542</v>
      </c>
      <c r="AW36" s="354">
        <f t="shared" ca="1" si="25"/>
        <v>3</v>
      </c>
      <c r="AX36" s="351">
        <v>28</v>
      </c>
      <c r="AY36" s="352" t="str">
        <f t="shared" ca="1" si="26"/>
        <v>Fukuoka</v>
      </c>
      <c r="AZ36" s="352">
        <f t="shared" ca="1" si="27"/>
        <v>52.467335094629739</v>
      </c>
      <c r="BA36" s="354">
        <f t="shared" ca="1" si="28"/>
        <v>-2</v>
      </c>
      <c r="BC36" s="83">
        <v>36</v>
      </c>
      <c r="BD36" s="3">
        <v>28</v>
      </c>
      <c r="BE36" s="1" t="s">
        <v>158</v>
      </c>
      <c r="BF36" s="4">
        <v>35.893710704811959</v>
      </c>
      <c r="BG36" s="4">
        <v>45.732307887637781</v>
      </c>
      <c r="BH36" s="4">
        <v>32.278354306883024</v>
      </c>
      <c r="BI36" s="4">
        <v>56.262787156934245</v>
      </c>
      <c r="BJ36" s="12">
        <v>37</v>
      </c>
      <c r="BK36" s="12">
        <v>33</v>
      </c>
      <c r="BL36" s="12">
        <v>33</v>
      </c>
      <c r="BM36" s="12">
        <v>23</v>
      </c>
      <c r="BN36" s="4">
        <v>43.331105558305445</v>
      </c>
      <c r="BO36" s="4">
        <v>48.175680408491971</v>
      </c>
      <c r="BP36" s="4">
        <v>42.719496994841364</v>
      </c>
      <c r="BQ36" s="4">
        <v>52.738985220634767</v>
      </c>
    </row>
    <row r="37" spans="2:69">
      <c r="B37" s="2">
        <v>29</v>
      </c>
      <c r="C37" s="4" t="str">
        <f t="shared" ca="1" si="4"/>
        <v>Brussels</v>
      </c>
      <c r="D37" s="4" t="str">
        <f t="shared" ca="1" si="5"/>
        <v>Helsinki</v>
      </c>
      <c r="E37" s="4" t="str">
        <f t="shared" ca="1" si="6"/>
        <v>Hong Kong</v>
      </c>
      <c r="F37" s="4" t="str">
        <f t="shared" ca="1" si="7"/>
        <v>Dubai</v>
      </c>
      <c r="H37" s="151" t="s">
        <v>565</v>
      </c>
      <c r="I37" s="193" t="str">
        <f>IFERROR(INDEX(指標マスタ[],MATCH($H37,指標マスタ['#],0),MATCH(I$8,指標マスタ[#Headers],0))&amp;"","")</f>
        <v/>
      </c>
      <c r="J37" s="193" t="str">
        <f>IFERROR(INDEX(指標マスタ[],MATCH($H37,指標マスタ['#],0),MATCH(J$8,指標マスタ[#Headers],0))&amp;"","")</f>
        <v>文化施設</v>
      </c>
      <c r="K37" s="193" t="str">
        <f>IFERROR(INDEX(指標マスタ[],MATCH($H37,指標マスタ['#],0),MATCH(K$8,指標マスタ[#Headers],0))&amp;"","")</f>
        <v>劇場・コンサートホール数</v>
      </c>
      <c r="L37" s="11"/>
      <c r="M37" s="11"/>
      <c r="N37" s="11" t="s">
        <v>352</v>
      </c>
      <c r="O37" s="11" t="s">
        <v>354</v>
      </c>
      <c r="P37" s="3">
        <f t="shared" si="8"/>
        <v>0</v>
      </c>
      <c r="Q37" s="3">
        <f t="shared" si="9"/>
        <v>0</v>
      </c>
      <c r="R37" s="3">
        <f t="shared" si="10"/>
        <v>5</v>
      </c>
      <c r="S37" s="3">
        <f t="shared" si="11"/>
        <v>1</v>
      </c>
      <c r="U37" s="2">
        <v>29</v>
      </c>
      <c r="V37" s="83">
        <f>INDEX(順位表[Comprehensive],MATCH($W37,順位表['#],0))</f>
        <v>3</v>
      </c>
      <c r="W37" s="3">
        <v>29</v>
      </c>
      <c r="X37" s="1" t="str">
        <f>INDEX(都市マスタ[City Name],MATCH($W37,都市マスタ['#],0))</f>
        <v>Tokyo</v>
      </c>
      <c r="Y37" s="4">
        <f t="array" aca="1" ref="Y37" ca="1">SUMPRODUCT(INDIRECT("スコア!$H"&amp;MATCH($W37,スコア!$C:$C,0)&amp;":$BY"&amp;MATCH($W37,スコア!$C:$C,0)),TRANSPOSE(P$9:P$78))/P$5</f>
        <v>47.832299790476092</v>
      </c>
      <c r="Z37" s="4">
        <f t="array" aca="1" ref="Z37" ca="1">SUMPRODUCT(INDIRECT("スコア!$H"&amp;MATCH($W37,スコア!$C:$C,0)&amp;":$BY"&amp;MATCH($W37,スコア!$C:$C,0)),TRANSPOSE(Q$9:Q$78))/Q$5</f>
        <v>51.647678715210013</v>
      </c>
      <c r="AA37" s="4">
        <f t="array" aca="1" ref="AA37" ca="1">SUMPRODUCT(INDIRECT("スコア!$H"&amp;MATCH($W37,スコア!$C:$C,0)&amp;":$BY"&amp;MATCH($W37,スコア!$C:$C,0)),TRANSPOSE(R$9:R$78))/R$5</f>
        <v>55.942080825761323</v>
      </c>
      <c r="AB37" s="4">
        <f t="array" aca="1" ref="AB37" ca="1">SUMPRODUCT(INDIRECT("スコア!$H"&amp;MATCH($W37,スコア!$C:$C,0)&amp;":$BY"&amp;MATCH($W37,スコア!$C:$C,0)),TRANSPOSE(S$9:S$78))/S$5</f>
        <v>63.29753647461802</v>
      </c>
      <c r="AC37" s="12">
        <f t="shared" ca="1" si="12"/>
        <v>12</v>
      </c>
      <c r="AD37" s="12">
        <f t="shared" ca="1" si="13"/>
        <v>17</v>
      </c>
      <c r="AE37" s="12">
        <f t="shared" ca="1" si="14"/>
        <v>2</v>
      </c>
      <c r="AF37" s="12">
        <f t="shared" ca="1" si="15"/>
        <v>5</v>
      </c>
      <c r="AG37" s="4">
        <f t="shared" ca="1" si="16"/>
        <v>55.766617705347187</v>
      </c>
      <c r="AH37" s="4">
        <f t="shared" ca="1" si="17"/>
        <v>54.149969608674382</v>
      </c>
      <c r="AI37" s="4">
        <f t="shared" ca="1" si="18"/>
        <v>68.73259635676493</v>
      </c>
      <c r="AJ37" s="4">
        <f t="shared" ca="1" si="19"/>
        <v>63.742268182177824</v>
      </c>
      <c r="AL37" s="351">
        <v>29</v>
      </c>
      <c r="AM37" s="352" t="str">
        <f t="shared" ca="1" si="29"/>
        <v>Brussels</v>
      </c>
      <c r="AN37" s="353">
        <f t="shared" ca="1" si="30"/>
        <v>42.53526744506847</v>
      </c>
      <c r="AO37" s="354">
        <f t="shared" ca="1" si="20"/>
        <v>-1</v>
      </c>
      <c r="AP37" s="351">
        <v>29</v>
      </c>
      <c r="AQ37" s="352" t="str">
        <f t="shared" ca="1" si="31"/>
        <v>Helsinki</v>
      </c>
      <c r="AR37" s="352">
        <f t="shared" ca="1" si="21"/>
        <v>48.250156099464455</v>
      </c>
      <c r="AS37" s="354">
        <f t="shared" ca="1" si="22"/>
        <v>-6</v>
      </c>
      <c r="AT37" s="351">
        <v>29</v>
      </c>
      <c r="AU37" s="352" t="str">
        <f t="shared" ca="1" si="23"/>
        <v>Hong Kong</v>
      </c>
      <c r="AV37" s="352">
        <f t="shared" ca="1" si="24"/>
        <v>34.962574563755659</v>
      </c>
      <c r="AW37" s="354">
        <f t="shared" ca="1" si="25"/>
        <v>0</v>
      </c>
      <c r="AX37" s="351">
        <v>29</v>
      </c>
      <c r="AY37" s="352" t="str">
        <f t="shared" ca="1" si="26"/>
        <v>Dubai</v>
      </c>
      <c r="AZ37" s="352">
        <f t="shared" ca="1" si="27"/>
        <v>52.182817036187394</v>
      </c>
      <c r="BA37" s="354">
        <f t="shared" ca="1" si="28"/>
        <v>3</v>
      </c>
      <c r="BC37" s="83">
        <v>3</v>
      </c>
      <c r="BD37" s="3">
        <v>29</v>
      </c>
      <c r="BE37" s="1" t="s">
        <v>160</v>
      </c>
      <c r="BF37" s="4">
        <v>50.086423304182595</v>
      </c>
      <c r="BG37" s="4">
        <v>53.031850874275548</v>
      </c>
      <c r="BH37" s="4">
        <v>54.856717049147171</v>
      </c>
      <c r="BI37" s="4">
        <v>63.269544691827022</v>
      </c>
      <c r="BJ37" s="12">
        <v>8</v>
      </c>
      <c r="BK37" s="12">
        <v>13</v>
      </c>
      <c r="BL37" s="12">
        <v>3</v>
      </c>
      <c r="BM37" s="12">
        <v>7</v>
      </c>
      <c r="BN37" s="4">
        <v>58.023792480224877</v>
      </c>
      <c r="BO37" s="4">
        <v>56.006733765551949</v>
      </c>
      <c r="BP37" s="4">
        <v>67.248167533191804</v>
      </c>
      <c r="BQ37" s="4">
        <v>61.517396821688102</v>
      </c>
    </row>
    <row r="38" spans="2:69">
      <c r="B38" s="2">
        <v>30</v>
      </c>
      <c r="C38" s="4" t="str">
        <f t="shared" ca="1" si="4"/>
        <v>Vienna</v>
      </c>
      <c r="D38" s="4" t="str">
        <f t="shared" ca="1" si="5"/>
        <v>Beijing</v>
      </c>
      <c r="E38" s="4" t="str">
        <f t="shared" ca="1" si="6"/>
        <v>Tel Aviv</v>
      </c>
      <c r="F38" s="4" t="str">
        <f t="shared" ca="1" si="7"/>
        <v>Beijing</v>
      </c>
      <c r="H38" s="151" t="s">
        <v>566</v>
      </c>
      <c r="I38" s="193" t="str">
        <f>IFERROR(INDEX(指標マスタ[],MATCH($H38,指標マスタ['#],0),MATCH(I$8,指標マスタ[#Headers],0))&amp;"","")</f>
        <v/>
      </c>
      <c r="J38" s="193" t="str">
        <f>IFERROR(INDEX(指標マスタ[],MATCH($H38,指標マスタ['#],0),MATCH(J$8,指標マスタ[#Headers],0))&amp;"","")</f>
        <v/>
      </c>
      <c r="K38" s="193" t="str">
        <f>IFERROR(INDEX(指標マスタ[],MATCH($H38,指標マスタ['#],0),MATCH(K$8,指標マスタ[#Headers],0))&amp;"","")</f>
        <v>美術館・博物館数</v>
      </c>
      <c r="L38" s="11"/>
      <c r="M38" s="11"/>
      <c r="N38" s="11" t="s">
        <v>352</v>
      </c>
      <c r="O38" s="11" t="s">
        <v>354</v>
      </c>
      <c r="P38" s="3">
        <f t="shared" si="8"/>
        <v>0</v>
      </c>
      <c r="Q38" s="3">
        <f t="shared" si="9"/>
        <v>0</v>
      </c>
      <c r="R38" s="3">
        <f t="shared" si="10"/>
        <v>5</v>
      </c>
      <c r="S38" s="3">
        <f t="shared" si="11"/>
        <v>1</v>
      </c>
      <c r="U38" s="2">
        <v>30</v>
      </c>
      <c r="V38" s="83">
        <f>INDEX(順位表[Comprehensive],MATCH($W38,順位表['#],0))</f>
        <v>12</v>
      </c>
      <c r="W38" s="3">
        <v>30</v>
      </c>
      <c r="X38" s="1" t="str">
        <f>INDEX(都市マスタ[City Name],MATCH($W38,都市マスタ['#],0))</f>
        <v>Sydney</v>
      </c>
      <c r="Y38" s="4">
        <f t="array" aca="1" ref="Y38" ca="1">SUMPRODUCT(INDIRECT("スコア!$H"&amp;MATCH($W38,スコア!$C:$C,0)&amp;":$BY"&amp;MATCH($W38,スコア!$C:$C,0)),TRANSPOSE(P$9:P$78))/P$5</f>
        <v>47.338671444474997</v>
      </c>
      <c r="Z38" s="4">
        <f t="array" aca="1" ref="Z38" ca="1">SUMPRODUCT(INDIRECT("スコア!$H"&amp;MATCH($W38,スコア!$C:$C,0)&amp;":$BY"&amp;MATCH($W38,スコア!$C:$C,0)),TRANSPOSE(Q$9:Q$78))/Q$5</f>
        <v>51.362416420224434</v>
      </c>
      <c r="AA38" s="4">
        <f t="array" aca="1" ref="AA38" ca="1">SUMPRODUCT(INDIRECT("スコア!$H"&amp;MATCH($W38,スコア!$C:$C,0)&amp;":$BY"&amp;MATCH($W38,スコア!$C:$C,0)),TRANSPOSE(R$9:R$78))/R$5</f>
        <v>39.803305900812269</v>
      </c>
      <c r="AB38" s="4">
        <f t="array" aca="1" ref="AB38" ca="1">SUMPRODUCT(INDIRECT("スコア!$H"&amp;MATCH($W38,スコア!$C:$C,0)&amp;":$BY"&amp;MATCH($W38,スコア!$C:$C,0)),TRANSPOSE(S$9:S$78))/S$5</f>
        <v>56.847566744167572</v>
      </c>
      <c r="AC38" s="12">
        <f t="shared" ca="1" si="12"/>
        <v>16</v>
      </c>
      <c r="AD38" s="12">
        <f t="shared" ca="1" si="13"/>
        <v>19</v>
      </c>
      <c r="AE38" s="12">
        <f t="shared" ca="1" si="14"/>
        <v>20</v>
      </c>
      <c r="AF38" s="12">
        <f t="shared" ca="1" si="15"/>
        <v>15</v>
      </c>
      <c r="AG38" s="4">
        <f t="shared" ca="1" si="16"/>
        <v>55.263963430771398</v>
      </c>
      <c r="AH38" s="4">
        <f t="shared" ca="1" si="17"/>
        <v>53.840026012715683</v>
      </c>
      <c r="AI38" s="4">
        <f t="shared" ca="1" si="18"/>
        <v>51.672966629700042</v>
      </c>
      <c r="AJ38" s="4">
        <f t="shared" ca="1" si="19"/>
        <v>55.449482481218858</v>
      </c>
      <c r="AL38" s="351">
        <v>30</v>
      </c>
      <c r="AM38" s="352" t="str">
        <f t="shared" ca="1" si="29"/>
        <v>Vienna</v>
      </c>
      <c r="AN38" s="353">
        <f t="shared" ca="1" si="30"/>
        <v>42.045588487968473</v>
      </c>
      <c r="AO38" s="354">
        <f t="shared" ca="1" si="20"/>
        <v>0</v>
      </c>
      <c r="AP38" s="351">
        <v>30</v>
      </c>
      <c r="AQ38" s="352" t="str">
        <f t="shared" ca="1" si="31"/>
        <v>Beijing</v>
      </c>
      <c r="AR38" s="352">
        <f t="shared" ca="1" si="21"/>
        <v>46.466459385738887</v>
      </c>
      <c r="AS38" s="354">
        <f t="shared" ca="1" si="22"/>
        <v>7</v>
      </c>
      <c r="AT38" s="351">
        <v>30</v>
      </c>
      <c r="AU38" s="352" t="str">
        <f t="shared" ca="1" si="23"/>
        <v>Tel Aviv</v>
      </c>
      <c r="AV38" s="352">
        <f t="shared" ca="1" si="24"/>
        <v>33.493309601787736</v>
      </c>
      <c r="AW38" s="354">
        <f t="shared" ca="1" si="25"/>
        <v>6</v>
      </c>
      <c r="AX38" s="351">
        <v>30</v>
      </c>
      <c r="AY38" s="352" t="str">
        <f t="shared" ca="1" si="26"/>
        <v>Beijing</v>
      </c>
      <c r="AZ38" s="352">
        <f t="shared" ca="1" si="27"/>
        <v>52.057889132514418</v>
      </c>
      <c r="BA38" s="354">
        <f t="shared" ca="1" si="28"/>
        <v>3</v>
      </c>
      <c r="BC38" s="83">
        <v>12</v>
      </c>
      <c r="BD38" s="3">
        <v>30</v>
      </c>
      <c r="BE38" s="1" t="s">
        <v>162</v>
      </c>
      <c r="BF38" s="4">
        <v>46.555247386690233</v>
      </c>
      <c r="BG38" s="4">
        <v>52.163802813114458</v>
      </c>
      <c r="BH38" s="4">
        <v>37.749374825848108</v>
      </c>
      <c r="BI38" s="4">
        <v>59.59913161723064</v>
      </c>
      <c r="BJ38" s="12">
        <v>18</v>
      </c>
      <c r="BK38" s="12">
        <v>15</v>
      </c>
      <c r="BL38" s="12">
        <v>24</v>
      </c>
      <c r="BM38" s="12">
        <v>14</v>
      </c>
      <c r="BN38" s="4">
        <v>54.368221928881681</v>
      </c>
      <c r="BO38" s="4">
        <v>55.075479480744178</v>
      </c>
      <c r="BP38" s="4">
        <v>48.663101557764271</v>
      </c>
      <c r="BQ38" s="4">
        <v>56.918922198548778</v>
      </c>
    </row>
    <row r="39" spans="2:69">
      <c r="B39" s="2">
        <v>31</v>
      </c>
      <c r="C39" s="4" t="str">
        <f t="shared" ca="1" si="4"/>
        <v>Madrid</v>
      </c>
      <c r="D39" s="4" t="str">
        <f t="shared" ca="1" si="5"/>
        <v>Dublin</v>
      </c>
      <c r="E39" s="4" t="str">
        <f t="shared" ca="1" si="6"/>
        <v>Osaka</v>
      </c>
      <c r="F39" s="4" t="str">
        <f t="shared" ca="1" si="7"/>
        <v>New York</v>
      </c>
      <c r="H39" s="151" t="s">
        <v>567</v>
      </c>
      <c r="I39" s="193" t="str">
        <f>IFERROR(INDEX(指標マスタ[],MATCH($H39,指標マスタ['#],0),MATCH(I$8,指標マスタ[#Headers],0))&amp;"","")</f>
        <v/>
      </c>
      <c r="J39" s="193" t="str">
        <f>IFERROR(INDEX(指標マスタ[],MATCH($H39,指標マスタ['#],0),MATCH(J$8,指標マスタ[#Headers],0))&amp;"","")</f>
        <v/>
      </c>
      <c r="K39" s="193" t="str">
        <f>IFERROR(INDEX(指標マスタ[],MATCH($H39,指標マスタ['#],0),MATCH(K$8,指標マスタ[#Headers],0))&amp;"","")</f>
        <v>スタジアム数</v>
      </c>
      <c r="L39" s="11"/>
      <c r="M39" s="11"/>
      <c r="N39" s="11" t="s">
        <v>352</v>
      </c>
      <c r="O39" s="11" t="s">
        <v>354</v>
      </c>
      <c r="P39" s="3">
        <f t="shared" si="8"/>
        <v>0</v>
      </c>
      <c r="Q39" s="3">
        <f t="shared" si="9"/>
        <v>0</v>
      </c>
      <c r="R39" s="3">
        <f t="shared" si="10"/>
        <v>5</v>
      </c>
      <c r="S39" s="3">
        <f t="shared" si="11"/>
        <v>1</v>
      </c>
      <c r="U39" s="2">
        <v>31</v>
      </c>
      <c r="V39" s="83">
        <f>INDEX(順位表[Comprehensive],MATCH($W39,順位表['#],0))</f>
        <v>32</v>
      </c>
      <c r="W39" s="3">
        <v>31</v>
      </c>
      <c r="X39" s="1" t="str">
        <f>INDEX(都市マスタ[City Name],MATCH($W39,都市マスタ['#],0))</f>
        <v>Vancouver</v>
      </c>
      <c r="Y39" s="4">
        <f t="array" aca="1" ref="Y39" ca="1">SUMPRODUCT(INDIRECT("スコア!$H"&amp;MATCH($W39,スコア!$C:$C,0)&amp;":$BY"&amp;MATCH($W39,スコア!$C:$C,0)),TRANSPOSE(P$9:P$78))/P$5</f>
        <v>44.981353536766299</v>
      </c>
      <c r="Z39" s="4">
        <f t="array" aca="1" ref="Z39" ca="1">SUMPRODUCT(INDIRECT("スコア!$H"&amp;MATCH($W39,スコア!$C:$C,0)&amp;":$BY"&amp;MATCH($W39,スコア!$C:$C,0)),TRANSPOSE(Q$9:Q$78))/Q$5</f>
        <v>48.997026712963333</v>
      </c>
      <c r="AA39" s="4">
        <f t="array" aca="1" ref="AA39" ca="1">SUMPRODUCT(INDIRECT("スコア!$H"&amp;MATCH($W39,スコア!$C:$C,0)&amp;":$BY"&amp;MATCH($W39,スコア!$C:$C,0)),TRANSPOSE(R$9:R$78))/R$5</f>
        <v>32.073597512778306</v>
      </c>
      <c r="AB39" s="4">
        <f t="array" aca="1" ref="AB39" ca="1">SUMPRODUCT(INDIRECT("スコア!$H"&amp;MATCH($W39,スコア!$C:$C,0)&amp;":$BY"&amp;MATCH($W39,スコア!$C:$C,0)),TRANSPOSE(S$9:S$78))/S$5</f>
        <v>53.203553972656756</v>
      </c>
      <c r="AC39" s="12">
        <f t="shared" ca="1" si="12"/>
        <v>24</v>
      </c>
      <c r="AD39" s="12">
        <f t="shared" ca="1" si="13"/>
        <v>24</v>
      </c>
      <c r="AE39" s="12">
        <f t="shared" ca="1" si="14"/>
        <v>35</v>
      </c>
      <c r="AF39" s="12">
        <f t="shared" ca="1" si="15"/>
        <v>27</v>
      </c>
      <c r="AG39" s="4">
        <f t="shared" ca="1" si="16"/>
        <v>52.86354227902256</v>
      </c>
      <c r="AH39" s="4">
        <f t="shared" ca="1" si="17"/>
        <v>51.269979411396505</v>
      </c>
      <c r="AI39" s="4">
        <f t="shared" ca="1" si="18"/>
        <v>43.502212429875712</v>
      </c>
      <c r="AJ39" s="4">
        <f t="shared" ca="1" si="19"/>
        <v>50.764341578458946</v>
      </c>
      <c r="AL39" s="351">
        <v>31</v>
      </c>
      <c r="AM39" s="352" t="str">
        <f t="shared" ca="1" si="29"/>
        <v>Madrid</v>
      </c>
      <c r="AN39" s="353">
        <f t="shared" ca="1" si="30"/>
        <v>41.262730105104332</v>
      </c>
      <c r="AO39" s="354">
        <f t="shared" ca="1" si="20"/>
        <v>1</v>
      </c>
      <c r="AP39" s="351">
        <v>31</v>
      </c>
      <c r="AQ39" s="352" t="str">
        <f t="shared" ca="1" si="31"/>
        <v>Dublin</v>
      </c>
      <c r="AR39" s="352">
        <f t="shared" ca="1" si="21"/>
        <v>46.333574752702226</v>
      </c>
      <c r="AS39" s="354">
        <f t="shared" ca="1" si="22"/>
        <v>-6</v>
      </c>
      <c r="AT39" s="351">
        <v>31</v>
      </c>
      <c r="AU39" s="352" t="str">
        <f t="shared" ca="1" si="23"/>
        <v>Osaka</v>
      </c>
      <c r="AV39" s="352">
        <f t="shared" ca="1" si="24"/>
        <v>33.200005083390565</v>
      </c>
      <c r="AW39" s="354">
        <f t="shared" ca="1" si="25"/>
        <v>2</v>
      </c>
      <c r="AX39" s="351">
        <v>31</v>
      </c>
      <c r="AY39" s="352" t="str">
        <f t="shared" ca="1" si="26"/>
        <v>New York</v>
      </c>
      <c r="AZ39" s="352">
        <f t="shared" ca="1" si="27"/>
        <v>51.784187806306306</v>
      </c>
      <c r="BA39" s="354">
        <f t="shared" ca="1" si="28"/>
        <v>-6</v>
      </c>
      <c r="BC39" s="83">
        <v>29</v>
      </c>
      <c r="BD39" s="3">
        <v>31</v>
      </c>
      <c r="BE39" s="1" t="s">
        <v>164</v>
      </c>
      <c r="BF39" s="4">
        <v>44.618502691044569</v>
      </c>
      <c r="BG39" s="4">
        <v>47.053495966921098</v>
      </c>
      <c r="BH39" s="4">
        <v>31.330572051185843</v>
      </c>
      <c r="BI39" s="4">
        <v>55.349270584235143</v>
      </c>
      <c r="BJ39" s="12">
        <v>24</v>
      </c>
      <c r="BK39" s="12">
        <v>29</v>
      </c>
      <c r="BL39" s="12">
        <v>37</v>
      </c>
      <c r="BM39" s="12">
        <v>24</v>
      </c>
      <c r="BN39" s="4">
        <v>52.363250485855929</v>
      </c>
      <c r="BO39" s="4">
        <v>49.593069738552593</v>
      </c>
      <c r="BP39" s="4">
        <v>41.689845777103891</v>
      </c>
      <c r="BQ39" s="4">
        <v>51.594486579201622</v>
      </c>
    </row>
    <row r="40" spans="2:69">
      <c r="B40" s="2">
        <v>32</v>
      </c>
      <c r="C40" s="4" t="str">
        <f t="shared" ca="1" si="4"/>
        <v>Barcelona</v>
      </c>
      <c r="D40" s="4" t="str">
        <f t="shared" ca="1" si="5"/>
        <v>Seoul</v>
      </c>
      <c r="E40" s="4" t="str">
        <f t="shared" ca="1" si="6"/>
        <v>Kuala Lumpur</v>
      </c>
      <c r="F40" s="4" t="str">
        <f t="shared" ca="1" si="7"/>
        <v>Buenos Aires</v>
      </c>
      <c r="H40" s="151" t="s">
        <v>568</v>
      </c>
      <c r="I40" s="193" t="str">
        <f>IFERROR(INDEX(指標マスタ[],MATCH($H40,指標マスタ['#],0),MATCH(I$8,指標マスタ[#Headers],0))&amp;"","")</f>
        <v/>
      </c>
      <c r="J40" s="193" t="str">
        <f>IFERROR(INDEX(指標マスタ[],MATCH($H40,指標マスタ['#],0),MATCH(J$8,指標マスタ[#Headers],0))&amp;"","")</f>
        <v>受入環境</v>
      </c>
      <c r="K40" s="193" t="str">
        <f>IFERROR(INDEX(指標マスタ[],MATCH($H40,指標マスタ['#],0),MATCH(K$8,指標マスタ[#Headers],0))&amp;"","")</f>
        <v>ホテル客室数</v>
      </c>
      <c r="L40" s="11" t="s">
        <v>354</v>
      </c>
      <c r="M40" s="11"/>
      <c r="N40" s="11" t="s">
        <v>352</v>
      </c>
      <c r="O40" s="11"/>
      <c r="P40" s="3">
        <f t="shared" si="8"/>
        <v>1</v>
      </c>
      <c r="Q40" s="3">
        <f t="shared" si="9"/>
        <v>0</v>
      </c>
      <c r="R40" s="3">
        <f t="shared" si="10"/>
        <v>5</v>
      </c>
      <c r="S40" s="3">
        <f t="shared" si="11"/>
        <v>0</v>
      </c>
      <c r="U40" s="2">
        <v>32</v>
      </c>
      <c r="V40" s="83">
        <f>INDEX(順位表[Comprehensive],MATCH($W40,順位表['#],0))</f>
        <v>27</v>
      </c>
      <c r="W40" s="3">
        <v>32</v>
      </c>
      <c r="X40" s="1" t="str">
        <f>INDEX(都市マスタ[City Name],MATCH($W40,都市マスタ['#],0))</f>
        <v>San Francisco</v>
      </c>
      <c r="Y40" s="4">
        <f t="array" aca="1" ref="Y40" ca="1">SUMPRODUCT(INDIRECT("スコア!$H"&amp;MATCH($W40,スコア!$C:$C,0)&amp;":$BY"&amp;MATCH($W40,スコア!$C:$C,0)),TRANSPOSE(P$9:P$78))/P$5</f>
        <v>52.068601034333696</v>
      </c>
      <c r="Z40" s="4">
        <f t="array" aca="1" ref="Z40" ca="1">SUMPRODUCT(INDIRECT("スコア!$H"&amp;MATCH($W40,スコア!$C:$C,0)&amp;":$BY"&amp;MATCH($W40,スコア!$C:$C,0)),TRANSPOSE(Q$9:Q$78))/Q$5</f>
        <v>51.521000792959995</v>
      </c>
      <c r="AA40" s="4">
        <f t="array" aca="1" ref="AA40" ca="1">SUMPRODUCT(INDIRECT("スコア!$H"&amp;MATCH($W40,スコア!$C:$C,0)&amp;":$BY"&amp;MATCH($W40,スコア!$C:$C,0)),TRANSPOSE(R$9:R$78))/R$5</f>
        <v>27.372209700855656</v>
      </c>
      <c r="AB40" s="4">
        <f t="array" aca="1" ref="AB40" ca="1">SUMPRODUCT(INDIRECT("スコア!$H"&amp;MATCH($W40,スコア!$C:$C,0)&amp;":$BY"&amp;MATCH($W40,スコア!$C:$C,0)),TRANSPOSE(S$9:S$78))/S$5</f>
        <v>45.073275108297295</v>
      </c>
      <c r="AC40" s="12">
        <f t="shared" ca="1" si="12"/>
        <v>4</v>
      </c>
      <c r="AD40" s="12">
        <f t="shared" ca="1" si="13"/>
        <v>18</v>
      </c>
      <c r="AE40" s="12">
        <f t="shared" ca="1" si="14"/>
        <v>44</v>
      </c>
      <c r="AF40" s="12">
        <f t="shared" ca="1" si="15"/>
        <v>41</v>
      </c>
      <c r="AG40" s="4">
        <f t="shared" ca="1" si="16"/>
        <v>60.080379153339507</v>
      </c>
      <c r="AH40" s="4">
        <f t="shared" ca="1" si="17"/>
        <v>54.012331331758986</v>
      </c>
      <c r="AI40" s="4">
        <f t="shared" ca="1" si="18"/>
        <v>38.532570332026737</v>
      </c>
      <c r="AJ40" s="4">
        <f t="shared" ca="1" si="19"/>
        <v>40.311166892558454</v>
      </c>
      <c r="AL40" s="351">
        <v>32</v>
      </c>
      <c r="AM40" s="352" t="str">
        <f t="shared" ca="1" si="29"/>
        <v>Barcelona</v>
      </c>
      <c r="AN40" s="353">
        <f t="shared" ca="1" si="30"/>
        <v>40.695565789221732</v>
      </c>
      <c r="AO40" s="354">
        <f t="shared" ca="1" si="20"/>
        <v>-1</v>
      </c>
      <c r="AP40" s="351">
        <v>32</v>
      </c>
      <c r="AQ40" s="352" t="str">
        <f t="shared" ca="1" si="31"/>
        <v>Seoul</v>
      </c>
      <c r="AR40" s="352">
        <f t="shared" ca="1" si="21"/>
        <v>46.19993065972222</v>
      </c>
      <c r="AS40" s="354">
        <f t="shared" ca="1" si="22"/>
        <v>-4</v>
      </c>
      <c r="AT40" s="351">
        <v>32</v>
      </c>
      <c r="AU40" s="352" t="str">
        <f t="shared" ca="1" si="23"/>
        <v>Kuala Lumpur</v>
      </c>
      <c r="AV40" s="352">
        <f t="shared" ca="1" si="24"/>
        <v>32.716123775457547</v>
      </c>
      <c r="AW40" s="354">
        <f t="shared" ca="1" si="25"/>
        <v>7</v>
      </c>
      <c r="AX40" s="351">
        <v>32</v>
      </c>
      <c r="AY40" s="352" t="str">
        <f t="shared" ca="1" si="26"/>
        <v>Buenos Aires</v>
      </c>
      <c r="AZ40" s="352">
        <f t="shared" ca="1" si="27"/>
        <v>51.080270619160359</v>
      </c>
      <c r="BA40" s="354">
        <f t="shared" ca="1" si="28"/>
        <v>-11</v>
      </c>
      <c r="BC40" s="83">
        <v>23</v>
      </c>
      <c r="BD40" s="3">
        <v>32</v>
      </c>
      <c r="BE40" s="1" t="s">
        <v>166</v>
      </c>
      <c r="BF40" s="4">
        <v>51.574491336501076</v>
      </c>
      <c r="BG40" s="4">
        <v>51.974806184224455</v>
      </c>
      <c r="BH40" s="4">
        <v>33.202075826412262</v>
      </c>
      <c r="BI40" s="4">
        <v>48.829791388725219</v>
      </c>
      <c r="BJ40" s="12">
        <v>7</v>
      </c>
      <c r="BK40" s="12">
        <v>17</v>
      </c>
      <c r="BL40" s="12">
        <v>30</v>
      </c>
      <c r="BM40" s="12">
        <v>35</v>
      </c>
      <c r="BN40" s="4">
        <v>59.564281485712222</v>
      </c>
      <c r="BO40" s="4">
        <v>54.872721213842894</v>
      </c>
      <c r="BP40" s="4">
        <v>43.723009121932165</v>
      </c>
      <c r="BQ40" s="4">
        <v>43.426561327373143</v>
      </c>
    </row>
    <row r="41" spans="2:69">
      <c r="B41" s="2">
        <v>33</v>
      </c>
      <c r="C41" s="4" t="str">
        <f t="shared" ca="1" si="4"/>
        <v>Tel Aviv</v>
      </c>
      <c r="D41" s="4" t="str">
        <f t="shared" ca="1" si="5"/>
        <v>Shanghai</v>
      </c>
      <c r="E41" s="4" t="str">
        <f t="shared" ca="1" si="6"/>
        <v>Chicago</v>
      </c>
      <c r="F41" s="4" t="str">
        <f t="shared" ca="1" si="7"/>
        <v>Dublin</v>
      </c>
      <c r="H41" s="151" t="s">
        <v>569</v>
      </c>
      <c r="I41" s="193" t="str">
        <f>IFERROR(INDEX(指標マスタ[],MATCH($H41,指標マスタ['#],0),MATCH(I$8,指標マスタ[#Headers],0))&amp;"","")</f>
        <v/>
      </c>
      <c r="J41" s="193" t="str">
        <f>IFERROR(INDEX(指標マスタ[],MATCH($H41,指標マスタ['#],0),MATCH(J$8,指標マスタ[#Headers],0))&amp;"","")</f>
        <v/>
      </c>
      <c r="K41" s="193" t="str">
        <f>IFERROR(INDEX(指標マスタ[],MATCH($H41,指標マスタ['#],0),MATCH(K$8,指標マスタ[#Headers],0))&amp;"","")</f>
        <v>ハイクラスホテル客室数</v>
      </c>
      <c r="L41" s="11" t="s">
        <v>354</v>
      </c>
      <c r="M41" s="11"/>
      <c r="N41" s="11" t="s">
        <v>352</v>
      </c>
      <c r="O41" s="11"/>
      <c r="P41" s="3">
        <f t="shared" si="8"/>
        <v>1</v>
      </c>
      <c r="Q41" s="3">
        <f t="shared" si="9"/>
        <v>0</v>
      </c>
      <c r="R41" s="3">
        <f t="shared" si="10"/>
        <v>5</v>
      </c>
      <c r="S41" s="3">
        <f t="shared" si="11"/>
        <v>0</v>
      </c>
      <c r="U41" s="2">
        <v>33</v>
      </c>
      <c r="V41" s="83">
        <f>INDEX(順位表[Comprehensive],MATCH($W41,順位表['#],0))</f>
        <v>21</v>
      </c>
      <c r="W41" s="3">
        <v>33</v>
      </c>
      <c r="X41" s="1" t="str">
        <f>INDEX(都市マスタ[City Name],MATCH($W41,都市マスタ['#],0))</f>
        <v>Los Angeles</v>
      </c>
      <c r="Y41" s="4">
        <f t="array" aca="1" ref="Y41" ca="1">SUMPRODUCT(INDIRECT("スコア!$H"&amp;MATCH($W41,スコア!$C:$C,0)&amp;":$BY"&amp;MATCH($W41,スコア!$C:$C,0)),TRANSPOSE(P$9:P$78))/P$5</f>
        <v>46.461584741300001</v>
      </c>
      <c r="Z41" s="4">
        <f t="array" aca="1" ref="Z41" ca="1">SUMPRODUCT(INDIRECT("スコア!$H"&amp;MATCH($W41,スコア!$C:$C,0)&amp;":$BY"&amp;MATCH($W41,スコア!$C:$C,0)),TRANSPOSE(Q$9:Q$78))/Q$5</f>
        <v>48.788598931028901</v>
      </c>
      <c r="AA41" s="4">
        <f t="array" aca="1" ref="AA41" ca="1">SUMPRODUCT(INDIRECT("スコア!$H"&amp;MATCH($W41,スコア!$C:$C,0)&amp;":$BY"&amp;MATCH($W41,スコア!$C:$C,0)),TRANSPOSE(R$9:R$78))/R$5</f>
        <v>29.788768634128289</v>
      </c>
      <c r="AB41" s="4">
        <f t="array" aca="1" ref="AB41" ca="1">SUMPRODUCT(INDIRECT("スコア!$H"&amp;MATCH($W41,スコア!$C:$C,0)&amp;":$BY"&amp;MATCH($W41,スコア!$C:$C,0)),TRANSPOSE(S$9:S$78))/S$5</f>
        <v>43.446265200362163</v>
      </c>
      <c r="AC41" s="12">
        <f t="shared" ca="1" si="12"/>
        <v>19</v>
      </c>
      <c r="AD41" s="12">
        <f t="shared" ca="1" si="13"/>
        <v>25</v>
      </c>
      <c r="AE41" s="12">
        <f t="shared" ca="1" si="14"/>
        <v>37</v>
      </c>
      <c r="AF41" s="12">
        <f t="shared" ca="1" si="15"/>
        <v>42</v>
      </c>
      <c r="AG41" s="4">
        <f t="shared" ca="1" si="16"/>
        <v>54.370839314022405</v>
      </c>
      <c r="AH41" s="4">
        <f t="shared" ca="1" si="17"/>
        <v>51.043518160239152</v>
      </c>
      <c r="AI41" s="4">
        <f t="shared" ca="1" si="18"/>
        <v>41.08701457001726</v>
      </c>
      <c r="AJ41" s="4">
        <f t="shared" ca="1" si="19"/>
        <v>38.219305215108264</v>
      </c>
      <c r="AL41" s="351">
        <v>33</v>
      </c>
      <c r="AM41" s="352" t="str">
        <f t="shared" ca="1" si="29"/>
        <v>Tel Aviv</v>
      </c>
      <c r="AN41" s="353">
        <f t="shared" ca="1" si="30"/>
        <v>37.769545395973914</v>
      </c>
      <c r="AO41" s="354">
        <f t="shared" ca="1" si="20"/>
        <v>0</v>
      </c>
      <c r="AP41" s="351">
        <v>33</v>
      </c>
      <c r="AQ41" s="352" t="str">
        <f t="shared" ca="1" si="31"/>
        <v>Shanghai</v>
      </c>
      <c r="AR41" s="352">
        <f t="shared" ca="1" si="21"/>
        <v>46.060020001778888</v>
      </c>
      <c r="AS41" s="354">
        <f t="shared" ca="1" si="22"/>
        <v>5</v>
      </c>
      <c r="AT41" s="351">
        <v>33</v>
      </c>
      <c r="AU41" s="352" t="str">
        <f t="shared" ca="1" si="23"/>
        <v>Chicago</v>
      </c>
      <c r="AV41" s="352">
        <f t="shared" ca="1" si="24"/>
        <v>32.514667352636785</v>
      </c>
      <c r="AW41" s="354">
        <f t="shared" ca="1" si="25"/>
        <v>-5</v>
      </c>
      <c r="AX41" s="351">
        <v>33</v>
      </c>
      <c r="AY41" s="352" t="str">
        <f t="shared" ca="1" si="26"/>
        <v>Dublin</v>
      </c>
      <c r="AZ41" s="352">
        <f t="shared" ca="1" si="27"/>
        <v>50.265530864227038</v>
      </c>
      <c r="BA41" s="354">
        <f t="shared" ca="1" si="28"/>
        <v>-2</v>
      </c>
      <c r="BC41" s="83">
        <v>16</v>
      </c>
      <c r="BD41" s="3">
        <v>33</v>
      </c>
      <c r="BE41" s="1" t="s">
        <v>168</v>
      </c>
      <c r="BF41" s="4">
        <v>46.728128963708691</v>
      </c>
      <c r="BG41" s="4">
        <v>49.673860092142213</v>
      </c>
      <c r="BH41" s="4">
        <v>32.239218378017931</v>
      </c>
      <c r="BI41" s="4">
        <v>44.063806071660366</v>
      </c>
      <c r="BJ41" s="12">
        <v>17</v>
      </c>
      <c r="BK41" s="12">
        <v>24</v>
      </c>
      <c r="BL41" s="12">
        <v>34</v>
      </c>
      <c r="BM41" s="12">
        <v>42</v>
      </c>
      <c r="BN41" s="4">
        <v>54.547193698225655</v>
      </c>
      <c r="BO41" s="4">
        <v>52.404233576767645</v>
      </c>
      <c r="BP41" s="4">
        <v>42.676980523815445</v>
      </c>
      <c r="BQ41" s="4">
        <v>37.455499735841677</v>
      </c>
    </row>
    <row r="42" spans="2:69">
      <c r="B42" s="2">
        <v>34</v>
      </c>
      <c r="C42" s="4" t="str">
        <f t="shared" ca="1" si="4"/>
        <v>Milan</v>
      </c>
      <c r="D42" s="4" t="str">
        <f t="shared" ca="1" si="5"/>
        <v>Milan</v>
      </c>
      <c r="E42" s="4" t="str">
        <f t="shared" ca="1" si="6"/>
        <v>Dublin</v>
      </c>
      <c r="F42" s="4" t="str">
        <f t="shared" ca="1" si="7"/>
        <v>Kuala Lumpur</v>
      </c>
      <c r="H42" s="151" t="s">
        <v>570</v>
      </c>
      <c r="I42" s="193" t="str">
        <f>IFERROR(INDEX(指標マスタ[],MATCH($H42,指標マスタ['#],0),MATCH(I$8,指標マスタ[#Headers],0))&amp;"","")</f>
        <v/>
      </c>
      <c r="J42" s="193" t="str">
        <f>IFERROR(INDEX(指標マスタ[],MATCH($H42,指標マスタ['#],0),MATCH(J$8,指標マスタ[#Headers],0))&amp;"","")</f>
        <v/>
      </c>
      <c r="K42" s="193" t="str">
        <f>IFERROR(INDEX(指標マスタ[],MATCH($H42,指標マスタ['#],0),MATCH(K$8,指標マスタ[#Headers],0))&amp;"","")</f>
        <v>買物の魅力</v>
      </c>
      <c r="L42" s="11"/>
      <c r="M42" s="11"/>
      <c r="N42" s="11" t="s">
        <v>352</v>
      </c>
      <c r="O42" s="11" t="s">
        <v>354</v>
      </c>
      <c r="P42" s="3">
        <f t="shared" si="8"/>
        <v>0</v>
      </c>
      <c r="Q42" s="3">
        <f t="shared" si="9"/>
        <v>0</v>
      </c>
      <c r="R42" s="3">
        <f t="shared" si="10"/>
        <v>5</v>
      </c>
      <c r="S42" s="3">
        <f t="shared" si="11"/>
        <v>1</v>
      </c>
      <c r="U42" s="2">
        <v>34</v>
      </c>
      <c r="V42" s="83">
        <f>INDEX(順位表[Comprehensive],MATCH($W42,順位表['#],0))</f>
        <v>43</v>
      </c>
      <c r="W42" s="3">
        <v>34</v>
      </c>
      <c r="X42" s="1" t="str">
        <f>INDEX(都市マスタ[City Name],MATCH($W42,都市マスタ['#],0))</f>
        <v>Mexico City</v>
      </c>
      <c r="Y42" s="4">
        <f t="array" aca="1" ref="Y42" ca="1">SUMPRODUCT(INDIRECT("スコア!$H"&amp;MATCH($W42,スコア!$C:$C,0)&amp;":$BY"&amp;MATCH($W42,スコア!$C:$C,0)),TRANSPOSE(P$9:P$78))/P$5</f>
        <v>26.436386088781532</v>
      </c>
      <c r="Z42" s="4">
        <f t="array" aca="1" ref="Z42" ca="1">SUMPRODUCT(INDIRECT("スコア!$H"&amp;MATCH($W42,スコア!$C:$C,0)&amp;":$BY"&amp;MATCH($W42,スコア!$C:$C,0)),TRANSPOSE(Q$9:Q$78))/Q$5</f>
        <v>31.950149203742228</v>
      </c>
      <c r="AA42" s="4">
        <f t="array" aca="1" ref="AA42" ca="1">SUMPRODUCT(INDIRECT("スコア!$H"&amp;MATCH($W42,スコア!$C:$C,0)&amp;":$BY"&amp;MATCH($W42,スコア!$C:$C,0)),TRANSPOSE(R$9:R$78))/R$5</f>
        <v>38.80821394922453</v>
      </c>
      <c r="AB42" s="4">
        <f t="array" aca="1" ref="AB42" ca="1">SUMPRODUCT(INDIRECT("スコア!$H"&amp;MATCH($W42,スコア!$C:$C,0)&amp;":$BY"&amp;MATCH($W42,スコア!$C:$C,0)),TRANSPOSE(S$9:S$78))/S$5</f>
        <v>42.582981963230644</v>
      </c>
      <c r="AC42" s="12">
        <f t="shared" ca="1" si="12"/>
        <v>45</v>
      </c>
      <c r="AD42" s="12">
        <f t="shared" ca="1" si="13"/>
        <v>46</v>
      </c>
      <c r="AE42" s="12">
        <f t="shared" ca="1" si="14"/>
        <v>22</v>
      </c>
      <c r="AF42" s="12">
        <f t="shared" ca="1" si="15"/>
        <v>43</v>
      </c>
      <c r="AG42" s="4">
        <f t="shared" ca="1" si="16"/>
        <v>33.979482570713877</v>
      </c>
      <c r="AH42" s="4">
        <f t="shared" ca="1" si="17"/>
        <v>32.74818172571733</v>
      </c>
      <c r="AI42" s="4">
        <f t="shared" ca="1" si="18"/>
        <v>50.62109619235811</v>
      </c>
      <c r="AJ42" s="4">
        <f t="shared" ca="1" si="19"/>
        <v>37.109373977607426</v>
      </c>
      <c r="AL42" s="351">
        <v>34</v>
      </c>
      <c r="AM42" s="352" t="str">
        <f t="shared" ca="1" si="29"/>
        <v>Milan</v>
      </c>
      <c r="AN42" s="353">
        <f t="shared" ca="1" si="30"/>
        <v>37.529365665547836</v>
      </c>
      <c r="AO42" s="354">
        <f t="shared" ca="1" si="20"/>
        <v>1</v>
      </c>
      <c r="AP42" s="351">
        <v>34</v>
      </c>
      <c r="AQ42" s="352" t="str">
        <f t="shared" ca="1" si="31"/>
        <v>Milan</v>
      </c>
      <c r="AR42" s="352">
        <f t="shared" ca="1" si="21"/>
        <v>45.875446889234432</v>
      </c>
      <c r="AS42" s="354">
        <f t="shared" ca="1" si="22"/>
        <v>-7</v>
      </c>
      <c r="AT42" s="351">
        <v>34</v>
      </c>
      <c r="AU42" s="352" t="str">
        <f t="shared" ca="1" si="23"/>
        <v>Dublin</v>
      </c>
      <c r="AV42" s="352">
        <f t="shared" ca="1" si="24"/>
        <v>32.095581980738679</v>
      </c>
      <c r="AW42" s="354">
        <f t="shared" ca="1" si="25"/>
        <v>1</v>
      </c>
      <c r="AX42" s="351">
        <v>34</v>
      </c>
      <c r="AY42" s="352" t="str">
        <f t="shared" ca="1" si="26"/>
        <v>Kuala Lumpur</v>
      </c>
      <c r="AZ42" s="352">
        <f t="shared" ca="1" si="27"/>
        <v>48.360428203071173</v>
      </c>
      <c r="BA42" s="354">
        <f t="shared" ca="1" si="28"/>
        <v>3</v>
      </c>
      <c r="BC42" s="83">
        <v>44</v>
      </c>
      <c r="BD42" s="3">
        <v>34</v>
      </c>
      <c r="BE42" s="1" t="s">
        <v>170</v>
      </c>
      <c r="BF42" s="4">
        <v>23.256452685890221</v>
      </c>
      <c r="BG42" s="4">
        <v>30.53055790069779</v>
      </c>
      <c r="BH42" s="4">
        <v>41.18196716898963</v>
      </c>
      <c r="BI42" s="4">
        <v>43.466880124354056</v>
      </c>
      <c r="BJ42" s="12">
        <v>47</v>
      </c>
      <c r="BK42" s="12">
        <v>46</v>
      </c>
      <c r="BL42" s="12">
        <v>18</v>
      </c>
      <c r="BM42" s="12">
        <v>43</v>
      </c>
      <c r="BN42" s="4">
        <v>30.248668052189348</v>
      </c>
      <c r="BO42" s="4">
        <v>31.867027183717077</v>
      </c>
      <c r="BP42" s="4">
        <v>52.392199528175368</v>
      </c>
      <c r="BQ42" s="4">
        <v>36.707641452647401</v>
      </c>
    </row>
    <row r="43" spans="2:69">
      <c r="B43" s="2">
        <v>35</v>
      </c>
      <c r="C43" s="4" t="str">
        <f t="shared" ca="1" si="4"/>
        <v>Bangkok</v>
      </c>
      <c r="D43" s="4" t="str">
        <f t="shared" ca="1" si="5"/>
        <v>Osaka</v>
      </c>
      <c r="E43" s="4" t="str">
        <f t="shared" ca="1" si="6"/>
        <v>Vancouver</v>
      </c>
      <c r="F43" s="4" t="str">
        <f t="shared" ca="1" si="7"/>
        <v>Boston</v>
      </c>
      <c r="H43" s="151" t="s">
        <v>571</v>
      </c>
      <c r="I43" s="193" t="str">
        <f>IFERROR(INDEX(指標マスタ[],MATCH($H43,指標マスタ['#],0),MATCH(I$8,指標マスタ[#Headers],0))&amp;"","")</f>
        <v/>
      </c>
      <c r="J43" s="193" t="str">
        <f>IFERROR(INDEX(指標マスタ[],MATCH($H43,指標マスタ['#],0),MATCH(J$8,指標マスタ[#Headers],0))&amp;"","")</f>
        <v/>
      </c>
      <c r="K43" s="193" t="str">
        <f>IFERROR(INDEX(指標マスタ[],MATCH($H43,指標マスタ['#],0),MATCH(K$8,指標マスタ[#Headers],0))&amp;"","")</f>
        <v>食事の魅力</v>
      </c>
      <c r="L43" s="11"/>
      <c r="M43" s="11"/>
      <c r="N43" s="11" t="s">
        <v>352</v>
      </c>
      <c r="O43" s="11" t="s">
        <v>354</v>
      </c>
      <c r="P43" s="3">
        <f t="shared" si="8"/>
        <v>0</v>
      </c>
      <c r="Q43" s="3">
        <f t="shared" si="9"/>
        <v>0</v>
      </c>
      <c r="R43" s="3">
        <f t="shared" si="10"/>
        <v>5</v>
      </c>
      <c r="S43" s="3">
        <f t="shared" si="11"/>
        <v>1</v>
      </c>
      <c r="U43" s="2">
        <v>35</v>
      </c>
      <c r="V43" s="83">
        <f>INDEX(順位表[Comprehensive],MATCH($W43,順位表['#],0))</f>
        <v>25</v>
      </c>
      <c r="W43" s="3">
        <v>35</v>
      </c>
      <c r="X43" s="1" t="str">
        <f>INDEX(都市マスタ[City Name],MATCH($W43,都市マスタ['#],0))</f>
        <v>Chicago</v>
      </c>
      <c r="Y43" s="4">
        <f t="array" aca="1" ref="Y43" ca="1">SUMPRODUCT(INDIRECT("スコア!$H"&amp;MATCH($W43,スコア!$C:$C,0)&amp;":$BY"&amp;MATCH($W43,スコア!$C:$C,0)),TRANSPOSE(P$9:P$78))/P$5</f>
        <v>44.094504115241286</v>
      </c>
      <c r="Z43" s="4">
        <f t="array" aca="1" ref="Z43" ca="1">SUMPRODUCT(INDIRECT("スコア!$H"&amp;MATCH($W43,スコア!$C:$C,0)&amp;":$BY"&amp;MATCH($W43,スコア!$C:$C,0)),TRANSPOSE(Q$9:Q$78))/Q$5</f>
        <v>48.332155381240014</v>
      </c>
      <c r="AA43" s="4">
        <f t="array" aca="1" ref="AA43" ca="1">SUMPRODUCT(INDIRECT("スコア!$H"&amp;MATCH($W43,スコア!$C:$C,0)&amp;":$BY"&amp;MATCH($W43,スコア!$C:$C,0)),TRANSPOSE(R$9:R$78))/R$5</f>
        <v>32.514667352636785</v>
      </c>
      <c r="AB43" s="4">
        <f t="array" aca="1" ref="AB43" ca="1">SUMPRODUCT(INDIRECT("スコア!$H"&amp;MATCH($W43,スコア!$C:$C,0)&amp;":$BY"&amp;MATCH($W43,スコア!$C:$C,0)),TRANSPOSE(S$9:S$78))/S$5</f>
        <v>45.302788911882885</v>
      </c>
      <c r="AC43" s="12">
        <f t="shared" ca="1" si="12"/>
        <v>26</v>
      </c>
      <c r="AD43" s="12">
        <f t="shared" ca="1" si="13"/>
        <v>27</v>
      </c>
      <c r="AE43" s="12">
        <f t="shared" ca="1" si="14"/>
        <v>33</v>
      </c>
      <c r="AF43" s="12">
        <f t="shared" ca="1" si="15"/>
        <v>40</v>
      </c>
      <c r="AG43" s="4">
        <f t="shared" ca="1" si="16"/>
        <v>51.960476933918528</v>
      </c>
      <c r="AH43" s="4">
        <f t="shared" ca="1" si="17"/>
        <v>50.547582462950899</v>
      </c>
      <c r="AI43" s="4">
        <f t="shared" ca="1" si="18"/>
        <v>43.968449067213612</v>
      </c>
      <c r="AJ43" s="4">
        <f t="shared" ca="1" si="19"/>
        <v>40.606254911276082</v>
      </c>
      <c r="AL43" s="351">
        <v>35</v>
      </c>
      <c r="AM43" s="352" t="str">
        <f t="shared" ca="1" si="29"/>
        <v>Bangkok</v>
      </c>
      <c r="AN43" s="353">
        <f t="shared" ca="1" si="30"/>
        <v>36.770985047909782</v>
      </c>
      <c r="AO43" s="354">
        <f t="shared" ca="1" si="20"/>
        <v>3</v>
      </c>
      <c r="AP43" s="351">
        <v>35</v>
      </c>
      <c r="AQ43" s="352" t="str">
        <f t="shared" ca="1" si="31"/>
        <v>Osaka</v>
      </c>
      <c r="AR43" s="352">
        <f t="shared" ca="1" si="21"/>
        <v>44.479277276362225</v>
      </c>
      <c r="AS43" s="354">
        <f t="shared" ca="1" si="22"/>
        <v>-2</v>
      </c>
      <c r="AT43" s="351">
        <v>35</v>
      </c>
      <c r="AU43" s="352" t="str">
        <f t="shared" ca="1" si="23"/>
        <v>Vancouver</v>
      </c>
      <c r="AV43" s="352">
        <f t="shared" ca="1" si="24"/>
        <v>32.073597512778306</v>
      </c>
      <c r="AW43" s="354">
        <f t="shared" ca="1" si="25"/>
        <v>2</v>
      </c>
      <c r="AX43" s="351">
        <v>35</v>
      </c>
      <c r="AY43" s="352" t="str">
        <f t="shared" ca="1" si="26"/>
        <v>Boston</v>
      </c>
      <c r="AZ43" s="352">
        <f t="shared" ca="1" si="27"/>
        <v>47.731346275000007</v>
      </c>
      <c r="BA43" s="354">
        <f t="shared" ca="1" si="28"/>
        <v>-1</v>
      </c>
      <c r="BC43" s="83">
        <v>26</v>
      </c>
      <c r="BD43" s="3">
        <v>35</v>
      </c>
      <c r="BE43" s="1" t="s">
        <v>172</v>
      </c>
      <c r="BF43" s="4">
        <v>44.606946419915204</v>
      </c>
      <c r="BG43" s="4">
        <v>46.46338100127889</v>
      </c>
      <c r="BH43" s="4">
        <v>36.46677881099528</v>
      </c>
      <c r="BI43" s="4">
        <v>46.831304639027024</v>
      </c>
      <c r="BJ43" s="12">
        <v>25</v>
      </c>
      <c r="BK43" s="12">
        <v>31</v>
      </c>
      <c r="BL43" s="12">
        <v>28</v>
      </c>
      <c r="BM43" s="12">
        <v>41</v>
      </c>
      <c r="BN43" s="4">
        <v>52.351287115746111</v>
      </c>
      <c r="BO43" s="4">
        <v>48.959986024790901</v>
      </c>
      <c r="BP43" s="4">
        <v>47.269715534107384</v>
      </c>
      <c r="BQ43" s="4">
        <v>40.922758508346313</v>
      </c>
    </row>
    <row r="44" spans="2:69">
      <c r="B44" s="2">
        <v>36</v>
      </c>
      <c r="C44" s="4" t="str">
        <f t="shared" ca="1" si="4"/>
        <v>Taipei</v>
      </c>
      <c r="D44" s="4" t="str">
        <f t="shared" ca="1" si="5"/>
        <v>Kuala Lumpur</v>
      </c>
      <c r="E44" s="4" t="str">
        <f t="shared" ca="1" si="6"/>
        <v>Zurich</v>
      </c>
      <c r="F44" s="4" t="str">
        <f t="shared" ca="1" si="7"/>
        <v>Tel Aviv</v>
      </c>
      <c r="H44" s="151" t="s">
        <v>572</v>
      </c>
      <c r="I44" s="193" t="str">
        <f>IFERROR(INDEX(指標マスタ[],MATCH($H44,指標マスタ['#],0),MATCH(I$8,指標マスタ[#Headers],0))&amp;"","")</f>
        <v/>
      </c>
      <c r="J44" s="194" t="str">
        <f>IFERROR(INDEX(指標マスタ[],MATCH($H44,指標マスタ['#],0),MATCH(J$8,指標マスタ[#Headers],0))&amp;"","")</f>
        <v>外国人受入実績</v>
      </c>
      <c r="K44" s="193" t="str">
        <f>IFERROR(INDEX(指標マスタ[],MATCH($H44,指標マスタ['#],0),MATCH(K$8,指標マスタ[#Headers],0))&amp;"","")</f>
        <v>外国人居住者数</v>
      </c>
      <c r="L44" s="11" t="s">
        <v>354</v>
      </c>
      <c r="M44" s="11" t="s">
        <v>352</v>
      </c>
      <c r="N44" s="11"/>
      <c r="O44" s="11" t="s">
        <v>352</v>
      </c>
      <c r="P44" s="3">
        <f t="shared" si="8"/>
        <v>1</v>
      </c>
      <c r="Q44" s="3">
        <f t="shared" si="9"/>
        <v>5</v>
      </c>
      <c r="R44" s="3">
        <f t="shared" si="10"/>
        <v>0</v>
      </c>
      <c r="S44" s="3">
        <f t="shared" si="11"/>
        <v>5</v>
      </c>
      <c r="U44" s="2">
        <v>36</v>
      </c>
      <c r="V44" s="83">
        <f>INDEX(順位表[Comprehensive],MATCH($W44,順位表['#],0))</f>
        <v>23</v>
      </c>
      <c r="W44" s="3">
        <v>36</v>
      </c>
      <c r="X44" s="1" t="str">
        <f>INDEX(都市マスタ[City Name],MATCH($W44,都市マスタ['#],0))</f>
        <v>Toronto</v>
      </c>
      <c r="Y44" s="4">
        <f t="array" aca="1" ref="Y44" ca="1">SUMPRODUCT(INDIRECT("スコア!$H"&amp;MATCH($W44,スコア!$C:$C,0)&amp;":$BY"&amp;MATCH($W44,スコア!$C:$C,0)),TRANSPOSE(P$9:P$78))/P$5</f>
        <v>47.805340779966322</v>
      </c>
      <c r="Z44" s="4">
        <f t="array" aca="1" ref="Z44" ca="1">SUMPRODUCT(INDIRECT("スコア!$H"&amp;MATCH($W44,スコア!$C:$C,0)&amp;":$BY"&amp;MATCH($W44,スコア!$C:$C,0)),TRANSPOSE(Q$9:Q$78))/Q$5</f>
        <v>53.066851322868906</v>
      </c>
      <c r="AA44" s="4">
        <f t="array" aca="1" ref="AA44" ca="1">SUMPRODUCT(INDIRECT("スコア!$H"&amp;MATCH($W44,スコア!$C:$C,0)&amp;":$BY"&amp;MATCH($W44,スコア!$C:$C,0)),TRANSPOSE(R$9:R$78))/R$5</f>
        <v>36.053190917888685</v>
      </c>
      <c r="AB44" s="4">
        <f t="array" aca="1" ref="AB44" ca="1">SUMPRODUCT(INDIRECT("スコア!$H"&amp;MATCH($W44,スコア!$C:$C,0)&amp;":$BY"&amp;MATCH($W44,スコア!$C:$C,0)),TRANSPOSE(S$9:S$78))/S$5</f>
        <v>54.682645130639635</v>
      </c>
      <c r="AC44" s="12">
        <f t="shared" ca="1" si="12"/>
        <v>13</v>
      </c>
      <c r="AD44" s="12">
        <f t="shared" ca="1" si="13"/>
        <v>11</v>
      </c>
      <c r="AE44" s="12">
        <f t="shared" ca="1" si="14"/>
        <v>26</v>
      </c>
      <c r="AF44" s="12">
        <f t="shared" ca="1" si="15"/>
        <v>20</v>
      </c>
      <c r="AG44" s="4">
        <f t="shared" ca="1" si="16"/>
        <v>55.73916575292013</v>
      </c>
      <c r="AH44" s="4">
        <f t="shared" ca="1" si="17"/>
        <v>55.691931056212042</v>
      </c>
      <c r="AI44" s="4">
        <f t="shared" ca="1" si="18"/>
        <v>47.708875591805068</v>
      </c>
      <c r="AJ44" s="4">
        <f t="shared" ca="1" si="19"/>
        <v>52.666022751849297</v>
      </c>
      <c r="AL44" s="351">
        <v>36</v>
      </c>
      <c r="AM44" s="352" t="str">
        <f t="shared" ca="1" si="29"/>
        <v>Taipei</v>
      </c>
      <c r="AN44" s="353">
        <f t="shared" ca="1" si="30"/>
        <v>36.060569582439122</v>
      </c>
      <c r="AO44" s="354">
        <f t="shared" ca="1" si="20"/>
        <v>0</v>
      </c>
      <c r="AP44" s="351">
        <v>36</v>
      </c>
      <c r="AQ44" s="352" t="str">
        <f t="shared" ca="1" si="31"/>
        <v>Kuala Lumpur</v>
      </c>
      <c r="AR44" s="352">
        <f t="shared" ca="1" si="21"/>
        <v>42.432310265741123</v>
      </c>
      <c r="AS44" s="354">
        <f t="shared" ca="1" si="22"/>
        <v>-2</v>
      </c>
      <c r="AT44" s="351">
        <v>36</v>
      </c>
      <c r="AU44" s="352" t="str">
        <f t="shared" ca="1" si="23"/>
        <v>Zurich</v>
      </c>
      <c r="AV44" s="352">
        <f t="shared" ca="1" si="24"/>
        <v>30.707331548834912</v>
      </c>
      <c r="AW44" s="354">
        <f t="shared" ca="1" si="25"/>
        <v>2</v>
      </c>
      <c r="AX44" s="351">
        <v>36</v>
      </c>
      <c r="AY44" s="352" t="str">
        <f t="shared" ca="1" si="26"/>
        <v>Tel Aviv</v>
      </c>
      <c r="AZ44" s="352">
        <f t="shared" ca="1" si="27"/>
        <v>47.571651869523421</v>
      </c>
      <c r="BA44" s="354">
        <f t="shared" ca="1" si="28"/>
        <v>4</v>
      </c>
      <c r="BC44" s="83">
        <v>20</v>
      </c>
      <c r="BD44" s="3">
        <v>36</v>
      </c>
      <c r="BE44" s="1" t="s">
        <v>174</v>
      </c>
      <c r="BF44" s="4">
        <v>48.185494984647832</v>
      </c>
      <c r="BG44" s="4">
        <v>53.497848638813338</v>
      </c>
      <c r="BH44" s="4">
        <v>37.174903385550941</v>
      </c>
      <c r="BI44" s="4">
        <v>57.550692176746843</v>
      </c>
      <c r="BJ44" s="12">
        <v>12</v>
      </c>
      <c r="BK44" s="12">
        <v>12</v>
      </c>
      <c r="BL44" s="12">
        <v>26</v>
      </c>
      <c r="BM44" s="12">
        <v>19</v>
      </c>
      <c r="BN44" s="4">
        <v>56.05589913606083</v>
      </c>
      <c r="BO44" s="4">
        <v>56.506662783717374</v>
      </c>
      <c r="BP44" s="4">
        <v>48.039007558850699</v>
      </c>
      <c r="BQ44" s="4">
        <v>54.35253618349833</v>
      </c>
    </row>
    <row r="45" spans="2:69">
      <c r="B45" s="2">
        <v>37</v>
      </c>
      <c r="C45" s="4" t="str">
        <f t="shared" ca="1" si="4"/>
        <v>Kuala Lumpur</v>
      </c>
      <c r="D45" s="4" t="str">
        <f t="shared" ca="1" si="5"/>
        <v>Tel Aviv</v>
      </c>
      <c r="E45" s="4" t="str">
        <f t="shared" ca="1" si="6"/>
        <v>Los Angeles</v>
      </c>
      <c r="F45" s="4" t="str">
        <f t="shared" ca="1" si="7"/>
        <v>Sao Paulo</v>
      </c>
      <c r="H45" s="151" t="s">
        <v>573</v>
      </c>
      <c r="I45" s="193" t="str">
        <f>IFERROR(INDEX(指標マスタ[],MATCH($H45,指標マスタ['#],0),MATCH(I$8,指標マスタ[#Headers],0))&amp;"","")</f>
        <v/>
      </c>
      <c r="J45" s="194" t="str">
        <f>IFERROR(INDEX(指標マスタ[],MATCH($H45,指標マスタ['#],0),MATCH(J$8,指標マスタ[#Headers],0))&amp;"","")</f>
        <v/>
      </c>
      <c r="K45" s="193" t="str">
        <f>IFERROR(INDEX(指標マスタ[],MATCH($H45,指標マスタ['#],0),MATCH(K$8,指標マスタ[#Headers],0))&amp;"","")</f>
        <v>外国人訪問者数</v>
      </c>
      <c r="L45" s="11"/>
      <c r="M45" s="11"/>
      <c r="N45" s="11" t="s">
        <v>352</v>
      </c>
      <c r="O45" s="11"/>
      <c r="P45" s="3">
        <f t="shared" si="8"/>
        <v>0</v>
      </c>
      <c r="Q45" s="3">
        <f t="shared" si="9"/>
        <v>0</v>
      </c>
      <c r="R45" s="3">
        <f t="shared" si="10"/>
        <v>5</v>
      </c>
      <c r="S45" s="3">
        <f t="shared" si="11"/>
        <v>0</v>
      </c>
      <c r="U45" s="2">
        <v>37</v>
      </c>
      <c r="V45" s="83">
        <f>INDEX(順位表[Comprehensive],MATCH($W45,順位表['#],0))</f>
        <v>36</v>
      </c>
      <c r="W45" s="3">
        <v>37</v>
      </c>
      <c r="X45" s="1" t="str">
        <f>INDEX(都市マスタ[City Name],MATCH($W45,都市マスタ['#],0))</f>
        <v>Washington, DC</v>
      </c>
      <c r="Y45" s="4">
        <f t="array" aca="1" ref="Y45" ca="1">SUMPRODUCT(INDIRECT("スコア!$H"&amp;MATCH($W45,スコア!$C:$C,0)&amp;":$BY"&amp;MATCH($W45,スコア!$C:$C,0)),TRANSPOSE(P$9:P$78))/P$5</f>
        <v>46.959300605979351</v>
      </c>
      <c r="Z45" s="4">
        <f t="array" aca="1" ref="Z45" ca="1">SUMPRODUCT(INDIRECT("スコア!$H"&amp;MATCH($W45,スコア!$C:$C,0)&amp;":$BY"&amp;MATCH($W45,スコア!$C:$C,0)),TRANSPOSE(Q$9:Q$78))/Q$5</f>
        <v>48.306586644605552</v>
      </c>
      <c r="AA45" s="4">
        <f t="array" aca="1" ref="AA45" ca="1">SUMPRODUCT(INDIRECT("スコア!$H"&amp;MATCH($W45,スコア!$C:$C,0)&amp;":$BY"&amp;MATCH($W45,スコア!$C:$C,0)),TRANSPOSE(R$9:R$78))/R$5</f>
        <v>26.069177288333965</v>
      </c>
      <c r="AB45" s="4">
        <f t="array" aca="1" ref="AB45" ca="1">SUMPRODUCT(INDIRECT("スコア!$H"&amp;MATCH($W45,スコア!$C:$C,0)&amp;":$BY"&amp;MATCH($W45,スコア!$C:$C,0)),TRANSPOSE(S$9:S$78))/S$5</f>
        <v>46.557935317912616</v>
      </c>
      <c r="AC45" s="12">
        <f t="shared" ca="1" si="12"/>
        <v>17</v>
      </c>
      <c r="AD45" s="12">
        <f t="shared" ca="1" si="13"/>
        <v>28</v>
      </c>
      <c r="AE45" s="12">
        <f t="shared" ca="1" si="14"/>
        <v>47</v>
      </c>
      <c r="AF45" s="12">
        <f t="shared" ca="1" si="15"/>
        <v>39</v>
      </c>
      <c r="AG45" s="4">
        <f t="shared" ca="1" si="16"/>
        <v>54.877655847011184</v>
      </c>
      <c r="AH45" s="4">
        <f t="shared" ca="1" si="17"/>
        <v>50.519801482723537</v>
      </c>
      <c r="AI45" s="4">
        <f t="shared" ca="1" si="18"/>
        <v>37.155188803171058</v>
      </c>
      <c r="AJ45" s="4">
        <f t="shared" ca="1" si="19"/>
        <v>42.22000824710863</v>
      </c>
      <c r="AL45" s="351">
        <v>37</v>
      </c>
      <c r="AM45" s="352" t="str">
        <f t="shared" ca="1" si="29"/>
        <v>Kuala Lumpur</v>
      </c>
      <c r="AN45" s="353">
        <f t="shared" ca="1" si="30"/>
        <v>35.751355272138042</v>
      </c>
      <c r="AO45" s="354">
        <f t="shared" ca="1" si="20"/>
        <v>-3</v>
      </c>
      <c r="AP45" s="351">
        <v>37</v>
      </c>
      <c r="AQ45" s="352" t="str">
        <f t="shared" ca="1" si="31"/>
        <v>Tel Aviv</v>
      </c>
      <c r="AR45" s="352">
        <f t="shared" ca="1" si="21"/>
        <v>41.93926202260112</v>
      </c>
      <c r="AS45" s="354">
        <f t="shared" ca="1" si="22"/>
        <v>-2</v>
      </c>
      <c r="AT45" s="351">
        <v>37</v>
      </c>
      <c r="AU45" s="352" t="str">
        <f t="shared" ca="1" si="23"/>
        <v>Los Angeles</v>
      </c>
      <c r="AV45" s="352">
        <f t="shared" ca="1" si="24"/>
        <v>29.788768634128289</v>
      </c>
      <c r="AW45" s="354">
        <f t="shared" ca="1" si="25"/>
        <v>-3</v>
      </c>
      <c r="AX45" s="351">
        <v>37</v>
      </c>
      <c r="AY45" s="352" t="str">
        <f t="shared" ca="1" si="26"/>
        <v>Sao Paulo</v>
      </c>
      <c r="AZ45" s="352">
        <f t="shared" ca="1" si="27"/>
        <v>47.347074661994604</v>
      </c>
      <c r="BA45" s="354">
        <f t="shared" ca="1" si="28"/>
        <v>2</v>
      </c>
      <c r="BC45" s="83">
        <v>37</v>
      </c>
      <c r="BD45" s="3">
        <v>37</v>
      </c>
      <c r="BE45" s="1" t="s">
        <v>373</v>
      </c>
      <c r="BF45" s="4">
        <v>47.130480556665212</v>
      </c>
      <c r="BG45" s="4">
        <v>45.901050480336671</v>
      </c>
      <c r="BH45" s="4">
        <v>30.705599222766981</v>
      </c>
      <c r="BI45" s="4">
        <v>48.798124495313516</v>
      </c>
      <c r="BJ45" s="12">
        <v>16</v>
      </c>
      <c r="BK45" s="12">
        <v>32</v>
      </c>
      <c r="BL45" s="12">
        <v>41</v>
      </c>
      <c r="BM45" s="12">
        <v>36</v>
      </c>
      <c r="BN45" s="4">
        <v>54.963719147216139</v>
      </c>
      <c r="BO45" s="4">
        <v>48.35670985779484</v>
      </c>
      <c r="BP45" s="4">
        <v>41.010888105163765</v>
      </c>
      <c r="BQ45" s="4">
        <v>43.386887480645854</v>
      </c>
    </row>
    <row r="46" spans="2:69">
      <c r="B46" s="2">
        <v>38</v>
      </c>
      <c r="C46" s="4" t="str">
        <f t="shared" ca="1" si="4"/>
        <v>Osaka</v>
      </c>
      <c r="D46" s="4" t="str">
        <f t="shared" ca="1" si="5"/>
        <v>Bangkok</v>
      </c>
      <c r="E46" s="4" t="str">
        <f t="shared" ca="1" si="6"/>
        <v>Cairo</v>
      </c>
      <c r="F46" s="4" t="str">
        <f t="shared" ca="1" si="7"/>
        <v>Istanbul</v>
      </c>
      <c r="H46" s="158" t="s">
        <v>574</v>
      </c>
      <c r="I46" s="199" t="str">
        <f>IFERROR(INDEX(指標マスタ[],MATCH($H46,指標マスタ['#],0),MATCH(I$8,指標マスタ[#Headers],0))&amp;"","")</f>
        <v>居住</v>
      </c>
      <c r="J46" s="199" t="str">
        <f>IFERROR(INDEX(指標マスタ[],MATCH($H46,指標マスタ['#],0),MATCH(J$8,指標マスタ[#Headers],0))&amp;"","")</f>
        <v>就業環境</v>
      </c>
      <c r="K46" s="199" t="str">
        <f>IFERROR(INDEX(指標マスタ[],MATCH($H46,指標マスタ['#],0),MATCH(K$8,指標マスタ[#Headers],0))&amp;"","")</f>
        <v>完全失業率の低さ</v>
      </c>
      <c r="L46" s="11" t="s">
        <v>354</v>
      </c>
      <c r="M46" s="11" t="s">
        <v>352</v>
      </c>
      <c r="N46" s="11"/>
      <c r="O46" s="11" t="s">
        <v>354</v>
      </c>
      <c r="P46" s="3">
        <f t="shared" si="8"/>
        <v>1</v>
      </c>
      <c r="Q46" s="3">
        <f t="shared" si="9"/>
        <v>5</v>
      </c>
      <c r="R46" s="3">
        <f t="shared" si="10"/>
        <v>0</v>
      </c>
      <c r="S46" s="3">
        <f t="shared" si="11"/>
        <v>1</v>
      </c>
      <c r="U46" s="2">
        <v>38</v>
      </c>
      <c r="V46" s="83">
        <f>INDEX(順位表[Comprehensive],MATCH($W46,順位表['#],0))</f>
        <v>2</v>
      </c>
      <c r="W46" s="3">
        <v>38</v>
      </c>
      <c r="X46" s="1" t="str">
        <f>INDEX(都市マスタ[City Name],MATCH($W46,都市マスタ['#],0))</f>
        <v>New York</v>
      </c>
      <c r="Y46" s="4">
        <f t="array" aca="1" ref="Y46" ca="1">SUMPRODUCT(INDIRECT("スコア!$H"&amp;MATCH($W46,スコア!$C:$C,0)&amp;":$BY"&amp;MATCH($W46,スコア!$C:$C,0)),TRANSPOSE(P$9:P$78))/P$5</f>
        <v>60.195540887621746</v>
      </c>
      <c r="Z46" s="4">
        <f t="array" aca="1" ref="Z46" ca="1">SUMPRODUCT(INDIRECT("スコア!$H"&amp;MATCH($W46,スコア!$C:$C,0)&amp;":$BY"&amp;MATCH($W46,スコア!$C:$C,0)),TRANSPOSE(Q$9:Q$78))/Q$5</f>
        <v>64.048170050129997</v>
      </c>
      <c r="AA46" s="4">
        <f t="array" aca="1" ref="AA46" ca="1">SUMPRODUCT(INDIRECT("スコア!$H"&amp;MATCH($W46,スコア!$C:$C,0)&amp;":$BY"&amp;MATCH($W46,スコア!$C:$C,0)),TRANSPOSE(R$9:R$78))/R$5</f>
        <v>51.301673351467919</v>
      </c>
      <c r="AB46" s="4">
        <f t="array" aca="1" ref="AB46" ca="1">SUMPRODUCT(INDIRECT("スコア!$H"&amp;MATCH($W46,スコア!$C:$C,0)&amp;":$BY"&amp;MATCH($W46,スコア!$C:$C,0)),TRANSPOSE(S$9:S$78))/S$5</f>
        <v>51.784187806306306</v>
      </c>
      <c r="AC46" s="12">
        <f t="shared" ca="1" si="12"/>
        <v>2</v>
      </c>
      <c r="AD46" s="12">
        <f t="shared" ca="1" si="13"/>
        <v>2</v>
      </c>
      <c r="AE46" s="12">
        <f t="shared" ca="1" si="14"/>
        <v>6</v>
      </c>
      <c r="AF46" s="12">
        <f t="shared" ca="1" si="15"/>
        <v>31</v>
      </c>
      <c r="AG46" s="4">
        <f t="shared" ca="1" si="16"/>
        <v>68.355919019655218</v>
      </c>
      <c r="AH46" s="4">
        <f t="shared" ca="1" si="17"/>
        <v>67.623369155551288</v>
      </c>
      <c r="AI46" s="4">
        <f t="shared" ca="1" si="18"/>
        <v>63.827414045078427</v>
      </c>
      <c r="AJ46" s="4">
        <f t="shared" ca="1" si="19"/>
        <v>48.939449378861916</v>
      </c>
      <c r="AL46" s="351">
        <v>38</v>
      </c>
      <c r="AM46" s="352" t="str">
        <f t="shared" ca="1" si="29"/>
        <v>Osaka</v>
      </c>
      <c r="AN46" s="353">
        <f t="shared" ca="1" si="30"/>
        <v>32.954324188454351</v>
      </c>
      <c r="AO46" s="354">
        <f t="shared" ca="1" si="20"/>
        <v>-1</v>
      </c>
      <c r="AP46" s="351">
        <v>38</v>
      </c>
      <c r="AQ46" s="352" t="str">
        <f t="shared" ca="1" si="31"/>
        <v>Bangkok</v>
      </c>
      <c r="AR46" s="352">
        <f t="shared" ca="1" si="21"/>
        <v>41.515701641349999</v>
      </c>
      <c r="AS46" s="354">
        <f t="shared" ca="1" si="22"/>
        <v>2</v>
      </c>
      <c r="AT46" s="351">
        <v>38</v>
      </c>
      <c r="AU46" s="352" t="str">
        <f t="shared" ca="1" si="23"/>
        <v>Cairo</v>
      </c>
      <c r="AV46" s="352">
        <f t="shared" ca="1" si="24"/>
        <v>29.370460595464156</v>
      </c>
      <c r="AW46" s="354">
        <f t="shared" ca="1" si="25"/>
        <v>2</v>
      </c>
      <c r="AX46" s="351">
        <v>38</v>
      </c>
      <c r="AY46" s="352" t="str">
        <f t="shared" ca="1" si="26"/>
        <v>Istanbul</v>
      </c>
      <c r="AZ46" s="352">
        <f t="shared" ca="1" si="27"/>
        <v>46.982373006615312</v>
      </c>
      <c r="BA46" s="354">
        <f t="shared" ca="1" si="28"/>
        <v>0</v>
      </c>
      <c r="BC46" s="83">
        <v>2</v>
      </c>
      <c r="BD46" s="3">
        <v>38</v>
      </c>
      <c r="BE46" s="1" t="s">
        <v>178</v>
      </c>
      <c r="BF46" s="4">
        <v>59.887464608425006</v>
      </c>
      <c r="BG46" s="4">
        <v>61.106853757637772</v>
      </c>
      <c r="BH46" s="4">
        <v>52.73261423180471</v>
      </c>
      <c r="BI46" s="4">
        <v>53.969186580774782</v>
      </c>
      <c r="BJ46" s="12">
        <v>2</v>
      </c>
      <c r="BK46" s="12">
        <v>3</v>
      </c>
      <c r="BL46" s="12">
        <v>4</v>
      </c>
      <c r="BM46" s="12">
        <v>25</v>
      </c>
      <c r="BN46" s="4">
        <v>68.170100339542785</v>
      </c>
      <c r="BO46" s="4">
        <v>64.6697115100189</v>
      </c>
      <c r="BP46" s="4">
        <v>64.940585766040584</v>
      </c>
      <c r="BQ46" s="4">
        <v>49.865449236882625</v>
      </c>
    </row>
    <row r="47" spans="2:69">
      <c r="B47" s="2">
        <v>39</v>
      </c>
      <c r="C47" s="4" t="str">
        <f t="shared" ca="1" si="4"/>
        <v>Istanbul</v>
      </c>
      <c r="D47" s="4" t="str">
        <f t="shared" ca="1" si="5"/>
        <v>Fukuoka</v>
      </c>
      <c r="E47" s="4" t="str">
        <f t="shared" ca="1" si="6"/>
        <v>Taipei</v>
      </c>
      <c r="F47" s="4" t="str">
        <f t="shared" ca="1" si="7"/>
        <v>Washington, DC</v>
      </c>
      <c r="H47" s="158" t="s">
        <v>575</v>
      </c>
      <c r="I47" s="199" t="str">
        <f>IFERROR(INDEX(指標マスタ[],MATCH($H47,指標マスタ['#],0),MATCH(I$8,指標マスタ[#Headers],0))&amp;"","")</f>
        <v/>
      </c>
      <c r="J47" s="199" t="str">
        <f>IFERROR(INDEX(指標マスタ[],MATCH($H47,指標マスタ['#],0),MATCH(J$8,指標マスタ[#Headers],0))&amp;"","")</f>
        <v/>
      </c>
      <c r="K47" s="199" t="str">
        <f>IFERROR(INDEX(指標マスタ[],MATCH($H47,指標マスタ['#],0),MATCH(K$8,指標マスタ[#Headers],0))&amp;"","")</f>
        <v>1人あたりの総労働時間の短さ</v>
      </c>
      <c r="L47" s="11" t="s">
        <v>354</v>
      </c>
      <c r="M47" s="11" t="s">
        <v>352</v>
      </c>
      <c r="N47" s="11"/>
      <c r="O47" s="11" t="s">
        <v>354</v>
      </c>
      <c r="P47" s="3">
        <f t="shared" si="8"/>
        <v>1</v>
      </c>
      <c r="Q47" s="3">
        <f t="shared" si="9"/>
        <v>5</v>
      </c>
      <c r="R47" s="3">
        <f t="shared" si="10"/>
        <v>0</v>
      </c>
      <c r="S47" s="3">
        <f t="shared" si="11"/>
        <v>1</v>
      </c>
      <c r="U47" s="2">
        <v>39</v>
      </c>
      <c r="V47" s="83">
        <f>INDEX(順位表[Comprehensive],MATCH($W47,順位表['#],0))</f>
        <v>29</v>
      </c>
      <c r="W47" s="3">
        <v>39</v>
      </c>
      <c r="X47" s="1" t="str">
        <f>INDEX(都市マスタ[City Name],MATCH($W47,都市マスタ['#],0))</f>
        <v>Boston</v>
      </c>
      <c r="Y47" s="4">
        <f t="array" aca="1" ref="Y47" ca="1">SUMPRODUCT(INDIRECT("スコア!$H"&amp;MATCH($W47,スコア!$C:$C,0)&amp;":$BY"&amp;MATCH($W47,スコア!$C:$C,0)),TRANSPOSE(P$9:P$78))/P$5</f>
        <v>46.767678771759776</v>
      </c>
      <c r="Z47" s="4">
        <f t="array" aca="1" ref="Z47" ca="1">SUMPRODUCT(INDIRECT("スコア!$H"&amp;MATCH($W47,スコア!$C:$C,0)&amp;":$BY"&amp;MATCH($W47,スコア!$C:$C,0)),TRANSPOSE(Q$9:Q$78))/Q$5</f>
        <v>49.87953932837334</v>
      </c>
      <c r="AA47" s="4">
        <f t="array" aca="1" ref="AA47" ca="1">SUMPRODUCT(INDIRECT("スコア!$H"&amp;MATCH($W47,スコア!$C:$C,0)&amp;":$BY"&amp;MATCH($W47,スコア!$C:$C,0)),TRANSPOSE(R$9:R$78))/R$5</f>
        <v>27.951185496818862</v>
      </c>
      <c r="AB47" s="4">
        <f t="array" aca="1" ref="AB47" ca="1">SUMPRODUCT(INDIRECT("スコア!$H"&amp;MATCH($W47,スコア!$C:$C,0)&amp;":$BY"&amp;MATCH($W47,スコア!$C:$C,0)),TRANSPOSE(S$9:S$78))/S$5</f>
        <v>47.731346275000007</v>
      </c>
      <c r="AC47" s="12">
        <f t="shared" ca="1" si="12"/>
        <v>18</v>
      </c>
      <c r="AD47" s="12">
        <f t="shared" ca="1" si="13"/>
        <v>22</v>
      </c>
      <c r="AE47" s="12">
        <f t="shared" ca="1" si="14"/>
        <v>41</v>
      </c>
      <c r="AF47" s="12">
        <f t="shared" ca="1" si="15"/>
        <v>35</v>
      </c>
      <c r="AG47" s="4">
        <f t="shared" ca="1" si="16"/>
        <v>54.682530233069414</v>
      </c>
      <c r="AH47" s="4">
        <f t="shared" ca="1" si="17"/>
        <v>52.228848278075574</v>
      </c>
      <c r="AI47" s="4">
        <f t="shared" ca="1" si="18"/>
        <v>39.144581636849878</v>
      </c>
      <c r="AJ47" s="4">
        <f t="shared" ca="1" si="19"/>
        <v>43.728673560736901</v>
      </c>
      <c r="AL47" s="351">
        <v>39</v>
      </c>
      <c r="AM47" s="352" t="str">
        <f t="shared" ca="1" si="29"/>
        <v>Istanbul</v>
      </c>
      <c r="AN47" s="353">
        <f t="shared" ca="1" si="30"/>
        <v>32.550237795516288</v>
      </c>
      <c r="AO47" s="354">
        <f t="shared" ca="1" si="20"/>
        <v>3</v>
      </c>
      <c r="AP47" s="351">
        <v>39</v>
      </c>
      <c r="AQ47" s="352" t="str">
        <f t="shared" ca="1" si="31"/>
        <v>Fukuoka</v>
      </c>
      <c r="AR47" s="352">
        <f t="shared" ca="1" si="21"/>
        <v>39.633622828091113</v>
      </c>
      <c r="AS47" s="354">
        <f t="shared" ca="1" si="22"/>
        <v>-3</v>
      </c>
      <c r="AT47" s="351">
        <v>39</v>
      </c>
      <c r="AU47" s="352" t="str">
        <f t="shared" ca="1" si="23"/>
        <v>Taipei</v>
      </c>
      <c r="AV47" s="352">
        <f t="shared" ca="1" si="24"/>
        <v>28.55363361807925</v>
      </c>
      <c r="AW47" s="354">
        <f t="shared" ca="1" si="25"/>
        <v>4</v>
      </c>
      <c r="AX47" s="351">
        <v>39</v>
      </c>
      <c r="AY47" s="352" t="str">
        <f t="shared" ca="1" si="26"/>
        <v>Washington, DC</v>
      </c>
      <c r="AZ47" s="352">
        <f t="shared" ca="1" si="27"/>
        <v>46.557935317912616</v>
      </c>
      <c r="BA47" s="354">
        <f t="shared" ca="1" si="28"/>
        <v>-3</v>
      </c>
      <c r="BC47" s="83">
        <v>27</v>
      </c>
      <c r="BD47" s="3">
        <v>39</v>
      </c>
      <c r="BE47" s="1" t="s">
        <v>180</v>
      </c>
      <c r="BF47" s="4">
        <v>45.73553866092935</v>
      </c>
      <c r="BG47" s="4">
        <v>46.971486700865547</v>
      </c>
      <c r="BH47" s="4">
        <v>32.784005949833031</v>
      </c>
      <c r="BI47" s="4">
        <v>50.729418956572964</v>
      </c>
      <c r="BJ47" s="12">
        <v>22</v>
      </c>
      <c r="BK47" s="12">
        <v>30</v>
      </c>
      <c r="BL47" s="12">
        <v>32</v>
      </c>
      <c r="BM47" s="12">
        <v>34</v>
      </c>
      <c r="BN47" s="4">
        <v>53.519636882827534</v>
      </c>
      <c r="BO47" s="4">
        <v>49.505089033537232</v>
      </c>
      <c r="BP47" s="4">
        <v>43.2688265763827</v>
      </c>
      <c r="BQ47" s="4">
        <v>45.806508484989543</v>
      </c>
    </row>
    <row r="48" spans="2:69">
      <c r="B48" s="2">
        <v>40</v>
      </c>
      <c r="C48" s="4" t="str">
        <f t="shared" ca="1" si="4"/>
        <v>Moscow</v>
      </c>
      <c r="D48" s="4" t="str">
        <f t="shared" ca="1" si="5"/>
        <v>Moscow</v>
      </c>
      <c r="E48" s="4" t="str">
        <f t="shared" ca="1" si="6"/>
        <v>Geneva</v>
      </c>
      <c r="F48" s="4" t="str">
        <f t="shared" ca="1" si="7"/>
        <v>Chicago</v>
      </c>
      <c r="H48" s="158" t="s">
        <v>576</v>
      </c>
      <c r="I48" s="199" t="str">
        <f>IFERROR(INDEX(指標マスタ[],MATCH($H48,指標マスタ['#],0),MATCH(I$8,指標マスタ[#Headers],0))&amp;"","")</f>
        <v/>
      </c>
      <c r="J48" s="199" t="str">
        <f>IFERROR(INDEX(指標マスタ[],MATCH($H48,指標マスタ['#],0),MATCH(J$8,指標マスタ[#Headers],0))&amp;"","")</f>
        <v/>
      </c>
      <c r="K48" s="199" t="str">
        <f>IFERROR(INDEX(指標マスタ[],MATCH($H48,指標マスタ['#],0),MATCH(K$8,指標マスタ[#Headers],0))&amp;"","")</f>
        <v>働き方の柔軟性</v>
      </c>
      <c r="L48" s="11" t="s">
        <v>354</v>
      </c>
      <c r="M48" s="11" t="s">
        <v>352</v>
      </c>
      <c r="N48" s="11"/>
      <c r="O48" s="11" t="s">
        <v>354</v>
      </c>
      <c r="P48" s="3">
        <f t="shared" si="8"/>
        <v>1</v>
      </c>
      <c r="Q48" s="3">
        <f t="shared" si="9"/>
        <v>5</v>
      </c>
      <c r="R48" s="3">
        <f t="shared" si="10"/>
        <v>0</v>
      </c>
      <c r="S48" s="3">
        <f t="shared" si="11"/>
        <v>1</v>
      </c>
      <c r="U48" s="2">
        <v>40</v>
      </c>
      <c r="V48" s="83">
        <f>INDEX(順位表[Comprehensive],MATCH($W48,順位表['#],0))</f>
        <v>39</v>
      </c>
      <c r="W48" s="3">
        <v>40</v>
      </c>
      <c r="X48" s="1" t="str">
        <f>INDEX(都市マスタ[City Name],MATCH($W48,都市マスタ['#],0))</f>
        <v>Sao Paulo</v>
      </c>
      <c r="Y48" s="4">
        <f t="array" aca="1" ref="Y48" ca="1">SUMPRODUCT(INDIRECT("スコア!$H"&amp;MATCH($W48,スコア!$C:$C,0)&amp;":$BY"&amp;MATCH($W48,スコア!$C:$C,0)),TRANSPOSE(P$9:P$78))/P$5</f>
        <v>29.251867875079341</v>
      </c>
      <c r="Z48" s="4">
        <f t="array" aca="1" ref="Z48" ca="1">SUMPRODUCT(INDIRECT("スコア!$H"&amp;MATCH($W48,スコア!$C:$C,0)&amp;":$BY"&amp;MATCH($W48,スコア!$C:$C,0)),TRANSPOSE(Q$9:Q$78))/Q$5</f>
        <v>38.585275196983325</v>
      </c>
      <c r="AA48" s="4">
        <f t="array" aca="1" ref="AA48" ca="1">SUMPRODUCT(INDIRECT("スコア!$H"&amp;MATCH($W48,スコア!$C:$C,0)&amp;":$BY"&amp;MATCH($W48,スコア!$C:$C,0)),TRANSPOSE(R$9:R$78))/R$5</f>
        <v>37.967585544310388</v>
      </c>
      <c r="AB48" s="4">
        <f t="array" aca="1" ref="AB48" ca="1">SUMPRODUCT(INDIRECT("スコア!$H"&amp;MATCH($W48,スコア!$C:$C,0)&amp;":$BY"&amp;MATCH($W48,スコア!$C:$C,0)),TRANSPOSE(S$9:S$78))/S$5</f>
        <v>47.347074661994604</v>
      </c>
      <c r="AC48" s="12">
        <f t="shared" ca="1" si="12"/>
        <v>43</v>
      </c>
      <c r="AD48" s="12">
        <f t="shared" ca="1" si="13"/>
        <v>41</v>
      </c>
      <c r="AE48" s="12">
        <f t="shared" ca="1" si="14"/>
        <v>23</v>
      </c>
      <c r="AF48" s="12">
        <f t="shared" ca="1" si="15"/>
        <v>37</v>
      </c>
      <c r="AG48" s="4">
        <f t="shared" ca="1" si="16"/>
        <v>36.846445066562367</v>
      </c>
      <c r="AH48" s="4">
        <f t="shared" ca="1" si="17"/>
        <v>39.957388291513666</v>
      </c>
      <c r="AI48" s="4">
        <f t="shared" ca="1" si="18"/>
        <v>49.732502764878127</v>
      </c>
      <c r="AJ48" s="4">
        <f t="shared" ca="1" si="19"/>
        <v>43.234611995987038</v>
      </c>
      <c r="AL48" s="351">
        <v>40</v>
      </c>
      <c r="AM48" s="352" t="str">
        <f t="shared" ca="1" si="29"/>
        <v>Moscow</v>
      </c>
      <c r="AN48" s="353">
        <f t="shared" ca="1" si="30"/>
        <v>29.892512574978255</v>
      </c>
      <c r="AO48" s="354">
        <f t="shared" ca="1" si="20"/>
        <v>1</v>
      </c>
      <c r="AP48" s="351">
        <v>40</v>
      </c>
      <c r="AQ48" s="352" t="str">
        <f t="shared" ca="1" si="31"/>
        <v>Moscow</v>
      </c>
      <c r="AR48" s="352">
        <f t="shared" ca="1" si="21"/>
        <v>39.017339220650008</v>
      </c>
      <c r="AS48" s="354">
        <f t="shared" ca="1" si="22"/>
        <v>-1</v>
      </c>
      <c r="AT48" s="351">
        <v>40</v>
      </c>
      <c r="AU48" s="352" t="str">
        <f t="shared" ca="1" si="23"/>
        <v>Geneva</v>
      </c>
      <c r="AV48" s="352">
        <f t="shared" ca="1" si="24"/>
        <v>28.199738139858496</v>
      </c>
      <c r="AW48" s="354">
        <f t="shared" ca="1" si="25"/>
        <v>6</v>
      </c>
      <c r="AX48" s="351">
        <v>40</v>
      </c>
      <c r="AY48" s="352" t="str">
        <f t="shared" ca="1" si="26"/>
        <v>Chicago</v>
      </c>
      <c r="AZ48" s="352">
        <f t="shared" ca="1" si="27"/>
        <v>45.302788911882885</v>
      </c>
      <c r="BA48" s="354">
        <f t="shared" ca="1" si="28"/>
        <v>1</v>
      </c>
      <c r="BC48" s="83">
        <v>43</v>
      </c>
      <c r="BD48" s="3">
        <v>40</v>
      </c>
      <c r="BE48" s="1" t="s">
        <v>182</v>
      </c>
      <c r="BF48" s="4">
        <v>28.469805144857606</v>
      </c>
      <c r="BG48" s="4">
        <v>37.306091314714443</v>
      </c>
      <c r="BH48" s="4">
        <v>40.681982274687734</v>
      </c>
      <c r="BI48" s="4">
        <v>47.656792546690987</v>
      </c>
      <c r="BJ48" s="12">
        <v>43</v>
      </c>
      <c r="BK48" s="12">
        <v>43</v>
      </c>
      <c r="BL48" s="12">
        <v>20</v>
      </c>
      <c r="BM48" s="12">
        <v>39</v>
      </c>
      <c r="BN48" s="4">
        <v>35.645674083060662</v>
      </c>
      <c r="BO48" s="4">
        <v>39.13591563123164</v>
      </c>
      <c r="BP48" s="4">
        <v>51.849026186225004</v>
      </c>
      <c r="BQ48" s="4">
        <v>41.956970494287035</v>
      </c>
    </row>
    <row r="49" spans="2:69">
      <c r="B49" s="2">
        <v>41</v>
      </c>
      <c r="C49" s="4" t="str">
        <f t="shared" ca="1" si="4"/>
        <v>Fukuoka</v>
      </c>
      <c r="D49" s="4" t="str">
        <f t="shared" ca="1" si="5"/>
        <v>Sao Paulo</v>
      </c>
      <c r="E49" s="4" t="str">
        <f t="shared" ca="1" si="6"/>
        <v>Boston</v>
      </c>
      <c r="F49" s="4" t="str">
        <f t="shared" ca="1" si="7"/>
        <v>San Francisco</v>
      </c>
      <c r="H49" s="158" t="s">
        <v>577</v>
      </c>
      <c r="I49" s="199" t="str">
        <f>IFERROR(INDEX(指標マスタ[],MATCH($H49,指標マスタ['#],0),MATCH(I$8,指標マスタ[#Headers],0))&amp;"","")</f>
        <v/>
      </c>
      <c r="J49" s="199" t="str">
        <f>IFERROR(INDEX(指標マスタ[],MATCH($H49,指標マスタ['#],0),MATCH(J$8,指標マスタ[#Headers],0))&amp;"","")</f>
        <v>居住コスト</v>
      </c>
      <c r="K49" s="199" t="str">
        <f>IFERROR(INDEX(指標マスタ[],MATCH($H49,指標マスタ['#],0),MATCH(K$8,指標マスタ[#Headers],0))&amp;"","")</f>
        <v>住宅賃料水準の低さ</v>
      </c>
      <c r="L49" s="11"/>
      <c r="M49" s="11" t="s">
        <v>354</v>
      </c>
      <c r="N49" s="11"/>
      <c r="O49" s="11" t="s">
        <v>352</v>
      </c>
      <c r="P49" s="3">
        <f t="shared" si="8"/>
        <v>0</v>
      </c>
      <c r="Q49" s="3">
        <f t="shared" si="9"/>
        <v>1</v>
      </c>
      <c r="R49" s="3">
        <f t="shared" si="10"/>
        <v>0</v>
      </c>
      <c r="S49" s="3">
        <f t="shared" si="11"/>
        <v>5</v>
      </c>
      <c r="U49" s="2">
        <v>41</v>
      </c>
      <c r="V49" s="83">
        <f>INDEX(順位表[Comprehensive],MATCH($W49,順位表['#],0))</f>
        <v>46</v>
      </c>
      <c r="W49" s="3">
        <v>41</v>
      </c>
      <c r="X49" s="1" t="str">
        <f>INDEX(都市マスタ[City Name],MATCH($W49,都市マスタ['#],0))</f>
        <v>Johannesburg</v>
      </c>
      <c r="Y49" s="4">
        <f t="array" aca="1" ref="Y49" ca="1">SUMPRODUCT(INDIRECT("スコア!$H"&amp;MATCH($W49,スコア!$C:$C,0)&amp;":$BY"&amp;MATCH($W49,スコア!$C:$C,0)),TRANSPOSE(P$9:P$78))/P$5</f>
        <v>27.016002743338049</v>
      </c>
      <c r="Z49" s="4">
        <f t="array" aca="1" ref="Z49" ca="1">SUMPRODUCT(INDIRECT("スコア!$H"&amp;MATCH($W49,スコア!$C:$C,0)&amp;":$BY"&amp;MATCH($W49,スコア!$C:$C,0)),TRANSPOSE(Q$9:Q$78))/Q$5</f>
        <v>32.049081683534439</v>
      </c>
      <c r="AA49" s="4">
        <f t="array" aca="1" ref="AA49" ca="1">SUMPRODUCT(INDIRECT("スコア!$H"&amp;MATCH($W49,スコア!$C:$C,0)&amp;":$BY"&amp;MATCH($W49,スコア!$C:$C,0)),TRANSPOSE(R$9:R$78))/R$5</f>
        <v>23.963060378949056</v>
      </c>
      <c r="AB49" s="4">
        <f t="array" aca="1" ref="AB49" ca="1">SUMPRODUCT(INDIRECT("スコア!$H"&amp;MATCH($W49,スコア!$C:$C,0)&amp;":$BY"&amp;MATCH($W49,スコア!$C:$C,0)),TRANSPOSE(S$9:S$78))/S$5</f>
        <v>38.321204348543255</v>
      </c>
      <c r="AC49" s="12">
        <f t="shared" ca="1" si="12"/>
        <v>44</v>
      </c>
      <c r="AD49" s="12">
        <f t="shared" ca="1" si="13"/>
        <v>44</v>
      </c>
      <c r="AE49" s="12">
        <f t="shared" ca="1" si="14"/>
        <v>48</v>
      </c>
      <c r="AF49" s="12">
        <f t="shared" ca="1" si="15"/>
        <v>45</v>
      </c>
      <c r="AG49" s="4">
        <f t="shared" ca="1" si="16"/>
        <v>34.56969743861675</v>
      </c>
      <c r="AH49" s="4">
        <f t="shared" ca="1" si="17"/>
        <v>32.855673984886948</v>
      </c>
      <c r="AI49" s="4">
        <f t="shared" ca="1" si="18"/>
        <v>34.928899955157377</v>
      </c>
      <c r="AJ49" s="4">
        <f t="shared" ca="1" si="19"/>
        <v>31.629967105836197</v>
      </c>
      <c r="AL49" s="351">
        <v>41</v>
      </c>
      <c r="AM49" s="352" t="str">
        <f t="shared" ca="1" si="29"/>
        <v>Fukuoka</v>
      </c>
      <c r="AN49" s="353">
        <f t="shared" ca="1" si="30"/>
        <v>29.70633153492501</v>
      </c>
      <c r="AO49" s="354">
        <f t="shared" ca="1" si="20"/>
        <v>-2</v>
      </c>
      <c r="AP49" s="351">
        <v>41</v>
      </c>
      <c r="AQ49" s="352" t="str">
        <f t="shared" ca="1" si="31"/>
        <v>Sao Paulo</v>
      </c>
      <c r="AR49" s="352">
        <f t="shared" ca="1" si="21"/>
        <v>38.585275196983325</v>
      </c>
      <c r="AS49" s="354">
        <f t="shared" ca="1" si="22"/>
        <v>2</v>
      </c>
      <c r="AT49" s="351">
        <v>41</v>
      </c>
      <c r="AU49" s="352" t="str">
        <f t="shared" ca="1" si="23"/>
        <v>Boston</v>
      </c>
      <c r="AV49" s="352">
        <f t="shared" ca="1" si="24"/>
        <v>27.951185496818862</v>
      </c>
      <c r="AW49" s="354">
        <f t="shared" ca="1" si="25"/>
        <v>-9</v>
      </c>
      <c r="AX49" s="351">
        <v>41</v>
      </c>
      <c r="AY49" s="352" t="str">
        <f t="shared" ca="1" si="26"/>
        <v>San Francisco</v>
      </c>
      <c r="AZ49" s="352">
        <f t="shared" ca="1" si="27"/>
        <v>45.073275108297295</v>
      </c>
      <c r="BA49" s="354">
        <f t="shared" ca="1" si="28"/>
        <v>-6</v>
      </c>
      <c r="BC49" s="83">
        <v>47</v>
      </c>
      <c r="BD49" s="3">
        <v>41</v>
      </c>
      <c r="BE49" s="1" t="s">
        <v>184</v>
      </c>
      <c r="BF49" s="4">
        <v>26.037180889586949</v>
      </c>
      <c r="BG49" s="4">
        <v>30.780020261726669</v>
      </c>
      <c r="BH49" s="4">
        <v>23.365314293168872</v>
      </c>
      <c r="BI49" s="4">
        <v>37.906557194190093</v>
      </c>
      <c r="BJ49" s="12">
        <v>44</v>
      </c>
      <c r="BK49" s="12">
        <v>45</v>
      </c>
      <c r="BL49" s="12">
        <v>48</v>
      </c>
      <c r="BM49" s="12">
        <v>46</v>
      </c>
      <c r="BN49" s="4">
        <v>33.127354464375216</v>
      </c>
      <c r="BO49" s="4">
        <v>32.134653946566672</v>
      </c>
      <c r="BP49" s="4">
        <v>33.036552997210947</v>
      </c>
      <c r="BQ49" s="4">
        <v>29.741394501374646</v>
      </c>
    </row>
    <row r="50" spans="2:69">
      <c r="B50" s="2">
        <v>42</v>
      </c>
      <c r="C50" s="4" t="str">
        <f t="shared" ca="1" si="4"/>
        <v>Jakarta</v>
      </c>
      <c r="D50" s="4" t="str">
        <f t="shared" ca="1" si="5"/>
        <v>Buenos Aires</v>
      </c>
      <c r="E50" s="4" t="str">
        <f t="shared" ca="1" si="6"/>
        <v>Helsinki</v>
      </c>
      <c r="F50" s="4" t="str">
        <f t="shared" ca="1" si="7"/>
        <v>Los Angeles</v>
      </c>
      <c r="H50" s="158" t="s">
        <v>578</v>
      </c>
      <c r="I50" s="199" t="str">
        <f>IFERROR(INDEX(指標マスタ[],MATCH($H50,指標マスタ['#],0),MATCH(I$8,指標マスタ[#Headers],0))&amp;"","")</f>
        <v/>
      </c>
      <c r="J50" s="199" t="str">
        <f>IFERROR(INDEX(指標マスタ[],MATCH($H50,指標マスタ['#],0),MATCH(J$8,指標マスタ[#Headers],0))&amp;"","")</f>
        <v/>
      </c>
      <c r="K50" s="199" t="str">
        <f>IFERROR(INDEX(指標マスタ[],MATCH($H50,指標マスタ['#],0),MATCH(K$8,指標マスタ[#Headers],0))&amp;"","")</f>
        <v>物価水準の低さ</v>
      </c>
      <c r="L50" s="11"/>
      <c r="M50" s="11" t="s">
        <v>354</v>
      </c>
      <c r="N50" s="11" t="s">
        <v>354</v>
      </c>
      <c r="O50" s="11" t="s">
        <v>352</v>
      </c>
      <c r="P50" s="3">
        <f t="shared" si="8"/>
        <v>0</v>
      </c>
      <c r="Q50" s="3">
        <f t="shared" si="9"/>
        <v>1</v>
      </c>
      <c r="R50" s="3">
        <f t="shared" si="10"/>
        <v>1</v>
      </c>
      <c r="S50" s="3">
        <f t="shared" si="11"/>
        <v>5</v>
      </c>
      <c r="U50" s="2">
        <v>42</v>
      </c>
      <c r="V50" s="83">
        <f>INDEX(順位表[Comprehensive],MATCH($W50,順位表['#],0))</f>
        <v>45</v>
      </c>
      <c r="W50" s="3">
        <v>42</v>
      </c>
      <c r="X50" s="1" t="str">
        <f>INDEX(都市マスタ[City Name],MATCH($W50,都市マスタ['#],0))</f>
        <v>Jakarta</v>
      </c>
      <c r="Y50" s="4">
        <f t="array" aca="1" ref="Y50" ca="1">SUMPRODUCT(INDIRECT("スコア!$H"&amp;MATCH($W50,スコア!$C:$C,0)&amp;":$BY"&amp;MATCH($W50,スコア!$C:$C,0)),TRANSPOSE(P$9:P$78))/P$5</f>
        <v>29.444997903042388</v>
      </c>
      <c r="Z50" s="4">
        <f t="array" aca="1" ref="Z50" ca="1">SUMPRODUCT(INDIRECT("スコア!$H"&amp;MATCH($W50,スコア!$C:$C,0)&amp;":$BY"&amp;MATCH($W50,スコア!$C:$C,0)),TRANSPOSE(Q$9:Q$78))/Q$5</f>
        <v>32.035587039481115</v>
      </c>
      <c r="AA50" s="4">
        <f t="array" aca="1" ref="AA50" ca="1">SUMPRODUCT(INDIRECT("スコア!$H"&amp;MATCH($W50,スコア!$C:$C,0)&amp;":$BY"&amp;MATCH($W50,スコア!$C:$C,0)),TRANSPOSE(R$9:R$78))/R$5</f>
        <v>26.943122666008488</v>
      </c>
      <c r="AB50" s="4">
        <f t="array" aca="1" ref="AB50" ca="1">SUMPRODUCT(INDIRECT("スコア!$H"&amp;MATCH($W50,スコア!$C:$C,0)&amp;":$BY"&amp;MATCH($W50,スコア!$C:$C,0)),TRANSPOSE(S$9:S$78))/S$5</f>
        <v>35.971816633715314</v>
      </c>
      <c r="AC50" s="12">
        <f t="shared" ca="1" si="12"/>
        <v>42</v>
      </c>
      <c r="AD50" s="12">
        <f t="shared" ca="1" si="13"/>
        <v>45</v>
      </c>
      <c r="AE50" s="12">
        <f t="shared" ca="1" si="14"/>
        <v>45</v>
      </c>
      <c r="AF50" s="12">
        <f t="shared" ca="1" si="15"/>
        <v>46</v>
      </c>
      <c r="AG50" s="4">
        <f t="shared" ca="1" si="16"/>
        <v>37.043106451369368</v>
      </c>
      <c r="AH50" s="4">
        <f t="shared" ca="1" si="17"/>
        <v>32.841011764966566</v>
      </c>
      <c r="AI50" s="4">
        <f t="shared" ca="1" si="18"/>
        <v>38.079000220960829</v>
      </c>
      <c r="AJ50" s="4">
        <f t="shared" ca="1" si="19"/>
        <v>28.609337604963617</v>
      </c>
      <c r="AL50" s="351">
        <v>42</v>
      </c>
      <c r="AM50" s="352" t="str">
        <f t="shared" ca="1" si="29"/>
        <v>Jakarta</v>
      </c>
      <c r="AN50" s="353">
        <f t="shared" ca="1" si="30"/>
        <v>29.444997903042388</v>
      </c>
      <c r="AO50" s="354">
        <f t="shared" ca="1" si="20"/>
        <v>-2</v>
      </c>
      <c r="AP50" s="351">
        <v>42</v>
      </c>
      <c r="AQ50" s="352" t="str">
        <f t="shared" ca="1" si="31"/>
        <v>Buenos Aires</v>
      </c>
      <c r="AR50" s="352">
        <f t="shared" ca="1" si="21"/>
        <v>36.209651180403334</v>
      </c>
      <c r="AS50" s="354">
        <f t="shared" ca="1" si="22"/>
        <v>0</v>
      </c>
      <c r="AT50" s="351">
        <v>42</v>
      </c>
      <c r="AU50" s="352" t="str">
        <f t="shared" ca="1" si="23"/>
        <v>Helsinki</v>
      </c>
      <c r="AV50" s="352">
        <f t="shared" ca="1" si="24"/>
        <v>27.812453807926424</v>
      </c>
      <c r="AW50" s="354">
        <f t="shared" ca="1" si="25"/>
        <v>0</v>
      </c>
      <c r="AX50" s="351">
        <v>42</v>
      </c>
      <c r="AY50" s="352" t="str">
        <f t="shared" ca="1" si="26"/>
        <v>Los Angeles</v>
      </c>
      <c r="AZ50" s="352">
        <f t="shared" ca="1" si="27"/>
        <v>43.446265200362163</v>
      </c>
      <c r="BA50" s="354">
        <f t="shared" ca="1" si="28"/>
        <v>0</v>
      </c>
      <c r="BC50" s="83">
        <v>45</v>
      </c>
      <c r="BD50" s="3">
        <v>42</v>
      </c>
      <c r="BE50" s="1" t="s">
        <v>186</v>
      </c>
      <c r="BF50" s="4">
        <v>31.225457652029348</v>
      </c>
      <c r="BG50" s="4">
        <v>31.843595251128889</v>
      </c>
      <c r="BH50" s="4">
        <v>28.011409831096223</v>
      </c>
      <c r="BI50" s="4">
        <v>37.705998114833335</v>
      </c>
      <c r="BJ50" s="12">
        <v>40</v>
      </c>
      <c r="BK50" s="12">
        <v>44</v>
      </c>
      <c r="BL50" s="12">
        <v>45</v>
      </c>
      <c r="BM50" s="12">
        <v>47</v>
      </c>
      <c r="BN50" s="4">
        <v>38.498401443669103</v>
      </c>
      <c r="BO50" s="4">
        <v>33.275672296138666</v>
      </c>
      <c r="BP50" s="4">
        <v>38.083975967619473</v>
      </c>
      <c r="BQ50" s="4">
        <v>29.490124189799793</v>
      </c>
    </row>
    <row r="51" spans="2:69">
      <c r="B51" s="2">
        <v>43</v>
      </c>
      <c r="C51" s="4" t="str">
        <f t="shared" ca="1" si="4"/>
        <v>Sao Paulo</v>
      </c>
      <c r="D51" s="4" t="str">
        <f t="shared" ca="1" si="5"/>
        <v>Istanbul</v>
      </c>
      <c r="E51" s="4" t="str">
        <f t="shared" ca="1" si="6"/>
        <v>Fukuoka</v>
      </c>
      <c r="F51" s="4" t="str">
        <f t="shared" ca="1" si="7"/>
        <v>Mexico City</v>
      </c>
      <c r="H51" s="158" t="s">
        <v>579</v>
      </c>
      <c r="I51" s="199" t="str">
        <f>IFERROR(INDEX(指標マスタ[],MATCH($H51,指標マスタ['#],0),MATCH(I$8,指標マスタ[#Headers],0))&amp;"","")</f>
        <v/>
      </c>
      <c r="J51" s="199" t="str">
        <f>IFERROR(INDEX(指標マスタ[],MATCH($H51,指標マスタ['#],0),MATCH(J$8,指標マスタ[#Headers],0))&amp;"","")</f>
        <v>安全・安心</v>
      </c>
      <c r="K51" s="199" t="str">
        <f>IFERROR(INDEX(指標マスタ[],MATCH($H51,指標マスタ['#],0),MATCH(K$8,指標マスタ[#Headers],0))&amp;"","")</f>
        <v>殺人件数の少なさ</v>
      </c>
      <c r="L51" s="11"/>
      <c r="M51" s="11" t="s">
        <v>354</v>
      </c>
      <c r="N51" s="11" t="s">
        <v>435</v>
      </c>
      <c r="O51" s="11" t="s">
        <v>352</v>
      </c>
      <c r="P51" s="3">
        <f t="shared" si="8"/>
        <v>0</v>
      </c>
      <c r="Q51" s="3">
        <f t="shared" si="9"/>
        <v>1</v>
      </c>
      <c r="R51" s="3">
        <f t="shared" si="10"/>
        <v>5</v>
      </c>
      <c r="S51" s="3">
        <f t="shared" si="11"/>
        <v>5</v>
      </c>
      <c r="U51" s="2">
        <v>43</v>
      </c>
      <c r="V51" s="83">
        <f>INDEX(順位表[Comprehensive],MATCH($W51,順位表['#],0))</f>
        <v>44</v>
      </c>
      <c r="W51" s="3">
        <v>43</v>
      </c>
      <c r="X51" s="1" t="str">
        <f>INDEX(都市マスタ[City Name],MATCH($W51,都市マスタ['#],0))</f>
        <v>Buenos Aires</v>
      </c>
      <c r="Y51" s="4">
        <f t="array" aca="1" ref="Y51" ca="1">SUMPRODUCT(INDIRECT("スコア!$H"&amp;MATCH($W51,スコア!$C:$C,0)&amp;":$BY"&amp;MATCH($W51,スコア!$C:$C,0)),TRANSPOSE(P$9:P$78))/P$5</f>
        <v>25.413858682707616</v>
      </c>
      <c r="Z51" s="4">
        <f t="array" aca="1" ref="Z51" ca="1">SUMPRODUCT(INDIRECT("スコア!$H"&amp;MATCH($W51,スコア!$C:$C,0)&amp;":$BY"&amp;MATCH($W51,スコア!$C:$C,0)),TRANSPOSE(Q$9:Q$78))/Q$5</f>
        <v>36.209651180403334</v>
      </c>
      <c r="AA51" s="4">
        <f t="array" aca="1" ref="AA51" ca="1">SUMPRODUCT(INDIRECT("スコア!$H"&amp;MATCH($W51,スコア!$C:$C,0)&amp;":$BY"&amp;MATCH($W51,スコア!$C:$C,0)),TRANSPOSE(R$9:R$78))/R$5</f>
        <v>39.078305816596227</v>
      </c>
      <c r="AB51" s="4">
        <f t="array" aca="1" ref="AB51" ca="1">SUMPRODUCT(INDIRECT("スコア!$H"&amp;MATCH($W51,スコア!$C:$C,0)&amp;":$BY"&amp;MATCH($W51,スコア!$C:$C,0)),TRANSPOSE(S$9:S$78))/S$5</f>
        <v>51.080270619160359</v>
      </c>
      <c r="AC51" s="12">
        <f t="shared" ca="1" si="12"/>
        <v>46</v>
      </c>
      <c r="AD51" s="12">
        <f t="shared" ca="1" si="13"/>
        <v>42</v>
      </c>
      <c r="AE51" s="12">
        <f t="shared" ca="1" si="14"/>
        <v>21</v>
      </c>
      <c r="AF51" s="12">
        <f t="shared" ca="1" si="15"/>
        <v>32</v>
      </c>
      <c r="AG51" s="4">
        <f t="shared" ca="1" si="16"/>
        <v>32.938258387180454</v>
      </c>
      <c r="AH51" s="4">
        <f t="shared" ca="1" si="17"/>
        <v>37.376221893823889</v>
      </c>
      <c r="AI51" s="4">
        <f t="shared" ca="1" si="18"/>
        <v>50.906599105130603</v>
      </c>
      <c r="AJ51" s="4">
        <f t="shared" ca="1" si="19"/>
        <v>48.034416544883719</v>
      </c>
      <c r="AL51" s="351">
        <v>43</v>
      </c>
      <c r="AM51" s="352" t="str">
        <f t="shared" ca="1" si="29"/>
        <v>Sao Paulo</v>
      </c>
      <c r="AN51" s="353">
        <f t="shared" ca="1" si="30"/>
        <v>29.251867875079341</v>
      </c>
      <c r="AO51" s="354">
        <f t="shared" ca="1" si="20"/>
        <v>0</v>
      </c>
      <c r="AP51" s="351">
        <v>43</v>
      </c>
      <c r="AQ51" s="352" t="str">
        <f t="shared" ca="1" si="31"/>
        <v>Istanbul</v>
      </c>
      <c r="AR51" s="352">
        <f t="shared" ca="1" si="21"/>
        <v>35.211803807849989</v>
      </c>
      <c r="AS51" s="354">
        <f t="shared" ca="1" si="22"/>
        <v>-2</v>
      </c>
      <c r="AT51" s="351">
        <v>43</v>
      </c>
      <c r="AU51" s="352" t="str">
        <f t="shared" ca="1" si="23"/>
        <v>Fukuoka</v>
      </c>
      <c r="AV51" s="352">
        <f t="shared" ca="1" si="24"/>
        <v>27.421943963677361</v>
      </c>
      <c r="AW51" s="354">
        <f t="shared" ca="1" si="25"/>
        <v>1</v>
      </c>
      <c r="AX51" s="351">
        <v>43</v>
      </c>
      <c r="AY51" s="352" t="str">
        <f t="shared" ca="1" si="26"/>
        <v>Mexico City</v>
      </c>
      <c r="AZ51" s="352">
        <f t="shared" ca="1" si="27"/>
        <v>42.582981963230644</v>
      </c>
      <c r="BA51" s="354">
        <f t="shared" ca="1" si="28"/>
        <v>0</v>
      </c>
      <c r="BC51" s="83">
        <v>40</v>
      </c>
      <c r="BD51" s="3">
        <v>43</v>
      </c>
      <c r="BE51" s="1" t="s">
        <v>188</v>
      </c>
      <c r="BF51" s="4">
        <v>25.963544145960871</v>
      </c>
      <c r="BG51" s="4">
        <v>37.383548136679998</v>
      </c>
      <c r="BH51" s="4">
        <v>42.015349629936786</v>
      </c>
      <c r="BI51" s="4">
        <v>56.755977026290985</v>
      </c>
      <c r="BJ51" s="12">
        <v>45</v>
      </c>
      <c r="BK51" s="12">
        <v>42</v>
      </c>
      <c r="BL51" s="12">
        <v>17</v>
      </c>
      <c r="BM51" s="12">
        <v>21</v>
      </c>
      <c r="BN51" s="4">
        <v>33.051123679564171</v>
      </c>
      <c r="BO51" s="4">
        <v>39.219012409590349</v>
      </c>
      <c r="BP51" s="4">
        <v>53.297569153526801</v>
      </c>
      <c r="BQ51" s="4">
        <v>53.356877826326233</v>
      </c>
    </row>
    <row r="52" spans="2:69">
      <c r="B52" s="2">
        <v>44</v>
      </c>
      <c r="C52" s="4" t="str">
        <f t="shared" ca="1" si="4"/>
        <v>Johannesburg</v>
      </c>
      <c r="D52" s="4" t="str">
        <f t="shared" ca="1" si="5"/>
        <v>Johannesburg</v>
      </c>
      <c r="E52" s="4" t="str">
        <f t="shared" ca="1" si="6"/>
        <v>San Francisco</v>
      </c>
      <c r="F52" s="4" t="str">
        <f t="shared" ca="1" si="7"/>
        <v>Bangkok</v>
      </c>
      <c r="H52" s="158" t="s">
        <v>580</v>
      </c>
      <c r="I52" s="199" t="str">
        <f>IFERROR(INDEX(指標マスタ[],MATCH($H52,指標マスタ['#],0),MATCH(I$8,指標マスタ[#Headers],0))&amp;"","")</f>
        <v/>
      </c>
      <c r="J52" s="199" t="str">
        <f>IFERROR(INDEX(指標マスタ[],MATCH($H52,指標マスタ['#],0),MATCH(J$8,指標マスタ[#Headers],0))&amp;"","")</f>
        <v/>
      </c>
      <c r="K52" s="199" t="str">
        <f>IFERROR(INDEX(指標マスタ[],MATCH($H52,指標マスタ['#],0),MATCH(K$8,指標マスタ[#Headers],0))&amp;"","")</f>
        <v>自然災害の経済的リスクの少なさ</v>
      </c>
      <c r="L52" s="11" t="s">
        <v>352</v>
      </c>
      <c r="M52" s="11" t="s">
        <v>354</v>
      </c>
      <c r="N52" s="11"/>
      <c r="O52" s="11" t="s">
        <v>352</v>
      </c>
      <c r="P52" s="3">
        <f t="shared" si="8"/>
        <v>5</v>
      </c>
      <c r="Q52" s="3">
        <f t="shared" si="9"/>
        <v>1</v>
      </c>
      <c r="R52" s="3">
        <f t="shared" si="10"/>
        <v>0</v>
      </c>
      <c r="S52" s="3">
        <f t="shared" si="11"/>
        <v>5</v>
      </c>
      <c r="U52" s="2">
        <v>44</v>
      </c>
      <c r="V52" s="83">
        <f>INDEX(順位表[Comprehensive],MATCH($W52,順位表['#],0))</f>
        <v>8</v>
      </c>
      <c r="W52" s="3">
        <v>44</v>
      </c>
      <c r="X52" s="1" t="str">
        <f>INDEX(都市マスタ[City Name],MATCH($W52,都市マスタ['#],0))</f>
        <v>Dubai</v>
      </c>
      <c r="Y52" s="4">
        <f t="array" aca="1" ref="Y52" ca="1">SUMPRODUCT(INDIRECT("スコア!$H"&amp;MATCH($W52,スコア!$C:$C,0)&amp;":$BY"&amp;MATCH($W52,スコア!$C:$C,0)),TRANSPOSE(P$9:P$78))/P$5</f>
        <v>47.399428044043468</v>
      </c>
      <c r="Z52" s="4">
        <f t="array" aca="1" ref="Z52" ca="1">SUMPRODUCT(INDIRECT("スコア!$H"&amp;MATCH($W52,スコア!$C:$C,0)&amp;":$BY"&amp;MATCH($W52,スコア!$C:$C,0)),TRANSPOSE(Q$9:Q$78))/Q$5</f>
        <v>58.171568347377764</v>
      </c>
      <c r="AA52" s="4">
        <f t="array" aca="1" ref="AA52" ca="1">SUMPRODUCT(INDIRECT("スコア!$H"&amp;MATCH($W52,スコア!$C:$C,0)&amp;":$BY"&amp;MATCH($W52,スコア!$C:$C,0)),TRANSPOSE(R$9:R$78))/R$5</f>
        <v>52.042032826838678</v>
      </c>
      <c r="AB52" s="4">
        <f t="array" aca="1" ref="AB52" ca="1">SUMPRODUCT(INDIRECT("スコア!$H"&amp;MATCH($W52,スコア!$C:$C,0)&amp;":$BY"&amp;MATCH($W52,スコア!$C:$C,0)),TRANSPOSE(S$9:S$78))/S$5</f>
        <v>52.182817036187394</v>
      </c>
      <c r="AC52" s="12">
        <f t="shared" ca="1" si="12"/>
        <v>15</v>
      </c>
      <c r="AD52" s="12">
        <f t="shared" ca="1" si="13"/>
        <v>5</v>
      </c>
      <c r="AE52" s="12">
        <f t="shared" ca="1" si="14"/>
        <v>4</v>
      </c>
      <c r="AF52" s="12">
        <f t="shared" ca="1" si="15"/>
        <v>29</v>
      </c>
      <c r="AG52" s="4">
        <f t="shared" ca="1" si="16"/>
        <v>55.325830956672583</v>
      </c>
      <c r="AH52" s="4">
        <f t="shared" ca="1" si="17"/>
        <v>61.238315484647778</v>
      </c>
      <c r="AI52" s="4">
        <f t="shared" ca="1" si="18"/>
        <v>64.610017345111061</v>
      </c>
      <c r="AJ52" s="4">
        <f t="shared" ca="1" si="19"/>
        <v>49.451970664339534</v>
      </c>
      <c r="AL52" s="351">
        <v>44</v>
      </c>
      <c r="AM52" s="352" t="str">
        <f t="shared" ca="1" si="29"/>
        <v>Johannesburg</v>
      </c>
      <c r="AN52" s="353">
        <f t="shared" ca="1" si="30"/>
        <v>27.016002743338049</v>
      </c>
      <c r="AO52" s="354">
        <f t="shared" ca="1" si="20"/>
        <v>0</v>
      </c>
      <c r="AP52" s="351">
        <v>44</v>
      </c>
      <c r="AQ52" s="352" t="str">
        <f t="shared" ca="1" si="31"/>
        <v>Johannesburg</v>
      </c>
      <c r="AR52" s="352">
        <f t="shared" ca="1" si="21"/>
        <v>32.049081683534439</v>
      </c>
      <c r="AS52" s="354">
        <f t="shared" ca="1" si="22"/>
        <v>1</v>
      </c>
      <c r="AT52" s="351">
        <v>44</v>
      </c>
      <c r="AU52" s="352" t="str">
        <f t="shared" ca="1" si="23"/>
        <v>San Francisco</v>
      </c>
      <c r="AV52" s="352">
        <f t="shared" ca="1" si="24"/>
        <v>27.372209700855656</v>
      </c>
      <c r="AW52" s="354">
        <f t="shared" ca="1" si="25"/>
        <v>-14</v>
      </c>
      <c r="AX52" s="351">
        <v>44</v>
      </c>
      <c r="AY52" s="352" t="str">
        <f t="shared" ca="1" si="26"/>
        <v>Bangkok</v>
      </c>
      <c r="AZ52" s="352">
        <f t="shared" ca="1" si="27"/>
        <v>40.347301424489174</v>
      </c>
      <c r="BA52" s="354">
        <f t="shared" ca="1" si="28"/>
        <v>0</v>
      </c>
      <c r="BC52" s="83">
        <v>14</v>
      </c>
      <c r="BD52" s="3">
        <v>44</v>
      </c>
      <c r="BE52" s="1" t="s">
        <v>190</v>
      </c>
      <c r="BF52" s="4">
        <v>45.862964574995658</v>
      </c>
      <c r="BG52" s="4">
        <v>54.783546163667779</v>
      </c>
      <c r="BH52" s="4">
        <v>51.477391573143393</v>
      </c>
      <c r="BI52" s="4">
        <v>51.993369354254035</v>
      </c>
      <c r="BJ52" s="12">
        <v>20</v>
      </c>
      <c r="BK52" s="12">
        <v>7</v>
      </c>
      <c r="BL52" s="12">
        <v>5</v>
      </c>
      <c r="BM52" s="12">
        <v>32</v>
      </c>
      <c r="BN52" s="4">
        <v>53.651551698124976</v>
      </c>
      <c r="BO52" s="4">
        <v>57.885977343081677</v>
      </c>
      <c r="BP52" s="4">
        <v>63.576937595531646</v>
      </c>
      <c r="BQ52" s="4">
        <v>47.39004791516183</v>
      </c>
    </row>
    <row r="53" spans="2:69">
      <c r="B53" s="2">
        <v>45</v>
      </c>
      <c r="C53" s="4" t="str">
        <f t="shared" ca="1" si="4"/>
        <v>Mexico City</v>
      </c>
      <c r="D53" s="4" t="str">
        <f t="shared" ca="1" si="5"/>
        <v>Jakarta</v>
      </c>
      <c r="E53" s="4" t="str">
        <f t="shared" ca="1" si="6"/>
        <v>Jakarta</v>
      </c>
      <c r="F53" s="4" t="str">
        <f t="shared" ca="1" si="7"/>
        <v>Johannesburg</v>
      </c>
      <c r="H53" s="158" t="s">
        <v>581</v>
      </c>
      <c r="I53" s="199" t="str">
        <f>IFERROR(INDEX(指標マスタ[],MATCH($H53,指標マスタ['#],0),MATCH(I$8,指標マスタ[#Headers],0))&amp;"","")</f>
        <v/>
      </c>
      <c r="J53" s="199" t="str">
        <f>IFERROR(INDEX(指標マスタ[],MATCH($H53,指標マスタ['#],0),MATCH(J$8,指標マスタ[#Headers],0))&amp;"","")</f>
        <v>生活良好性</v>
      </c>
      <c r="K53" s="199" t="str">
        <f>IFERROR(INDEX(指標マスタ[],MATCH($H53,指標マスタ['#],0),MATCH(K$8,指標マスタ[#Headers],0))&amp;"","")</f>
        <v>平均寿命</v>
      </c>
      <c r="L53" s="11"/>
      <c r="M53" s="11"/>
      <c r="N53" s="11"/>
      <c r="O53" s="11"/>
      <c r="P53" s="3">
        <f t="shared" si="8"/>
        <v>0</v>
      </c>
      <c r="Q53" s="3">
        <f t="shared" si="9"/>
        <v>0</v>
      </c>
      <c r="R53" s="3">
        <f t="shared" si="10"/>
        <v>0</v>
      </c>
      <c r="S53" s="3">
        <f t="shared" si="11"/>
        <v>0</v>
      </c>
      <c r="U53" s="2">
        <v>45</v>
      </c>
      <c r="V53" s="83">
        <f>INDEX(順位表[Comprehensive],MATCH($W53,順位表['#],0))</f>
        <v>28</v>
      </c>
      <c r="W53" s="3">
        <v>45</v>
      </c>
      <c r="X53" s="1" t="str">
        <f>INDEX(都市マスタ[City Name],MATCH($W53,都市マスタ['#],0))</f>
        <v>Dublin</v>
      </c>
      <c r="Y53" s="4">
        <f t="array" aca="1" ref="Y53" ca="1">SUMPRODUCT(INDIRECT("スコア!$H"&amp;MATCH($W53,スコア!$C:$C,0)&amp;":$BY"&amp;MATCH($W53,スコア!$C:$C,0)),TRANSPOSE(P$9:P$78))/P$5</f>
        <v>51.549085298866309</v>
      </c>
      <c r="Z53" s="4">
        <f t="array" aca="1" ref="Z53" ca="1">SUMPRODUCT(INDIRECT("スコア!$H"&amp;MATCH($W53,スコア!$C:$C,0)&amp;":$BY"&amp;MATCH($W53,スコア!$C:$C,0)),TRANSPOSE(Q$9:Q$78))/Q$5</f>
        <v>46.333574752702226</v>
      </c>
      <c r="AA53" s="4">
        <f t="array" aca="1" ref="AA53" ca="1">SUMPRODUCT(INDIRECT("スコア!$H"&amp;MATCH($W53,スコア!$C:$C,0)&amp;":$BY"&amp;MATCH($W53,スコア!$C:$C,0)),TRANSPOSE(R$9:R$78))/R$5</f>
        <v>32.095581980738679</v>
      </c>
      <c r="AB53" s="4">
        <f t="array" aca="1" ref="AB53" ca="1">SUMPRODUCT(INDIRECT("スコア!$H"&amp;MATCH($W53,スコア!$C:$C,0)&amp;":$BY"&amp;MATCH($W53,スコア!$C:$C,0)),TRANSPOSE(S$9:S$78))/S$5</f>
        <v>50.265530864227038</v>
      </c>
      <c r="AC53" s="12">
        <f t="shared" ca="1" si="12"/>
        <v>8</v>
      </c>
      <c r="AD53" s="12">
        <f t="shared" ca="1" si="13"/>
        <v>31</v>
      </c>
      <c r="AE53" s="12">
        <f t="shared" ca="1" si="14"/>
        <v>34</v>
      </c>
      <c r="AF53" s="12">
        <f t="shared" ca="1" si="15"/>
        <v>33</v>
      </c>
      <c r="AG53" s="4">
        <f t="shared" ca="1" si="16"/>
        <v>59.55136414182823</v>
      </c>
      <c r="AH53" s="4">
        <f t="shared" ca="1" si="17"/>
        <v>48.376081785464905</v>
      </c>
      <c r="AI53" s="4">
        <f t="shared" ca="1" si="18"/>
        <v>43.525451299300101</v>
      </c>
      <c r="AJ53" s="4">
        <f t="shared" ca="1" si="19"/>
        <v>46.986898111143411</v>
      </c>
      <c r="AL53" s="351">
        <v>45</v>
      </c>
      <c r="AM53" s="352" t="str">
        <f t="shared" ca="1" si="29"/>
        <v>Mexico City</v>
      </c>
      <c r="AN53" s="353">
        <f t="shared" ca="1" si="30"/>
        <v>26.436386088781532</v>
      </c>
      <c r="AO53" s="354">
        <f t="shared" ca="1" si="20"/>
        <v>2</v>
      </c>
      <c r="AP53" s="351">
        <v>45</v>
      </c>
      <c r="AQ53" s="352" t="str">
        <f t="shared" ca="1" si="31"/>
        <v>Jakarta</v>
      </c>
      <c r="AR53" s="352">
        <f t="shared" ca="1" si="21"/>
        <v>32.035587039481115</v>
      </c>
      <c r="AS53" s="354">
        <f t="shared" ca="1" si="22"/>
        <v>-1</v>
      </c>
      <c r="AT53" s="351">
        <v>45</v>
      </c>
      <c r="AU53" s="352" t="str">
        <f t="shared" ca="1" si="23"/>
        <v>Jakarta</v>
      </c>
      <c r="AV53" s="352">
        <f t="shared" ca="1" si="24"/>
        <v>26.943122666008488</v>
      </c>
      <c r="AW53" s="354">
        <f t="shared" ca="1" si="25"/>
        <v>0</v>
      </c>
      <c r="AX53" s="351">
        <v>45</v>
      </c>
      <c r="AY53" s="352" t="str">
        <f t="shared" ca="1" si="26"/>
        <v>Johannesburg</v>
      </c>
      <c r="AZ53" s="352">
        <f t="shared" ca="1" si="27"/>
        <v>38.321204348543255</v>
      </c>
      <c r="BA53" s="354">
        <f t="shared" ca="1" si="28"/>
        <v>1</v>
      </c>
      <c r="BC53" s="83">
        <v>28</v>
      </c>
      <c r="BD53" s="3">
        <v>45</v>
      </c>
      <c r="BE53" s="1" t="s">
        <v>369</v>
      </c>
      <c r="BF53" s="4">
        <v>49.720123646163024</v>
      </c>
      <c r="BG53" s="4">
        <v>48.143133346898885</v>
      </c>
      <c r="BH53" s="4">
        <v>32.114856330895279</v>
      </c>
      <c r="BI53" s="4">
        <v>52.741432996012612</v>
      </c>
      <c r="BJ53" s="12">
        <v>9</v>
      </c>
      <c r="BK53" s="12">
        <v>25</v>
      </c>
      <c r="BL53" s="12">
        <v>35</v>
      </c>
      <c r="BM53" s="12">
        <v>31</v>
      </c>
      <c r="BN53" s="4">
        <v>57.644588987079644</v>
      </c>
      <c r="BO53" s="4">
        <v>50.762048190775324</v>
      </c>
      <c r="BP53" s="4">
        <v>42.541876144628716</v>
      </c>
      <c r="BQ53" s="4">
        <v>48.327258960133463</v>
      </c>
    </row>
    <row r="54" spans="2:69">
      <c r="B54" s="2">
        <v>46</v>
      </c>
      <c r="C54" s="4" t="str">
        <f t="shared" ca="1" si="4"/>
        <v>Buenos Aires</v>
      </c>
      <c r="D54" s="4" t="str">
        <f t="shared" ca="1" si="5"/>
        <v>Mexico City</v>
      </c>
      <c r="E54" s="4" t="str">
        <f t="shared" ca="1" si="6"/>
        <v>Mumbai</v>
      </c>
      <c r="F54" s="4" t="str">
        <f t="shared" ca="1" si="7"/>
        <v>Jakarta</v>
      </c>
      <c r="H54" s="158" t="s">
        <v>582</v>
      </c>
      <c r="I54" s="199" t="str">
        <f>IFERROR(INDEX(指標マスタ[],MATCH($H54,指標マスタ['#],0),MATCH(I$8,指標マスタ[#Headers],0))&amp;"","")</f>
        <v/>
      </c>
      <c r="J54" s="199" t="str">
        <f>IFERROR(INDEX(指標マスタ[],MATCH($H54,指標マスタ['#],0),MATCH(J$8,指標マスタ[#Headers],0))&amp;"","")</f>
        <v/>
      </c>
      <c r="K54" s="199" t="str">
        <f>IFERROR(INDEX(指標マスタ[],MATCH($H54,指標マスタ['#],0),MATCH(K$8,指標マスタ[#Headers],0))&amp;"","")</f>
        <v>社会の自由度・平等さ</v>
      </c>
      <c r="L54" s="11" t="s">
        <v>352</v>
      </c>
      <c r="M54" s="11" t="s">
        <v>352</v>
      </c>
      <c r="N54" s="11" t="s">
        <v>354</v>
      </c>
      <c r="O54" s="11" t="s">
        <v>352</v>
      </c>
      <c r="P54" s="3">
        <f t="shared" si="8"/>
        <v>5</v>
      </c>
      <c r="Q54" s="3">
        <f t="shared" si="9"/>
        <v>5</v>
      </c>
      <c r="R54" s="3">
        <f t="shared" si="10"/>
        <v>1</v>
      </c>
      <c r="S54" s="3">
        <f t="shared" si="11"/>
        <v>5</v>
      </c>
      <c r="U54" s="2">
        <v>46</v>
      </c>
      <c r="V54" s="83">
        <f>INDEX(順位表[Comprehensive],MATCH($W54,順位表['#],0))</f>
        <v>31</v>
      </c>
      <c r="W54" s="3">
        <v>46</v>
      </c>
      <c r="X54" s="1" t="str">
        <f>INDEX(都市マスタ[City Name],MATCH($W54,都市マスタ['#],0))</f>
        <v>Helsinki</v>
      </c>
      <c r="Y54" s="4">
        <f t="array" aca="1" ref="Y54" ca="1">SUMPRODUCT(INDIRECT("スコア!$H"&amp;MATCH($W54,スコア!$C:$C,0)&amp;":$BY"&amp;MATCH($W54,スコア!$C:$C,0)),TRANSPOSE(P$9:P$78))/P$5</f>
        <v>45.085310387672827</v>
      </c>
      <c r="Z54" s="4">
        <f t="array" aca="1" ref="Z54" ca="1">SUMPRODUCT(INDIRECT("スコア!$H"&amp;MATCH($W54,スコア!$C:$C,0)&amp;":$BY"&amp;MATCH($W54,スコア!$C:$C,0)),TRANSPOSE(Q$9:Q$78))/Q$5</f>
        <v>48.250156099464455</v>
      </c>
      <c r="AA54" s="4">
        <f t="array" aca="1" ref="AA54" ca="1">SUMPRODUCT(INDIRECT("スコア!$H"&amp;MATCH($W54,スコア!$C:$C,0)&amp;":$BY"&amp;MATCH($W54,スコア!$C:$C,0)),TRANSPOSE(R$9:R$78))/R$5</f>
        <v>27.812453807926424</v>
      </c>
      <c r="AB54" s="4">
        <f t="array" aca="1" ref="AB54" ca="1">SUMPRODUCT(INDIRECT("スコア!$H"&amp;MATCH($W54,スコア!$C:$C,0)&amp;":$BY"&amp;MATCH($W54,スコア!$C:$C,0)),TRANSPOSE(S$9:S$78))/S$5</f>
        <v>57.643851587481088</v>
      </c>
      <c r="AC54" s="12">
        <f t="shared" ca="1" si="12"/>
        <v>23</v>
      </c>
      <c r="AD54" s="12">
        <f t="shared" ca="1" si="13"/>
        <v>29</v>
      </c>
      <c r="AE54" s="12">
        <f t="shared" ca="1" si="14"/>
        <v>42</v>
      </c>
      <c r="AF54" s="12">
        <f t="shared" ca="1" si="15"/>
        <v>14</v>
      </c>
      <c r="AG54" s="4">
        <f t="shared" ca="1" si="16"/>
        <v>52.969399967104934</v>
      </c>
      <c r="AH54" s="4">
        <f t="shared" ca="1" si="17"/>
        <v>50.458488486262418</v>
      </c>
      <c r="AI54" s="4">
        <f t="shared" ca="1" si="18"/>
        <v>38.997934121476412</v>
      </c>
      <c r="AJ54" s="4">
        <f t="shared" ca="1" si="19"/>
        <v>56.473273264506687</v>
      </c>
      <c r="AL54" s="351">
        <v>46</v>
      </c>
      <c r="AM54" s="352" t="str">
        <f t="shared" ca="1" si="29"/>
        <v>Buenos Aires</v>
      </c>
      <c r="AN54" s="353">
        <f t="shared" ca="1" si="30"/>
        <v>25.413858682707616</v>
      </c>
      <c r="AO54" s="354">
        <f t="shared" ca="1" si="20"/>
        <v>-1</v>
      </c>
      <c r="AP54" s="351">
        <v>46</v>
      </c>
      <c r="AQ54" s="352" t="str">
        <f t="shared" ca="1" si="31"/>
        <v>Mexico City</v>
      </c>
      <c r="AR54" s="352">
        <f t="shared" ca="1" si="21"/>
        <v>31.950149203742228</v>
      </c>
      <c r="AS54" s="354">
        <f t="shared" ca="1" si="22"/>
        <v>0</v>
      </c>
      <c r="AT54" s="351">
        <v>46</v>
      </c>
      <c r="AU54" s="352" t="str">
        <f t="shared" ca="1" si="23"/>
        <v>Mumbai</v>
      </c>
      <c r="AV54" s="352">
        <f t="shared" ca="1" si="24"/>
        <v>26.139478006791506</v>
      </c>
      <c r="AW54" s="354">
        <f t="shared" ca="1" si="25"/>
        <v>1</v>
      </c>
      <c r="AX54" s="351">
        <v>46</v>
      </c>
      <c r="AY54" s="352" t="str">
        <f t="shared" ca="1" si="26"/>
        <v>Jakarta</v>
      </c>
      <c r="AZ54" s="352">
        <f t="shared" ca="1" si="27"/>
        <v>35.971816633715314</v>
      </c>
      <c r="BA54" s="354">
        <f t="shared" ca="1" si="28"/>
        <v>1</v>
      </c>
      <c r="BC54" s="83">
        <v>30</v>
      </c>
      <c r="BD54" s="3">
        <v>46</v>
      </c>
      <c r="BE54" s="1" t="s">
        <v>370</v>
      </c>
      <c r="BF54" s="4">
        <v>47.193364093664137</v>
      </c>
      <c r="BG54" s="4">
        <v>50.043045283360009</v>
      </c>
      <c r="BH54" s="4">
        <v>29.982066144922644</v>
      </c>
      <c r="BI54" s="4">
        <v>59.750580479372985</v>
      </c>
      <c r="BJ54" s="12">
        <v>15</v>
      </c>
      <c r="BK54" s="12">
        <v>23</v>
      </c>
      <c r="BL54" s="12">
        <v>42</v>
      </c>
      <c r="BM54" s="12">
        <v>12</v>
      </c>
      <c r="BN54" s="4">
        <v>55.028817916404847</v>
      </c>
      <c r="BO54" s="4">
        <v>52.800300691702823</v>
      </c>
      <c r="BP54" s="4">
        <v>40.2248565982458</v>
      </c>
      <c r="BQ54" s="4">
        <v>57.108664806563397</v>
      </c>
    </row>
    <row r="55" spans="2:69">
      <c r="B55" s="2">
        <v>47</v>
      </c>
      <c r="C55" s="4" t="str">
        <f t="shared" ca="1" si="4"/>
        <v>Mumbai</v>
      </c>
      <c r="D55" s="4" t="str">
        <f t="shared" ca="1" si="5"/>
        <v>Mumbai</v>
      </c>
      <c r="E55" s="4" t="str">
        <f t="shared" ca="1" si="6"/>
        <v>Washington, DC</v>
      </c>
      <c r="F55" s="4" t="str">
        <f t="shared" ca="1" si="7"/>
        <v>Cairo</v>
      </c>
      <c r="H55" s="158" t="s">
        <v>583</v>
      </c>
      <c r="I55" s="199" t="str">
        <f>IFERROR(INDEX(指標マスタ[],MATCH($H55,指標マスタ['#],0),MATCH(I$8,指標マスタ[#Headers],0))&amp;"","")</f>
        <v/>
      </c>
      <c r="J55" s="199" t="str">
        <f>IFERROR(INDEX(指標マスタ[],MATCH($H55,指標マスタ['#],0),MATCH(J$8,指標マスタ[#Headers],0))&amp;"","")</f>
        <v/>
      </c>
      <c r="K55" s="199" t="str">
        <f>IFERROR(INDEX(指標マスタ[],MATCH($H55,指標マスタ['#],0),MATCH(K$8,指標マスタ[#Headers],0))&amp;"","")</f>
        <v>メンタルヘルス水準</v>
      </c>
      <c r="L55" s="11"/>
      <c r="M55" s="11" t="s">
        <v>354</v>
      </c>
      <c r="N55" s="11"/>
      <c r="O55" s="11"/>
      <c r="P55" s="3">
        <f t="shared" si="8"/>
        <v>0</v>
      </c>
      <c r="Q55" s="3">
        <f t="shared" si="9"/>
        <v>1</v>
      </c>
      <c r="R55" s="3">
        <f t="shared" si="10"/>
        <v>0</v>
      </c>
      <c r="S55" s="3">
        <f t="shared" si="11"/>
        <v>0</v>
      </c>
      <c r="U55" s="2">
        <v>47</v>
      </c>
      <c r="V55" s="83">
        <f>INDEX(順位表[Comprehensive],MATCH($W55,順位表['#],0))</f>
        <v>40</v>
      </c>
      <c r="W55" s="3">
        <v>47</v>
      </c>
      <c r="X55" s="1" t="str">
        <f>INDEX(都市マスタ[City Name],MATCH($W55,都市マスタ['#],0))</f>
        <v>Tel Aviv</v>
      </c>
      <c r="Y55" s="4">
        <f t="array" aca="1" ref="Y55" ca="1">SUMPRODUCT(INDIRECT("スコア!$H"&amp;MATCH($W55,スコア!$C:$C,0)&amp;":$BY"&amp;MATCH($W55,スコア!$C:$C,0)),TRANSPOSE(P$9:P$78))/P$5</f>
        <v>37.769545395973914</v>
      </c>
      <c r="Z55" s="4">
        <f t="array" aca="1" ref="Z55" ca="1">SUMPRODUCT(INDIRECT("スコア!$H"&amp;MATCH($W55,スコア!$C:$C,0)&amp;":$BY"&amp;MATCH($W55,スコア!$C:$C,0)),TRANSPOSE(Q$9:Q$78))/Q$5</f>
        <v>41.93926202260112</v>
      </c>
      <c r="AA55" s="4">
        <f t="array" aca="1" ref="AA55" ca="1">SUMPRODUCT(INDIRECT("スコア!$H"&amp;MATCH($W55,スコア!$C:$C,0)&amp;":$BY"&amp;MATCH($W55,スコア!$C:$C,0)),TRANSPOSE(R$9:R$78))/R$5</f>
        <v>33.493309601787736</v>
      </c>
      <c r="AB55" s="4">
        <f t="array" aca="1" ref="AB55" ca="1">SUMPRODUCT(INDIRECT("スコア!$H"&amp;MATCH($W55,スコア!$C:$C,0)&amp;":$BY"&amp;MATCH($W55,スコア!$C:$C,0)),TRANSPOSE(S$9:S$78))/S$5</f>
        <v>47.571651869523421</v>
      </c>
      <c r="AC55" s="12">
        <f t="shared" ca="1" si="12"/>
        <v>33</v>
      </c>
      <c r="AD55" s="12">
        <f t="shared" ca="1" si="13"/>
        <v>37</v>
      </c>
      <c r="AE55" s="12">
        <f t="shared" ca="1" si="14"/>
        <v>30</v>
      </c>
      <c r="AF55" s="12">
        <f t="shared" ca="1" si="15"/>
        <v>36</v>
      </c>
      <c r="AG55" s="4">
        <f t="shared" ca="1" si="16"/>
        <v>45.519867186705845</v>
      </c>
      <c r="AH55" s="4">
        <f t="shared" ca="1" si="17"/>
        <v>43.601566845088819</v>
      </c>
      <c r="AI55" s="4">
        <f t="shared" ca="1" si="18"/>
        <v>45.002931206249329</v>
      </c>
      <c r="AJ55" s="4">
        <f t="shared" ca="1" si="19"/>
        <v>43.523352987524405</v>
      </c>
      <c r="AL55" s="351">
        <v>47</v>
      </c>
      <c r="AM55" s="352" t="str">
        <f t="shared" ca="1" si="29"/>
        <v>Mumbai</v>
      </c>
      <c r="AN55" s="353">
        <f t="shared" ca="1" si="30"/>
        <v>21.698000375338044</v>
      </c>
      <c r="AO55" s="354">
        <f t="shared" ca="1" si="20"/>
        <v>-1</v>
      </c>
      <c r="AP55" s="351">
        <v>47</v>
      </c>
      <c r="AQ55" s="352" t="str">
        <f t="shared" ca="1" si="31"/>
        <v>Mumbai</v>
      </c>
      <c r="AR55" s="352">
        <f t="shared" ca="1" si="21"/>
        <v>30.246485011443337</v>
      </c>
      <c r="AS55" s="354">
        <f t="shared" ca="1" si="22"/>
        <v>0</v>
      </c>
      <c r="AT55" s="351">
        <v>47</v>
      </c>
      <c r="AU55" s="352" t="str">
        <f t="shared" ca="1" si="23"/>
        <v>Washington, DC</v>
      </c>
      <c r="AV55" s="352">
        <f t="shared" ca="1" si="24"/>
        <v>26.069177288333965</v>
      </c>
      <c r="AW55" s="354">
        <f t="shared" ca="1" si="25"/>
        <v>-6</v>
      </c>
      <c r="AX55" s="351">
        <v>47</v>
      </c>
      <c r="AY55" s="352" t="str">
        <f t="shared" ca="1" si="26"/>
        <v>Cairo</v>
      </c>
      <c r="AZ55" s="352">
        <f t="shared" ca="1" si="27"/>
        <v>35.627232846536934</v>
      </c>
      <c r="BA55" s="354">
        <f t="shared" ca="1" si="28"/>
        <v>-2</v>
      </c>
      <c r="BC55" s="83">
        <v>41</v>
      </c>
      <c r="BD55" s="3">
        <v>47</v>
      </c>
      <c r="BE55" s="1" t="s">
        <v>371</v>
      </c>
      <c r="BF55" s="4">
        <v>39.718597862270663</v>
      </c>
      <c r="BG55" s="4">
        <v>42.495785216453342</v>
      </c>
      <c r="BH55" s="4">
        <v>31.855641862804724</v>
      </c>
      <c r="BI55" s="4">
        <v>47.3089511550982</v>
      </c>
      <c r="BJ55" s="12">
        <v>33</v>
      </c>
      <c r="BK55" s="12">
        <v>35</v>
      </c>
      <c r="BL55" s="12">
        <v>36</v>
      </c>
      <c r="BM55" s="12">
        <v>40</v>
      </c>
      <c r="BN55" s="4">
        <v>47.290734073484643</v>
      </c>
      <c r="BO55" s="4">
        <v>44.703492933772552</v>
      </c>
      <c r="BP55" s="4">
        <v>42.260270859110598</v>
      </c>
      <c r="BQ55" s="4">
        <v>41.521177634026259</v>
      </c>
    </row>
    <row r="56" spans="2:69">
      <c r="B56" s="2">
        <v>48</v>
      </c>
      <c r="C56" s="4" t="str">
        <f t="shared" ca="1" si="4"/>
        <v>Cairo</v>
      </c>
      <c r="D56" s="4" t="str">
        <f t="shared" ca="1" si="5"/>
        <v>Cairo</v>
      </c>
      <c r="E56" s="4" t="str">
        <f t="shared" ca="1" si="6"/>
        <v>Johannesburg</v>
      </c>
      <c r="F56" s="4" t="str">
        <f t="shared" ca="1" si="7"/>
        <v>Mumbai</v>
      </c>
      <c r="H56" s="158" t="s">
        <v>584</v>
      </c>
      <c r="I56" s="199" t="str">
        <f>IFERROR(INDEX(指標マスタ[],MATCH($H56,指標マスタ['#],0),MATCH(I$8,指標マスタ[#Headers],0))&amp;"","")</f>
        <v/>
      </c>
      <c r="J56" s="199" t="str">
        <f>IFERROR(INDEX(指標マスタ[],MATCH($H56,指標マスタ['#],0),MATCH(J$8,指標マスタ[#Headers],0))&amp;"","")</f>
        <v>生活利便性</v>
      </c>
      <c r="K56" s="199" t="str">
        <f>IFERROR(INDEX(指標マスタ[],MATCH($H56,指標マスタ['#],0),MATCH(K$8,指標マスタ[#Headers],0))&amp;"","")</f>
        <v>医師数</v>
      </c>
      <c r="L56" s="11"/>
      <c r="M56" s="11"/>
      <c r="N56" s="11"/>
      <c r="O56" s="11" t="s">
        <v>352</v>
      </c>
      <c r="P56" s="3">
        <f t="shared" si="8"/>
        <v>0</v>
      </c>
      <c r="Q56" s="3">
        <f t="shared" si="9"/>
        <v>0</v>
      </c>
      <c r="R56" s="3">
        <f t="shared" si="10"/>
        <v>0</v>
      </c>
      <c r="S56" s="3">
        <f t="shared" si="11"/>
        <v>5</v>
      </c>
      <c r="U56" s="2">
        <v>48</v>
      </c>
      <c r="V56" s="83">
        <f>INDEX(順位表[Comprehensive],MATCH($W56,順位表['#],0))</f>
        <v>9</v>
      </c>
      <c r="W56" s="3">
        <v>48</v>
      </c>
      <c r="X56" s="1" t="str">
        <f>INDEX(都市マスタ[City Name],MATCH($W56,都市マスタ['#],0))</f>
        <v>Melbourne</v>
      </c>
      <c r="Y56" s="4">
        <f t="array" aca="1" ref="Y56" ca="1">SUMPRODUCT(INDIRECT("スコア!$H"&amp;MATCH($W56,スコア!$C:$C,0)&amp;":$BY"&amp;MATCH($W56,スコア!$C:$C,0)),TRANSPOSE(P$9:P$78))/P$5</f>
        <v>45.513736545013039</v>
      </c>
      <c r="Z56" s="4">
        <f t="array" aca="1" ref="Z56" ca="1">SUMPRODUCT(INDIRECT("スコア!$H"&amp;MATCH($W56,スコア!$C:$C,0)&amp;":$BY"&amp;MATCH($W56,スコア!$C:$C,0)),TRANSPOSE(Q$9:Q$78))/Q$5</f>
        <v>54.073335988792223</v>
      </c>
      <c r="AA56" s="4">
        <f t="array" aca="1" ref="AA56" ca="1">SUMPRODUCT(INDIRECT("スコア!$H"&amp;MATCH($W56,スコア!$C:$C,0)&amp;":$BY"&amp;MATCH($W56,スコア!$C:$C,0)),TRANSPOSE(R$9:R$78))/R$5</f>
        <v>39.896561499409437</v>
      </c>
      <c r="AB56" s="4">
        <f t="array" aca="1" ref="AB56" ca="1">SUMPRODUCT(INDIRECT("スコア!$H"&amp;MATCH($W56,スコア!$C:$C,0)&amp;":$BY"&amp;MATCH($W56,スコア!$C:$C,0)),TRANSPOSE(S$9:S$78))/S$5</f>
        <v>64.310343612290097</v>
      </c>
      <c r="AC56" s="12">
        <f t="shared" ca="1" si="12"/>
        <v>20</v>
      </c>
      <c r="AD56" s="12">
        <f t="shared" ca="1" si="13"/>
        <v>9</v>
      </c>
      <c r="AE56" s="12">
        <f t="shared" ca="1" si="14"/>
        <v>19</v>
      </c>
      <c r="AF56" s="12">
        <f t="shared" ca="1" si="15"/>
        <v>2</v>
      </c>
      <c r="AG56" s="4">
        <f t="shared" ca="1" si="16"/>
        <v>53.405659839682549</v>
      </c>
      <c r="AH56" s="4">
        <f t="shared" ca="1" si="17"/>
        <v>56.785498212184521</v>
      </c>
      <c r="AI56" s="4">
        <f t="shared" ca="1" si="18"/>
        <v>51.771543255834416</v>
      </c>
      <c r="AJ56" s="4">
        <f t="shared" ca="1" si="19"/>
        <v>65.044443680686655</v>
      </c>
      <c r="AL56" s="351">
        <v>48</v>
      </c>
      <c r="AM56" s="352" t="str">
        <f t="shared" ca="1" si="29"/>
        <v>Cairo</v>
      </c>
      <c r="AN56" s="353">
        <f t="shared" ca="1" si="30"/>
        <v>20.224266958359781</v>
      </c>
      <c r="AO56" s="354">
        <f t="shared" ca="1" si="20"/>
        <v>0</v>
      </c>
      <c r="AP56" s="351">
        <v>48</v>
      </c>
      <c r="AQ56" s="352" t="str">
        <f t="shared" ca="1" si="31"/>
        <v>Cairo</v>
      </c>
      <c r="AR56" s="352">
        <f t="shared" ca="1" si="21"/>
        <v>26.700595895152219</v>
      </c>
      <c r="AS56" s="354">
        <f t="shared" ca="1" si="22"/>
        <v>0</v>
      </c>
      <c r="AT56" s="351">
        <v>48</v>
      </c>
      <c r="AU56" s="352" t="str">
        <f t="shared" ca="1" si="23"/>
        <v>Johannesburg</v>
      </c>
      <c r="AV56" s="352">
        <f t="shared" ca="1" si="24"/>
        <v>23.963060378949056</v>
      </c>
      <c r="AW56" s="354">
        <f t="shared" ca="1" si="25"/>
        <v>0</v>
      </c>
      <c r="AX56" s="351">
        <v>48</v>
      </c>
      <c r="AY56" s="352" t="str">
        <f t="shared" ca="1" si="26"/>
        <v>Mumbai</v>
      </c>
      <c r="AZ56" s="352">
        <f t="shared" ca="1" si="27"/>
        <v>35.109076419946852</v>
      </c>
      <c r="BA56" s="354">
        <f t="shared" ca="1" si="28"/>
        <v>0</v>
      </c>
      <c r="BC56" s="83">
        <v>11</v>
      </c>
      <c r="BD56" s="3">
        <v>48</v>
      </c>
      <c r="BE56" s="1" t="s">
        <v>372</v>
      </c>
      <c r="BF56" s="4">
        <v>45.717964913313047</v>
      </c>
      <c r="BG56" s="4">
        <v>54.823916402456668</v>
      </c>
      <c r="BH56" s="4">
        <v>40.900032967264153</v>
      </c>
      <c r="BI56" s="4">
        <v>66.907070431584671</v>
      </c>
      <c r="BJ56" s="12">
        <v>23</v>
      </c>
      <c r="BK56" s="12">
        <v>6</v>
      </c>
      <c r="BL56" s="12">
        <v>19</v>
      </c>
      <c r="BM56" s="12">
        <v>2</v>
      </c>
      <c r="BN56" s="4">
        <v>53.501444055349111</v>
      </c>
      <c r="BO56" s="4">
        <v>57.929287108442573</v>
      </c>
      <c r="BP56" s="4">
        <v>52.085911989678515</v>
      </c>
      <c r="BQ56" s="4">
        <v>66.074668568855429</v>
      </c>
    </row>
    <row r="57" spans="2:69">
      <c r="C57" s="4"/>
      <c r="D57" s="4"/>
      <c r="E57" s="4"/>
      <c r="F57" s="4"/>
      <c r="H57" s="158" t="s">
        <v>585</v>
      </c>
      <c r="I57" s="199" t="str">
        <f>IFERROR(INDEX(指標マスタ[],MATCH($H57,指標マスタ['#],0),MATCH(I$8,指標マスタ[#Headers],0))&amp;"","")</f>
        <v/>
      </c>
      <c r="J57" s="199" t="str">
        <f>IFERROR(INDEX(指標マスタ[],MATCH($H57,指標マスタ['#],0),MATCH(J$8,指標マスタ[#Headers],0))&amp;"","")</f>
        <v/>
      </c>
      <c r="K57" s="199" t="str">
        <f>IFERROR(INDEX(指標マスタ[],MATCH($H57,指標マスタ['#],0),MATCH(K$8,指標マスタ[#Headers],0))&amp;"","")</f>
        <v>ICT環境の充実度</v>
      </c>
      <c r="L57" s="11" t="s">
        <v>354</v>
      </c>
      <c r="M57" s="11" t="s">
        <v>354</v>
      </c>
      <c r="N57" s="11"/>
      <c r="O57" s="11" t="s">
        <v>354</v>
      </c>
      <c r="P57" s="3">
        <f t="shared" ref="P57:P72" si="32">IF(L57=$J$3,$K$3,IF(L57=$J$4,$K$4,0))</f>
        <v>1</v>
      </c>
      <c r="Q57" s="3">
        <f t="shared" ref="Q57:Q72" si="33">IF(M57=$J$3,$K$3,IF(M57=$J$4,$K$4,0))</f>
        <v>1</v>
      </c>
      <c r="R57" s="3">
        <f t="shared" ref="R57:R72" si="34">IF(N57=$J$3,$K$3,IF(N57=$J$4,$K$4,0))</f>
        <v>0</v>
      </c>
      <c r="S57" s="3">
        <f t="shared" ref="S57:S72" si="35">IF(O57=$J$3,$K$3,IF(O57=$J$4,$K$4,0))</f>
        <v>1</v>
      </c>
      <c r="U57" s="2">
        <v>49</v>
      </c>
      <c r="V57" s="55"/>
      <c r="W57" s="3"/>
      <c r="X57" s="1"/>
      <c r="Y57" s="4"/>
      <c r="Z57" s="4"/>
      <c r="AA57" s="4"/>
      <c r="AB57" s="4"/>
      <c r="AC57" s="12"/>
      <c r="AD57" s="12"/>
      <c r="AE57" s="12"/>
      <c r="AF57" s="12"/>
      <c r="AG57" s="4"/>
      <c r="AH57" s="4"/>
      <c r="AI57" s="4"/>
      <c r="AJ57" s="4"/>
      <c r="BC57" s="55"/>
      <c r="BD57" s="3"/>
      <c r="BE57" s="1"/>
      <c r="BF57" s="4"/>
      <c r="BG57" s="4"/>
      <c r="BH57" s="4"/>
      <c r="BI57" s="4"/>
      <c r="BJ57" s="12"/>
      <c r="BK57" s="12"/>
      <c r="BL57" s="12"/>
      <c r="BM57" s="12"/>
      <c r="BN57" s="4"/>
      <c r="BO57" s="4"/>
      <c r="BP57" s="4"/>
      <c r="BQ57" s="4"/>
    </row>
    <row r="58" spans="2:69">
      <c r="C58" s="4"/>
      <c r="D58" s="4"/>
      <c r="E58" s="4"/>
      <c r="F58" s="4"/>
      <c r="H58" s="158" t="s">
        <v>586</v>
      </c>
      <c r="I58" s="199" t="str">
        <f>IFERROR(INDEX(指標マスタ[],MATCH($H58,指標マスタ['#],0),MATCH(I$8,指標マスタ[#Headers],0))&amp;"","")</f>
        <v/>
      </c>
      <c r="J58" s="199" t="str">
        <f>IFERROR(INDEX(指標マスタ[],MATCH($H58,指標マスタ['#],0),MATCH(J$8,指標マスタ[#Headers],0))&amp;"","")</f>
        <v/>
      </c>
      <c r="K58" s="199" t="str">
        <f>IFERROR(INDEX(指標マスタ[],MATCH($H58,指標マスタ['#],0),MATCH(K$8,指標マスタ[#Headers],0))&amp;"","")</f>
        <v>小売店舗の多さ</v>
      </c>
      <c r="L58" s="11"/>
      <c r="M58" s="11" t="s">
        <v>352</v>
      </c>
      <c r="N58" s="11"/>
      <c r="O58" s="11" t="s">
        <v>352</v>
      </c>
      <c r="P58" s="3">
        <f t="shared" si="32"/>
        <v>0</v>
      </c>
      <c r="Q58" s="3">
        <f t="shared" si="33"/>
        <v>5</v>
      </c>
      <c r="R58" s="3">
        <f t="shared" si="34"/>
        <v>0</v>
      </c>
      <c r="S58" s="3">
        <f t="shared" si="35"/>
        <v>5</v>
      </c>
      <c r="U58" s="2">
        <v>50</v>
      </c>
      <c r="V58" s="55"/>
      <c r="W58" s="3"/>
      <c r="X58" s="1"/>
      <c r="Y58" s="4"/>
      <c r="Z58" s="4"/>
      <c r="AA58" s="4"/>
      <c r="AB58" s="4"/>
      <c r="AC58" s="12"/>
      <c r="AD58" s="12"/>
      <c r="AE58" s="12"/>
      <c r="AF58" s="12"/>
      <c r="AG58" s="4"/>
      <c r="AH58" s="4"/>
      <c r="AI58" s="4"/>
      <c r="AJ58" s="4"/>
      <c r="BC58" s="55"/>
      <c r="BD58" s="3"/>
      <c r="BE58" s="1"/>
      <c r="BF58" s="4"/>
      <c r="BG58" s="4"/>
      <c r="BH58" s="4"/>
      <c r="BI58" s="4"/>
      <c r="BJ58" s="12"/>
      <c r="BK58" s="12"/>
      <c r="BL58" s="12"/>
      <c r="BM58" s="12"/>
      <c r="BN58" s="4"/>
      <c r="BO58" s="4"/>
      <c r="BP58" s="4"/>
      <c r="BQ58" s="4"/>
    </row>
    <row r="59" spans="2:69">
      <c r="H59" s="158" t="s">
        <v>587</v>
      </c>
      <c r="I59" s="199" t="str">
        <f>IFERROR(INDEX(指標マスタ[],MATCH($H59,指標マスタ['#],0),MATCH(I$8,指標マスタ[#Headers],0))&amp;"","")</f>
        <v/>
      </c>
      <c r="J59" s="199" t="str">
        <f>IFERROR(INDEX(指標マスタ[],MATCH($H59,指標マスタ['#],0),MATCH(J$8,指標マスタ[#Headers],0))&amp;"","")</f>
        <v/>
      </c>
      <c r="K59" s="199" t="str">
        <f>IFERROR(INDEX(指標マスタ[],MATCH($H59,指標マスタ['#],0),MATCH(K$8,指標マスタ[#Headers],0))&amp;"","")</f>
        <v>飲食店の多さ</v>
      </c>
      <c r="L59" s="11"/>
      <c r="M59" s="11" t="s">
        <v>352</v>
      </c>
      <c r="N59" s="11"/>
      <c r="O59" s="11" t="s">
        <v>352</v>
      </c>
      <c r="P59" s="3">
        <f t="shared" si="32"/>
        <v>0</v>
      </c>
      <c r="Q59" s="3">
        <f t="shared" si="33"/>
        <v>5</v>
      </c>
      <c r="R59" s="3">
        <f t="shared" si="34"/>
        <v>0</v>
      </c>
      <c r="S59" s="3">
        <f t="shared" si="35"/>
        <v>5</v>
      </c>
      <c r="BD59" s="2"/>
      <c r="BF59" s="2"/>
      <c r="BG59" s="2"/>
      <c r="BH59" s="2"/>
      <c r="BI59" s="2"/>
      <c r="BJ59" s="2"/>
      <c r="BK59" s="2"/>
      <c r="BL59" s="2"/>
      <c r="BM59" s="2"/>
      <c r="BN59" s="2"/>
      <c r="BO59" s="2"/>
      <c r="BP59" s="2"/>
      <c r="BQ59" s="2"/>
    </row>
    <row r="60" spans="2:69">
      <c r="H60" s="166" t="s">
        <v>588</v>
      </c>
      <c r="I60" s="204" t="str">
        <f>IFERROR(INDEX(指標マスタ[],MATCH($H60,指標マスタ['#],0),MATCH(I$8,指標マスタ[#Headers],0))&amp;"","")</f>
        <v>環境</v>
      </c>
      <c r="J60" s="204" t="str">
        <f>IFERROR(INDEX(指標マスタ[],MATCH($H60,指標マスタ['#],0),MATCH(J$8,指標マスタ[#Headers],0))&amp;"","")</f>
        <v>持続可能性</v>
      </c>
      <c r="K60" s="205" t="str">
        <f>IFERROR(INDEX(指標マスタ[],MATCH($H60,指標マスタ['#],0),MATCH(K$8,指標マスタ[#Headers],0))&amp;"","")</f>
        <v>環境への取り組み</v>
      </c>
      <c r="L60" s="330" t="s">
        <v>355</v>
      </c>
      <c r="M60" s="330" t="s">
        <v>355</v>
      </c>
      <c r="N60" s="330"/>
      <c r="O60" s="330"/>
      <c r="P60" s="3">
        <f t="shared" si="32"/>
        <v>1</v>
      </c>
      <c r="Q60" s="3">
        <f t="shared" si="33"/>
        <v>1</v>
      </c>
      <c r="R60" s="3">
        <f t="shared" si="34"/>
        <v>0</v>
      </c>
      <c r="S60" s="3">
        <f t="shared" si="35"/>
        <v>0</v>
      </c>
      <c r="X60" s="43" t="s">
        <v>363</v>
      </c>
      <c r="Y60" s="4">
        <f ca="1">MAX(Y9:Y58)</f>
        <v>67.097149837911942</v>
      </c>
      <c r="Z60" s="4">
        <f t="shared" ref="Z60:AJ60" ca="1" si="36">MAX(Z9:Z58)</f>
        <v>76.088914130294441</v>
      </c>
      <c r="AA60" s="4">
        <f t="shared" ca="1" si="36"/>
        <v>68.319325211647183</v>
      </c>
      <c r="AB60" s="4">
        <f t="shared" ca="1" si="36"/>
        <v>64.938637790274768</v>
      </c>
      <c r="AC60" s="12">
        <f t="shared" ca="1" si="36"/>
        <v>48</v>
      </c>
      <c r="AD60" s="12">
        <f t="shared" ca="1" si="36"/>
        <v>48</v>
      </c>
      <c r="AE60" s="12">
        <f t="shared" ca="1" si="36"/>
        <v>48</v>
      </c>
      <c r="AF60" s="12">
        <f t="shared" ca="1" si="36"/>
        <v>48</v>
      </c>
      <c r="AG60" s="4">
        <f t="shared" ca="1" si="36"/>
        <v>75.383722970577779</v>
      </c>
      <c r="AH60" s="4">
        <f t="shared" ca="1" si="36"/>
        <v>80.705895601653197</v>
      </c>
      <c r="AI60" s="4">
        <f t="shared" ca="1" si="36"/>
        <v>81.816068134922347</v>
      </c>
      <c r="AJ60" s="4">
        <f t="shared" ca="1" si="36"/>
        <v>65.852247312785735</v>
      </c>
      <c r="BD60" s="2"/>
      <c r="BE60" s="43" t="s">
        <v>607</v>
      </c>
      <c r="BF60" s="4">
        <v>66.288989080760871</v>
      </c>
      <c r="BG60" s="4">
        <v>73.597196735424433</v>
      </c>
      <c r="BH60" s="4">
        <v>72.255944105783016</v>
      </c>
      <c r="BI60" s="4">
        <v>64.836165554076587</v>
      </c>
      <c r="BJ60" s="12">
        <v>48</v>
      </c>
      <c r="BK60" s="12">
        <v>48</v>
      </c>
      <c r="BL60" s="12">
        <v>48</v>
      </c>
      <c r="BM60" s="12">
        <v>48</v>
      </c>
      <c r="BN60" s="4">
        <v>75.221313188043126</v>
      </c>
      <c r="BO60" s="4">
        <v>78.94814833648212</v>
      </c>
      <c r="BP60" s="4">
        <v>84.712243879445538</v>
      </c>
      <c r="BQ60" s="4">
        <v>66.129776872105978</v>
      </c>
    </row>
    <row r="61" spans="2:69">
      <c r="H61" s="166" t="s">
        <v>589</v>
      </c>
      <c r="I61" s="204" t="str">
        <f>IFERROR(INDEX(指標マスタ[],MATCH($H61,指標マスタ['#],0),MATCH(I$8,指標マスタ[#Headers],0))&amp;"","")</f>
        <v/>
      </c>
      <c r="J61" s="204" t="str">
        <f>IFERROR(INDEX(指標マスタ[],MATCH($H61,指標マスタ['#],0),MATCH(J$8,指標マスタ[#Headers],0))&amp;"","")</f>
        <v/>
      </c>
      <c r="K61" s="205" t="str">
        <f>IFERROR(INDEX(指標マスタ[],MATCH($H61,指標マスタ['#],0),MATCH(K$8,指標マスタ[#Headers],0))&amp;"","")</f>
        <v>再生可能エネルギー比率</v>
      </c>
      <c r="L61" s="330"/>
      <c r="M61" s="330" t="s">
        <v>355</v>
      </c>
      <c r="N61" s="330"/>
      <c r="O61" s="330"/>
      <c r="P61" s="3">
        <f t="shared" si="32"/>
        <v>0</v>
      </c>
      <c r="Q61" s="3">
        <f t="shared" si="33"/>
        <v>1</v>
      </c>
      <c r="R61" s="3">
        <f t="shared" si="34"/>
        <v>0</v>
      </c>
      <c r="S61" s="3">
        <f t="shared" si="35"/>
        <v>0</v>
      </c>
      <c r="X61" s="43" t="s">
        <v>364</v>
      </c>
      <c r="Y61" s="4">
        <f t="shared" ref="Y61:AJ61" ca="1" si="37">MIN(Y9:Y58)</f>
        <v>20.224266958359781</v>
      </c>
      <c r="Z61" s="4">
        <f t="shared" ca="1" si="37"/>
        <v>26.700595895152219</v>
      </c>
      <c r="AA61" s="4">
        <f t="shared" ca="1" si="37"/>
        <v>23.963060378949056</v>
      </c>
      <c r="AB61" s="4">
        <f t="shared" ca="1" si="37"/>
        <v>35.109076419946852</v>
      </c>
      <c r="AC61" s="12">
        <f t="shared" ca="1" si="37"/>
        <v>1</v>
      </c>
      <c r="AD61" s="12">
        <f t="shared" ca="1" si="37"/>
        <v>1</v>
      </c>
      <c r="AE61" s="12">
        <f t="shared" ca="1" si="37"/>
        <v>1</v>
      </c>
      <c r="AF61" s="12">
        <f t="shared" ca="1" si="37"/>
        <v>1</v>
      </c>
      <c r="AG61" s="4">
        <f t="shared" ca="1" si="37"/>
        <v>27.653775669203043</v>
      </c>
      <c r="AH61" s="4">
        <f t="shared" ca="1" si="37"/>
        <v>27.044429571148434</v>
      </c>
      <c r="AI61" s="4">
        <f t="shared" ca="1" si="37"/>
        <v>34.928899955157377</v>
      </c>
      <c r="AJ61" s="4">
        <f t="shared" ca="1" si="37"/>
        <v>27.500104537619947</v>
      </c>
      <c r="BD61" s="2"/>
      <c r="BE61" s="43" t="s">
        <v>608</v>
      </c>
      <c r="BF61" s="4">
        <v>21.013247149617392</v>
      </c>
      <c r="BG61" s="4">
        <v>25.580867555381111</v>
      </c>
      <c r="BH61" s="4">
        <v>22.262827719041507</v>
      </c>
      <c r="BI61" s="4">
        <v>31.231050552896402</v>
      </c>
      <c r="BJ61" s="12">
        <v>1</v>
      </c>
      <c r="BK61" s="12">
        <v>1</v>
      </c>
      <c r="BL61" s="12">
        <v>1</v>
      </c>
      <c r="BM61" s="12">
        <v>1</v>
      </c>
      <c r="BN61" s="4">
        <v>28.262480235577037</v>
      </c>
      <c r="BO61" s="4">
        <v>28.976886252049496</v>
      </c>
      <c r="BP61" s="4">
        <v>33.256487453927917</v>
      </c>
      <c r="BQ61" s="4">
        <v>22.943095879964069</v>
      </c>
    </row>
    <row r="62" spans="2:69">
      <c r="H62" s="166" t="s">
        <v>590</v>
      </c>
      <c r="I62" s="204" t="str">
        <f>IFERROR(INDEX(指標マスタ[],MATCH($H62,指標マスタ['#],0),MATCH(I$8,指標マスタ[#Headers],0))&amp;"","")</f>
        <v/>
      </c>
      <c r="J62" s="204" t="str">
        <f>IFERROR(INDEX(指標マスタ[],MATCH($H62,指標マスタ['#],0),MATCH(J$8,指標マスタ[#Headers],0))&amp;"","")</f>
        <v/>
      </c>
      <c r="K62" s="205" t="str">
        <f>IFERROR(INDEX(指標マスタ[],MATCH($H62,指標マスタ['#],0),MATCH(K$8,指標マスタ[#Headers],0))&amp;"","")</f>
        <v>リサイクル率</v>
      </c>
      <c r="L62" s="330"/>
      <c r="M62" s="330" t="s">
        <v>355</v>
      </c>
      <c r="N62" s="330"/>
      <c r="O62" s="330"/>
      <c r="P62" s="3">
        <f t="shared" si="32"/>
        <v>0</v>
      </c>
      <c r="Q62" s="3">
        <f t="shared" si="33"/>
        <v>1</v>
      </c>
      <c r="R62" s="3">
        <f t="shared" si="34"/>
        <v>0</v>
      </c>
      <c r="S62" s="3">
        <f t="shared" si="35"/>
        <v>0</v>
      </c>
      <c r="X62" s="43" t="s">
        <v>360</v>
      </c>
      <c r="Y62" s="4">
        <f ca="1">AVERAGE(Y9:Y58)</f>
        <v>42.169230552054678</v>
      </c>
      <c r="Z62" s="4">
        <f t="shared" ref="Z62:AJ62" ca="1" si="38">AVERAGE(Z9:Z58)</f>
        <v>47.828177779792668</v>
      </c>
      <c r="AA62" s="4">
        <f t="shared" ca="1" si="38"/>
        <v>38.220643655168978</v>
      </c>
      <c r="AB62" s="4">
        <f t="shared" ca="1" si="38"/>
        <v>52.609063746746926</v>
      </c>
      <c r="AC62" s="12">
        <f t="shared" ca="1" si="38"/>
        <v>24.5</v>
      </c>
      <c r="AD62" s="12">
        <f t="shared" ca="1" si="38"/>
        <v>24.5</v>
      </c>
      <c r="AE62" s="12">
        <f t="shared" ca="1" si="38"/>
        <v>24.5</v>
      </c>
      <c r="AF62" s="12">
        <f t="shared" ca="1" si="38"/>
        <v>24.5</v>
      </c>
      <c r="AG62" s="4">
        <f t="shared" ca="1" si="38"/>
        <v>50.000000000000021</v>
      </c>
      <c r="AH62" s="4">
        <f t="shared" ca="1" si="38"/>
        <v>49.999999999999979</v>
      </c>
      <c r="AI62" s="4">
        <f t="shared" ca="1" si="38"/>
        <v>49.999999999999993</v>
      </c>
      <c r="AJ62" s="4">
        <f t="shared" ca="1" si="38"/>
        <v>50</v>
      </c>
      <c r="BD62" s="2"/>
      <c r="BE62" s="43" t="s">
        <v>609</v>
      </c>
      <c r="BF62" s="4">
        <v>41.971654188254405</v>
      </c>
      <c r="BG62" s="4">
        <v>45.781533057995205</v>
      </c>
      <c r="BH62" s="4">
        <v>38.530402614190429</v>
      </c>
      <c r="BI62" s="4">
        <v>52.28500407840945</v>
      </c>
      <c r="BJ62" s="12">
        <v>24.5</v>
      </c>
      <c r="BK62" s="12">
        <v>24.5</v>
      </c>
      <c r="BL62" s="12">
        <v>24.5</v>
      </c>
      <c r="BM62" s="12">
        <v>24.5</v>
      </c>
      <c r="BN62" s="4">
        <v>49.999999999999993</v>
      </c>
      <c r="BO62" s="4">
        <v>50.000000000000007</v>
      </c>
      <c r="BP62" s="4">
        <v>50.000000000000007</v>
      </c>
      <c r="BQ62" s="4">
        <v>50.000000000000007</v>
      </c>
    </row>
    <row r="63" spans="2:69">
      <c r="H63" s="166" t="s">
        <v>591</v>
      </c>
      <c r="I63" s="204" t="str">
        <f>IFERROR(INDEX(指標マスタ[],MATCH($H63,指標マスタ['#],0),MATCH(I$8,指標マスタ[#Headers],0))&amp;"","")</f>
        <v/>
      </c>
      <c r="J63" s="204" t="str">
        <f>IFERROR(INDEX(指標マスタ[],MATCH($H63,指標マスタ['#],0),MATCH(J$8,指標マスタ[#Headers],0))&amp;"","")</f>
        <v>空気環境</v>
      </c>
      <c r="K63" s="205" t="str">
        <f>IFERROR(INDEX(指標マスタ[],MATCH($H63,指標マスタ['#],0),MATCH(K$8,指標マスタ[#Headers],0))&amp;"","")</f>
        <v>1人あたりのCO2排出量の少なさ</v>
      </c>
      <c r="L63" s="330"/>
      <c r="M63" s="330" t="s">
        <v>355</v>
      </c>
      <c r="N63" s="330"/>
      <c r="O63" s="330" t="s">
        <v>354</v>
      </c>
      <c r="P63" s="3">
        <f t="shared" si="32"/>
        <v>0</v>
      </c>
      <c r="Q63" s="3">
        <f t="shared" si="33"/>
        <v>1</v>
      </c>
      <c r="R63" s="3">
        <f t="shared" si="34"/>
        <v>0</v>
      </c>
      <c r="S63" s="3">
        <f t="shared" si="35"/>
        <v>1</v>
      </c>
      <c r="X63" s="43" t="s">
        <v>220</v>
      </c>
      <c r="Y63" s="4">
        <f t="shared" ref="Y63:AJ63" ca="1" si="39">_xlfn.STDEV.P(Y9:Y58)</f>
        <v>9.8204346599398225</v>
      </c>
      <c r="Z63" s="4">
        <f t="shared" ca="1" si="39"/>
        <v>9.2036841123696842</v>
      </c>
      <c r="AA63" s="4">
        <f t="shared" ca="1" si="39"/>
        <v>9.460214074485501</v>
      </c>
      <c r="AB63" s="4">
        <f t="shared" ca="1" si="39"/>
        <v>7.7778082818474186</v>
      </c>
      <c r="AC63" s="12">
        <f t="shared" ca="1" si="39"/>
        <v>13.853399101544236</v>
      </c>
      <c r="AD63" s="12">
        <f t="shared" ca="1" si="39"/>
        <v>13.853399101544236</v>
      </c>
      <c r="AE63" s="12">
        <f t="shared" ca="1" si="39"/>
        <v>13.853399101544236</v>
      </c>
      <c r="AF63" s="12">
        <f t="shared" ca="1" si="39"/>
        <v>13.853399101544236</v>
      </c>
      <c r="AG63" s="4">
        <f t="shared" ca="1" si="39"/>
        <v>9.9999999999998384</v>
      </c>
      <c r="AH63" s="4">
        <f t="shared" ca="1" si="39"/>
        <v>10.000000000000082</v>
      </c>
      <c r="AI63" s="4">
        <f t="shared" ca="1" si="39"/>
        <v>10.000000000000082</v>
      </c>
      <c r="AJ63" s="4">
        <f t="shared" ca="1" si="39"/>
        <v>10.000000000000142</v>
      </c>
      <c r="BD63" s="2"/>
      <c r="BE63" s="43" t="s">
        <v>610</v>
      </c>
      <c r="BF63" s="4">
        <v>9.6415815906186797</v>
      </c>
      <c r="BG63" s="4">
        <v>9.6087885670995856</v>
      </c>
      <c r="BH63" s="4">
        <v>9.7157480250254835</v>
      </c>
      <c r="BI63" s="4">
        <v>7.7813608800581022</v>
      </c>
      <c r="BJ63" s="12">
        <v>13.853399101544236</v>
      </c>
      <c r="BK63" s="12">
        <v>13.853399101544236</v>
      </c>
      <c r="BL63" s="12">
        <v>13.853399101544236</v>
      </c>
      <c r="BM63" s="12">
        <v>13.853399101544236</v>
      </c>
      <c r="BN63" s="4">
        <v>10</v>
      </c>
      <c r="BO63" s="4">
        <v>9.9999999999999591</v>
      </c>
      <c r="BP63" s="4">
        <v>9.9999999999999805</v>
      </c>
      <c r="BQ63" s="4">
        <v>9.9999999999998579</v>
      </c>
    </row>
    <row r="64" spans="2:69">
      <c r="H64" s="166" t="s">
        <v>592</v>
      </c>
      <c r="I64" s="204" t="str">
        <f>IFERROR(INDEX(指標マスタ[],MATCH($H64,指標マスタ['#],0),MATCH(I$8,指標マスタ[#Headers],0))&amp;"","")</f>
        <v/>
      </c>
      <c r="J64" s="204" t="str">
        <f>IFERROR(INDEX(指標マスタ[],MATCH($H64,指標マスタ['#],0),MATCH(J$8,指標マスタ[#Headers],0))&amp;"","")</f>
        <v/>
      </c>
      <c r="K64" s="205" t="str">
        <f>IFERROR(INDEX(指標マスタ[],MATCH($H64,指標マスタ['#],0),MATCH(K$8,指標マスタ[#Headers],0))&amp;"","")</f>
        <v>空気のきれいさ</v>
      </c>
      <c r="L64" s="330"/>
      <c r="M64" s="330" t="s">
        <v>355</v>
      </c>
      <c r="N64" s="330" t="s">
        <v>355</v>
      </c>
      <c r="O64" s="330" t="s">
        <v>2499</v>
      </c>
      <c r="P64" s="3">
        <f t="shared" si="32"/>
        <v>0</v>
      </c>
      <c r="Q64" s="3">
        <f t="shared" si="33"/>
        <v>1</v>
      </c>
      <c r="R64" s="3">
        <f t="shared" si="34"/>
        <v>1</v>
      </c>
      <c r="S64" s="3">
        <f t="shared" si="35"/>
        <v>5</v>
      </c>
    </row>
    <row r="65" spans="8:19">
      <c r="H65" s="166" t="s">
        <v>593</v>
      </c>
      <c r="I65" s="204" t="str">
        <f>IFERROR(INDEX(指標マスタ[],MATCH($H65,指標マスタ['#],0),MATCH(I$8,指標マスタ[#Headers],0))&amp;"","")</f>
        <v/>
      </c>
      <c r="J65" s="204" t="str">
        <f>IFERROR(INDEX(指標マスタ[],MATCH($H65,指標マスタ['#],0),MATCH(J$8,指標マスタ[#Headers],0))&amp;"","")</f>
        <v/>
      </c>
      <c r="K65" s="205" t="str">
        <f>IFERROR(INDEX(指標マスタ[],MATCH($H65,指標マスタ['#],0),MATCH(K$8,指標マスタ[#Headers],0))&amp;"","")</f>
        <v>気温の快適性</v>
      </c>
      <c r="L65" s="330"/>
      <c r="M65" s="330" t="s">
        <v>355</v>
      </c>
      <c r="N65" s="330" t="s">
        <v>355</v>
      </c>
      <c r="O65" s="330" t="s">
        <v>2499</v>
      </c>
      <c r="P65" s="3">
        <f t="shared" si="32"/>
        <v>0</v>
      </c>
      <c r="Q65" s="3">
        <f t="shared" si="33"/>
        <v>1</v>
      </c>
      <c r="R65" s="3">
        <f t="shared" si="34"/>
        <v>1</v>
      </c>
      <c r="S65" s="3">
        <f t="shared" si="35"/>
        <v>5</v>
      </c>
    </row>
    <row r="66" spans="8:19">
      <c r="H66" s="166" t="s">
        <v>594</v>
      </c>
      <c r="I66" s="204" t="str">
        <f>IFERROR(INDEX(指標マスタ[],MATCH($H66,指標マスタ['#],0),MATCH(I$8,指標マスタ[#Headers],0))&amp;"","")</f>
        <v/>
      </c>
      <c r="J66" s="204" t="str">
        <f>IFERROR(INDEX(指標マスタ[],MATCH($H66,指標マスタ['#],0),MATCH(J$8,指標マスタ[#Headers],0))&amp;"","")</f>
        <v>都市環境</v>
      </c>
      <c r="K66" s="205" t="str">
        <f>IFERROR(INDEX(指標マスタ[],MATCH($H66,指標マスタ['#],0),MATCH(K$8,指標マスタ[#Headers],0))&amp;"","")</f>
        <v>水質の良好性</v>
      </c>
      <c r="L66" s="330"/>
      <c r="M66" s="330" t="s">
        <v>355</v>
      </c>
      <c r="N66" s="330" t="s">
        <v>354</v>
      </c>
      <c r="O66" s="330" t="s">
        <v>2499</v>
      </c>
      <c r="P66" s="3">
        <f t="shared" si="32"/>
        <v>0</v>
      </c>
      <c r="Q66" s="3">
        <f t="shared" si="33"/>
        <v>1</v>
      </c>
      <c r="R66" s="3">
        <f t="shared" si="34"/>
        <v>1</v>
      </c>
      <c r="S66" s="3">
        <f t="shared" si="35"/>
        <v>5</v>
      </c>
    </row>
    <row r="67" spans="8:19">
      <c r="H67" s="166" t="s">
        <v>595</v>
      </c>
      <c r="I67" s="204" t="str">
        <f>IFERROR(INDEX(指標マスタ[],MATCH($H67,指標マスタ['#],0),MATCH(I$8,指標マスタ[#Headers],0))&amp;"","")</f>
        <v/>
      </c>
      <c r="J67" s="204" t="str">
        <f>IFERROR(INDEX(指標マスタ[],MATCH($H67,指標マスタ['#],0),MATCH(J$8,指標マスタ[#Headers],0))&amp;"","")</f>
        <v/>
      </c>
      <c r="K67" s="205" t="str">
        <f>IFERROR(INDEX(指標マスタ[],MATCH($H67,指標マスタ['#],0),MATCH(K$8,指標マスタ[#Headers],0))&amp;"","")</f>
        <v>緑地の充実度</v>
      </c>
      <c r="L67" s="330"/>
      <c r="M67" s="330" t="s">
        <v>355</v>
      </c>
      <c r="N67" s="330" t="s">
        <v>2499</v>
      </c>
      <c r="O67" s="330" t="s">
        <v>2499</v>
      </c>
      <c r="P67" s="3">
        <f t="shared" si="32"/>
        <v>0</v>
      </c>
      <c r="Q67" s="3">
        <f t="shared" si="33"/>
        <v>1</v>
      </c>
      <c r="R67" s="3">
        <f t="shared" si="34"/>
        <v>5</v>
      </c>
      <c r="S67" s="3">
        <f t="shared" si="35"/>
        <v>5</v>
      </c>
    </row>
    <row r="68" spans="8:19">
      <c r="H68" s="166" t="s">
        <v>596</v>
      </c>
      <c r="I68" s="204" t="str">
        <f>IFERROR(INDEX(指標マスタ[],MATCH($H68,指標マスタ['#],0),MATCH(I$8,指標マスタ[#Headers],0))&amp;"","")</f>
        <v/>
      </c>
      <c r="J68" s="204" t="str">
        <f>IFERROR(INDEX(指標マスタ[],MATCH($H68,指標マスタ['#],0),MATCH(J$8,指標マスタ[#Headers],0))&amp;"","")</f>
        <v/>
      </c>
      <c r="K68" s="205" t="str">
        <f>IFERROR(INDEX(指標マスタ[],MATCH($H68,指標マスタ['#],0),MATCH(K$8,指標マスタ[#Headers],0))&amp;"","")</f>
        <v>都市空間の清潔さ</v>
      </c>
      <c r="L68" s="330"/>
      <c r="M68" s="330" t="s">
        <v>355</v>
      </c>
      <c r="N68" s="330" t="s">
        <v>2499</v>
      </c>
      <c r="O68" s="330" t="s">
        <v>2499</v>
      </c>
      <c r="P68" s="3">
        <f t="shared" si="32"/>
        <v>0</v>
      </c>
      <c r="Q68" s="3">
        <f t="shared" si="33"/>
        <v>1</v>
      </c>
      <c r="R68" s="3">
        <f t="shared" si="34"/>
        <v>5</v>
      </c>
      <c r="S68" s="3">
        <f t="shared" si="35"/>
        <v>5</v>
      </c>
    </row>
    <row r="69" spans="8:19">
      <c r="H69" s="174" t="s">
        <v>597</v>
      </c>
      <c r="I69" s="209" t="str">
        <f>IFERROR(INDEX(指標マスタ[],MATCH($H69,指標マスタ['#],0),MATCH(I$8,指標マスタ[#Headers],0))&amp;"","")</f>
        <v>交通・アクセス</v>
      </c>
      <c r="J69" s="209" t="str">
        <f>IFERROR(INDEX(指標マスタ[],MATCH($H69,指標マスタ['#],0),MATCH(J$8,指標マスタ[#Headers],0))&amp;"","")</f>
        <v>国際ネットワーク</v>
      </c>
      <c r="K69" s="210" t="str">
        <f>IFERROR(INDEX(指標マスタ[],MATCH($H69,指標マスタ['#],0),MATCH(K$8,指標マスタ[#Headers],0))&amp;"","")</f>
        <v>国際線直行便就航都市数</v>
      </c>
      <c r="L69" s="330" t="s">
        <v>352</v>
      </c>
      <c r="M69" s="330" t="s">
        <v>352</v>
      </c>
      <c r="N69" s="330" t="s">
        <v>353</v>
      </c>
      <c r="O69" s="330"/>
      <c r="P69" s="3">
        <f t="shared" si="32"/>
        <v>5</v>
      </c>
      <c r="Q69" s="3">
        <f t="shared" si="33"/>
        <v>5</v>
      </c>
      <c r="R69" s="3">
        <f t="shared" si="34"/>
        <v>5</v>
      </c>
      <c r="S69" s="3">
        <f t="shared" si="35"/>
        <v>0</v>
      </c>
    </row>
    <row r="70" spans="8:19">
      <c r="H70" s="174" t="s">
        <v>598</v>
      </c>
      <c r="I70" s="209" t="str">
        <f>IFERROR(INDEX(指標マスタ[],MATCH($H70,指標マスタ['#],0),MATCH(I$8,指標マスタ[#Headers],0))&amp;"","")</f>
        <v/>
      </c>
      <c r="J70" s="209" t="str">
        <f>IFERROR(INDEX(指標マスタ[],MATCH($H70,指標マスタ['#],0),MATCH(J$8,指標マスタ[#Headers],0))&amp;"","")</f>
        <v/>
      </c>
      <c r="K70" s="210" t="str">
        <f>IFERROR(INDEX(指標マスタ[],MATCH($H70,指標マスタ['#],0),MATCH(K$8,指標マスタ[#Headers],0))&amp;"","")</f>
        <v>国際貨物流通規模</v>
      </c>
      <c r="L70" s="330" t="s">
        <v>436</v>
      </c>
      <c r="M70" s="330"/>
      <c r="N70" s="330"/>
      <c r="O70" s="330"/>
      <c r="P70" s="3">
        <f t="shared" si="32"/>
        <v>1</v>
      </c>
      <c r="Q70" s="3">
        <f t="shared" si="33"/>
        <v>0</v>
      </c>
      <c r="R70" s="3">
        <f t="shared" si="34"/>
        <v>0</v>
      </c>
      <c r="S70" s="3">
        <f t="shared" si="35"/>
        <v>0</v>
      </c>
    </row>
    <row r="71" spans="8:19">
      <c r="H71" s="174" t="s">
        <v>599</v>
      </c>
      <c r="I71" s="209" t="str">
        <f>IFERROR(INDEX(指標マスタ[],MATCH($H71,指標マスタ['#],0),MATCH(I$8,指標マスタ[#Headers],0))&amp;"","")</f>
        <v/>
      </c>
      <c r="J71" s="209" t="str">
        <f>IFERROR(INDEX(指標マスタ[],MATCH($H71,指標マスタ['#],0),MATCH(J$8,指標マスタ[#Headers],0))&amp;"","")</f>
        <v>航空キャパシティ</v>
      </c>
      <c r="K71" s="210" t="str">
        <f>IFERROR(INDEX(指標マスタ[],MATCH($H71,指標マスタ['#],0),MATCH(K$8,指標マスタ[#Headers],0))&amp;"","")</f>
        <v>国内・国際線旅客数</v>
      </c>
      <c r="L71" s="330"/>
      <c r="M71" s="330"/>
      <c r="N71" s="330" t="s">
        <v>355</v>
      </c>
      <c r="O71" s="330"/>
      <c r="P71" s="3">
        <f t="shared" si="32"/>
        <v>0</v>
      </c>
      <c r="Q71" s="3">
        <f t="shared" si="33"/>
        <v>0</v>
      </c>
      <c r="R71" s="3">
        <f t="shared" si="34"/>
        <v>1</v>
      </c>
      <c r="S71" s="3">
        <f t="shared" si="35"/>
        <v>0</v>
      </c>
    </row>
    <row r="72" spans="8:19">
      <c r="H72" s="174" t="s">
        <v>600</v>
      </c>
      <c r="I72" s="209" t="str">
        <f>IFERROR(INDEX(指標マスタ[],MATCH($H72,指標マスタ['#],0),MATCH(I$8,指標マスタ[#Headers],0))&amp;"","")</f>
        <v/>
      </c>
      <c r="J72" s="209" t="str">
        <f>IFERROR(INDEX(指標マスタ[],MATCH($H72,指標マスタ['#],0),MATCH(J$8,指標マスタ[#Headers],0))&amp;"","")</f>
        <v/>
      </c>
      <c r="K72" s="210" t="str">
        <f>IFERROR(INDEX(指標マスタ[],MATCH($H72,指標マスタ['#],0),MATCH(K$8,指標マスタ[#Headers],0))&amp;"","")</f>
        <v>航空機の発着回数</v>
      </c>
      <c r="L72" s="330"/>
      <c r="M72" s="330"/>
      <c r="N72" s="330" t="s">
        <v>2499</v>
      </c>
      <c r="O72" s="330"/>
      <c r="P72" s="3">
        <f t="shared" si="32"/>
        <v>0</v>
      </c>
      <c r="Q72" s="3">
        <f t="shared" si="33"/>
        <v>0</v>
      </c>
      <c r="R72" s="3">
        <f t="shared" si="34"/>
        <v>5</v>
      </c>
      <c r="S72" s="3">
        <f t="shared" si="35"/>
        <v>0</v>
      </c>
    </row>
    <row r="73" spans="8:19">
      <c r="H73" s="174" t="s">
        <v>601</v>
      </c>
      <c r="I73" s="209" t="str">
        <f>IFERROR(INDEX(指標マスタ[],MATCH($H73,指標マスタ['#],0),MATCH(I$8,指標マスタ[#Headers],0))&amp;"","")</f>
        <v/>
      </c>
      <c r="J73" s="209" t="str">
        <f>IFERROR(INDEX(指標マスタ[],MATCH($H73,指標マスタ['#],0),MATCH(J$8,指標マスタ[#Headers],0))&amp;"","")</f>
        <v>都市内交通</v>
      </c>
      <c r="K73" s="210" t="str">
        <f>IFERROR(INDEX(指標マスタ[],MATCH($H73,指標マスタ['#],0),MATCH(K$8,指標マスタ[#Headers],0))&amp;"","")</f>
        <v>駅密度</v>
      </c>
      <c r="L73" s="330"/>
      <c r="M73" s="330"/>
      <c r="N73" s="330" t="s">
        <v>436</v>
      </c>
      <c r="O73" s="330" t="s">
        <v>352</v>
      </c>
      <c r="P73" s="3">
        <f t="shared" ref="P73:P78" si="40">IF(L73=$J$3,$K$3,IF(L73=$J$4,$K$4,0))</f>
        <v>0</v>
      </c>
      <c r="Q73" s="3">
        <f t="shared" ref="Q73:Q78" si="41">IF(M73=$J$3,$K$3,IF(M73=$J$4,$K$4,0))</f>
        <v>0</v>
      </c>
      <c r="R73" s="3">
        <f t="shared" ref="R73:R78" si="42">IF(N73=$J$3,$K$3,IF(N73=$J$4,$K$4,0))</f>
        <v>1</v>
      </c>
      <c r="S73" s="3">
        <f t="shared" ref="S73:S78" si="43">IF(O73=$J$3,$K$3,IF(O73=$J$4,$K$4,0))</f>
        <v>5</v>
      </c>
    </row>
    <row r="74" spans="8:19">
      <c r="H74" s="174" t="s">
        <v>602</v>
      </c>
      <c r="I74" s="209" t="str">
        <f>IFERROR(INDEX(指標マスタ[],MATCH($H74,指標マスタ['#],0),MATCH(I$8,指標マスタ[#Headers],0))&amp;"","")</f>
        <v/>
      </c>
      <c r="J74" s="209" t="str">
        <f>IFERROR(INDEX(指標マスタ[],MATCH($H74,指標マスタ['#],0),MATCH(J$8,指標マスタ[#Headers],0))&amp;"","")</f>
        <v/>
      </c>
      <c r="K74" s="210" t="str">
        <f>IFERROR(INDEX(指標マスタ[],MATCH($H74,指標マスタ['#],0),MATCH(K$8,指標マスタ[#Headers],0))&amp;"","")</f>
        <v>公共交通機関利用率</v>
      </c>
      <c r="L74" s="330"/>
      <c r="M74" s="330"/>
      <c r="N74" s="330" t="s">
        <v>354</v>
      </c>
      <c r="O74" s="330" t="s">
        <v>352</v>
      </c>
      <c r="P74" s="3">
        <f t="shared" si="40"/>
        <v>0</v>
      </c>
      <c r="Q74" s="3">
        <f t="shared" si="41"/>
        <v>0</v>
      </c>
      <c r="R74" s="3">
        <f t="shared" si="42"/>
        <v>1</v>
      </c>
      <c r="S74" s="3">
        <f t="shared" si="43"/>
        <v>5</v>
      </c>
    </row>
    <row r="75" spans="8:19">
      <c r="H75" s="174" t="s">
        <v>603</v>
      </c>
      <c r="I75" s="209" t="str">
        <f>IFERROR(INDEX(指標マスタ[],MATCH($H75,指標マスタ['#],0),MATCH(I$8,指標マスタ[#Headers],0))&amp;"","")</f>
        <v/>
      </c>
      <c r="J75" s="209" t="str">
        <f>IFERROR(INDEX(指標マスタ[],MATCH($H75,指標マスタ['#],0),MATCH(J$8,指標マスタ[#Headers],0))&amp;"","")</f>
        <v/>
      </c>
      <c r="K75" s="210" t="str">
        <f>IFERROR(INDEX(指標マスタ[],MATCH($H75,指標マスタ['#],0),MATCH(K$8,指標マスタ[#Headers],0))&amp;"","")</f>
        <v>空港アクセス時間の短さ</v>
      </c>
      <c r="L75" s="330" t="s">
        <v>354</v>
      </c>
      <c r="M75" s="330"/>
      <c r="N75" s="330" t="s">
        <v>354</v>
      </c>
      <c r="O75" s="330"/>
      <c r="P75" s="3">
        <f t="shared" si="40"/>
        <v>1</v>
      </c>
      <c r="Q75" s="3">
        <f t="shared" si="41"/>
        <v>0</v>
      </c>
      <c r="R75" s="3">
        <f t="shared" si="42"/>
        <v>1</v>
      </c>
      <c r="S75" s="3">
        <f t="shared" si="43"/>
        <v>0</v>
      </c>
    </row>
    <row r="76" spans="8:19">
      <c r="H76" s="174" t="s">
        <v>604</v>
      </c>
      <c r="I76" s="209" t="str">
        <f>IFERROR(INDEX(指標マスタ[],MATCH($H76,指標マスタ['#],0),MATCH(I$8,指標マスタ[#Headers],0))&amp;"","")</f>
        <v/>
      </c>
      <c r="J76" s="209" t="str">
        <f>IFERROR(INDEX(指標マスタ[],MATCH($H76,指標マスタ['#],0),MATCH(J$8,指標マスタ[#Headers],0))&amp;"","")</f>
        <v>移動の快適性</v>
      </c>
      <c r="K76" s="210" t="str">
        <f>IFERROR(INDEX(指標マスタ[],MATCH($H76,指標マスタ['#],0),MATCH(K$8,指標マスタ[#Headers],0))&amp;"","")</f>
        <v>通勤・通学時間の短さ</v>
      </c>
      <c r="L76" s="330" t="s">
        <v>354</v>
      </c>
      <c r="M76" s="330" t="s">
        <v>352</v>
      </c>
      <c r="N76" s="330"/>
      <c r="O76" s="330" t="s">
        <v>352</v>
      </c>
      <c r="P76" s="3">
        <f t="shared" si="40"/>
        <v>1</v>
      </c>
      <c r="Q76" s="3">
        <f t="shared" si="41"/>
        <v>5</v>
      </c>
      <c r="R76" s="3">
        <f t="shared" si="42"/>
        <v>0</v>
      </c>
      <c r="S76" s="3">
        <f t="shared" si="43"/>
        <v>5</v>
      </c>
    </row>
    <row r="77" spans="8:19">
      <c r="H77" s="174" t="s">
        <v>605</v>
      </c>
      <c r="I77" s="209" t="str">
        <f>IFERROR(INDEX(指標マスタ[],MATCH($H77,指標マスタ['#],0),MATCH(I$8,指標マスタ[#Headers],0))&amp;"","")</f>
        <v/>
      </c>
      <c r="J77" s="209" t="str">
        <f>IFERROR(INDEX(指標マスタ[],MATCH($H77,指標マスタ['#],0),MATCH(J$8,指標マスタ[#Headers],0))&amp;"","")</f>
        <v/>
      </c>
      <c r="K77" s="210" t="str">
        <f>IFERROR(INDEX(指標マスタ[],MATCH($H77,指標マスタ['#],0),MATCH(K$8,指標マスタ[#Headers],0))&amp;"","")</f>
        <v>自動車の移動速度</v>
      </c>
      <c r="L77" s="330" t="s">
        <v>354</v>
      </c>
      <c r="M77" s="330"/>
      <c r="N77" s="330" t="s">
        <v>352</v>
      </c>
      <c r="O77" s="330" t="s">
        <v>352</v>
      </c>
      <c r="P77" s="3">
        <f t="shared" si="40"/>
        <v>1</v>
      </c>
      <c r="Q77" s="3">
        <f t="shared" si="41"/>
        <v>0</v>
      </c>
      <c r="R77" s="3">
        <f t="shared" si="42"/>
        <v>5</v>
      </c>
      <c r="S77" s="3">
        <f t="shared" si="43"/>
        <v>5</v>
      </c>
    </row>
    <row r="78" spans="8:19">
      <c r="H78" s="174" t="s">
        <v>606</v>
      </c>
      <c r="I78" s="209" t="str">
        <f>IFERROR(INDEX(指標マスタ[],MATCH($H78,指標マスタ['#],0),MATCH(I$8,指標マスタ[#Headers],0))&amp;"","")</f>
        <v/>
      </c>
      <c r="J78" s="209" t="str">
        <f>IFERROR(INDEX(指標マスタ[],MATCH($H78,指標マスタ['#],0),MATCH(J$8,指標マスタ[#Headers],0))&amp;"","")</f>
        <v/>
      </c>
      <c r="K78" s="210" t="str">
        <f>IFERROR(INDEX(指標マスタ[],MATCH($H78,指標マスタ['#],0),MATCH(K$8,指標マスタ[#Headers],0))&amp;"","")</f>
        <v>タクシー・自転車での移動のしやすさ</v>
      </c>
      <c r="L78" s="330" t="s">
        <v>355</v>
      </c>
      <c r="M78" s="330" t="s">
        <v>354</v>
      </c>
      <c r="N78" s="330" t="s">
        <v>353</v>
      </c>
      <c r="O78" s="330" t="s">
        <v>352</v>
      </c>
      <c r="P78" s="3">
        <f t="shared" si="40"/>
        <v>1</v>
      </c>
      <c r="Q78" s="3">
        <f t="shared" si="41"/>
        <v>1</v>
      </c>
      <c r="R78" s="3">
        <f t="shared" si="42"/>
        <v>5</v>
      </c>
      <c r="S78" s="3">
        <f t="shared" si="43"/>
        <v>5</v>
      </c>
    </row>
  </sheetData>
  <autoFilter ref="B8:BA8" xr:uid="{00000000-0001-0000-0C00-000000000000}">
    <sortState xmlns:xlrd2="http://schemas.microsoft.com/office/spreadsheetml/2017/richdata2" ref="B9:BA56">
      <sortCondition ref="AL8"/>
    </sortState>
  </autoFilter>
  <mergeCells count="3">
    <mergeCell ref="P2:S2"/>
    <mergeCell ref="L2:O2"/>
    <mergeCell ref="C2:F2"/>
  </mergeCells>
  <phoneticPr fontId="5"/>
  <conditionalFormatting sqref="C9:F1048576 C1:F1 C2 C3:F4 C6:F7">
    <cfRule type="cellIs" dxfId="64" priority="16" operator="equal">
      <formula>"London"</formula>
    </cfRule>
    <cfRule type="cellIs" dxfId="63" priority="17" operator="equal">
      <formula>"New York"</formula>
    </cfRule>
    <cfRule type="cellIs" dxfId="62" priority="18" operator="equal">
      <formula>"Tokyo"</formula>
    </cfRule>
    <cfRule type="cellIs" dxfId="61" priority="19" operator="equal">
      <formula>"Paris"</formula>
    </cfRule>
    <cfRule type="cellIs" dxfId="60" priority="20" operator="equal">
      <formula>"Singapore"</formula>
    </cfRule>
  </conditionalFormatting>
  <pageMargins left="0.25" right="0.25" top="0.75" bottom="0.75" header="0.3" footer="0.3"/>
  <pageSetup paperSize="9" scal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1"/>
  </sheetPr>
  <dimension ref="A1"/>
  <sheetViews>
    <sheetView zoomScaleNormal="100" workbookViewId="0"/>
  </sheetViews>
  <sheetFormatPr defaultRowHeight="15.75"/>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CB53"/>
  <sheetViews>
    <sheetView showGridLines="0" zoomScale="115" zoomScaleNormal="115" zoomScaleSheetLayoutView="100" zoomScalePageLayoutView="25" workbookViewId="0">
      <selection activeCell="M9" sqref="M9"/>
    </sheetView>
  </sheetViews>
  <sheetFormatPr defaultColWidth="9.28515625" defaultRowHeight="20.85" customHeight="1" outlineLevelCol="1"/>
  <cols>
    <col min="1" max="1" width="1.85546875" style="22" customWidth="1"/>
    <col min="2" max="2" width="3.28515625" style="22" hidden="1" customWidth="1" outlineLevel="1"/>
    <col min="3" max="3" width="18.42578125" style="93" customWidth="1" collapsed="1"/>
    <col min="4" max="4" width="5.42578125" style="116" customWidth="1"/>
    <col min="5" max="5" width="7" style="22" customWidth="1"/>
    <col min="6" max="6" width="5.42578125" style="120" customWidth="1"/>
    <col min="7" max="7" width="7" style="22" customWidth="1"/>
    <col min="8" max="8" width="5.42578125" style="20" customWidth="1"/>
    <col min="9" max="9" width="7" style="22" customWidth="1"/>
    <col min="10" max="10" width="1.5703125" style="22" customWidth="1"/>
    <col min="11" max="11" width="3.28515625" style="22" hidden="1" customWidth="1" outlineLevel="1"/>
    <col min="12" max="12" width="14.7109375" style="93" customWidth="1" collapsed="1"/>
    <col min="13" max="13" width="6.140625" style="116" customWidth="1"/>
    <col min="14" max="14" width="6" style="22" customWidth="1"/>
    <col min="15" max="15" width="5.42578125" style="120" customWidth="1"/>
    <col min="16" max="16" width="6" style="22" customWidth="1"/>
    <col min="17" max="17" width="5.42578125" style="20" customWidth="1"/>
    <col min="18" max="18" width="6" style="22" customWidth="1"/>
    <col min="19" max="19" width="1.5703125" style="22" customWidth="1"/>
    <col min="20" max="20" width="3.28515625" style="22" hidden="1" customWidth="1" outlineLevel="1"/>
    <col min="21" max="21" width="14.7109375" style="93" customWidth="1" collapsed="1"/>
    <col min="22" max="22" width="6.140625" style="116" customWidth="1"/>
    <col min="23" max="23" width="6" style="22" customWidth="1"/>
    <col min="24" max="24" width="5.42578125" style="120" customWidth="1"/>
    <col min="25" max="25" width="6" style="22" customWidth="1"/>
    <col min="26" max="26" width="5.42578125" style="20" customWidth="1"/>
    <col min="27" max="27" width="6" style="22" customWidth="1"/>
    <col min="28" max="28" width="1.85546875" style="22" customWidth="1"/>
    <col min="29" max="29" width="3.28515625" style="22" hidden="1" customWidth="1" outlineLevel="1"/>
    <col min="30" max="30" width="16.7109375" style="93" customWidth="1" collapsed="1"/>
    <col min="31" max="31" width="6.140625" style="116" customWidth="1"/>
    <col min="32" max="32" width="6" style="22" customWidth="1"/>
    <col min="33" max="33" width="5.42578125" style="120" customWidth="1"/>
    <col min="34" max="34" width="6" style="22" customWidth="1"/>
    <col min="35" max="35" width="5.42578125" style="20" customWidth="1"/>
    <col min="36" max="36" width="6" style="22" customWidth="1"/>
    <col min="37" max="37" width="1.5703125" style="22" customWidth="1"/>
    <col min="38" max="38" width="3.28515625" style="22" hidden="1" customWidth="1" outlineLevel="1"/>
    <col min="39" max="39" width="14.7109375" style="93" customWidth="1" collapsed="1"/>
    <col min="40" max="40" width="6.140625" style="116" customWidth="1"/>
    <col min="41" max="41" width="6" style="22" customWidth="1"/>
    <col min="42" max="42" width="5.42578125" style="120" customWidth="1"/>
    <col min="43" max="43" width="6" style="22" customWidth="1"/>
    <col min="44" max="44" width="5.42578125" style="20" customWidth="1"/>
    <col min="45" max="45" width="6" style="22" customWidth="1"/>
    <col min="46" max="46" width="1.5703125" style="22" customWidth="1"/>
    <col min="47" max="47" width="3.28515625" style="22" hidden="1" customWidth="1" outlineLevel="1"/>
    <col min="48" max="48" width="14.7109375" style="93" customWidth="1" collapsed="1"/>
    <col min="49" max="49" width="6.140625" style="116" customWidth="1"/>
    <col min="50" max="50" width="6" style="22" customWidth="1"/>
    <col min="51" max="51" width="5.42578125" style="120" customWidth="1"/>
    <col min="52" max="52" width="6" style="22" customWidth="1"/>
    <col min="53" max="53" width="5.42578125" style="20" customWidth="1"/>
    <col min="54" max="54" width="6" style="22" customWidth="1"/>
    <col min="55" max="55" width="1.5703125" style="22" customWidth="1"/>
    <col min="56" max="56" width="3.28515625" style="22" hidden="1" customWidth="1" outlineLevel="1"/>
    <col min="57" max="57" width="14.7109375" style="93" customWidth="1" collapsed="1"/>
    <col min="58" max="58" width="5.42578125" style="116" customWidth="1"/>
    <col min="59" max="59" width="6" style="22" customWidth="1"/>
    <col min="60" max="60" width="5.42578125" style="120" customWidth="1"/>
    <col min="61" max="61" width="6" style="22" customWidth="1"/>
    <col min="62" max="62" width="5.42578125" style="20" customWidth="1"/>
    <col min="63" max="63" width="6" style="22" customWidth="1"/>
    <col min="64" max="64" width="9.28515625" style="27"/>
    <col min="65" max="65" width="3.28515625" style="24" bestFit="1" customWidth="1"/>
    <col min="66" max="66" width="15.140625" style="27" bestFit="1" customWidth="1"/>
    <col min="67" max="77" width="8.7109375" style="27" customWidth="1"/>
    <col min="78" max="80" width="9.42578125" style="27" customWidth="1"/>
    <col min="81" max="16384" width="9.28515625" style="27"/>
  </cols>
  <sheetData>
    <row r="1" spans="1:80" ht="20.85" customHeight="1">
      <c r="C1" s="93" t="s">
        <v>1091</v>
      </c>
      <c r="AD1" s="93" t="s">
        <v>1097</v>
      </c>
    </row>
    <row r="2" spans="1:80" ht="20.85" customHeight="1">
      <c r="C2" s="28" t="s">
        <v>3978</v>
      </c>
      <c r="BE2" s="445" t="str">
        <f ca="1">TEXT(NOW(),"yyyy/m/d h:mm")</f>
        <v>2024/9/9 10:49</v>
      </c>
      <c r="BF2" s="445"/>
      <c r="BG2" s="445"/>
      <c r="BH2" s="445"/>
      <c r="BI2" s="445"/>
      <c r="BJ2" s="445"/>
      <c r="BK2" s="115" t="s">
        <v>640</v>
      </c>
    </row>
    <row r="3" spans="1:80" ht="10.9" customHeight="1">
      <c r="C3" s="115"/>
      <c r="L3" s="115"/>
      <c r="U3" s="115"/>
      <c r="AD3" s="115"/>
      <c r="AM3" s="115"/>
      <c r="AV3" s="115"/>
      <c r="BE3" s="115"/>
      <c r="BO3" s="27" t="s">
        <v>639</v>
      </c>
    </row>
    <row r="4" spans="1:80" ht="20.85" customHeight="1">
      <c r="D4" s="439">
        <v>2023</v>
      </c>
      <c r="E4" s="440"/>
      <c r="F4" s="437">
        <v>2022</v>
      </c>
      <c r="G4" s="438"/>
      <c r="H4" s="437" t="str">
        <f>IF(JPEN!$C$2="EN","Change","差")</f>
        <v>差</v>
      </c>
      <c r="I4" s="438"/>
      <c r="M4" s="439">
        <f>$D$4</f>
        <v>2023</v>
      </c>
      <c r="N4" s="440"/>
      <c r="O4" s="437">
        <f>$F$4</f>
        <v>2022</v>
      </c>
      <c r="P4" s="438"/>
      <c r="Q4" s="437" t="str">
        <f>IF(JPEN!$C$2="EN","Change","差")</f>
        <v>差</v>
      </c>
      <c r="R4" s="438"/>
      <c r="V4" s="439">
        <f>$D$4</f>
        <v>2023</v>
      </c>
      <c r="W4" s="440"/>
      <c r="X4" s="437">
        <f>$F$4</f>
        <v>2022</v>
      </c>
      <c r="Y4" s="438"/>
      <c r="Z4" s="437" t="str">
        <f>IF(JPEN!$C$2="EN","Change","差")</f>
        <v>差</v>
      </c>
      <c r="AA4" s="438"/>
      <c r="AE4" s="439">
        <f>$D$4</f>
        <v>2023</v>
      </c>
      <c r="AF4" s="440"/>
      <c r="AG4" s="437">
        <f>$F$4</f>
        <v>2022</v>
      </c>
      <c r="AH4" s="438"/>
      <c r="AI4" s="437" t="str">
        <f>IF(JPEN!$C$2="EN","Change","差")</f>
        <v>差</v>
      </c>
      <c r="AJ4" s="438"/>
      <c r="AN4" s="439">
        <f>$D$4</f>
        <v>2023</v>
      </c>
      <c r="AO4" s="440"/>
      <c r="AP4" s="437">
        <f>$F$4</f>
        <v>2022</v>
      </c>
      <c r="AQ4" s="438"/>
      <c r="AR4" s="437" t="str">
        <f>IF(JPEN!$C$2="EN","Change","差")</f>
        <v>差</v>
      </c>
      <c r="AS4" s="438"/>
      <c r="AW4" s="439">
        <f>$D$4</f>
        <v>2023</v>
      </c>
      <c r="AX4" s="440"/>
      <c r="AY4" s="437">
        <f>$F$4</f>
        <v>2022</v>
      </c>
      <c r="AZ4" s="438"/>
      <c r="BA4" s="437" t="str">
        <f>IF(JPEN!$C$2="EN","Change","差")</f>
        <v>差</v>
      </c>
      <c r="BB4" s="438"/>
      <c r="BF4" s="439">
        <f>$D$4</f>
        <v>2023</v>
      </c>
      <c r="BG4" s="440"/>
      <c r="BH4" s="437">
        <f>$F$4</f>
        <v>2022</v>
      </c>
      <c r="BI4" s="438"/>
      <c r="BJ4" s="437" t="str">
        <f>IF(JPEN!$C$2="EN","Change","差")</f>
        <v>差</v>
      </c>
      <c r="BK4" s="438"/>
      <c r="BO4" s="441" t="s">
        <v>462</v>
      </c>
      <c r="BP4" s="442"/>
      <c r="BQ4" s="442"/>
      <c r="BR4" s="442"/>
      <c r="BS4" s="442"/>
      <c r="BT4" s="442"/>
      <c r="BU4" s="443"/>
      <c r="BV4" s="444" t="s">
        <v>463</v>
      </c>
      <c r="BW4" s="444"/>
      <c r="BX4" s="444"/>
      <c r="BY4" s="444"/>
      <c r="BZ4" s="444"/>
      <c r="CA4" s="444"/>
      <c r="CB4" s="444"/>
    </row>
    <row r="5" spans="1:80" s="22" customFormat="1" ht="20.85" customHeight="1">
      <c r="A5" s="24"/>
      <c r="B5" s="24"/>
      <c r="C5" s="126" t="str">
        <f>IF(JPEN!$C$2="EN","Comprehensive","総合ランキング")</f>
        <v>総合ランキング</v>
      </c>
      <c r="D5" s="127" t="str">
        <f>IF(JPEN!$C$2="EN","Rank","順位")</f>
        <v>順位</v>
      </c>
      <c r="E5" s="128" t="str">
        <f>IF(JPEN!$C$2="EN","Score","スコア")</f>
        <v>スコア</v>
      </c>
      <c r="F5" s="129" t="str">
        <f>IF(JPEN!$C$2="EN","Rank","順位")</f>
        <v>順位</v>
      </c>
      <c r="G5" s="130" t="str">
        <f>IF(JPEN!$C$2="EN","Score","スコア")</f>
        <v>スコア</v>
      </c>
      <c r="H5" s="131" t="str">
        <f>IF(JPEN!$C$2="EN","Rank","順位")</f>
        <v>順位</v>
      </c>
      <c r="I5" s="130" t="str">
        <f>IF(JPEN!$C$2="EN","Score","スコア")</f>
        <v>スコア</v>
      </c>
      <c r="J5" s="24"/>
      <c r="K5" s="24"/>
      <c r="L5" s="136" t="str">
        <f>IF(JPEN!$C$2="EN","Economy","経済")</f>
        <v>経済</v>
      </c>
      <c r="M5" s="137" t="str">
        <f>IF(JPEN!$C$2="EN","Rank","順位")</f>
        <v>順位</v>
      </c>
      <c r="N5" s="138" t="str">
        <f>IF(JPEN!$C$2="EN","Score","スコア")</f>
        <v>スコア</v>
      </c>
      <c r="O5" s="139" t="str">
        <f>IF(JPEN!$C$2="EN","Rank","順位")</f>
        <v>順位</v>
      </c>
      <c r="P5" s="140" t="str">
        <f>IF(JPEN!$C$2="EN","Score","スコア")</f>
        <v>スコア</v>
      </c>
      <c r="Q5" s="140" t="str">
        <f>IF(JPEN!$C$2="EN","Rank","順位")</f>
        <v>順位</v>
      </c>
      <c r="R5" s="140" t="str">
        <f>IF(JPEN!$C$2="EN","Score","スコア")</f>
        <v>スコア</v>
      </c>
      <c r="S5" s="24"/>
      <c r="T5" s="24"/>
      <c r="U5" s="144" t="str">
        <f>IF(JPEN!$C$2="EN","R&amp;D","研究・開発")</f>
        <v>研究・開発</v>
      </c>
      <c r="V5" s="145" t="str">
        <f>IF(JPEN!$C$2="EN","Rank","順位")</f>
        <v>順位</v>
      </c>
      <c r="W5" s="146" t="str">
        <f>IF(JPEN!$C$2="EN","Score","スコア")</f>
        <v>スコア</v>
      </c>
      <c r="X5" s="147" t="str">
        <f>IF(JPEN!$C$2="EN","Rank","順位")</f>
        <v>順位</v>
      </c>
      <c r="Y5" s="148" t="str">
        <f>IF(JPEN!$C$2="EN","Score","スコア")</f>
        <v>スコア</v>
      </c>
      <c r="Z5" s="148" t="str">
        <f>IF(JPEN!$C$2="EN","Rank","順位")</f>
        <v>順位</v>
      </c>
      <c r="AA5" s="148" t="str">
        <f>IF(JPEN!$C$2="EN","Score","スコア")</f>
        <v>スコア</v>
      </c>
      <c r="AB5" s="24"/>
      <c r="AC5" s="24"/>
      <c r="AD5" s="381" t="str">
        <f>IF(JPEN!$C$2="EN","Cultural Interaction","文化・交流")</f>
        <v>文化・交流</v>
      </c>
      <c r="AE5" s="152" t="str">
        <f>IF(JPEN!$C$2="EN","Rank","順位")</f>
        <v>順位</v>
      </c>
      <c r="AF5" s="153" t="str">
        <f>IF(JPEN!$C$2="EN","Score","スコア")</f>
        <v>スコア</v>
      </c>
      <c r="AG5" s="154" t="str">
        <f>IF(JPEN!$C$2="EN","Rank","順位")</f>
        <v>順位</v>
      </c>
      <c r="AH5" s="155" t="str">
        <f>IF(JPEN!$C$2="EN","Score","スコア")</f>
        <v>スコア</v>
      </c>
      <c r="AI5" s="155" t="str">
        <f>IF(JPEN!$C$2="EN","Rank","順位")</f>
        <v>順位</v>
      </c>
      <c r="AJ5" s="155" t="str">
        <f>IF(JPEN!$C$2="EN","Score","スコア")</f>
        <v>スコア</v>
      </c>
      <c r="AK5" s="24"/>
      <c r="AL5" s="24"/>
      <c r="AM5" s="159" t="str">
        <f>IF(JPEN!$C$2="EN","Livability","居住")</f>
        <v>居住</v>
      </c>
      <c r="AN5" s="160" t="str">
        <f>IF(JPEN!$C$2="EN","Rank","順位")</f>
        <v>順位</v>
      </c>
      <c r="AO5" s="161" t="str">
        <f>IF(JPEN!$C$2="EN","Score","スコア")</f>
        <v>スコア</v>
      </c>
      <c r="AP5" s="162" t="str">
        <f>IF(JPEN!$C$2="EN","Rank","順位")</f>
        <v>順位</v>
      </c>
      <c r="AQ5" s="163" t="str">
        <f>IF(JPEN!$C$2="EN","Score","スコア")</f>
        <v>スコア</v>
      </c>
      <c r="AR5" s="163" t="str">
        <f>IF(JPEN!$C$2="EN","Rank","順位")</f>
        <v>順位</v>
      </c>
      <c r="AS5" s="163" t="str">
        <f>IF(JPEN!$C$2="EN","Score","スコア")</f>
        <v>スコア</v>
      </c>
      <c r="AT5" s="24"/>
      <c r="AU5" s="24"/>
      <c r="AV5" s="167" t="str">
        <f>IF(JPEN!$C$2="EN","Environment","環境")</f>
        <v>環境</v>
      </c>
      <c r="AW5" s="168" t="str">
        <f>IF(JPEN!$C$2="EN","Rank","順位")</f>
        <v>順位</v>
      </c>
      <c r="AX5" s="169" t="str">
        <f>IF(JPEN!$C$2="EN","Score","スコア")</f>
        <v>スコア</v>
      </c>
      <c r="AY5" s="170" t="str">
        <f>IF(JPEN!$C$2="EN","Rank","順位")</f>
        <v>順位</v>
      </c>
      <c r="AZ5" s="171" t="str">
        <f>IF(JPEN!$C$2="EN","Score","スコア")</f>
        <v>スコア</v>
      </c>
      <c r="BA5" s="171" t="str">
        <f>IF(JPEN!$C$2="EN","Rank","順位")</f>
        <v>順位</v>
      </c>
      <c r="BB5" s="171" t="str">
        <f>IF(JPEN!$C$2="EN","Score","スコア")</f>
        <v>スコア</v>
      </c>
      <c r="BC5" s="24"/>
      <c r="BD5" s="24"/>
      <c r="BE5" s="177" t="str">
        <f>IF(JPEN!$C$2="EN","Accessibility","交通・アクセス")</f>
        <v>交通・アクセス</v>
      </c>
      <c r="BF5" s="178" t="str">
        <f>IF(JPEN!$C$2="EN","Rank","順位")</f>
        <v>順位</v>
      </c>
      <c r="BG5" s="179" t="str">
        <f>IF(JPEN!$C$2="EN","Score","スコア")</f>
        <v>スコア</v>
      </c>
      <c r="BH5" s="180" t="str">
        <f>IF(JPEN!$C$2="EN","Rank","順位")</f>
        <v>順位</v>
      </c>
      <c r="BI5" s="181" t="str">
        <f>IF(JPEN!$C$2="EN","Score","スコア")</f>
        <v>スコア</v>
      </c>
      <c r="BJ5" s="181" t="str">
        <f>IF(JPEN!$C$2="EN","Rank","順位")</f>
        <v>順位</v>
      </c>
      <c r="BK5" s="181" t="str">
        <f>IF(JPEN!$C$2="EN","Score","スコア")</f>
        <v>スコア</v>
      </c>
      <c r="BM5" s="102" t="s">
        <v>208</v>
      </c>
      <c r="BN5" s="101" t="s">
        <v>669</v>
      </c>
      <c r="BO5" s="102" t="s">
        <v>625</v>
      </c>
      <c r="BP5" s="102" t="s">
        <v>626</v>
      </c>
      <c r="BQ5" s="102" t="s">
        <v>627</v>
      </c>
      <c r="BR5" s="102" t="s">
        <v>628</v>
      </c>
      <c r="BS5" s="102" t="s">
        <v>629</v>
      </c>
      <c r="BT5" s="102" t="s">
        <v>630</v>
      </c>
      <c r="BU5" s="102" t="s">
        <v>631</v>
      </c>
      <c r="BV5" s="102" t="s">
        <v>632</v>
      </c>
      <c r="BW5" s="102" t="s">
        <v>633</v>
      </c>
      <c r="BX5" s="102" t="s">
        <v>634</v>
      </c>
      <c r="BY5" s="102" t="s">
        <v>635</v>
      </c>
      <c r="BZ5" s="102" t="s">
        <v>636</v>
      </c>
      <c r="CA5" s="102" t="s">
        <v>637</v>
      </c>
      <c r="CB5" s="103" t="s">
        <v>638</v>
      </c>
    </row>
    <row r="6" spans="1:80" ht="20.85" customHeight="1">
      <c r="A6" s="34"/>
      <c r="B6" s="22">
        <f>INDEX(順位表['#],MATCH(D6,順位表[Comprehensive],0))</f>
        <v>3</v>
      </c>
      <c r="C6" s="43" t="str">
        <f>IF(JPEN!$C$2="EN",INDEX(都市マスタ[City Name],MATCH(B6,都市マスタ['#],0)),INDEX(都市マスタ[都市名],MATCH(B6,都市マスタ['#],0)))</f>
        <v>ロンドン</v>
      </c>
      <c r="D6" s="117">
        <v>1</v>
      </c>
      <c r="E6" s="23">
        <f>INDEX(スコア表[Comprehensive],MATCH(B6,スコア表['#],0))</f>
        <v>1646.7303259913833</v>
      </c>
      <c r="F6" s="121">
        <f>INDEX(前年結果表[順Comprehensive],MATCH(B6,前年結果表['#],0))</f>
        <v>1</v>
      </c>
      <c r="G6" s="29">
        <f>INDEX(前年結果表[スComprehensive],MATCH(B6,前年結果表['#],0))</f>
        <v>1592.3605192160085</v>
      </c>
      <c r="H6" s="107">
        <f t="shared" ref="H6:H53" si="0">IFERROR(F6-D6,"-")</f>
        <v>0</v>
      </c>
      <c r="I6" s="363">
        <f t="shared" ref="I6:I53" si="1">IFERROR(E6-G6,"-")</f>
        <v>54.369806775374855</v>
      </c>
      <c r="K6" s="22">
        <f>INDEX(順位表['#],MATCH(M6,順位表[Economy],0))</f>
        <v>38</v>
      </c>
      <c r="L6" s="183" t="str">
        <f>IF(JPEN!$C$2="EN",INDEX(都市マスタ[City Name],MATCH(K6,都市マスタ['#],0)),INDEX(都市マスタ[都市名],MATCH(K6,都市マスタ['#],0)))</f>
        <v>ニューヨーク</v>
      </c>
      <c r="M6" s="117">
        <v>1</v>
      </c>
      <c r="N6" s="23">
        <f>INDEX(スコア表[Economy],MATCH(K6,スコア表['#],0))</f>
        <v>371.09627417245002</v>
      </c>
      <c r="O6" s="121">
        <f>INDEX(前年結果表[順Economy],MATCH(K6,前年結果表['#],0))</f>
        <v>1</v>
      </c>
      <c r="P6" s="29">
        <f>INDEX(前年結果表[スEconomy],MATCH(K6,前年結果表['#],0))</f>
        <v>362.5003946052833</v>
      </c>
      <c r="Q6" s="107">
        <f>IFERROR(O6-M6,"-")</f>
        <v>0</v>
      </c>
      <c r="R6" s="110">
        <f>IFERROR(N6-P6,"-")</f>
        <v>8.595879567166719</v>
      </c>
      <c r="T6" s="22">
        <f>INDEX(順位表['#],MATCH(V6,順位表[R&amp;D],0))</f>
        <v>38</v>
      </c>
      <c r="U6" s="187" t="str">
        <f>IF(JPEN!$C$2="EN",INDEX(都市マスタ[City Name],MATCH(T6,都市マスタ['#],0)),INDEX(都市マスタ[都市名],MATCH(T6,都市マスタ['#],0)))</f>
        <v>ニューヨーク</v>
      </c>
      <c r="V6" s="117">
        <v>1</v>
      </c>
      <c r="W6" s="23">
        <f>INDEX(スコア表[R&amp;D],MATCH(T6,スコア表['#],0))</f>
        <v>206.45811885533334</v>
      </c>
      <c r="X6" s="121">
        <f>INDEX(前年結果表[順R&amp;D],MATCH(T6,前年結果表['#],0))</f>
        <v>1</v>
      </c>
      <c r="Y6" s="29">
        <f>INDEX(前年結果表[スR&amp;D],MATCH(T6,前年結果表['#],0))</f>
        <v>207.44053683076663</v>
      </c>
      <c r="Z6" s="107">
        <f>IFERROR(X6-V6,"-")</f>
        <v>0</v>
      </c>
      <c r="AA6" s="110">
        <f>IFERROR(W6-Y6,"-")</f>
        <v>-0.98241797543329312</v>
      </c>
      <c r="AC6" s="22">
        <f>INDEX(順位表['#],MATCH(AE6,順位表[Cultural Interaction],0))</f>
        <v>3</v>
      </c>
      <c r="AD6" s="193" t="str">
        <f>IF(JPEN!$C$2="EN",INDEX(都市マスタ[City Name],MATCH(AC6,都市マスタ['#],0)),INDEX(都市マスタ[都市名],MATCH(AC6,都市マスタ['#],0)))</f>
        <v>ロンドン</v>
      </c>
      <c r="AE6" s="117">
        <v>1</v>
      </c>
      <c r="AF6" s="23">
        <f>INDEX(スコア表[Cultural Interaction],MATCH(AC6,スコア表['#],0))</f>
        <v>367.57992580267501</v>
      </c>
      <c r="AG6" s="121">
        <f>INDEX(前年結果表[順Cultural Interaction],MATCH(AC6,前年結果表['#],0))</f>
        <v>1</v>
      </c>
      <c r="AH6" s="29">
        <f>INDEX(前年結果表[スCultural Interaction],MATCH(AC6,前年結果表['#],0))</f>
        <v>338.85846632994168</v>
      </c>
      <c r="AI6" s="107">
        <f>IFERROR(AG6-AE6,"-")</f>
        <v>0</v>
      </c>
      <c r="AJ6" s="110">
        <f>IFERROR(AF6-AH6,"-")</f>
        <v>28.721459472733329</v>
      </c>
      <c r="AL6" s="22">
        <f>INDEX(順位表['#],MATCH(AN6,順位表[Livability],0))</f>
        <v>4</v>
      </c>
      <c r="AM6" s="199" t="str">
        <f>IF(JPEN!$C$2="EN",INDEX(都市マスタ[City Name],MATCH(AL6,都市マスタ['#],0)),INDEX(都市マスタ[都市名],MATCH(AL6,都市マスタ['#],0)))</f>
        <v>パリ</v>
      </c>
      <c r="AN6" s="117">
        <v>1</v>
      </c>
      <c r="AO6" s="23">
        <f>INDEX(スコア表[Livability],MATCH(AL6,スコア表['#],0))</f>
        <v>389.98593915240826</v>
      </c>
      <c r="AP6" s="121">
        <f>INDEX(前年結果表[順Livability],MATCH(AL6,前年結果表['#],0))</f>
        <v>1</v>
      </c>
      <c r="AQ6" s="29">
        <f>INDEX(前年結果表[スLivability],MATCH(AL6,前年結果表['#],0))</f>
        <v>383.42967120009166</v>
      </c>
      <c r="AR6" s="107">
        <f>IFERROR(AP6-AN6,"-")</f>
        <v>0</v>
      </c>
      <c r="AS6" s="110">
        <f>IFERROR(AO6-AQ6,"-")</f>
        <v>6.5562679523166025</v>
      </c>
      <c r="AU6" s="22">
        <f>INDEX(順位表['#],MATCH(AW6,順位表[Environment],0))</f>
        <v>14</v>
      </c>
      <c r="AV6" s="204" t="str">
        <f>IF(JPEN!$C$2="EN",INDEX(都市マスタ[City Name],MATCH(AU6,都市マスタ['#],0)),INDEX(都市マスタ[都市名],MATCH(AU6,都市マスタ['#],0)))</f>
        <v>ストックホルム</v>
      </c>
      <c r="AW6" s="117">
        <v>1</v>
      </c>
      <c r="AX6" s="23">
        <f>INDEX(スコア表[Environment],MATCH(AU6,スコア表['#],0))</f>
        <v>228.73709255586664</v>
      </c>
      <c r="AY6" s="121">
        <f>INDEX(前年結果表[順Environment],MATCH(AU6,前年結果表['#],0))</f>
        <v>1</v>
      </c>
      <c r="AZ6" s="29">
        <f>INDEX(前年結果表[スEnvironment],MATCH(AU6,前年結果表['#],0))</f>
        <v>238.18137960163335</v>
      </c>
      <c r="BA6" s="107">
        <f>IFERROR(AY6-AW6,"-")</f>
        <v>0</v>
      </c>
      <c r="BB6" s="110">
        <f>IFERROR(AX6-AZ6,"-")</f>
        <v>-9.4442870457667141</v>
      </c>
      <c r="BD6" s="22">
        <f>INDEX(順位表['#],MATCH(BF6,順位表[Accessibility],0))</f>
        <v>6</v>
      </c>
      <c r="BE6" s="209" t="str">
        <f>IF(JPEN!$C$2="EN",INDEX(都市マスタ[City Name],MATCH(BD6,都市マスタ['#],0)),INDEX(都市マスタ[都市名],MATCH(BD6,都市マスタ['#],0)))</f>
        <v>アムステルダム</v>
      </c>
      <c r="BF6" s="117">
        <v>1</v>
      </c>
      <c r="BG6" s="23">
        <f>INDEX(スコア表[Accessibility],MATCH(BD6,スコア表['#],0))</f>
        <v>229.1637569953333</v>
      </c>
      <c r="BH6" s="121">
        <f>INDEX(前年結果表[順Accessibility],MATCH(BD6,前年結果表['#],0))</f>
        <v>2</v>
      </c>
      <c r="BI6" s="29">
        <f>INDEX(前年結果表[スAccessibility],MATCH(BD6,前年結果表['#],0))</f>
        <v>229.26025986301664</v>
      </c>
      <c r="BJ6" s="107">
        <f>IFERROR(BH6-BF6,"-")</f>
        <v>1</v>
      </c>
      <c r="BK6" s="110">
        <f>IFERROR(BG6-BI6,"-")</f>
        <v>-9.6502867683341265E-2</v>
      </c>
      <c r="BM6" s="113">
        <v>1</v>
      </c>
      <c r="BN6" s="99" t="s">
        <v>105</v>
      </c>
      <c r="BO6" s="97">
        <v>194.74636992800001</v>
      </c>
      <c r="BP6" s="97">
        <v>37.069131748866667</v>
      </c>
      <c r="BQ6" s="97">
        <v>175.56883133980003</v>
      </c>
      <c r="BR6" s="97">
        <v>364.86085452379166</v>
      </c>
      <c r="BS6" s="97">
        <v>175.58382223903334</v>
      </c>
      <c r="BT6" s="97">
        <v>174.16010061265001</v>
      </c>
      <c r="BU6" s="97">
        <v>1121.9891103921418</v>
      </c>
      <c r="BV6" s="96">
        <v>34</v>
      </c>
      <c r="BW6" s="96">
        <v>30</v>
      </c>
      <c r="BX6" s="96">
        <v>7</v>
      </c>
      <c r="BY6" s="96">
        <v>4</v>
      </c>
      <c r="BZ6" s="96">
        <v>16</v>
      </c>
      <c r="CA6" s="96">
        <v>14</v>
      </c>
      <c r="CB6" s="100">
        <v>12</v>
      </c>
    </row>
    <row r="7" spans="1:80" ht="20.85" customHeight="1">
      <c r="A7" s="34"/>
      <c r="B7" s="22">
        <f>INDEX(順位表['#],MATCH(D7,順位表[Comprehensive],0))</f>
        <v>38</v>
      </c>
      <c r="C7" s="43" t="str">
        <f>IF(JPEN!$C$2="EN",INDEX(都市マスタ[City Name],MATCH(B7,都市マスタ['#],0)),INDEX(都市マスタ[都市名],MATCH(B7,都市マスタ['#],0)))</f>
        <v>ニューヨーク</v>
      </c>
      <c r="D7" s="117">
        <v>2</v>
      </c>
      <c r="E7" s="23">
        <f>INDEX(スコア表[Comprehensive],MATCH(B7,スコア表['#],0))</f>
        <v>1506.3663752746834</v>
      </c>
      <c r="F7" s="121">
        <f>INDEX(前年結果表[順Comprehensive],MATCH(B7,前年結果表['#],0))</f>
        <v>2</v>
      </c>
      <c r="G7" s="29">
        <f>INDEX(前年結果表[スComprehensive],MATCH(B7,前年結果表['#],0))</f>
        <v>1505.9403358426416</v>
      </c>
      <c r="H7" s="107">
        <f t="shared" si="0"/>
        <v>0</v>
      </c>
      <c r="I7" s="110">
        <f t="shared" si="1"/>
        <v>0.42603943204176176</v>
      </c>
      <c r="K7" s="22">
        <f>INDEX(順位表['#],MATCH(M7,順位表[Economy],0))</f>
        <v>3</v>
      </c>
      <c r="L7" s="183" t="str">
        <f>IF(JPEN!$C$2="EN",INDEX(都市マスタ[City Name],MATCH(K7,都市マスタ['#],0)),INDEX(都市マスタ[都市名],MATCH(K7,都市マスタ['#],0)))</f>
        <v>ロンドン</v>
      </c>
      <c r="M7" s="117">
        <v>2</v>
      </c>
      <c r="N7" s="23">
        <f>INDEX(スコア表[Economy],MATCH(K7,スコア表['#],0))</f>
        <v>336.21002005771663</v>
      </c>
      <c r="O7" s="121">
        <f>INDEX(前年結果表[順Economy],MATCH(K7,前年結果表['#],0))</f>
        <v>2</v>
      </c>
      <c r="P7" s="29">
        <f>INDEX(前年結果表[スEconomy],MATCH(K7,前年結果表['#],0))</f>
        <v>324.52945684336669</v>
      </c>
      <c r="Q7" s="107">
        <f t="shared" ref="Q7:Q53" si="2">IFERROR(O7-M7,"-")</f>
        <v>0</v>
      </c>
      <c r="R7" s="110">
        <f t="shared" ref="R7:R53" si="3">IFERROR(N7-P7,"-")</f>
        <v>11.680563214349945</v>
      </c>
      <c r="T7" s="22">
        <f>INDEX(順位表['#],MATCH(V7,順位表[R&amp;D],0))</f>
        <v>3</v>
      </c>
      <c r="U7" s="187" t="str">
        <f>IF(JPEN!$C$2="EN",INDEX(都市マスタ[City Name],MATCH(T7,都市マスタ['#],0)),INDEX(都市マスタ[都市名],MATCH(T7,都市マスタ['#],0)))</f>
        <v>ロンドン</v>
      </c>
      <c r="V7" s="117">
        <v>2</v>
      </c>
      <c r="W7" s="23">
        <f>INDEX(スコア表[R&amp;D],MATCH(T7,スコア表['#],0))</f>
        <v>181.4404473276</v>
      </c>
      <c r="X7" s="121">
        <f>INDEX(前年結果表[順R&amp;D],MATCH(T7,前年結果表['#],0))</f>
        <v>2</v>
      </c>
      <c r="Y7" s="29">
        <f>INDEX(前年結果表[スR&amp;D],MATCH(T7,前年結果表['#],0))</f>
        <v>181.27199802971666</v>
      </c>
      <c r="Z7" s="107">
        <f t="shared" ref="Z7:Z53" si="4">IFERROR(X7-V7,"-")</f>
        <v>0</v>
      </c>
      <c r="AA7" s="110">
        <f t="shared" ref="AA7:AA53" si="5">IFERROR(W7-Y7,"-")</f>
        <v>0.16844929788334184</v>
      </c>
      <c r="AC7" s="22">
        <f>INDEX(順位表['#],MATCH(AE7,順位表[Cultural Interaction],0))</f>
        <v>38</v>
      </c>
      <c r="AD7" s="193" t="str">
        <f>IF(JPEN!$C$2="EN",INDEX(都市マスタ[City Name],MATCH(AC7,都市マスタ['#],0)),INDEX(都市マスタ[都市名],MATCH(AC7,都市マスタ['#],0)))</f>
        <v>ニューヨーク</v>
      </c>
      <c r="AE7" s="117">
        <v>2</v>
      </c>
      <c r="AF7" s="23">
        <f>INDEX(スコア表[Cultural Interaction],MATCH(AC7,スコア表['#],0))</f>
        <v>259.40999462157504</v>
      </c>
      <c r="AG7" s="121">
        <f>INDEX(前年結果表[順Cultural Interaction],MATCH(AC7,前年結果表['#],0))</f>
        <v>2</v>
      </c>
      <c r="AH7" s="29">
        <f>INDEX(前年結果表[スCultural Interaction],MATCH(AC7,前年結果表['#],0))</f>
        <v>254.30572649035</v>
      </c>
      <c r="AI7" s="107">
        <f t="shared" ref="AI7:AI53" si="6">IFERROR(AG7-AE7,"-")</f>
        <v>0</v>
      </c>
      <c r="AJ7" s="110">
        <f t="shared" ref="AJ7:AJ53" si="7">IFERROR(AF7-AH7,"-")</f>
        <v>5.1042681312250409</v>
      </c>
      <c r="AL7" s="22">
        <f>INDEX(順位表['#],MATCH(AN7,順位表[Livability],0))</f>
        <v>1</v>
      </c>
      <c r="AM7" s="199" t="str">
        <f>IF(JPEN!$C$2="EN",INDEX(都市マスタ[City Name],MATCH(AL7,都市マスタ['#],0)),INDEX(都市マスタ[都市名],MATCH(AL7,都市マスタ['#],0)))</f>
        <v>マドリード</v>
      </c>
      <c r="AN7" s="117">
        <v>2</v>
      </c>
      <c r="AO7" s="23">
        <f>INDEX(スコア表[Livability],MATCH(AL7,スコア表['#],0))</f>
        <v>380.90916702499993</v>
      </c>
      <c r="AP7" s="121">
        <f>INDEX(前年結果表[順Livability],MATCH(AL7,前年結果表['#],0))</f>
        <v>4</v>
      </c>
      <c r="AQ7" s="29">
        <f>INDEX(前年結果表[スLivability],MATCH(AL7,前年結果表['#],0))</f>
        <v>364.86085452379166</v>
      </c>
      <c r="AR7" s="107">
        <f t="shared" ref="AR7:AR53" si="8">IFERROR(AP7-AN7,"-")</f>
        <v>2</v>
      </c>
      <c r="AS7" s="110">
        <f t="shared" ref="AS7:AS53" si="9">IFERROR(AO7-AQ7,"-")</f>
        <v>16.048312501208272</v>
      </c>
      <c r="AU7" s="22">
        <f>INDEX(順位表['#],MATCH(AW7,順位表[Environment],0))</f>
        <v>12</v>
      </c>
      <c r="AV7" s="204" t="str">
        <f>IF(JPEN!$C$2="EN",INDEX(都市マスタ[City Name],MATCH(AU7,都市マスタ['#],0)),INDEX(都市マスタ[都市名],MATCH(AU7,都市マスタ['#],0)))</f>
        <v>コペンハーゲン</v>
      </c>
      <c r="AW7" s="117">
        <v>2</v>
      </c>
      <c r="AX7" s="23">
        <f>INDEX(スコア表[Environment],MATCH(AU7,スコア表['#],0))</f>
        <v>224.16844593323333</v>
      </c>
      <c r="AY7" s="121">
        <f>INDEX(前年結果表[順Environment],MATCH(AU7,前年結果表['#],0))</f>
        <v>2</v>
      </c>
      <c r="AZ7" s="29">
        <f>INDEX(前年結果表[スEnvironment],MATCH(AU7,前年結果表['#],0))</f>
        <v>234.79668098339999</v>
      </c>
      <c r="BA7" s="107">
        <f t="shared" ref="BA7:BA53" si="10">IFERROR(AY7-AW7,"-")</f>
        <v>0</v>
      </c>
      <c r="BB7" s="110">
        <f t="shared" ref="BB7:BB53" si="11">IFERROR(AX7-AZ7,"-")</f>
        <v>-10.628235050166666</v>
      </c>
      <c r="BD7" s="22">
        <f>INDEX(順位表['#],MATCH(BF7,順位表[Accessibility],0))</f>
        <v>8</v>
      </c>
      <c r="BE7" s="209" t="str">
        <f>IF(JPEN!$C$2="EN",INDEX(都市マスタ[City Name],MATCH(BD7,都市マスタ['#],0)),INDEX(都市マスタ[都市名],MATCH(BD7,都市マスタ['#],0)))</f>
        <v>フランクフルト</v>
      </c>
      <c r="BF7" s="117">
        <v>2</v>
      </c>
      <c r="BG7" s="23">
        <f>INDEX(スコア表[Accessibility],MATCH(BD7,スコア表['#],0))</f>
        <v>217.64777296725003</v>
      </c>
      <c r="BH7" s="121">
        <f>INDEX(前年結果表[順Accessibility],MATCH(BD7,前年結果表['#],0))</f>
        <v>5</v>
      </c>
      <c r="BI7" s="29">
        <f>INDEX(前年結果表[スAccessibility],MATCH(BD7,前年結果表['#],0))</f>
        <v>217.80620947848337</v>
      </c>
      <c r="BJ7" s="107">
        <f t="shared" ref="BJ7:BJ53" si="12">IFERROR(BH7-BF7,"-")</f>
        <v>3</v>
      </c>
      <c r="BK7" s="110">
        <f t="shared" ref="BK7:BK52" si="13">IFERROR(BG7-BI7,"-")</f>
        <v>-0.15843651123333302</v>
      </c>
      <c r="BM7" s="40">
        <v>2</v>
      </c>
      <c r="BN7" s="99" t="s">
        <v>106</v>
      </c>
      <c r="BO7" s="97">
        <v>190.80252583719999</v>
      </c>
      <c r="BP7" s="97">
        <v>36.158916798083339</v>
      </c>
      <c r="BQ7" s="97">
        <v>156.24114649268333</v>
      </c>
      <c r="BR7" s="97">
        <v>372.60910210896662</v>
      </c>
      <c r="BS7" s="97">
        <v>157.94962969266666</v>
      </c>
      <c r="BT7" s="97">
        <v>174.37049334028333</v>
      </c>
      <c r="BU7" s="97">
        <v>1088.1318142698833</v>
      </c>
      <c r="BV7" s="96">
        <v>36</v>
      </c>
      <c r="BW7" s="96">
        <v>32</v>
      </c>
      <c r="BX7" s="96">
        <v>13</v>
      </c>
      <c r="BY7" s="96">
        <v>2</v>
      </c>
      <c r="BZ7" s="96">
        <v>26</v>
      </c>
      <c r="CA7" s="96">
        <v>13</v>
      </c>
      <c r="CB7" s="100">
        <v>20</v>
      </c>
    </row>
    <row r="8" spans="1:80" ht="20.85" customHeight="1">
      <c r="A8" s="34"/>
      <c r="B8" s="22">
        <f>INDEX(順位表['#],MATCH(D8,順位表[Comprehensive],0))</f>
        <v>29</v>
      </c>
      <c r="C8" s="43" t="str">
        <f>IF(JPEN!$C$2="EN",INDEX(都市マスタ[City Name],MATCH(B8,都市マスタ['#],0)),INDEX(都市マスタ[都市名],MATCH(B8,都市マスタ['#],0)))</f>
        <v>東京</v>
      </c>
      <c r="D8" s="117">
        <v>3</v>
      </c>
      <c r="E8" s="23">
        <f>INDEX(スコア表[Comprehensive],MATCH(B8,スコア表['#],0))</f>
        <v>1375.8029509199168</v>
      </c>
      <c r="F8" s="121">
        <f>INDEX(前年結果表[順Comprehensive],MATCH(B8,前年結果表['#],0))</f>
        <v>3</v>
      </c>
      <c r="G8" s="29">
        <f>INDEX(前年結果表[スComprehensive],MATCH(B8,前年結果表['#],0))</f>
        <v>1367.2081309127002</v>
      </c>
      <c r="H8" s="107">
        <f t="shared" si="0"/>
        <v>0</v>
      </c>
      <c r="I8" s="363">
        <f t="shared" si="1"/>
        <v>8.5948200072166401</v>
      </c>
      <c r="K8" s="22">
        <f>INDEX(順位表['#],MATCH(M8,順位表[Economy],0))</f>
        <v>23</v>
      </c>
      <c r="L8" s="183" t="str">
        <f>IF(JPEN!$C$2="EN",INDEX(都市マスタ[City Name],MATCH(K8,都市マスタ['#],0)),INDEX(都市マスタ[都市名],MATCH(K8,都市マスタ['#],0)))</f>
        <v>北京</v>
      </c>
      <c r="M8" s="117">
        <v>3</v>
      </c>
      <c r="N8" s="23">
        <f>INDEX(スコア表[Economy],MATCH(K8,スコア表['#],0))</f>
        <v>309.44809679429994</v>
      </c>
      <c r="O8" s="121">
        <f>INDEX(前年結果表[順Economy],MATCH(K8,前年結果表['#],0))</f>
        <v>4</v>
      </c>
      <c r="P8" s="29">
        <f>INDEX(前年結果表[スEconomy],MATCH(K8,前年結果表['#],0))</f>
        <v>298.60968966920001</v>
      </c>
      <c r="Q8" s="107">
        <f t="shared" si="2"/>
        <v>1</v>
      </c>
      <c r="R8" s="110">
        <f t="shared" si="3"/>
        <v>10.838407125099934</v>
      </c>
      <c r="T8" s="22">
        <f>INDEX(順位表['#],MATCH(V8,順位表[R&amp;D],0))</f>
        <v>33</v>
      </c>
      <c r="U8" s="187" t="str">
        <f>IF(JPEN!$C$2="EN",INDEX(都市マスタ[City Name],MATCH(T8,都市マスタ['#],0)),INDEX(都市マスタ[都市名],MATCH(T8,都市マスタ['#],0)))</f>
        <v>ロサンゼルス</v>
      </c>
      <c r="V8" s="117">
        <v>3</v>
      </c>
      <c r="W8" s="23">
        <f>INDEX(スコア表[R&amp;D],MATCH(T8,スコア表['#],0))</f>
        <v>154.91435305271668</v>
      </c>
      <c r="X8" s="121">
        <f>INDEX(前年結果表[順R&amp;D],MATCH(T8,前年結果表['#],0))</f>
        <v>3</v>
      </c>
      <c r="Y8" s="29">
        <f>INDEX(前年結果表[スR&amp;D],MATCH(T8,前年結果表['#],0))</f>
        <v>155.80975108923332</v>
      </c>
      <c r="Z8" s="107">
        <f t="shared" si="4"/>
        <v>0</v>
      </c>
      <c r="AA8" s="110">
        <f t="shared" si="5"/>
        <v>-0.89539803651663874</v>
      </c>
      <c r="AC8" s="22">
        <f>INDEX(順位表['#],MATCH(AE8,順位表[Cultural Interaction],0))</f>
        <v>4</v>
      </c>
      <c r="AD8" s="193" t="str">
        <f>IF(JPEN!$C$2="EN",INDEX(都市マスタ[City Name],MATCH(AC8,都市マスタ['#],0)),INDEX(都市マスタ[都市名],MATCH(AC8,都市マスタ['#],0)))</f>
        <v>パリ</v>
      </c>
      <c r="AE8" s="117">
        <v>3</v>
      </c>
      <c r="AF8" s="23">
        <f>INDEX(スコア表[Cultural Interaction],MATCH(AC8,スコア表['#],0))</f>
        <v>250.73653323328332</v>
      </c>
      <c r="AG8" s="121">
        <f>INDEX(前年結果表[順Cultural Interaction],MATCH(AC8,前年結果表['#],0))</f>
        <v>3</v>
      </c>
      <c r="AH8" s="29">
        <f>INDEX(前年結果表[スCultural Interaction],MATCH(AC8,前年結果表['#],0))</f>
        <v>235.49823935386664</v>
      </c>
      <c r="AI8" s="107">
        <f t="shared" si="6"/>
        <v>0</v>
      </c>
      <c r="AJ8" s="110">
        <f t="shared" si="7"/>
        <v>15.238293879416688</v>
      </c>
      <c r="AL8" s="22">
        <f>INDEX(順位表['#],MATCH(AN8,順位表[Livability],0))</f>
        <v>29</v>
      </c>
      <c r="AM8" s="199" t="str">
        <f>IF(JPEN!$C$2="EN",INDEX(都市マスタ[City Name],MATCH(AL8,都市マスタ['#],0)),INDEX(都市マスタ[都市名],MATCH(AL8,都市マスタ['#],0)))</f>
        <v>東京</v>
      </c>
      <c r="AN8" s="117">
        <v>3</v>
      </c>
      <c r="AO8" s="23">
        <f>INDEX(スコア表[Livability],MATCH(AL8,スコア表['#],0))</f>
        <v>367.69041284080004</v>
      </c>
      <c r="AP8" s="121">
        <f>INDEX(前年結果表[順Livability],MATCH(AL8,前年結果表['#],0))</f>
        <v>11</v>
      </c>
      <c r="AQ8" s="29">
        <f>INDEX(前年結果表[スLivability],MATCH(AL8,前年結果表['#],0))</f>
        <v>353.10227911678334</v>
      </c>
      <c r="AR8" s="107">
        <f t="shared" si="8"/>
        <v>8</v>
      </c>
      <c r="AS8" s="110">
        <f t="shared" si="9"/>
        <v>14.5881337240167</v>
      </c>
      <c r="AU8" s="22">
        <f>INDEX(順位表['#],MATCH(AW8,順位表[Environment],0))</f>
        <v>7</v>
      </c>
      <c r="AV8" s="204" t="str">
        <f>IF(JPEN!$C$2="EN",INDEX(都市マスタ[City Name],MATCH(AU8,都市マスタ['#],0)),INDEX(都市マスタ[都市名],MATCH(AU8,都市マスタ['#],0)))</f>
        <v>ジュネーブ</v>
      </c>
      <c r="AW8" s="117">
        <v>3</v>
      </c>
      <c r="AX8" s="23">
        <f>INDEX(スコア表[Environment],MATCH(AU8,スコア表['#],0))</f>
        <v>217.61196032589999</v>
      </c>
      <c r="AY8" s="121">
        <f>INDEX(前年結果表[順Environment],MATCH(AU8,前年結果表['#],0))</f>
        <v>10</v>
      </c>
      <c r="AZ8" s="29">
        <f>INDEX(前年結果表[スEnvironment],MATCH(AU8,前年結果表['#],0))</f>
        <v>194.87422959133332</v>
      </c>
      <c r="BA8" s="107">
        <f t="shared" si="10"/>
        <v>7</v>
      </c>
      <c r="BB8" s="110">
        <f t="shared" si="11"/>
        <v>22.737730734566668</v>
      </c>
      <c r="BD8" s="22">
        <f>INDEX(順位表['#],MATCH(BF8,順位表[Accessibility],0))</f>
        <v>38</v>
      </c>
      <c r="BE8" s="209" t="str">
        <f>IF(JPEN!$C$2="EN",INDEX(都市マスタ[City Name],MATCH(BD8,都市マスタ['#],0)),INDEX(都市マスタ[都市名],MATCH(BD8,都市マスタ['#],0)))</f>
        <v>ニューヨーク</v>
      </c>
      <c r="BF8" s="117">
        <v>3</v>
      </c>
      <c r="BG8" s="23">
        <f>INDEX(スコア表[Accessibility],MATCH(BD8,スコア表['#],0))</f>
        <v>216.10079665688338</v>
      </c>
      <c r="BH8" s="121">
        <f>INDEX(前年結果表[順Accessibility],MATCH(BD8,前年結果表['#],0))</f>
        <v>4</v>
      </c>
      <c r="BI8" s="29">
        <f>INDEX(前年結果表[スAccessibility],MATCH(BD8,前年結果表['#],0))</f>
        <v>220.64595569630001</v>
      </c>
      <c r="BJ8" s="107">
        <f t="shared" si="12"/>
        <v>1</v>
      </c>
      <c r="BK8" s="110">
        <f t="shared" si="13"/>
        <v>-4.5451590394166317</v>
      </c>
      <c r="BM8" s="40">
        <v>3</v>
      </c>
      <c r="BN8" s="99" t="s">
        <v>108</v>
      </c>
      <c r="BO8" s="97">
        <v>324.52945684336669</v>
      </c>
      <c r="BP8" s="97">
        <v>181.27199802971666</v>
      </c>
      <c r="BQ8" s="97">
        <v>338.85846632994168</v>
      </c>
      <c r="BR8" s="97">
        <v>358.25531773630001</v>
      </c>
      <c r="BS8" s="97">
        <v>192.8875330519667</v>
      </c>
      <c r="BT8" s="97">
        <v>196.55774722471668</v>
      </c>
      <c r="BU8" s="97">
        <v>1592.3605192160085</v>
      </c>
      <c r="BV8" s="96">
        <v>2</v>
      </c>
      <c r="BW8" s="96">
        <v>2</v>
      </c>
      <c r="BX8" s="96">
        <v>1</v>
      </c>
      <c r="BY8" s="96">
        <v>8</v>
      </c>
      <c r="BZ8" s="96">
        <v>11</v>
      </c>
      <c r="CA8" s="96">
        <v>6</v>
      </c>
      <c r="CB8" s="100">
        <v>1</v>
      </c>
    </row>
    <row r="9" spans="1:80" ht="20.85" customHeight="1">
      <c r="A9" s="34"/>
      <c r="B9" s="22">
        <f>INDEX(順位表['#],MATCH(D9,順位表[Comprehensive],0))</f>
        <v>4</v>
      </c>
      <c r="C9" s="43" t="str">
        <f>IF(JPEN!$C$2="EN",INDEX(都市マスタ[City Name],MATCH(B9,都市マスタ['#],0)),INDEX(都市マスタ[都市名],MATCH(B9,都市マスタ['#],0)))</f>
        <v>パリ</v>
      </c>
      <c r="D9" s="117">
        <v>4</v>
      </c>
      <c r="E9" s="23">
        <f>INDEX(スコア表[Comprehensive],MATCH(B9,スコア表['#],0))</f>
        <v>1363.7038405149415</v>
      </c>
      <c r="F9" s="121">
        <f>INDEX(前年結果表[順Comprehensive],MATCH(B9,前年結果表['#],0))</f>
        <v>4</v>
      </c>
      <c r="G9" s="29">
        <f>INDEX(前年結果表[スComprehensive],MATCH(B9,前年結果表['#],0))</f>
        <v>1356.881205476275</v>
      </c>
      <c r="H9" s="107">
        <f t="shared" si="0"/>
        <v>0</v>
      </c>
      <c r="I9" s="110">
        <f t="shared" si="1"/>
        <v>6.8226350386664762</v>
      </c>
      <c r="K9" s="22">
        <f>INDEX(順位表['#],MATCH(M9,順位表[Economy],0))</f>
        <v>21</v>
      </c>
      <c r="L9" s="183" t="str">
        <f>IF(JPEN!$C$2="EN",INDEX(都市マスタ[City Name],MATCH(K9,都市マスタ['#],0)),INDEX(都市マスタ[都市名],MATCH(K9,都市マスタ['#],0)))</f>
        <v>シンガポール</v>
      </c>
      <c r="M9" s="117">
        <v>4</v>
      </c>
      <c r="N9" s="23">
        <f>INDEX(スコア表[Economy],MATCH(K9,スコア表['#],0))</f>
        <v>308.34638328295</v>
      </c>
      <c r="O9" s="121">
        <f>INDEX(前年結果表[順Economy],MATCH(K9,前年結果表['#],0))</f>
        <v>6</v>
      </c>
      <c r="P9" s="29">
        <f>INDEX(前年結果表[スEconomy],MATCH(K9,前年結果表['#],0))</f>
        <v>286.28091279255</v>
      </c>
      <c r="Q9" s="107">
        <f t="shared" si="2"/>
        <v>2</v>
      </c>
      <c r="R9" s="110">
        <f t="shared" si="3"/>
        <v>22.065470490400003</v>
      </c>
      <c r="T9" s="22">
        <f>INDEX(順位表['#],MATCH(V9,順位表[R&amp;D],0))</f>
        <v>29</v>
      </c>
      <c r="U9" s="187" t="str">
        <f>IF(JPEN!$C$2="EN",INDEX(都市マスタ[City Name],MATCH(T9,都市マスタ['#],0)),INDEX(都市マスタ[都市名],MATCH(T9,都市マスタ['#],0)))</f>
        <v>東京</v>
      </c>
      <c r="V9" s="117">
        <v>4</v>
      </c>
      <c r="W9" s="23">
        <f>INDEX(スコア表[R&amp;D],MATCH(T9,スコア表['#],0))</f>
        <v>143.44736716223332</v>
      </c>
      <c r="X9" s="121">
        <f>INDEX(前年結果表[順R&amp;D],MATCH(T9,前年結果表['#],0))</f>
        <v>4</v>
      </c>
      <c r="Y9" s="29">
        <f>INDEX(前年結果表[スR&amp;D],MATCH(T9,前年結果表['#],0))</f>
        <v>145.36218182676666</v>
      </c>
      <c r="Z9" s="107">
        <f t="shared" si="4"/>
        <v>0</v>
      </c>
      <c r="AA9" s="110">
        <f t="shared" si="5"/>
        <v>-1.9148146645333384</v>
      </c>
      <c r="AC9" s="22">
        <f>INDEX(順位表['#],MATCH(AE9,順位表[Cultural Interaction],0))</f>
        <v>44</v>
      </c>
      <c r="AD9" s="193" t="str">
        <f>IF(JPEN!$C$2="EN",INDEX(都市マスタ[City Name],MATCH(AC9,都市マスタ['#],0)),INDEX(都市マスタ[都市名],MATCH(AC9,都市マスタ['#],0)))</f>
        <v>ドバイ</v>
      </c>
      <c r="AE9" s="117">
        <v>4</v>
      </c>
      <c r="AF9" s="23">
        <f>INDEX(スコア表[Cultural Interaction],MATCH(AC9,スコア表['#],0))</f>
        <v>237.54820990479999</v>
      </c>
      <c r="AG9" s="121">
        <f>INDEX(前年結果表[順Cultural Interaction],MATCH(AC9,前年結果表['#],0))</f>
        <v>4</v>
      </c>
      <c r="AH9" s="29">
        <f>INDEX(前年結果表[スCultural Interaction],MATCH(AC9,前年結果表['#],0))</f>
        <v>226.82481733994166</v>
      </c>
      <c r="AI9" s="107">
        <f t="shared" si="6"/>
        <v>0</v>
      </c>
      <c r="AJ9" s="110">
        <f t="shared" si="7"/>
        <v>10.723392564858329</v>
      </c>
      <c r="AL9" s="22">
        <f>INDEX(順位表['#],MATCH(AN9,順位表[Livability],0))</f>
        <v>2</v>
      </c>
      <c r="AM9" s="199" t="str">
        <f>IF(JPEN!$C$2="EN",INDEX(都市マスタ[City Name],MATCH(AL9,都市マスタ['#],0)),INDEX(都市マスタ[都市名],MATCH(AL9,都市マスタ['#],0)))</f>
        <v>バルセロナ</v>
      </c>
      <c r="AN9" s="117">
        <v>4</v>
      </c>
      <c r="AO9" s="23">
        <f>INDEX(スコア表[Livability],MATCH(AL9,スコア表['#],0))</f>
        <v>365.61221548564998</v>
      </c>
      <c r="AP9" s="121">
        <f>INDEX(前年結果表[順Livability],MATCH(AL9,前年結果表['#],0))</f>
        <v>2</v>
      </c>
      <c r="AQ9" s="29">
        <f>INDEX(前年結果表[スLivability],MATCH(AL9,前年結果表['#],0))</f>
        <v>372.60910210896662</v>
      </c>
      <c r="AR9" s="107">
        <f t="shared" si="8"/>
        <v>-2</v>
      </c>
      <c r="AS9" s="110">
        <f t="shared" si="9"/>
        <v>-6.9968866233166409</v>
      </c>
      <c r="AU9" s="22">
        <f>INDEX(順位表['#],MATCH(AW9,順位表[Environment],0))</f>
        <v>46</v>
      </c>
      <c r="AV9" s="204" t="str">
        <f>IF(JPEN!$C$2="EN",INDEX(都市マスタ[City Name],MATCH(AU9,都市マスタ['#],0)),INDEX(都市マスタ[都市名],MATCH(AU9,都市マスタ['#],0)))</f>
        <v>ヘルシンキ</v>
      </c>
      <c r="AW9" s="117">
        <v>4</v>
      </c>
      <c r="AX9" s="23">
        <f>INDEX(スコア表[Environment],MATCH(AU9,スコア表['#],0))</f>
        <v>210.67987394316665</v>
      </c>
      <c r="AY9" s="121">
        <f>INDEX(前年結果表[順Environment],MATCH(AU9,前年結果表['#],0))</f>
        <v>3</v>
      </c>
      <c r="AZ9" s="29">
        <f>INDEX(前年結果表[スEnvironment],MATCH(AU9,前年結果表['#],0))</f>
        <v>208.82837919443335</v>
      </c>
      <c r="BA9" s="107">
        <f t="shared" si="10"/>
        <v>-1</v>
      </c>
      <c r="BB9" s="110">
        <f t="shared" si="11"/>
        <v>1.8514947487333018</v>
      </c>
      <c r="BD9" s="22">
        <f>INDEX(順位表['#],MATCH(BF9,順位表[Accessibility],0))</f>
        <v>3</v>
      </c>
      <c r="BE9" s="209" t="str">
        <f>IF(JPEN!$C$2="EN",INDEX(都市マスタ[City Name],MATCH(BD9,都市マスタ['#],0)),INDEX(都市マスタ[都市名],MATCH(BD9,都市マスタ['#],0)))</f>
        <v>ロンドン</v>
      </c>
      <c r="BF9" s="117">
        <v>4</v>
      </c>
      <c r="BG9" s="23">
        <f>INDEX(スコア表[Accessibility],MATCH(BD9,スコア表['#],0))</f>
        <v>215.94210663439998</v>
      </c>
      <c r="BH9" s="121">
        <f>INDEX(前年結果表[順Accessibility],MATCH(BD9,前年結果表['#],0))</f>
        <v>6</v>
      </c>
      <c r="BI9" s="29">
        <f>INDEX(前年結果表[スAccessibility],MATCH(BD9,前年結果表['#],0))</f>
        <v>196.55774722471668</v>
      </c>
      <c r="BJ9" s="107">
        <f t="shared" si="12"/>
        <v>2</v>
      </c>
      <c r="BK9" s="110">
        <f t="shared" si="13"/>
        <v>19.384359409683299</v>
      </c>
      <c r="BM9" s="40">
        <v>4</v>
      </c>
      <c r="BN9" s="99" t="s">
        <v>110</v>
      </c>
      <c r="BO9" s="97">
        <v>253.08930491768336</v>
      </c>
      <c r="BP9" s="97">
        <v>103.08437279885</v>
      </c>
      <c r="BQ9" s="97">
        <v>235.49823935386664</v>
      </c>
      <c r="BR9" s="97">
        <v>383.42967120009166</v>
      </c>
      <c r="BS9" s="97">
        <v>156.33856354993333</v>
      </c>
      <c r="BT9" s="97">
        <v>225.44105365585</v>
      </c>
      <c r="BU9" s="97">
        <v>1356.881205476275</v>
      </c>
      <c r="BV9" s="96">
        <v>13</v>
      </c>
      <c r="BW9" s="96">
        <v>9</v>
      </c>
      <c r="BX9" s="96">
        <v>3</v>
      </c>
      <c r="BY9" s="96">
        <v>1</v>
      </c>
      <c r="BZ9" s="96">
        <v>28</v>
      </c>
      <c r="CA9" s="96">
        <v>3</v>
      </c>
      <c r="CB9" s="100">
        <v>4</v>
      </c>
    </row>
    <row r="10" spans="1:80" ht="20.85" customHeight="1">
      <c r="A10" s="34"/>
      <c r="B10" s="22">
        <f>INDEX(順位表['#],MATCH(D10,順位表[Comprehensive],0))</f>
        <v>21</v>
      </c>
      <c r="C10" s="43" t="str">
        <f>IF(JPEN!$C$2="EN",INDEX(都市マスタ[City Name],MATCH(B10,都市マスタ['#],0)),INDEX(都市マスタ[都市名],MATCH(B10,都市マスタ['#],0)))</f>
        <v>シンガポール</v>
      </c>
      <c r="D10" s="117">
        <v>5</v>
      </c>
      <c r="E10" s="23">
        <f>INDEX(スコア表[Comprehensive],MATCH(B10,スコア表['#],0))</f>
        <v>1264.7031333791499</v>
      </c>
      <c r="F10" s="121">
        <f>INDEX(前年結果表[順Comprehensive],MATCH(B10,前年結果表['#],0))</f>
        <v>5</v>
      </c>
      <c r="G10" s="29">
        <f>INDEX(前年結果表[スComprehensive],MATCH(B10,前年結果表['#],0))</f>
        <v>1233.7536191069501</v>
      </c>
      <c r="H10" s="107">
        <f t="shared" si="0"/>
        <v>0</v>
      </c>
      <c r="I10" s="110">
        <f t="shared" si="1"/>
        <v>30.949514272199849</v>
      </c>
      <c r="K10" s="22">
        <f>INDEX(順位表['#],MATCH(M10,順位表[Economy],0))</f>
        <v>11</v>
      </c>
      <c r="L10" s="183" t="str">
        <f>IF(JPEN!$C$2="EN",INDEX(都市マスタ[City Name],MATCH(K10,都市マスタ['#],0)),INDEX(都市マスタ[都市名],MATCH(K10,都市マスタ['#],0)))</f>
        <v>チューリッヒ</v>
      </c>
      <c r="M10" s="117">
        <v>5</v>
      </c>
      <c r="N10" s="23">
        <f>INDEX(スコア表[Economy],MATCH(K10,スコア表['#],0))</f>
        <v>302.71871872881661</v>
      </c>
      <c r="O10" s="121">
        <f>INDEX(前年結果表[順Economy],MATCH(K10,前年結果表['#],0))</f>
        <v>3</v>
      </c>
      <c r="P10" s="29">
        <f>INDEX(前年結果表[スEconomy],MATCH(K10,前年結果表['#],0))</f>
        <v>299.95387126233334</v>
      </c>
      <c r="Q10" s="107">
        <f t="shared" si="2"/>
        <v>-2</v>
      </c>
      <c r="R10" s="110">
        <f t="shared" si="3"/>
        <v>2.7648474664832747</v>
      </c>
      <c r="T10" s="22">
        <f>INDEX(順位表['#],MATCH(V10,順位表[R&amp;D],0))</f>
        <v>39</v>
      </c>
      <c r="U10" s="187" t="str">
        <f>IF(JPEN!$C$2="EN",INDEX(都市マスタ[City Name],MATCH(T10,都市マスタ['#],0)),INDEX(都市マスタ[都市名],MATCH(T10,都市マスタ['#],0)))</f>
        <v>ボストン</v>
      </c>
      <c r="V10" s="117">
        <v>5</v>
      </c>
      <c r="W10" s="23">
        <f>INDEX(スコア表[R&amp;D],MATCH(T10,スコア表['#],0))</f>
        <v>137.66717395626668</v>
      </c>
      <c r="X10" s="121">
        <f>INDEX(前年結果表[順R&amp;D],MATCH(T10,前年結果表['#],0))</f>
        <v>5</v>
      </c>
      <c r="Y10" s="29">
        <f>INDEX(前年結果表[スR&amp;D],MATCH(T10,前年結果表['#],0))</f>
        <v>135.44577991310001</v>
      </c>
      <c r="Z10" s="107">
        <f t="shared" si="4"/>
        <v>0</v>
      </c>
      <c r="AA10" s="110">
        <f t="shared" si="5"/>
        <v>2.2213940431666686</v>
      </c>
      <c r="AC10" s="22">
        <f>INDEX(順位表['#],MATCH(AE10,順位表[Cultural Interaction],0))</f>
        <v>29</v>
      </c>
      <c r="AD10" s="193" t="str">
        <f>IF(JPEN!$C$2="EN",INDEX(都市マスタ[City Name],MATCH(AC10,都市マスタ['#],0)),INDEX(都市マスタ[都市名],MATCH(AC10,都市マスタ['#],0)))</f>
        <v>東京</v>
      </c>
      <c r="AE10" s="117">
        <v>5</v>
      </c>
      <c r="AF10" s="23">
        <f>INDEX(スコア表[Cultural Interaction],MATCH(AC10,スコア表['#],0))</f>
        <v>237.5124623666</v>
      </c>
      <c r="AG10" s="121">
        <f>INDEX(前年結果表[順Cultural Interaction],MATCH(AC10,前年結果表['#],0))</f>
        <v>5</v>
      </c>
      <c r="AH10" s="29">
        <f>INDEX(前年結果表[スCultural Interaction],MATCH(AC10,前年結果表['#],0))</f>
        <v>210.64522185788331</v>
      </c>
      <c r="AI10" s="107">
        <f t="shared" si="6"/>
        <v>0</v>
      </c>
      <c r="AJ10" s="110">
        <f t="shared" si="7"/>
        <v>26.867240508716691</v>
      </c>
      <c r="AL10" s="22">
        <f>INDEX(順位表['#],MATCH(AN10,順位表[Livability],0))</f>
        <v>13</v>
      </c>
      <c r="AM10" s="199" t="str">
        <f>IF(JPEN!$C$2="EN",INDEX(都市マスタ[City Name],MATCH(AL10,都市マスタ['#],0)),INDEX(都市マスタ[都市名],MATCH(AL10,都市マスタ['#],0)))</f>
        <v>ウィーン</v>
      </c>
      <c r="AN10" s="117">
        <v>5</v>
      </c>
      <c r="AO10" s="23">
        <f>INDEX(スコア表[Livability],MATCH(AL10,スコア表['#],0))</f>
        <v>359.96691426207502</v>
      </c>
      <c r="AP10" s="121">
        <f>INDEX(前年結果表[順Livability],MATCH(AL10,前年結果表['#],0))</f>
        <v>13</v>
      </c>
      <c r="AQ10" s="29">
        <f>INDEX(前年結果表[スLivability],MATCH(AL10,前年結果表['#],0))</f>
        <v>351.17586715119995</v>
      </c>
      <c r="AR10" s="107">
        <f t="shared" si="8"/>
        <v>8</v>
      </c>
      <c r="AS10" s="110">
        <f t="shared" si="9"/>
        <v>8.7910471108750698</v>
      </c>
      <c r="AU10" s="22">
        <f>INDEX(順位表['#],MATCH(AW10,順位表[Environment],0))</f>
        <v>13</v>
      </c>
      <c r="AV10" s="204" t="str">
        <f>IF(JPEN!$C$2="EN",INDEX(都市マスタ[City Name],MATCH(AU10,都市マスタ['#],0)),INDEX(都市マスタ[都市名],MATCH(AU10,都市マスタ['#],0)))</f>
        <v>ウィーン</v>
      </c>
      <c r="AW10" s="117">
        <v>5</v>
      </c>
      <c r="AX10" s="23">
        <f>INDEX(スコア表[Environment],MATCH(AU10,スコア表['#],0))</f>
        <v>210.4710449698</v>
      </c>
      <c r="AY10" s="121">
        <f>INDEX(前年結果表[順Environment],MATCH(AU10,前年結果表['#],0))</f>
        <v>5</v>
      </c>
      <c r="AZ10" s="29">
        <f>INDEX(前年結果表[スEnvironment],MATCH(AU10,前年結果表['#],0))</f>
        <v>204.69440071403335</v>
      </c>
      <c r="BA10" s="107">
        <f t="shared" si="10"/>
        <v>0</v>
      </c>
      <c r="BB10" s="110">
        <f t="shared" si="11"/>
        <v>5.7766442557666551</v>
      </c>
      <c r="BD10" s="22">
        <f>INDEX(順位表['#],MATCH(BF10,順位表[Accessibility],0))</f>
        <v>4</v>
      </c>
      <c r="BE10" s="209" t="str">
        <f>IF(JPEN!$C$2="EN",INDEX(都市マスタ[City Name],MATCH(BD10,都市マスタ['#],0)),INDEX(都市マスタ[都市名],MATCH(BD10,都市マスタ['#],0)))</f>
        <v>パリ</v>
      </c>
      <c r="BF10" s="117">
        <v>5</v>
      </c>
      <c r="BG10" s="23">
        <f>INDEX(スコア表[Accessibility],MATCH(BD10,スコア表['#],0))</f>
        <v>210.39062060088332</v>
      </c>
      <c r="BH10" s="121">
        <f>INDEX(前年結果表[順Accessibility],MATCH(BD10,前年結果表['#],0))</f>
        <v>3</v>
      </c>
      <c r="BI10" s="29">
        <f>INDEX(前年結果表[スAccessibility],MATCH(BD10,前年結果表['#],0))</f>
        <v>225.44105365585</v>
      </c>
      <c r="BJ10" s="107">
        <f t="shared" si="12"/>
        <v>-2</v>
      </c>
      <c r="BK10" s="110">
        <f t="shared" si="13"/>
        <v>-15.050433054966675</v>
      </c>
      <c r="BM10" s="40">
        <v>5</v>
      </c>
      <c r="BN10" s="99" t="s">
        <v>112</v>
      </c>
      <c r="BO10" s="97">
        <v>195.13790369468333</v>
      </c>
      <c r="BP10" s="97">
        <v>60.437501151933333</v>
      </c>
      <c r="BQ10" s="97">
        <v>112.60144273150831</v>
      </c>
      <c r="BR10" s="97">
        <v>370.56388981775837</v>
      </c>
      <c r="BS10" s="97">
        <v>153.63442323696668</v>
      </c>
      <c r="BT10" s="97">
        <v>157.35804477329998</v>
      </c>
      <c r="BU10" s="97">
        <v>1049.7332054061499</v>
      </c>
      <c r="BV10" s="96">
        <v>33</v>
      </c>
      <c r="BW10" s="96">
        <v>21</v>
      </c>
      <c r="BX10" s="96">
        <v>23</v>
      </c>
      <c r="BY10" s="96">
        <v>3</v>
      </c>
      <c r="BZ10" s="96">
        <v>29</v>
      </c>
      <c r="CA10" s="96">
        <v>22</v>
      </c>
      <c r="CB10" s="100">
        <v>26</v>
      </c>
    </row>
    <row r="11" spans="1:80" ht="20.85" customHeight="1">
      <c r="A11" s="34"/>
      <c r="B11" s="22">
        <f>INDEX(順位表['#],MATCH(D11,順位表[Comprehensive],0))</f>
        <v>6</v>
      </c>
      <c r="C11" s="43" t="str">
        <f>IF(JPEN!$C$2="EN",INDEX(都市マスタ[City Name],MATCH(B11,都市マスタ['#],0)),INDEX(都市マスタ[都市名],MATCH(B11,都市マスタ['#],0)))</f>
        <v>アムステルダム</v>
      </c>
      <c r="D11" s="117">
        <v>6</v>
      </c>
      <c r="E11" s="23">
        <f>INDEX(スコア表[Comprehensive],MATCH(B11,スコア表['#],0))</f>
        <v>1246.3159718095417</v>
      </c>
      <c r="F11" s="121">
        <f>INDEX(前年結果表[順Comprehensive],MATCH(B11,前年結果表['#],0))</f>
        <v>6</v>
      </c>
      <c r="G11" s="29">
        <f>INDEX(前年結果表[スComprehensive],MATCH(B11,前年結果表['#],0))</f>
        <v>1228.5477094100249</v>
      </c>
      <c r="H11" s="107">
        <f t="shared" si="0"/>
        <v>0</v>
      </c>
      <c r="I11" s="110">
        <f t="shared" si="1"/>
        <v>17.768262399516743</v>
      </c>
      <c r="K11" s="22">
        <f>INDEX(順位表['#],MATCH(M11,順位表[Economy],0))</f>
        <v>45</v>
      </c>
      <c r="L11" s="183" t="str">
        <f>IF(JPEN!$C$2="EN",INDEX(都市マスタ[City Name],MATCH(K11,都市マスタ['#],0)),INDEX(都市マスタ[都市名],MATCH(K11,都市マスタ['#],0)))</f>
        <v>ダブリン</v>
      </c>
      <c r="M11" s="117">
        <v>6</v>
      </c>
      <c r="N11" s="23">
        <f>INDEX(スコア表[Economy],MATCH(K11,スコア表['#],0))</f>
        <v>298.66435348588334</v>
      </c>
      <c r="O11" s="121">
        <f>INDEX(前年結果表[順Economy],MATCH(K11,前年結果表['#],0))</f>
        <v>9</v>
      </c>
      <c r="P11" s="29">
        <f>INDEX(前年結果表[スEconomy],MATCH(K11,前年結果表['#],0))</f>
        <v>273.55532181846672</v>
      </c>
      <c r="Q11" s="107">
        <f t="shared" si="2"/>
        <v>3</v>
      </c>
      <c r="R11" s="110">
        <f t="shared" si="3"/>
        <v>25.109031667416616</v>
      </c>
      <c r="T11" s="22">
        <f>INDEX(順位表['#],MATCH(V11,順位表[R&amp;D],0))</f>
        <v>26</v>
      </c>
      <c r="U11" s="187" t="str">
        <f>IF(JPEN!$C$2="EN",INDEX(都市マスタ[City Name],MATCH(T11,都市マスタ['#],0)),INDEX(都市マスタ[都市名],MATCH(T11,都市マスタ['#],0)))</f>
        <v>ソウル</v>
      </c>
      <c r="V11" s="117">
        <v>6</v>
      </c>
      <c r="W11" s="23">
        <f>INDEX(スコア表[R&amp;D],MATCH(T11,スコア表['#],0))</f>
        <v>136.38505214888332</v>
      </c>
      <c r="X11" s="121">
        <f>INDEX(前年結果表[順R&amp;D],MATCH(T11,前年結果表['#],0))</f>
        <v>6</v>
      </c>
      <c r="Y11" s="29">
        <f>INDEX(前年結果表[スR&amp;D],MATCH(T11,前年結果表['#],0))</f>
        <v>130.45857063015001</v>
      </c>
      <c r="Z11" s="107">
        <f t="shared" si="4"/>
        <v>0</v>
      </c>
      <c r="AA11" s="110">
        <f t="shared" si="5"/>
        <v>5.9264815187333113</v>
      </c>
      <c r="AC11" s="22">
        <f>INDEX(順位表['#],MATCH(AE11,順位表[Cultural Interaction],0))</f>
        <v>15</v>
      </c>
      <c r="AD11" s="193" t="str">
        <f>IF(JPEN!$C$2="EN",INDEX(都市マスタ[City Name],MATCH(AC11,都市マスタ['#],0)),INDEX(都市マスタ[都市名],MATCH(AC11,都市マスタ['#],0)))</f>
        <v>イスタンブール</v>
      </c>
      <c r="AE11" s="117">
        <v>6</v>
      </c>
      <c r="AF11" s="23">
        <f>INDEX(スコア表[Cultural Interaction],MATCH(AC11,スコア表['#],0))</f>
        <v>207.21040014800832</v>
      </c>
      <c r="AG11" s="121">
        <f>INDEX(前年結果表[順Cultural Interaction],MATCH(AC11,前年結果表['#],0))</f>
        <v>6</v>
      </c>
      <c r="AH11" s="29">
        <f>INDEX(前年結果表[スCultural Interaction],MATCH(AC11,前年結果表['#],0))</f>
        <v>195.72654853860834</v>
      </c>
      <c r="AI11" s="107">
        <f t="shared" si="6"/>
        <v>0</v>
      </c>
      <c r="AJ11" s="110">
        <f t="shared" si="7"/>
        <v>11.483851609399977</v>
      </c>
      <c r="AL11" s="22">
        <f>INDEX(順位表['#],MATCH(AN11,順位表[Livability],0))</f>
        <v>9</v>
      </c>
      <c r="AM11" s="199" t="str">
        <f>IF(JPEN!$C$2="EN",INDEX(都市マスタ[City Name],MATCH(AL11,都市マスタ['#],0)),INDEX(都市マスタ[都市名],MATCH(AL11,都市マスタ['#],0)))</f>
        <v>ベルリン</v>
      </c>
      <c r="AN11" s="117">
        <v>6</v>
      </c>
      <c r="AO11" s="23">
        <f>INDEX(スコア表[Livability],MATCH(AL11,スコア表['#],0))</f>
        <v>359.26697375449999</v>
      </c>
      <c r="AP11" s="121">
        <f>INDEX(前年結果表[順Livability],MATCH(AL11,前年結果表['#],0))</f>
        <v>7</v>
      </c>
      <c r="AQ11" s="29">
        <f>INDEX(前年結果表[スLivability],MATCH(AL11,前年結果表['#],0))</f>
        <v>359.006684059375</v>
      </c>
      <c r="AR11" s="107">
        <f t="shared" si="8"/>
        <v>1</v>
      </c>
      <c r="AS11" s="110">
        <f t="shared" si="9"/>
        <v>0.26028969512498179</v>
      </c>
      <c r="AU11" s="22">
        <f>INDEX(順位表['#],MATCH(AW11,順位表[Environment],0))</f>
        <v>48</v>
      </c>
      <c r="AV11" s="204" t="str">
        <f>IF(JPEN!$C$2="EN",INDEX(都市マスタ[City Name],MATCH(AU11,都市マスタ['#],0)),INDEX(都市マスタ[都市名],MATCH(AU11,都市マスタ['#],0)))</f>
        <v>メルボルン</v>
      </c>
      <c r="AW11" s="117">
        <v>6</v>
      </c>
      <c r="AX11" s="23">
        <f>INDEX(スコア表[Environment],MATCH(AU11,スコア表['#],0))</f>
        <v>203.12582147590001</v>
      </c>
      <c r="AY11" s="121">
        <f>INDEX(前年結果表[順Environment],MATCH(AU11,前年結果表['#],0))</f>
        <v>7</v>
      </c>
      <c r="AZ11" s="29">
        <f>INDEX(前年結果表[スEnvironment],MATCH(AU11,前年結果表['#],0))</f>
        <v>201.57415134406668</v>
      </c>
      <c r="BA11" s="107">
        <f t="shared" si="10"/>
        <v>1</v>
      </c>
      <c r="BB11" s="110">
        <f t="shared" si="11"/>
        <v>1.5516701318333332</v>
      </c>
      <c r="BD11" s="22">
        <f>INDEX(順位表['#],MATCH(BF11,順位表[Accessibility],0))</f>
        <v>44</v>
      </c>
      <c r="BE11" s="209" t="str">
        <f>IF(JPEN!$C$2="EN",INDEX(都市マスタ[City Name],MATCH(BD11,都市マスタ['#],0)),INDEX(都市マスタ[都市名],MATCH(BD11,都市マスタ['#],0)))</f>
        <v>ドバイ</v>
      </c>
      <c r="BF11" s="117">
        <v>6</v>
      </c>
      <c r="BG11" s="23">
        <f>INDEX(スコア表[Accessibility],MATCH(BD11,スコア表['#],0))</f>
        <v>192.50675426359999</v>
      </c>
      <c r="BH11" s="121">
        <f>INDEX(前年結果表[順Accessibility],MATCH(BD11,前年結果表['#],0))</f>
        <v>9</v>
      </c>
      <c r="BI11" s="29">
        <f>INDEX(前年結果表[スAccessibility],MATCH(BD11,前年結果表['#],0))</f>
        <v>185.75301918166667</v>
      </c>
      <c r="BJ11" s="107">
        <f t="shared" si="12"/>
        <v>3</v>
      </c>
      <c r="BK11" s="110">
        <f t="shared" si="13"/>
        <v>6.7537350819333142</v>
      </c>
      <c r="BM11" s="40">
        <v>6</v>
      </c>
      <c r="BN11" s="99" t="s">
        <v>114</v>
      </c>
      <c r="BO11" s="97">
        <v>259.77450839791669</v>
      </c>
      <c r="BP11" s="97">
        <v>66.122324723666665</v>
      </c>
      <c r="BQ11" s="97">
        <v>144.79994541004169</v>
      </c>
      <c r="BR11" s="97">
        <v>360.02781623338331</v>
      </c>
      <c r="BS11" s="97">
        <v>168.56285478199999</v>
      </c>
      <c r="BT11" s="97">
        <v>229.26025986301664</v>
      </c>
      <c r="BU11" s="97">
        <v>1228.5477094100249</v>
      </c>
      <c r="BV11" s="96">
        <v>12</v>
      </c>
      <c r="BW11" s="96">
        <v>19</v>
      </c>
      <c r="BX11" s="96">
        <v>16</v>
      </c>
      <c r="BY11" s="96">
        <v>6</v>
      </c>
      <c r="BZ11" s="96">
        <v>18</v>
      </c>
      <c r="CA11" s="96">
        <v>2</v>
      </c>
      <c r="CB11" s="100">
        <v>6</v>
      </c>
    </row>
    <row r="12" spans="1:80" ht="20.85" customHeight="1">
      <c r="A12" s="34"/>
      <c r="B12" s="22">
        <f>INDEX(順位表['#],MATCH(D12,順位表[Comprehensive],0))</f>
        <v>26</v>
      </c>
      <c r="C12" s="43" t="str">
        <f>IF(JPEN!$C$2="EN",INDEX(都市マスタ[City Name],MATCH(B12,都市マスタ['#],0)),INDEX(都市マスタ[都市名],MATCH(B12,都市マスタ['#],0)))</f>
        <v>ソウル</v>
      </c>
      <c r="D12" s="117">
        <v>7</v>
      </c>
      <c r="E12" s="23">
        <f>INDEX(スコア表[Comprehensive],MATCH(B12,スコア表['#],0))</f>
        <v>1202.0689072947416</v>
      </c>
      <c r="F12" s="121">
        <f>INDEX(前年結果表[順Comprehensive],MATCH(B12,前年結果表['#],0))</f>
        <v>7</v>
      </c>
      <c r="G12" s="29">
        <f>INDEX(前年結果表[スComprehensive],MATCH(B12,前年結果表['#],0))</f>
        <v>1189.0888855915582</v>
      </c>
      <c r="H12" s="107">
        <f t="shared" si="0"/>
        <v>0</v>
      </c>
      <c r="I12" s="110">
        <f t="shared" si="1"/>
        <v>12.980021703183411</v>
      </c>
      <c r="K12" s="22">
        <f>INDEX(順位表['#],MATCH(M12,順位表[Economy],0))</f>
        <v>32</v>
      </c>
      <c r="L12" s="183" t="str">
        <f>IF(JPEN!$C$2="EN",INDEX(都市マスタ[City Name],MATCH(K12,都市マスタ['#],0)),INDEX(都市マスタ[都市名],MATCH(K12,都市マスタ['#],0)))</f>
        <v>サンフランシスコ</v>
      </c>
      <c r="M12" s="117">
        <v>7</v>
      </c>
      <c r="N12" s="23">
        <f>INDEX(スコア表[Economy],MATCH(K12,スコア表['#],0))</f>
        <v>291.40429790600001</v>
      </c>
      <c r="O12" s="121">
        <f>INDEX(前年結果表[順Economy],MATCH(K12,前年結果表['#],0))</f>
        <v>7</v>
      </c>
      <c r="P12" s="29">
        <f>INDEX(前年結果表[スEconomy],MATCH(K12,前年結果表['#],0))</f>
        <v>281.29161578233334</v>
      </c>
      <c r="Q12" s="107">
        <f t="shared" si="2"/>
        <v>0</v>
      </c>
      <c r="R12" s="110">
        <f t="shared" si="3"/>
        <v>10.112682123666673</v>
      </c>
      <c r="T12" s="22">
        <f>INDEX(順位表['#],MATCH(V12,順位表[R&amp;D],0))</f>
        <v>32</v>
      </c>
      <c r="U12" s="187" t="str">
        <f>IF(JPEN!$C$2="EN",INDEX(都市マスタ[City Name],MATCH(T12,都市マスタ['#],0)),INDEX(都市マスタ[都市名],MATCH(T12,都市マスタ['#],0)))</f>
        <v>サンフランシスコ</v>
      </c>
      <c r="V12" s="117">
        <v>7</v>
      </c>
      <c r="W12" s="23">
        <f>INDEX(スコア表[R&amp;D],MATCH(T12,スコア表['#],0))</f>
        <v>117.70197243871664</v>
      </c>
      <c r="X12" s="121">
        <f>INDEX(前年結果表[順R&amp;D],MATCH(T12,前年結果表['#],0))</f>
        <v>7</v>
      </c>
      <c r="Y12" s="29">
        <f>INDEX(前年結果表[スR&amp;D],MATCH(T12,前年結果表['#],0))</f>
        <v>118.18546681449999</v>
      </c>
      <c r="Z12" s="107">
        <f t="shared" si="4"/>
        <v>0</v>
      </c>
      <c r="AA12" s="110">
        <f t="shared" si="5"/>
        <v>-0.48349437578335142</v>
      </c>
      <c r="AC12" s="22">
        <f>INDEX(順位表['#],MATCH(AE12,順位表[Cultural Interaction],0))</f>
        <v>1</v>
      </c>
      <c r="AD12" s="193" t="str">
        <f>IF(JPEN!$C$2="EN",INDEX(都市マスタ[City Name],MATCH(AC12,都市マスタ['#],0)),INDEX(都市マスタ[都市名],MATCH(AC12,都市マスタ['#],0)))</f>
        <v>マドリード</v>
      </c>
      <c r="AE12" s="117">
        <v>7</v>
      </c>
      <c r="AF12" s="23">
        <f>INDEX(スコア表[Cultural Interaction],MATCH(AC12,スコア表['#],0))</f>
        <v>183.86445457120834</v>
      </c>
      <c r="AG12" s="121">
        <f>INDEX(前年結果表[順Cultural Interaction],MATCH(AC12,前年結果表['#],0))</f>
        <v>7</v>
      </c>
      <c r="AH12" s="29">
        <f>INDEX(前年結果表[スCultural Interaction],MATCH(AC12,前年結果表['#],0))</f>
        <v>175.56883133980003</v>
      </c>
      <c r="AI12" s="107">
        <f t="shared" si="6"/>
        <v>0</v>
      </c>
      <c r="AJ12" s="110">
        <f t="shared" si="7"/>
        <v>8.2956232314083138</v>
      </c>
      <c r="AL12" s="22">
        <f>INDEX(順位表['#],MATCH(AN12,順位表[Livability],0))</f>
        <v>8</v>
      </c>
      <c r="AM12" s="199" t="str">
        <f>IF(JPEN!$C$2="EN",INDEX(都市マスタ[City Name],MATCH(AL12,都市マスタ['#],0)),INDEX(都市マスタ[都市名],MATCH(AL12,都市マスタ['#],0)))</f>
        <v>フランクフルト</v>
      </c>
      <c r="AN12" s="117">
        <v>7</v>
      </c>
      <c r="AO12" s="23">
        <f>INDEX(スコア表[Livability],MATCH(AL12,スコア表['#],0))</f>
        <v>358.10326910957502</v>
      </c>
      <c r="AP12" s="121">
        <f>INDEX(前年結果表[順Livability],MATCH(AL12,前年結果表['#],0))</f>
        <v>17</v>
      </c>
      <c r="AQ12" s="29">
        <f>INDEX(前年結果表[スLivability],MATCH(AL12,前年結果表['#],0))</f>
        <v>346.78288493299169</v>
      </c>
      <c r="AR12" s="107">
        <f t="shared" si="8"/>
        <v>10</v>
      </c>
      <c r="AS12" s="110">
        <f t="shared" si="9"/>
        <v>11.320384176583332</v>
      </c>
      <c r="AU12" s="22">
        <f>INDEX(順位表['#],MATCH(AW12,順位表[Environment],0))</f>
        <v>30</v>
      </c>
      <c r="AV12" s="204" t="str">
        <f>IF(JPEN!$C$2="EN",INDEX(都市マスタ[City Name],MATCH(AU12,都市マスタ['#],0)),INDEX(都市マスタ[都市名],MATCH(AU12,都市マスタ['#],0)))</f>
        <v>シドニー</v>
      </c>
      <c r="AW12" s="117">
        <v>7</v>
      </c>
      <c r="AX12" s="23">
        <f>INDEX(スコア表[Environment],MATCH(AU12,スコア表['#],0))</f>
        <v>202.1467375758333</v>
      </c>
      <c r="AY12" s="121">
        <f>INDEX(前年結果表[順Environment],MATCH(AU12,前年結果表['#],0))</f>
        <v>4</v>
      </c>
      <c r="AZ12" s="29">
        <f>INDEX(前年結果表[スEnvironment],MATCH(AU12,前年結果表['#],0))</f>
        <v>206.87160120826667</v>
      </c>
      <c r="BA12" s="107">
        <f t="shared" si="10"/>
        <v>-3</v>
      </c>
      <c r="BB12" s="110">
        <f t="shared" si="11"/>
        <v>-4.7248636324333688</v>
      </c>
      <c r="BD12" s="22">
        <f>INDEX(順位表['#],MATCH(BF12,順位表[Accessibility],0))</f>
        <v>21</v>
      </c>
      <c r="BE12" s="209" t="str">
        <f>IF(JPEN!$C$2="EN",INDEX(都市マスタ[City Name],MATCH(BD12,都市マスタ['#],0)),INDEX(都市マスタ[都市名],MATCH(BD12,都市マスタ['#],0)))</f>
        <v>シンガポール</v>
      </c>
      <c r="BF12" s="117">
        <v>7</v>
      </c>
      <c r="BG12" s="23">
        <f>INDEX(スコア表[Accessibility],MATCH(BD12,スコア表['#],0))</f>
        <v>183.81839168318334</v>
      </c>
      <c r="BH12" s="121">
        <f>INDEX(前年結果表[順Accessibility],MATCH(BD12,前年結果表['#],0))</f>
        <v>11</v>
      </c>
      <c r="BI12" s="29">
        <f>INDEX(前年結果表[スAccessibility],MATCH(BD12,前年結果表['#],0))</f>
        <v>175.34337570779999</v>
      </c>
      <c r="BJ12" s="107">
        <f t="shared" si="12"/>
        <v>4</v>
      </c>
      <c r="BK12" s="110">
        <f t="shared" si="13"/>
        <v>8.4750159753833429</v>
      </c>
      <c r="BM12" s="40">
        <v>7</v>
      </c>
      <c r="BN12" s="99" t="s">
        <v>116</v>
      </c>
      <c r="BO12" s="97">
        <v>274.22750891880003</v>
      </c>
      <c r="BP12" s="97">
        <v>50.343329378216666</v>
      </c>
      <c r="BQ12" s="97">
        <v>37.564671794783337</v>
      </c>
      <c r="BR12" s="97">
        <v>320.00271988269998</v>
      </c>
      <c r="BS12" s="97">
        <v>194.87422959133332</v>
      </c>
      <c r="BT12" s="97">
        <v>130.97445737485</v>
      </c>
      <c r="BU12" s="97">
        <v>1007.9869169406834</v>
      </c>
      <c r="BV12" s="96">
        <v>8</v>
      </c>
      <c r="BW12" s="96">
        <v>25</v>
      </c>
      <c r="BX12" s="96">
        <v>47</v>
      </c>
      <c r="BY12" s="96">
        <v>33</v>
      </c>
      <c r="BZ12" s="96">
        <v>10</v>
      </c>
      <c r="CA12" s="96">
        <v>36</v>
      </c>
      <c r="CB12" s="100">
        <v>31</v>
      </c>
    </row>
    <row r="13" spans="1:80" ht="20.85" customHeight="1">
      <c r="A13" s="34"/>
      <c r="B13" s="22">
        <f>INDEX(順位表['#],MATCH(D13,順位表[Comprehensive],0))</f>
        <v>44</v>
      </c>
      <c r="C13" s="43" t="str">
        <f>IF(JPEN!$C$2="EN",INDEX(都市マスタ[City Name],MATCH(B13,都市マスタ['#],0)),INDEX(都市マスタ[都市名],MATCH(B13,都市マスタ['#],0)))</f>
        <v>ドバイ</v>
      </c>
      <c r="D13" s="117">
        <v>8</v>
      </c>
      <c r="E13" s="23">
        <f>INDEX(スコア表[Comprehensive],MATCH(B13,スコア表['#],0))</f>
        <v>1162.6653307125334</v>
      </c>
      <c r="F13" s="121">
        <f>INDEX(前年結果表[順Comprehensive],MATCH(B13,前年結果表['#],0))</f>
        <v>11</v>
      </c>
      <c r="G13" s="29">
        <f>INDEX(前年結果表[スComprehensive],MATCH(B13,前年結果表['#],0))</f>
        <v>1127.7541586926</v>
      </c>
      <c r="H13" s="107">
        <f t="shared" si="0"/>
        <v>3</v>
      </c>
      <c r="I13" s="110">
        <f t="shared" si="1"/>
        <v>34.911172019933474</v>
      </c>
      <c r="K13" s="22">
        <f>INDEX(順位表['#],MATCH(M13,順位表[Economy],0))</f>
        <v>7</v>
      </c>
      <c r="L13" s="183" t="str">
        <f>IF(JPEN!$C$2="EN",INDEX(都市マスタ[City Name],MATCH(K13,都市マスタ['#],0)),INDEX(都市マスタ[都市名],MATCH(K13,都市マスタ['#],0)))</f>
        <v>ジュネーブ</v>
      </c>
      <c r="M13" s="117">
        <v>8</v>
      </c>
      <c r="N13" s="23">
        <f>INDEX(スコア表[Economy],MATCH(K13,スコア表['#],0))</f>
        <v>274.56096232340002</v>
      </c>
      <c r="O13" s="121">
        <f>INDEX(前年結果表[順Economy],MATCH(K13,前年結果表['#],0))</f>
        <v>8</v>
      </c>
      <c r="P13" s="29">
        <f>INDEX(前年結果表[スEconomy],MATCH(K13,前年結果表['#],0))</f>
        <v>274.22750891880003</v>
      </c>
      <c r="Q13" s="107">
        <f t="shared" si="2"/>
        <v>0</v>
      </c>
      <c r="R13" s="110">
        <f t="shared" si="3"/>
        <v>0.33345340459999306</v>
      </c>
      <c r="T13" s="22">
        <f>INDEX(順位表['#],MATCH(V13,順位表[R&amp;D],0))</f>
        <v>35</v>
      </c>
      <c r="U13" s="187" t="str">
        <f>IF(JPEN!$C$2="EN",INDEX(都市マスタ[City Name],MATCH(T13,都市マスタ['#],0)),INDEX(都市マスタ[都市名],MATCH(T13,都市マスタ['#],0)))</f>
        <v>シカゴ</v>
      </c>
      <c r="V13" s="117">
        <v>8</v>
      </c>
      <c r="W13" s="23">
        <f>INDEX(スコア表[R&amp;D],MATCH(T13,スコア表['#],0))</f>
        <v>113.03958124431666</v>
      </c>
      <c r="X13" s="121">
        <f>INDEX(前年結果表[順R&amp;D],MATCH(T13,前年結果表['#],0))</f>
        <v>8</v>
      </c>
      <c r="Y13" s="29">
        <f>INDEX(前年結果表[スR&amp;D],MATCH(T13,前年結果表['#],0))</f>
        <v>109.45279193036667</v>
      </c>
      <c r="Z13" s="107">
        <f t="shared" si="4"/>
        <v>0</v>
      </c>
      <c r="AA13" s="110">
        <f t="shared" si="5"/>
        <v>3.5867893139499927</v>
      </c>
      <c r="AC13" s="22">
        <f>INDEX(順位表['#],MATCH(AE13,順位表[Cultural Interaction],0))</f>
        <v>17</v>
      </c>
      <c r="AD13" s="193" t="str">
        <f>IF(JPEN!$C$2="EN",INDEX(都市マスタ[City Name],MATCH(AC13,都市マスタ['#],0)),INDEX(都市マスタ[都市名],MATCH(AC13,都市マスタ['#],0)))</f>
        <v>モスクワ</v>
      </c>
      <c r="AE13" s="117">
        <v>8</v>
      </c>
      <c r="AF13" s="23">
        <f>INDEX(スコア表[Cultural Interaction],MATCH(AC13,スコア表['#],0))</f>
        <v>176.50947350084999</v>
      </c>
      <c r="AG13" s="121">
        <f>INDEX(前年結果表[順Cultural Interaction],MATCH(AC13,前年結果表['#],0))</f>
        <v>9</v>
      </c>
      <c r="AH13" s="29">
        <f>INDEX(前年結果表[スCultural Interaction],MATCH(AC13,前年結果表['#],0))</f>
        <v>171.51181603589166</v>
      </c>
      <c r="AI13" s="107">
        <f t="shared" si="6"/>
        <v>1</v>
      </c>
      <c r="AJ13" s="110">
        <f t="shared" si="7"/>
        <v>4.997657464958337</v>
      </c>
      <c r="AL13" s="22">
        <f>INDEX(順位表['#],MATCH(AN13,順位表[Livability],0))</f>
        <v>6</v>
      </c>
      <c r="AM13" s="199" t="str">
        <f>IF(JPEN!$C$2="EN",INDEX(都市マスタ[City Name],MATCH(AL13,都市マスタ['#],0)),INDEX(都市マスタ[都市名],MATCH(AL13,都市マスタ['#],0)))</f>
        <v>アムステルダム</v>
      </c>
      <c r="AN13" s="117">
        <v>8</v>
      </c>
      <c r="AO13" s="23">
        <f>INDEX(スコア表[Livability],MATCH(AL13,スコア表['#],0))</f>
        <v>357.92366671079168</v>
      </c>
      <c r="AP13" s="121">
        <f>INDEX(前年結果表[順Livability],MATCH(AL13,前年結果表['#],0))</f>
        <v>6</v>
      </c>
      <c r="AQ13" s="29">
        <f>INDEX(前年結果表[スLivability],MATCH(AL13,前年結果表['#],0))</f>
        <v>360.02781623338331</v>
      </c>
      <c r="AR13" s="107">
        <f t="shared" si="8"/>
        <v>-2</v>
      </c>
      <c r="AS13" s="110">
        <f t="shared" si="9"/>
        <v>-2.1041495225916265</v>
      </c>
      <c r="AU13" s="22">
        <f>INDEX(順位表['#],MATCH(AW13,順位表[Environment],0))</f>
        <v>11</v>
      </c>
      <c r="AV13" s="204" t="str">
        <f>IF(JPEN!$C$2="EN",INDEX(都市マスタ[City Name],MATCH(AU13,都市マスタ['#],0)),INDEX(都市マスタ[都市名],MATCH(AU13,都市マスタ['#],0)))</f>
        <v>チューリッヒ</v>
      </c>
      <c r="AW13" s="117">
        <v>8</v>
      </c>
      <c r="AX13" s="23">
        <f>INDEX(スコア表[Environment],MATCH(AU13,スコア表['#],0))</f>
        <v>201.45625802520001</v>
      </c>
      <c r="AY13" s="121">
        <f>INDEX(前年結果表[順Environment],MATCH(AU13,前年結果表['#],0))</f>
        <v>6</v>
      </c>
      <c r="AZ13" s="29">
        <f>INDEX(前年結果表[スEnvironment],MATCH(AU13,前年結果表['#],0))</f>
        <v>202.28281252953332</v>
      </c>
      <c r="BA13" s="107">
        <f t="shared" si="10"/>
        <v>-2</v>
      </c>
      <c r="BB13" s="110">
        <f t="shared" si="11"/>
        <v>-0.82655450433330202</v>
      </c>
      <c r="BD13" s="22">
        <f>INDEX(順位表['#],MATCH(BF13,順位表[Accessibility],0))</f>
        <v>29</v>
      </c>
      <c r="BE13" s="209" t="str">
        <f>IF(JPEN!$C$2="EN",INDEX(都市マスタ[City Name],MATCH(BD13,都市マスタ['#],0)),INDEX(都市マスタ[都市名],MATCH(BD13,都市マスタ['#],0)))</f>
        <v>東京</v>
      </c>
      <c r="BF13" s="117">
        <v>8</v>
      </c>
      <c r="BG13" s="23">
        <f>INDEX(スコア表[Accessibility],MATCH(BD13,スコア表['#],0))</f>
        <v>183.26320413665002</v>
      </c>
      <c r="BH13" s="121">
        <f>INDEX(前年結果表[順Accessibility],MATCH(BD13,前年結果表['#],0))</f>
        <v>10</v>
      </c>
      <c r="BI13" s="29">
        <f>INDEX(前年結果表[スAccessibility],MATCH(BD13,前年結果表['#],0))</f>
        <v>185.13998366853335</v>
      </c>
      <c r="BJ13" s="107">
        <f t="shared" si="12"/>
        <v>2</v>
      </c>
      <c r="BK13" s="110">
        <f t="shared" si="13"/>
        <v>-1.8767795318833294</v>
      </c>
      <c r="BM13" s="40">
        <v>8</v>
      </c>
      <c r="BN13" s="99" t="s">
        <v>118</v>
      </c>
      <c r="BO13" s="97">
        <v>220.93630012606667</v>
      </c>
      <c r="BP13" s="97">
        <v>30.569035608366665</v>
      </c>
      <c r="BQ13" s="97">
        <v>78.125520999508325</v>
      </c>
      <c r="BR13" s="97">
        <v>346.78288493299169</v>
      </c>
      <c r="BS13" s="97">
        <v>179.35108092896667</v>
      </c>
      <c r="BT13" s="97">
        <v>217.80620947848337</v>
      </c>
      <c r="BU13" s="97">
        <v>1073.5710320743833</v>
      </c>
      <c r="BV13" s="96">
        <v>29</v>
      </c>
      <c r="BW13" s="96">
        <v>37</v>
      </c>
      <c r="BX13" s="96">
        <v>37</v>
      </c>
      <c r="BY13" s="96">
        <v>17</v>
      </c>
      <c r="BZ13" s="96">
        <v>15</v>
      </c>
      <c r="CA13" s="96">
        <v>5</v>
      </c>
      <c r="CB13" s="100">
        <v>21</v>
      </c>
    </row>
    <row r="14" spans="1:80" ht="20.85" customHeight="1">
      <c r="A14" s="34"/>
      <c r="B14" s="22">
        <f>INDEX(順位表['#],MATCH(D14,順位表[Comprehensive],0))</f>
        <v>48</v>
      </c>
      <c r="C14" s="43" t="str">
        <f>IF(JPEN!$C$2="EN",INDEX(都市マスタ[City Name],MATCH(B14,都市マスタ['#],0)),INDEX(都市マスタ[都市名],MATCH(B14,都市マスタ['#],0)))</f>
        <v>メルボルン</v>
      </c>
      <c r="D14" s="117">
        <v>9</v>
      </c>
      <c r="E14" s="23">
        <f>INDEX(スコア表[Comprehensive],MATCH(B14,スコア表['#],0))</f>
        <v>1155.4245851395751</v>
      </c>
      <c r="F14" s="121">
        <f>INDEX(前年結果表[順Comprehensive],MATCH(B14,前年結果表['#],0))</f>
        <v>9</v>
      </c>
      <c r="G14" s="29">
        <f>INDEX(前年結果表[スComprehensive],MATCH(B14,前年結果表['#],0))</f>
        <v>1157.2342101404834</v>
      </c>
      <c r="H14" s="107">
        <f t="shared" si="0"/>
        <v>0</v>
      </c>
      <c r="I14" s="110">
        <f t="shared" si="1"/>
        <v>-1.8096250009082269</v>
      </c>
      <c r="K14" s="22">
        <f>INDEX(順位表['#],MATCH(M14,順位表[Economy],0))</f>
        <v>37</v>
      </c>
      <c r="L14" s="183" t="str">
        <f>IF(JPEN!$C$2="EN",INDEX(都市マスタ[City Name],MATCH(K14,都市マスタ['#],0)),INDEX(都市マスタ[都市名],MATCH(K14,都市マスタ['#],0)))</f>
        <v>ワシントンDC</v>
      </c>
      <c r="M14" s="117">
        <v>9</v>
      </c>
      <c r="N14" s="23">
        <f>INDEX(スコア表[Economy],MATCH(K14,スコア表['#],0))</f>
        <v>271.34976814340001</v>
      </c>
      <c r="O14" s="121">
        <f>INDEX(前年結果表[順Economy],MATCH(K14,前年結果表['#],0))</f>
        <v>11</v>
      </c>
      <c r="P14" s="29">
        <f>INDEX(前年結果表[スEconomy],MATCH(K14,前年結果表['#],0))</f>
        <v>264.43247646746664</v>
      </c>
      <c r="Q14" s="107">
        <f t="shared" si="2"/>
        <v>2</v>
      </c>
      <c r="R14" s="110">
        <f t="shared" si="3"/>
        <v>6.9172916759333702</v>
      </c>
      <c r="T14" s="22">
        <f>INDEX(順位表['#],MATCH(V14,順位表[R&amp;D],0))</f>
        <v>4</v>
      </c>
      <c r="U14" s="187" t="str">
        <f>IF(JPEN!$C$2="EN",INDEX(都市マスタ[City Name],MATCH(T14,都市マスタ['#],0)),INDEX(都市マスタ[都市名],MATCH(T14,都市マスタ['#],0)))</f>
        <v>パリ</v>
      </c>
      <c r="V14" s="117">
        <v>9</v>
      </c>
      <c r="W14" s="23">
        <f>INDEX(スコア表[R&amp;D],MATCH(T14,スコア表['#],0))</f>
        <v>108.2801633</v>
      </c>
      <c r="X14" s="121">
        <f>INDEX(前年結果表[順R&amp;D],MATCH(T14,前年結果表['#],0))</f>
        <v>9</v>
      </c>
      <c r="Y14" s="29">
        <f>INDEX(前年結果表[スR&amp;D],MATCH(T14,前年結果表['#],0))</f>
        <v>103.08437279885</v>
      </c>
      <c r="Z14" s="107">
        <f t="shared" si="4"/>
        <v>0</v>
      </c>
      <c r="AA14" s="110">
        <f t="shared" si="5"/>
        <v>5.1957905011500003</v>
      </c>
      <c r="AC14" s="22">
        <f>INDEX(順位表['#],MATCH(AE14,順位表[Cultural Interaction],0))</f>
        <v>21</v>
      </c>
      <c r="AD14" s="193" t="str">
        <f>IF(JPEN!$C$2="EN",INDEX(都市マスタ[City Name],MATCH(AC14,都市マスタ['#],0)),INDEX(都市マスタ[都市名],MATCH(AC14,都市マスタ['#],0)))</f>
        <v>シンガポール</v>
      </c>
      <c r="AE14" s="117">
        <v>9</v>
      </c>
      <c r="AF14" s="23">
        <f>INDEX(スコア表[Cultural Interaction],MATCH(AC14,スコア表['#],0))</f>
        <v>174.90516273540001</v>
      </c>
      <c r="AG14" s="121">
        <f>INDEX(前年結果表[順Cultural Interaction],MATCH(AC14,前年結果表['#],0))</f>
        <v>11</v>
      </c>
      <c r="AH14" s="29">
        <f>INDEX(前年結果表[スCultural Interaction],MATCH(AC14,前年結果表['#],0))</f>
        <v>162.00417410189166</v>
      </c>
      <c r="AI14" s="107">
        <f t="shared" si="6"/>
        <v>2</v>
      </c>
      <c r="AJ14" s="110">
        <f t="shared" si="7"/>
        <v>12.900988633508348</v>
      </c>
      <c r="AL14" s="22">
        <f>INDEX(順位表['#],MATCH(AN14,順位表[Livability],0))</f>
        <v>3</v>
      </c>
      <c r="AM14" s="199" t="str">
        <f>IF(JPEN!$C$2="EN",INDEX(都市マスタ[City Name],MATCH(AL14,都市マスタ['#],0)),INDEX(都市マスタ[都市名],MATCH(AL14,都市マスタ['#],0)))</f>
        <v>ロンドン</v>
      </c>
      <c r="AN14" s="117">
        <v>9</v>
      </c>
      <c r="AO14" s="23">
        <f>INDEX(スコア表[Livability],MATCH(AL14,スコア表['#],0))</f>
        <v>357.87296612675834</v>
      </c>
      <c r="AP14" s="121">
        <f>INDEX(前年結果表[順Livability],MATCH(AL14,前年結果表['#],0))</f>
        <v>8</v>
      </c>
      <c r="AQ14" s="29">
        <f>INDEX(前年結果表[スLivability],MATCH(AL14,前年結果表['#],0))</f>
        <v>358.25531773630001</v>
      </c>
      <c r="AR14" s="107">
        <f t="shared" si="8"/>
        <v>-1</v>
      </c>
      <c r="AS14" s="110">
        <f t="shared" si="9"/>
        <v>-0.38235160954167213</v>
      </c>
      <c r="AU14" s="22">
        <f>INDEX(順位表['#],MATCH(AW14,順位表[Environment],0))</f>
        <v>9</v>
      </c>
      <c r="AV14" s="204" t="str">
        <f>IF(JPEN!$C$2="EN",INDEX(都市マスタ[City Name],MATCH(AU14,都市マスタ['#],0)),INDEX(都市マスタ[都市名],MATCH(AU14,都市マスタ['#],0)))</f>
        <v>ベルリン</v>
      </c>
      <c r="AW14" s="117">
        <v>9</v>
      </c>
      <c r="AX14" s="23">
        <f>INDEX(スコア表[Environment],MATCH(AU14,スコア表['#],0))</f>
        <v>192.19428406303334</v>
      </c>
      <c r="AY14" s="121">
        <f>INDEX(前年結果表[順Environment],MATCH(AU14,前年結果表['#],0))</f>
        <v>9</v>
      </c>
      <c r="AZ14" s="29">
        <f>INDEX(前年結果表[スEnvironment],MATCH(AU14,前年結果表['#],0))</f>
        <v>195.20729720023331</v>
      </c>
      <c r="BA14" s="107">
        <f t="shared" si="10"/>
        <v>0</v>
      </c>
      <c r="BB14" s="110">
        <f t="shared" si="11"/>
        <v>-3.0130131371999767</v>
      </c>
      <c r="BD14" s="22">
        <f>INDEX(順位表['#],MATCH(BF14,順位表[Accessibility],0))</f>
        <v>24</v>
      </c>
      <c r="BE14" s="209" t="str">
        <f>IF(JPEN!$C$2="EN",INDEX(都市マスタ[City Name],MATCH(BD14,都市マスタ['#],0)),INDEX(都市マスタ[都市名],MATCH(BD14,都市マスタ['#],0)))</f>
        <v>上海</v>
      </c>
      <c r="BF14" s="117">
        <v>9</v>
      </c>
      <c r="BG14" s="23">
        <f>INDEX(スコア表[Accessibility],MATCH(BD14,スコア表['#],0))</f>
        <v>175.50802941770002</v>
      </c>
      <c r="BH14" s="121">
        <f>INDEX(前年結果表[順Accessibility],MATCH(BD14,前年結果表['#],0))</f>
        <v>1</v>
      </c>
      <c r="BI14" s="29">
        <f>INDEX(前年結果表[スAccessibility],MATCH(BD14,前年結果表['#],0))</f>
        <v>247.09371714186665</v>
      </c>
      <c r="BJ14" s="107">
        <f t="shared" si="12"/>
        <v>-8</v>
      </c>
      <c r="BK14" s="110">
        <f t="shared" si="13"/>
        <v>-71.585687724166633</v>
      </c>
      <c r="BM14" s="40">
        <v>9</v>
      </c>
      <c r="BN14" s="99" t="s">
        <v>120</v>
      </c>
      <c r="BO14" s="97">
        <v>222.78996715421667</v>
      </c>
      <c r="BP14" s="97">
        <v>80.890781963033334</v>
      </c>
      <c r="BQ14" s="97">
        <v>171.5549876226417</v>
      </c>
      <c r="BR14" s="97">
        <v>359.006684059375</v>
      </c>
      <c r="BS14" s="97">
        <v>195.20729720023331</v>
      </c>
      <c r="BT14" s="97">
        <v>153.47311788956665</v>
      </c>
      <c r="BU14" s="97">
        <v>1182.9228358890668</v>
      </c>
      <c r="BV14" s="96">
        <v>26</v>
      </c>
      <c r="BW14" s="96">
        <v>16</v>
      </c>
      <c r="BX14" s="96">
        <v>8</v>
      </c>
      <c r="BY14" s="96">
        <v>7</v>
      </c>
      <c r="BZ14" s="96">
        <v>9</v>
      </c>
      <c r="CA14" s="96">
        <v>23</v>
      </c>
      <c r="CB14" s="100">
        <v>8</v>
      </c>
    </row>
    <row r="15" spans="1:80" ht="20.85" customHeight="1" thickBot="1">
      <c r="A15" s="34"/>
      <c r="B15" s="22">
        <f>INDEX(順位表['#],MATCH(D15,順位表[Comprehensive],0))</f>
        <v>9</v>
      </c>
      <c r="C15" s="94" t="str">
        <f>IF(JPEN!$C$2="EN",INDEX(都市マスタ[City Name],MATCH(B15,都市マスタ['#],0)),INDEX(都市マスタ[都市名],MATCH(B15,都市マスタ['#],0)))</f>
        <v>ベルリン</v>
      </c>
      <c r="D15" s="118">
        <v>10</v>
      </c>
      <c r="E15" s="30">
        <f>INDEX(スコア表[Comprehensive],MATCH(B15,スコア表['#],0))</f>
        <v>1151.744019078875</v>
      </c>
      <c r="F15" s="122">
        <f>INDEX(前年結果表[順Comprehensive],MATCH(B15,前年結果表['#],0))</f>
        <v>8</v>
      </c>
      <c r="G15" s="31">
        <f>INDEX(前年結果表[スComprehensive],MATCH(B15,前年結果表['#],0))</f>
        <v>1182.9228358890668</v>
      </c>
      <c r="H15" s="108">
        <f t="shared" si="0"/>
        <v>-2</v>
      </c>
      <c r="I15" s="111">
        <f t="shared" si="1"/>
        <v>-31.178816810191847</v>
      </c>
      <c r="K15" s="22">
        <f>INDEX(順位表['#],MATCH(M15,順位表[Economy],0))</f>
        <v>29</v>
      </c>
      <c r="L15" s="215" t="str">
        <f>IF(JPEN!$C$2="EN",INDEX(都市マスタ[City Name],MATCH(K15,都市マスタ['#],0)),INDEX(都市マスタ[都市名],MATCH(K15,都市マスタ['#],0)))</f>
        <v>東京</v>
      </c>
      <c r="M15" s="118">
        <v>10</v>
      </c>
      <c r="N15" s="30">
        <f>INDEX(スコア表[Economy],MATCH(K15,スコア表['#],0))</f>
        <v>270.08264425940001</v>
      </c>
      <c r="O15" s="122">
        <f>INDEX(前年結果表[順Economy],MATCH(K15,前年結果表['#],0))</f>
        <v>5</v>
      </c>
      <c r="P15" s="31">
        <f>INDEX(前年結果表[スEconomy],MATCH(K15,前年結果表['#],0))</f>
        <v>291.99790996193332</v>
      </c>
      <c r="Q15" s="108">
        <f t="shared" si="2"/>
        <v>-5</v>
      </c>
      <c r="R15" s="111">
        <f t="shared" si="3"/>
        <v>-21.915265702533304</v>
      </c>
      <c r="T15" s="22">
        <f>INDEX(順位表['#],MATCH(V15,順位表[R&amp;D],0))</f>
        <v>22</v>
      </c>
      <c r="U15" s="217" t="str">
        <f>IF(JPEN!$C$2="EN",INDEX(都市マスタ[City Name],MATCH(T15,都市マスタ['#],0)),INDEX(都市マスタ[都市名],MATCH(T15,都市マスタ['#],0)))</f>
        <v>香港</v>
      </c>
      <c r="V15" s="118">
        <v>10</v>
      </c>
      <c r="W15" s="30">
        <f>INDEX(スコア表[R&amp;D],MATCH(T15,スコア表['#],0))</f>
        <v>107.40907506731666</v>
      </c>
      <c r="X15" s="122">
        <f>INDEX(前年結果表[順R&amp;D],MATCH(T15,前年結果表['#],0))</f>
        <v>10</v>
      </c>
      <c r="Y15" s="31">
        <f>INDEX(前年結果表[スR&amp;D],MATCH(T15,前年結果表['#],0))</f>
        <v>100.42374796886666</v>
      </c>
      <c r="Z15" s="108">
        <f t="shared" si="4"/>
        <v>0</v>
      </c>
      <c r="AA15" s="111">
        <f t="shared" si="5"/>
        <v>6.98532709845</v>
      </c>
      <c r="AC15" s="22">
        <f>INDEX(順位表['#],MATCH(AE15,順位表[Cultural Interaction],0))</f>
        <v>9</v>
      </c>
      <c r="AD15" s="219" t="str">
        <f>IF(JPEN!$C$2="EN",INDEX(都市マスタ[City Name],MATCH(AC15,都市マスタ['#],0)),INDEX(都市マスタ[都市名],MATCH(AC15,都市マスタ['#],0)))</f>
        <v>ベルリン</v>
      </c>
      <c r="AE15" s="118">
        <v>10</v>
      </c>
      <c r="AF15" s="30">
        <f>INDEX(スコア表[Cultural Interaction],MATCH(AC15,スコア表['#],0))</f>
        <v>173.39383899745832</v>
      </c>
      <c r="AG15" s="122">
        <f>INDEX(前年結果表[順Cultural Interaction],MATCH(AC15,前年結果表['#],0))</f>
        <v>8</v>
      </c>
      <c r="AH15" s="31">
        <f>INDEX(前年結果表[スCultural Interaction],MATCH(AC15,前年結果表['#],0))</f>
        <v>171.5549876226417</v>
      </c>
      <c r="AI15" s="108">
        <f t="shared" si="6"/>
        <v>-2</v>
      </c>
      <c r="AJ15" s="111">
        <f t="shared" si="7"/>
        <v>1.8388513748166133</v>
      </c>
      <c r="AL15" s="22">
        <f>INDEX(順位表['#],MATCH(AN15,順位表[Livability],0))</f>
        <v>14</v>
      </c>
      <c r="AM15" s="221" t="str">
        <f>IF(JPEN!$C$2="EN",INDEX(都市マスタ[City Name],MATCH(AL15,都市マスタ['#],0)),INDEX(都市マスタ[都市名],MATCH(AL15,都市マスタ['#],0)))</f>
        <v>ストックホルム</v>
      </c>
      <c r="AN15" s="118">
        <v>10</v>
      </c>
      <c r="AO15" s="30">
        <f>INDEX(スコア表[Livability],MATCH(AL15,スコア表['#],0))</f>
        <v>357.31986454819167</v>
      </c>
      <c r="AP15" s="122">
        <f>INDEX(前年結果表[順Livability],MATCH(AL15,前年結果表['#],0))</f>
        <v>14</v>
      </c>
      <c r="AQ15" s="31">
        <f>INDEX(前年結果表[スLivability],MATCH(AL15,前年結果表['#],0))</f>
        <v>349.72693321973333</v>
      </c>
      <c r="AR15" s="108">
        <f t="shared" si="8"/>
        <v>4</v>
      </c>
      <c r="AS15" s="111">
        <f t="shared" si="9"/>
        <v>7.5929313284583486</v>
      </c>
      <c r="AU15" s="22">
        <f>INDEX(順位表['#],MATCH(AW15,順位表[Environment],0))</f>
        <v>31</v>
      </c>
      <c r="AV15" s="223" t="str">
        <f>IF(JPEN!$C$2="EN",INDEX(都市マスタ[City Name],MATCH(AU15,都市マスタ['#],0)),INDEX(都市マスタ[都市名],MATCH(AU15,都市マスタ['#],0)))</f>
        <v>バンクーバー</v>
      </c>
      <c r="AW15" s="118">
        <v>10</v>
      </c>
      <c r="AX15" s="30">
        <f>INDEX(スコア表[Environment],MATCH(AU15,スコア表['#],0))</f>
        <v>189.76686276836665</v>
      </c>
      <c r="AY15" s="122">
        <f>INDEX(前年結果表[順Environment],MATCH(AU15,前年結果表['#],0))</f>
        <v>8</v>
      </c>
      <c r="AZ15" s="31">
        <f>INDEX(前年結果表[スEnvironment],MATCH(AU15,前年結果表['#],0))</f>
        <v>198.7270736744</v>
      </c>
      <c r="BA15" s="108">
        <f t="shared" si="10"/>
        <v>-2</v>
      </c>
      <c r="BB15" s="111">
        <f t="shared" si="11"/>
        <v>-8.9602109060333532</v>
      </c>
      <c r="BD15" s="22">
        <f>INDEX(順位表['#],MATCH(BF15,順位表[Accessibility],0))</f>
        <v>12</v>
      </c>
      <c r="BE15" s="225" t="str">
        <f>IF(JPEN!$C$2="EN",INDEX(都市マスタ[City Name],MATCH(BD15,都市マスタ['#],0)),INDEX(都市マスタ[都市名],MATCH(BD15,都市マスタ['#],0)))</f>
        <v>コペンハーゲン</v>
      </c>
      <c r="BF15" s="118">
        <v>10</v>
      </c>
      <c r="BG15" s="30">
        <f>INDEX(スコア表[Accessibility],MATCH(BD15,スコア表['#],0))</f>
        <v>174.47820119616665</v>
      </c>
      <c r="BH15" s="122">
        <f>INDEX(前年結果表[順Accessibility],MATCH(BD15,前年結果表['#],0))</f>
        <v>12</v>
      </c>
      <c r="BI15" s="31">
        <f>INDEX(前年結果表[スAccessibility],MATCH(BD15,前年結果表['#],0))</f>
        <v>175.06601473500001</v>
      </c>
      <c r="BJ15" s="108">
        <f t="shared" si="12"/>
        <v>2</v>
      </c>
      <c r="BK15" s="111">
        <f t="shared" si="13"/>
        <v>-0.58781353883335896</v>
      </c>
      <c r="BM15" s="40">
        <v>10</v>
      </c>
      <c r="BN15" s="99" t="s">
        <v>122</v>
      </c>
      <c r="BO15" s="97">
        <v>177.1007970933</v>
      </c>
      <c r="BP15" s="97">
        <v>27.799304373666665</v>
      </c>
      <c r="BQ15" s="97">
        <v>118.67928112290834</v>
      </c>
      <c r="BR15" s="97">
        <v>362.51554046500837</v>
      </c>
      <c r="BS15" s="97">
        <v>159.16112194663333</v>
      </c>
      <c r="BT15" s="97">
        <v>171.80808922101667</v>
      </c>
      <c r="BU15" s="97">
        <v>1017.0641342225333</v>
      </c>
      <c r="BV15" s="96">
        <v>38</v>
      </c>
      <c r="BW15" s="96">
        <v>38</v>
      </c>
      <c r="BX15" s="96">
        <v>21</v>
      </c>
      <c r="BY15" s="96">
        <v>5</v>
      </c>
      <c r="BZ15" s="96">
        <v>24</v>
      </c>
      <c r="CA15" s="96">
        <v>15</v>
      </c>
      <c r="CB15" s="100">
        <v>29</v>
      </c>
    </row>
    <row r="16" spans="1:80" ht="20.85" customHeight="1" thickTop="1">
      <c r="A16" s="34"/>
      <c r="B16" s="22">
        <f>INDEX(順位表['#],MATCH(D16,順位表[Comprehensive],0))</f>
        <v>12</v>
      </c>
      <c r="C16" s="95" t="str">
        <f>IF(JPEN!$C$2="EN",INDEX(都市マスタ[City Name],MATCH(B16,都市マスタ['#],0)),INDEX(都市マスタ[都市名],MATCH(B16,都市マスタ['#],0)))</f>
        <v>コペンハーゲン</v>
      </c>
      <c r="D16" s="119">
        <v>11</v>
      </c>
      <c r="E16" s="32">
        <f>INDEX(スコア表[Comprehensive],MATCH(B16,スコア表['#],0))</f>
        <v>1138.8847340470165</v>
      </c>
      <c r="F16" s="123">
        <f>INDEX(前年結果表[順Comprehensive],MATCH(B16,前年結果表['#],0))</f>
        <v>14</v>
      </c>
      <c r="G16" s="33">
        <f>INDEX(前年結果表[スComprehensive],MATCH(B16,前年結果表['#],0))</f>
        <v>1112.8502467529834</v>
      </c>
      <c r="H16" s="109">
        <f t="shared" si="0"/>
        <v>3</v>
      </c>
      <c r="I16" s="112">
        <f t="shared" si="1"/>
        <v>26.03448729403317</v>
      </c>
      <c r="K16" s="22">
        <f>INDEX(順位表['#],MATCH(M16,順位表[Economy],0))</f>
        <v>24</v>
      </c>
      <c r="L16" s="216" t="str">
        <f>IF(JPEN!$C$2="EN",INDEX(都市マスタ[City Name],MATCH(K16,都市マスタ['#],0)),INDEX(都市マスタ[都市名],MATCH(K16,都市マスタ['#],0)))</f>
        <v>上海</v>
      </c>
      <c r="M16" s="119">
        <v>11</v>
      </c>
      <c r="N16" s="32">
        <f>INDEX(スコア表[Economy],MATCH(K16,スコア表['#],0))</f>
        <v>268.73581818538332</v>
      </c>
      <c r="O16" s="123">
        <f>INDEX(前年結果表[順Economy],MATCH(K16,前年結果表['#],0))</f>
        <v>10</v>
      </c>
      <c r="P16" s="33">
        <f>INDEX(前年結果表[スEconomy],MATCH(K16,前年結果表['#],0))</f>
        <v>265.06791878594998</v>
      </c>
      <c r="Q16" s="109">
        <f t="shared" si="2"/>
        <v>-1</v>
      </c>
      <c r="R16" s="112">
        <f t="shared" si="3"/>
        <v>3.6678993994333382</v>
      </c>
      <c r="T16" s="22">
        <f>INDEX(順位表['#],MATCH(V16,順位表[R&amp;D],0))</f>
        <v>21</v>
      </c>
      <c r="U16" s="218" t="str">
        <f>IF(JPEN!$C$2="EN",INDEX(都市マスタ[City Name],MATCH(T16,都市マスタ['#],0)),INDEX(都市マスタ[都市名],MATCH(T16,都市マスタ['#],0)))</f>
        <v>シンガポール</v>
      </c>
      <c r="V16" s="119">
        <v>11</v>
      </c>
      <c r="W16" s="32">
        <f>INDEX(スコア表[R&amp;D],MATCH(T16,スコア表['#],0))</f>
        <v>97.665057527800002</v>
      </c>
      <c r="X16" s="123">
        <f>INDEX(前年結果表[順R&amp;D],MATCH(T16,前年結果表['#],0))</f>
        <v>11</v>
      </c>
      <c r="Y16" s="33">
        <f>INDEX(前年結果表[スR&amp;D],MATCH(T16,前年結果表['#],0))</f>
        <v>96.796561724216659</v>
      </c>
      <c r="Z16" s="109">
        <f t="shared" si="4"/>
        <v>0</v>
      </c>
      <c r="AA16" s="112">
        <f t="shared" si="5"/>
        <v>0.86849580358334322</v>
      </c>
      <c r="AC16" s="22">
        <f>INDEX(順位表['#],MATCH(AE16,順位表[Cultural Interaction],0))</f>
        <v>26</v>
      </c>
      <c r="AD16" s="220" t="str">
        <f>IF(JPEN!$C$2="EN",INDEX(都市マスタ[City Name],MATCH(AC16,都市マスタ['#],0)),INDEX(都市マスタ[都市名],MATCH(AC16,都市マスタ['#],0)))</f>
        <v>ソウル</v>
      </c>
      <c r="AE16" s="119">
        <v>11</v>
      </c>
      <c r="AF16" s="32">
        <f>INDEX(スコア表[Cultural Interaction],MATCH(AC16,スコア表['#],0))</f>
        <v>167.78642442442498</v>
      </c>
      <c r="AG16" s="123">
        <f>INDEX(前年結果表[順Cultural Interaction],MATCH(AC16,前年結果表['#],0))</f>
        <v>15</v>
      </c>
      <c r="AH16" s="33">
        <f>INDEX(前年結果表[スCultural Interaction],MATCH(AC16,前年結果表['#],0))</f>
        <v>145.91224853840833</v>
      </c>
      <c r="AI16" s="109">
        <f t="shared" si="6"/>
        <v>4</v>
      </c>
      <c r="AJ16" s="112">
        <f t="shared" si="7"/>
        <v>21.874175886016644</v>
      </c>
      <c r="AL16" s="22">
        <f>INDEX(順位表['#],MATCH(AN16,順位表[Livability],0))</f>
        <v>5</v>
      </c>
      <c r="AM16" s="222" t="str">
        <f>IF(JPEN!$C$2="EN",INDEX(都市マスタ[City Name],MATCH(AL16,都市マスタ['#],0)),INDEX(都市マスタ[都市名],MATCH(AL16,都市マスタ['#],0)))</f>
        <v>ブリュッセル</v>
      </c>
      <c r="AN16" s="119">
        <v>11</v>
      </c>
      <c r="AO16" s="32">
        <f>INDEX(スコア表[Livability],MATCH(AL16,スコア表['#],0))</f>
        <v>356.09987632535001</v>
      </c>
      <c r="AP16" s="123">
        <f>INDEX(前年結果表[順Livability],MATCH(AL16,前年結果表['#],0))</f>
        <v>3</v>
      </c>
      <c r="AQ16" s="33">
        <f>INDEX(前年結果表[スLivability],MATCH(AL16,前年結果表['#],0))</f>
        <v>370.56388981775837</v>
      </c>
      <c r="AR16" s="109">
        <f t="shared" si="8"/>
        <v>-8</v>
      </c>
      <c r="AS16" s="112">
        <f t="shared" si="9"/>
        <v>-14.464013492408355</v>
      </c>
      <c r="AU16" s="22">
        <f>INDEX(順位表['#],MATCH(AW16,順位表[Environment],0))</f>
        <v>3</v>
      </c>
      <c r="AV16" s="224" t="str">
        <f>IF(JPEN!$C$2="EN",INDEX(都市マスタ[City Name],MATCH(AU16,都市マスタ['#],0)),INDEX(都市マスタ[都市名],MATCH(AU16,都市マスタ['#],0)))</f>
        <v>ロンドン</v>
      </c>
      <c r="AW16" s="119">
        <v>11</v>
      </c>
      <c r="AX16" s="32">
        <f>INDEX(スコア表[Environment],MATCH(AU16,スコア表['#],0))</f>
        <v>187.68486004223331</v>
      </c>
      <c r="AY16" s="123">
        <f>INDEX(前年結果表[順Environment],MATCH(AU16,前年結果表['#],0))</f>
        <v>11</v>
      </c>
      <c r="AZ16" s="33">
        <f>INDEX(前年結果表[スEnvironment],MATCH(AU16,前年結果表['#],0))</f>
        <v>192.8875330519667</v>
      </c>
      <c r="BA16" s="109">
        <f t="shared" si="10"/>
        <v>0</v>
      </c>
      <c r="BB16" s="112">
        <f t="shared" si="11"/>
        <v>-5.2026730097333882</v>
      </c>
      <c r="BD16" s="22">
        <f>INDEX(順位表['#],MATCH(BF16,順位表[Accessibility],0))</f>
        <v>13</v>
      </c>
      <c r="BE16" s="226" t="str">
        <f>IF(JPEN!$C$2="EN",INDEX(都市マスタ[City Name],MATCH(BD16,都市マスタ['#],0)),INDEX(都市マスタ[都市名],MATCH(BD16,都市マスタ['#],0)))</f>
        <v>ウィーン</v>
      </c>
      <c r="BF16" s="119">
        <v>11</v>
      </c>
      <c r="BG16" s="32">
        <f>INDEX(スコア表[Accessibility],MATCH(BD16,スコア表['#],0))</f>
        <v>171.65412223314999</v>
      </c>
      <c r="BH16" s="123">
        <f>INDEX(前年結果表[順Accessibility],MATCH(BD16,前年結果表['#],0))</f>
        <v>8</v>
      </c>
      <c r="BI16" s="33">
        <f>INDEX(前年結果表[スAccessibility],MATCH(BD16,前年結果表['#],0))</f>
        <v>191.94539516185</v>
      </c>
      <c r="BJ16" s="109">
        <f t="shared" si="12"/>
        <v>-3</v>
      </c>
      <c r="BK16" s="112">
        <f t="shared" si="13"/>
        <v>-20.29127292870001</v>
      </c>
      <c r="BM16" s="40">
        <v>11</v>
      </c>
      <c r="BN16" s="99" t="s">
        <v>124</v>
      </c>
      <c r="BO16" s="97">
        <v>299.95387126233334</v>
      </c>
      <c r="BP16" s="97">
        <v>51.029090116416668</v>
      </c>
      <c r="BQ16" s="97">
        <v>50.81149846973333</v>
      </c>
      <c r="BR16" s="97">
        <v>332.69169439735833</v>
      </c>
      <c r="BS16" s="97">
        <v>202.28281252953332</v>
      </c>
      <c r="BT16" s="97">
        <v>162.181015487</v>
      </c>
      <c r="BU16" s="97">
        <v>1098.949982262375</v>
      </c>
      <c r="BV16" s="96">
        <v>3</v>
      </c>
      <c r="BW16" s="96">
        <v>24</v>
      </c>
      <c r="BX16" s="96">
        <v>45</v>
      </c>
      <c r="BY16" s="96">
        <v>23</v>
      </c>
      <c r="BZ16" s="96">
        <v>6</v>
      </c>
      <c r="CA16" s="96">
        <v>20</v>
      </c>
      <c r="CB16" s="100">
        <v>18</v>
      </c>
    </row>
    <row r="17" spans="1:80" ht="20.85" customHeight="1">
      <c r="A17" s="34"/>
      <c r="B17" s="22">
        <f>INDEX(順位表['#],MATCH(D17,順位表[Comprehensive],0))</f>
        <v>30</v>
      </c>
      <c r="C17" s="43" t="str">
        <f>IF(JPEN!$C$2="EN",INDEX(都市マスタ[City Name],MATCH(B17,都市マスタ['#],0)),INDEX(都市マスタ[都市名],MATCH(B17,都市マスタ['#],0)))</f>
        <v>シドニー</v>
      </c>
      <c r="D17" s="117">
        <v>12</v>
      </c>
      <c r="E17" s="23">
        <f>INDEX(スコア表[Comprehensive],MATCH(B17,スコア表['#],0))</f>
        <v>1133.4335467474084</v>
      </c>
      <c r="F17" s="121">
        <f>INDEX(前年結果表[順Comprehensive],MATCH(B17,前年結果表['#],0))</f>
        <v>13</v>
      </c>
      <c r="G17" s="29">
        <f>INDEX(前年結果表[スComprehensive],MATCH(B17,前年結果表['#],0))</f>
        <v>1115.1387947430583</v>
      </c>
      <c r="H17" s="107">
        <f t="shared" si="0"/>
        <v>1</v>
      </c>
      <c r="I17" s="110">
        <f t="shared" si="1"/>
        <v>18.29475200435013</v>
      </c>
      <c r="K17" s="22">
        <f>INDEX(順位表['#],MATCH(M17,順位表[Economy],0))</f>
        <v>6</v>
      </c>
      <c r="L17" s="183" t="str">
        <f>IF(JPEN!$C$2="EN",INDEX(都市マスタ[City Name],MATCH(K17,都市マスタ['#],0)),INDEX(都市マスタ[都市名],MATCH(K17,都市マスタ['#],0)))</f>
        <v>アムステルダム</v>
      </c>
      <c r="M17" s="117">
        <v>12</v>
      </c>
      <c r="N17" s="23">
        <f>INDEX(スコア表[Economy],MATCH(K17,スコア表['#],0))</f>
        <v>259.12536548775</v>
      </c>
      <c r="O17" s="121">
        <f>INDEX(前年結果表[順Economy],MATCH(K17,前年結果表['#],0))</f>
        <v>12</v>
      </c>
      <c r="P17" s="29">
        <f>INDEX(前年結果表[スEconomy],MATCH(K17,前年結果表['#],0))</f>
        <v>259.77450839791669</v>
      </c>
      <c r="Q17" s="107">
        <f t="shared" si="2"/>
        <v>0</v>
      </c>
      <c r="R17" s="110">
        <f t="shared" si="3"/>
        <v>-0.64914291016668813</v>
      </c>
      <c r="T17" s="22">
        <f>INDEX(順位表['#],MATCH(V17,順位表[R&amp;D],0))</f>
        <v>23</v>
      </c>
      <c r="U17" s="187" t="str">
        <f>IF(JPEN!$C$2="EN",INDEX(都市マスタ[City Name],MATCH(T17,都市マスタ['#],0)),INDEX(都市マスタ[都市名],MATCH(T17,都市マスタ['#],0)))</f>
        <v>北京</v>
      </c>
      <c r="V17" s="117">
        <v>12</v>
      </c>
      <c r="W17" s="23">
        <f>INDEX(スコア表[R&amp;D],MATCH(T17,スコア表['#],0))</f>
        <v>93.194093893383339</v>
      </c>
      <c r="X17" s="121">
        <f>INDEX(前年結果表[順R&amp;D],MATCH(T17,前年結果表['#],0))</f>
        <v>12</v>
      </c>
      <c r="Y17" s="29">
        <f>INDEX(前年結果表[スR&amp;D],MATCH(T17,前年結果表['#],0))</f>
        <v>94.381043846216656</v>
      </c>
      <c r="Z17" s="107">
        <f t="shared" si="4"/>
        <v>0</v>
      </c>
      <c r="AA17" s="110">
        <f t="shared" si="5"/>
        <v>-1.1869499528333165</v>
      </c>
      <c r="AC17" s="22">
        <f>INDEX(順位表['#],MATCH(AE17,順位表[Cultural Interaction],0))</f>
        <v>19</v>
      </c>
      <c r="AD17" s="193" t="str">
        <f>IF(JPEN!$C$2="EN",INDEX(都市マスタ[City Name],MATCH(AC17,都市マスタ['#],0)),INDEX(都市マスタ[都市名],MATCH(AC17,都市マスタ['#],0)))</f>
        <v>バンコク</v>
      </c>
      <c r="AE17" s="117">
        <v>12</v>
      </c>
      <c r="AF17" s="23">
        <f>INDEX(スコア表[Cultural Interaction],MATCH(AC17,スコア表['#],0))</f>
        <v>165.30715117054166</v>
      </c>
      <c r="AG17" s="121">
        <f>INDEX(前年結果表[順Cultural Interaction],MATCH(AC17,前年結果表['#],0))</f>
        <v>17</v>
      </c>
      <c r="AH17" s="29">
        <f>INDEX(前年結果表[スCultural Interaction],MATCH(AC17,前年結果表['#],0))</f>
        <v>130.99926738448332</v>
      </c>
      <c r="AI17" s="107">
        <f t="shared" si="6"/>
        <v>5</v>
      </c>
      <c r="AJ17" s="110">
        <f t="shared" si="7"/>
        <v>34.307883786058341</v>
      </c>
      <c r="AL17" s="22">
        <f>INDEX(順位表['#],MATCH(AN17,順位表[Livability],0))</f>
        <v>28</v>
      </c>
      <c r="AM17" s="199" t="str">
        <f>IF(JPEN!$C$2="EN",INDEX(都市マスタ[City Name],MATCH(AL17,都市マスタ['#],0)),INDEX(都市マスタ[都市名],MATCH(AL17,都市マスタ['#],0)))</f>
        <v>大阪</v>
      </c>
      <c r="AN17" s="117">
        <v>12</v>
      </c>
      <c r="AO17" s="23">
        <f>INDEX(スコア表[Livability],MATCH(AL17,スコア表['#],0))</f>
        <v>354.77381186194168</v>
      </c>
      <c r="AP17" s="121">
        <f>INDEX(前年結果表[順Livability],MATCH(AL17,前年結果表['#],0))</f>
        <v>19</v>
      </c>
      <c r="AQ17" s="29">
        <f>INDEX(前年結果表[スLivability],MATCH(AL17,前年結果表['#],0))</f>
        <v>343.49084199917496</v>
      </c>
      <c r="AR17" s="107">
        <f t="shared" si="8"/>
        <v>7</v>
      </c>
      <c r="AS17" s="110">
        <f t="shared" si="9"/>
        <v>11.28296986276672</v>
      </c>
      <c r="AU17" s="22">
        <f>INDEX(順位表['#],MATCH(AW17,順位表[Environment],0))</f>
        <v>21</v>
      </c>
      <c r="AV17" s="204" t="str">
        <f>IF(JPEN!$C$2="EN",INDEX(都市マスタ[City Name],MATCH(AU17,都市マスタ['#],0)),INDEX(都市マスタ[都市名],MATCH(AU17,都市マスタ['#],0)))</f>
        <v>シンガポール</v>
      </c>
      <c r="AW17" s="117">
        <v>12</v>
      </c>
      <c r="AX17" s="23">
        <f>INDEX(スコア表[Environment],MATCH(AU17,スコア表['#],0))</f>
        <v>180.88697292876668</v>
      </c>
      <c r="AY17" s="121">
        <f>INDEX(前年結果表[順Environment],MATCH(AU17,前年結果表['#],0))</f>
        <v>12</v>
      </c>
      <c r="AZ17" s="29">
        <f>INDEX(前年結果表[スEnvironment],MATCH(AU17,前年結果表['#],0))</f>
        <v>182.67685042883335</v>
      </c>
      <c r="BA17" s="107">
        <f t="shared" si="10"/>
        <v>0</v>
      </c>
      <c r="BB17" s="110">
        <f t="shared" si="11"/>
        <v>-1.789877500066666</v>
      </c>
      <c r="BD17" s="22">
        <f>INDEX(順位表['#],MATCH(BF17,順位表[Accessibility],0))</f>
        <v>15</v>
      </c>
      <c r="BE17" s="209" t="str">
        <f>IF(JPEN!$C$2="EN",INDEX(都市マスタ[City Name],MATCH(BD17,都市マスタ['#],0)),INDEX(都市マスタ[都市名],MATCH(BD17,都市マスタ['#],0)))</f>
        <v>イスタンブール</v>
      </c>
      <c r="BF17" s="117">
        <v>12</v>
      </c>
      <c r="BG17" s="23">
        <f>INDEX(スコア表[Accessibility],MATCH(BD17,スコア表['#],0))</f>
        <v>166.25057830344997</v>
      </c>
      <c r="BH17" s="121">
        <f>INDEX(前年結果表[順Accessibility],MATCH(BD17,前年結果表['#],0))</f>
        <v>18</v>
      </c>
      <c r="BI17" s="29">
        <f>INDEX(前年結果表[スAccessibility],MATCH(BD17,前年結果表['#],0))</f>
        <v>166.67293748383332</v>
      </c>
      <c r="BJ17" s="107">
        <f t="shared" si="12"/>
        <v>6</v>
      </c>
      <c r="BK17" s="110">
        <f t="shared" si="13"/>
        <v>-0.42235918038335285</v>
      </c>
      <c r="BM17" s="40">
        <v>12</v>
      </c>
      <c r="BN17" s="99" t="s">
        <v>126</v>
      </c>
      <c r="BO17" s="97">
        <v>239.01459515085</v>
      </c>
      <c r="BP17" s="97">
        <v>38.255938875216664</v>
      </c>
      <c r="BQ17" s="97">
        <v>79.664258373033334</v>
      </c>
      <c r="BR17" s="97">
        <v>346.05275863548331</v>
      </c>
      <c r="BS17" s="97">
        <v>234.79668098339999</v>
      </c>
      <c r="BT17" s="97">
        <v>175.06601473500001</v>
      </c>
      <c r="BU17" s="97">
        <v>1112.8502467529834</v>
      </c>
      <c r="BV17" s="96">
        <v>20</v>
      </c>
      <c r="BW17" s="96">
        <v>28</v>
      </c>
      <c r="BX17" s="96">
        <v>34</v>
      </c>
      <c r="BY17" s="96">
        <v>18</v>
      </c>
      <c r="BZ17" s="96">
        <v>2</v>
      </c>
      <c r="CA17" s="96">
        <v>12</v>
      </c>
      <c r="CB17" s="100">
        <v>14</v>
      </c>
    </row>
    <row r="18" spans="1:80" ht="20.85" customHeight="1">
      <c r="A18" s="34"/>
      <c r="B18" s="22">
        <f>INDEX(順位表['#],MATCH(D18,順位表[Comprehensive],0))</f>
        <v>13</v>
      </c>
      <c r="C18" s="43" t="str">
        <f>IF(JPEN!$C$2="EN",INDEX(都市マスタ[City Name],MATCH(B18,都市マスタ['#],0)),INDEX(都市マスタ[都市名],MATCH(B18,都市マスタ['#],0)))</f>
        <v>ウィーン</v>
      </c>
      <c r="D18" s="117">
        <v>13</v>
      </c>
      <c r="E18" s="23">
        <f>INDEX(スコア表[Comprehensive],MATCH(B18,スコア表['#],0))</f>
        <v>1133.217755540225</v>
      </c>
      <c r="F18" s="121">
        <f>INDEX(前年結果表[順Comprehensive],MATCH(B18,前年結果表['#],0))</f>
        <v>15</v>
      </c>
      <c r="G18" s="29">
        <f>INDEX(前年結果表[スComprehensive],MATCH(B18,前年結果表['#],0))</f>
        <v>1102.9400135056917</v>
      </c>
      <c r="H18" s="107">
        <f t="shared" si="0"/>
        <v>2</v>
      </c>
      <c r="I18" s="110">
        <f t="shared" si="1"/>
        <v>30.277742034533276</v>
      </c>
      <c r="K18" s="22">
        <f>INDEX(順位表['#],MATCH(M18,順位表[Economy],0))</f>
        <v>39</v>
      </c>
      <c r="L18" s="183" t="str">
        <f>IF(JPEN!$C$2="EN",INDEX(都市マスタ[City Name],MATCH(K18,都市マスタ['#],0)),INDEX(都市マスタ[都市名],MATCH(K18,都市マスタ['#],0)))</f>
        <v>ボストン</v>
      </c>
      <c r="M18" s="117">
        <v>13</v>
      </c>
      <c r="N18" s="23">
        <f>INDEX(スコア表[Economy],MATCH(K18,スコア表['#],0))</f>
        <v>258.98806631218332</v>
      </c>
      <c r="O18" s="121">
        <f>INDEX(前年結果表[順Economy],MATCH(K18,前年結果表['#],0))</f>
        <v>21</v>
      </c>
      <c r="P18" s="29">
        <f>INDEX(前年結果表[スEconomy],MATCH(K18,前年結果表['#],0))</f>
        <v>238.21365793033334</v>
      </c>
      <c r="Q18" s="107">
        <f t="shared" si="2"/>
        <v>8</v>
      </c>
      <c r="R18" s="110">
        <f t="shared" si="3"/>
        <v>20.77440838184998</v>
      </c>
      <c r="T18" s="22">
        <f>INDEX(順位表['#],MATCH(V18,順位表[R&amp;D],0))</f>
        <v>24</v>
      </c>
      <c r="U18" s="187" t="str">
        <f>IF(JPEN!$C$2="EN",INDEX(都市マスタ[City Name],MATCH(T18,都市マスタ['#],0)),INDEX(都市マスタ[都市名],MATCH(T18,都市マスタ['#],0)))</f>
        <v>上海</v>
      </c>
      <c r="V18" s="117">
        <v>13</v>
      </c>
      <c r="W18" s="23">
        <f>INDEX(スコア表[R&amp;D],MATCH(T18,スコア表['#],0))</f>
        <v>89.991983247633343</v>
      </c>
      <c r="X18" s="121">
        <f>INDEX(前年結果表[順R&amp;D],MATCH(T18,前年結果表['#],0))</f>
        <v>13</v>
      </c>
      <c r="Y18" s="29">
        <f>INDEX(前年結果表[スR&amp;D],MATCH(T18,前年結果表['#],0))</f>
        <v>87.469835336883321</v>
      </c>
      <c r="Z18" s="107">
        <f t="shared" si="4"/>
        <v>0</v>
      </c>
      <c r="AA18" s="110">
        <f t="shared" si="5"/>
        <v>2.5221479107500215</v>
      </c>
      <c r="AC18" s="22">
        <f>INDEX(順位表['#],MATCH(AE18,順位表[Cultural Interaction],0))</f>
        <v>2</v>
      </c>
      <c r="AD18" s="193" t="str">
        <f>IF(JPEN!$C$2="EN",INDEX(都市マスタ[City Name],MATCH(AC18,都市マスタ['#],0)),INDEX(都市マスタ[都市名],MATCH(AC18,都市マスタ['#],0)))</f>
        <v>バルセロナ</v>
      </c>
      <c r="AE18" s="117">
        <v>13</v>
      </c>
      <c r="AF18" s="23">
        <f>INDEX(スコア表[Cultural Interaction],MATCH(AC18,スコア表['#],0))</f>
        <v>163.77309441727502</v>
      </c>
      <c r="AG18" s="121">
        <f>INDEX(前年結果表[順Cultural Interaction],MATCH(AC18,前年結果表['#],0))</f>
        <v>13</v>
      </c>
      <c r="AH18" s="29">
        <f>INDEX(前年結果表[スCultural Interaction],MATCH(AC18,前年結果表['#],0))</f>
        <v>156.24114649268333</v>
      </c>
      <c r="AI18" s="107">
        <f t="shared" si="6"/>
        <v>0</v>
      </c>
      <c r="AJ18" s="110">
        <f t="shared" si="7"/>
        <v>7.5319479245916909</v>
      </c>
      <c r="AL18" s="22">
        <f>INDEX(順位表['#],MATCH(AN18,順位表[Livability],0))</f>
        <v>10</v>
      </c>
      <c r="AM18" s="199" t="str">
        <f>IF(JPEN!$C$2="EN",INDEX(都市マスタ[City Name],MATCH(AL18,都市マスタ['#],0)),INDEX(都市マスタ[都市名],MATCH(AL18,都市マスタ['#],0)))</f>
        <v>ミラノ</v>
      </c>
      <c r="AN18" s="117">
        <v>13</v>
      </c>
      <c r="AO18" s="23">
        <f>INDEX(スコア表[Livability],MATCH(AL18,スコア表['#],0))</f>
        <v>353.04079527141664</v>
      </c>
      <c r="AP18" s="121">
        <f>INDEX(前年結果表[順Livability],MATCH(AL18,前年結果表['#],0))</f>
        <v>5</v>
      </c>
      <c r="AQ18" s="29">
        <f>INDEX(前年結果表[スLivability],MATCH(AL18,前年結果表['#],0))</f>
        <v>362.51554046500837</v>
      </c>
      <c r="AR18" s="107">
        <f t="shared" si="8"/>
        <v>-8</v>
      </c>
      <c r="AS18" s="110">
        <f t="shared" si="9"/>
        <v>-9.4747451935917297</v>
      </c>
      <c r="AU18" s="22">
        <f>INDEX(順位表['#],MATCH(AW18,順位表[Environment],0))</f>
        <v>8</v>
      </c>
      <c r="AV18" s="204" t="str">
        <f>IF(JPEN!$C$2="EN",INDEX(都市マスタ[City Name],MATCH(AU18,都市マスタ['#],0)),INDEX(都市マスタ[都市名],MATCH(AU18,都市マスタ['#],0)))</f>
        <v>フランクフルト</v>
      </c>
      <c r="AW18" s="117">
        <v>13</v>
      </c>
      <c r="AX18" s="23">
        <f>INDEX(スコア表[Environment],MATCH(AU18,スコア表['#],0))</f>
        <v>180.77300000066668</v>
      </c>
      <c r="AY18" s="121">
        <f>INDEX(前年結果表[順Environment],MATCH(AU18,前年結果表['#],0))</f>
        <v>15</v>
      </c>
      <c r="AZ18" s="29">
        <f>INDEX(前年結果表[スEnvironment],MATCH(AU18,前年結果表['#],0))</f>
        <v>179.35108092896667</v>
      </c>
      <c r="BA18" s="107">
        <f t="shared" si="10"/>
        <v>2</v>
      </c>
      <c r="BB18" s="110">
        <f t="shared" si="11"/>
        <v>1.4219190717000174</v>
      </c>
      <c r="BD18" s="22">
        <f>INDEX(順位表['#],MATCH(BF18,順位表[Accessibility],0))</f>
        <v>2</v>
      </c>
      <c r="BE18" s="209" t="str">
        <f>IF(JPEN!$C$2="EN",INDEX(都市マスタ[City Name],MATCH(BD18,都市マスタ['#],0)),INDEX(都市マスタ[都市名],MATCH(BD18,都市マスタ['#],0)))</f>
        <v>バルセロナ</v>
      </c>
      <c r="BF18" s="117">
        <v>13</v>
      </c>
      <c r="BG18" s="23">
        <f>INDEX(スコア表[Accessibility],MATCH(BD18,スコア表['#],0))</f>
        <v>163.56888879408334</v>
      </c>
      <c r="BH18" s="121">
        <f>INDEX(前年結果表[順Accessibility],MATCH(BD18,前年結果表['#],0))</f>
        <v>13</v>
      </c>
      <c r="BI18" s="29">
        <f>INDEX(前年結果表[スAccessibility],MATCH(BD18,前年結果表['#],0))</f>
        <v>174.37049334028333</v>
      </c>
      <c r="BJ18" s="107">
        <f t="shared" si="12"/>
        <v>0</v>
      </c>
      <c r="BK18" s="110">
        <f t="shared" si="13"/>
        <v>-10.801604546199997</v>
      </c>
      <c r="BM18" s="40">
        <v>13</v>
      </c>
      <c r="BN18" s="99" t="s">
        <v>128</v>
      </c>
      <c r="BO18" s="97">
        <v>196.82362747914999</v>
      </c>
      <c r="BP18" s="97">
        <v>36.8785516939</v>
      </c>
      <c r="BQ18" s="97">
        <v>121.42217130555832</v>
      </c>
      <c r="BR18" s="97">
        <v>351.17586715119995</v>
      </c>
      <c r="BS18" s="97">
        <v>204.69440071403335</v>
      </c>
      <c r="BT18" s="97">
        <v>191.94539516185</v>
      </c>
      <c r="BU18" s="97">
        <v>1102.9400135056917</v>
      </c>
      <c r="BV18" s="96">
        <v>31</v>
      </c>
      <c r="BW18" s="96">
        <v>31</v>
      </c>
      <c r="BX18" s="96">
        <v>19</v>
      </c>
      <c r="BY18" s="96">
        <v>13</v>
      </c>
      <c r="BZ18" s="96">
        <v>5</v>
      </c>
      <c r="CA18" s="96">
        <v>8</v>
      </c>
      <c r="CB18" s="100">
        <v>15</v>
      </c>
    </row>
    <row r="19" spans="1:80" ht="20.85" customHeight="1">
      <c r="A19" s="34"/>
      <c r="B19" s="22">
        <f>INDEX(順位表['#],MATCH(D19,順位表[Comprehensive],0))</f>
        <v>1</v>
      </c>
      <c r="C19" s="43" t="str">
        <f>IF(JPEN!$C$2="EN",INDEX(都市マスタ[City Name],MATCH(B19,都市マスタ['#],0)),INDEX(都市マスタ[都市名],MATCH(B19,都市マスタ['#],0)))</f>
        <v>マドリード</v>
      </c>
      <c r="D19" s="117">
        <v>14</v>
      </c>
      <c r="E19" s="23">
        <f>INDEX(スコア表[Comprehensive],MATCH(B19,スコア表['#],0))</f>
        <v>1131.5332886492749</v>
      </c>
      <c r="F19" s="121">
        <f>INDEX(前年結果表[順Comprehensive],MATCH(B19,前年結果表['#],0))</f>
        <v>12</v>
      </c>
      <c r="G19" s="29">
        <f>INDEX(前年結果表[スComprehensive],MATCH(B19,前年結果表['#],0))</f>
        <v>1121.9891103921418</v>
      </c>
      <c r="H19" s="107">
        <f t="shared" si="0"/>
        <v>-2</v>
      </c>
      <c r="I19" s="110">
        <f t="shared" si="1"/>
        <v>9.544178257133126</v>
      </c>
      <c r="K19" s="22">
        <f>INDEX(順位表['#],MATCH(M19,順位表[Economy],0))</f>
        <v>30</v>
      </c>
      <c r="L19" s="183" t="str">
        <f>IF(JPEN!$C$2="EN",INDEX(都市マスタ[City Name],MATCH(K19,都市マスタ['#],0)),INDEX(都市マスタ[都市名],MATCH(K19,都市マスタ['#],0)))</f>
        <v>シドニー</v>
      </c>
      <c r="M19" s="117">
        <v>14</v>
      </c>
      <c r="N19" s="23">
        <f>INDEX(スコア表[Economy],MATCH(K19,スコア表['#],0))</f>
        <v>257.99135417716667</v>
      </c>
      <c r="O19" s="121">
        <f>INDEX(前年結果表[順Economy],MATCH(K19,前年結果表['#],0))</f>
        <v>16</v>
      </c>
      <c r="P19" s="29">
        <f>INDEX(前年結果表[スEconomy],MATCH(K19,前年結果表['#],0))</f>
        <v>245.13316088479999</v>
      </c>
      <c r="Q19" s="107">
        <f t="shared" si="2"/>
        <v>2</v>
      </c>
      <c r="R19" s="110">
        <f t="shared" si="3"/>
        <v>12.858193292366678</v>
      </c>
      <c r="T19" s="22">
        <f>INDEX(順位表['#],MATCH(V19,順位表[R&amp;D],0))</f>
        <v>37</v>
      </c>
      <c r="U19" s="187" t="str">
        <f>IF(JPEN!$C$2="EN",INDEX(都市マスタ[City Name],MATCH(T19,都市マスタ['#],0)),INDEX(都市マスタ[都市名],MATCH(T19,都市マスタ['#],0)))</f>
        <v>ワシントンDC</v>
      </c>
      <c r="V19" s="117">
        <v>14</v>
      </c>
      <c r="W19" s="23">
        <f>INDEX(スコア表[R&amp;D],MATCH(T19,スコア表['#],0))</f>
        <v>87.409370761916662</v>
      </c>
      <c r="X19" s="121">
        <f>INDEX(前年結果表[順R&amp;D],MATCH(T19,前年結果表['#],0))</f>
        <v>14</v>
      </c>
      <c r="Y19" s="29">
        <f>INDEX(前年結果表[スR&amp;D],MATCH(T19,前年結果表['#],0))</f>
        <v>85.912809945199996</v>
      </c>
      <c r="Z19" s="107">
        <f t="shared" si="4"/>
        <v>0</v>
      </c>
      <c r="AA19" s="110">
        <f t="shared" si="5"/>
        <v>1.4965608167166664</v>
      </c>
      <c r="AC19" s="22">
        <f>INDEX(順位表['#],MATCH(AE19,順位表[Cultural Interaction],0))</f>
        <v>43</v>
      </c>
      <c r="AD19" s="193" t="str">
        <f>IF(JPEN!$C$2="EN",INDEX(都市マスタ[City Name],MATCH(AC19,都市マスタ['#],0)),INDEX(都市マスタ[都市名],MATCH(AC19,都市マスタ['#],0)))</f>
        <v>ブエノスアイレス</v>
      </c>
      <c r="AE19" s="117">
        <v>14</v>
      </c>
      <c r="AF19" s="23">
        <f>INDEX(スコア表[Cultural Interaction],MATCH(AC19,スコア表['#],0))</f>
        <v>162.40185278249166</v>
      </c>
      <c r="AG19" s="121">
        <f>INDEX(前年結果表[順Cultural Interaction],MATCH(AC19,前年結果表['#],0))</f>
        <v>10</v>
      </c>
      <c r="AH19" s="29">
        <f>INDEX(前年結果表[スCultural Interaction],MATCH(AC19,前年結果表['#],0))</f>
        <v>162.08778012659167</v>
      </c>
      <c r="AI19" s="107">
        <f t="shared" si="6"/>
        <v>-4</v>
      </c>
      <c r="AJ19" s="110">
        <f t="shared" si="7"/>
        <v>0.31407265589999156</v>
      </c>
      <c r="AL19" s="22">
        <f>INDEX(順位表['#],MATCH(AN19,順位表[Livability],0))</f>
        <v>46</v>
      </c>
      <c r="AM19" s="199" t="str">
        <f>IF(JPEN!$C$2="EN",INDEX(都市マスタ[City Name],MATCH(AL19,都市マスタ['#],0)),INDEX(都市マスタ[都市名],MATCH(AL19,都市マスタ['#],0)))</f>
        <v>ヘルシンキ</v>
      </c>
      <c r="AN19" s="117">
        <v>14</v>
      </c>
      <c r="AO19" s="23">
        <f>INDEX(スコア表[Livability],MATCH(AL19,スコア表['#],0))</f>
        <v>352.18511970200001</v>
      </c>
      <c r="AP19" s="121">
        <f>INDEX(前年結果表[順Livability],MATCH(AL19,前年結果表['#],0))</f>
        <v>10</v>
      </c>
      <c r="AQ19" s="29">
        <f>INDEX(前年結果表[スLivability],MATCH(AL19,前年結果表['#],0))</f>
        <v>354.02747180714169</v>
      </c>
      <c r="AR19" s="107">
        <f t="shared" si="8"/>
        <v>-4</v>
      </c>
      <c r="AS19" s="110">
        <f t="shared" si="9"/>
        <v>-1.8423521051416856</v>
      </c>
      <c r="AU19" s="22">
        <f>INDEX(順位表['#],MATCH(AW19,順位表[Environment],0))</f>
        <v>26</v>
      </c>
      <c r="AV19" s="204" t="str">
        <f>IF(JPEN!$C$2="EN",INDEX(都市マスタ[City Name],MATCH(AU19,都市マスタ['#],0)),INDEX(都市マスタ[都市名],MATCH(AU19,都市マスタ['#],0)))</f>
        <v>ソウル</v>
      </c>
      <c r="AW19" s="117">
        <v>14</v>
      </c>
      <c r="AX19" s="23">
        <f>INDEX(スコア表[Environment],MATCH(AU19,スコア表['#],0))</f>
        <v>178.14045167766668</v>
      </c>
      <c r="AY19" s="121">
        <f>INDEX(前年結果表[順Environment],MATCH(AU19,前年結果表['#],0))</f>
        <v>14</v>
      </c>
      <c r="AZ19" s="29">
        <f>INDEX(前年結果表[スEnvironment],MATCH(AU19,前年結果表['#],0))</f>
        <v>180.54586436196666</v>
      </c>
      <c r="BA19" s="107">
        <f t="shared" si="10"/>
        <v>0</v>
      </c>
      <c r="BB19" s="110">
        <f t="shared" si="11"/>
        <v>-2.4054126842999892</v>
      </c>
      <c r="BD19" s="22">
        <f>INDEX(順位表['#],MATCH(BF19,順位表[Accessibility],0))</f>
        <v>1</v>
      </c>
      <c r="BE19" s="209" t="str">
        <f>IF(JPEN!$C$2="EN",INDEX(都市マスタ[City Name],MATCH(BD19,都市マスタ['#],0)),INDEX(都市マスタ[都市名],MATCH(BD19,都市マスタ['#],0)))</f>
        <v>マドリード</v>
      </c>
      <c r="BF19" s="117">
        <v>14</v>
      </c>
      <c r="BG19" s="23">
        <f>INDEX(スコア表[Accessibility],MATCH(BD19,スコア表['#],0))</f>
        <v>156.62284250756667</v>
      </c>
      <c r="BH19" s="121">
        <f>INDEX(前年結果表[順Accessibility],MATCH(BD19,前年結果表['#],0))</f>
        <v>14</v>
      </c>
      <c r="BI19" s="29">
        <f>INDEX(前年結果表[スAccessibility],MATCH(BD19,前年結果表['#],0))</f>
        <v>174.16010061265001</v>
      </c>
      <c r="BJ19" s="107">
        <f t="shared" si="12"/>
        <v>0</v>
      </c>
      <c r="BK19" s="110">
        <f t="shared" si="13"/>
        <v>-17.537258105083339</v>
      </c>
      <c r="BM19" s="40">
        <v>14</v>
      </c>
      <c r="BN19" s="99" t="s">
        <v>130</v>
      </c>
      <c r="BO19" s="97">
        <v>242.92085834011667</v>
      </c>
      <c r="BP19" s="97">
        <v>46.927285892183335</v>
      </c>
      <c r="BQ19" s="97">
        <v>84.294575719725003</v>
      </c>
      <c r="BR19" s="97">
        <v>349.72693321973333</v>
      </c>
      <c r="BS19" s="97">
        <v>238.18137960163335</v>
      </c>
      <c r="BT19" s="97">
        <v>133.15621122563334</v>
      </c>
      <c r="BU19" s="97">
        <v>1095.207243999025</v>
      </c>
      <c r="BV19" s="96">
        <v>17</v>
      </c>
      <c r="BW19" s="96">
        <v>26</v>
      </c>
      <c r="BX19" s="96">
        <v>33</v>
      </c>
      <c r="BY19" s="96">
        <v>14</v>
      </c>
      <c r="BZ19" s="96">
        <v>1</v>
      </c>
      <c r="CA19" s="96">
        <v>33</v>
      </c>
      <c r="CB19" s="100">
        <v>19</v>
      </c>
    </row>
    <row r="20" spans="1:80" ht="20.85" customHeight="1">
      <c r="A20" s="34"/>
      <c r="B20" s="22">
        <f>INDEX(順位表['#],MATCH(D20,順位表[Comprehensive],0))</f>
        <v>24</v>
      </c>
      <c r="C20" s="43" t="str">
        <f>IF(JPEN!$C$2="EN",INDEX(都市マスタ[City Name],MATCH(B20,都市マスタ['#],0)),INDEX(都市マスタ[都市名],MATCH(B20,都市マスタ['#],0)))</f>
        <v>上海</v>
      </c>
      <c r="D20" s="117">
        <v>15</v>
      </c>
      <c r="E20" s="23">
        <f>INDEX(スコア表[Comprehensive],MATCH(B20,スコア表['#],0))</f>
        <v>1131.5041381531917</v>
      </c>
      <c r="F20" s="121">
        <f>INDEX(前年結果表[順Comprehensive],MATCH(B20,前年結果表['#],0))</f>
        <v>10</v>
      </c>
      <c r="G20" s="29">
        <f>INDEX(前年結果表[スComprehensive],MATCH(B20,前年結果表['#],0))</f>
        <v>1133.8470213643166</v>
      </c>
      <c r="H20" s="107">
        <f t="shared" si="0"/>
        <v>-5</v>
      </c>
      <c r="I20" s="110">
        <f t="shared" si="1"/>
        <v>-2.3428832111248994</v>
      </c>
      <c r="K20" s="22">
        <f>INDEX(順位表['#],MATCH(M20,順位表[Economy],0))</f>
        <v>26</v>
      </c>
      <c r="L20" s="183" t="str">
        <f>IF(JPEN!$C$2="EN",INDEX(都市マスタ[City Name],MATCH(K20,都市マスタ['#],0)),INDEX(都市マスタ[都市名],MATCH(K20,都市マスタ['#],0)))</f>
        <v>ソウル</v>
      </c>
      <c r="M20" s="117">
        <v>15</v>
      </c>
      <c r="N20" s="23">
        <f>INDEX(スコア表[Economy],MATCH(K20,スコア表['#],0))</f>
        <v>254.78722377273331</v>
      </c>
      <c r="O20" s="121">
        <f>INDEX(前年結果表[順Economy],MATCH(K20,前年結果表['#],0))</f>
        <v>14</v>
      </c>
      <c r="P20" s="29">
        <f>INDEX(前年結果表[スEconomy],MATCH(K20,前年結果表['#],0))</f>
        <v>248.61456797858332</v>
      </c>
      <c r="Q20" s="107">
        <f t="shared" si="2"/>
        <v>-1</v>
      </c>
      <c r="R20" s="110">
        <f t="shared" si="3"/>
        <v>6.1726557941499891</v>
      </c>
      <c r="T20" s="22">
        <f>INDEX(順位表['#],MATCH(V20,順位表[R&amp;D],0))</f>
        <v>30</v>
      </c>
      <c r="U20" s="187" t="str">
        <f>IF(JPEN!$C$2="EN",INDEX(都市マスタ[City Name],MATCH(T20,都市マスタ['#],0)),INDEX(都市マスタ[都市名],MATCH(T20,都市マスタ['#],0)))</f>
        <v>シドニー</v>
      </c>
      <c r="V20" s="117">
        <v>15</v>
      </c>
      <c r="W20" s="23">
        <f>INDEX(スコア表[R&amp;D],MATCH(T20,スコア表['#],0))</f>
        <v>84.050380918950012</v>
      </c>
      <c r="X20" s="121">
        <f>INDEX(前年結果表[順R&amp;D],MATCH(T20,前年結果表['#],0))</f>
        <v>15</v>
      </c>
      <c r="Y20" s="29">
        <f>INDEX(前年結果表[スR&amp;D],MATCH(T20,前年結果表['#],0))</f>
        <v>85.049614171550004</v>
      </c>
      <c r="Z20" s="107">
        <f t="shared" si="4"/>
        <v>0</v>
      </c>
      <c r="AA20" s="110">
        <f t="shared" si="5"/>
        <v>-0.99923325259999274</v>
      </c>
      <c r="AC20" s="22">
        <f>INDEX(順位表['#],MATCH(AE20,順位表[Cultural Interaction],0))</f>
        <v>6</v>
      </c>
      <c r="AD20" s="193" t="str">
        <f>IF(JPEN!$C$2="EN",INDEX(都市マスタ[City Name],MATCH(AC20,都市マスタ['#],0)),INDEX(都市マスタ[都市名],MATCH(AC20,都市マスタ['#],0)))</f>
        <v>アムステルダム</v>
      </c>
      <c r="AE20" s="117">
        <v>15</v>
      </c>
      <c r="AF20" s="23">
        <f>INDEX(スコア表[Cultural Interaction],MATCH(AC20,スコア表['#],0))</f>
        <v>158.55208624714999</v>
      </c>
      <c r="AG20" s="121">
        <f>INDEX(前年結果表[順Cultural Interaction],MATCH(AC20,前年結果表['#],0))</f>
        <v>16</v>
      </c>
      <c r="AH20" s="29">
        <f>INDEX(前年結果表[スCultural Interaction],MATCH(AC20,前年結果表['#],0))</f>
        <v>144.79994541004169</v>
      </c>
      <c r="AI20" s="107">
        <f t="shared" si="6"/>
        <v>1</v>
      </c>
      <c r="AJ20" s="110">
        <f t="shared" si="7"/>
        <v>13.7521408371083</v>
      </c>
      <c r="AL20" s="22">
        <f>INDEX(順位表['#],MATCH(AN20,順位表[Livability],0))</f>
        <v>12</v>
      </c>
      <c r="AM20" s="199" t="str">
        <f>IF(JPEN!$C$2="EN",INDEX(都市マスタ[City Name],MATCH(AL20,都市マスタ['#],0)),INDEX(都市マスタ[都市名],MATCH(AL20,都市マスタ['#],0)))</f>
        <v>コペンハーゲン</v>
      </c>
      <c r="AN20" s="117">
        <v>15</v>
      </c>
      <c r="AO20" s="23">
        <f>INDEX(スコア表[Livability],MATCH(AL20,スコア表['#],0))</f>
        <v>352.06148367974163</v>
      </c>
      <c r="AP20" s="121">
        <f>INDEX(前年結果表[順Livability],MATCH(AL20,前年結果表['#],0))</f>
        <v>18</v>
      </c>
      <c r="AQ20" s="29">
        <f>INDEX(前年結果表[スLivability],MATCH(AL20,前年結果表['#],0))</f>
        <v>346.05275863548331</v>
      </c>
      <c r="AR20" s="107">
        <f t="shared" si="8"/>
        <v>3</v>
      </c>
      <c r="AS20" s="110">
        <f t="shared" si="9"/>
        <v>6.0087250442583127</v>
      </c>
      <c r="AU20" s="22">
        <f>INDEX(順位表['#],MATCH(AW20,順位表[Environment],0))</f>
        <v>1</v>
      </c>
      <c r="AV20" s="204" t="str">
        <f>IF(JPEN!$C$2="EN",INDEX(都市マスタ[City Name],MATCH(AU20,都市マスタ['#],0)),INDEX(都市マスタ[都市名],MATCH(AU20,都市マスタ['#],0)))</f>
        <v>マドリード</v>
      </c>
      <c r="AW20" s="117">
        <v>15</v>
      </c>
      <c r="AX20" s="23">
        <f>INDEX(スコア表[Environment],MATCH(AU20,スコア表['#],0))</f>
        <v>176.67238687836664</v>
      </c>
      <c r="AY20" s="121">
        <f>INDEX(前年結果表[順Environment],MATCH(AU20,前年結果表['#],0))</f>
        <v>16</v>
      </c>
      <c r="AZ20" s="29">
        <f>INDEX(前年結果表[スEnvironment],MATCH(AU20,前年結果表['#],0))</f>
        <v>175.58382223903334</v>
      </c>
      <c r="BA20" s="107">
        <f t="shared" si="10"/>
        <v>1</v>
      </c>
      <c r="BB20" s="110">
        <f t="shared" si="11"/>
        <v>1.0885646393332991</v>
      </c>
      <c r="BD20" s="22">
        <f>INDEX(順位表['#],MATCH(BF20,順位表[Accessibility],0))</f>
        <v>35</v>
      </c>
      <c r="BE20" s="209" t="str">
        <f>IF(JPEN!$C$2="EN",INDEX(都市マスタ[City Name],MATCH(BD20,都市マスタ['#],0)),INDEX(都市マスタ[都市名],MATCH(BD20,都市マスタ['#],0)))</f>
        <v>シカゴ</v>
      </c>
      <c r="BF20" s="117">
        <v>15</v>
      </c>
      <c r="BG20" s="23">
        <f>INDEX(スコア表[Accessibility],MATCH(BD20,スコア表['#],0))</f>
        <v>156.24671246469998</v>
      </c>
      <c r="BH20" s="121">
        <f>INDEX(前年結果表[順Accessibility],MATCH(BD20,前年結果表['#],0))</f>
        <v>7</v>
      </c>
      <c r="BI20" s="29">
        <f>INDEX(前年結果表[スAccessibility],MATCH(BD20,前年結果表['#],0))</f>
        <v>192.83614096920002</v>
      </c>
      <c r="BJ20" s="107">
        <f t="shared" si="12"/>
        <v>-8</v>
      </c>
      <c r="BK20" s="110">
        <f t="shared" si="13"/>
        <v>-36.589428504500034</v>
      </c>
      <c r="BM20" s="40">
        <v>15</v>
      </c>
      <c r="BN20" s="99" t="s">
        <v>132</v>
      </c>
      <c r="BO20" s="97">
        <v>132.43636329171667</v>
      </c>
      <c r="BP20" s="97">
        <v>37.315024926116664</v>
      </c>
      <c r="BQ20" s="97">
        <v>195.72654853860834</v>
      </c>
      <c r="BR20" s="97">
        <v>318.3813435669</v>
      </c>
      <c r="BS20" s="97">
        <v>146.7644053962</v>
      </c>
      <c r="BT20" s="97">
        <v>166.67293748383332</v>
      </c>
      <c r="BU20" s="97">
        <v>997.29662320337502</v>
      </c>
      <c r="BV20" s="96">
        <v>42</v>
      </c>
      <c r="BW20" s="96">
        <v>29</v>
      </c>
      <c r="BX20" s="96">
        <v>6</v>
      </c>
      <c r="BY20" s="96">
        <v>34</v>
      </c>
      <c r="BZ20" s="96">
        <v>30</v>
      </c>
      <c r="CA20" s="96">
        <v>18</v>
      </c>
      <c r="CB20" s="100">
        <v>32</v>
      </c>
    </row>
    <row r="21" spans="1:80" ht="20.85" customHeight="1">
      <c r="A21" s="34"/>
      <c r="B21" s="22">
        <f>INDEX(順位表['#],MATCH(D21,順位表[Comprehensive],0))</f>
        <v>14</v>
      </c>
      <c r="C21" s="43" t="str">
        <f>IF(JPEN!$C$2="EN",INDEX(都市マスタ[City Name],MATCH(B21,都市マスタ['#],0)),INDEX(都市マスタ[都市名],MATCH(B21,都市マスタ['#],0)))</f>
        <v>ストックホルム</v>
      </c>
      <c r="D21" s="117">
        <v>16</v>
      </c>
      <c r="E21" s="23">
        <f>INDEX(スコア表[Comprehensive],MATCH(B21,スコア表['#],0))</f>
        <v>1117.7952964830665</v>
      </c>
      <c r="F21" s="121">
        <f>INDEX(前年結果表[順Comprehensive],MATCH(B21,前年結果表['#],0))</f>
        <v>19</v>
      </c>
      <c r="G21" s="29">
        <f>INDEX(前年結果表[スComprehensive],MATCH(B21,前年結果表['#],0))</f>
        <v>1095.207243999025</v>
      </c>
      <c r="H21" s="107">
        <f t="shared" si="0"/>
        <v>3</v>
      </c>
      <c r="I21" s="110">
        <f t="shared" si="1"/>
        <v>22.588052484041555</v>
      </c>
      <c r="K21" s="22">
        <f>INDEX(順位表['#],MATCH(M21,順位表[Economy],0))</f>
        <v>4</v>
      </c>
      <c r="L21" s="183" t="str">
        <f>IF(JPEN!$C$2="EN",INDEX(都市マスタ[City Name],MATCH(K21,都市マスタ['#],0)),INDEX(都市マスタ[都市名],MATCH(K21,都市マスタ['#],0)))</f>
        <v>パリ</v>
      </c>
      <c r="M21" s="117">
        <v>16</v>
      </c>
      <c r="N21" s="23">
        <f>INDEX(スコア表[Economy],MATCH(K21,スコア表['#],0))</f>
        <v>253.06167205926667</v>
      </c>
      <c r="O21" s="121">
        <f>INDEX(前年結果表[順Economy],MATCH(K21,前年結果表['#],0))</f>
        <v>13</v>
      </c>
      <c r="P21" s="29">
        <f>INDEX(前年結果表[スEconomy],MATCH(K21,前年結果表['#],0))</f>
        <v>253.08930491768336</v>
      </c>
      <c r="Q21" s="107">
        <f t="shared" si="2"/>
        <v>-3</v>
      </c>
      <c r="R21" s="110">
        <f t="shared" si="3"/>
        <v>-2.7632858416694717E-2</v>
      </c>
      <c r="T21" s="22">
        <f>INDEX(順位表['#],MATCH(V21,順位表[R&amp;D],0))</f>
        <v>48</v>
      </c>
      <c r="U21" s="187" t="str">
        <f>IF(JPEN!$C$2="EN",INDEX(都市マスタ[City Name],MATCH(T21,都市マスタ['#],0)),INDEX(都市マスタ[都市名],MATCH(T21,都市マスタ['#],0)))</f>
        <v>メルボルン</v>
      </c>
      <c r="V21" s="117">
        <v>16</v>
      </c>
      <c r="W21" s="23">
        <f>INDEX(スコア表[R&amp;D],MATCH(T21,スコア表['#],0))</f>
        <v>83.101767128933346</v>
      </c>
      <c r="X21" s="121">
        <f>INDEX(前年結果表[順R&amp;D],MATCH(T21,前年結果表['#],0))</f>
        <v>17</v>
      </c>
      <c r="Y21" s="29">
        <f>INDEX(前年結果表[スR&amp;D],MATCH(T21,前年結果表['#],0))</f>
        <v>80.236176355866675</v>
      </c>
      <c r="Z21" s="107">
        <f t="shared" si="4"/>
        <v>1</v>
      </c>
      <c r="AA21" s="110">
        <f t="shared" si="5"/>
        <v>2.8655907730666712</v>
      </c>
      <c r="AC21" s="22">
        <f>INDEX(順位表['#],MATCH(AE21,順位表[Cultural Interaction],0))</f>
        <v>34</v>
      </c>
      <c r="AD21" s="193" t="str">
        <f>IF(JPEN!$C$2="EN",INDEX(都市マスタ[City Name],MATCH(AC21,都市マスタ['#],0)),INDEX(都市マスタ[都市名],MATCH(AC21,都市マスタ['#],0)))</f>
        <v>メキシコシティ</v>
      </c>
      <c r="AE21" s="117">
        <v>16</v>
      </c>
      <c r="AF21" s="23">
        <f>INDEX(スコア表[Cultural Interaction],MATCH(AC21,スコア表['#],0))</f>
        <v>156.15263772029169</v>
      </c>
      <c r="AG21" s="121">
        <f>INDEX(前年結果表[順Cultural Interaction],MATCH(AC21,前年結果表['#],0))</f>
        <v>12</v>
      </c>
      <c r="AH21" s="29">
        <f>INDEX(前年結果表[スCultural Interaction],MATCH(AC21,前年結果表['#],0))</f>
        <v>157.7242091862</v>
      </c>
      <c r="AI21" s="107">
        <f t="shared" si="6"/>
        <v>-4</v>
      </c>
      <c r="AJ21" s="110">
        <f t="shared" si="7"/>
        <v>-1.5715714659083062</v>
      </c>
      <c r="AL21" s="22">
        <f>INDEX(順位表['#],MATCH(AN21,順位表[Livability],0))</f>
        <v>20</v>
      </c>
      <c r="AM21" s="199" t="str">
        <f>IF(JPEN!$C$2="EN",INDEX(都市マスタ[City Name],MATCH(AL21,都市マスタ['#],0)),INDEX(都市マスタ[都市名],MATCH(AL21,都市マスタ['#],0)))</f>
        <v>クアラルンプール</v>
      </c>
      <c r="AN21" s="117">
        <v>16</v>
      </c>
      <c r="AO21" s="23">
        <f>INDEX(スコア表[Livability],MATCH(AL21,スコア表['#],0))</f>
        <v>349.91813941975835</v>
      </c>
      <c r="AP21" s="121">
        <f>INDEX(前年結果表[順Livability],MATCH(AL21,前年結果表['#],0))</f>
        <v>9</v>
      </c>
      <c r="AQ21" s="29">
        <f>INDEX(前年結果表[スLivability],MATCH(AL21,前年結果表['#],0))</f>
        <v>357.79637709837505</v>
      </c>
      <c r="AR21" s="107">
        <f t="shared" si="8"/>
        <v>-7</v>
      </c>
      <c r="AS21" s="110">
        <f t="shared" si="9"/>
        <v>-7.8782376786166992</v>
      </c>
      <c r="AU21" s="22">
        <f>INDEX(順位表['#],MATCH(AW21,順位表[Environment],0))</f>
        <v>29</v>
      </c>
      <c r="AV21" s="204" t="str">
        <f>IF(JPEN!$C$2="EN",INDEX(都市マスタ[City Name],MATCH(AU21,都市マスタ['#],0)),INDEX(都市マスタ[都市名],MATCH(AU21,都市マスタ['#],0)))</f>
        <v>東京</v>
      </c>
      <c r="AW21" s="117">
        <v>16</v>
      </c>
      <c r="AX21" s="23">
        <f>INDEX(スコア表[Environment],MATCH(AU21,スコア表['#],0))</f>
        <v>173.80686015423333</v>
      </c>
      <c r="AY21" s="121">
        <f>INDEX(前年結果表[順Environment],MATCH(AU21,前年結果表['#],0))</f>
        <v>13</v>
      </c>
      <c r="AZ21" s="29">
        <f>INDEX(前年結果表[スEnvironment],MATCH(AU21,前年結果表['#],0))</f>
        <v>180.9605544808</v>
      </c>
      <c r="BA21" s="107">
        <f t="shared" si="10"/>
        <v>-3</v>
      </c>
      <c r="BB21" s="110">
        <f t="shared" si="11"/>
        <v>-7.153694326566665</v>
      </c>
      <c r="BD21" s="22">
        <f>INDEX(順位表['#],MATCH(BF21,順位表[Accessibility],0))</f>
        <v>22</v>
      </c>
      <c r="BE21" s="209" t="str">
        <f>IF(JPEN!$C$2="EN",INDEX(都市マスタ[City Name],MATCH(BD21,都市マスタ['#],0)),INDEX(都市マスタ[都市名],MATCH(BD21,都市マスタ['#],0)))</f>
        <v>香港</v>
      </c>
      <c r="BF21" s="117">
        <v>16</v>
      </c>
      <c r="BG21" s="23">
        <f>INDEX(スコア表[Accessibility],MATCH(BD21,スコア表['#],0))</f>
        <v>152.62185347708333</v>
      </c>
      <c r="BH21" s="121">
        <f>INDEX(前年結果表[順Accessibility],MATCH(BD21,前年結果表['#],0))</f>
        <v>24</v>
      </c>
      <c r="BI21" s="29">
        <f>INDEX(前年結果表[スAccessibility],MATCH(BD21,前年結果表['#],0))</f>
        <v>153.03783941650002</v>
      </c>
      <c r="BJ21" s="107">
        <f t="shared" si="12"/>
        <v>8</v>
      </c>
      <c r="BK21" s="110">
        <f t="shared" si="13"/>
        <v>-0.41598593941668582</v>
      </c>
      <c r="BM21" s="40">
        <v>16</v>
      </c>
      <c r="BN21" s="99" t="s">
        <v>134</v>
      </c>
      <c r="BO21" s="97">
        <v>90.142204235000008</v>
      </c>
      <c r="BP21" s="97">
        <v>11.568325566683333</v>
      </c>
      <c r="BQ21" s="97">
        <v>87.857650086633328</v>
      </c>
      <c r="BR21" s="97">
        <v>309.33970916479166</v>
      </c>
      <c r="BS21" s="97">
        <v>83.415773806066667</v>
      </c>
      <c r="BT21" s="97">
        <v>115.05966249541666</v>
      </c>
      <c r="BU21" s="97">
        <v>697.38332535459165</v>
      </c>
      <c r="BV21" s="96">
        <v>48</v>
      </c>
      <c r="BW21" s="96">
        <v>44</v>
      </c>
      <c r="BX21" s="96">
        <v>31</v>
      </c>
      <c r="BY21" s="96">
        <v>37</v>
      </c>
      <c r="BZ21" s="96">
        <v>47</v>
      </c>
      <c r="CA21" s="96">
        <v>38</v>
      </c>
      <c r="CB21" s="100">
        <v>46</v>
      </c>
    </row>
    <row r="22" spans="1:80" ht="20.85" customHeight="1">
      <c r="A22" s="34"/>
      <c r="B22" s="22">
        <f>INDEX(順位表['#],MATCH(D22,順位表[Comprehensive],0))</f>
        <v>23</v>
      </c>
      <c r="C22" s="43" t="str">
        <f>IF(JPEN!$C$2="EN",INDEX(都市マスタ[City Name],MATCH(B22,都市マスタ['#],0)),INDEX(都市マスタ[都市名],MATCH(B22,都市マスタ['#],0)))</f>
        <v>北京</v>
      </c>
      <c r="D22" s="117">
        <v>17</v>
      </c>
      <c r="E22" s="23">
        <f>INDEX(スコア表[Comprehensive],MATCH(B22,スコア表['#],0))</f>
        <v>1115.3359083596499</v>
      </c>
      <c r="F22" s="121">
        <f>INDEX(前年結果表[順Comprehensive],MATCH(B22,前年結果表['#],0))</f>
        <v>17</v>
      </c>
      <c r="G22" s="29">
        <f>INDEX(前年結果表[スComprehensive],MATCH(B22,前年結果表['#],0))</f>
        <v>1099.7884698795335</v>
      </c>
      <c r="H22" s="107">
        <f t="shared" si="0"/>
        <v>0</v>
      </c>
      <c r="I22" s="110">
        <f t="shared" si="1"/>
        <v>15.547438480116398</v>
      </c>
      <c r="K22" s="22">
        <f>INDEX(順位表['#],MATCH(M22,順位表[Economy],0))</f>
        <v>33</v>
      </c>
      <c r="L22" s="183" t="str">
        <f>IF(JPEN!$C$2="EN",INDEX(都市マスタ[City Name],MATCH(K22,都市マスタ['#],0)),INDEX(都市マスタ[都市名],MATCH(K22,都市マスタ['#],0)))</f>
        <v>ロサンゼルス</v>
      </c>
      <c r="M22" s="117">
        <v>17</v>
      </c>
      <c r="N22" s="23">
        <f>INDEX(スコア表[Economy],MATCH(K22,スコア表['#],0))</f>
        <v>252.60758015683336</v>
      </c>
      <c r="O22" s="121">
        <f>INDEX(前年結果表[順Economy],MATCH(K22,前年結果表['#],0))</f>
        <v>19</v>
      </c>
      <c r="P22" s="29">
        <f>INDEX(前年結果表[スEconomy],MATCH(K22,前年結果表['#],0))</f>
        <v>239.2510416388667</v>
      </c>
      <c r="Q22" s="107">
        <f t="shared" si="2"/>
        <v>2</v>
      </c>
      <c r="R22" s="110">
        <f t="shared" si="3"/>
        <v>13.356538517966669</v>
      </c>
      <c r="T22" s="22">
        <f>INDEX(順位表['#],MATCH(V22,順位表[R&amp;D],0))</f>
        <v>9</v>
      </c>
      <c r="U22" s="187" t="str">
        <f>IF(JPEN!$C$2="EN",INDEX(都市マスタ[City Name],MATCH(T22,都市マスタ['#],0)),INDEX(都市マスタ[都市名],MATCH(T22,都市マスタ['#],0)))</f>
        <v>ベルリン</v>
      </c>
      <c r="V22" s="117">
        <v>17</v>
      </c>
      <c r="W22" s="23">
        <f>INDEX(スコア表[R&amp;D],MATCH(T22,スコア表['#],0))</f>
        <v>78.449940740066666</v>
      </c>
      <c r="X22" s="121">
        <f>INDEX(前年結果表[順R&amp;D],MATCH(T22,前年結果表['#],0))</f>
        <v>16</v>
      </c>
      <c r="Y22" s="29">
        <f>INDEX(前年結果表[スR&amp;D],MATCH(T22,前年結果表['#],0))</f>
        <v>80.890781963033334</v>
      </c>
      <c r="Z22" s="107">
        <f t="shared" si="4"/>
        <v>-1</v>
      </c>
      <c r="AA22" s="110">
        <f t="shared" si="5"/>
        <v>-2.4408412229666681</v>
      </c>
      <c r="AC22" s="22">
        <f>INDEX(順位表['#],MATCH(AE22,順位表[Cultural Interaction],0))</f>
        <v>40</v>
      </c>
      <c r="AD22" s="193" t="str">
        <f>IF(JPEN!$C$2="EN",INDEX(都市マスタ[City Name],MATCH(AC22,都市マスタ['#],0)),INDEX(都市マスタ[都市名],MATCH(AC22,都市マスタ['#],0)))</f>
        <v>サンパウロ</v>
      </c>
      <c r="AE22" s="117">
        <v>17</v>
      </c>
      <c r="AF22" s="23">
        <f>INDEX(スコア表[Cultural Interaction],MATCH(AC22,スコア表['#],0))</f>
        <v>151.76444242485834</v>
      </c>
      <c r="AG22" s="121">
        <f>INDEX(前年結果表[順Cultural Interaction],MATCH(AC22,前年結果表['#],0))</f>
        <v>14</v>
      </c>
      <c r="AH22" s="29">
        <f>INDEX(前年結果表[スCultural Interaction],MATCH(AC22,前年結果表['#],0))</f>
        <v>149.874415342075</v>
      </c>
      <c r="AI22" s="107">
        <f t="shared" si="6"/>
        <v>-3</v>
      </c>
      <c r="AJ22" s="110">
        <f t="shared" si="7"/>
        <v>1.8900270827833481</v>
      </c>
      <c r="AL22" s="22">
        <f>INDEX(順位表['#],MATCH(AN22,順位表[Livability],0))</f>
        <v>48</v>
      </c>
      <c r="AM22" s="199" t="str">
        <f>IF(JPEN!$C$2="EN",INDEX(都市マスタ[City Name],MATCH(AL22,都市マスタ['#],0)),INDEX(都市マスタ[都市名],MATCH(AL22,都市マスタ['#],0)))</f>
        <v>メルボルン</v>
      </c>
      <c r="AN22" s="117">
        <v>17</v>
      </c>
      <c r="AO22" s="23">
        <f>INDEX(スコア表[Livability],MATCH(AL22,スコア表['#],0))</f>
        <v>347.44773969160832</v>
      </c>
      <c r="AP22" s="121">
        <f>INDEX(前年結果表[順Livability],MATCH(AL22,前年結果表['#],0))</f>
        <v>15</v>
      </c>
      <c r="AQ22" s="29">
        <f>INDEX(前年結果表[スLivability],MATCH(AL22,前年結果表['#],0))</f>
        <v>349.39050383109168</v>
      </c>
      <c r="AR22" s="107">
        <f t="shared" si="8"/>
        <v>-2</v>
      </c>
      <c r="AS22" s="110">
        <f t="shared" si="9"/>
        <v>-1.9427641394833586</v>
      </c>
      <c r="AU22" s="22">
        <f>INDEX(順位表['#],MATCH(AW22,順位表[Environment],0))</f>
        <v>6</v>
      </c>
      <c r="AV22" s="204" t="str">
        <f>IF(JPEN!$C$2="EN",INDEX(都市マスタ[City Name],MATCH(AU22,都市マスタ['#],0)),INDEX(都市マスタ[都市名],MATCH(AU22,都市マスタ['#],0)))</f>
        <v>アムステルダム</v>
      </c>
      <c r="AW22" s="117">
        <v>17</v>
      </c>
      <c r="AX22" s="23">
        <f>INDEX(スコア表[Environment],MATCH(AU22,スコア表['#],0))</f>
        <v>173.73424353196665</v>
      </c>
      <c r="AY22" s="121">
        <f>INDEX(前年結果表[順Environment],MATCH(AU22,前年結果表['#],0))</f>
        <v>18</v>
      </c>
      <c r="AZ22" s="29">
        <f>INDEX(前年結果表[スEnvironment],MATCH(AU22,前年結果表['#],0))</f>
        <v>168.56285478199999</v>
      </c>
      <c r="BA22" s="107">
        <f t="shared" si="10"/>
        <v>1</v>
      </c>
      <c r="BB22" s="110">
        <f t="shared" si="11"/>
        <v>5.1713887499666669</v>
      </c>
      <c r="BD22" s="22">
        <f>INDEX(順位表['#],MATCH(BF22,順位表[Accessibility],0))</f>
        <v>48</v>
      </c>
      <c r="BE22" s="209" t="str">
        <f>IF(JPEN!$C$2="EN",INDEX(都市マスタ[City Name],MATCH(BD22,都市マスタ['#],0)),INDEX(都市マスタ[都市名],MATCH(BD22,都市マスタ['#],0)))</f>
        <v>メルボルン</v>
      </c>
      <c r="BF22" s="117">
        <v>17</v>
      </c>
      <c r="BG22" s="23">
        <f>INDEX(スコア表[Accessibility],MATCH(BD22,スコア表['#],0))</f>
        <v>150.42809517981667</v>
      </c>
      <c r="BH22" s="121">
        <f>INDEX(前年結果表[順Accessibility],MATCH(BD22,前年結果表['#],0))</f>
        <v>21</v>
      </c>
      <c r="BI22" s="29">
        <f>INDEX(前年結果表[スAccessibility],MATCH(BD22,前年結果表['#],0))</f>
        <v>159.6854393269</v>
      </c>
      <c r="BJ22" s="107">
        <f t="shared" si="12"/>
        <v>4</v>
      </c>
      <c r="BK22" s="110">
        <f t="shared" si="13"/>
        <v>-9.2573441470833302</v>
      </c>
      <c r="BM22" s="40">
        <v>17</v>
      </c>
      <c r="BN22" s="99" t="s">
        <v>136</v>
      </c>
      <c r="BO22" s="97">
        <v>142.87453839760002</v>
      </c>
      <c r="BP22" s="97">
        <v>55.531731783049999</v>
      </c>
      <c r="BQ22" s="97">
        <v>171.51181603589166</v>
      </c>
      <c r="BR22" s="97">
        <v>327.36236597944992</v>
      </c>
      <c r="BS22" s="97">
        <v>127.8291774729</v>
      </c>
      <c r="BT22" s="97">
        <v>166.83945212918334</v>
      </c>
      <c r="BU22" s="97">
        <v>991.94908179807487</v>
      </c>
      <c r="BV22" s="96">
        <v>41</v>
      </c>
      <c r="BW22" s="96">
        <v>22</v>
      </c>
      <c r="BX22" s="96">
        <v>9</v>
      </c>
      <c r="BY22" s="96">
        <v>27</v>
      </c>
      <c r="BZ22" s="96">
        <v>42</v>
      </c>
      <c r="CA22" s="96">
        <v>17</v>
      </c>
      <c r="CB22" s="100">
        <v>33</v>
      </c>
    </row>
    <row r="23" spans="1:80" ht="20.85" customHeight="1">
      <c r="A23" s="34"/>
      <c r="B23" s="22">
        <f>INDEX(順位表['#],MATCH(D23,順位表[Comprehensive],0))</f>
        <v>22</v>
      </c>
      <c r="C23" s="43" t="str">
        <f>IF(JPEN!$C$2="EN",INDEX(都市マスタ[City Name],MATCH(B23,都市マスタ['#],0)),INDEX(都市マスタ[都市名],MATCH(B23,都市マスタ['#],0)))</f>
        <v>香港</v>
      </c>
      <c r="D23" s="117">
        <v>18</v>
      </c>
      <c r="E23" s="23">
        <f>INDEX(スコア表[Comprehensive],MATCH(B23,スコア表['#],0))</f>
        <v>1091.7932708332751</v>
      </c>
      <c r="F23" s="121">
        <f>INDEX(前年結果表[順Comprehensive],MATCH(B23,前年結果表['#],0))</f>
        <v>23</v>
      </c>
      <c r="G23" s="29">
        <f>INDEX(前年結果表[スComprehensive],MATCH(B23,前年結果表['#],0))</f>
        <v>1068.3110359949833</v>
      </c>
      <c r="H23" s="107">
        <f t="shared" si="0"/>
        <v>5</v>
      </c>
      <c r="I23" s="110">
        <f t="shared" si="1"/>
        <v>23.482234838291788</v>
      </c>
      <c r="K23" s="22">
        <f>INDEX(順位表['#],MATCH(M23,順位表[Economy],0))</f>
        <v>36</v>
      </c>
      <c r="L23" s="183" t="str">
        <f>IF(JPEN!$C$2="EN",INDEX(都市マスタ[City Name],MATCH(K23,都市マスタ['#],0)),INDEX(都市マスタ[都市名],MATCH(K23,都市マスタ['#],0)))</f>
        <v>トロント</v>
      </c>
      <c r="M23" s="117">
        <v>18</v>
      </c>
      <c r="N23" s="23">
        <f>INDEX(スコア表[Economy],MATCH(K23,スコア表['#],0))</f>
        <v>249.23434588983332</v>
      </c>
      <c r="O23" s="121">
        <f>INDEX(前年結果表[順Economy],MATCH(K23,前年結果表['#],0))</f>
        <v>15</v>
      </c>
      <c r="P23" s="29">
        <f>INDEX(前年結果表[スEconomy],MATCH(K23,前年結果表['#],0))</f>
        <v>245.94947810136668</v>
      </c>
      <c r="Q23" s="107">
        <f t="shared" si="2"/>
        <v>-3</v>
      </c>
      <c r="R23" s="110">
        <f t="shared" si="3"/>
        <v>3.2848677884666415</v>
      </c>
      <c r="T23" s="22">
        <f>INDEX(順位表['#],MATCH(V23,順位表[R&amp;D],0))</f>
        <v>28</v>
      </c>
      <c r="U23" s="187" t="str">
        <f>IF(JPEN!$C$2="EN",INDEX(都市マスタ[City Name],MATCH(T23,都市マスタ['#],0)),INDEX(都市マスタ[都市名],MATCH(T23,都市マスタ['#],0)))</f>
        <v>大阪</v>
      </c>
      <c r="V23" s="117">
        <v>18</v>
      </c>
      <c r="W23" s="23">
        <f>INDEX(スコア表[R&amp;D],MATCH(T23,スコア表['#],0))</f>
        <v>69.695671346483337</v>
      </c>
      <c r="X23" s="121">
        <f>INDEX(前年結果表[順R&amp;D],MATCH(T23,前年結果表['#],0))</f>
        <v>18</v>
      </c>
      <c r="Y23" s="29">
        <f>INDEX(前年結果表[スR&amp;D],MATCH(T23,前年結果表['#],0))</f>
        <v>69.811800453533337</v>
      </c>
      <c r="Z23" s="107">
        <f t="shared" si="4"/>
        <v>0</v>
      </c>
      <c r="AA23" s="110">
        <f t="shared" si="5"/>
        <v>-0.1161291070499999</v>
      </c>
      <c r="AC23" s="22">
        <f>INDEX(順位表['#],MATCH(AE23,順位表[Cultural Interaction],0))</f>
        <v>13</v>
      </c>
      <c r="AD23" s="193" t="str">
        <f>IF(JPEN!$C$2="EN",INDEX(都市マスタ[City Name],MATCH(AC23,都市マスタ['#],0)),INDEX(都市マスタ[都市名],MATCH(AC23,都市マスタ['#],0)))</f>
        <v>ウィーン</v>
      </c>
      <c r="AE23" s="117">
        <v>18</v>
      </c>
      <c r="AF23" s="23">
        <f>INDEX(スコア表[Cultural Interaction],MATCH(AC23,スコア表['#],0))</f>
        <v>148.87896228123333</v>
      </c>
      <c r="AG23" s="121">
        <f>INDEX(前年結果表[順Cultural Interaction],MATCH(AC23,前年結果表['#],0))</f>
        <v>19</v>
      </c>
      <c r="AH23" s="29">
        <f>INDEX(前年結果表[スCultural Interaction],MATCH(AC23,前年結果表['#],0))</f>
        <v>121.42217130555832</v>
      </c>
      <c r="AI23" s="107">
        <f t="shared" si="6"/>
        <v>1</v>
      </c>
      <c r="AJ23" s="110">
        <f t="shared" si="7"/>
        <v>27.456790975675005</v>
      </c>
      <c r="AL23" s="22">
        <f>INDEX(順位表['#],MATCH(AN23,順位表[Livability],0))</f>
        <v>36</v>
      </c>
      <c r="AM23" s="199" t="str">
        <f>IF(JPEN!$C$2="EN",INDEX(都市マスタ[City Name],MATCH(AL23,都市マスタ['#],0)),INDEX(都市マスタ[都市名],MATCH(AL23,都市マスタ['#],0)))</f>
        <v>トロント</v>
      </c>
      <c r="AN23" s="117">
        <v>18</v>
      </c>
      <c r="AO23" s="23">
        <f>INDEX(スコア表[Livability],MATCH(AL23,スコア表['#],0))</f>
        <v>346.31321916076672</v>
      </c>
      <c r="AP23" s="121">
        <f>INDEX(前年結果表[順Livability],MATCH(AL23,前年結果表['#],0))</f>
        <v>12</v>
      </c>
      <c r="AQ23" s="29">
        <f>INDEX(前年結果表[スLivability],MATCH(AL23,前年結果表['#],0))</f>
        <v>352.89860111250835</v>
      </c>
      <c r="AR23" s="107">
        <f t="shared" si="8"/>
        <v>-6</v>
      </c>
      <c r="AS23" s="110">
        <f t="shared" si="9"/>
        <v>-6.5853819517416241</v>
      </c>
      <c r="AU23" s="22">
        <f>INDEX(順位表['#],MATCH(AW23,順位表[Environment],0))</f>
        <v>36</v>
      </c>
      <c r="AV23" s="204" t="str">
        <f>IF(JPEN!$C$2="EN",INDEX(都市マスタ[City Name],MATCH(AU23,都市マスタ['#],0)),INDEX(都市マスタ[都市名],MATCH(AU23,都市マスタ['#],0)))</f>
        <v>トロント</v>
      </c>
      <c r="AW23" s="117">
        <v>18</v>
      </c>
      <c r="AX23" s="23">
        <f>INDEX(スコア表[Environment],MATCH(AU23,スコア表['#],0))</f>
        <v>168.96266920406669</v>
      </c>
      <c r="AY23" s="121">
        <f>INDEX(前年結果表[順Environment],MATCH(AU23,前年結果表['#],0))</f>
        <v>17</v>
      </c>
      <c r="AZ23" s="29">
        <f>INDEX(前年結果表[スEnvironment],MATCH(AU23,前年結果表['#],0))</f>
        <v>173.03923719213333</v>
      </c>
      <c r="BA23" s="107">
        <f t="shared" si="10"/>
        <v>-1</v>
      </c>
      <c r="BB23" s="110">
        <f t="shared" si="11"/>
        <v>-4.0765679880666426</v>
      </c>
      <c r="BD23" s="22">
        <f>INDEX(順位表['#],MATCH(BF23,順位表[Accessibility],0))</f>
        <v>11</v>
      </c>
      <c r="BE23" s="209" t="str">
        <f>IF(JPEN!$C$2="EN",INDEX(都市マスタ[City Name],MATCH(BD23,都市マスタ['#],0)),INDEX(都市マスタ[都市名],MATCH(BD23,都市マスタ['#],0)))</f>
        <v>チューリッヒ</v>
      </c>
      <c r="BF23" s="117">
        <v>18</v>
      </c>
      <c r="BG23" s="23">
        <f>INDEX(スコア表[Accessibility],MATCH(BD23,スコア表['#],0))</f>
        <v>148.82630711370001</v>
      </c>
      <c r="BH23" s="121">
        <f>INDEX(前年結果表[順Accessibility],MATCH(BD23,前年結果表['#],0))</f>
        <v>20</v>
      </c>
      <c r="BI23" s="29">
        <f>INDEX(前年結果表[スAccessibility],MATCH(BD23,前年結果表['#],0))</f>
        <v>162.181015487</v>
      </c>
      <c r="BJ23" s="107">
        <f t="shared" si="12"/>
        <v>2</v>
      </c>
      <c r="BK23" s="110">
        <f t="shared" si="13"/>
        <v>-13.354708373299985</v>
      </c>
      <c r="BM23" s="40">
        <v>18</v>
      </c>
      <c r="BN23" s="99" t="s">
        <v>138</v>
      </c>
      <c r="BO23" s="97">
        <v>111.40864578668334</v>
      </c>
      <c r="BP23" s="97">
        <v>6.5887630215500002</v>
      </c>
      <c r="BQ23" s="97">
        <v>65.394178389916675</v>
      </c>
      <c r="BR23" s="97">
        <v>274.99281213791664</v>
      </c>
      <c r="BS23" s="97">
        <v>80.309843971500001</v>
      </c>
      <c r="BT23" s="97">
        <v>88.997958616916662</v>
      </c>
      <c r="BU23" s="97">
        <v>627.69220192448324</v>
      </c>
      <c r="BV23" s="96">
        <v>44</v>
      </c>
      <c r="BW23" s="96">
        <v>47</v>
      </c>
      <c r="BX23" s="96">
        <v>41</v>
      </c>
      <c r="BY23" s="96">
        <v>46</v>
      </c>
      <c r="BZ23" s="96">
        <v>48</v>
      </c>
      <c r="CA23" s="96">
        <v>48</v>
      </c>
      <c r="CB23" s="100">
        <v>48</v>
      </c>
    </row>
    <row r="24" spans="1:80" ht="20.85" customHeight="1">
      <c r="A24" s="34"/>
      <c r="B24" s="22">
        <f>INDEX(順位表['#],MATCH(D24,順位表[Comprehensive],0))</f>
        <v>11</v>
      </c>
      <c r="C24" s="43" t="str">
        <f>IF(JPEN!$C$2="EN",INDEX(都市マスタ[City Name],MATCH(B24,都市マスタ['#],0)),INDEX(都市マスタ[都市名],MATCH(B24,都市マスタ['#],0)))</f>
        <v>チューリッヒ</v>
      </c>
      <c r="D24" s="117">
        <v>19</v>
      </c>
      <c r="E24" s="23">
        <f>INDEX(スコア表[Comprehensive],MATCH(B24,スコア表['#],0))</f>
        <v>1088.5254766757585</v>
      </c>
      <c r="F24" s="121">
        <f>INDEX(前年結果表[順Comprehensive],MATCH(B24,前年結果表['#],0))</f>
        <v>18</v>
      </c>
      <c r="G24" s="29">
        <f>INDEX(前年結果表[スComprehensive],MATCH(B24,前年結果表['#],0))</f>
        <v>1098.949982262375</v>
      </c>
      <c r="H24" s="107">
        <f t="shared" si="0"/>
        <v>-1</v>
      </c>
      <c r="I24" s="110">
        <f t="shared" si="1"/>
        <v>-10.424505586616533</v>
      </c>
      <c r="K24" s="22">
        <f>INDEX(順位表['#],MATCH(M24,順位表[Economy],0))</f>
        <v>12</v>
      </c>
      <c r="L24" s="183" t="str">
        <f>IF(JPEN!$C$2="EN",INDEX(都市マスタ[City Name],MATCH(K24,都市マスタ['#],0)),INDEX(都市マスタ[都市名],MATCH(K24,都市マスタ['#],0)))</f>
        <v>コペンハーゲン</v>
      </c>
      <c r="M24" s="117">
        <v>19</v>
      </c>
      <c r="N24" s="23">
        <f>INDEX(スコア表[Economy],MATCH(K24,スコア表['#],0))</f>
        <v>249.19358759459999</v>
      </c>
      <c r="O24" s="121">
        <f>INDEX(前年結果表[順Economy],MATCH(K24,前年結果表['#],0))</f>
        <v>20</v>
      </c>
      <c r="P24" s="29">
        <f>INDEX(前年結果表[スEconomy],MATCH(K24,前年結果表['#],0))</f>
        <v>239.01459515085</v>
      </c>
      <c r="Q24" s="107">
        <f t="shared" si="2"/>
        <v>1</v>
      </c>
      <c r="R24" s="110">
        <f t="shared" si="3"/>
        <v>10.178992443749991</v>
      </c>
      <c r="T24" s="22">
        <f>INDEX(順位表['#],MATCH(V24,順位表[R&amp;D],0))</f>
        <v>6</v>
      </c>
      <c r="U24" s="187" t="str">
        <f>IF(JPEN!$C$2="EN",INDEX(都市マスタ[City Name],MATCH(T24,都市マスタ['#],0)),INDEX(都市マスタ[都市名],MATCH(T24,都市マスタ['#],0)))</f>
        <v>アムステルダム</v>
      </c>
      <c r="V24" s="117">
        <v>19</v>
      </c>
      <c r="W24" s="23">
        <f>INDEX(スコア表[R&amp;D],MATCH(T24,スコア表['#],0))</f>
        <v>67.816852836549998</v>
      </c>
      <c r="X24" s="121">
        <f>INDEX(前年結果表[順R&amp;D],MATCH(T24,前年結果表['#],0))</f>
        <v>19</v>
      </c>
      <c r="Y24" s="29">
        <f>INDEX(前年結果表[スR&amp;D],MATCH(T24,前年結果表['#],0))</f>
        <v>66.122324723666665</v>
      </c>
      <c r="Z24" s="107">
        <f t="shared" si="4"/>
        <v>0</v>
      </c>
      <c r="AA24" s="110">
        <f t="shared" si="5"/>
        <v>1.6945281128833329</v>
      </c>
      <c r="AC24" s="22">
        <f>INDEX(順位表['#],MATCH(AE24,順位表[Cultural Interaction],0))</f>
        <v>23</v>
      </c>
      <c r="AD24" s="193" t="str">
        <f>IF(JPEN!$C$2="EN",INDEX(都市マスタ[City Name],MATCH(AC24,都市マスタ['#],0)),INDEX(都市マスタ[都市名],MATCH(AC24,都市マスタ['#],0)))</f>
        <v>北京</v>
      </c>
      <c r="AE24" s="117">
        <v>19</v>
      </c>
      <c r="AF24" s="23">
        <f>INDEX(スコア表[Cultural Interaction],MATCH(AC24,スコア表['#],0))</f>
        <v>143.31729230814167</v>
      </c>
      <c r="AG24" s="121">
        <f>INDEX(前年結果表[順Cultural Interaction],MATCH(AC24,前年結果表['#],0))</f>
        <v>20</v>
      </c>
      <c r="AH24" s="29">
        <f>INDEX(前年結果表[スCultural Interaction],MATCH(AC24,前年結果表['#],0))</f>
        <v>119.44579740834999</v>
      </c>
      <c r="AI24" s="107">
        <f t="shared" si="6"/>
        <v>1</v>
      </c>
      <c r="AJ24" s="110">
        <f t="shared" si="7"/>
        <v>23.871494899791685</v>
      </c>
      <c r="AL24" s="22">
        <f>INDEX(順位表['#],MATCH(AN24,順位表[Livability],0))</f>
        <v>44</v>
      </c>
      <c r="AM24" s="199" t="str">
        <f>IF(JPEN!$C$2="EN",INDEX(都市マスタ[City Name],MATCH(AL24,都市マスタ['#],0)),INDEX(都市マスタ[都市名],MATCH(AL24,都市マスタ['#],0)))</f>
        <v>ドバイ</v>
      </c>
      <c r="AN24" s="117">
        <v>19</v>
      </c>
      <c r="AO24" s="23">
        <f>INDEX(スコア表[Livability],MATCH(AL24,スコア表['#],0))</f>
        <v>343.99385869043334</v>
      </c>
      <c r="AP24" s="121">
        <f>INDEX(前年結果表[順Livability],MATCH(AL24,前年結果表['#],0))</f>
        <v>21</v>
      </c>
      <c r="AQ24" s="29">
        <f>INDEX(前年結果表[スLivability],MATCH(AL24,前年結果表['#],0))</f>
        <v>338.82238495265835</v>
      </c>
      <c r="AR24" s="107">
        <f t="shared" si="8"/>
        <v>2</v>
      </c>
      <c r="AS24" s="110">
        <f t="shared" si="9"/>
        <v>5.1714737377749884</v>
      </c>
      <c r="AU24" s="22">
        <f>INDEX(順位表['#],MATCH(AW24,順位表[Environment],0))</f>
        <v>25</v>
      </c>
      <c r="AV24" s="204" t="str">
        <f>IF(JPEN!$C$2="EN",INDEX(都市マスタ[City Name],MATCH(AU24,都市マスタ['#],0)),INDEX(都市マスタ[都市名],MATCH(AU24,都市マスタ['#],0)))</f>
        <v>台北</v>
      </c>
      <c r="AW24" s="117">
        <v>19</v>
      </c>
      <c r="AX24" s="23">
        <f>INDEX(スコア表[Environment],MATCH(AU24,スコア表['#],0))</f>
        <v>168.57477855163333</v>
      </c>
      <c r="AY24" s="121">
        <f>INDEX(前年結果表[順Environment],MATCH(AU24,前年結果表['#],0))</f>
        <v>19</v>
      </c>
      <c r="AZ24" s="29">
        <f>INDEX(前年結果表[スEnvironment],MATCH(AU24,前年結果表['#],0))</f>
        <v>166.16816073753333</v>
      </c>
      <c r="BA24" s="107">
        <f t="shared" si="10"/>
        <v>0</v>
      </c>
      <c r="BB24" s="110">
        <f t="shared" si="11"/>
        <v>2.4066178141000023</v>
      </c>
      <c r="BD24" s="22">
        <f>INDEX(順位表['#],MATCH(BF24,順位表[Accessibility],0))</f>
        <v>10</v>
      </c>
      <c r="BE24" s="209" t="str">
        <f>IF(JPEN!$C$2="EN",INDEX(都市マスタ[City Name],MATCH(BD24,都市マスタ['#],0)),INDEX(都市マスタ[都市名],MATCH(BD24,都市マスタ['#],0)))</f>
        <v>ミラノ</v>
      </c>
      <c r="BF24" s="117">
        <v>19</v>
      </c>
      <c r="BG24" s="23">
        <f>INDEX(スコア表[Accessibility],MATCH(BD24,スコア表['#],0))</f>
        <v>148.59930861045001</v>
      </c>
      <c r="BH24" s="121">
        <f>INDEX(前年結果表[順Accessibility],MATCH(BD24,前年結果表['#],0))</f>
        <v>15</v>
      </c>
      <c r="BI24" s="29">
        <f>INDEX(前年結果表[スAccessibility],MATCH(BD24,前年結果表['#],0))</f>
        <v>171.80808922101667</v>
      </c>
      <c r="BJ24" s="107">
        <f t="shared" si="12"/>
        <v>-4</v>
      </c>
      <c r="BK24" s="110">
        <f t="shared" si="13"/>
        <v>-23.208780610566663</v>
      </c>
      <c r="BM24" s="40">
        <v>19</v>
      </c>
      <c r="BN24" s="99" t="s">
        <v>140</v>
      </c>
      <c r="BO24" s="97">
        <v>182.10883595343333</v>
      </c>
      <c r="BP24" s="97">
        <v>19.0242051685</v>
      </c>
      <c r="BQ24" s="97">
        <v>130.99926738448332</v>
      </c>
      <c r="BR24" s="97">
        <v>323.69868810434167</v>
      </c>
      <c r="BS24" s="97">
        <v>113.7748868091</v>
      </c>
      <c r="BT24" s="97">
        <v>113.7234494225</v>
      </c>
      <c r="BU24" s="97">
        <v>883.32933284235844</v>
      </c>
      <c r="BV24" s="96">
        <v>37</v>
      </c>
      <c r="BW24" s="96">
        <v>41</v>
      </c>
      <c r="BX24" s="96">
        <v>17</v>
      </c>
      <c r="BY24" s="96">
        <v>30</v>
      </c>
      <c r="BZ24" s="96">
        <v>45</v>
      </c>
      <c r="CA24" s="96">
        <v>40</v>
      </c>
      <c r="CB24" s="100">
        <v>40</v>
      </c>
    </row>
    <row r="25" spans="1:80" ht="20.85" customHeight="1">
      <c r="A25" s="34"/>
      <c r="B25" s="22">
        <f>INDEX(順位表['#],MATCH(D25,順位表[Comprehensive],0))</f>
        <v>8</v>
      </c>
      <c r="C25" s="43" t="str">
        <f>IF(JPEN!$C$2="EN",INDEX(都市マスタ[City Name],MATCH(B25,都市マスタ['#],0)),INDEX(都市マスタ[都市名],MATCH(B25,都市マスタ['#],0)))</f>
        <v>フランクフルト</v>
      </c>
      <c r="D25" s="117">
        <v>20</v>
      </c>
      <c r="E25" s="23">
        <f>INDEX(スコア表[Comprehensive],MATCH(B25,スコア表['#],0))</f>
        <v>1086.1963098475917</v>
      </c>
      <c r="F25" s="121">
        <f>INDEX(前年結果表[順Comprehensive],MATCH(B25,前年結果表['#],0))</f>
        <v>21</v>
      </c>
      <c r="G25" s="29">
        <f>INDEX(前年結果表[スComprehensive],MATCH(B25,前年結果表['#],0))</f>
        <v>1073.5710320743833</v>
      </c>
      <c r="H25" s="107">
        <f t="shared" si="0"/>
        <v>1</v>
      </c>
      <c r="I25" s="110">
        <f t="shared" si="1"/>
        <v>12.625277773208381</v>
      </c>
      <c r="K25" s="22">
        <f>INDEX(順位表['#],MATCH(M25,順位表[Economy],0))</f>
        <v>14</v>
      </c>
      <c r="L25" s="183" t="str">
        <f>IF(JPEN!$C$2="EN",INDEX(都市マスタ[City Name],MATCH(K25,都市マスタ['#],0)),INDEX(都市マスタ[都市名],MATCH(K25,都市マスタ['#],0)))</f>
        <v>ストックホルム</v>
      </c>
      <c r="M25" s="117">
        <v>20</v>
      </c>
      <c r="N25" s="23">
        <f>INDEX(スコア表[Economy],MATCH(K25,スコア表['#],0))</f>
        <v>246.61526664266665</v>
      </c>
      <c r="O25" s="121">
        <f>INDEX(前年結果表[順Economy],MATCH(K25,前年結果表['#],0))</f>
        <v>17</v>
      </c>
      <c r="P25" s="29">
        <f>INDEX(前年結果表[スEconomy],MATCH(K25,前年結果表['#],0))</f>
        <v>242.92085834011667</v>
      </c>
      <c r="Q25" s="107">
        <f t="shared" si="2"/>
        <v>-3</v>
      </c>
      <c r="R25" s="110">
        <f t="shared" si="3"/>
        <v>3.6944083025499879</v>
      </c>
      <c r="T25" s="22">
        <f>INDEX(順位表['#],MATCH(V25,順位表[R&amp;D],0))</f>
        <v>36</v>
      </c>
      <c r="U25" s="187" t="str">
        <f>IF(JPEN!$C$2="EN",INDEX(都市マスタ[City Name],MATCH(T25,都市マスタ['#],0)),INDEX(都市マスタ[都市名],MATCH(T25,都市マスタ['#],0)))</f>
        <v>トロント</v>
      </c>
      <c r="V25" s="117">
        <v>20</v>
      </c>
      <c r="W25" s="23">
        <f>INDEX(スコア表[R&amp;D],MATCH(T25,スコア表['#],0))</f>
        <v>61.575585908999997</v>
      </c>
      <c r="X25" s="121">
        <f>INDEX(前年結果表[順R&amp;D],MATCH(T25,前年結果表['#],0))</f>
        <v>20</v>
      </c>
      <c r="Y25" s="29">
        <f>INDEX(前年結果表[スR&amp;D],MATCH(T25,前年結果表['#],0))</f>
        <v>60.998768723616678</v>
      </c>
      <c r="Z25" s="107">
        <f t="shared" si="4"/>
        <v>0</v>
      </c>
      <c r="AA25" s="110">
        <f t="shared" si="5"/>
        <v>0.5768171853833195</v>
      </c>
      <c r="AC25" s="22">
        <f>INDEX(順位表['#],MATCH(AE25,順位表[Cultural Interaction],0))</f>
        <v>30</v>
      </c>
      <c r="AD25" s="193" t="str">
        <f>IF(JPEN!$C$2="EN",INDEX(都市マスタ[City Name],MATCH(AC25,都市マスタ['#],0)),INDEX(都市マスタ[都市名],MATCH(AC25,都市マスタ['#],0)))</f>
        <v>シドニー</v>
      </c>
      <c r="AE25" s="117">
        <v>20</v>
      </c>
      <c r="AF25" s="23">
        <f>INDEX(スコア表[Cultural Interaction],MATCH(AC25,スコア表['#],0))</f>
        <v>133.65813081677501</v>
      </c>
      <c r="AG25" s="121">
        <f>INDEX(前年結果表[順Cultural Interaction],MATCH(AC25,前年結果表['#],0))</f>
        <v>27</v>
      </c>
      <c r="AH25" s="29">
        <f>INDEX(前年結果表[スCultural Interaction],MATCH(AC25,前年結果表['#],0))</f>
        <v>104.74723350850833</v>
      </c>
      <c r="AI25" s="107">
        <f t="shared" si="6"/>
        <v>7</v>
      </c>
      <c r="AJ25" s="110">
        <f t="shared" si="7"/>
        <v>28.910897308266684</v>
      </c>
      <c r="AL25" s="22">
        <f>INDEX(順位表['#],MATCH(AN25,順位表[Livability],0))</f>
        <v>19</v>
      </c>
      <c r="AM25" s="199" t="str">
        <f>IF(JPEN!$C$2="EN",INDEX(都市マスタ[City Name],MATCH(AL25,都市マスタ['#],0)),INDEX(都市マスタ[都市名],MATCH(AL25,都市マスタ['#],0)))</f>
        <v>バンコク</v>
      </c>
      <c r="AN25" s="117">
        <v>20</v>
      </c>
      <c r="AO25" s="23">
        <f>INDEX(スコア表[Livability],MATCH(AL25,スコア表['#],0))</f>
        <v>341.53625088005833</v>
      </c>
      <c r="AP25" s="121">
        <f>INDEX(前年結果表[順Livability],MATCH(AL25,前年結果表['#],0))</f>
        <v>30</v>
      </c>
      <c r="AQ25" s="29">
        <f>INDEX(前年結果表[スLivability],MATCH(AL25,前年結果表['#],0))</f>
        <v>323.69868810434167</v>
      </c>
      <c r="AR25" s="107">
        <f t="shared" si="8"/>
        <v>10</v>
      </c>
      <c r="AS25" s="110">
        <f t="shared" si="9"/>
        <v>17.837562775716663</v>
      </c>
      <c r="AU25" s="22">
        <f>INDEX(順位表['#],MATCH(AW25,順位表[Environment],0))</f>
        <v>27</v>
      </c>
      <c r="AV25" s="204" t="str">
        <f>IF(JPEN!$C$2="EN",INDEX(都市マスタ[City Name],MATCH(AU25,都市マスタ['#],0)),INDEX(都市マスタ[都市名],MATCH(AU25,都市マスタ['#],0)))</f>
        <v>福岡</v>
      </c>
      <c r="AW25" s="117">
        <v>20</v>
      </c>
      <c r="AX25" s="23">
        <f>INDEX(スコア表[Environment],MATCH(AU25,スコア表['#],0))</f>
        <v>163.21906107770002</v>
      </c>
      <c r="AY25" s="121">
        <f>INDEX(前年結果表[順Environment],MATCH(AU25,前年結果表['#],0))</f>
        <v>25</v>
      </c>
      <c r="AZ25" s="29">
        <f>INDEX(前年結果表[スEnvironment],MATCH(AU25,前年結果表['#],0))</f>
        <v>158.97507353316669</v>
      </c>
      <c r="BA25" s="107">
        <f t="shared" si="10"/>
        <v>5</v>
      </c>
      <c r="BB25" s="110">
        <f t="shared" si="11"/>
        <v>4.2439875445333257</v>
      </c>
      <c r="BD25" s="22">
        <f>INDEX(順位表['#],MATCH(BF25,順位表[Accessibility],0))</f>
        <v>26</v>
      </c>
      <c r="BE25" s="209" t="str">
        <f>IF(JPEN!$C$2="EN",INDEX(都市マスタ[City Name],MATCH(BD25,都市マスタ['#],0)),INDEX(都市マスタ[都市名],MATCH(BD25,都市マスタ['#],0)))</f>
        <v>ソウル</v>
      </c>
      <c r="BF25" s="117">
        <v>20</v>
      </c>
      <c r="BG25" s="23">
        <f>INDEX(スコア表[Accessibility],MATCH(BD25,スコア表['#],0))</f>
        <v>146.30409057438334</v>
      </c>
      <c r="BH25" s="121">
        <f>INDEX(前年結果表[順Accessibility],MATCH(BD25,前年結果表['#],0))</f>
        <v>16</v>
      </c>
      <c r="BI25" s="29">
        <f>INDEX(前年結果表[スAccessibility],MATCH(BD25,前年結果表['#],0))</f>
        <v>167.06983688348333</v>
      </c>
      <c r="BJ25" s="107">
        <f t="shared" si="12"/>
        <v>-4</v>
      </c>
      <c r="BK25" s="110">
        <f t="shared" si="13"/>
        <v>-20.765746309099995</v>
      </c>
      <c r="BM25" s="40">
        <v>20</v>
      </c>
      <c r="BN25" s="99" t="s">
        <v>142</v>
      </c>
      <c r="BO25" s="97">
        <v>195.34803463658335</v>
      </c>
      <c r="BP25" s="97">
        <v>17.416001071749999</v>
      </c>
      <c r="BQ25" s="97">
        <v>79.047629448008323</v>
      </c>
      <c r="BR25" s="97">
        <v>357.79637709837505</v>
      </c>
      <c r="BS25" s="97">
        <v>116.46995801443333</v>
      </c>
      <c r="BT25" s="97">
        <v>109.03346153113333</v>
      </c>
      <c r="BU25" s="97">
        <v>875.11146180028345</v>
      </c>
      <c r="BV25" s="96">
        <v>32</v>
      </c>
      <c r="BW25" s="96">
        <v>42</v>
      </c>
      <c r="BX25" s="96">
        <v>36</v>
      </c>
      <c r="BY25" s="96">
        <v>9</v>
      </c>
      <c r="BZ25" s="96">
        <v>44</v>
      </c>
      <c r="CA25" s="96">
        <v>43</v>
      </c>
      <c r="CB25" s="100">
        <v>41</v>
      </c>
    </row>
    <row r="26" spans="1:80" ht="20.85" customHeight="1">
      <c r="A26" s="34"/>
      <c r="B26" s="22">
        <f>INDEX(順位表['#],MATCH(D26,順位表[Comprehensive],0))</f>
        <v>33</v>
      </c>
      <c r="C26" s="43" t="str">
        <f>IF(JPEN!$C$2="EN",INDEX(都市マスタ[City Name],MATCH(B26,都市マスタ['#],0)),INDEX(都市マスタ[都市名],MATCH(B26,都市マスタ['#],0)))</f>
        <v>ロサンゼルス</v>
      </c>
      <c r="D26" s="117">
        <v>21</v>
      </c>
      <c r="E26" s="23">
        <f>INDEX(スコア表[Comprehensive],MATCH(B26,スコア表['#],0))</f>
        <v>1071.6950600185</v>
      </c>
      <c r="F26" s="121">
        <f>INDEX(前年結果表[順Comprehensive],MATCH(B26,前年結果表['#],0))</f>
        <v>16</v>
      </c>
      <c r="G26" s="29">
        <f>INDEX(前年結果表[スComprehensive],MATCH(B26,前年結果表['#],0))</f>
        <v>1101.5395997693167</v>
      </c>
      <c r="H26" s="107">
        <f t="shared" si="0"/>
        <v>-5</v>
      </c>
      <c r="I26" s="110">
        <f t="shared" si="1"/>
        <v>-29.844539750816693</v>
      </c>
      <c r="K26" s="22">
        <f>INDEX(順位表['#],MATCH(M26,順位表[Economy],0))</f>
        <v>31</v>
      </c>
      <c r="L26" s="183" t="str">
        <f>IF(JPEN!$C$2="EN",INDEX(都市マスタ[City Name],MATCH(K26,都市マスタ['#],0)),INDEX(都市マスタ[都市名],MATCH(K26,都市マスタ['#],0)))</f>
        <v>バンクーバー</v>
      </c>
      <c r="M26" s="117">
        <v>21</v>
      </c>
      <c r="N26" s="23">
        <f>INDEX(スコア表[Economy],MATCH(K26,スコア表['#],0))</f>
        <v>239.31243879453334</v>
      </c>
      <c r="O26" s="121">
        <f>INDEX(前年結果表[順Economy],MATCH(K26,前年結果表['#],0))</f>
        <v>23</v>
      </c>
      <c r="P26" s="29">
        <f>INDEX(前年結果表[スEconomy],MATCH(K26,前年結果表['#],0))</f>
        <v>236.68164232703333</v>
      </c>
      <c r="Q26" s="107">
        <f t="shared" si="2"/>
        <v>2</v>
      </c>
      <c r="R26" s="110">
        <f t="shared" si="3"/>
        <v>2.6307964675000051</v>
      </c>
      <c r="T26" s="22">
        <f>INDEX(順位表['#],MATCH(V26,順位表[R&amp;D],0))</f>
        <v>5</v>
      </c>
      <c r="U26" s="187" t="str">
        <f>IF(JPEN!$C$2="EN",INDEX(都市マスタ[City Name],MATCH(T26,都市マスタ['#],0)),INDEX(都市マスタ[都市名],MATCH(T26,都市マスタ['#],0)))</f>
        <v>ブリュッセル</v>
      </c>
      <c r="V26" s="117">
        <v>21</v>
      </c>
      <c r="W26" s="23">
        <f>INDEX(スコア表[R&amp;D],MATCH(T26,スコア表['#],0))</f>
        <v>61.119406507283337</v>
      </c>
      <c r="X26" s="121">
        <f>INDEX(前年結果表[順R&amp;D],MATCH(T26,前年結果表['#],0))</f>
        <v>21</v>
      </c>
      <c r="Y26" s="29">
        <f>INDEX(前年結果表[スR&amp;D],MATCH(T26,前年結果表['#],0))</f>
        <v>60.437501151933333</v>
      </c>
      <c r="Z26" s="107">
        <f t="shared" si="4"/>
        <v>0</v>
      </c>
      <c r="AA26" s="110">
        <f t="shared" si="5"/>
        <v>0.68190535535000407</v>
      </c>
      <c r="AC26" s="22">
        <f>INDEX(順位表['#],MATCH(AE26,順位表[Cultural Interaction],0))</f>
        <v>5</v>
      </c>
      <c r="AD26" s="193" t="str">
        <f>IF(JPEN!$C$2="EN",INDEX(都市マスタ[City Name],MATCH(AC26,都市マスタ['#],0)),INDEX(都市マスタ[都市名],MATCH(AC26,都市マスタ['#],0)))</f>
        <v>ブリュッセル</v>
      </c>
      <c r="AE26" s="117">
        <v>21</v>
      </c>
      <c r="AF26" s="23">
        <f>INDEX(スコア表[Cultural Interaction],MATCH(AC26,スコア表['#],0))</f>
        <v>133.485916217425</v>
      </c>
      <c r="AG26" s="121">
        <f>INDEX(前年結果表[順Cultural Interaction],MATCH(AC26,前年結果表['#],0))</f>
        <v>23</v>
      </c>
      <c r="AH26" s="29">
        <f>INDEX(前年結果表[スCultural Interaction],MATCH(AC26,前年結果表['#],0))</f>
        <v>112.60144273150831</v>
      </c>
      <c r="AI26" s="107">
        <f t="shared" si="6"/>
        <v>2</v>
      </c>
      <c r="AJ26" s="110">
        <f t="shared" si="7"/>
        <v>20.884473485916686</v>
      </c>
      <c r="AL26" s="22">
        <f>INDEX(順位表['#],MATCH(AN26,順位表[Livability],0))</f>
        <v>40</v>
      </c>
      <c r="AM26" s="199" t="str">
        <f>IF(JPEN!$C$2="EN",INDEX(都市マスタ[City Name],MATCH(AL26,都市マスタ['#],0)),INDEX(都市マスタ[都市名],MATCH(AL26,都市マスタ['#],0)))</f>
        <v>サンパウロ</v>
      </c>
      <c r="AN26" s="117">
        <v>21</v>
      </c>
      <c r="AO26" s="23">
        <f>INDEX(スコア表[Livability],MATCH(AL26,スコア表['#],0))</f>
        <v>338.73781291609998</v>
      </c>
      <c r="AP26" s="121">
        <f>INDEX(前年結果表[順Livability],MATCH(AL26,前年結果表['#],0))</f>
        <v>24</v>
      </c>
      <c r="AQ26" s="29">
        <f>INDEX(前年結果表[スLivability],MATCH(AL26,前年結果表['#],0))</f>
        <v>331.72871094378331</v>
      </c>
      <c r="AR26" s="107">
        <f t="shared" si="8"/>
        <v>3</v>
      </c>
      <c r="AS26" s="110">
        <f t="shared" si="9"/>
        <v>7.009101972316671</v>
      </c>
      <c r="AU26" s="22">
        <f>INDEX(順位表['#],MATCH(AW26,順位表[Environment],0))</f>
        <v>40</v>
      </c>
      <c r="AV26" s="204" t="str">
        <f>IF(JPEN!$C$2="EN",INDEX(都市マスタ[City Name],MATCH(AU26,都市マスタ['#],0)),INDEX(都市マスタ[都市名],MATCH(AU26,都市マスタ['#],0)))</f>
        <v>サンパウロ</v>
      </c>
      <c r="AW26" s="117">
        <v>21</v>
      </c>
      <c r="AX26" s="23">
        <f>INDEX(スコア表[Environment],MATCH(AU26,スコア表['#],0))</f>
        <v>161.61664153583337</v>
      </c>
      <c r="AY26" s="121">
        <f>INDEX(前年結果表[順Environment],MATCH(AU26,前年結果表['#],0))</f>
        <v>20</v>
      </c>
      <c r="AZ26" s="29">
        <f>INDEX(前年結果表[スEnvironment],MATCH(AU26,前年結果表['#],0))</f>
        <v>164.698549533</v>
      </c>
      <c r="BA26" s="107">
        <f t="shared" si="10"/>
        <v>-1</v>
      </c>
      <c r="BB26" s="110">
        <f t="shared" si="11"/>
        <v>-3.0819079971666383</v>
      </c>
      <c r="BD26" s="22">
        <f>INDEX(順位表['#],MATCH(BF26,順位表[Accessibility],0))</f>
        <v>5</v>
      </c>
      <c r="BE26" s="209" t="str">
        <f>IF(JPEN!$C$2="EN",INDEX(都市マスタ[City Name],MATCH(BD26,都市マスタ['#],0)),INDEX(都市マスタ[都市名],MATCH(BD26,都市マスタ['#],0)))</f>
        <v>ブリュッセル</v>
      </c>
      <c r="BF26" s="117">
        <v>21</v>
      </c>
      <c r="BG26" s="23">
        <f>INDEX(スコア表[Accessibility],MATCH(BD26,スコア表['#],0))</f>
        <v>141.01090217941669</v>
      </c>
      <c r="BH26" s="121">
        <f>INDEX(前年結果表[順Accessibility],MATCH(BD26,前年結果表['#],0))</f>
        <v>22</v>
      </c>
      <c r="BI26" s="29">
        <f>INDEX(前年結果表[スAccessibility],MATCH(BD26,前年結果表['#],0))</f>
        <v>157.35804477329998</v>
      </c>
      <c r="BJ26" s="107">
        <f t="shared" si="12"/>
        <v>1</v>
      </c>
      <c r="BK26" s="110">
        <f t="shared" si="13"/>
        <v>-16.347142593883291</v>
      </c>
      <c r="BM26" s="40">
        <v>21</v>
      </c>
      <c r="BN26" s="99" t="s">
        <v>144</v>
      </c>
      <c r="BO26" s="97">
        <v>286.28091279255</v>
      </c>
      <c r="BP26" s="97">
        <v>96.796561724216659</v>
      </c>
      <c r="BQ26" s="97">
        <v>162.00417410189166</v>
      </c>
      <c r="BR26" s="97">
        <v>330.65174435165829</v>
      </c>
      <c r="BS26" s="97">
        <v>182.67685042883335</v>
      </c>
      <c r="BT26" s="97">
        <v>175.34337570779999</v>
      </c>
      <c r="BU26" s="97">
        <v>1233.7536191069501</v>
      </c>
      <c r="BV26" s="96">
        <v>6</v>
      </c>
      <c r="BW26" s="96">
        <v>11</v>
      </c>
      <c r="BX26" s="96">
        <v>11</v>
      </c>
      <c r="BY26" s="96">
        <v>25</v>
      </c>
      <c r="BZ26" s="96">
        <v>12</v>
      </c>
      <c r="CA26" s="96">
        <v>11</v>
      </c>
      <c r="CB26" s="100">
        <v>5</v>
      </c>
    </row>
    <row r="27" spans="1:80" ht="20.85" customHeight="1">
      <c r="A27" s="34"/>
      <c r="B27" s="22">
        <f>INDEX(順位表['#],MATCH(D27,順位表[Comprehensive],0))</f>
        <v>2</v>
      </c>
      <c r="C27" s="43" t="str">
        <f>IF(JPEN!$C$2="EN",INDEX(都市マスタ[City Name],MATCH(B27,都市マスタ['#],0)),INDEX(都市マスタ[都市名],MATCH(B27,都市マスタ['#],0)))</f>
        <v>バルセロナ</v>
      </c>
      <c r="D27" s="117">
        <v>22</v>
      </c>
      <c r="E27" s="23">
        <f>INDEX(スコア表[Comprehensive],MATCH(B27,スコア表['#],0))</f>
        <v>1067.5603584961584</v>
      </c>
      <c r="F27" s="121">
        <f>INDEX(前年結果表[順Comprehensive],MATCH(B27,前年結果表['#],0))</f>
        <v>20</v>
      </c>
      <c r="G27" s="29">
        <f>INDEX(前年結果表[スComprehensive],MATCH(B27,前年結果表['#],0))</f>
        <v>1088.1318142698833</v>
      </c>
      <c r="H27" s="107">
        <f t="shared" si="0"/>
        <v>-2</v>
      </c>
      <c r="I27" s="110">
        <f t="shared" si="1"/>
        <v>-20.571455773724892</v>
      </c>
      <c r="K27" s="22">
        <f>INDEX(順位表['#],MATCH(M27,順位表[Economy],0))</f>
        <v>35</v>
      </c>
      <c r="L27" s="183" t="str">
        <f>IF(JPEN!$C$2="EN",INDEX(都市マスタ[City Name],MATCH(K27,都市マスタ['#],0)),INDEX(都市マスタ[都市名],MATCH(K27,都市マスタ['#],0)))</f>
        <v>シカゴ</v>
      </c>
      <c r="M27" s="117">
        <v>22</v>
      </c>
      <c r="N27" s="23">
        <f>INDEX(スコア表[Economy],MATCH(K27,スコア表['#],0))</f>
        <v>239.27971636906668</v>
      </c>
      <c r="O27" s="121">
        <f>INDEX(前年結果表[順Economy],MATCH(K27,前年結果表['#],0))</f>
        <v>24</v>
      </c>
      <c r="P27" s="29">
        <f>INDEX(前年結果表[スEconomy],MATCH(K27,前年結果表['#],0))</f>
        <v>228.28512298699999</v>
      </c>
      <c r="Q27" s="107">
        <f t="shared" si="2"/>
        <v>2</v>
      </c>
      <c r="R27" s="110">
        <f t="shared" si="3"/>
        <v>10.994593382066682</v>
      </c>
      <c r="T27" s="22">
        <f>INDEX(順位表['#],MATCH(V27,順位表[R&amp;D],0))</f>
        <v>17</v>
      </c>
      <c r="U27" s="187" t="str">
        <f>IF(JPEN!$C$2="EN",INDEX(都市マスタ[City Name],MATCH(T27,都市マスタ['#],0)),INDEX(都市マスタ[都市名],MATCH(T27,都市マスタ['#],0)))</f>
        <v>モスクワ</v>
      </c>
      <c r="V27" s="117">
        <v>22</v>
      </c>
      <c r="W27" s="23">
        <f>INDEX(スコア表[R&amp;D],MATCH(T27,スコア表['#],0))</f>
        <v>56.490130057016671</v>
      </c>
      <c r="X27" s="121">
        <f>INDEX(前年結果表[順R&amp;D],MATCH(T27,前年結果表['#],0))</f>
        <v>22</v>
      </c>
      <c r="Y27" s="29">
        <f>INDEX(前年結果表[スR&amp;D],MATCH(T27,前年結果表['#],0))</f>
        <v>55.531731783049999</v>
      </c>
      <c r="Z27" s="107">
        <f t="shared" si="4"/>
        <v>0</v>
      </c>
      <c r="AA27" s="110">
        <f t="shared" si="5"/>
        <v>0.95839827396667232</v>
      </c>
      <c r="AC27" s="22">
        <f>INDEX(順位表['#],MATCH(AE27,順位表[Cultural Interaction],0))</f>
        <v>48</v>
      </c>
      <c r="AD27" s="193" t="str">
        <f>IF(JPEN!$C$2="EN",INDEX(都市マスタ[City Name],MATCH(AC27,都市マスタ['#],0)),INDEX(都市マスタ[都市名],MATCH(AC27,都市マスタ['#],0)))</f>
        <v>メルボルン</v>
      </c>
      <c r="AE27" s="117">
        <v>22</v>
      </c>
      <c r="AF27" s="23">
        <f>INDEX(スコア表[Cultural Interaction],MATCH(AC27,スコア表['#],0))</f>
        <v>132.76780949810001</v>
      </c>
      <c r="AG27" s="121">
        <f>INDEX(前年結果表[順Cultural Interaction],MATCH(AC27,前年結果表['#],0))</f>
        <v>18</v>
      </c>
      <c r="AH27" s="29">
        <f>INDEX(前年結果表[スCultural Interaction],MATCH(AC27,前年結果表['#],0))</f>
        <v>124.35755315814166</v>
      </c>
      <c r="AI27" s="107">
        <f t="shared" si="6"/>
        <v>-4</v>
      </c>
      <c r="AJ27" s="110">
        <f t="shared" si="7"/>
        <v>8.4102563399583516</v>
      </c>
      <c r="AL27" s="22">
        <f>INDEX(順位表['#],MATCH(AN27,順位表[Livability],0))</f>
        <v>25</v>
      </c>
      <c r="AM27" s="199" t="str">
        <f>IF(JPEN!$C$2="EN",INDEX(都市マスタ[City Name],MATCH(AL27,都市マスタ['#],0)),INDEX(都市マスタ[都市名],MATCH(AL27,都市マスタ['#],0)))</f>
        <v>台北</v>
      </c>
      <c r="AN27" s="117">
        <v>22</v>
      </c>
      <c r="AO27" s="23">
        <f>INDEX(スコア表[Livability],MATCH(AL27,スコア表['#],0))</f>
        <v>337.24346412906664</v>
      </c>
      <c r="AP27" s="121">
        <f>INDEX(前年結果表[順Livability],MATCH(AL27,前年結果表['#],0))</f>
        <v>26</v>
      </c>
      <c r="AQ27" s="29">
        <f>INDEX(前年結果表[スLivability],MATCH(AL27,前年結果表['#],0))</f>
        <v>327.79368347539997</v>
      </c>
      <c r="AR27" s="107">
        <f t="shared" si="8"/>
        <v>4</v>
      </c>
      <c r="AS27" s="110">
        <f t="shared" si="9"/>
        <v>9.4497806536666644</v>
      </c>
      <c r="AU27" s="22">
        <f>INDEX(順位表['#],MATCH(AW27,順位表[Environment],0))</f>
        <v>45</v>
      </c>
      <c r="AV27" s="204" t="str">
        <f>IF(JPEN!$C$2="EN",INDEX(都市マスタ[City Name],MATCH(AU27,都市マスタ['#],0)),INDEX(都市マスタ[都市名],MATCH(AU27,都市マスタ['#],0)))</f>
        <v>ダブリン</v>
      </c>
      <c r="AW27" s="117">
        <v>22</v>
      </c>
      <c r="AX27" s="23">
        <f>INDEX(スコア表[Environment],MATCH(AU27,スコア表['#],0))</f>
        <v>160.4762149785</v>
      </c>
      <c r="AY27" s="121">
        <f>INDEX(前年結果表[順Environment],MATCH(AU27,前年結果表['#],0))</f>
        <v>21</v>
      </c>
      <c r="AZ27" s="29">
        <f>INDEX(前年結果表[スEnvironment],MATCH(AU27,前年結果表['#],0))</f>
        <v>162.38949319076667</v>
      </c>
      <c r="BA27" s="107">
        <f t="shared" si="10"/>
        <v>-1</v>
      </c>
      <c r="BB27" s="110">
        <f t="shared" si="11"/>
        <v>-1.9132782122666754</v>
      </c>
      <c r="BD27" s="22">
        <f>INDEX(順位表['#],MATCH(BF27,順位表[Accessibility],0))</f>
        <v>14</v>
      </c>
      <c r="BE27" s="209" t="str">
        <f>IF(JPEN!$C$2="EN",INDEX(都市マスタ[City Name],MATCH(BD27,都市マスタ['#],0)),INDEX(都市マスタ[都市名],MATCH(BD27,都市マスタ['#],0)))</f>
        <v>ストックホルム</v>
      </c>
      <c r="BF27" s="117">
        <v>22</v>
      </c>
      <c r="BG27" s="23">
        <f>INDEX(スコア表[Accessibility],MATCH(BD27,スコア表['#],0))</f>
        <v>137.92510163825</v>
      </c>
      <c r="BH27" s="121">
        <f>INDEX(前年結果表[順Accessibility],MATCH(BD27,前年結果表['#],0))</f>
        <v>33</v>
      </c>
      <c r="BI27" s="29">
        <f>INDEX(前年結果表[スAccessibility],MATCH(BD27,前年結果表['#],0))</f>
        <v>133.15621122563334</v>
      </c>
      <c r="BJ27" s="107">
        <f t="shared" si="12"/>
        <v>11</v>
      </c>
      <c r="BK27" s="110">
        <f t="shared" si="13"/>
        <v>4.7688904126166562</v>
      </c>
      <c r="BM27" s="40">
        <v>22</v>
      </c>
      <c r="BN27" s="99" t="s">
        <v>146</v>
      </c>
      <c r="BO27" s="97">
        <v>221.30421104111667</v>
      </c>
      <c r="BP27" s="97">
        <v>100.42374796886666</v>
      </c>
      <c r="BQ27" s="97">
        <v>111.51853071486666</v>
      </c>
      <c r="BR27" s="97">
        <v>320.12870247016667</v>
      </c>
      <c r="BS27" s="97">
        <v>161.89800438346666</v>
      </c>
      <c r="BT27" s="97">
        <v>153.03783941650002</v>
      </c>
      <c r="BU27" s="97">
        <v>1068.3110359949833</v>
      </c>
      <c r="BV27" s="96">
        <v>28</v>
      </c>
      <c r="BW27" s="96">
        <v>10</v>
      </c>
      <c r="BX27" s="96">
        <v>25</v>
      </c>
      <c r="BY27" s="96">
        <v>32</v>
      </c>
      <c r="BZ27" s="96">
        <v>22</v>
      </c>
      <c r="CA27" s="96">
        <v>24</v>
      </c>
      <c r="CB27" s="100">
        <v>23</v>
      </c>
    </row>
    <row r="28" spans="1:80" ht="20.85" customHeight="1">
      <c r="A28" s="34"/>
      <c r="B28" s="22">
        <f>INDEX(順位表['#],MATCH(D28,順位表[Comprehensive],0))</f>
        <v>36</v>
      </c>
      <c r="C28" s="43" t="str">
        <f>IF(JPEN!$C$2="EN",INDEX(都市マスタ[City Name],MATCH(B28,都市マスタ['#],0)),INDEX(都市マスタ[都市名],MATCH(B28,都市マスタ['#],0)))</f>
        <v>トロント</v>
      </c>
      <c r="D28" s="117">
        <v>23</v>
      </c>
      <c r="E28" s="23">
        <f>INDEX(スコア表[Comprehensive],MATCH(B28,スコア表['#],0))</f>
        <v>1065.239401090975</v>
      </c>
      <c r="F28" s="121">
        <f>INDEX(前年結果表[順Comprehensive],MATCH(B28,前年結果表['#],0))</f>
        <v>22</v>
      </c>
      <c r="G28" s="29">
        <f>INDEX(前年結果表[スComprehensive],MATCH(B28,前年結果表['#],0))</f>
        <v>1073.0298733206332</v>
      </c>
      <c r="H28" s="107">
        <f t="shared" si="0"/>
        <v>-1</v>
      </c>
      <c r="I28" s="110">
        <f t="shared" si="1"/>
        <v>-7.7904722296582349</v>
      </c>
      <c r="K28" s="22">
        <f>INDEX(順位表['#],MATCH(M28,順位表[Economy],0))</f>
        <v>48</v>
      </c>
      <c r="L28" s="183" t="str">
        <f>IF(JPEN!$C$2="EN",INDEX(都市マスタ[City Name],MATCH(K28,都市マスタ['#],0)),INDEX(都市マスタ[都市名],MATCH(K28,都市マスタ['#],0)))</f>
        <v>メルボルン</v>
      </c>
      <c r="M28" s="117">
        <v>23</v>
      </c>
      <c r="N28" s="23">
        <f>INDEX(スコア表[Economy],MATCH(K28,スコア表['#],0))</f>
        <v>238.55335216521669</v>
      </c>
      <c r="O28" s="121">
        <f>INDEX(前年結果表[順Economy],MATCH(K28,前年結果表['#],0))</f>
        <v>18</v>
      </c>
      <c r="P28" s="29">
        <f>INDEX(前年結果表[スEconomy],MATCH(K28,前年結果表['#],0))</f>
        <v>241.99038612441666</v>
      </c>
      <c r="Q28" s="107">
        <f t="shared" si="2"/>
        <v>-5</v>
      </c>
      <c r="R28" s="110">
        <f t="shared" si="3"/>
        <v>-3.4370339591999652</v>
      </c>
      <c r="T28" s="22">
        <f>INDEX(順位表['#],MATCH(V28,順位表[R&amp;D],0))</f>
        <v>7</v>
      </c>
      <c r="U28" s="187" t="str">
        <f>IF(JPEN!$C$2="EN",INDEX(都市マスタ[City Name],MATCH(T28,都市マスタ['#],0)),INDEX(都市マスタ[都市名],MATCH(T28,都市マスタ['#],0)))</f>
        <v>ジュネーブ</v>
      </c>
      <c r="V28" s="117">
        <v>23</v>
      </c>
      <c r="W28" s="23">
        <f>INDEX(スコア表[R&amp;D],MATCH(T28,スコア表['#],0))</f>
        <v>52.834182982099996</v>
      </c>
      <c r="X28" s="121">
        <f>INDEX(前年結果表[順R&amp;D],MATCH(T28,前年結果表['#],0))</f>
        <v>25</v>
      </c>
      <c r="Y28" s="29">
        <f>INDEX(前年結果表[スR&amp;D],MATCH(T28,前年結果表['#],0))</f>
        <v>50.343329378216666</v>
      </c>
      <c r="Z28" s="107">
        <f t="shared" si="4"/>
        <v>2</v>
      </c>
      <c r="AA28" s="110">
        <f t="shared" si="5"/>
        <v>2.4908536038833304</v>
      </c>
      <c r="AC28" s="22">
        <f>INDEX(順位表['#],MATCH(AE28,順位表[Cultural Interaction],0))</f>
        <v>24</v>
      </c>
      <c r="AD28" s="193" t="str">
        <f>IF(JPEN!$C$2="EN",INDEX(都市マスタ[City Name],MATCH(AC28,都市マスタ['#],0)),INDEX(都市マスタ[都市名],MATCH(AC28,都市マスタ['#],0)))</f>
        <v>上海</v>
      </c>
      <c r="AE28" s="117">
        <v>23</v>
      </c>
      <c r="AF28" s="23">
        <f>INDEX(スコア表[Cultural Interaction],MATCH(AC28,スコア表['#],0))</f>
        <v>125.78612884451667</v>
      </c>
      <c r="AG28" s="121">
        <f>INDEX(前年結果表[順Cultural Interaction],MATCH(AC28,前年結果表['#],0))</f>
        <v>24</v>
      </c>
      <c r="AH28" s="29">
        <f>INDEX(前年結果表[スCultural Interaction],MATCH(AC28,前年結果表['#],0))</f>
        <v>111.96606924770001</v>
      </c>
      <c r="AI28" s="107">
        <f t="shared" si="6"/>
        <v>1</v>
      </c>
      <c r="AJ28" s="110">
        <f t="shared" si="7"/>
        <v>13.820059596816662</v>
      </c>
      <c r="AL28" s="22">
        <f>INDEX(順位表['#],MATCH(AN28,順位表[Livability],0))</f>
        <v>27</v>
      </c>
      <c r="AM28" s="199" t="str">
        <f>IF(JPEN!$C$2="EN",INDEX(都市マスタ[City Name],MATCH(AL28,都市マスタ['#],0)),INDEX(都市マスタ[都市名],MATCH(AL28,都市マスタ['#],0)))</f>
        <v>福岡</v>
      </c>
      <c r="AN28" s="117">
        <v>23</v>
      </c>
      <c r="AO28" s="23">
        <f>INDEX(スコア表[Livability],MATCH(AL28,スコア表['#],0))</f>
        <v>336.62590518253336</v>
      </c>
      <c r="AP28" s="121">
        <f>INDEX(前年結果表[順Livability],MATCH(AL28,前年結果表['#],0))</f>
        <v>28</v>
      </c>
      <c r="AQ28" s="29">
        <f>INDEX(前年結果表[スLivability],MATCH(AL28,前年結果表['#],0))</f>
        <v>326.59807474350004</v>
      </c>
      <c r="AR28" s="107">
        <f t="shared" si="8"/>
        <v>5</v>
      </c>
      <c r="AS28" s="110">
        <f t="shared" si="9"/>
        <v>10.027830439033323</v>
      </c>
      <c r="AU28" s="22">
        <f>INDEX(順位表['#],MATCH(AW28,順位表[Environment],0))</f>
        <v>22</v>
      </c>
      <c r="AV28" s="204" t="str">
        <f>IF(JPEN!$C$2="EN",INDEX(都市マスタ[City Name],MATCH(AU28,都市マスタ['#],0)),INDEX(都市マスタ[都市名],MATCH(AU28,都市マスタ['#],0)))</f>
        <v>香港</v>
      </c>
      <c r="AW28" s="117">
        <v>23</v>
      </c>
      <c r="AX28" s="23">
        <f>INDEX(スコア表[Environment],MATCH(AU28,スコア表['#],0))</f>
        <v>157.70191422106669</v>
      </c>
      <c r="AY28" s="121">
        <f>INDEX(前年結果表[順Environment],MATCH(AU28,前年結果表['#],0))</f>
        <v>22</v>
      </c>
      <c r="AZ28" s="29">
        <f>INDEX(前年結果表[スEnvironment],MATCH(AU28,前年結果表['#],0))</f>
        <v>161.89800438346666</v>
      </c>
      <c r="BA28" s="107">
        <f t="shared" si="10"/>
        <v>-1</v>
      </c>
      <c r="BB28" s="110">
        <f t="shared" si="11"/>
        <v>-4.1960901623999689</v>
      </c>
      <c r="BD28" s="22">
        <f>INDEX(順位表['#],MATCH(BF28,順位表[Accessibility],0))</f>
        <v>9</v>
      </c>
      <c r="BE28" s="209" t="str">
        <f>IF(JPEN!$C$2="EN",INDEX(都市マスタ[City Name],MATCH(BD28,都市マスタ['#],0)),INDEX(都市マスタ[都市名],MATCH(BD28,都市マスタ['#],0)))</f>
        <v>ベルリン</v>
      </c>
      <c r="BF28" s="117">
        <v>23</v>
      </c>
      <c r="BG28" s="23">
        <f>INDEX(スコア表[Accessibility],MATCH(BD28,スコア表['#],0))</f>
        <v>137.2835364108</v>
      </c>
      <c r="BH28" s="121">
        <f>INDEX(前年結果表[順Accessibility],MATCH(BD28,前年結果表['#],0))</f>
        <v>23</v>
      </c>
      <c r="BI28" s="29">
        <f>INDEX(前年結果表[スAccessibility],MATCH(BD28,前年結果表['#],0))</f>
        <v>153.47311788956665</v>
      </c>
      <c r="BJ28" s="107">
        <f t="shared" si="12"/>
        <v>0</v>
      </c>
      <c r="BK28" s="110">
        <f t="shared" si="13"/>
        <v>-16.189581478766655</v>
      </c>
      <c r="BM28" s="40">
        <v>23</v>
      </c>
      <c r="BN28" s="99" t="s">
        <v>148</v>
      </c>
      <c r="BO28" s="97">
        <v>298.60968966920001</v>
      </c>
      <c r="BP28" s="97">
        <v>94.381043846216656</v>
      </c>
      <c r="BQ28" s="97">
        <v>119.44579740834999</v>
      </c>
      <c r="BR28" s="97">
        <v>294.33867529260004</v>
      </c>
      <c r="BS28" s="97">
        <v>129.55027569803335</v>
      </c>
      <c r="BT28" s="97">
        <v>163.46298796513332</v>
      </c>
      <c r="BU28" s="97">
        <v>1099.7884698795335</v>
      </c>
      <c r="BV28" s="96">
        <v>4</v>
      </c>
      <c r="BW28" s="96">
        <v>12</v>
      </c>
      <c r="BX28" s="96">
        <v>20</v>
      </c>
      <c r="BY28" s="96">
        <v>41</v>
      </c>
      <c r="BZ28" s="96">
        <v>40</v>
      </c>
      <c r="CA28" s="96">
        <v>19</v>
      </c>
      <c r="CB28" s="100">
        <v>17</v>
      </c>
    </row>
    <row r="29" spans="1:80" ht="20.85" customHeight="1">
      <c r="A29" s="34"/>
      <c r="B29" s="22">
        <f>INDEX(順位表['#],MATCH(D29,順位表[Comprehensive],0))</f>
        <v>5</v>
      </c>
      <c r="C29" s="43" t="str">
        <f>IF(JPEN!$C$2="EN",INDEX(都市マスタ[City Name],MATCH(B29,都市マスタ['#],0)),INDEX(都市マスタ[都市名],MATCH(B29,都市マスタ['#],0)))</f>
        <v>ブリュッセル</v>
      </c>
      <c r="D29" s="117">
        <v>24</v>
      </c>
      <c r="E29" s="23">
        <f>INDEX(スコア表[Comprehensive],MATCH(B29,スコア表['#],0))</f>
        <v>1049.2927396257251</v>
      </c>
      <c r="F29" s="121">
        <f>INDEX(前年結果表[順Comprehensive],MATCH(B29,前年結果表['#],0))</f>
        <v>26</v>
      </c>
      <c r="G29" s="29">
        <f>INDEX(前年結果表[スComprehensive],MATCH(B29,前年結果表['#],0))</f>
        <v>1049.7332054061499</v>
      </c>
      <c r="H29" s="107">
        <f t="shared" si="0"/>
        <v>2</v>
      </c>
      <c r="I29" s="110">
        <f t="shared" si="1"/>
        <v>-0.44046578042480178</v>
      </c>
      <c r="K29" s="22">
        <f>INDEX(順位表['#],MATCH(M29,順位表[Economy],0))</f>
        <v>44</v>
      </c>
      <c r="L29" s="183" t="str">
        <f>IF(JPEN!$C$2="EN",INDEX(都市マスタ[City Name],MATCH(K29,都市マスタ['#],0)),INDEX(都市マスタ[都市名],MATCH(K29,都市マスタ['#],0)))</f>
        <v>ドバイ</v>
      </c>
      <c r="M29" s="117">
        <v>24</v>
      </c>
      <c r="N29" s="23">
        <f>INDEX(スコア表[Economy],MATCH(K29,スコア表['#],0))</f>
        <v>237.42102465489998</v>
      </c>
      <c r="O29" s="121">
        <f>INDEX(前年結果表[順Economy],MATCH(K29,前年結果表['#],0))</f>
        <v>27</v>
      </c>
      <c r="P29" s="29">
        <f>INDEX(前年結果表[スEconomy],MATCH(K29,前年結果表['#],0))</f>
        <v>221.70673490671666</v>
      </c>
      <c r="Q29" s="107">
        <f t="shared" si="2"/>
        <v>3</v>
      </c>
      <c r="R29" s="110">
        <f t="shared" si="3"/>
        <v>15.714289748183319</v>
      </c>
      <c r="T29" s="22">
        <f>INDEX(順位表['#],MATCH(V29,順位表[R&amp;D],0))</f>
        <v>11</v>
      </c>
      <c r="U29" s="187" t="str">
        <f>IF(JPEN!$C$2="EN",INDEX(都市マスタ[City Name],MATCH(T29,都市マスタ['#],0)),INDEX(都市マスタ[都市名],MATCH(T29,都市マスタ['#],0)))</f>
        <v>チューリッヒ</v>
      </c>
      <c r="V29" s="117">
        <v>24</v>
      </c>
      <c r="W29" s="23">
        <f>INDEX(スコア表[R&amp;D],MATCH(T29,スコア表['#],0))</f>
        <v>51.960791640283333</v>
      </c>
      <c r="X29" s="121">
        <f>INDEX(前年結果表[順R&amp;D],MATCH(T29,前年結果表['#],0))</f>
        <v>24</v>
      </c>
      <c r="Y29" s="29">
        <f>INDEX(前年結果表[スR&amp;D],MATCH(T29,前年結果表['#],0))</f>
        <v>51.029090116416668</v>
      </c>
      <c r="Z29" s="107">
        <f t="shared" si="4"/>
        <v>0</v>
      </c>
      <c r="AA29" s="110">
        <f t="shared" si="5"/>
        <v>0.93170152386666416</v>
      </c>
      <c r="AC29" s="22">
        <f>INDEX(順位表['#],MATCH(AE29,順位表[Cultural Interaction],0))</f>
        <v>10</v>
      </c>
      <c r="AD29" s="193" t="str">
        <f>IF(JPEN!$C$2="EN",INDEX(都市マスタ[City Name],MATCH(AC29,都市マスタ['#],0)),INDEX(都市マスタ[都市名],MATCH(AC29,都市マスタ['#],0)))</f>
        <v>ミラノ</v>
      </c>
      <c r="AE29" s="117">
        <v>24</v>
      </c>
      <c r="AF29" s="23">
        <f>INDEX(スコア表[Cultural Interaction],MATCH(AC29,スコア表['#],0))</f>
        <v>124.59289058831666</v>
      </c>
      <c r="AG29" s="121">
        <f>INDEX(前年結果表[順Cultural Interaction],MATCH(AC29,前年結果表['#],0))</f>
        <v>21</v>
      </c>
      <c r="AH29" s="29">
        <f>INDEX(前年結果表[スCultural Interaction],MATCH(AC29,前年結果表['#],0))</f>
        <v>118.67928112290834</v>
      </c>
      <c r="AI29" s="107">
        <f t="shared" si="6"/>
        <v>-3</v>
      </c>
      <c r="AJ29" s="110">
        <f t="shared" si="7"/>
        <v>5.913609465408328</v>
      </c>
      <c r="AL29" s="22">
        <f>INDEX(順位表['#],MATCH(AN29,順位表[Livability],0))</f>
        <v>30</v>
      </c>
      <c r="AM29" s="199" t="str">
        <f>IF(JPEN!$C$2="EN",INDEX(都市マスタ[City Name],MATCH(AL29,都市マスタ['#],0)),INDEX(都市マスタ[都市名],MATCH(AL29,都市マスタ['#],0)))</f>
        <v>シドニー</v>
      </c>
      <c r="AN29" s="117">
        <v>24</v>
      </c>
      <c r="AO29" s="23">
        <f>INDEX(スコア表[Livability],MATCH(AL29,スコア表['#],0))</f>
        <v>335.00167264933333</v>
      </c>
      <c r="AP29" s="121">
        <f>INDEX(前年結果表[順Livability],MATCH(AL29,前年結果表['#],0))</f>
        <v>20</v>
      </c>
      <c r="AQ29" s="29">
        <f>INDEX(前年結果表[スLivability],MATCH(AL29,前年結果表['#],0))</f>
        <v>341.05241393161663</v>
      </c>
      <c r="AR29" s="107">
        <f t="shared" si="8"/>
        <v>-4</v>
      </c>
      <c r="AS29" s="110">
        <f t="shared" si="9"/>
        <v>-6.0507412822832976</v>
      </c>
      <c r="AU29" s="22">
        <f>INDEX(順位表['#],MATCH(AW29,順位表[Environment],0))</f>
        <v>5</v>
      </c>
      <c r="AV29" s="204" t="str">
        <f>IF(JPEN!$C$2="EN",INDEX(都市マスタ[City Name],MATCH(AU29,都市マスタ['#],0)),INDEX(都市マスタ[都市名],MATCH(AU29,都市マスタ['#],0)))</f>
        <v>ブリュッセル</v>
      </c>
      <c r="AW29" s="117">
        <v>24</v>
      </c>
      <c r="AX29" s="23">
        <f>INDEX(スコア表[Environment],MATCH(AU29,スコア表['#],0))</f>
        <v>155.38219232986665</v>
      </c>
      <c r="AY29" s="121">
        <f>INDEX(前年結果表[順Environment],MATCH(AU29,前年結果表['#],0))</f>
        <v>29</v>
      </c>
      <c r="AZ29" s="29">
        <f>INDEX(前年結果表[スEnvironment],MATCH(AU29,前年結果表['#],0))</f>
        <v>153.63442323696668</v>
      </c>
      <c r="BA29" s="107">
        <f t="shared" si="10"/>
        <v>5</v>
      </c>
      <c r="BB29" s="110">
        <f t="shared" si="11"/>
        <v>1.7477690928999721</v>
      </c>
      <c r="BD29" s="22">
        <f>INDEX(順位表['#],MATCH(BF29,順位表[Accessibility],0))</f>
        <v>36</v>
      </c>
      <c r="BE29" s="209" t="str">
        <f>IF(JPEN!$C$2="EN",INDEX(都市マスタ[City Name],MATCH(BD29,都市マスタ['#],0)),INDEX(都市マスタ[都市名],MATCH(BD29,都市マスタ['#],0)))</f>
        <v>トロント</v>
      </c>
      <c r="BF29" s="117">
        <v>24</v>
      </c>
      <c r="BG29" s="23">
        <f>INDEX(スコア表[Accessibility],MATCH(BD29,スコア表['#],0))</f>
        <v>137.21991882633333</v>
      </c>
      <c r="BH29" s="121">
        <f>INDEX(前年結果表[順Accessibility],MATCH(BD29,前年結果表['#],0))</f>
        <v>27</v>
      </c>
      <c r="BI29" s="29">
        <f>INDEX(前年結果表[スAccessibility],MATCH(BD29,前年結果表['#],0))</f>
        <v>145.45761837875</v>
      </c>
      <c r="BJ29" s="107">
        <f t="shared" si="12"/>
        <v>3</v>
      </c>
      <c r="BK29" s="110">
        <f t="shared" si="13"/>
        <v>-8.2376995524166716</v>
      </c>
      <c r="BM29" s="40">
        <v>24</v>
      </c>
      <c r="BN29" s="99" t="s">
        <v>150</v>
      </c>
      <c r="BO29" s="97">
        <v>265.06791878594998</v>
      </c>
      <c r="BP29" s="97">
        <v>87.469835336883321</v>
      </c>
      <c r="BQ29" s="97">
        <v>111.96606924770001</v>
      </c>
      <c r="BR29" s="97">
        <v>282.90480916651666</v>
      </c>
      <c r="BS29" s="97">
        <v>139.34467168539999</v>
      </c>
      <c r="BT29" s="97">
        <v>247.09371714186665</v>
      </c>
      <c r="BU29" s="97">
        <v>1133.8470213643166</v>
      </c>
      <c r="BV29" s="96">
        <v>10</v>
      </c>
      <c r="BW29" s="96">
        <v>13</v>
      </c>
      <c r="BX29" s="96">
        <v>24</v>
      </c>
      <c r="BY29" s="96">
        <v>45</v>
      </c>
      <c r="BZ29" s="96">
        <v>34</v>
      </c>
      <c r="CA29" s="96">
        <v>1</v>
      </c>
      <c r="CB29" s="100">
        <v>10</v>
      </c>
    </row>
    <row r="30" spans="1:80" ht="20.85" customHeight="1">
      <c r="A30" s="34"/>
      <c r="B30" s="22">
        <f>INDEX(順位表['#],MATCH(D30,順位表[Comprehensive],0))</f>
        <v>35</v>
      </c>
      <c r="C30" s="43" t="str">
        <f>IF(JPEN!$C$2="EN",INDEX(都市マスタ[City Name],MATCH(B30,都市マスタ['#],0)),INDEX(都市マスタ[都市名],MATCH(B30,都市マスタ['#],0)))</f>
        <v>シカゴ</v>
      </c>
      <c r="D30" s="117">
        <v>25</v>
      </c>
      <c r="E30" s="23">
        <f>INDEX(スコア表[Comprehensive],MATCH(B30,スコア表['#],0))</f>
        <v>1044.1886506800834</v>
      </c>
      <c r="F30" s="121">
        <f>INDEX(前年結果表[順Comprehensive],MATCH(B30,前年結果表['#],0))</f>
        <v>25</v>
      </c>
      <c r="G30" s="29">
        <f>INDEX(前年結果表[スComprehensive],MATCH(B30,前年結果表['#],0))</f>
        <v>1058.3679818409166</v>
      </c>
      <c r="H30" s="107">
        <f t="shared" si="0"/>
        <v>0</v>
      </c>
      <c r="I30" s="110">
        <f t="shared" si="1"/>
        <v>-14.179331160833271</v>
      </c>
      <c r="K30" s="22">
        <f>INDEX(順位表['#],MATCH(M30,順位表[Economy],0))</f>
        <v>46</v>
      </c>
      <c r="L30" s="183" t="str">
        <f>IF(JPEN!$C$2="EN",INDEX(都市マスタ[City Name],MATCH(K30,都市マスタ['#],0)),INDEX(都市マスタ[都市名],MATCH(K30,都市マスタ['#],0)))</f>
        <v>ヘルシンキ</v>
      </c>
      <c r="M30" s="117">
        <v>25</v>
      </c>
      <c r="N30" s="23">
        <f>INDEX(スコア表[Economy],MATCH(K30,スコア表['#],0))</f>
        <v>233.61209151846666</v>
      </c>
      <c r="O30" s="121">
        <f>INDEX(前年結果表[順Economy],MATCH(K30,前年結果表['#],0))</f>
        <v>22</v>
      </c>
      <c r="P30" s="29">
        <f>INDEX(前年結果表[スEconomy],MATCH(K30,前年結果表['#],0))</f>
        <v>238.09570578815001</v>
      </c>
      <c r="Q30" s="107">
        <f t="shared" si="2"/>
        <v>-3</v>
      </c>
      <c r="R30" s="110">
        <f t="shared" si="3"/>
        <v>-4.4836142696833576</v>
      </c>
      <c r="T30" s="22">
        <f>INDEX(順位表['#],MATCH(V30,順位表[R&amp;D],0))</f>
        <v>14</v>
      </c>
      <c r="U30" s="187" t="str">
        <f>IF(JPEN!$C$2="EN",INDEX(都市マスタ[City Name],MATCH(T30,都市マスタ['#],0)),INDEX(都市マスタ[都市名],MATCH(T30,都市マスタ['#],0)))</f>
        <v>ストックホルム</v>
      </c>
      <c r="V30" s="117">
        <v>25</v>
      </c>
      <c r="W30" s="23">
        <f>INDEX(スコア表[R&amp;D],MATCH(T30,スコア表['#],0))</f>
        <v>49.509286558200003</v>
      </c>
      <c r="X30" s="121">
        <f>INDEX(前年結果表[順R&amp;D],MATCH(T30,前年結果表['#],0))</f>
        <v>26</v>
      </c>
      <c r="Y30" s="29">
        <f>INDEX(前年結果表[スR&amp;D],MATCH(T30,前年結果表['#],0))</f>
        <v>46.927285892183335</v>
      </c>
      <c r="Z30" s="107">
        <f t="shared" si="4"/>
        <v>1</v>
      </c>
      <c r="AA30" s="110">
        <f t="shared" si="5"/>
        <v>2.5820006660166683</v>
      </c>
      <c r="AC30" s="22">
        <f>INDEX(順位表['#],MATCH(AE30,順位表[Cultural Interaction],0))</f>
        <v>28</v>
      </c>
      <c r="AD30" s="193" t="str">
        <f>IF(JPEN!$C$2="EN",INDEX(都市マスタ[City Name],MATCH(AC30,都市マスタ['#],0)),INDEX(都市マスタ[都市名],MATCH(AC30,都市マスタ['#],0)))</f>
        <v>大阪</v>
      </c>
      <c r="AE30" s="117">
        <v>25</v>
      </c>
      <c r="AF30" s="23">
        <f>INDEX(スコア表[Cultural Interaction],MATCH(AC30,スコア表['#],0))</f>
        <v>109.97396532317499</v>
      </c>
      <c r="AG30" s="121">
        <f>INDEX(前年結果表[順Cultural Interaction],MATCH(AC30,前年結果表['#],0))</f>
        <v>29</v>
      </c>
      <c r="AH30" s="29">
        <f>INDEX(前年結果表[スCultural Interaction],MATCH(AC30,前年結果表['#],0))</f>
        <v>94.988199932941654</v>
      </c>
      <c r="AI30" s="107">
        <f t="shared" si="6"/>
        <v>4</v>
      </c>
      <c r="AJ30" s="110">
        <f t="shared" si="7"/>
        <v>14.98576539023334</v>
      </c>
      <c r="AL30" s="22">
        <f>INDEX(順位表['#],MATCH(AN30,順位表[Livability],0))</f>
        <v>42</v>
      </c>
      <c r="AM30" s="199" t="str">
        <f>IF(JPEN!$C$2="EN",INDEX(都市マスタ[City Name],MATCH(AL30,都市マスタ['#],0)),INDEX(都市マスタ[都市名],MATCH(AL30,都市マスタ['#],0)))</f>
        <v>ジャカルタ</v>
      </c>
      <c r="AN30" s="117">
        <v>25</v>
      </c>
      <c r="AO30" s="23">
        <f>INDEX(スコア表[Livability],MATCH(AL30,スコア表['#],0))</f>
        <v>333.10605340002496</v>
      </c>
      <c r="AP30" s="121">
        <f>INDEX(前年結果表[順Livability],MATCH(AL30,前年結果表['#],0))</f>
        <v>29</v>
      </c>
      <c r="AQ30" s="29">
        <f>INDEX(前年結果表[スLivability],MATCH(AL30,前年結果表['#],0))</f>
        <v>324.90520824861665</v>
      </c>
      <c r="AR30" s="107">
        <f t="shared" si="8"/>
        <v>4</v>
      </c>
      <c r="AS30" s="110">
        <f t="shared" si="9"/>
        <v>8.2008451514083163</v>
      </c>
      <c r="AU30" s="22">
        <f>INDEX(順位表['#],MATCH(AW30,順位表[Environment],0))</f>
        <v>10</v>
      </c>
      <c r="AV30" s="204" t="str">
        <f>IF(JPEN!$C$2="EN",INDEX(都市マスタ[City Name],MATCH(AU30,都市マスタ['#],0)),INDEX(都市マスタ[都市名],MATCH(AU30,都市マスタ['#],0)))</f>
        <v>ミラノ</v>
      </c>
      <c r="AW30" s="117">
        <v>25</v>
      </c>
      <c r="AX30" s="23">
        <f>INDEX(スコア表[Environment],MATCH(AU30,スコア表['#],0))</f>
        <v>153.54269096716669</v>
      </c>
      <c r="AY30" s="121">
        <f>INDEX(前年結果表[順Environment],MATCH(AU30,前年結果表['#],0))</f>
        <v>24</v>
      </c>
      <c r="AZ30" s="29">
        <f>INDEX(前年結果表[スEnvironment],MATCH(AU30,前年結果表['#],0))</f>
        <v>159.16112194663333</v>
      </c>
      <c r="BA30" s="107">
        <f t="shared" si="10"/>
        <v>-1</v>
      </c>
      <c r="BB30" s="110">
        <f t="shared" si="11"/>
        <v>-5.6184309794666376</v>
      </c>
      <c r="BD30" s="22">
        <f>INDEX(順位表['#],MATCH(BF30,順位表[Accessibility],0))</f>
        <v>46</v>
      </c>
      <c r="BE30" s="209" t="str">
        <f>IF(JPEN!$C$2="EN",INDEX(都市マスタ[City Name],MATCH(BD30,都市マスタ['#],0)),INDEX(都市マスタ[都市名],MATCH(BD30,都市マスタ['#],0)))</f>
        <v>ヘルシンキ</v>
      </c>
      <c r="BF30" s="117">
        <v>25</v>
      </c>
      <c r="BG30" s="23">
        <f>INDEX(スコア表[Accessibility],MATCH(BD30,スコア表['#],0))</f>
        <v>131.89178263905001</v>
      </c>
      <c r="BH30" s="121">
        <f>INDEX(前年結果表[順Accessibility],MATCH(BD30,前年結果表['#],0))</f>
        <v>25</v>
      </c>
      <c r="BI30" s="29">
        <f>INDEX(前年結果表[スAccessibility],MATCH(BD30,前年結果表['#],0))</f>
        <v>151.33138323556668</v>
      </c>
      <c r="BJ30" s="107">
        <f t="shared" si="12"/>
        <v>0</v>
      </c>
      <c r="BK30" s="110">
        <f t="shared" si="13"/>
        <v>-19.439600596516669</v>
      </c>
      <c r="BM30" s="40">
        <v>25</v>
      </c>
      <c r="BN30" s="99" t="s">
        <v>152</v>
      </c>
      <c r="BO30" s="97">
        <v>224.17118083038332</v>
      </c>
      <c r="BP30" s="97">
        <v>51.665543417566667</v>
      </c>
      <c r="BQ30" s="97">
        <v>57.325762866758332</v>
      </c>
      <c r="BR30" s="97">
        <v>327.79368347539997</v>
      </c>
      <c r="BS30" s="97">
        <v>166.16816073753333</v>
      </c>
      <c r="BT30" s="97">
        <v>135.99251813045001</v>
      </c>
      <c r="BU30" s="97">
        <v>963.11684945809156</v>
      </c>
      <c r="BV30" s="96">
        <v>25</v>
      </c>
      <c r="BW30" s="96">
        <v>23</v>
      </c>
      <c r="BX30" s="96">
        <v>44</v>
      </c>
      <c r="BY30" s="96">
        <v>26</v>
      </c>
      <c r="BZ30" s="96">
        <v>19</v>
      </c>
      <c r="CA30" s="96">
        <v>29</v>
      </c>
      <c r="CB30" s="100">
        <v>36</v>
      </c>
    </row>
    <row r="31" spans="1:80" ht="20.85" customHeight="1">
      <c r="A31" s="34"/>
      <c r="B31" s="22">
        <f>INDEX(順位表['#],MATCH(D31,順位表[Comprehensive],0))</f>
        <v>7</v>
      </c>
      <c r="C31" s="43" t="str">
        <f>IF(JPEN!$C$2="EN",INDEX(都市マスタ[City Name],MATCH(B31,都市マスタ['#],0)),INDEX(都市マスタ[都市名],MATCH(B31,都市マスタ['#],0)))</f>
        <v>ジュネーブ</v>
      </c>
      <c r="D31" s="117">
        <v>26</v>
      </c>
      <c r="E31" s="23">
        <f>INDEX(スコア表[Comprehensive],MATCH(B31,スコア表['#],0))</f>
        <v>1042.9079798212251</v>
      </c>
      <c r="F31" s="121">
        <f>INDEX(前年結果表[順Comprehensive],MATCH(B31,前年結果表['#],0))</f>
        <v>31</v>
      </c>
      <c r="G31" s="29">
        <f>INDEX(前年結果表[スComprehensive],MATCH(B31,前年結果表['#],0))</f>
        <v>1007.9869169406834</v>
      </c>
      <c r="H31" s="107">
        <f t="shared" si="0"/>
        <v>5</v>
      </c>
      <c r="I31" s="110">
        <f t="shared" si="1"/>
        <v>34.92106288054174</v>
      </c>
      <c r="K31" s="22">
        <f>INDEX(順位表['#],MATCH(M31,順位表[Economy],0))</f>
        <v>22</v>
      </c>
      <c r="L31" s="183" t="str">
        <f>IF(JPEN!$C$2="EN",INDEX(都市マスタ[City Name],MATCH(K31,都市マスタ['#],0)),INDEX(都市マスタ[都市名],MATCH(K31,都市マスタ['#],0)))</f>
        <v>香港</v>
      </c>
      <c r="M31" s="117">
        <v>26</v>
      </c>
      <c r="N31" s="23">
        <f>INDEX(スコア表[Economy],MATCH(K31,スコア表['#],0))</f>
        <v>232.99952635881667</v>
      </c>
      <c r="O31" s="121">
        <f>INDEX(前年結果表[順Economy],MATCH(K31,前年結果表['#],0))</f>
        <v>28</v>
      </c>
      <c r="P31" s="29">
        <f>INDEX(前年結果表[スEconomy],MATCH(K31,前年結果表['#],0))</f>
        <v>221.30421104111667</v>
      </c>
      <c r="Q31" s="107">
        <f t="shared" si="2"/>
        <v>2</v>
      </c>
      <c r="R31" s="110">
        <f t="shared" si="3"/>
        <v>11.695315317699993</v>
      </c>
      <c r="T31" s="22">
        <f>INDEX(順位表['#],MATCH(V31,順位表[R&amp;D],0))</f>
        <v>25</v>
      </c>
      <c r="U31" s="187" t="str">
        <f>IF(JPEN!$C$2="EN",INDEX(都市マスタ[City Name],MATCH(T31,都市マスタ['#],0)),INDEX(都市マスタ[都市名],MATCH(T31,都市マスタ['#],0)))</f>
        <v>台北</v>
      </c>
      <c r="V31" s="117">
        <v>26</v>
      </c>
      <c r="W31" s="23">
        <f>INDEX(スコア表[R&amp;D],MATCH(T31,スコア表['#],0))</f>
        <v>46.843823348116665</v>
      </c>
      <c r="X31" s="121">
        <f>INDEX(前年結果表[順R&amp;D],MATCH(T31,前年結果表['#],0))</f>
        <v>23</v>
      </c>
      <c r="Y31" s="29">
        <f>INDEX(前年結果表[スR&amp;D],MATCH(T31,前年結果表['#],0))</f>
        <v>51.665543417566667</v>
      </c>
      <c r="Z31" s="107">
        <f t="shared" si="4"/>
        <v>-3</v>
      </c>
      <c r="AA31" s="110">
        <f t="shared" si="5"/>
        <v>-4.8217200694500022</v>
      </c>
      <c r="AC31" s="22">
        <f>INDEX(順位表['#],MATCH(AE31,順位表[Cultural Interaction],0))</f>
        <v>22</v>
      </c>
      <c r="AD31" s="193" t="str">
        <f>IF(JPEN!$C$2="EN",INDEX(都市マスタ[City Name],MATCH(AC31,都市マスタ['#],0)),INDEX(都市マスタ[都市名],MATCH(AC31,都市マスタ['#],0)))</f>
        <v>香港</v>
      </c>
      <c r="AE31" s="117">
        <v>26</v>
      </c>
      <c r="AF31" s="23">
        <f>INDEX(スコア表[Cultural Interaction],MATCH(AC31,スコア表['#],0))</f>
        <v>109.10331852386668</v>
      </c>
      <c r="AG31" s="121">
        <f>INDEX(前年結果表[順Cultural Interaction],MATCH(AC31,前年結果表['#],0))</f>
        <v>25</v>
      </c>
      <c r="AH31" s="29">
        <f>INDEX(前年結果表[スCultural Interaction],MATCH(AC31,前年結果表['#],0))</f>
        <v>111.51853071486666</v>
      </c>
      <c r="AI31" s="107">
        <f t="shared" si="6"/>
        <v>-1</v>
      </c>
      <c r="AJ31" s="110">
        <f t="shared" si="7"/>
        <v>-2.4152121909999806</v>
      </c>
      <c r="AL31" s="22">
        <f>INDEX(順位表['#],MATCH(AN31,順位表[Livability],0))</f>
        <v>17</v>
      </c>
      <c r="AM31" s="199" t="str">
        <f>IF(JPEN!$C$2="EN",INDEX(都市マスタ[City Name],MATCH(AL31,都市マスタ['#],0)),INDEX(都市マスタ[都市名],MATCH(AL31,都市マスタ['#],0)))</f>
        <v>モスクワ</v>
      </c>
      <c r="AN31" s="117">
        <v>26</v>
      </c>
      <c r="AO31" s="23">
        <f>INDEX(スコア表[Livability],MATCH(AL31,スコア表['#],0))</f>
        <v>332.19352261568332</v>
      </c>
      <c r="AP31" s="121">
        <f>INDEX(前年結果表[順Livability],MATCH(AL31,前年結果表['#],0))</f>
        <v>27</v>
      </c>
      <c r="AQ31" s="29">
        <f>INDEX(前年結果表[スLivability],MATCH(AL31,前年結果表['#],0))</f>
        <v>327.36236597944992</v>
      </c>
      <c r="AR31" s="107">
        <f t="shared" si="8"/>
        <v>1</v>
      </c>
      <c r="AS31" s="110">
        <f t="shared" si="9"/>
        <v>4.831156636233402</v>
      </c>
      <c r="AU31" s="22">
        <f>INDEX(順位表['#],MATCH(AW31,順位表[Environment],0))</f>
        <v>39</v>
      </c>
      <c r="AV31" s="204" t="str">
        <f>IF(JPEN!$C$2="EN",INDEX(都市マスタ[City Name],MATCH(AU31,都市マスタ['#],0)),INDEX(都市マスタ[都市名],MATCH(AU31,都市マスタ['#],0)))</f>
        <v>ボストン</v>
      </c>
      <c r="AW31" s="117">
        <v>26</v>
      </c>
      <c r="AX31" s="23">
        <f>INDEX(スコア表[Environment],MATCH(AU31,スコア表['#],0))</f>
        <v>152.50704226403334</v>
      </c>
      <c r="AY31" s="121">
        <f>INDEX(前年結果表[順Environment],MATCH(AU31,前年結果表['#],0))</f>
        <v>23</v>
      </c>
      <c r="AZ31" s="29">
        <f>INDEX(前年結果表[スEnvironment],MATCH(AU31,前年結果表['#],0))</f>
        <v>159.50503424269999</v>
      </c>
      <c r="BA31" s="107">
        <f t="shared" si="10"/>
        <v>-3</v>
      </c>
      <c r="BB31" s="110">
        <f t="shared" si="11"/>
        <v>-6.9979919786666471</v>
      </c>
      <c r="BD31" s="22">
        <f>INDEX(順位表['#],MATCH(BF31,順位表[Accessibility],0))</f>
        <v>33</v>
      </c>
      <c r="BE31" s="209" t="str">
        <f>IF(JPEN!$C$2="EN",INDEX(都市マスタ[City Name],MATCH(BD31,都市マスタ['#],0)),INDEX(都市マスタ[都市名],MATCH(BD31,都市マスタ['#],0)))</f>
        <v>ロサンゼルス</v>
      </c>
      <c r="BF31" s="117">
        <v>26</v>
      </c>
      <c r="BG31" s="23">
        <f>INDEX(スコア表[Accessibility],MATCH(BD31,スコア表['#],0))</f>
        <v>125.12403586828333</v>
      </c>
      <c r="BH31" s="121">
        <f>INDEX(前年結果表[順Accessibility],MATCH(BD31,前年結果表['#],0))</f>
        <v>26</v>
      </c>
      <c r="BI31" s="29">
        <f>INDEX(前年結果表[スAccessibility],MATCH(BD31,前年結果表['#],0))</f>
        <v>146.12250293731668</v>
      </c>
      <c r="BJ31" s="107">
        <f t="shared" si="12"/>
        <v>0</v>
      </c>
      <c r="BK31" s="110">
        <f t="shared" si="13"/>
        <v>-20.998467069033353</v>
      </c>
      <c r="BM31" s="40">
        <v>26</v>
      </c>
      <c r="BN31" s="99" t="s">
        <v>154</v>
      </c>
      <c r="BO31" s="97">
        <v>248.61456797858332</v>
      </c>
      <c r="BP31" s="97">
        <v>130.45857063015001</v>
      </c>
      <c r="BQ31" s="97">
        <v>145.91224853840833</v>
      </c>
      <c r="BR31" s="97">
        <v>316.48779719896663</v>
      </c>
      <c r="BS31" s="97">
        <v>180.54586436196666</v>
      </c>
      <c r="BT31" s="97">
        <v>167.06983688348333</v>
      </c>
      <c r="BU31" s="97">
        <v>1189.0888855915582</v>
      </c>
      <c r="BV31" s="96">
        <v>14</v>
      </c>
      <c r="BW31" s="96">
        <v>6</v>
      </c>
      <c r="BX31" s="96">
        <v>15</v>
      </c>
      <c r="BY31" s="96">
        <v>35</v>
      </c>
      <c r="BZ31" s="96">
        <v>14</v>
      </c>
      <c r="CA31" s="96">
        <v>16</v>
      </c>
      <c r="CB31" s="100">
        <v>7</v>
      </c>
    </row>
    <row r="32" spans="1:80" ht="20.85" customHeight="1">
      <c r="A32" s="34"/>
      <c r="B32" s="22">
        <f>INDEX(順位表['#],MATCH(D32,順位表[Comprehensive],0))</f>
        <v>32</v>
      </c>
      <c r="C32" s="43" t="str">
        <f>IF(JPEN!$C$2="EN",INDEX(都市マスタ[City Name],MATCH(B32,都市マスタ['#],0)),INDEX(都市マスタ[都市名],MATCH(B32,都市マスタ['#],0)))</f>
        <v>サンフランシスコ</v>
      </c>
      <c r="D32" s="117">
        <v>27</v>
      </c>
      <c r="E32" s="23">
        <f>INDEX(スコア表[Comprehensive],MATCH(B32,スコア表['#],0))</f>
        <v>1035.07971549885</v>
      </c>
      <c r="F32" s="121">
        <f>INDEX(前年結果表[順Comprehensive],MATCH(B32,前年結果表['#],0))</f>
        <v>24</v>
      </c>
      <c r="G32" s="29">
        <f>INDEX(前年結果表[スComprehensive],MATCH(B32,前年結果表['#],0))</f>
        <v>1066.2011899094916</v>
      </c>
      <c r="H32" s="107">
        <f t="shared" si="0"/>
        <v>-3</v>
      </c>
      <c r="I32" s="110">
        <f t="shared" si="1"/>
        <v>-31.121474410641667</v>
      </c>
      <c r="K32" s="22">
        <f>INDEX(順位表['#],MATCH(M32,順位表[Economy],0))</f>
        <v>25</v>
      </c>
      <c r="L32" s="183" t="str">
        <f>IF(JPEN!$C$2="EN",INDEX(都市マスタ[City Name],MATCH(K32,都市マスタ['#],0)),INDEX(都市マスタ[都市名],MATCH(K32,都市マスタ['#],0)))</f>
        <v>台北</v>
      </c>
      <c r="M32" s="117">
        <v>27</v>
      </c>
      <c r="N32" s="23">
        <f>INDEX(スコア表[Economy],MATCH(K32,スコア表['#],0))</f>
        <v>226.85065072763337</v>
      </c>
      <c r="O32" s="121">
        <f>INDEX(前年結果表[順Economy],MATCH(K32,前年結果表['#],0))</f>
        <v>25</v>
      </c>
      <c r="P32" s="29">
        <f>INDEX(前年結果表[スEconomy],MATCH(K32,前年結果表['#],0))</f>
        <v>224.17118083038332</v>
      </c>
      <c r="Q32" s="107">
        <f t="shared" si="2"/>
        <v>-2</v>
      </c>
      <c r="R32" s="110">
        <f t="shared" si="3"/>
        <v>2.6794698972500441</v>
      </c>
      <c r="T32" s="22">
        <f>INDEX(順位表['#],MATCH(V32,順位表[R&amp;D],0))</f>
        <v>31</v>
      </c>
      <c r="U32" s="187" t="str">
        <f>IF(JPEN!$C$2="EN",INDEX(都市マスタ[City Name],MATCH(T32,都市マスタ['#],0)),INDEX(都市マスタ[都市名],MATCH(T32,都市マスタ['#],0)))</f>
        <v>バンクーバー</v>
      </c>
      <c r="V32" s="117">
        <v>27</v>
      </c>
      <c r="W32" s="23">
        <f>INDEX(スコア表[R&amp;D],MATCH(T32,スコア表['#],0))</f>
        <v>46.275708734033337</v>
      </c>
      <c r="X32" s="121">
        <f>INDEX(前年結果表[順R&amp;D],MATCH(T32,前年結果表['#],0))</f>
        <v>27</v>
      </c>
      <c r="Y32" s="29">
        <f>INDEX(前年結果表[スR&amp;D],MATCH(T32,前年結果表['#],0))</f>
        <v>45.756514541616667</v>
      </c>
      <c r="Z32" s="107">
        <f t="shared" si="4"/>
        <v>0</v>
      </c>
      <c r="AA32" s="110">
        <f t="shared" si="5"/>
        <v>0.51919419241666986</v>
      </c>
      <c r="AC32" s="22">
        <f>INDEX(順位表['#],MATCH(AE32,順位表[Cultural Interaction],0))</f>
        <v>33</v>
      </c>
      <c r="AD32" s="193" t="str">
        <f>IF(JPEN!$C$2="EN",INDEX(都市マスタ[City Name],MATCH(AC32,都市マスタ['#],0)),INDEX(都市マスタ[都市名],MATCH(AC32,都市マスタ['#],0)))</f>
        <v>ロサンゼルス</v>
      </c>
      <c r="AE32" s="117">
        <v>27</v>
      </c>
      <c r="AF32" s="23">
        <f>INDEX(スコア表[Cultural Interaction],MATCH(AC32,スコア表['#],0))</f>
        <v>108.08762189085833</v>
      </c>
      <c r="AG32" s="121">
        <f>INDEX(前年結果表[順Cultural Interaction],MATCH(AC32,前年結果表['#],0))</f>
        <v>22</v>
      </c>
      <c r="AH32" s="29">
        <f>INDEX(前年結果表[スCultural Interaction],MATCH(AC32,前年結果表['#],0))</f>
        <v>113.26106371670001</v>
      </c>
      <c r="AI32" s="107">
        <f t="shared" si="6"/>
        <v>-5</v>
      </c>
      <c r="AJ32" s="110">
        <f t="shared" si="7"/>
        <v>-5.1734418258416781</v>
      </c>
      <c r="AL32" s="22">
        <f>INDEX(順位表['#],MATCH(AN32,順位表[Livability],0))</f>
        <v>22</v>
      </c>
      <c r="AM32" s="199" t="str">
        <f>IF(JPEN!$C$2="EN",INDEX(都市マスタ[City Name],MATCH(AL32,都市マスタ['#],0)),INDEX(都市マスタ[都市名],MATCH(AL32,都市マスタ['#],0)))</f>
        <v>香港</v>
      </c>
      <c r="AN32" s="117">
        <v>27</v>
      </c>
      <c r="AO32" s="23">
        <f>INDEX(スコア表[Livability],MATCH(AL32,スコア表['#],0))</f>
        <v>331.95758318512503</v>
      </c>
      <c r="AP32" s="121">
        <f>INDEX(前年結果表[順Livability],MATCH(AL32,前年結果表['#],0))</f>
        <v>32</v>
      </c>
      <c r="AQ32" s="29">
        <f>INDEX(前年結果表[スLivability],MATCH(AL32,前年結果表['#],0))</f>
        <v>320.12870247016667</v>
      </c>
      <c r="AR32" s="107">
        <f t="shared" si="8"/>
        <v>5</v>
      </c>
      <c r="AS32" s="110">
        <f t="shared" si="9"/>
        <v>11.828880714958359</v>
      </c>
      <c r="AU32" s="22">
        <f>INDEX(順位表['#],MATCH(AW32,順位表[Environment],0))</f>
        <v>4</v>
      </c>
      <c r="AV32" s="204" t="str">
        <f>IF(JPEN!$C$2="EN",INDEX(都市マスタ[City Name],MATCH(AU32,都市マスタ['#],0)),INDEX(都市マスタ[都市名],MATCH(AU32,都市マスタ['#],0)))</f>
        <v>パリ</v>
      </c>
      <c r="AW32" s="117">
        <v>27</v>
      </c>
      <c r="AX32" s="23">
        <f>INDEX(スコア表[Environment],MATCH(AU32,スコア表['#],0))</f>
        <v>151.24891216909998</v>
      </c>
      <c r="AY32" s="121">
        <f>INDEX(前年結果表[順Environment],MATCH(AU32,前年結果表['#],0))</f>
        <v>28</v>
      </c>
      <c r="AZ32" s="29">
        <f>INDEX(前年結果表[スEnvironment],MATCH(AU32,前年結果表['#],0))</f>
        <v>156.33856354993333</v>
      </c>
      <c r="BA32" s="107">
        <f t="shared" si="10"/>
        <v>1</v>
      </c>
      <c r="BB32" s="110">
        <f t="shared" si="11"/>
        <v>-5.0896513808333452</v>
      </c>
      <c r="BD32" s="22">
        <f>INDEX(順位表['#],MATCH(BF32,順位表[Accessibility],0))</f>
        <v>45</v>
      </c>
      <c r="BE32" s="209" t="str">
        <f>IF(JPEN!$C$2="EN",INDEX(都市マスタ[City Name],MATCH(BD32,都市マスタ['#],0)),INDEX(都市マスタ[都市名],MATCH(BD32,都市マスタ['#],0)))</f>
        <v>ダブリン</v>
      </c>
      <c r="BF32" s="117">
        <v>27</v>
      </c>
      <c r="BG32" s="23">
        <f>INDEX(スコア表[Accessibility],MATCH(BD32,スコア表['#],0))</f>
        <v>124.97767436390001</v>
      </c>
      <c r="BH32" s="121">
        <f>INDEX(前年結果表[順Accessibility],MATCH(BD32,前年結果表['#],0))</f>
        <v>30</v>
      </c>
      <c r="BI32" s="29">
        <f>INDEX(前年結果表[スAccessibility],MATCH(BD32,前年結果表['#],0))</f>
        <v>134.11354294341666</v>
      </c>
      <c r="BJ32" s="107">
        <f t="shared" si="12"/>
        <v>3</v>
      </c>
      <c r="BK32" s="110">
        <f t="shared" si="13"/>
        <v>-9.1358685795166537</v>
      </c>
      <c r="BM32" s="40">
        <v>27</v>
      </c>
      <c r="BN32" s="99" t="s">
        <v>156</v>
      </c>
      <c r="BO32" s="97">
        <v>173.02286605256666</v>
      </c>
      <c r="BP32" s="97">
        <v>35.742881063866669</v>
      </c>
      <c r="BQ32" s="97">
        <v>43.607071788249996</v>
      </c>
      <c r="BR32" s="97">
        <v>326.59807474350004</v>
      </c>
      <c r="BS32" s="97">
        <v>158.97507353316669</v>
      </c>
      <c r="BT32" s="97">
        <v>133.97430563624999</v>
      </c>
      <c r="BU32" s="97">
        <v>871.92027281760011</v>
      </c>
      <c r="BV32" s="96">
        <v>39</v>
      </c>
      <c r="BW32" s="96">
        <v>34</v>
      </c>
      <c r="BX32" s="96">
        <v>46</v>
      </c>
      <c r="BY32" s="96">
        <v>28</v>
      </c>
      <c r="BZ32" s="96">
        <v>25</v>
      </c>
      <c r="CA32" s="96">
        <v>31</v>
      </c>
      <c r="CB32" s="100">
        <v>42</v>
      </c>
    </row>
    <row r="33" spans="1:80" ht="20.85" customHeight="1">
      <c r="A33" s="34"/>
      <c r="B33" s="22">
        <f>INDEX(順位表['#],MATCH(D33,順位表[Comprehensive],0))</f>
        <v>45</v>
      </c>
      <c r="C33" s="43" t="str">
        <f>IF(JPEN!$C$2="EN",INDEX(都市マスタ[City Name],MATCH(B33,都市マスタ['#],0)),INDEX(都市マスタ[都市名],MATCH(B33,都市マスタ['#],0)))</f>
        <v>ダブリン</v>
      </c>
      <c r="D33" s="117">
        <v>28</v>
      </c>
      <c r="E33" s="23">
        <f>INDEX(スコア表[Comprehensive],MATCH(B33,スコア表['#],0))</f>
        <v>1031.5632379666667</v>
      </c>
      <c r="F33" s="121">
        <f>INDEX(前年結果表[順Comprehensive],MATCH(B33,前年結果表['#],0))</f>
        <v>30</v>
      </c>
      <c r="G33" s="29">
        <f>INDEX(前年結果表[スComprehensive],MATCH(B33,前年結果表['#],0))</f>
        <v>1012.7125359326001</v>
      </c>
      <c r="H33" s="107">
        <f t="shared" si="0"/>
        <v>2</v>
      </c>
      <c r="I33" s="110">
        <f t="shared" si="1"/>
        <v>18.850702034066671</v>
      </c>
      <c r="K33" s="22">
        <f>INDEX(順位表['#],MATCH(M33,順位表[Economy],0))</f>
        <v>8</v>
      </c>
      <c r="L33" s="183" t="str">
        <f>IF(JPEN!$C$2="EN",INDEX(都市マスタ[City Name],MATCH(K33,都市マスタ['#],0)),INDEX(都市マスタ[都市名],MATCH(K33,都市マスタ['#],0)))</f>
        <v>フランクフルト</v>
      </c>
      <c r="M33" s="117">
        <v>28</v>
      </c>
      <c r="N33" s="23">
        <f>INDEX(スコア表[Economy],MATCH(K33,スコア表['#],0))</f>
        <v>218.70707196824998</v>
      </c>
      <c r="O33" s="121">
        <f>INDEX(前年結果表[順Economy],MATCH(K33,前年結果表['#],0))</f>
        <v>29</v>
      </c>
      <c r="P33" s="29">
        <f>INDEX(前年結果表[スEconomy],MATCH(K33,前年結果表['#],0))</f>
        <v>220.93630012606667</v>
      </c>
      <c r="Q33" s="107">
        <f t="shared" si="2"/>
        <v>1</v>
      </c>
      <c r="R33" s="110">
        <f t="shared" si="3"/>
        <v>-2.2292281578166921</v>
      </c>
      <c r="T33" s="22">
        <f>INDEX(順位表['#],MATCH(V33,順位表[R&amp;D],0))</f>
        <v>12</v>
      </c>
      <c r="U33" s="187" t="str">
        <f>IF(JPEN!$C$2="EN",INDEX(都市マスタ[City Name],MATCH(T33,都市マスタ['#],0)),INDEX(都市マスタ[都市名],MATCH(T33,都市マスタ['#],0)))</f>
        <v>コペンハーゲン</v>
      </c>
      <c r="V33" s="117">
        <v>28</v>
      </c>
      <c r="W33" s="23">
        <f>INDEX(スコア表[R&amp;D],MATCH(T33,スコア表['#],0))</f>
        <v>42.95872735255</v>
      </c>
      <c r="X33" s="121">
        <f>INDEX(前年結果表[順R&amp;D],MATCH(T33,前年結果表['#],0))</f>
        <v>28</v>
      </c>
      <c r="Y33" s="29">
        <f>INDEX(前年結果表[スR&amp;D],MATCH(T33,前年結果表['#],0))</f>
        <v>38.255938875216664</v>
      </c>
      <c r="Z33" s="107">
        <f t="shared" si="4"/>
        <v>0</v>
      </c>
      <c r="AA33" s="110">
        <f t="shared" si="5"/>
        <v>4.7027884773333355</v>
      </c>
      <c r="AC33" s="22">
        <f>INDEX(順位表['#],MATCH(AE33,順位表[Cultural Interaction],0))</f>
        <v>35</v>
      </c>
      <c r="AD33" s="193" t="str">
        <f>IF(JPEN!$C$2="EN",INDEX(都市マスタ[City Name],MATCH(AC33,都市マスタ['#],0)),INDEX(都市マスタ[都市名],MATCH(AC33,都市マスタ['#],0)))</f>
        <v>シカゴ</v>
      </c>
      <c r="AE33" s="117">
        <v>28</v>
      </c>
      <c r="AF33" s="23">
        <f>INDEX(スコア表[Cultural Interaction],MATCH(AC33,スコア表['#],0))</f>
        <v>107.0395607313</v>
      </c>
      <c r="AG33" s="121">
        <f>INDEX(前年結果表[順Cultural Interaction],MATCH(AC33,前年結果表['#],0))</f>
        <v>26</v>
      </c>
      <c r="AH33" s="29">
        <f>INDEX(前年結果表[スCultural Interaction],MATCH(AC33,前年結果表['#],0))</f>
        <v>106.92839210288334</v>
      </c>
      <c r="AI33" s="107">
        <f t="shared" si="6"/>
        <v>-2</v>
      </c>
      <c r="AJ33" s="110">
        <f t="shared" si="7"/>
        <v>0.11116862841666375</v>
      </c>
      <c r="AL33" s="22">
        <f>INDEX(順位表['#],MATCH(AN33,順位表[Livability],0))</f>
        <v>31</v>
      </c>
      <c r="AM33" s="199" t="str">
        <f>IF(JPEN!$C$2="EN",INDEX(都市マスタ[City Name],MATCH(AL33,都市マスタ['#],0)),INDEX(都市マスタ[都市名],MATCH(AL33,都市マスタ['#],0)))</f>
        <v>バンクーバー</v>
      </c>
      <c r="AN33" s="117">
        <v>28</v>
      </c>
      <c r="AO33" s="23">
        <f>INDEX(スコア表[Livability],MATCH(AL33,スコア表['#],0))</f>
        <v>331.82663624334168</v>
      </c>
      <c r="AP33" s="121">
        <f>INDEX(前年結果表[順Livability],MATCH(AL33,前年結果表['#],0))</f>
        <v>31</v>
      </c>
      <c r="AQ33" s="29">
        <f>INDEX(前年結果表[スLivability],MATCH(AL33,前年結果表['#],0))</f>
        <v>322.75719335300835</v>
      </c>
      <c r="AR33" s="107">
        <f t="shared" si="8"/>
        <v>3</v>
      </c>
      <c r="AS33" s="110">
        <f t="shared" si="9"/>
        <v>9.0694428903333346</v>
      </c>
      <c r="AU33" s="22">
        <f>INDEX(順位表['#],MATCH(AW33,順位表[Environment],0))</f>
        <v>38</v>
      </c>
      <c r="AV33" s="204" t="str">
        <f>IF(JPEN!$C$2="EN",INDEX(都市マスタ[City Name],MATCH(AU33,都市マスタ['#],0)),INDEX(都市マスタ[都市名],MATCH(AU33,都市マスタ['#],0)))</f>
        <v>ニューヨーク</v>
      </c>
      <c r="AW33" s="117">
        <v>28</v>
      </c>
      <c r="AX33" s="23">
        <f>INDEX(スコア表[Environment],MATCH(AU33,スコア表['#],0))</f>
        <v>150.76468786286665</v>
      </c>
      <c r="AY33" s="121">
        <f>INDEX(前年結果表[順Environment],MATCH(AU33,前年結果表['#],0))</f>
        <v>27</v>
      </c>
      <c r="AZ33" s="29">
        <f>INDEX(前年結果表[スEnvironment],MATCH(AU33,前年結果表['#],0))</f>
        <v>157.07413013126668</v>
      </c>
      <c r="BA33" s="107">
        <f t="shared" si="10"/>
        <v>-1</v>
      </c>
      <c r="BB33" s="110">
        <f t="shared" si="11"/>
        <v>-6.3094422684000335</v>
      </c>
      <c r="BD33" s="22">
        <f>INDEX(順位表['#],MATCH(BF33,順位表[Accessibility],0))</f>
        <v>7</v>
      </c>
      <c r="BE33" s="209" t="str">
        <f>IF(JPEN!$C$2="EN",INDEX(都市マスタ[City Name],MATCH(BD33,都市マスタ['#],0)),INDEX(都市マスタ[都市名],MATCH(BD33,都市マスタ['#],0)))</f>
        <v>ジュネーブ</v>
      </c>
      <c r="BF33" s="117">
        <v>28</v>
      </c>
      <c r="BG33" s="23">
        <f>INDEX(スコア表[Accessibility],MATCH(BD33,スコア表['#],0))</f>
        <v>122.00617048738334</v>
      </c>
      <c r="BH33" s="121">
        <f>INDEX(前年結果表[順Accessibility],MATCH(BD33,前年結果表['#],0))</f>
        <v>36</v>
      </c>
      <c r="BI33" s="29">
        <f>INDEX(前年結果表[スAccessibility],MATCH(BD33,前年結果表['#],0))</f>
        <v>130.97445737485</v>
      </c>
      <c r="BJ33" s="107">
        <f t="shared" si="12"/>
        <v>8</v>
      </c>
      <c r="BK33" s="110">
        <f t="shared" si="13"/>
        <v>-8.968286887466661</v>
      </c>
      <c r="BM33" s="40">
        <v>28</v>
      </c>
      <c r="BN33" s="99" t="s">
        <v>158</v>
      </c>
      <c r="BO33" s="97">
        <v>194.32838410813332</v>
      </c>
      <c r="BP33" s="97">
        <v>69.811800453533337</v>
      </c>
      <c r="BQ33" s="97">
        <v>94.988199932941654</v>
      </c>
      <c r="BR33" s="97">
        <v>343.49084199917496</v>
      </c>
      <c r="BS33" s="97">
        <v>129.71833176863333</v>
      </c>
      <c r="BT33" s="97">
        <v>114.98306212910001</v>
      </c>
      <c r="BU33" s="97">
        <v>947.32062039151674</v>
      </c>
      <c r="BV33" s="96">
        <v>35</v>
      </c>
      <c r="BW33" s="96">
        <v>18</v>
      </c>
      <c r="BX33" s="96">
        <v>29</v>
      </c>
      <c r="BY33" s="96">
        <v>19</v>
      </c>
      <c r="BZ33" s="96">
        <v>39</v>
      </c>
      <c r="CA33" s="96">
        <v>39</v>
      </c>
      <c r="CB33" s="100">
        <v>37</v>
      </c>
    </row>
    <row r="34" spans="1:80" ht="20.85" customHeight="1">
      <c r="A34" s="34"/>
      <c r="B34" s="22">
        <f>INDEX(順位表['#],MATCH(D34,順位表[Comprehensive],0))</f>
        <v>39</v>
      </c>
      <c r="C34" s="43" t="str">
        <f>IF(JPEN!$C$2="EN",INDEX(都市マスタ[City Name],MATCH(B34,都市マスタ['#],0)),INDEX(都市マスタ[都市名],MATCH(B34,都市マスタ['#],0)))</f>
        <v>ボストン</v>
      </c>
      <c r="D34" s="117">
        <v>29</v>
      </c>
      <c r="E34" s="23">
        <f>INDEX(スコア表[Comprehensive],MATCH(B34,スコア表['#],0))</f>
        <v>1026.3332686456417</v>
      </c>
      <c r="F34" s="121">
        <f>INDEX(前年結果表[順Comprehensive],MATCH(B34,前年結果表['#],0))</f>
        <v>27</v>
      </c>
      <c r="G34" s="29">
        <f>INDEX(前年結果表[スComprehensive],MATCH(B34,前年結果表['#],0))</f>
        <v>1033.4092588165333</v>
      </c>
      <c r="H34" s="107">
        <f t="shared" si="0"/>
        <v>-2</v>
      </c>
      <c r="I34" s="110">
        <f t="shared" si="1"/>
        <v>-7.0759901708916004</v>
      </c>
      <c r="K34" s="22">
        <f>INDEX(順位表['#],MATCH(M34,順位表[Economy],0))</f>
        <v>9</v>
      </c>
      <c r="L34" s="183" t="str">
        <f>IF(JPEN!$C$2="EN",INDEX(都市マスタ[City Name],MATCH(K34,都市マスタ['#],0)),INDEX(都市マスタ[都市名],MATCH(K34,都市マスタ['#],0)))</f>
        <v>ベルリン</v>
      </c>
      <c r="M34" s="117">
        <v>29</v>
      </c>
      <c r="N34" s="23">
        <f>INDEX(スコア表[Economy],MATCH(K34,スコア表['#],0))</f>
        <v>211.15544511301667</v>
      </c>
      <c r="O34" s="121">
        <f>INDEX(前年結果表[順Economy],MATCH(K34,前年結果表['#],0))</f>
        <v>26</v>
      </c>
      <c r="P34" s="29">
        <f>INDEX(前年結果表[スEconomy],MATCH(K34,前年結果表['#],0))</f>
        <v>222.78996715421667</v>
      </c>
      <c r="Q34" s="107">
        <f t="shared" si="2"/>
        <v>-3</v>
      </c>
      <c r="R34" s="110">
        <f t="shared" si="3"/>
        <v>-11.6345220412</v>
      </c>
      <c r="T34" s="22">
        <f>INDEX(順位表['#],MATCH(V34,順位表[R&amp;D],0))</f>
        <v>13</v>
      </c>
      <c r="U34" s="187" t="str">
        <f>IF(JPEN!$C$2="EN",INDEX(都市マスタ[City Name],MATCH(T34,都市マスタ['#],0)),INDEX(都市マスタ[都市名],MATCH(T34,都市マスタ['#],0)))</f>
        <v>ウィーン</v>
      </c>
      <c r="V34" s="117">
        <v>29</v>
      </c>
      <c r="W34" s="23">
        <f>INDEX(スコア表[R&amp;D],MATCH(T34,スコア表['#],0))</f>
        <v>40.886056146500003</v>
      </c>
      <c r="X34" s="121">
        <f>INDEX(前年結果表[順R&amp;D],MATCH(T34,前年結果表['#],0))</f>
        <v>31</v>
      </c>
      <c r="Y34" s="29">
        <f>INDEX(前年結果表[スR&amp;D],MATCH(T34,前年結果表['#],0))</f>
        <v>36.8785516939</v>
      </c>
      <c r="Z34" s="107">
        <f t="shared" si="4"/>
        <v>2</v>
      </c>
      <c r="AA34" s="110">
        <f t="shared" si="5"/>
        <v>4.0075044526000028</v>
      </c>
      <c r="AC34" s="22">
        <f>INDEX(順位表['#],MATCH(AE34,順位表[Cultural Interaction],0))</f>
        <v>36</v>
      </c>
      <c r="AD34" s="193" t="str">
        <f>IF(JPEN!$C$2="EN",INDEX(都市マスタ[City Name],MATCH(AC34,都市マスタ['#],0)),INDEX(都市マスタ[都市名],MATCH(AC34,都市マスタ['#],0)))</f>
        <v>トロント</v>
      </c>
      <c r="AE34" s="117">
        <v>29</v>
      </c>
      <c r="AF34" s="23">
        <f>INDEX(スコア表[Cultural Interaction],MATCH(AC34,スコア表['#],0))</f>
        <v>101.933662100975</v>
      </c>
      <c r="AG34" s="121">
        <f>INDEX(前年結果表[順Cultural Interaction],MATCH(AC34,前年結果表['#],0))</f>
        <v>30</v>
      </c>
      <c r="AH34" s="29">
        <f>INDEX(前年結果表[スCultural Interaction],MATCH(AC34,前年結果表['#],0))</f>
        <v>94.686169812258328</v>
      </c>
      <c r="AI34" s="107">
        <f t="shared" si="6"/>
        <v>1</v>
      </c>
      <c r="AJ34" s="110">
        <f t="shared" si="7"/>
        <v>7.2474922887166713</v>
      </c>
      <c r="AL34" s="22">
        <f>INDEX(順位表['#],MATCH(AN34,順位表[Livability],0))</f>
        <v>45</v>
      </c>
      <c r="AM34" s="199" t="str">
        <f>IF(JPEN!$C$2="EN",INDEX(都市マスタ[City Name],MATCH(AL34,都市マスタ['#],0)),INDEX(都市マスタ[都市名],MATCH(AL34,都市マスタ['#],0)))</f>
        <v>ダブリン</v>
      </c>
      <c r="AN34" s="117">
        <v>29</v>
      </c>
      <c r="AO34" s="23">
        <f>INDEX(スコア表[Livability],MATCH(AL34,スコア表['#],0))</f>
        <v>330.66872145493335</v>
      </c>
      <c r="AP34" s="121">
        <f>INDEX(前年結果表[順Livability],MATCH(AL34,前年結果表['#],0))</f>
        <v>22</v>
      </c>
      <c r="AQ34" s="29">
        <f>INDEX(前年結果表[スLivability],MATCH(AL34,前年結果表['#],0))</f>
        <v>337.92010654339998</v>
      </c>
      <c r="AR34" s="107">
        <f t="shared" si="8"/>
        <v>-7</v>
      </c>
      <c r="AS34" s="110">
        <f t="shared" si="9"/>
        <v>-7.251385088466634</v>
      </c>
      <c r="AU34" s="22">
        <f>INDEX(順位表['#],MATCH(AW34,順位表[Environment],0))</f>
        <v>2</v>
      </c>
      <c r="AV34" s="204" t="str">
        <f>IF(JPEN!$C$2="EN",INDEX(都市マスタ[City Name],MATCH(AU34,都市マスタ['#],0)),INDEX(都市マスタ[都市名],MATCH(AU34,都市マスタ['#],0)))</f>
        <v>バルセロナ</v>
      </c>
      <c r="AW34" s="117">
        <v>29</v>
      </c>
      <c r="AX34" s="23">
        <f>INDEX(スコア表[Environment],MATCH(AU34,スコア表['#],0))</f>
        <v>149.1157190239</v>
      </c>
      <c r="AY34" s="121">
        <f>INDEX(前年結果表[順Environment],MATCH(AU34,前年結果表['#],0))</f>
        <v>26</v>
      </c>
      <c r="AZ34" s="29">
        <f>INDEX(前年結果表[スEnvironment],MATCH(AU34,前年結果表['#],0))</f>
        <v>157.94962969266666</v>
      </c>
      <c r="BA34" s="107">
        <f t="shared" si="10"/>
        <v>-3</v>
      </c>
      <c r="BB34" s="110">
        <f t="shared" si="11"/>
        <v>-8.8339106687666629</v>
      </c>
      <c r="BD34" s="22">
        <f>INDEX(順位表['#],MATCH(BF34,順位表[Accessibility],0))</f>
        <v>30</v>
      </c>
      <c r="BE34" s="209" t="str">
        <f>IF(JPEN!$C$2="EN",INDEX(都市マスタ[City Name],MATCH(BD34,都市マスタ['#],0)),INDEX(都市マスタ[都市名],MATCH(BD34,都市マスタ['#],0)))</f>
        <v>シドニー</v>
      </c>
      <c r="BF34" s="117">
        <v>29</v>
      </c>
      <c r="BG34" s="23">
        <f>INDEX(スコア表[Accessibility],MATCH(BD34,スコア表['#],0))</f>
        <v>120.58527060935</v>
      </c>
      <c r="BH34" s="121">
        <f>INDEX(前年結果表[順Accessibility],MATCH(BD34,前年結果表['#],0))</f>
        <v>35</v>
      </c>
      <c r="BI34" s="29">
        <f>INDEX(前年結果表[スAccessibility],MATCH(BD34,前年結果表['#],0))</f>
        <v>132.28477103831665</v>
      </c>
      <c r="BJ34" s="107">
        <f t="shared" si="12"/>
        <v>6</v>
      </c>
      <c r="BK34" s="110">
        <f t="shared" si="13"/>
        <v>-11.699500428966644</v>
      </c>
      <c r="BM34" s="40">
        <v>29</v>
      </c>
      <c r="BN34" s="99" t="s">
        <v>160</v>
      </c>
      <c r="BO34" s="97">
        <v>291.99790996193332</v>
      </c>
      <c r="BP34" s="97">
        <v>145.36218182676666</v>
      </c>
      <c r="BQ34" s="97">
        <v>210.64522185788331</v>
      </c>
      <c r="BR34" s="97">
        <v>353.10227911678334</v>
      </c>
      <c r="BS34" s="97">
        <v>180.9605544808</v>
      </c>
      <c r="BT34" s="97">
        <v>185.13998366853335</v>
      </c>
      <c r="BU34" s="97">
        <v>1367.2081309127002</v>
      </c>
      <c r="BV34" s="96">
        <v>5</v>
      </c>
      <c r="BW34" s="96">
        <v>4</v>
      </c>
      <c r="BX34" s="96">
        <v>5</v>
      </c>
      <c r="BY34" s="96">
        <v>11</v>
      </c>
      <c r="BZ34" s="96">
        <v>13</v>
      </c>
      <c r="CA34" s="96">
        <v>10</v>
      </c>
      <c r="CB34" s="100">
        <v>3</v>
      </c>
    </row>
    <row r="35" spans="1:80" ht="20.85" customHeight="1">
      <c r="A35" s="34"/>
      <c r="B35" s="22">
        <f>INDEX(順位表['#],MATCH(D35,順位表[Comprehensive],0))</f>
        <v>15</v>
      </c>
      <c r="C35" s="43" t="str">
        <f>IF(JPEN!$C$2="EN",INDEX(都市マスタ[City Name],MATCH(B35,都市マスタ['#],0)),INDEX(都市マスタ[都市名],MATCH(B35,都市マスタ['#],0)))</f>
        <v>イスタンブール</v>
      </c>
      <c r="D35" s="117">
        <v>30</v>
      </c>
      <c r="E35" s="23">
        <f>INDEX(スコア表[Comprehensive],MATCH(B35,スコア表['#],0))</f>
        <v>1017.1653245361416</v>
      </c>
      <c r="F35" s="121">
        <f>INDEX(前年結果表[順Comprehensive],MATCH(B35,前年結果表['#],0))</f>
        <v>32</v>
      </c>
      <c r="G35" s="29">
        <f>INDEX(前年結果表[スComprehensive],MATCH(B35,前年結果表['#],0))</f>
        <v>997.29662320337502</v>
      </c>
      <c r="H35" s="107">
        <f t="shared" si="0"/>
        <v>2</v>
      </c>
      <c r="I35" s="110">
        <f t="shared" si="1"/>
        <v>19.868701332766591</v>
      </c>
      <c r="K35" s="22">
        <f>INDEX(順位表['#],MATCH(M35,順位表[Economy],0))</f>
        <v>1</v>
      </c>
      <c r="L35" s="183" t="str">
        <f>IF(JPEN!$C$2="EN",INDEX(都市マスタ[City Name],MATCH(K35,都市マスタ['#],0)),INDEX(都市マスタ[都市名],MATCH(K35,都市マスタ['#],0)))</f>
        <v>マドリード</v>
      </c>
      <c r="M35" s="117">
        <v>30</v>
      </c>
      <c r="N35" s="23">
        <f>INDEX(スコア表[Economy],MATCH(K35,スコア表['#],0))</f>
        <v>202.24436269698333</v>
      </c>
      <c r="O35" s="121">
        <f>INDEX(前年結果表[順Economy],MATCH(K35,前年結果表['#],0))</f>
        <v>34</v>
      </c>
      <c r="P35" s="29">
        <f>INDEX(前年結果表[スEconomy],MATCH(K35,前年結果表['#],0))</f>
        <v>194.74636992800001</v>
      </c>
      <c r="Q35" s="107">
        <f t="shared" si="2"/>
        <v>4</v>
      </c>
      <c r="R35" s="110">
        <f t="shared" si="3"/>
        <v>7.4979927689833232</v>
      </c>
      <c r="T35" s="22">
        <f>INDEX(順位表['#],MATCH(V35,順位表[R&amp;D],0))</f>
        <v>15</v>
      </c>
      <c r="U35" s="187" t="str">
        <f>IF(JPEN!$C$2="EN",INDEX(都市マスタ[City Name],MATCH(T35,都市マスタ['#],0)),INDEX(都市マスタ[都市名],MATCH(T35,都市マスタ['#],0)))</f>
        <v>イスタンブール</v>
      </c>
      <c r="V35" s="117">
        <v>30</v>
      </c>
      <c r="W35" s="23">
        <f>INDEX(スコア表[R&amp;D],MATCH(T35,スコア表['#],0))</f>
        <v>37.722778462400001</v>
      </c>
      <c r="X35" s="121">
        <f>INDEX(前年結果表[順R&amp;D],MATCH(T35,前年結果表['#],0))</f>
        <v>29</v>
      </c>
      <c r="Y35" s="29">
        <f>INDEX(前年結果表[スR&amp;D],MATCH(T35,前年結果表['#],0))</f>
        <v>37.315024926116664</v>
      </c>
      <c r="Z35" s="107">
        <f t="shared" si="4"/>
        <v>-1</v>
      </c>
      <c r="AA35" s="110">
        <f t="shared" si="5"/>
        <v>0.40775353628333733</v>
      </c>
      <c r="AC35" s="22">
        <f>INDEX(順位表['#],MATCH(AE35,順位表[Cultural Interaction],0))</f>
        <v>20</v>
      </c>
      <c r="AD35" s="193" t="str">
        <f>IF(JPEN!$C$2="EN",INDEX(都市マスタ[City Name],MATCH(AC35,都市マスタ['#],0)),INDEX(都市マスタ[都市名],MATCH(AC35,都市マスタ['#],0)))</f>
        <v>クアラルンプール</v>
      </c>
      <c r="AE35" s="117">
        <v>30</v>
      </c>
      <c r="AF35" s="23">
        <f>INDEX(スコア表[Cultural Interaction],MATCH(AC35,スコア表['#],0))</f>
        <v>98.871465849708329</v>
      </c>
      <c r="AG35" s="121">
        <f>INDEX(前年結果表[順Cultural Interaction],MATCH(AC35,前年結果表['#],0))</f>
        <v>36</v>
      </c>
      <c r="AH35" s="29">
        <f>INDEX(前年結果表[スCultural Interaction],MATCH(AC35,前年結果表['#],0))</f>
        <v>79.047629448008323</v>
      </c>
      <c r="AI35" s="107">
        <f t="shared" si="6"/>
        <v>6</v>
      </c>
      <c r="AJ35" s="110">
        <f t="shared" si="7"/>
        <v>19.823836401700007</v>
      </c>
      <c r="AL35" s="22">
        <f>INDEX(順位表['#],MATCH(AN35,順位表[Livability],0))</f>
        <v>24</v>
      </c>
      <c r="AM35" s="199" t="str">
        <f>IF(JPEN!$C$2="EN",INDEX(都市マスタ[City Name],MATCH(AL35,都市マスタ['#],0)),INDEX(都市マスタ[都市名],MATCH(AL35,都市マスタ['#],0)))</f>
        <v>上海</v>
      </c>
      <c r="AN35" s="117">
        <v>30</v>
      </c>
      <c r="AO35" s="23">
        <f>INDEX(スコア表[Livability],MATCH(AL35,スコア表['#],0))</f>
        <v>328.93331938342499</v>
      </c>
      <c r="AP35" s="121">
        <f>INDEX(前年結果表[順Livability],MATCH(AL35,前年結果表['#],0))</f>
        <v>45</v>
      </c>
      <c r="AQ35" s="29">
        <f>INDEX(前年結果表[スLivability],MATCH(AL35,前年結果表['#],0))</f>
        <v>282.90480916651666</v>
      </c>
      <c r="AR35" s="107">
        <f t="shared" si="8"/>
        <v>15</v>
      </c>
      <c r="AS35" s="110">
        <f t="shared" si="9"/>
        <v>46.02851021690833</v>
      </c>
      <c r="AU35" s="22">
        <f>INDEX(順位表['#],MATCH(AW35,順位表[Environment],0))</f>
        <v>15</v>
      </c>
      <c r="AV35" s="204" t="str">
        <f>IF(JPEN!$C$2="EN",INDEX(都市マスタ[City Name],MATCH(AU35,都市マスタ['#],0)),INDEX(都市マスタ[都市名],MATCH(AU35,都市マスタ['#],0)))</f>
        <v>イスタンブール</v>
      </c>
      <c r="AW35" s="117">
        <v>30</v>
      </c>
      <c r="AX35" s="23">
        <f>INDEX(スコア表[Environment],MATCH(AU35,スコア表['#],0))</f>
        <v>146.93879805366666</v>
      </c>
      <c r="AY35" s="121">
        <f>INDEX(前年結果表[順Environment],MATCH(AU35,前年結果表['#],0))</f>
        <v>30</v>
      </c>
      <c r="AZ35" s="29">
        <f>INDEX(前年結果表[スEnvironment],MATCH(AU35,前年結果表['#],0))</f>
        <v>146.7644053962</v>
      </c>
      <c r="BA35" s="107">
        <f t="shared" si="10"/>
        <v>0</v>
      </c>
      <c r="BB35" s="110">
        <f t="shared" si="11"/>
        <v>0.17439265746665455</v>
      </c>
      <c r="BD35" s="22">
        <f>INDEX(順位表['#],MATCH(BF35,順位表[Accessibility],0))</f>
        <v>32</v>
      </c>
      <c r="BE35" s="209" t="str">
        <f>IF(JPEN!$C$2="EN",INDEX(都市マスタ[City Name],MATCH(BD35,都市マスタ['#],0)),INDEX(都市マスタ[都市名],MATCH(BD35,都市マスタ['#],0)))</f>
        <v>サンフランシスコ</v>
      </c>
      <c r="BF35" s="117">
        <v>30</v>
      </c>
      <c r="BG35" s="23">
        <f>INDEX(スコア表[Accessibility],MATCH(BD35,スコア表['#],0))</f>
        <v>120.29584821248332</v>
      </c>
      <c r="BH35" s="121">
        <f>INDEX(前年結果表[順Accessibility],MATCH(BD35,前年結果表['#],0))</f>
        <v>32</v>
      </c>
      <c r="BI35" s="29">
        <f>INDEX(前年結果表[スAccessibility],MATCH(BD35,前年結果表['#],0))</f>
        <v>133.76773904485</v>
      </c>
      <c r="BJ35" s="107">
        <f t="shared" si="12"/>
        <v>2</v>
      </c>
      <c r="BK35" s="110">
        <f t="shared" si="13"/>
        <v>-13.471890832366682</v>
      </c>
      <c r="BM35" s="40">
        <v>30</v>
      </c>
      <c r="BN35" s="99" t="s">
        <v>162</v>
      </c>
      <c r="BO35" s="97">
        <v>245.13316088479999</v>
      </c>
      <c r="BP35" s="97">
        <v>85.049614171550004</v>
      </c>
      <c r="BQ35" s="97">
        <v>104.74723350850833</v>
      </c>
      <c r="BR35" s="97">
        <v>341.05241393161663</v>
      </c>
      <c r="BS35" s="97">
        <v>206.87160120826667</v>
      </c>
      <c r="BT35" s="97">
        <v>132.28477103831665</v>
      </c>
      <c r="BU35" s="97">
        <v>1115.1387947430583</v>
      </c>
      <c r="BV35" s="96">
        <v>16</v>
      </c>
      <c r="BW35" s="96">
        <v>15</v>
      </c>
      <c r="BX35" s="96">
        <v>27</v>
      </c>
      <c r="BY35" s="96">
        <v>20</v>
      </c>
      <c r="BZ35" s="96">
        <v>4</v>
      </c>
      <c r="CA35" s="96">
        <v>35</v>
      </c>
      <c r="CB35" s="100">
        <v>13</v>
      </c>
    </row>
    <row r="36" spans="1:80" ht="20.85" customHeight="1">
      <c r="A36" s="34"/>
      <c r="B36" s="22">
        <f>INDEX(順位表['#],MATCH(D36,順位表[Comprehensive],0))</f>
        <v>46</v>
      </c>
      <c r="C36" s="43" t="str">
        <f>IF(JPEN!$C$2="EN",INDEX(都市マスタ[City Name],MATCH(B36,都市マスタ['#],0)),INDEX(都市マスタ[都市名],MATCH(B36,都市マスタ['#],0)))</f>
        <v>ヘルシンキ</v>
      </c>
      <c r="D36" s="117">
        <v>31</v>
      </c>
      <c r="E36" s="23">
        <f>INDEX(スコア表[Comprehensive],MATCH(B36,スコア表['#],0))</f>
        <v>1007.9302963158916</v>
      </c>
      <c r="F36" s="121">
        <f>INDEX(前年結果表[順Comprehensive],MATCH(B36,前年結果表['#],0))</f>
        <v>28</v>
      </c>
      <c r="G36" s="29">
        <f>INDEX(前年結果表[スComprehensive],MATCH(B36,前年結果表['#],0))</f>
        <v>1025.6088240803001</v>
      </c>
      <c r="H36" s="107">
        <f t="shared" si="0"/>
        <v>-3</v>
      </c>
      <c r="I36" s="110">
        <f t="shared" si="1"/>
        <v>-17.6785277644085</v>
      </c>
      <c r="K36" s="22">
        <f>INDEX(順位表['#],MATCH(M36,順位表[Economy],0))</f>
        <v>5</v>
      </c>
      <c r="L36" s="183" t="str">
        <f>IF(JPEN!$C$2="EN",INDEX(都市マスタ[City Name],MATCH(K36,都市マスタ['#],0)),INDEX(都市マスタ[都市名],MATCH(K36,都市マスタ['#],0)))</f>
        <v>ブリュッセル</v>
      </c>
      <c r="M36" s="117">
        <v>31</v>
      </c>
      <c r="N36" s="23">
        <f>INDEX(スコア表[Economy],MATCH(K36,スコア表['#],0))</f>
        <v>202.19444606638331</v>
      </c>
      <c r="O36" s="121">
        <f>INDEX(前年結果表[順Economy],MATCH(K36,前年結果表['#],0))</f>
        <v>33</v>
      </c>
      <c r="P36" s="29">
        <f>INDEX(前年結果表[スEconomy],MATCH(K36,前年結果表['#],0))</f>
        <v>195.13790369468333</v>
      </c>
      <c r="Q36" s="107">
        <f t="shared" si="2"/>
        <v>2</v>
      </c>
      <c r="R36" s="110">
        <f t="shared" si="3"/>
        <v>7.056542371699976</v>
      </c>
      <c r="T36" s="22">
        <f>INDEX(順位表['#],MATCH(V36,順位表[R&amp;D],0))</f>
        <v>46</v>
      </c>
      <c r="U36" s="187" t="str">
        <f>IF(JPEN!$C$2="EN",INDEX(都市マスタ[City Name],MATCH(T36,都市マスタ['#],0)),INDEX(都市マスタ[都市名],MATCH(T36,都市マスタ['#],0)))</f>
        <v>ヘルシンキ</v>
      </c>
      <c r="V36" s="117">
        <v>31</v>
      </c>
      <c r="W36" s="23">
        <f>INDEX(スコア表[R&amp;D],MATCH(T36,スコア表['#],0))</f>
        <v>36.222474991583333</v>
      </c>
      <c r="X36" s="121">
        <f>INDEX(前年結果表[順R&amp;D],MATCH(T36,前年結果表['#],0))</f>
        <v>33</v>
      </c>
      <c r="Y36" s="29">
        <f>INDEX(前年結果表[スR&amp;D],MATCH(T36,前年結果表['#],0))</f>
        <v>35.991581687699998</v>
      </c>
      <c r="Z36" s="107">
        <f t="shared" si="4"/>
        <v>2</v>
      </c>
      <c r="AA36" s="110">
        <f t="shared" si="5"/>
        <v>0.23089330388333451</v>
      </c>
      <c r="AC36" s="22">
        <f>INDEX(順位表['#],MATCH(AE36,順位表[Cultural Interaction],0))</f>
        <v>16</v>
      </c>
      <c r="AD36" s="193" t="str">
        <f>IF(JPEN!$C$2="EN",INDEX(都市マスタ[City Name],MATCH(AC36,都市マスタ['#],0)),INDEX(都市マスタ[都市名],MATCH(AC36,都市マスタ['#],0)))</f>
        <v>カイロ</v>
      </c>
      <c r="AE36" s="117">
        <v>31</v>
      </c>
      <c r="AF36" s="23">
        <f>INDEX(スコア表[Cultural Interaction],MATCH(AC36,スコア表['#],0))</f>
        <v>98.53528549313333</v>
      </c>
      <c r="AG36" s="121">
        <f>INDEX(前年結果表[順Cultural Interaction],MATCH(AC36,前年結果表['#],0))</f>
        <v>31</v>
      </c>
      <c r="AH36" s="29">
        <f>INDEX(前年結果表[スCultural Interaction],MATCH(AC36,前年結果表['#],0))</f>
        <v>87.857650086633328</v>
      </c>
      <c r="AI36" s="107">
        <f t="shared" si="6"/>
        <v>0</v>
      </c>
      <c r="AJ36" s="110">
        <f t="shared" si="7"/>
        <v>10.677635406500002</v>
      </c>
      <c r="AL36" s="22">
        <f>INDEX(順位表['#],MATCH(AN36,順位表[Livability],0))</f>
        <v>23</v>
      </c>
      <c r="AM36" s="199" t="str">
        <f>IF(JPEN!$C$2="EN",INDEX(都市マスタ[City Name],MATCH(AL36,都市マスタ['#],0)),INDEX(都市マスタ[都市名],MATCH(AL36,都市マスタ['#],0)))</f>
        <v>北京</v>
      </c>
      <c r="AN36" s="117">
        <v>31</v>
      </c>
      <c r="AO36" s="23">
        <f>INDEX(スコア表[Livability],MATCH(AL36,スコア表['#],0))</f>
        <v>328.40215423599165</v>
      </c>
      <c r="AP36" s="121">
        <f>INDEX(前年結果表[順Livability],MATCH(AL36,前年結果表['#],0))</f>
        <v>41</v>
      </c>
      <c r="AQ36" s="29">
        <f>INDEX(前年結果表[スLivability],MATCH(AL36,前年結果表['#],0))</f>
        <v>294.33867529260004</v>
      </c>
      <c r="AR36" s="107">
        <f t="shared" si="8"/>
        <v>10</v>
      </c>
      <c r="AS36" s="110">
        <f t="shared" si="9"/>
        <v>34.063478943391601</v>
      </c>
      <c r="AU36" s="22">
        <f>INDEX(順位表['#],MATCH(AW36,順位表[Environment],0))</f>
        <v>43</v>
      </c>
      <c r="AV36" s="204" t="str">
        <f>IF(JPEN!$C$2="EN",INDEX(都市マスタ[City Name],MATCH(AU36,都市マスタ['#],0)),INDEX(都市マスタ[都市名],MATCH(AU36,都市マスタ['#],0)))</f>
        <v>ブエノスアイレス</v>
      </c>
      <c r="AW36" s="117">
        <v>31</v>
      </c>
      <c r="AX36" s="23">
        <f>INDEX(スコア表[Environment],MATCH(AU36,スコア表['#],0))</f>
        <v>144.02149435916667</v>
      </c>
      <c r="AY36" s="121">
        <f>INDEX(前年結果表[順Environment],MATCH(AU36,前年結果表['#],0))</f>
        <v>31</v>
      </c>
      <c r="AZ36" s="29">
        <f>INDEX(前年結果表[スEnvironment],MATCH(AU36,前年結果表['#],0))</f>
        <v>145.74810237533333</v>
      </c>
      <c r="BA36" s="107">
        <f t="shared" si="10"/>
        <v>0</v>
      </c>
      <c r="BB36" s="110">
        <f t="shared" si="11"/>
        <v>-1.726608016166665</v>
      </c>
      <c r="BD36" s="22">
        <f>INDEX(順位表['#],MATCH(BF36,順位表[Accessibility],0))</f>
        <v>25</v>
      </c>
      <c r="BE36" s="209" t="str">
        <f>IF(JPEN!$C$2="EN",INDEX(都市マスタ[City Name],MATCH(BD36,都市マスタ['#],0)),INDEX(都市マスタ[都市名],MATCH(BD36,都市マスタ['#],0)))</f>
        <v>台北</v>
      </c>
      <c r="BF36" s="117">
        <v>31</v>
      </c>
      <c r="BG36" s="23">
        <f>INDEX(スコア表[Accessibility],MATCH(BD36,スコア表['#],0))</f>
        <v>119.81697818631665</v>
      </c>
      <c r="BH36" s="121">
        <f>INDEX(前年結果表[順Accessibility],MATCH(BD36,前年結果表['#],0))</f>
        <v>29</v>
      </c>
      <c r="BI36" s="29">
        <f>INDEX(前年結果表[スAccessibility],MATCH(BD36,前年結果表['#],0))</f>
        <v>135.99251813045001</v>
      </c>
      <c r="BJ36" s="107">
        <f t="shared" si="12"/>
        <v>-2</v>
      </c>
      <c r="BK36" s="110">
        <f t="shared" si="13"/>
        <v>-16.175539944133362</v>
      </c>
      <c r="BM36" s="40">
        <v>31</v>
      </c>
      <c r="BN36" s="99" t="s">
        <v>164</v>
      </c>
      <c r="BO36" s="97">
        <v>236.68164232703333</v>
      </c>
      <c r="BP36" s="97">
        <v>45.756514541616667</v>
      </c>
      <c r="BQ36" s="97">
        <v>59.42494348666667</v>
      </c>
      <c r="BR36" s="97">
        <v>322.75719335300835</v>
      </c>
      <c r="BS36" s="97">
        <v>198.7270736744</v>
      </c>
      <c r="BT36" s="97">
        <v>113.23102299898333</v>
      </c>
      <c r="BU36" s="97">
        <v>976.57839038170846</v>
      </c>
      <c r="BV36" s="96">
        <v>23</v>
      </c>
      <c r="BW36" s="96">
        <v>27</v>
      </c>
      <c r="BX36" s="96">
        <v>43</v>
      </c>
      <c r="BY36" s="96">
        <v>31</v>
      </c>
      <c r="BZ36" s="96">
        <v>8</v>
      </c>
      <c r="CA36" s="96">
        <v>41</v>
      </c>
      <c r="CB36" s="100">
        <v>34</v>
      </c>
    </row>
    <row r="37" spans="1:80" ht="20.85" customHeight="1">
      <c r="A37" s="34"/>
      <c r="B37" s="22">
        <f>INDEX(順位表['#],MATCH(D37,順位表[Comprehensive],0))</f>
        <v>31</v>
      </c>
      <c r="C37" s="43" t="str">
        <f>IF(JPEN!$C$2="EN",INDEX(都市マスタ[City Name],MATCH(B37,都市マスタ['#],0)),INDEX(都市マスタ[都市名],MATCH(B37,都市マスタ['#],0)))</f>
        <v>バンクーバー</v>
      </c>
      <c r="D37" s="117">
        <v>32</v>
      </c>
      <c r="E37" s="23">
        <f>INDEX(スコア表[Comprehensive],MATCH(B37,スコア表['#],0))</f>
        <v>992.62643405713322</v>
      </c>
      <c r="F37" s="121">
        <f>INDEX(前年結果表[順Comprehensive],MATCH(B37,前年結果表['#],0))</f>
        <v>34</v>
      </c>
      <c r="G37" s="29">
        <f>INDEX(前年結果表[スComprehensive],MATCH(B37,前年結果表['#],0))</f>
        <v>976.57839038170846</v>
      </c>
      <c r="H37" s="107">
        <f t="shared" si="0"/>
        <v>2</v>
      </c>
      <c r="I37" s="110">
        <f t="shared" si="1"/>
        <v>16.048043675424765</v>
      </c>
      <c r="K37" s="22">
        <f>INDEX(順位表['#],MATCH(M37,順位表[Economy],0))</f>
        <v>13</v>
      </c>
      <c r="L37" s="183" t="str">
        <f>IF(JPEN!$C$2="EN",INDEX(都市マスタ[City Name],MATCH(K37,都市マスタ['#],0)),INDEX(都市マスタ[都市名],MATCH(K37,都市マスタ['#],0)))</f>
        <v>ウィーン</v>
      </c>
      <c r="M37" s="117">
        <v>32</v>
      </c>
      <c r="N37" s="23">
        <f>INDEX(スコア表[Economy],MATCH(K37,スコア表['#],0))</f>
        <v>201.36065564746667</v>
      </c>
      <c r="O37" s="121">
        <f>INDEX(前年結果表[順Economy],MATCH(K37,前年結果表['#],0))</f>
        <v>31</v>
      </c>
      <c r="P37" s="29">
        <f>INDEX(前年結果表[スEconomy],MATCH(K37,前年結果表['#],0))</f>
        <v>196.82362747914999</v>
      </c>
      <c r="Q37" s="107">
        <f t="shared" si="2"/>
        <v>-1</v>
      </c>
      <c r="R37" s="110">
        <f t="shared" si="3"/>
        <v>4.5370281683166809</v>
      </c>
      <c r="T37" s="22">
        <f>INDEX(順位表['#],MATCH(V37,順位表[R&amp;D],0))</f>
        <v>27</v>
      </c>
      <c r="U37" s="187" t="str">
        <f>IF(JPEN!$C$2="EN",INDEX(都市マスタ[City Name],MATCH(T37,都市マスタ['#],0)),INDEX(都市マスタ[都市名],MATCH(T37,都市マスタ['#],0)))</f>
        <v>福岡</v>
      </c>
      <c r="V37" s="117">
        <v>32</v>
      </c>
      <c r="W37" s="23">
        <f>INDEX(スコア表[R&amp;D],MATCH(T37,スコア表['#],0))</f>
        <v>36.15231950575</v>
      </c>
      <c r="X37" s="121">
        <f>INDEX(前年結果表[順R&amp;D],MATCH(T37,前年結果表['#],0))</f>
        <v>34</v>
      </c>
      <c r="Y37" s="29">
        <f>INDEX(前年結果表[スR&amp;D],MATCH(T37,前年結果表['#],0))</f>
        <v>35.742881063866669</v>
      </c>
      <c r="Z37" s="107">
        <f t="shared" si="4"/>
        <v>2</v>
      </c>
      <c r="AA37" s="110">
        <f t="shared" si="5"/>
        <v>0.40943844188333145</v>
      </c>
      <c r="AC37" s="22">
        <f>INDEX(順位表['#],MATCH(AE37,順位表[Cultural Interaction],0))</f>
        <v>14</v>
      </c>
      <c r="AD37" s="193" t="str">
        <f>IF(JPEN!$C$2="EN",INDEX(都市マスタ[City Name],MATCH(AC37,都市マスタ['#],0)),INDEX(都市マスタ[都市名],MATCH(AC37,都市マスタ['#],0)))</f>
        <v>ストックホルム</v>
      </c>
      <c r="AE37" s="117">
        <v>32</v>
      </c>
      <c r="AF37" s="23">
        <f>INDEX(スコア表[Cultural Interaction],MATCH(AC37,スコア表['#],0))</f>
        <v>97.688684539891668</v>
      </c>
      <c r="AG37" s="121">
        <f>INDEX(前年結果表[順Cultural Interaction],MATCH(AC37,前年結果表['#],0))</f>
        <v>33</v>
      </c>
      <c r="AH37" s="29">
        <f>INDEX(前年結果表[スCultural Interaction],MATCH(AC37,前年結果表['#],0))</f>
        <v>84.294575719725003</v>
      </c>
      <c r="AI37" s="107">
        <f t="shared" si="6"/>
        <v>1</v>
      </c>
      <c r="AJ37" s="110">
        <f t="shared" si="7"/>
        <v>13.394108820166664</v>
      </c>
      <c r="AL37" s="22">
        <f>INDEX(順位表['#],MATCH(AN37,順位表[Livability],0))</f>
        <v>11</v>
      </c>
      <c r="AM37" s="199" t="str">
        <f>IF(JPEN!$C$2="EN",INDEX(都市マスタ[City Name],MATCH(AL37,都市マスタ['#],0)),INDEX(都市マスタ[都市名],MATCH(AL37,都市マスタ['#],0)))</f>
        <v>チューリッヒ</v>
      </c>
      <c r="AN37" s="117">
        <v>32</v>
      </c>
      <c r="AO37" s="23">
        <f>INDEX(スコア表[Livability],MATCH(AL37,スコア表['#],0))</f>
        <v>325.89432186751674</v>
      </c>
      <c r="AP37" s="121">
        <f>INDEX(前年結果表[順Livability],MATCH(AL37,前年結果表['#],0))</f>
        <v>23</v>
      </c>
      <c r="AQ37" s="29">
        <f>INDEX(前年結果表[スLivability],MATCH(AL37,前年結果表['#],0))</f>
        <v>332.69169439735833</v>
      </c>
      <c r="AR37" s="107">
        <f t="shared" si="8"/>
        <v>-9</v>
      </c>
      <c r="AS37" s="110">
        <f t="shared" si="9"/>
        <v>-6.7973725298415957</v>
      </c>
      <c r="AU37" s="22">
        <f>INDEX(順位表['#],MATCH(AW37,順位表[Environment],0))</f>
        <v>17</v>
      </c>
      <c r="AV37" s="204" t="str">
        <f>IF(JPEN!$C$2="EN",INDEX(都市マスタ[City Name],MATCH(AU37,都市マスタ['#],0)),INDEX(都市マスタ[都市名],MATCH(AU37,都市マスタ['#],0)))</f>
        <v>モスクワ</v>
      </c>
      <c r="AW37" s="117">
        <v>32</v>
      </c>
      <c r="AX37" s="23">
        <f>INDEX(スコア表[Environment],MATCH(AU37,スコア表['#],0))</f>
        <v>142.85680834266668</v>
      </c>
      <c r="AY37" s="121">
        <f>INDEX(前年結果表[順Environment],MATCH(AU37,前年結果表['#],0))</f>
        <v>42</v>
      </c>
      <c r="AZ37" s="29">
        <f>INDEX(前年結果表[スEnvironment],MATCH(AU37,前年結果表['#],0))</f>
        <v>127.8291774729</v>
      </c>
      <c r="BA37" s="107">
        <f t="shared" si="10"/>
        <v>10</v>
      </c>
      <c r="BB37" s="110">
        <f t="shared" si="11"/>
        <v>15.027630869766682</v>
      </c>
      <c r="BD37" s="22">
        <f>INDEX(順位表['#],MATCH(BF37,順位表[Accessibility],0))</f>
        <v>27</v>
      </c>
      <c r="BE37" s="209" t="str">
        <f>IF(JPEN!$C$2="EN",INDEX(都市マスタ[City Name],MATCH(BD37,都市マスタ['#],0)),INDEX(都市マスタ[都市名],MATCH(BD37,都市マスタ['#],0)))</f>
        <v>福岡</v>
      </c>
      <c r="BF37" s="117">
        <v>32</v>
      </c>
      <c r="BG37" s="23">
        <f>INDEX(スコア表[Accessibility],MATCH(BD37,スコア表['#],0))</f>
        <v>117.16783978646666</v>
      </c>
      <c r="BH37" s="121">
        <f>INDEX(前年結果表[順Accessibility],MATCH(BD37,前年結果表['#],0))</f>
        <v>31</v>
      </c>
      <c r="BI37" s="29">
        <f>INDEX(前年結果表[スAccessibility],MATCH(BD37,前年結果表['#],0))</f>
        <v>133.97430563624999</v>
      </c>
      <c r="BJ37" s="107">
        <f t="shared" si="12"/>
        <v>-1</v>
      </c>
      <c r="BK37" s="110">
        <f t="shared" si="13"/>
        <v>-16.806465849783336</v>
      </c>
      <c r="BM37" s="40">
        <v>32</v>
      </c>
      <c r="BN37" s="99" t="s">
        <v>166</v>
      </c>
      <c r="BO37" s="97">
        <v>281.29161578233334</v>
      </c>
      <c r="BP37" s="97">
        <v>118.18546681449999</v>
      </c>
      <c r="BQ37" s="97">
        <v>95.499331992391674</v>
      </c>
      <c r="BR37" s="97">
        <v>300.63412738615</v>
      </c>
      <c r="BS37" s="97">
        <v>136.82290888926667</v>
      </c>
      <c r="BT37" s="97">
        <v>133.76773904485</v>
      </c>
      <c r="BU37" s="97">
        <v>1066.2011899094916</v>
      </c>
      <c r="BV37" s="96">
        <v>7</v>
      </c>
      <c r="BW37" s="96">
        <v>7</v>
      </c>
      <c r="BX37" s="96">
        <v>28</v>
      </c>
      <c r="BY37" s="96">
        <v>40</v>
      </c>
      <c r="BZ37" s="96">
        <v>35</v>
      </c>
      <c r="CA37" s="96">
        <v>32</v>
      </c>
      <c r="CB37" s="100">
        <v>24</v>
      </c>
    </row>
    <row r="38" spans="1:80" ht="20.85" customHeight="1">
      <c r="A38" s="34"/>
      <c r="B38" s="22">
        <f>INDEX(順位表['#],MATCH(D38,順位表[Comprehensive],0))</f>
        <v>10</v>
      </c>
      <c r="C38" s="43" t="str">
        <f>IF(JPEN!$C$2="EN",INDEX(都市マスタ[City Name],MATCH(B38,都市マスタ['#],0)),INDEX(都市マスタ[都市名],MATCH(B38,都市マスタ['#],0)))</f>
        <v>ミラノ</v>
      </c>
      <c r="D38" s="117">
        <v>33</v>
      </c>
      <c r="E38" s="23">
        <f>INDEX(スコア表[Comprehensive],MATCH(B38,スコア表['#],0))</f>
        <v>990.65583793154997</v>
      </c>
      <c r="F38" s="121">
        <f>INDEX(前年結果表[順Comprehensive],MATCH(B38,前年結果表['#],0))</f>
        <v>29</v>
      </c>
      <c r="G38" s="29">
        <f>INDEX(前年結果表[スComprehensive],MATCH(B38,前年結果表['#],0))</f>
        <v>1017.0641342225333</v>
      </c>
      <c r="H38" s="107">
        <f t="shared" si="0"/>
        <v>-4</v>
      </c>
      <c r="I38" s="110">
        <f t="shared" si="1"/>
        <v>-26.408296290983344</v>
      </c>
      <c r="K38" s="22">
        <f>INDEX(順位表['#],MATCH(M38,順位表[Economy],0))</f>
        <v>47</v>
      </c>
      <c r="L38" s="183" t="str">
        <f>IF(JPEN!$C$2="EN",INDEX(都市マスタ[City Name],MATCH(K38,都市マスタ['#],0)),INDEX(都市マスタ[都市名],MATCH(K38,都市マスタ['#],0)))</f>
        <v>テルアビブ</v>
      </c>
      <c r="M38" s="117">
        <v>33</v>
      </c>
      <c r="N38" s="23">
        <f>INDEX(スコア表[Economy],MATCH(K38,スコア表['#],0))</f>
        <v>201.14434310958333</v>
      </c>
      <c r="O38" s="121">
        <f>INDEX(前年結果表[順Economy],MATCH(K38,前年結果表['#],0))</f>
        <v>30</v>
      </c>
      <c r="P38" s="29">
        <f>INDEX(前年結果表[スEconomy],MATCH(K38,前年結果表['#],0))</f>
        <v>207.86321582733333</v>
      </c>
      <c r="Q38" s="107">
        <f t="shared" si="2"/>
        <v>-3</v>
      </c>
      <c r="R38" s="110">
        <f t="shared" si="3"/>
        <v>-6.7188727177500027</v>
      </c>
      <c r="T38" s="22">
        <f>INDEX(順位表['#],MATCH(V38,順位表[R&amp;D],0))</f>
        <v>2</v>
      </c>
      <c r="U38" s="187" t="str">
        <f>IF(JPEN!$C$2="EN",INDEX(都市マスタ[City Name],MATCH(T38,都市マスタ['#],0)),INDEX(都市マスタ[都市名],MATCH(T38,都市マスタ['#],0)))</f>
        <v>バルセロナ</v>
      </c>
      <c r="V38" s="117">
        <v>33</v>
      </c>
      <c r="W38" s="23">
        <f>INDEX(スコア表[R&amp;D],MATCH(T38,スコア表['#],0))</f>
        <v>32.955386379316664</v>
      </c>
      <c r="X38" s="121">
        <f>INDEX(前年結果表[順R&amp;D],MATCH(T38,前年結果表['#],0))</f>
        <v>32</v>
      </c>
      <c r="Y38" s="29">
        <f>INDEX(前年結果表[スR&amp;D],MATCH(T38,前年結果表['#],0))</f>
        <v>36.158916798083339</v>
      </c>
      <c r="Z38" s="107">
        <f t="shared" si="4"/>
        <v>-1</v>
      </c>
      <c r="AA38" s="110">
        <f t="shared" si="5"/>
        <v>-3.2035304187666753</v>
      </c>
      <c r="AC38" s="22">
        <f>INDEX(順位表['#],MATCH(AE38,順位表[Cultural Interaction],0))</f>
        <v>12</v>
      </c>
      <c r="AD38" s="193" t="str">
        <f>IF(JPEN!$C$2="EN",INDEX(都市マスタ[City Name],MATCH(AC38,都市マスタ['#],0)),INDEX(都市マスタ[都市名],MATCH(AC38,都市マスタ['#],0)))</f>
        <v>コペンハーゲン</v>
      </c>
      <c r="AE38" s="117">
        <v>33</v>
      </c>
      <c r="AF38" s="23">
        <f>INDEX(スコア表[Cultural Interaction],MATCH(AC38,スコア表['#],0))</f>
        <v>96.024288290724996</v>
      </c>
      <c r="AG38" s="121">
        <f>INDEX(前年結果表[順Cultural Interaction],MATCH(AC38,前年結果表['#],0))</f>
        <v>34</v>
      </c>
      <c r="AH38" s="29">
        <f>INDEX(前年結果表[スCultural Interaction],MATCH(AC38,前年結果表['#],0))</f>
        <v>79.664258373033334</v>
      </c>
      <c r="AI38" s="107">
        <f t="shared" si="6"/>
        <v>1</v>
      </c>
      <c r="AJ38" s="110">
        <f t="shared" si="7"/>
        <v>16.360029917691662</v>
      </c>
      <c r="AL38" s="22">
        <f>INDEX(順位表['#],MATCH(AN38,順位表[Livability],0))</f>
        <v>7</v>
      </c>
      <c r="AM38" s="199" t="str">
        <f>IF(JPEN!$C$2="EN",INDEX(都市マスタ[City Name],MATCH(AL38,都市マスタ['#],0)),INDEX(都市マスタ[都市名],MATCH(AL38,都市マスタ['#],0)))</f>
        <v>ジュネーブ</v>
      </c>
      <c r="AN38" s="117">
        <v>33</v>
      </c>
      <c r="AO38" s="23">
        <f>INDEX(スコア表[Livability],MATCH(AL38,スコア表['#],0))</f>
        <v>325.05298387905003</v>
      </c>
      <c r="AP38" s="121">
        <f>INDEX(前年結果表[順Livability],MATCH(AL38,前年結果表['#],0))</f>
        <v>33</v>
      </c>
      <c r="AQ38" s="29">
        <f>INDEX(前年結果表[スLivability],MATCH(AL38,前年結果表['#],0))</f>
        <v>320.00271988269998</v>
      </c>
      <c r="AR38" s="107">
        <f t="shared" si="8"/>
        <v>0</v>
      </c>
      <c r="AS38" s="110">
        <f t="shared" si="9"/>
        <v>5.0502639963500542</v>
      </c>
      <c r="AU38" s="22">
        <f>INDEX(順位表['#],MATCH(AW38,順位表[Environment],0))</f>
        <v>24</v>
      </c>
      <c r="AV38" s="204" t="str">
        <f>IF(JPEN!$C$2="EN",INDEX(都市マスタ[City Name],MATCH(AU38,都市マスタ['#],0)),INDEX(都市マスタ[都市名],MATCH(AU38,都市マスタ['#],0)))</f>
        <v>上海</v>
      </c>
      <c r="AW38" s="117">
        <v>33</v>
      </c>
      <c r="AX38" s="23">
        <f>INDEX(スコア表[Environment],MATCH(AU38,スコア表['#],0))</f>
        <v>142.54885907453331</v>
      </c>
      <c r="AY38" s="121">
        <f>INDEX(前年結果表[順Environment],MATCH(AU38,前年結果表['#],0))</f>
        <v>34</v>
      </c>
      <c r="AZ38" s="29">
        <f>INDEX(前年結果表[スEnvironment],MATCH(AU38,前年結果表['#],0))</f>
        <v>139.34467168539999</v>
      </c>
      <c r="BA38" s="107">
        <f t="shared" si="10"/>
        <v>1</v>
      </c>
      <c r="BB38" s="110">
        <f t="shared" si="11"/>
        <v>3.2041873891333239</v>
      </c>
      <c r="BD38" s="22">
        <f>INDEX(順位表['#],MATCH(BF38,順位表[Accessibility],0))</f>
        <v>17</v>
      </c>
      <c r="BE38" s="209" t="str">
        <f>IF(JPEN!$C$2="EN",INDEX(都市マスタ[City Name],MATCH(BD38,都市マスタ['#],0)),INDEX(都市マスタ[都市名],MATCH(BD38,都市マスタ['#],0)))</f>
        <v>モスクワ</v>
      </c>
      <c r="BF38" s="117">
        <v>33</v>
      </c>
      <c r="BG38" s="23">
        <f>INDEX(スコア表[Accessibility],MATCH(BD38,スコア表['#],0))</f>
        <v>115.3891266875</v>
      </c>
      <c r="BH38" s="121">
        <f>INDEX(前年結果表[順Accessibility],MATCH(BD38,前年結果表['#],0))</f>
        <v>17</v>
      </c>
      <c r="BI38" s="29">
        <f>INDEX(前年結果表[スAccessibility],MATCH(BD38,前年結果表['#],0))</f>
        <v>166.83945212918334</v>
      </c>
      <c r="BJ38" s="107">
        <f t="shared" si="12"/>
        <v>-16</v>
      </c>
      <c r="BK38" s="110">
        <f t="shared" si="13"/>
        <v>-51.450325441683347</v>
      </c>
      <c r="BM38" s="40">
        <v>33</v>
      </c>
      <c r="BN38" s="99" t="s">
        <v>168</v>
      </c>
      <c r="BO38" s="97">
        <v>239.2510416388667</v>
      </c>
      <c r="BP38" s="97">
        <v>155.80975108923332</v>
      </c>
      <c r="BQ38" s="97">
        <v>113.26106371670001</v>
      </c>
      <c r="BR38" s="97">
        <v>302.86276509216668</v>
      </c>
      <c r="BS38" s="97">
        <v>144.23247529503334</v>
      </c>
      <c r="BT38" s="97">
        <v>146.12250293731668</v>
      </c>
      <c r="BU38" s="97">
        <v>1101.5395997693167</v>
      </c>
      <c r="BV38" s="96">
        <v>19</v>
      </c>
      <c r="BW38" s="96">
        <v>3</v>
      </c>
      <c r="BX38" s="96">
        <v>22</v>
      </c>
      <c r="BY38" s="96">
        <v>39</v>
      </c>
      <c r="BZ38" s="96">
        <v>32</v>
      </c>
      <c r="CA38" s="96">
        <v>26</v>
      </c>
      <c r="CB38" s="100">
        <v>16</v>
      </c>
    </row>
    <row r="39" spans="1:80" ht="20.85" customHeight="1">
      <c r="A39" s="34"/>
      <c r="B39" s="22">
        <f>INDEX(順位表['#],MATCH(D39,順位表[Comprehensive],0))</f>
        <v>17</v>
      </c>
      <c r="C39" s="43" t="str">
        <f>IF(JPEN!$C$2="EN",INDEX(都市マスタ[City Name],MATCH(B39,都市マスタ['#],0)),INDEX(都市マスタ[都市名],MATCH(B39,都市マスタ['#],0)))</f>
        <v>モスクワ</v>
      </c>
      <c r="D39" s="117">
        <v>34</v>
      </c>
      <c r="E39" s="23">
        <f>INDEX(スコア表[Comprehensive],MATCH(B39,スコア表['#],0))</f>
        <v>976.48934962178328</v>
      </c>
      <c r="F39" s="121">
        <f>INDEX(前年結果表[順Comprehensive],MATCH(B39,前年結果表['#],0))</f>
        <v>33</v>
      </c>
      <c r="G39" s="29">
        <f>INDEX(前年結果表[スComprehensive],MATCH(B39,前年結果表['#],0))</f>
        <v>991.94908179807487</v>
      </c>
      <c r="H39" s="107">
        <f t="shared" si="0"/>
        <v>-1</v>
      </c>
      <c r="I39" s="110">
        <f t="shared" si="1"/>
        <v>-15.459732176291595</v>
      </c>
      <c r="K39" s="22">
        <f>INDEX(順位表['#],MATCH(M39,順位表[Economy],0))</f>
        <v>2</v>
      </c>
      <c r="L39" s="183" t="str">
        <f>IF(JPEN!$C$2="EN",INDEX(都市マスタ[City Name],MATCH(K39,都市マスタ['#],0)),INDEX(都市マスタ[都市名],MATCH(K39,都市マスタ['#],0)))</f>
        <v>バルセロナ</v>
      </c>
      <c r="M39" s="117">
        <v>34</v>
      </c>
      <c r="N39" s="23">
        <f>INDEX(スコア表[Economy],MATCH(K39,スコア表['#],0))</f>
        <v>192.53505439593334</v>
      </c>
      <c r="O39" s="121">
        <f>INDEX(前年結果表[順Economy],MATCH(K39,前年結果表['#],0))</f>
        <v>36</v>
      </c>
      <c r="P39" s="29">
        <f>INDEX(前年結果表[スEconomy],MATCH(K39,前年結果表['#],0))</f>
        <v>190.80252583719999</v>
      </c>
      <c r="Q39" s="107">
        <f t="shared" si="2"/>
        <v>2</v>
      </c>
      <c r="R39" s="110">
        <f t="shared" si="3"/>
        <v>1.7325285587333497</v>
      </c>
      <c r="T39" s="22">
        <f>INDEX(順位表['#],MATCH(V39,順位表[R&amp;D],0))</f>
        <v>45</v>
      </c>
      <c r="U39" s="187" t="str">
        <f>IF(JPEN!$C$2="EN",INDEX(都市マスタ[City Name],MATCH(T39,都市マスタ['#],0)),INDEX(都市マスタ[都市名],MATCH(T39,都市マスタ['#],0)))</f>
        <v>ダブリン</v>
      </c>
      <c r="V39" s="117">
        <v>34</v>
      </c>
      <c r="W39" s="23">
        <f>INDEX(スコア表[R&amp;D],MATCH(T39,スコア表['#],0))</f>
        <v>32.708980225316658</v>
      </c>
      <c r="X39" s="121">
        <f>INDEX(前年結果表[順R&amp;D],MATCH(T39,前年結果表['#],0))</f>
        <v>35</v>
      </c>
      <c r="Y39" s="29">
        <f>INDEX(前年結果表[スR&amp;D],MATCH(T39,前年結果表['#],0))</f>
        <v>33.495137712750001</v>
      </c>
      <c r="Z39" s="107">
        <f t="shared" si="4"/>
        <v>1</v>
      </c>
      <c r="AA39" s="110">
        <f t="shared" si="5"/>
        <v>-0.78615748743334279</v>
      </c>
      <c r="AC39" s="22">
        <f>INDEX(順位表['#],MATCH(AE39,順位表[Cultural Interaction],0))</f>
        <v>47</v>
      </c>
      <c r="AD39" s="193" t="str">
        <f>IF(JPEN!$C$2="EN",INDEX(都市マスタ[City Name],MATCH(AC39,都市マスタ['#],0)),INDEX(都市マスタ[都市名],MATCH(AC39,都市マスタ['#],0)))</f>
        <v>テルアビブ</v>
      </c>
      <c r="AE39" s="117">
        <v>34</v>
      </c>
      <c r="AF39" s="23">
        <f>INDEX(スコア表[Cultural Interaction],MATCH(AC39,スコア表['#],0))</f>
        <v>95.008459927091664</v>
      </c>
      <c r="AG39" s="121">
        <f>INDEX(前年結果表[順Cultural Interaction],MATCH(AC39,前年結果表['#],0))</f>
        <v>32</v>
      </c>
      <c r="AH39" s="29">
        <f>INDEX(前年結果表[スCultural Interaction],MATCH(AC39,前年結果表['#],0))</f>
        <v>86.701661524966667</v>
      </c>
      <c r="AI39" s="107">
        <f t="shared" si="6"/>
        <v>-2</v>
      </c>
      <c r="AJ39" s="110">
        <f t="shared" si="7"/>
        <v>8.306798402124997</v>
      </c>
      <c r="AL39" s="22">
        <f>INDEX(順位表['#],MATCH(AN39,順位表[Livability],0))</f>
        <v>43</v>
      </c>
      <c r="AM39" s="199" t="str">
        <f>IF(JPEN!$C$2="EN",INDEX(都市マスタ[City Name],MATCH(AL39,都市マスタ['#],0)),INDEX(都市マスタ[都市名],MATCH(AL39,都市マスタ['#],0)))</f>
        <v>ブエノスアイレス</v>
      </c>
      <c r="AN39" s="117">
        <v>34</v>
      </c>
      <c r="AO39" s="23">
        <f>INDEX(スコア表[Livability],MATCH(AL39,スコア表['#],0))</f>
        <v>322.99950585885</v>
      </c>
      <c r="AP39" s="121">
        <f>INDEX(前年結果表[順Livability],MATCH(AL39,前年結果表['#],0))</f>
        <v>16</v>
      </c>
      <c r="AQ39" s="29">
        <f>INDEX(前年結果表[スLivability],MATCH(AL39,前年結果表['#],0))</f>
        <v>348.40815735069168</v>
      </c>
      <c r="AR39" s="107">
        <f t="shared" si="8"/>
        <v>-18</v>
      </c>
      <c r="AS39" s="110">
        <f t="shared" si="9"/>
        <v>-25.408651491841681</v>
      </c>
      <c r="AU39" s="22">
        <f>INDEX(順位表['#],MATCH(AW39,順位表[Environment],0))</f>
        <v>35</v>
      </c>
      <c r="AV39" s="204" t="str">
        <f>IF(JPEN!$C$2="EN",INDEX(都市マスタ[City Name],MATCH(AU39,都市マスタ['#],0)),INDEX(都市マスタ[都市名],MATCH(AU39,都市マスタ['#],0)))</f>
        <v>シカゴ</v>
      </c>
      <c r="AW39" s="117">
        <v>34</v>
      </c>
      <c r="AX39" s="23">
        <f>INDEX(スコア表[Environment],MATCH(AU39,スコア表['#],0))</f>
        <v>142.318380773</v>
      </c>
      <c r="AY39" s="121">
        <f>INDEX(前年結果表[順Environment],MATCH(AU39,前年結果表['#],0))</f>
        <v>37</v>
      </c>
      <c r="AZ39" s="29">
        <f>INDEX(前年結果表[スEnvironment],MATCH(AU39,前年結果表['#],0))</f>
        <v>133.68506690100003</v>
      </c>
      <c r="BA39" s="107">
        <f t="shared" si="10"/>
        <v>3</v>
      </c>
      <c r="BB39" s="110">
        <f t="shared" si="11"/>
        <v>8.6333138719999738</v>
      </c>
      <c r="BD39" s="22">
        <f>INDEX(順位表['#],MATCH(BF39,順位表[Accessibility],0))</f>
        <v>39</v>
      </c>
      <c r="BE39" s="209" t="str">
        <f>IF(JPEN!$C$2="EN",INDEX(都市マスタ[City Name],MATCH(BD39,都市マスタ['#],0)),INDEX(都市マスタ[都市名],MATCH(BD39,都市マスタ['#],0)))</f>
        <v>ボストン</v>
      </c>
      <c r="BF39" s="117">
        <v>34</v>
      </c>
      <c r="BG39" s="23">
        <f>INDEX(スコア表[Accessibility],MATCH(BD39,スコア表['#],0))</f>
        <v>114.94115346680002</v>
      </c>
      <c r="BH39" s="121">
        <f>INDEX(前年結果表[順Accessibility],MATCH(BD39,前年結果表['#],0))</f>
        <v>28</v>
      </c>
      <c r="BI39" s="29">
        <f>INDEX(前年結果表[スAccessibility],MATCH(BD39,前年結果表['#],0))</f>
        <v>145.42788207423337</v>
      </c>
      <c r="BJ39" s="107">
        <f t="shared" si="12"/>
        <v>-6</v>
      </c>
      <c r="BK39" s="110">
        <f t="shared" si="13"/>
        <v>-30.486728607433349</v>
      </c>
      <c r="BM39" s="40">
        <v>34</v>
      </c>
      <c r="BN39" s="99" t="s">
        <v>170</v>
      </c>
      <c r="BO39" s="97">
        <v>102.47366912128334</v>
      </c>
      <c r="BP39" s="97">
        <v>16.579084141183333</v>
      </c>
      <c r="BQ39" s="97">
        <v>157.7242091862</v>
      </c>
      <c r="BR39" s="97">
        <v>288.98628908056662</v>
      </c>
      <c r="BS39" s="97">
        <v>126.43564296896668</v>
      </c>
      <c r="BT39" s="97">
        <v>124.91445528081667</v>
      </c>
      <c r="BU39" s="97">
        <v>817.11334977901663</v>
      </c>
      <c r="BV39" s="96">
        <v>46</v>
      </c>
      <c r="BW39" s="96">
        <v>43</v>
      </c>
      <c r="BX39" s="96">
        <v>12</v>
      </c>
      <c r="BY39" s="96">
        <v>43</v>
      </c>
      <c r="BZ39" s="96">
        <v>43</v>
      </c>
      <c r="CA39" s="96">
        <v>37</v>
      </c>
      <c r="CB39" s="100">
        <v>44</v>
      </c>
    </row>
    <row r="40" spans="1:80" ht="20.85" customHeight="1">
      <c r="A40" s="34"/>
      <c r="B40" s="22">
        <f>INDEX(順位表['#],MATCH(D40,順位表[Comprehensive],0))</f>
        <v>25</v>
      </c>
      <c r="C40" s="43" t="str">
        <f>IF(JPEN!$C$2="EN",INDEX(都市マスタ[City Name],MATCH(B40,都市マスタ['#],0)),INDEX(都市マスタ[都市名],MATCH(B40,都市マスタ['#],0)))</f>
        <v>台北</v>
      </c>
      <c r="D40" s="117">
        <v>35</v>
      </c>
      <c r="E40" s="23">
        <f>INDEX(スコア表[Comprehensive],MATCH(B40,スコア表['#],0))</f>
        <v>958.49155278419164</v>
      </c>
      <c r="F40" s="121">
        <f>INDEX(前年結果表[順Comprehensive],MATCH(B40,前年結果表['#],0))</f>
        <v>36</v>
      </c>
      <c r="G40" s="29">
        <f>INDEX(前年結果表[スComprehensive],MATCH(B40,前年結果表['#],0))</f>
        <v>963.11684945809156</v>
      </c>
      <c r="H40" s="107">
        <f t="shared" si="0"/>
        <v>1</v>
      </c>
      <c r="I40" s="110">
        <f t="shared" si="1"/>
        <v>-4.6252966738999248</v>
      </c>
      <c r="K40" s="22">
        <f>INDEX(順位表['#],MATCH(M40,順位表[Economy],0))</f>
        <v>19</v>
      </c>
      <c r="L40" s="183" t="str">
        <f>IF(JPEN!$C$2="EN",INDEX(都市マスタ[City Name],MATCH(K40,都市マスタ['#],0)),INDEX(都市マスタ[都市名],MATCH(K40,都市マスタ['#],0)))</f>
        <v>バンコク</v>
      </c>
      <c r="M40" s="117">
        <v>35</v>
      </c>
      <c r="N40" s="23">
        <f>INDEX(スコア表[Economy],MATCH(K40,スコア表['#],0))</f>
        <v>181.73380725140001</v>
      </c>
      <c r="O40" s="121">
        <f>INDEX(前年結果表[順Economy],MATCH(K40,前年結果表['#],0))</f>
        <v>37</v>
      </c>
      <c r="P40" s="29">
        <f>INDEX(前年結果表[スEconomy],MATCH(K40,前年結果表['#],0))</f>
        <v>182.10883595343333</v>
      </c>
      <c r="Q40" s="107">
        <f t="shared" si="2"/>
        <v>2</v>
      </c>
      <c r="R40" s="110">
        <f t="shared" si="3"/>
        <v>-0.37502870203331895</v>
      </c>
      <c r="T40" s="22">
        <f>INDEX(順位表['#],MATCH(V40,順位表[R&amp;D],0))</f>
        <v>10</v>
      </c>
      <c r="U40" s="187" t="str">
        <f>IF(JPEN!$C$2="EN",INDEX(都市マスタ[City Name],MATCH(T40,都市マスタ['#],0)),INDEX(都市マスタ[都市名],MATCH(T40,都市マスタ['#],0)))</f>
        <v>ミラノ</v>
      </c>
      <c r="V40" s="117">
        <v>35</v>
      </c>
      <c r="W40" s="23">
        <f>INDEX(スコア表[R&amp;D],MATCH(T40,スコア表['#],0))</f>
        <v>31.474418270549997</v>
      </c>
      <c r="X40" s="121">
        <f>INDEX(前年結果表[順R&amp;D],MATCH(T40,前年結果表['#],0))</f>
        <v>38</v>
      </c>
      <c r="Y40" s="29">
        <f>INDEX(前年結果表[スR&amp;D],MATCH(T40,前年結果表['#],0))</f>
        <v>27.799304373666665</v>
      </c>
      <c r="Z40" s="107">
        <f t="shared" si="4"/>
        <v>3</v>
      </c>
      <c r="AA40" s="110">
        <f t="shared" si="5"/>
        <v>3.6751138968833317</v>
      </c>
      <c r="AC40" s="22">
        <f>INDEX(順位表['#],MATCH(AE40,順位表[Cultural Interaction],0))</f>
        <v>41</v>
      </c>
      <c r="AD40" s="193" t="str">
        <f>IF(JPEN!$C$2="EN",INDEX(都市マスタ[City Name],MATCH(AC40,都市マスタ['#],0)),INDEX(都市マスタ[都市名],MATCH(AC40,都市マスタ['#],0)))</f>
        <v>ヨハネスブルグ</v>
      </c>
      <c r="AE40" s="117">
        <v>35</v>
      </c>
      <c r="AF40" s="23">
        <f>INDEX(スコア表[Cultural Interaction],MATCH(AC40,スコア表['#],0))</f>
        <v>86.291310336808337</v>
      </c>
      <c r="AG40" s="121">
        <f>INDEX(前年結果表[順Cultural Interaction],MATCH(AC40,前年結果表['#],0))</f>
        <v>35</v>
      </c>
      <c r="AH40" s="29">
        <f>INDEX(前年結果表[スCultural Interaction],MATCH(AC40,前年結果表['#],0))</f>
        <v>79.506422424283329</v>
      </c>
      <c r="AI40" s="107">
        <f t="shared" si="6"/>
        <v>0</v>
      </c>
      <c r="AJ40" s="110">
        <f t="shared" si="7"/>
        <v>6.7848879125250079</v>
      </c>
      <c r="AL40" s="22">
        <f>INDEX(順位表['#],MATCH(AN40,順位表[Livability],0))</f>
        <v>21</v>
      </c>
      <c r="AM40" s="199" t="str">
        <f>IF(JPEN!$C$2="EN",INDEX(都市マスタ[City Name],MATCH(AL40,都市マスタ['#],0)),INDEX(都市マスタ[都市名],MATCH(AL40,都市マスタ['#],0)))</f>
        <v>シンガポール</v>
      </c>
      <c r="AN40" s="117">
        <v>35</v>
      </c>
      <c r="AO40" s="23">
        <f>INDEX(スコア表[Livability],MATCH(AL40,スコア表['#],0))</f>
        <v>319.08116522104996</v>
      </c>
      <c r="AP40" s="121">
        <f>INDEX(前年結果表[順Livability],MATCH(AL40,前年結果表['#],0))</f>
        <v>25</v>
      </c>
      <c r="AQ40" s="29">
        <f>INDEX(前年結果表[スLivability],MATCH(AL40,前年結果表['#],0))</f>
        <v>330.65174435165829</v>
      </c>
      <c r="AR40" s="107">
        <f t="shared" si="8"/>
        <v>-10</v>
      </c>
      <c r="AS40" s="110">
        <f t="shared" si="9"/>
        <v>-11.570579130608337</v>
      </c>
      <c r="AU40" s="22">
        <f>INDEX(順位表['#],MATCH(AW40,順位表[Environment],0))</f>
        <v>47</v>
      </c>
      <c r="AV40" s="204" t="str">
        <f>IF(JPEN!$C$2="EN",INDEX(都市マスタ[City Name],MATCH(AU40,都市マスタ['#],0)),INDEX(都市マスタ[都市名],MATCH(AU40,都市マスタ['#],0)))</f>
        <v>テルアビブ</v>
      </c>
      <c r="AW40" s="117">
        <v>35</v>
      </c>
      <c r="AX40" s="23">
        <f>INDEX(スコア表[Environment],MATCH(AU40,スコア表['#],0))</f>
        <v>141.49436515193332</v>
      </c>
      <c r="AY40" s="121">
        <f>INDEX(前年結果表[順Environment],MATCH(AU40,前年結果表['#],0))</f>
        <v>36</v>
      </c>
      <c r="AZ40" s="29">
        <f>INDEX(前年結果表[スEnvironment],MATCH(AU40,前年結果表['#],0))</f>
        <v>135.7674191960333</v>
      </c>
      <c r="BA40" s="107">
        <f t="shared" si="10"/>
        <v>1</v>
      </c>
      <c r="BB40" s="110">
        <f t="shared" si="11"/>
        <v>5.7269459559000211</v>
      </c>
      <c r="BD40" s="22">
        <f>INDEX(順位表['#],MATCH(BF40,順位表[Accessibility],0))</f>
        <v>19</v>
      </c>
      <c r="BE40" s="209" t="str">
        <f>IF(JPEN!$C$2="EN",INDEX(都市マスタ[City Name],MATCH(BD40,都市マスタ['#],0)),INDEX(都市マスタ[都市名],MATCH(BD40,都市マスタ['#],0)))</f>
        <v>バンコク</v>
      </c>
      <c r="BF40" s="117">
        <v>35</v>
      </c>
      <c r="BG40" s="23">
        <f>INDEX(スコア表[Accessibility],MATCH(BD40,スコア表['#],0))</f>
        <v>113.15560744948334</v>
      </c>
      <c r="BH40" s="121">
        <f>INDEX(前年結果表[順Accessibility],MATCH(BD40,前年結果表['#],0))</f>
        <v>40</v>
      </c>
      <c r="BI40" s="29">
        <f>INDEX(前年結果表[スAccessibility],MATCH(BD40,前年結果表['#],0))</f>
        <v>113.7234494225</v>
      </c>
      <c r="BJ40" s="107">
        <f t="shared" si="12"/>
        <v>5</v>
      </c>
      <c r="BK40" s="110">
        <f t="shared" si="13"/>
        <v>-0.56784197301665529</v>
      </c>
      <c r="BM40" s="40">
        <v>35</v>
      </c>
      <c r="BN40" s="99" t="s">
        <v>172</v>
      </c>
      <c r="BO40" s="97">
        <v>228.28512298699999</v>
      </c>
      <c r="BP40" s="97">
        <v>109.45279193036667</v>
      </c>
      <c r="BQ40" s="97">
        <v>106.92839210288334</v>
      </c>
      <c r="BR40" s="97">
        <v>287.18046695046667</v>
      </c>
      <c r="BS40" s="97">
        <v>133.68506690100003</v>
      </c>
      <c r="BT40" s="97">
        <v>192.83614096920002</v>
      </c>
      <c r="BU40" s="97">
        <v>1058.3679818409166</v>
      </c>
      <c r="BV40" s="96">
        <v>24</v>
      </c>
      <c r="BW40" s="96">
        <v>8</v>
      </c>
      <c r="BX40" s="96">
        <v>26</v>
      </c>
      <c r="BY40" s="96">
        <v>44</v>
      </c>
      <c r="BZ40" s="96">
        <v>37</v>
      </c>
      <c r="CA40" s="96">
        <v>7</v>
      </c>
      <c r="CB40" s="100">
        <v>25</v>
      </c>
    </row>
    <row r="41" spans="1:80" ht="20.85" customHeight="1">
      <c r="A41" s="34"/>
      <c r="B41" s="22">
        <f>INDEX(順位表['#],MATCH(D41,順位表[Comprehensive],0))</f>
        <v>37</v>
      </c>
      <c r="C41" s="43" t="str">
        <f>IF(JPEN!$C$2="EN",INDEX(都市マスタ[City Name],MATCH(B41,都市マスタ['#],0)),INDEX(都市マスタ[都市名],MATCH(B41,都市マスタ['#],0)))</f>
        <v>ワシントンDC</v>
      </c>
      <c r="D41" s="117">
        <v>36</v>
      </c>
      <c r="E41" s="23">
        <f>INDEX(スコア表[Comprehensive],MATCH(B41,スコア表['#],0))</f>
        <v>955.50167452156677</v>
      </c>
      <c r="F41" s="121">
        <f>INDEX(前年結果表[順Comprehensive],MATCH(B41,前年結果表['#],0))</f>
        <v>35</v>
      </c>
      <c r="G41" s="29">
        <f>INDEX(前年結果表[スComprehensive],MATCH(B41,前年結果表['#],0))</f>
        <v>975.12393300888334</v>
      </c>
      <c r="H41" s="107">
        <f t="shared" si="0"/>
        <v>-1</v>
      </c>
      <c r="I41" s="110">
        <f t="shared" si="1"/>
        <v>-19.622258487316572</v>
      </c>
      <c r="K41" s="22">
        <f>INDEX(順位表['#],MATCH(M41,順位表[Economy],0))</f>
        <v>10</v>
      </c>
      <c r="L41" s="183" t="str">
        <f>IF(JPEN!$C$2="EN",INDEX(都市マスタ[City Name],MATCH(K41,都市マスタ['#],0)),INDEX(都市マスタ[都市名],MATCH(K41,都市マスタ['#],0)))</f>
        <v>ミラノ</v>
      </c>
      <c r="M41" s="117">
        <v>36</v>
      </c>
      <c r="N41" s="23">
        <f>INDEX(スコア表[Economy],MATCH(K41,スコア表['#],0))</f>
        <v>179.40573422365003</v>
      </c>
      <c r="O41" s="121">
        <f>INDEX(前年結果表[順Economy],MATCH(K41,前年結果表['#],0))</f>
        <v>38</v>
      </c>
      <c r="P41" s="29">
        <f>INDEX(前年結果表[スEconomy],MATCH(K41,前年結果表['#],0))</f>
        <v>177.1007970933</v>
      </c>
      <c r="Q41" s="107">
        <f t="shared" si="2"/>
        <v>2</v>
      </c>
      <c r="R41" s="110">
        <f t="shared" si="3"/>
        <v>2.3049371303500266</v>
      </c>
      <c r="T41" s="22">
        <f>INDEX(順位表['#],MATCH(V41,順位表[R&amp;D],0))</f>
        <v>47</v>
      </c>
      <c r="U41" s="187" t="str">
        <f>IF(JPEN!$C$2="EN",INDEX(都市マスタ[City Name],MATCH(T41,都市マスタ['#],0)),INDEX(都市マスタ[都市名],MATCH(T41,都市マスタ['#],0)))</f>
        <v>テルアビブ</v>
      </c>
      <c r="V41" s="117">
        <v>36</v>
      </c>
      <c r="W41" s="23">
        <f>INDEX(スコア表[R&amp;D],MATCH(T41,スコア表['#],0))</f>
        <v>31.247781842616668</v>
      </c>
      <c r="X41" s="121">
        <f>INDEX(前年結果表[順R&amp;D],MATCH(T41,前年結果表['#],0))</f>
        <v>36</v>
      </c>
      <c r="Y41" s="29">
        <f>INDEX(前年結果表[スR&amp;D],MATCH(T41,前年結果表['#],0))</f>
        <v>32.144512014166665</v>
      </c>
      <c r="Z41" s="107">
        <f t="shared" si="4"/>
        <v>0</v>
      </c>
      <c r="AA41" s="110">
        <f t="shared" si="5"/>
        <v>-0.89673017154999712</v>
      </c>
      <c r="AC41" s="22">
        <f>INDEX(順位表['#],MATCH(AE41,順位表[Cultural Interaction],0))</f>
        <v>45</v>
      </c>
      <c r="AD41" s="193" t="str">
        <f>IF(JPEN!$C$2="EN",INDEX(都市マスタ[City Name],MATCH(AC41,都市マスタ['#],0)),INDEX(都市マスタ[都市名],MATCH(AC41,都市マスタ['#],0)))</f>
        <v>ダブリン</v>
      </c>
      <c r="AE41" s="117">
        <v>36</v>
      </c>
      <c r="AF41" s="23">
        <f>INDEX(スコア表[Cultural Interaction],MATCH(AC41,スコア表['#],0))</f>
        <v>84.067293458133335</v>
      </c>
      <c r="AG41" s="121">
        <f>INDEX(前年結果表[順Cultural Interaction],MATCH(AC41,前年結果表['#],0))</f>
        <v>39</v>
      </c>
      <c r="AH41" s="29">
        <f>INDEX(前年結果表[スCultural Interaction],MATCH(AC41,前年結果表['#],0))</f>
        <v>71.238933723799988</v>
      </c>
      <c r="AI41" s="107">
        <f t="shared" si="6"/>
        <v>3</v>
      </c>
      <c r="AJ41" s="110">
        <f t="shared" si="7"/>
        <v>12.828359734333347</v>
      </c>
      <c r="AL41" s="22">
        <f>INDEX(順位表['#],MATCH(AN41,順位表[Livability],0))</f>
        <v>26</v>
      </c>
      <c r="AM41" s="199" t="str">
        <f>IF(JPEN!$C$2="EN",INDEX(都市マスタ[City Name],MATCH(AL41,都市マスタ['#],0)),INDEX(都市マスタ[都市名],MATCH(AL41,都市マスタ['#],0)))</f>
        <v>ソウル</v>
      </c>
      <c r="AN41" s="117">
        <v>36</v>
      </c>
      <c r="AO41" s="23">
        <f>INDEX(スコア表[Livability],MATCH(AL41,スコア表['#],0))</f>
        <v>318.66566469665003</v>
      </c>
      <c r="AP41" s="121">
        <f>INDEX(前年結果表[順Livability],MATCH(AL41,前年結果表['#],0))</f>
        <v>35</v>
      </c>
      <c r="AQ41" s="29">
        <f>INDEX(前年結果表[スLivability],MATCH(AL41,前年結果表['#],0))</f>
        <v>316.48779719896663</v>
      </c>
      <c r="AR41" s="107">
        <f t="shared" si="8"/>
        <v>-1</v>
      </c>
      <c r="AS41" s="110">
        <f t="shared" si="9"/>
        <v>2.177867497683394</v>
      </c>
      <c r="AU41" s="22">
        <f>INDEX(順位表['#],MATCH(AW41,順位表[Environment],0))</f>
        <v>33</v>
      </c>
      <c r="AV41" s="204" t="str">
        <f>IF(JPEN!$C$2="EN",INDEX(都市マスタ[City Name],MATCH(AU41,都市マスタ['#],0)),INDEX(都市マスタ[都市名],MATCH(AU41,都市マスタ['#],0)))</f>
        <v>ロサンゼルス</v>
      </c>
      <c r="AW41" s="117">
        <v>36</v>
      </c>
      <c r="AX41" s="23">
        <f>INDEX(スコア表[Environment],MATCH(AU41,スコア表['#],0))</f>
        <v>140.01359719346667</v>
      </c>
      <c r="AY41" s="121">
        <f>INDEX(前年結果表[順Environment],MATCH(AU41,前年結果表['#],0))</f>
        <v>32</v>
      </c>
      <c r="AZ41" s="29">
        <f>INDEX(前年結果表[スEnvironment],MATCH(AU41,前年結果表['#],0))</f>
        <v>144.23247529503334</v>
      </c>
      <c r="BA41" s="107">
        <f t="shared" si="10"/>
        <v>-4</v>
      </c>
      <c r="BB41" s="110">
        <f t="shared" si="11"/>
        <v>-4.2188781015666734</v>
      </c>
      <c r="BD41" s="22">
        <f>INDEX(順位表['#],MATCH(BF41,順位表[Accessibility],0))</f>
        <v>20</v>
      </c>
      <c r="BE41" s="209" t="str">
        <f>IF(JPEN!$C$2="EN",INDEX(都市マスタ[City Name],MATCH(BD41,都市マスタ['#],0)),INDEX(都市マスタ[都市名],MATCH(BD41,都市マスタ['#],0)))</f>
        <v>クアラルンプール</v>
      </c>
      <c r="BF41" s="117">
        <v>36</v>
      </c>
      <c r="BG41" s="23">
        <f>INDEX(スコア表[Accessibility],MATCH(BD41,スコア表['#],0))</f>
        <v>109.72828635431668</v>
      </c>
      <c r="BH41" s="121">
        <f>INDEX(前年結果表[順Accessibility],MATCH(BD41,前年結果表['#],0))</f>
        <v>43</v>
      </c>
      <c r="BI41" s="29">
        <f>INDEX(前年結果表[スAccessibility],MATCH(BD41,前年結果表['#],0))</f>
        <v>109.03346153113333</v>
      </c>
      <c r="BJ41" s="107">
        <f t="shared" si="12"/>
        <v>7</v>
      </c>
      <c r="BK41" s="110">
        <f t="shared" si="13"/>
        <v>0.69482482318335315</v>
      </c>
      <c r="BM41" s="40">
        <v>36</v>
      </c>
      <c r="BN41" s="99" t="s">
        <v>174</v>
      </c>
      <c r="BO41" s="97">
        <v>245.94947810136668</v>
      </c>
      <c r="BP41" s="97">
        <v>60.998768723616678</v>
      </c>
      <c r="BQ41" s="97">
        <v>94.686169812258328</v>
      </c>
      <c r="BR41" s="97">
        <v>352.89860111250835</v>
      </c>
      <c r="BS41" s="97">
        <v>173.03923719213333</v>
      </c>
      <c r="BT41" s="97">
        <v>145.45761837875</v>
      </c>
      <c r="BU41" s="97">
        <v>1073.0298733206332</v>
      </c>
      <c r="BV41" s="96">
        <v>15</v>
      </c>
      <c r="BW41" s="96">
        <v>20</v>
      </c>
      <c r="BX41" s="96">
        <v>30</v>
      </c>
      <c r="BY41" s="96">
        <v>12</v>
      </c>
      <c r="BZ41" s="96">
        <v>17</v>
      </c>
      <c r="CA41" s="96">
        <v>27</v>
      </c>
      <c r="CB41" s="100">
        <v>22</v>
      </c>
    </row>
    <row r="42" spans="1:80" ht="20.85" customHeight="1">
      <c r="A42" s="34"/>
      <c r="B42" s="22">
        <f>INDEX(順位表['#],MATCH(D42,順位表[Comprehensive],0))</f>
        <v>28</v>
      </c>
      <c r="C42" s="43" t="str">
        <f>IF(JPEN!$C$2="EN",INDEX(都市マスタ[City Name],MATCH(B42,都市マスタ['#],0)),INDEX(都市マスタ[都市名],MATCH(B42,都市マスタ['#],0)))</f>
        <v>大阪</v>
      </c>
      <c r="D42" s="117">
        <v>37</v>
      </c>
      <c r="E42" s="23">
        <f>INDEX(スコア表[Comprehensive],MATCH(B42,スコア表['#],0))</f>
        <v>947.75716654131668</v>
      </c>
      <c r="F42" s="121">
        <f>INDEX(前年結果表[順Comprehensive],MATCH(B42,前年結果表['#],0))</f>
        <v>37</v>
      </c>
      <c r="G42" s="29">
        <f>INDEX(前年結果表[スComprehensive],MATCH(B42,前年結果表['#],0))</f>
        <v>947.32062039151674</v>
      </c>
      <c r="H42" s="107">
        <f t="shared" si="0"/>
        <v>0</v>
      </c>
      <c r="I42" s="110">
        <f t="shared" si="1"/>
        <v>0.43654614979993767</v>
      </c>
      <c r="K42" s="22">
        <f>INDEX(順位表['#],MATCH(M42,順位表[Economy],0))</f>
        <v>20</v>
      </c>
      <c r="L42" s="183" t="str">
        <f>IF(JPEN!$C$2="EN",INDEX(都市マスタ[City Name],MATCH(K42,都市マスタ['#],0)),INDEX(都市マスタ[都市名],MATCH(K42,都市マスタ['#],0)))</f>
        <v>クアラルンプール</v>
      </c>
      <c r="M42" s="117">
        <v>37</v>
      </c>
      <c r="N42" s="23">
        <f>INDEX(スコア表[Economy],MATCH(K42,スコア表['#],0))</f>
        <v>177.33707975233332</v>
      </c>
      <c r="O42" s="121">
        <f>INDEX(前年結果表[順Economy],MATCH(K42,前年結果表['#],0))</f>
        <v>32</v>
      </c>
      <c r="P42" s="29">
        <f>INDEX(前年結果表[スEconomy],MATCH(K42,前年結果表['#],0))</f>
        <v>195.34803463658335</v>
      </c>
      <c r="Q42" s="107">
        <f t="shared" si="2"/>
        <v>-5</v>
      </c>
      <c r="R42" s="110">
        <f t="shared" si="3"/>
        <v>-18.010954884250026</v>
      </c>
      <c r="T42" s="22">
        <f>INDEX(順位表['#],MATCH(V42,順位表[R&amp;D],0))</f>
        <v>1</v>
      </c>
      <c r="U42" s="187" t="str">
        <f>IF(JPEN!$C$2="EN",INDEX(都市マスタ[City Name],MATCH(T42,都市マスタ['#],0)),INDEX(都市マスタ[都市名],MATCH(T42,都市マスタ['#],0)))</f>
        <v>マドリード</v>
      </c>
      <c r="V42" s="117">
        <v>37</v>
      </c>
      <c r="W42" s="23">
        <f>INDEX(スコア表[R&amp;D],MATCH(T42,スコア表['#],0))</f>
        <v>31.220074970150002</v>
      </c>
      <c r="X42" s="121">
        <f>INDEX(前年結果表[順R&amp;D],MATCH(T42,前年結果表['#],0))</f>
        <v>30</v>
      </c>
      <c r="Y42" s="29">
        <f>INDEX(前年結果表[スR&amp;D],MATCH(T42,前年結果表['#],0))</f>
        <v>37.069131748866667</v>
      </c>
      <c r="Z42" s="107">
        <f t="shared" si="4"/>
        <v>-7</v>
      </c>
      <c r="AA42" s="110">
        <f t="shared" si="5"/>
        <v>-5.8490567787166654</v>
      </c>
      <c r="AC42" s="22">
        <f>INDEX(順位表['#],MATCH(AE42,順位表[Cultural Interaction],0))</f>
        <v>8</v>
      </c>
      <c r="AD42" s="193" t="str">
        <f>IF(JPEN!$C$2="EN",INDEX(都市マスタ[City Name],MATCH(AC42,都市マスタ['#],0)),INDEX(都市マスタ[都市名],MATCH(AC42,都市マスタ['#],0)))</f>
        <v>フランクフルト</v>
      </c>
      <c r="AE42" s="117">
        <v>37</v>
      </c>
      <c r="AF42" s="23">
        <f>INDEX(スコア表[Cultural Interaction],MATCH(AC42,スコア表['#],0))</f>
        <v>80.538707356266656</v>
      </c>
      <c r="AG42" s="121">
        <f>INDEX(前年結果表[順Cultural Interaction],MATCH(AC42,前年結果表['#],0))</f>
        <v>37</v>
      </c>
      <c r="AH42" s="29">
        <f>INDEX(前年結果表[スCultural Interaction],MATCH(AC42,前年結果表['#],0))</f>
        <v>78.125520999508325</v>
      </c>
      <c r="AI42" s="107">
        <f t="shared" si="6"/>
        <v>0</v>
      </c>
      <c r="AJ42" s="110">
        <f t="shared" si="7"/>
        <v>2.4131863567583309</v>
      </c>
      <c r="AL42" s="22">
        <f>INDEX(順位表['#],MATCH(AN42,順位表[Livability],0))</f>
        <v>47</v>
      </c>
      <c r="AM42" s="199" t="str">
        <f>IF(JPEN!$C$2="EN",INDEX(都市マスタ[City Name],MATCH(AL42,都市マスタ['#],0)),INDEX(都市マスタ[都市名],MATCH(AL42,都市マスタ['#],0)))</f>
        <v>テルアビブ</v>
      </c>
      <c r="AN42" s="117">
        <v>37</v>
      </c>
      <c r="AO42" s="23">
        <f>INDEX(スコア表[Livability],MATCH(AL42,スコア表['#],0))</f>
        <v>315.73654902729999</v>
      </c>
      <c r="AP42" s="121">
        <f>INDEX(前年結果表[順Livability],MATCH(AL42,前年結果表['#],0))</f>
        <v>36</v>
      </c>
      <c r="AQ42" s="29">
        <f>INDEX(前年結果表[スLivability],MATCH(AL42,前年結果表['#],0))</f>
        <v>315.76181324662502</v>
      </c>
      <c r="AR42" s="107">
        <f t="shared" si="8"/>
        <v>-1</v>
      </c>
      <c r="AS42" s="110">
        <f t="shared" si="9"/>
        <v>-2.5264219325038084E-2</v>
      </c>
      <c r="AU42" s="22">
        <f>INDEX(順位表['#],MATCH(AW42,順位表[Environment],0))</f>
        <v>37</v>
      </c>
      <c r="AV42" s="204" t="str">
        <f>IF(JPEN!$C$2="EN",INDEX(都市マスタ[City Name],MATCH(AU42,都市マスタ['#],0)),INDEX(都市マスタ[都市名],MATCH(AU42,都市マスタ['#],0)))</f>
        <v>ワシントンDC</v>
      </c>
      <c r="AW42" s="117">
        <v>37</v>
      </c>
      <c r="AX42" s="23">
        <f>INDEX(スコア表[Environment],MATCH(AU42,スコア表['#],0))</f>
        <v>139.93912915533335</v>
      </c>
      <c r="AY42" s="121">
        <f>INDEX(前年結果表[順Environment],MATCH(AU42,前年結果表['#],0))</f>
        <v>33</v>
      </c>
      <c r="AZ42" s="29">
        <f>INDEX(前年結果表[スEnvironment],MATCH(AU42,前年結果表['#],0))</f>
        <v>142.38295691730002</v>
      </c>
      <c r="BA42" s="107">
        <f t="shared" si="10"/>
        <v>-4</v>
      </c>
      <c r="BB42" s="110">
        <f t="shared" si="11"/>
        <v>-2.4438277619666735</v>
      </c>
      <c r="BD42" s="22">
        <f>INDEX(順位表['#],MATCH(BF42,順位表[Accessibility],0))</f>
        <v>28</v>
      </c>
      <c r="BE42" s="209" t="str">
        <f>IF(JPEN!$C$2="EN",INDEX(都市マスタ[City Name],MATCH(BD42,都市マスタ['#],0)),INDEX(都市マスタ[都市名],MATCH(BD42,都市マスタ['#],0)))</f>
        <v>大阪</v>
      </c>
      <c r="BF42" s="117">
        <v>37</v>
      </c>
      <c r="BG42" s="23">
        <f>INDEX(スコア表[Accessibility],MATCH(BD42,スコア表['#],0))</f>
        <v>109.32603530741667</v>
      </c>
      <c r="BH42" s="121">
        <f>INDEX(前年結果表[順Accessibility],MATCH(BD42,前年結果表['#],0))</f>
        <v>39</v>
      </c>
      <c r="BI42" s="29">
        <f>INDEX(前年結果表[スAccessibility],MATCH(BD42,前年結果表['#],0))</f>
        <v>114.98306212910001</v>
      </c>
      <c r="BJ42" s="107">
        <f t="shared" si="12"/>
        <v>2</v>
      </c>
      <c r="BK42" s="110">
        <f t="shared" si="13"/>
        <v>-5.6570268216833313</v>
      </c>
      <c r="BM42" s="40">
        <v>37</v>
      </c>
      <c r="BN42" s="99" t="s">
        <v>373</v>
      </c>
      <c r="BO42" s="97">
        <v>264.43247646746664</v>
      </c>
      <c r="BP42" s="97">
        <v>85.912809945199996</v>
      </c>
      <c r="BQ42" s="97">
        <v>75.851602122850011</v>
      </c>
      <c r="BR42" s="97">
        <v>273.65136298326667</v>
      </c>
      <c r="BS42" s="97">
        <v>142.38295691730002</v>
      </c>
      <c r="BT42" s="97">
        <v>132.89272457279998</v>
      </c>
      <c r="BU42" s="97">
        <v>975.12393300888334</v>
      </c>
      <c r="BV42" s="96">
        <v>11</v>
      </c>
      <c r="BW42" s="96">
        <v>14</v>
      </c>
      <c r="BX42" s="96">
        <v>38</v>
      </c>
      <c r="BY42" s="96">
        <v>47</v>
      </c>
      <c r="BZ42" s="96">
        <v>33</v>
      </c>
      <c r="CA42" s="96">
        <v>34</v>
      </c>
      <c r="CB42" s="100">
        <v>35</v>
      </c>
    </row>
    <row r="43" spans="1:80" ht="20.85" customHeight="1">
      <c r="A43" s="34"/>
      <c r="B43" s="22">
        <f>INDEX(順位表['#],MATCH(D43,順位表[Comprehensive],0))</f>
        <v>19</v>
      </c>
      <c r="C43" s="43" t="str">
        <f>IF(JPEN!$C$2="EN",INDEX(都市マスタ[City Name],MATCH(B43,都市マスタ['#],0)),INDEX(都市マスタ[都市名],MATCH(B43,都市マスタ['#],0)))</f>
        <v>バンコク</v>
      </c>
      <c r="D43" s="117">
        <v>38</v>
      </c>
      <c r="E43" s="23">
        <f>INDEX(スコア表[Comprehensive],MATCH(B43,スコア表['#],0))</f>
        <v>945.29835679571659</v>
      </c>
      <c r="F43" s="121">
        <f>INDEX(前年結果表[順Comprehensive],MATCH(B43,前年結果表['#],0))</f>
        <v>40</v>
      </c>
      <c r="G43" s="29">
        <f>INDEX(前年結果表[スComprehensive],MATCH(B43,前年結果表['#],0))</f>
        <v>883.32933284235844</v>
      </c>
      <c r="H43" s="107">
        <f t="shared" si="0"/>
        <v>2</v>
      </c>
      <c r="I43" s="110">
        <f t="shared" si="1"/>
        <v>61.969023953358146</v>
      </c>
      <c r="K43" s="22">
        <f>INDEX(順位表['#],MATCH(M43,順位表[Economy],0))</f>
        <v>28</v>
      </c>
      <c r="L43" s="183" t="str">
        <f>IF(JPEN!$C$2="EN",INDEX(都市マスタ[City Name],MATCH(K43,都市マスタ['#],0)),INDEX(都市マスタ[都市名],MATCH(K43,都市マスタ['#],0)))</f>
        <v>大阪</v>
      </c>
      <c r="M43" s="117">
        <v>38</v>
      </c>
      <c r="N43" s="23">
        <f>INDEX(スコア表[Economy],MATCH(K43,スコア表['#],0))</f>
        <v>174.38519870419998</v>
      </c>
      <c r="O43" s="121">
        <f>INDEX(前年結果表[順Economy],MATCH(K43,前年結果表['#],0))</f>
        <v>35</v>
      </c>
      <c r="P43" s="29">
        <f>INDEX(前年結果表[スEconomy],MATCH(K43,前年結果表['#],0))</f>
        <v>194.32838410813332</v>
      </c>
      <c r="Q43" s="107">
        <f t="shared" si="2"/>
        <v>-3</v>
      </c>
      <c r="R43" s="110">
        <f t="shared" si="3"/>
        <v>-19.943185403933342</v>
      </c>
      <c r="T43" s="22">
        <f>INDEX(順位表['#],MATCH(V43,順位表[R&amp;D],0))</f>
        <v>8</v>
      </c>
      <c r="U43" s="187" t="str">
        <f>IF(JPEN!$C$2="EN",INDEX(都市マスタ[City Name],MATCH(T43,都市マスタ['#],0)),INDEX(都市マスタ[都市名],MATCH(T43,都市マスタ['#],0)))</f>
        <v>フランクフルト</v>
      </c>
      <c r="V43" s="117">
        <v>38</v>
      </c>
      <c r="W43" s="23">
        <f>INDEX(スコア表[R&amp;D],MATCH(T43,スコア表['#],0))</f>
        <v>30.426488445583331</v>
      </c>
      <c r="X43" s="121">
        <f>INDEX(前年結果表[順R&amp;D],MATCH(T43,前年結果表['#],0))</f>
        <v>37</v>
      </c>
      <c r="Y43" s="29">
        <f>INDEX(前年結果表[スR&amp;D],MATCH(T43,前年結果表['#],0))</f>
        <v>30.569035608366665</v>
      </c>
      <c r="Z43" s="107">
        <f t="shared" si="4"/>
        <v>-1</v>
      </c>
      <c r="AA43" s="110">
        <f t="shared" si="5"/>
        <v>-0.1425471627833339</v>
      </c>
      <c r="AC43" s="22">
        <f>INDEX(順位表['#],MATCH(AE43,順位表[Cultural Interaction],0))</f>
        <v>32</v>
      </c>
      <c r="AD43" s="193" t="str">
        <f>IF(JPEN!$C$2="EN",INDEX(都市マスタ[City Name],MATCH(AC43,都市マスタ['#],0)),INDEX(都市マスタ[都市名],MATCH(AC43,都市マスタ['#],0)))</f>
        <v>サンフランシスコ</v>
      </c>
      <c r="AE43" s="117">
        <v>38</v>
      </c>
      <c r="AF43" s="23">
        <f>INDEX(スコア表[Cultural Interaction],MATCH(AC43,スコア表['#],0))</f>
        <v>79.878672191475005</v>
      </c>
      <c r="AG43" s="121">
        <f>INDEX(前年結果表[順Cultural Interaction],MATCH(AC43,前年結果表['#],0))</f>
        <v>28</v>
      </c>
      <c r="AH43" s="29">
        <f>INDEX(前年結果表[スCultural Interaction],MATCH(AC43,前年結果表['#],0))</f>
        <v>95.499331992391674</v>
      </c>
      <c r="AI43" s="107">
        <f t="shared" si="6"/>
        <v>-10</v>
      </c>
      <c r="AJ43" s="110">
        <f t="shared" si="7"/>
        <v>-15.62065980091667</v>
      </c>
      <c r="AL43" s="22">
        <f>INDEX(順位表['#],MATCH(AN43,順位表[Livability],0))</f>
        <v>38</v>
      </c>
      <c r="AM43" s="199" t="str">
        <f>IF(JPEN!$C$2="EN",INDEX(都市マスタ[City Name],MATCH(AL43,都市マスタ['#],0)),INDEX(都市マスタ[都市名],MATCH(AL43,都市マスタ['#],0)))</f>
        <v>ニューヨーク</v>
      </c>
      <c r="AN43" s="117">
        <v>38</v>
      </c>
      <c r="AO43" s="23">
        <f>INDEX(スコア表[Livability],MATCH(AL43,スコア表['#],0))</f>
        <v>302.53650310557498</v>
      </c>
      <c r="AP43" s="121">
        <f>INDEX(前年結果表[順Livability],MATCH(AL43,前年結果表['#],0))</f>
        <v>38</v>
      </c>
      <c r="AQ43" s="29">
        <f>INDEX(前年結果表[スLivability],MATCH(AL43,前年結果表['#],0))</f>
        <v>303.97359208867499</v>
      </c>
      <c r="AR43" s="107">
        <f t="shared" si="8"/>
        <v>0</v>
      </c>
      <c r="AS43" s="110">
        <f t="shared" si="9"/>
        <v>-1.4370889831000113</v>
      </c>
      <c r="AU43" s="22">
        <f>INDEX(順位表['#],MATCH(AW43,順位表[Environment],0))</f>
        <v>34</v>
      </c>
      <c r="AV43" s="204" t="str">
        <f>IF(JPEN!$C$2="EN",INDEX(都市マスタ[City Name],MATCH(AU43,都市マスタ['#],0)),INDEX(都市マスタ[都市名],MATCH(AU43,都市マスタ['#],0)))</f>
        <v>メキシコシティ</v>
      </c>
      <c r="AW43" s="117">
        <v>38</v>
      </c>
      <c r="AX43" s="23">
        <f>INDEX(スコア表[Environment],MATCH(AU43,スコア表['#],0))</f>
        <v>138.28290825516666</v>
      </c>
      <c r="AY43" s="121">
        <f>INDEX(前年結果表[順Environment],MATCH(AU43,前年結果表['#],0))</f>
        <v>43</v>
      </c>
      <c r="AZ43" s="29">
        <f>INDEX(前年結果表[スEnvironment],MATCH(AU43,前年結果表['#],0))</f>
        <v>126.43564296896668</v>
      </c>
      <c r="BA43" s="107">
        <f t="shared" si="10"/>
        <v>5</v>
      </c>
      <c r="BB43" s="110">
        <f t="shared" si="11"/>
        <v>11.847265286199985</v>
      </c>
      <c r="BD43" s="22">
        <f>INDEX(順位表['#],MATCH(BF43,順位表[Accessibility],0))</f>
        <v>31</v>
      </c>
      <c r="BE43" s="209" t="str">
        <f>IF(JPEN!$C$2="EN",INDEX(都市マスタ[City Name],MATCH(BD43,都市マスタ['#],0)),INDEX(都市マスタ[都市名],MATCH(BD43,都市マスタ['#],0)))</f>
        <v>バンクーバー</v>
      </c>
      <c r="BF43" s="117">
        <v>38</v>
      </c>
      <c r="BG43" s="23">
        <f>INDEX(スコア表[Accessibility],MATCH(BD43,スコア表['#],0))</f>
        <v>108.67400833945</v>
      </c>
      <c r="BH43" s="121">
        <f>INDEX(前年結果表[順Accessibility],MATCH(BD43,前年結果表['#],0))</f>
        <v>41</v>
      </c>
      <c r="BI43" s="29">
        <f>INDEX(前年結果表[スAccessibility],MATCH(BD43,前年結果表['#],0))</f>
        <v>113.23102299898333</v>
      </c>
      <c r="BJ43" s="107">
        <f t="shared" si="12"/>
        <v>3</v>
      </c>
      <c r="BK43" s="110">
        <f t="shared" si="13"/>
        <v>-4.557014659533337</v>
      </c>
      <c r="BM43" s="40">
        <v>38</v>
      </c>
      <c r="BN43" s="99" t="s">
        <v>178</v>
      </c>
      <c r="BO43" s="97">
        <v>362.5003946052833</v>
      </c>
      <c r="BP43" s="97">
        <v>207.44053683076663</v>
      </c>
      <c r="BQ43" s="97">
        <v>254.30572649035</v>
      </c>
      <c r="BR43" s="97">
        <v>303.97359208867499</v>
      </c>
      <c r="BS43" s="97">
        <v>157.07413013126668</v>
      </c>
      <c r="BT43" s="97">
        <v>220.64595569630001</v>
      </c>
      <c r="BU43" s="97">
        <v>1505.9403358426416</v>
      </c>
      <c r="BV43" s="96">
        <v>1</v>
      </c>
      <c r="BW43" s="96">
        <v>1</v>
      </c>
      <c r="BX43" s="96">
        <v>2</v>
      </c>
      <c r="BY43" s="96">
        <v>38</v>
      </c>
      <c r="BZ43" s="96">
        <v>27</v>
      </c>
      <c r="CA43" s="96">
        <v>4</v>
      </c>
      <c r="CB43" s="100">
        <v>2</v>
      </c>
    </row>
    <row r="44" spans="1:80" ht="20.85" customHeight="1">
      <c r="A44" s="34"/>
      <c r="B44" s="22">
        <f>INDEX(順位表['#],MATCH(D44,順位表[Comprehensive],0))</f>
        <v>40</v>
      </c>
      <c r="C44" s="43" t="str">
        <f>IF(JPEN!$C$2="EN",INDEX(都市マスタ[City Name],MATCH(B44,都市マスタ['#],0)),INDEX(都市マスタ[都市名],MATCH(B44,都市マスタ['#],0)))</f>
        <v>サンパウロ</v>
      </c>
      <c r="D44" s="117">
        <v>39</v>
      </c>
      <c r="E44" s="23">
        <f>INDEX(スコア表[Comprehensive],MATCH(B44,スコア表['#],0))</f>
        <v>898.35468429590821</v>
      </c>
      <c r="F44" s="121">
        <f>INDEX(前年結果表[順Comprehensive],MATCH(B44,前年結果表['#],0))</f>
        <v>38</v>
      </c>
      <c r="G44" s="29">
        <f>INDEX(前年結果表[スComprehensive],MATCH(B44,前年結果表['#],0))</f>
        <v>904.33155404245827</v>
      </c>
      <c r="H44" s="107">
        <f t="shared" si="0"/>
        <v>-1</v>
      </c>
      <c r="I44" s="110">
        <f t="shared" si="1"/>
        <v>-5.9768697465500509</v>
      </c>
      <c r="K44" s="22">
        <f>INDEX(順位表['#],MATCH(M44,順位表[Economy],0))</f>
        <v>15</v>
      </c>
      <c r="L44" s="183" t="str">
        <f>IF(JPEN!$C$2="EN",INDEX(都市マスタ[City Name],MATCH(K44,都市マスタ['#],0)),INDEX(都市マスタ[都市名],MATCH(K44,都市マスタ['#],0)))</f>
        <v>イスタンブール</v>
      </c>
      <c r="M44" s="117">
        <v>39</v>
      </c>
      <c r="N44" s="23">
        <f>INDEX(スコア表[Economy],MATCH(K44,スコア表['#],0))</f>
        <v>164.43973531143331</v>
      </c>
      <c r="O44" s="121">
        <f>INDEX(前年結果表[順Economy],MATCH(K44,前年結果表['#],0))</f>
        <v>42</v>
      </c>
      <c r="P44" s="29">
        <f>INDEX(前年結果表[スEconomy],MATCH(K44,前年結果表['#],0))</f>
        <v>132.43636329171667</v>
      </c>
      <c r="Q44" s="107">
        <f t="shared" si="2"/>
        <v>3</v>
      </c>
      <c r="R44" s="110">
        <f t="shared" si="3"/>
        <v>32.003372019716636</v>
      </c>
      <c r="T44" s="22">
        <f>INDEX(順位表['#],MATCH(V44,順位表[R&amp;D],0))</f>
        <v>44</v>
      </c>
      <c r="U44" s="187" t="str">
        <f>IF(JPEN!$C$2="EN",INDEX(都市マスタ[City Name],MATCH(T44,都市マスタ['#],0)),INDEX(都市マスタ[都市名],MATCH(T44,都市マスタ['#],0)))</f>
        <v>ドバイ</v>
      </c>
      <c r="V44" s="117">
        <v>39</v>
      </c>
      <c r="W44" s="23">
        <f>INDEX(スコア表[R&amp;D],MATCH(T44,スコア表['#],0))</f>
        <v>27.321585583099996</v>
      </c>
      <c r="X44" s="121">
        <f>INDEX(前年結果表[順R&amp;D],MATCH(T44,前年結果表['#],0))</f>
        <v>39</v>
      </c>
      <c r="Y44" s="29">
        <f>INDEX(前年結果表[スR&amp;D],MATCH(T44,前年結果表['#],0))</f>
        <v>25.23312604791667</v>
      </c>
      <c r="Z44" s="107">
        <f t="shared" si="4"/>
        <v>0</v>
      </c>
      <c r="AA44" s="110">
        <f t="shared" si="5"/>
        <v>2.0884595351833255</v>
      </c>
      <c r="AC44" s="22">
        <f>INDEX(順位表['#],MATCH(AE44,順位表[Cultural Interaction],0))</f>
        <v>31</v>
      </c>
      <c r="AD44" s="193" t="str">
        <f>IF(JPEN!$C$2="EN",INDEX(都市マスタ[City Name],MATCH(AC44,都市マスタ['#],0)),INDEX(都市マスタ[都市名],MATCH(AC44,都市マスタ['#],0)))</f>
        <v>バンクーバー</v>
      </c>
      <c r="AE44" s="117">
        <v>39</v>
      </c>
      <c r="AF44" s="23">
        <f>INDEX(スコア表[Cultural Interaction],MATCH(AC44,スコア表['#],0))</f>
        <v>76.770779177408329</v>
      </c>
      <c r="AG44" s="121">
        <f>INDEX(前年結果表[順Cultural Interaction],MATCH(AC44,前年結果表['#],0))</f>
        <v>43</v>
      </c>
      <c r="AH44" s="29">
        <f>INDEX(前年結果表[スCultural Interaction],MATCH(AC44,前年結果表['#],0))</f>
        <v>59.42494348666667</v>
      </c>
      <c r="AI44" s="107">
        <f t="shared" si="6"/>
        <v>4</v>
      </c>
      <c r="AJ44" s="110">
        <f t="shared" si="7"/>
        <v>17.345835690741659</v>
      </c>
      <c r="AL44" s="22">
        <f>INDEX(順位表['#],MATCH(AN44,順位表[Livability],0))</f>
        <v>32</v>
      </c>
      <c r="AM44" s="199" t="str">
        <f>IF(JPEN!$C$2="EN",INDEX(都市マスタ[City Name],MATCH(AL44,都市マスタ['#],0)),INDEX(都市マスタ[都市名],MATCH(AL44,都市マスタ['#],0)))</f>
        <v>サンフランシスコ</v>
      </c>
      <c r="AN44" s="117">
        <v>39</v>
      </c>
      <c r="AO44" s="23">
        <f>INDEX(スコア表[Livability],MATCH(AL44,スコア表['#],0))</f>
        <v>300.82821733924169</v>
      </c>
      <c r="AP44" s="121">
        <f>INDEX(前年結果表[順Livability],MATCH(AL44,前年結果表['#],0))</f>
        <v>40</v>
      </c>
      <c r="AQ44" s="29">
        <f>INDEX(前年結果表[スLivability],MATCH(AL44,前年結果表['#],0))</f>
        <v>300.63412738615</v>
      </c>
      <c r="AR44" s="107">
        <f t="shared" si="8"/>
        <v>1</v>
      </c>
      <c r="AS44" s="110">
        <f t="shared" si="9"/>
        <v>0.19408995309169086</v>
      </c>
      <c r="AU44" s="22">
        <f>INDEX(順位表['#],MATCH(AW44,順位表[Environment],0))</f>
        <v>23</v>
      </c>
      <c r="AV44" s="204" t="str">
        <f>IF(JPEN!$C$2="EN",INDEX(都市マスタ[City Name],MATCH(AU44,都市マスタ['#],0)),INDEX(都市マスタ[都市名],MATCH(AU44,都市マスタ['#],0)))</f>
        <v>北京</v>
      </c>
      <c r="AW44" s="117">
        <v>39</v>
      </c>
      <c r="AX44" s="23">
        <f>INDEX(スコア表[Environment],MATCH(AU44,スコア表['#],0))</f>
        <v>137.31976928129998</v>
      </c>
      <c r="AY44" s="121">
        <f>INDEX(前年結果表[順Environment],MATCH(AU44,前年結果表['#],0))</f>
        <v>40</v>
      </c>
      <c r="AZ44" s="29">
        <f>INDEX(前年結果表[スEnvironment],MATCH(AU44,前年結果表['#],0))</f>
        <v>129.55027569803335</v>
      </c>
      <c r="BA44" s="107">
        <f t="shared" si="10"/>
        <v>1</v>
      </c>
      <c r="BB44" s="110">
        <f t="shared" si="11"/>
        <v>7.7694935832666374</v>
      </c>
      <c r="BD44" s="22">
        <f>INDEX(順位表['#],MATCH(BF44,順位表[Accessibility],0))</f>
        <v>47</v>
      </c>
      <c r="BE44" s="209" t="str">
        <f>IF(JPEN!$C$2="EN",INDEX(都市マスタ[City Name],MATCH(BD44,都市マスタ['#],0)),INDEX(都市マスタ[都市名],MATCH(BD44,都市マスタ['#],0)))</f>
        <v>テルアビブ</v>
      </c>
      <c r="BF44" s="117">
        <v>39</v>
      </c>
      <c r="BG44" s="23">
        <f>INDEX(スコア表[Accessibility],MATCH(BD44,スコア表['#],0))</f>
        <v>107.81051049308334</v>
      </c>
      <c r="BH44" s="121">
        <f>INDEX(前年結果表[順Accessibility],MATCH(BD44,前年結果表['#],0))</f>
        <v>44</v>
      </c>
      <c r="BI44" s="29">
        <f>INDEX(前年結果表[スAccessibility],MATCH(BD44,前年結果表['#],0))</f>
        <v>106.68319547241667</v>
      </c>
      <c r="BJ44" s="107">
        <f t="shared" si="12"/>
        <v>5</v>
      </c>
      <c r="BK44" s="110">
        <f t="shared" si="13"/>
        <v>1.1273150206666713</v>
      </c>
      <c r="BM44" s="40">
        <v>39</v>
      </c>
      <c r="BN44" s="99" t="s">
        <v>180</v>
      </c>
      <c r="BO44" s="97">
        <v>238.21365793033334</v>
      </c>
      <c r="BP44" s="97">
        <v>135.44577991310001</v>
      </c>
      <c r="BQ44" s="97">
        <v>65.676701186241658</v>
      </c>
      <c r="BR44" s="97">
        <v>289.14020346992498</v>
      </c>
      <c r="BS44" s="97">
        <v>159.50503424269999</v>
      </c>
      <c r="BT44" s="97">
        <v>145.42788207423337</v>
      </c>
      <c r="BU44" s="97">
        <v>1033.4092588165333</v>
      </c>
      <c r="BV44" s="96">
        <v>21</v>
      </c>
      <c r="BW44" s="96">
        <v>5</v>
      </c>
      <c r="BX44" s="96">
        <v>40</v>
      </c>
      <c r="BY44" s="96">
        <v>42</v>
      </c>
      <c r="BZ44" s="96">
        <v>23</v>
      </c>
      <c r="CA44" s="96">
        <v>28</v>
      </c>
      <c r="CB44" s="100">
        <v>27</v>
      </c>
    </row>
    <row r="45" spans="1:80" ht="20.85" customHeight="1">
      <c r="A45" s="34"/>
      <c r="B45" s="22">
        <f>INDEX(順位表['#],MATCH(D45,順位表[Comprehensive],0))</f>
        <v>47</v>
      </c>
      <c r="C45" s="43" t="str">
        <f>IF(JPEN!$C$2="EN",INDEX(都市マスタ[City Name],MATCH(B45,都市マスタ['#],0)),INDEX(都市マスタ[都市名],MATCH(B45,都市マスタ['#],0)))</f>
        <v>テルアビブ</v>
      </c>
      <c r="D45" s="117">
        <v>40</v>
      </c>
      <c r="E45" s="23">
        <f>INDEX(スコア表[Comprehensive],MATCH(B45,スコア表['#],0))</f>
        <v>892.44200955160829</v>
      </c>
      <c r="F45" s="121">
        <f>INDEX(前年結果表[順Comprehensive],MATCH(B45,前年結果表['#],0))</f>
        <v>39</v>
      </c>
      <c r="G45" s="29">
        <f>INDEX(前年結果表[スComprehensive],MATCH(B45,前年結果表['#],0))</f>
        <v>884.92181728154162</v>
      </c>
      <c r="H45" s="107">
        <f t="shared" si="0"/>
        <v>-1</v>
      </c>
      <c r="I45" s="110">
        <f t="shared" si="1"/>
        <v>7.5201922700666728</v>
      </c>
      <c r="K45" s="22">
        <f>INDEX(順位表['#],MATCH(M45,順位表[Economy],0))</f>
        <v>42</v>
      </c>
      <c r="L45" s="183" t="str">
        <f>IF(JPEN!$C$2="EN",INDEX(都市マスタ[City Name],MATCH(K45,都市マスタ['#],0)),INDEX(都市マスタ[都市名],MATCH(K45,都市マスタ['#],0)))</f>
        <v>ジャカルタ</v>
      </c>
      <c r="M45" s="117">
        <v>40</v>
      </c>
      <c r="N45" s="23">
        <f>INDEX(スコア表[Economy],MATCH(K45,スコア表['#],0))</f>
        <v>156.99941221283336</v>
      </c>
      <c r="O45" s="121">
        <f>INDEX(前年結果表[順Economy],MATCH(K45,前年結果表['#],0))</f>
        <v>40</v>
      </c>
      <c r="P45" s="29">
        <f>INDEX(前年結果表[スEconomy],MATCH(K45,前年結果表['#],0))</f>
        <v>165.98118372086668</v>
      </c>
      <c r="Q45" s="107">
        <f t="shared" si="2"/>
        <v>0</v>
      </c>
      <c r="R45" s="110">
        <f t="shared" si="3"/>
        <v>-8.9817715080333187</v>
      </c>
      <c r="T45" s="22">
        <f>INDEX(順位表['#],MATCH(V45,順位表[R&amp;D],0))</f>
        <v>40</v>
      </c>
      <c r="U45" s="187" t="str">
        <f>IF(JPEN!$C$2="EN",INDEX(都市マスタ[City Name],MATCH(T45,都市マスタ['#],0)),INDEX(都市マスタ[都市名],MATCH(T45,都市マスタ['#],0)))</f>
        <v>サンパウロ</v>
      </c>
      <c r="V45" s="117">
        <v>40</v>
      </c>
      <c r="W45" s="23">
        <f>INDEX(スコア表[R&amp;D],MATCH(T45,スコア表['#],0))</f>
        <v>23.2293984075</v>
      </c>
      <c r="X45" s="121">
        <f>INDEX(前年結果表[順R&amp;D],MATCH(T45,前年結果表['#],0))</f>
        <v>40</v>
      </c>
      <c r="Y45" s="29">
        <f>INDEX(前年結果表[スR&amp;D],MATCH(T45,前年結果表['#],0))</f>
        <v>23.694568489816668</v>
      </c>
      <c r="Z45" s="107">
        <f t="shared" si="4"/>
        <v>0</v>
      </c>
      <c r="AA45" s="110">
        <f t="shared" si="5"/>
        <v>-0.46517008231666779</v>
      </c>
      <c r="AC45" s="22">
        <f>INDEX(順位表['#],MATCH(AE45,順位表[Cultural Interaction],0))</f>
        <v>42</v>
      </c>
      <c r="AD45" s="193" t="str">
        <f>IF(JPEN!$C$2="EN",INDEX(都市マスタ[City Name],MATCH(AC45,都市マスタ['#],0)),INDEX(都市マスタ[都市名],MATCH(AC45,都市マスタ['#],0)))</f>
        <v>ジャカルタ</v>
      </c>
      <c r="AE45" s="117">
        <v>40</v>
      </c>
      <c r="AF45" s="23">
        <f>INDEX(スコア表[Cultural Interaction],MATCH(AC45,スコア表['#],0))</f>
        <v>73.890516478708349</v>
      </c>
      <c r="AG45" s="121">
        <f>INDEX(前年結果表[順Cultural Interaction],MATCH(AC45,前年結果表['#],0))</f>
        <v>42</v>
      </c>
      <c r="AH45" s="29">
        <f>INDEX(前年結果表[スCultural Interaction],MATCH(AC45,前年結果表['#],0))</f>
        <v>64.925610250974984</v>
      </c>
      <c r="AI45" s="107">
        <f t="shared" si="6"/>
        <v>2</v>
      </c>
      <c r="AJ45" s="110">
        <f t="shared" si="7"/>
        <v>8.9649062277333655</v>
      </c>
      <c r="AL45" s="22">
        <f>INDEX(順位表['#],MATCH(AN45,順位表[Livability],0))</f>
        <v>39</v>
      </c>
      <c r="AM45" s="199" t="str">
        <f>IF(JPEN!$C$2="EN",INDEX(都市マスタ[City Name],MATCH(AL45,都市マスタ['#],0)),INDEX(都市マスタ[都市名],MATCH(AL45,都市マスタ['#],0)))</f>
        <v>ボストン</v>
      </c>
      <c r="AN45" s="117">
        <v>40</v>
      </c>
      <c r="AO45" s="23">
        <f>INDEX(スコア表[Livability],MATCH(AL45,スコア表['#],0))</f>
        <v>300.05970905992501</v>
      </c>
      <c r="AP45" s="121">
        <f>INDEX(前年結果表[順Livability],MATCH(AL45,前年結果表['#],0))</f>
        <v>42</v>
      </c>
      <c r="AQ45" s="29">
        <f>INDEX(前年結果表[スLivability],MATCH(AL45,前年結果表['#],0))</f>
        <v>289.14020346992498</v>
      </c>
      <c r="AR45" s="107">
        <f t="shared" si="8"/>
        <v>2</v>
      </c>
      <c r="AS45" s="110">
        <f t="shared" si="9"/>
        <v>10.919505590000028</v>
      </c>
      <c r="AU45" s="22">
        <f>INDEX(順位表['#],MATCH(AW45,順位表[Environment],0))</f>
        <v>41</v>
      </c>
      <c r="AV45" s="204" t="str">
        <f>IF(JPEN!$C$2="EN",INDEX(都市マスタ[City Name],MATCH(AU45,都市マスタ['#],0)),INDEX(都市マスタ[都市名],MATCH(AU45,都市マスタ['#],0)))</f>
        <v>ヨハネスブルグ</v>
      </c>
      <c r="AW45" s="117">
        <v>40</v>
      </c>
      <c r="AX45" s="23">
        <f>INDEX(スコア表[Environment],MATCH(AU45,スコア表['#],0))</f>
        <v>133.41888550339999</v>
      </c>
      <c r="AY45" s="121">
        <f>INDEX(前年結果表[順Environment],MATCH(AU45,前年結果表['#],0))</f>
        <v>38</v>
      </c>
      <c r="AZ45" s="29">
        <f>INDEX(前年結果表[スEnvironment],MATCH(AU45,前年結果表['#],0))</f>
        <v>131.74452625719999</v>
      </c>
      <c r="BA45" s="107">
        <f t="shared" si="10"/>
        <v>-2</v>
      </c>
      <c r="BB45" s="110">
        <f t="shared" si="11"/>
        <v>1.6743592461999981</v>
      </c>
      <c r="BD45" s="22">
        <f>INDEX(順位表['#],MATCH(BF45,順位表[Accessibility],0))</f>
        <v>23</v>
      </c>
      <c r="BE45" s="209" t="str">
        <f>IF(JPEN!$C$2="EN",INDEX(都市マスタ[City Name],MATCH(BD45,都市マスタ['#],0)),INDEX(都市マスタ[都市名],MATCH(BD45,都市マスタ['#],0)))</f>
        <v>北京</v>
      </c>
      <c r="BF45" s="117">
        <v>40</v>
      </c>
      <c r="BG45" s="23">
        <f>INDEX(スコア表[Accessibility],MATCH(BD45,スコア表['#],0))</f>
        <v>103.65450184653335</v>
      </c>
      <c r="BH45" s="121">
        <f>INDEX(前年結果表[順Accessibility],MATCH(BD45,前年結果表['#],0))</f>
        <v>19</v>
      </c>
      <c r="BI45" s="29">
        <f>INDEX(前年結果表[スAccessibility],MATCH(BD45,前年結果表['#],0))</f>
        <v>163.46298796513332</v>
      </c>
      <c r="BJ45" s="107">
        <f t="shared" si="12"/>
        <v>-21</v>
      </c>
      <c r="BK45" s="110">
        <f t="shared" si="13"/>
        <v>-59.808486118599973</v>
      </c>
      <c r="BM45" s="40">
        <v>40</v>
      </c>
      <c r="BN45" s="99" t="s">
        <v>182</v>
      </c>
      <c r="BO45" s="97">
        <v>124.70399748866667</v>
      </c>
      <c r="BP45" s="97">
        <v>23.694568489816668</v>
      </c>
      <c r="BQ45" s="97">
        <v>149.874415342075</v>
      </c>
      <c r="BR45" s="97">
        <v>331.72871094378331</v>
      </c>
      <c r="BS45" s="97">
        <v>164.698549533</v>
      </c>
      <c r="BT45" s="97">
        <v>109.63131224511667</v>
      </c>
      <c r="BU45" s="97">
        <v>904.33155404245827</v>
      </c>
      <c r="BV45" s="96">
        <v>43</v>
      </c>
      <c r="BW45" s="96">
        <v>40</v>
      </c>
      <c r="BX45" s="96">
        <v>14</v>
      </c>
      <c r="BY45" s="96">
        <v>24</v>
      </c>
      <c r="BZ45" s="96">
        <v>20</v>
      </c>
      <c r="CA45" s="96">
        <v>42</v>
      </c>
      <c r="CB45" s="100">
        <v>38</v>
      </c>
    </row>
    <row r="46" spans="1:80" ht="20.85" customHeight="1">
      <c r="A46" s="34"/>
      <c r="B46" s="22">
        <f>INDEX(順位表['#],MATCH(D46,順位表[Comprehensive],0))</f>
        <v>20</v>
      </c>
      <c r="C46" s="43" t="str">
        <f>IF(JPEN!$C$2="EN",INDEX(都市マスタ[City Name],MATCH(B46,都市マスタ['#],0)),INDEX(都市マスタ[都市名],MATCH(B46,都市マスタ['#],0)))</f>
        <v>クアラルンプール</v>
      </c>
      <c r="D46" s="117">
        <v>41</v>
      </c>
      <c r="E46" s="23">
        <f>INDEX(スコア表[Comprehensive],MATCH(B46,スコア表['#],0))</f>
        <v>878.67771083875004</v>
      </c>
      <c r="F46" s="121">
        <f>INDEX(前年結果表[順Comprehensive],MATCH(B46,前年結果表['#],0))</f>
        <v>41</v>
      </c>
      <c r="G46" s="29">
        <f>INDEX(前年結果表[スComprehensive],MATCH(B46,前年結果表['#],0))</f>
        <v>875.11146180028345</v>
      </c>
      <c r="H46" s="107">
        <f t="shared" si="0"/>
        <v>0</v>
      </c>
      <c r="I46" s="110">
        <f t="shared" si="1"/>
        <v>3.5662490384665944</v>
      </c>
      <c r="K46" s="22">
        <f>INDEX(順位表['#],MATCH(M46,順位表[Economy],0))</f>
        <v>17</v>
      </c>
      <c r="L46" s="183" t="str">
        <f>IF(JPEN!$C$2="EN",INDEX(都市マスタ[City Name],MATCH(K46,都市マスタ['#],0)),INDEX(都市マスタ[都市名],MATCH(K46,都市マスタ['#],0)))</f>
        <v>モスクワ</v>
      </c>
      <c r="M46" s="117">
        <v>41</v>
      </c>
      <c r="N46" s="23">
        <f>INDEX(スコア表[Economy],MATCH(K46,スコア表['#],0))</f>
        <v>153.05028841806666</v>
      </c>
      <c r="O46" s="121">
        <f>INDEX(前年結果表[順Economy],MATCH(K46,前年結果表['#],0))</f>
        <v>41</v>
      </c>
      <c r="P46" s="29">
        <f>INDEX(前年結果表[スEconomy],MATCH(K46,前年結果表['#],0))</f>
        <v>142.87453839760002</v>
      </c>
      <c r="Q46" s="107">
        <f t="shared" si="2"/>
        <v>0</v>
      </c>
      <c r="R46" s="110">
        <f t="shared" si="3"/>
        <v>10.175750020466637</v>
      </c>
      <c r="T46" s="22">
        <f>INDEX(順位表['#],MATCH(V46,順位表[R&amp;D],0))</f>
        <v>19</v>
      </c>
      <c r="U46" s="187" t="str">
        <f>IF(JPEN!$C$2="EN",INDEX(都市マスタ[City Name],MATCH(T46,都市マスタ['#],0)),INDEX(都市マスタ[都市名],MATCH(T46,都市マスタ['#],0)))</f>
        <v>バンコク</v>
      </c>
      <c r="V46" s="117">
        <v>41</v>
      </c>
      <c r="W46" s="23">
        <f>INDEX(スコア表[R&amp;D],MATCH(T46,スコア表['#],0))</f>
        <v>21.267990652566667</v>
      </c>
      <c r="X46" s="121">
        <f>INDEX(前年結果表[順R&amp;D],MATCH(T46,前年結果表['#],0))</f>
        <v>41</v>
      </c>
      <c r="Y46" s="29">
        <f>INDEX(前年結果表[スR&amp;D],MATCH(T46,前年結果表['#],0))</f>
        <v>19.0242051685</v>
      </c>
      <c r="Z46" s="107">
        <f t="shared" si="4"/>
        <v>0</v>
      </c>
      <c r="AA46" s="110">
        <f t="shared" si="5"/>
        <v>2.2437854840666667</v>
      </c>
      <c r="AC46" s="22">
        <f>INDEX(順位表['#],MATCH(AE46,順位表[Cultural Interaction],0))</f>
        <v>18</v>
      </c>
      <c r="AD46" s="193" t="str">
        <f>IF(JPEN!$C$2="EN",INDEX(都市マスタ[City Name],MATCH(AC46,都市マスタ['#],0)),INDEX(都市マスタ[都市名],MATCH(AC46,都市マスタ['#],0)))</f>
        <v>ムンバイ</v>
      </c>
      <c r="AE46" s="117">
        <v>41</v>
      </c>
      <c r="AF46" s="23">
        <f>INDEX(スコア表[Cultural Interaction],MATCH(AC46,スコア表['#],0))</f>
        <v>73.194752504291671</v>
      </c>
      <c r="AG46" s="121">
        <f>INDEX(前年結果表[順Cultural Interaction],MATCH(AC46,前年結果表['#],0))</f>
        <v>41</v>
      </c>
      <c r="AH46" s="29">
        <f>INDEX(前年結果表[スCultural Interaction],MATCH(AC46,前年結果表['#],0))</f>
        <v>65.394178389916675</v>
      </c>
      <c r="AI46" s="107">
        <f t="shared" si="6"/>
        <v>0</v>
      </c>
      <c r="AJ46" s="110">
        <f t="shared" si="7"/>
        <v>7.8005741143749958</v>
      </c>
      <c r="AL46" s="22">
        <f>INDEX(順位表['#],MATCH(AN46,順位表[Livability],0))</f>
        <v>34</v>
      </c>
      <c r="AM46" s="199" t="str">
        <f>IF(JPEN!$C$2="EN",INDEX(都市マスタ[City Name],MATCH(AL46,都市マスタ['#],0)),INDEX(都市マスタ[都市名],MATCH(AL46,都市マスタ['#],0)))</f>
        <v>メキシコシティ</v>
      </c>
      <c r="AN46" s="117">
        <v>41</v>
      </c>
      <c r="AO46" s="23">
        <f>INDEX(スコア表[Livability],MATCH(AL46,スコア表['#],0))</f>
        <v>296.44565516474165</v>
      </c>
      <c r="AP46" s="121">
        <f>INDEX(前年結果表[順Livability],MATCH(AL46,前年結果表['#],0))</f>
        <v>43</v>
      </c>
      <c r="AQ46" s="29">
        <f>INDEX(前年結果表[スLivability],MATCH(AL46,前年結果表['#],0))</f>
        <v>288.98628908056662</v>
      </c>
      <c r="AR46" s="107">
        <f t="shared" si="8"/>
        <v>2</v>
      </c>
      <c r="AS46" s="110">
        <f t="shared" si="9"/>
        <v>7.4593660841750307</v>
      </c>
      <c r="AU46" s="22">
        <f>INDEX(順位表['#],MATCH(AW46,順位表[Environment],0))</f>
        <v>28</v>
      </c>
      <c r="AV46" s="204" t="str">
        <f>IF(JPEN!$C$2="EN",INDEX(都市マスタ[City Name],MATCH(AU46,都市マスタ['#],0)),INDEX(都市マスタ[都市名],MATCH(AU46,都市マスタ['#],0)))</f>
        <v>大阪</v>
      </c>
      <c r="AW46" s="117">
        <v>41</v>
      </c>
      <c r="AX46" s="23">
        <f>INDEX(スコア表[Environment],MATCH(AU46,スコア表['#],0))</f>
        <v>129.60248399810001</v>
      </c>
      <c r="AY46" s="121">
        <f>INDEX(前年結果表[順Environment],MATCH(AU46,前年結果表['#],0))</f>
        <v>39</v>
      </c>
      <c r="AZ46" s="29">
        <f>INDEX(前年結果表[スEnvironment],MATCH(AU46,前年結果表['#],0))</f>
        <v>129.71833176863333</v>
      </c>
      <c r="BA46" s="107">
        <f t="shared" si="10"/>
        <v>-2</v>
      </c>
      <c r="BB46" s="110">
        <f t="shared" si="11"/>
        <v>-0.11584777053332118</v>
      </c>
      <c r="BD46" s="22">
        <f>INDEX(順位表['#],MATCH(BF46,順位表[Accessibility],0))</f>
        <v>34</v>
      </c>
      <c r="BE46" s="209" t="str">
        <f>IF(JPEN!$C$2="EN",INDEX(都市マスタ[City Name],MATCH(BD46,都市マスタ['#],0)),INDEX(都市マスタ[都市名],MATCH(BD46,都市マスタ['#],0)))</f>
        <v>メキシコシティ</v>
      </c>
      <c r="BF46" s="117">
        <v>41</v>
      </c>
      <c r="BG46" s="23">
        <f>INDEX(スコア表[Accessibility],MATCH(BD46,スコア表['#],0))</f>
        <v>102.63712299423332</v>
      </c>
      <c r="BH46" s="121">
        <f>INDEX(前年結果表[順Accessibility],MATCH(BD46,前年結果表['#],0))</f>
        <v>37</v>
      </c>
      <c r="BI46" s="29">
        <f>INDEX(前年結果表[スAccessibility],MATCH(BD46,前年結果表['#],0))</f>
        <v>124.91445528081667</v>
      </c>
      <c r="BJ46" s="107">
        <f t="shared" si="12"/>
        <v>-4</v>
      </c>
      <c r="BK46" s="110">
        <f t="shared" si="13"/>
        <v>-22.277332286583345</v>
      </c>
      <c r="BM46" s="40">
        <v>41</v>
      </c>
      <c r="BN46" s="99" t="s">
        <v>184</v>
      </c>
      <c r="BO46" s="97">
        <v>107.94242629998332</v>
      </c>
      <c r="BP46" s="97">
        <v>4.4836158956833332</v>
      </c>
      <c r="BQ46" s="97">
        <v>79.506422424283329</v>
      </c>
      <c r="BR46" s="97">
        <v>223.23159473181667</v>
      </c>
      <c r="BS46" s="97">
        <v>131.74452625719999</v>
      </c>
      <c r="BT46" s="97">
        <v>92.898451201883347</v>
      </c>
      <c r="BU46" s="97">
        <v>639.80703681084992</v>
      </c>
      <c r="BV46" s="96">
        <v>45</v>
      </c>
      <c r="BW46" s="96">
        <v>48</v>
      </c>
      <c r="BX46" s="96">
        <v>35</v>
      </c>
      <c r="BY46" s="96">
        <v>48</v>
      </c>
      <c r="BZ46" s="96">
        <v>38</v>
      </c>
      <c r="CA46" s="96">
        <v>47</v>
      </c>
      <c r="CB46" s="100">
        <v>47</v>
      </c>
    </row>
    <row r="47" spans="1:80" ht="20.85" customHeight="1">
      <c r="A47" s="34"/>
      <c r="B47" s="22">
        <f>INDEX(順位表['#],MATCH(D47,順位表[Comprehensive],0))</f>
        <v>27</v>
      </c>
      <c r="C47" s="43" t="str">
        <f>IF(JPEN!$C$2="EN",INDEX(都市マスタ[City Name],MATCH(B47,都市マスタ['#],0)),INDEX(都市マスタ[都市名],MATCH(B47,都市マスタ['#],0)))</f>
        <v>福岡</v>
      </c>
      <c r="D47" s="117">
        <v>42</v>
      </c>
      <c r="E47" s="23">
        <f>INDEX(スコア表[Comprehensive],MATCH(B47,スコア表['#],0))</f>
        <v>844.79169767112489</v>
      </c>
      <c r="F47" s="121">
        <f>INDEX(前年結果表[順Comprehensive],MATCH(B47,前年結果表['#],0))</f>
        <v>42</v>
      </c>
      <c r="G47" s="29">
        <f>INDEX(前年結果表[スComprehensive],MATCH(B47,前年結果表['#],0))</f>
        <v>871.92027281760011</v>
      </c>
      <c r="H47" s="107">
        <f t="shared" si="0"/>
        <v>0</v>
      </c>
      <c r="I47" s="110">
        <f t="shared" si="1"/>
        <v>-27.128575146475214</v>
      </c>
      <c r="K47" s="22">
        <f>INDEX(順位表['#],MATCH(M47,順位表[Economy],0))</f>
        <v>27</v>
      </c>
      <c r="L47" s="183" t="str">
        <f>IF(JPEN!$C$2="EN",INDEX(都市マスタ[City Name],MATCH(K47,都市マスタ['#],0)),INDEX(都市マスタ[都市名],MATCH(K47,都市マスタ['#],0)))</f>
        <v>福岡</v>
      </c>
      <c r="M47" s="117">
        <v>42</v>
      </c>
      <c r="N47" s="23">
        <f>INDEX(スコア表[Economy],MATCH(K47,スコア表['#],0))</f>
        <v>142.63656968998333</v>
      </c>
      <c r="O47" s="121">
        <f>INDEX(前年結果表[順Economy],MATCH(K47,前年結果表['#],0))</f>
        <v>39</v>
      </c>
      <c r="P47" s="29">
        <f>INDEX(前年結果表[スEconomy],MATCH(K47,前年結果表['#],0))</f>
        <v>173.02286605256666</v>
      </c>
      <c r="Q47" s="107">
        <f t="shared" si="2"/>
        <v>-3</v>
      </c>
      <c r="R47" s="110">
        <f t="shared" si="3"/>
        <v>-30.386296362583323</v>
      </c>
      <c r="T47" s="22">
        <f>INDEX(順位表['#],MATCH(V47,順位表[R&amp;D],0))</f>
        <v>16</v>
      </c>
      <c r="U47" s="187" t="str">
        <f>IF(JPEN!$C$2="EN",INDEX(都市マスタ[City Name],MATCH(T47,都市マスタ['#],0)),INDEX(都市マスタ[都市名],MATCH(T47,都市マスタ['#],0)))</f>
        <v>カイロ</v>
      </c>
      <c r="V47" s="117">
        <v>42</v>
      </c>
      <c r="W47" s="23">
        <f>INDEX(スコア表[R&amp;D],MATCH(T47,スコア表['#],0))</f>
        <v>19.618156192800001</v>
      </c>
      <c r="X47" s="121">
        <f>INDEX(前年結果表[順R&amp;D],MATCH(T47,前年結果表['#],0))</f>
        <v>44</v>
      </c>
      <c r="Y47" s="29">
        <f>INDEX(前年結果表[スR&amp;D],MATCH(T47,前年結果表['#],0))</f>
        <v>11.568325566683333</v>
      </c>
      <c r="Z47" s="107">
        <f t="shared" si="4"/>
        <v>2</v>
      </c>
      <c r="AA47" s="110">
        <f t="shared" si="5"/>
        <v>8.0498306261166679</v>
      </c>
      <c r="AC47" s="22">
        <f>INDEX(順位表['#],MATCH(AE47,順位表[Cultural Interaction],0))</f>
        <v>37</v>
      </c>
      <c r="AD47" s="193" t="str">
        <f>IF(JPEN!$C$2="EN",INDEX(都市マスタ[City Name],MATCH(AC47,都市マスタ['#],0)),INDEX(都市マスタ[都市名],MATCH(AC47,都市マスタ['#],0)))</f>
        <v>ワシントンDC</v>
      </c>
      <c r="AE47" s="117">
        <v>42</v>
      </c>
      <c r="AF47" s="23">
        <f>INDEX(スコア表[Cultural Interaction],MATCH(AC47,スコア表['#],0))</f>
        <v>71.437545558866674</v>
      </c>
      <c r="AG47" s="121">
        <f>INDEX(前年結果表[順Cultural Interaction],MATCH(AC47,前年結果表['#],0))</f>
        <v>38</v>
      </c>
      <c r="AH47" s="29">
        <f>INDEX(前年結果表[スCultural Interaction],MATCH(AC47,前年結果表['#],0))</f>
        <v>75.851602122850011</v>
      </c>
      <c r="AI47" s="107">
        <f t="shared" si="6"/>
        <v>-4</v>
      </c>
      <c r="AJ47" s="110">
        <f t="shared" si="7"/>
        <v>-4.4140565639833369</v>
      </c>
      <c r="AL47" s="22">
        <f>INDEX(順位表['#],MATCH(AN47,順位表[Livability],0))</f>
        <v>15</v>
      </c>
      <c r="AM47" s="199" t="str">
        <f>IF(JPEN!$C$2="EN",INDEX(都市マスタ[City Name],MATCH(AL47,都市マスタ['#],0)),INDEX(都市マスタ[都市名],MATCH(AL47,都市マスタ['#],0)))</f>
        <v>イスタンブール</v>
      </c>
      <c r="AN47" s="117">
        <v>42</v>
      </c>
      <c r="AO47" s="23">
        <f>INDEX(スコア表[Livability],MATCH(AL47,スコア表['#],0))</f>
        <v>294.60303425718331</v>
      </c>
      <c r="AP47" s="121">
        <f>INDEX(前年結果表[順Livability],MATCH(AL47,前年結果表['#],0))</f>
        <v>34</v>
      </c>
      <c r="AQ47" s="29">
        <f>INDEX(前年結果表[スLivability],MATCH(AL47,前年結果表['#],0))</f>
        <v>318.3813435669</v>
      </c>
      <c r="AR47" s="107">
        <f t="shared" si="8"/>
        <v>-8</v>
      </c>
      <c r="AS47" s="110">
        <f t="shared" si="9"/>
        <v>-23.77830930971669</v>
      </c>
      <c r="AU47" s="22">
        <f>INDEX(順位表['#],MATCH(AW47,順位表[Environment],0))</f>
        <v>20</v>
      </c>
      <c r="AV47" s="204" t="str">
        <f>IF(JPEN!$C$2="EN",INDEX(都市マスタ[City Name],MATCH(AU47,都市マスタ['#],0)),INDEX(都市マスタ[都市名],MATCH(AU47,都市マスタ['#],0)))</f>
        <v>クアラルンプール</v>
      </c>
      <c r="AW47" s="117">
        <v>42</v>
      </c>
      <c r="AX47" s="23">
        <f>INDEX(スコア表[Environment],MATCH(AU47,スコア表['#],0))</f>
        <v>125.87804651483333</v>
      </c>
      <c r="AY47" s="121">
        <f>INDEX(前年結果表[順Environment],MATCH(AU47,前年結果表['#],0))</f>
        <v>44</v>
      </c>
      <c r="AZ47" s="29">
        <f>INDEX(前年結果表[スEnvironment],MATCH(AU47,前年結果表['#],0))</f>
        <v>116.46995801443333</v>
      </c>
      <c r="BA47" s="107">
        <f t="shared" si="10"/>
        <v>2</v>
      </c>
      <c r="BB47" s="110">
        <f t="shared" si="11"/>
        <v>9.4080885003999981</v>
      </c>
      <c r="BD47" s="22">
        <f>INDEX(順位表['#],MATCH(BF47,順位表[Accessibility],0))</f>
        <v>16</v>
      </c>
      <c r="BE47" s="209" t="str">
        <f>IF(JPEN!$C$2="EN",INDEX(都市マスタ[City Name],MATCH(BD47,都市マスタ['#],0)),INDEX(都市マスタ[都市名],MATCH(BD47,都市マスタ['#],0)))</f>
        <v>カイロ</v>
      </c>
      <c r="BF47" s="117">
        <v>42</v>
      </c>
      <c r="BG47" s="23">
        <f>INDEX(スコア表[Accessibility],MATCH(BD47,スコア表['#],0))</f>
        <v>101.40892959515</v>
      </c>
      <c r="BH47" s="121">
        <f>INDEX(前年結果表[順Accessibility],MATCH(BD47,前年結果表['#],0))</f>
        <v>38</v>
      </c>
      <c r="BI47" s="29">
        <f>INDEX(前年結果表[スAccessibility],MATCH(BD47,前年結果表['#],0))</f>
        <v>115.05966249541666</v>
      </c>
      <c r="BJ47" s="107">
        <f t="shared" si="12"/>
        <v>-4</v>
      </c>
      <c r="BK47" s="110">
        <f t="shared" si="13"/>
        <v>-13.650732900266661</v>
      </c>
      <c r="BM47" s="40">
        <v>42</v>
      </c>
      <c r="BN47" s="99" t="s">
        <v>186</v>
      </c>
      <c r="BO47" s="97">
        <v>165.98118372086668</v>
      </c>
      <c r="BP47" s="97">
        <v>10.728391757116666</v>
      </c>
      <c r="BQ47" s="97">
        <v>64.925610250974984</v>
      </c>
      <c r="BR47" s="97">
        <v>324.90520824861665</v>
      </c>
      <c r="BS47" s="97">
        <v>86.946947562666679</v>
      </c>
      <c r="BT47" s="97">
        <v>103.30302505561667</v>
      </c>
      <c r="BU47" s="97">
        <v>756.79036659585825</v>
      </c>
      <c r="BV47" s="96">
        <v>40</v>
      </c>
      <c r="BW47" s="96">
        <v>45</v>
      </c>
      <c r="BX47" s="96">
        <v>42</v>
      </c>
      <c r="BY47" s="96">
        <v>29</v>
      </c>
      <c r="BZ47" s="96">
        <v>46</v>
      </c>
      <c r="CA47" s="96">
        <v>45</v>
      </c>
      <c r="CB47" s="100">
        <v>45</v>
      </c>
    </row>
    <row r="48" spans="1:80" ht="20.85" customHeight="1">
      <c r="A48" s="34"/>
      <c r="B48" s="22">
        <f>INDEX(順位表['#],MATCH(D48,順位表[Comprehensive],0))</f>
        <v>34</v>
      </c>
      <c r="C48" s="43" t="str">
        <f>IF(JPEN!$C$2="EN",INDEX(都市マスタ[City Name],MATCH(B48,都市マスタ['#],0)),INDEX(都市マスタ[都市名],MATCH(B48,都市マスタ['#],0)))</f>
        <v>メキシコシティ</v>
      </c>
      <c r="D48" s="117">
        <v>43</v>
      </c>
      <c r="E48" s="23">
        <f>INDEX(スコア表[Comprehensive],MATCH(B48,スコア表['#],0))</f>
        <v>837.94241278155005</v>
      </c>
      <c r="F48" s="121">
        <f>INDEX(前年結果表[順Comprehensive],MATCH(B48,前年結果表['#],0))</f>
        <v>44</v>
      </c>
      <c r="G48" s="29">
        <f>INDEX(前年結果表[スComprehensive],MATCH(B48,前年結果表['#],0))</f>
        <v>817.11334977901663</v>
      </c>
      <c r="H48" s="107">
        <f t="shared" si="0"/>
        <v>1</v>
      </c>
      <c r="I48" s="110">
        <f t="shared" si="1"/>
        <v>20.829063002533417</v>
      </c>
      <c r="K48" s="22">
        <f>INDEX(順位表['#],MATCH(M48,順位表[Economy],0))</f>
        <v>40</v>
      </c>
      <c r="L48" s="183" t="str">
        <f>IF(JPEN!$C$2="EN",INDEX(都市マスタ[City Name],MATCH(K48,都市マスタ['#],0)),INDEX(都市マスタ[都市名],MATCH(K48,都市マスタ['#],0)))</f>
        <v>サンパウロ</v>
      </c>
      <c r="M48" s="117">
        <v>43</v>
      </c>
      <c r="N48" s="23">
        <f>INDEX(スコア表[Economy],MATCH(K48,スコア表['#],0))</f>
        <v>132.82510399154998</v>
      </c>
      <c r="O48" s="121">
        <f>INDEX(前年結果表[順Economy],MATCH(K48,前年結果表['#],0))</f>
        <v>43</v>
      </c>
      <c r="P48" s="29">
        <f>INDEX(前年結果表[スEconomy],MATCH(K48,前年結果表['#],0))</f>
        <v>124.70399748866667</v>
      </c>
      <c r="Q48" s="107">
        <f t="shared" si="2"/>
        <v>0</v>
      </c>
      <c r="R48" s="110">
        <f t="shared" si="3"/>
        <v>8.1211065028833076</v>
      </c>
      <c r="T48" s="22">
        <f>INDEX(順位表['#],MATCH(V48,順位表[R&amp;D],0))</f>
        <v>20</v>
      </c>
      <c r="U48" s="187" t="str">
        <f>IF(JPEN!$C$2="EN",INDEX(都市マスタ[City Name],MATCH(T48,都市マスタ['#],0)),INDEX(都市マスタ[都市名],MATCH(T48,都市マスタ['#],0)))</f>
        <v>クアラルンプール</v>
      </c>
      <c r="V48" s="117">
        <v>43</v>
      </c>
      <c r="W48" s="23">
        <f>INDEX(スコア表[R&amp;D],MATCH(T48,スコア表['#],0))</f>
        <v>16.9446929478</v>
      </c>
      <c r="X48" s="121">
        <f>INDEX(前年結果表[順R&amp;D],MATCH(T48,前年結果表['#],0))</f>
        <v>42</v>
      </c>
      <c r="Y48" s="29">
        <f>INDEX(前年結果表[スR&amp;D],MATCH(T48,前年結果表['#],0))</f>
        <v>17.416001071749999</v>
      </c>
      <c r="Z48" s="107">
        <f t="shared" si="4"/>
        <v>-1</v>
      </c>
      <c r="AA48" s="110">
        <f t="shared" si="5"/>
        <v>-0.47130812394999921</v>
      </c>
      <c r="AC48" s="22">
        <f>INDEX(順位表['#],MATCH(AE48,順位表[Cultural Interaction],0))</f>
        <v>39</v>
      </c>
      <c r="AD48" s="193" t="str">
        <f>IF(JPEN!$C$2="EN",INDEX(都市マスタ[City Name],MATCH(AC48,都市マスタ['#],0)),INDEX(都市マスタ[都市名],MATCH(AC48,都市マスタ['#],0)))</f>
        <v>ボストン</v>
      </c>
      <c r="AE48" s="117">
        <v>43</v>
      </c>
      <c r="AF48" s="23">
        <f>INDEX(スコア表[Cultural Interaction],MATCH(AC48,スコア表['#],0))</f>
        <v>62.170123586433341</v>
      </c>
      <c r="AG48" s="121">
        <f>INDEX(前年結果表[順Cultural Interaction],MATCH(AC48,前年結果表['#],0))</f>
        <v>40</v>
      </c>
      <c r="AH48" s="29">
        <f>INDEX(前年結果表[スCultural Interaction],MATCH(AC48,前年結果表['#],0))</f>
        <v>65.676701186241658</v>
      </c>
      <c r="AI48" s="107">
        <f t="shared" si="6"/>
        <v>-3</v>
      </c>
      <c r="AJ48" s="110">
        <f t="shared" si="7"/>
        <v>-3.5065775998083168</v>
      </c>
      <c r="AL48" s="22">
        <f>INDEX(順位表['#],MATCH(AN48,順位表[Livability],0))</f>
        <v>16</v>
      </c>
      <c r="AM48" s="199" t="str">
        <f>IF(JPEN!$C$2="EN",INDEX(都市マスタ[City Name],MATCH(AL48,都市マスタ['#],0)),INDEX(都市マスタ[都市名],MATCH(AL48,都市マスタ['#],0)))</f>
        <v>カイロ</v>
      </c>
      <c r="AN48" s="117">
        <v>43</v>
      </c>
      <c r="AO48" s="23">
        <f>INDEX(スコア表[Livability],MATCH(AL48,スコア表['#],0))</f>
        <v>292.57281975244996</v>
      </c>
      <c r="AP48" s="121">
        <f>INDEX(前年結果表[順Livability],MATCH(AL48,前年結果表['#],0))</f>
        <v>37</v>
      </c>
      <c r="AQ48" s="29">
        <f>INDEX(前年結果表[スLivability],MATCH(AL48,前年結果表['#],0))</f>
        <v>309.33970916479166</v>
      </c>
      <c r="AR48" s="107">
        <f t="shared" si="8"/>
        <v>-6</v>
      </c>
      <c r="AS48" s="110">
        <f t="shared" si="9"/>
        <v>-16.766889412341698</v>
      </c>
      <c r="AU48" s="22">
        <f>INDEX(順位表['#],MATCH(AW48,順位表[Environment],0))</f>
        <v>32</v>
      </c>
      <c r="AV48" s="204" t="str">
        <f>IF(JPEN!$C$2="EN",INDEX(都市マスタ[City Name],MATCH(AU48,都市マスタ['#],0)),INDEX(都市マスタ[都市名],MATCH(AU48,都市マスタ['#],0)))</f>
        <v>サンフランシスコ</v>
      </c>
      <c r="AW48" s="117">
        <v>43</v>
      </c>
      <c r="AX48" s="23">
        <f>INDEX(スコア表[Environment],MATCH(AU48,スコア表['#],0))</f>
        <v>124.97070741093333</v>
      </c>
      <c r="AY48" s="121">
        <f>INDEX(前年結果表[順Environment],MATCH(AU48,前年結果表['#],0))</f>
        <v>35</v>
      </c>
      <c r="AZ48" s="29">
        <f>INDEX(前年結果表[スEnvironment],MATCH(AU48,前年結果表['#],0))</f>
        <v>136.82290888926667</v>
      </c>
      <c r="BA48" s="107">
        <f t="shared" si="10"/>
        <v>-8</v>
      </c>
      <c r="BB48" s="110">
        <f t="shared" si="11"/>
        <v>-11.852201478333342</v>
      </c>
      <c r="BD48" s="22">
        <f>INDEX(順位表['#],MATCH(BF48,順位表[Accessibility],0))</f>
        <v>37</v>
      </c>
      <c r="BE48" s="209" t="str">
        <f>IF(JPEN!$C$2="EN",INDEX(都市マスタ[City Name],MATCH(BD48,都市マスタ['#],0)),INDEX(都市マスタ[都市名],MATCH(BD48,都市マスタ['#],0)))</f>
        <v>ワシントンDC</v>
      </c>
      <c r="BF48" s="117">
        <v>43</v>
      </c>
      <c r="BG48" s="23">
        <f>INDEX(スコア表[Accessibility],MATCH(BD48,スコア表['#],0))</f>
        <v>101.06410018313333</v>
      </c>
      <c r="BH48" s="121">
        <f>INDEX(前年結果表[順Accessibility],MATCH(BD48,前年結果表['#],0))</f>
        <v>34</v>
      </c>
      <c r="BI48" s="29">
        <f>INDEX(前年結果表[スAccessibility],MATCH(BD48,前年結果表['#],0))</f>
        <v>132.89272457279998</v>
      </c>
      <c r="BJ48" s="107">
        <f t="shared" si="12"/>
        <v>-9</v>
      </c>
      <c r="BK48" s="110">
        <f t="shared" si="13"/>
        <v>-31.828624389666643</v>
      </c>
      <c r="BM48" s="40">
        <v>43</v>
      </c>
      <c r="BN48" s="99" t="s">
        <v>188</v>
      </c>
      <c r="BO48" s="97">
        <v>100.81895600586665</v>
      </c>
      <c r="BP48" s="97">
        <v>9.4744973357333322</v>
      </c>
      <c r="BQ48" s="97">
        <v>162.08778012659167</v>
      </c>
      <c r="BR48" s="97">
        <v>348.40815735069168</v>
      </c>
      <c r="BS48" s="97">
        <v>145.74810237533333</v>
      </c>
      <c r="BT48" s="97">
        <v>98.032842286250002</v>
      </c>
      <c r="BU48" s="97">
        <v>864.57033548046672</v>
      </c>
      <c r="BV48" s="96">
        <v>47</v>
      </c>
      <c r="BW48" s="96">
        <v>46</v>
      </c>
      <c r="BX48" s="96">
        <v>10</v>
      </c>
      <c r="BY48" s="96">
        <v>16</v>
      </c>
      <c r="BZ48" s="96">
        <v>31</v>
      </c>
      <c r="CA48" s="96">
        <v>46</v>
      </c>
      <c r="CB48" s="100">
        <v>43</v>
      </c>
    </row>
    <row r="49" spans="1:80" ht="20.85" customHeight="1">
      <c r="A49" s="34"/>
      <c r="B49" s="22">
        <f>INDEX(順位表['#],MATCH(D49,順位表[Comprehensive],0))</f>
        <v>43</v>
      </c>
      <c r="C49" s="43" t="str">
        <f>IF(JPEN!$C$2="EN",INDEX(都市マスタ[City Name],MATCH(B49,都市マスタ['#],0)),INDEX(都市マスタ[都市名],MATCH(B49,都市マスタ['#],0)))</f>
        <v>ブエノスアイレス</v>
      </c>
      <c r="D49" s="117">
        <v>44</v>
      </c>
      <c r="E49" s="23">
        <f>INDEX(スコア表[Comprehensive],MATCH(B49,スコア表['#],0))</f>
        <v>812.82477223342505</v>
      </c>
      <c r="F49" s="121">
        <f>INDEX(前年結果表[順Comprehensive],MATCH(B49,前年結果表['#],0))</f>
        <v>43</v>
      </c>
      <c r="G49" s="29">
        <f>INDEX(前年結果表[スComprehensive],MATCH(B49,前年結果表['#],0))</f>
        <v>864.57033548046672</v>
      </c>
      <c r="H49" s="107">
        <f t="shared" si="0"/>
        <v>-1</v>
      </c>
      <c r="I49" s="110">
        <f t="shared" si="1"/>
        <v>-51.745563247041673</v>
      </c>
      <c r="K49" s="22">
        <f>INDEX(順位表['#],MATCH(M49,順位表[Economy],0))</f>
        <v>34</v>
      </c>
      <c r="L49" s="183" t="str">
        <f>IF(JPEN!$C$2="EN",INDEX(都市マスタ[City Name],MATCH(K49,都市マスタ['#],0)),INDEX(都市マスタ[都市名],MATCH(K49,都市マスタ['#],0)))</f>
        <v>メキシコシティ</v>
      </c>
      <c r="M49" s="117">
        <v>44</v>
      </c>
      <c r="N49" s="23">
        <f>INDEX(スコア表[Economy],MATCH(K49,スコア表['#],0))</f>
        <v>130.43638943946667</v>
      </c>
      <c r="O49" s="121">
        <f>INDEX(前年結果表[順Economy],MATCH(K49,前年結果表['#],0))</f>
        <v>46</v>
      </c>
      <c r="P49" s="29">
        <f>INDEX(前年結果表[スEconomy],MATCH(K49,前年結果表['#],0))</f>
        <v>102.47366912128334</v>
      </c>
      <c r="Q49" s="107">
        <f t="shared" si="2"/>
        <v>2</v>
      </c>
      <c r="R49" s="110">
        <f t="shared" si="3"/>
        <v>27.962720318183329</v>
      </c>
      <c r="T49" s="22">
        <f>INDEX(順位表['#],MATCH(V49,順位表[R&amp;D],0))</f>
        <v>34</v>
      </c>
      <c r="U49" s="187" t="str">
        <f>IF(JPEN!$C$2="EN",INDEX(都市マスタ[City Name],MATCH(T49,都市マスタ['#],0)),INDEX(都市マスタ[都市名],MATCH(T49,都市マスタ['#],0)))</f>
        <v>メキシコシティ</v>
      </c>
      <c r="V49" s="117">
        <v>44</v>
      </c>
      <c r="W49" s="23">
        <f>INDEX(スコア表[R&amp;D],MATCH(T49,スコア表['#],0))</f>
        <v>13.987699207650001</v>
      </c>
      <c r="X49" s="121">
        <f>INDEX(前年結果表[順R&amp;D],MATCH(T49,前年結果表['#],0))</f>
        <v>43</v>
      </c>
      <c r="Y49" s="29">
        <f>INDEX(前年結果表[スR&amp;D],MATCH(T49,前年結果表['#],0))</f>
        <v>16.579084141183333</v>
      </c>
      <c r="Z49" s="107">
        <f t="shared" si="4"/>
        <v>-1</v>
      </c>
      <c r="AA49" s="110">
        <f t="shared" si="5"/>
        <v>-2.5913849335333321</v>
      </c>
      <c r="AC49" s="22">
        <f>INDEX(順位表['#],MATCH(AE49,順位表[Cultural Interaction],0))</f>
        <v>25</v>
      </c>
      <c r="AD49" s="193" t="str">
        <f>IF(JPEN!$C$2="EN",INDEX(都市マスタ[City Name],MATCH(AC49,都市マスタ['#],0)),INDEX(都市マスタ[都市名],MATCH(AC49,都市マスタ['#],0)))</f>
        <v>台北</v>
      </c>
      <c r="AE49" s="117">
        <v>44</v>
      </c>
      <c r="AF49" s="23">
        <f>INDEX(スコア表[Cultural Interaction],MATCH(AC49,スコア表['#],0))</f>
        <v>59.161857841424997</v>
      </c>
      <c r="AG49" s="121">
        <f>INDEX(前年結果表[順Cultural Interaction],MATCH(AC49,前年結果表['#],0))</f>
        <v>44</v>
      </c>
      <c r="AH49" s="29">
        <f>INDEX(前年結果表[スCultural Interaction],MATCH(AC49,前年結果表['#],0))</f>
        <v>57.325762866758332</v>
      </c>
      <c r="AI49" s="107">
        <f t="shared" si="6"/>
        <v>0</v>
      </c>
      <c r="AJ49" s="110">
        <f t="shared" si="7"/>
        <v>1.8360949746666648</v>
      </c>
      <c r="AL49" s="22">
        <f>INDEX(順位表['#],MATCH(AN49,順位表[Livability],0))</f>
        <v>33</v>
      </c>
      <c r="AM49" s="199" t="str">
        <f>IF(JPEN!$C$2="EN",INDEX(都市マスタ[City Name],MATCH(AL49,都市マスタ['#],0)),INDEX(都市マスタ[都市名],MATCH(AL49,都市マスタ['#],0)))</f>
        <v>ロサンゼルス</v>
      </c>
      <c r="AN49" s="117">
        <v>44</v>
      </c>
      <c r="AO49" s="23">
        <f>INDEX(スコア表[Livability],MATCH(AL49,スコア表['#],0))</f>
        <v>290.94787185634164</v>
      </c>
      <c r="AP49" s="121">
        <f>INDEX(前年結果表[順Livability],MATCH(AL49,前年結果表['#],0))</f>
        <v>39</v>
      </c>
      <c r="AQ49" s="29">
        <f>INDEX(前年結果表[スLivability],MATCH(AL49,前年結果表['#],0))</f>
        <v>302.86276509216668</v>
      </c>
      <c r="AR49" s="107">
        <f t="shared" si="8"/>
        <v>-5</v>
      </c>
      <c r="AS49" s="110">
        <f t="shared" si="9"/>
        <v>-11.914893235825048</v>
      </c>
      <c r="AU49" s="22">
        <f>INDEX(順位表['#],MATCH(AW49,順位表[Environment],0))</f>
        <v>44</v>
      </c>
      <c r="AV49" s="204" t="str">
        <f>IF(JPEN!$C$2="EN",INDEX(都市マスタ[City Name],MATCH(AU49,都市マスタ['#],0)),INDEX(都市マスタ[都市名],MATCH(AU49,都市マスタ['#],0)))</f>
        <v>ドバイ</v>
      </c>
      <c r="AW49" s="117">
        <v>44</v>
      </c>
      <c r="AX49" s="23">
        <f>INDEX(スコア表[Environment],MATCH(AU49,スコア表['#],0))</f>
        <v>123.8738976157</v>
      </c>
      <c r="AY49" s="121">
        <f>INDEX(前年結果表[順Environment],MATCH(AU49,前年結果表['#],0))</f>
        <v>41</v>
      </c>
      <c r="AZ49" s="29">
        <f>INDEX(前年結果表[スEnvironment],MATCH(AU49,前年結果表['#],0))</f>
        <v>129.4140762637</v>
      </c>
      <c r="BA49" s="107">
        <f t="shared" si="10"/>
        <v>-3</v>
      </c>
      <c r="BB49" s="110">
        <f t="shared" si="11"/>
        <v>-5.5401786479999942</v>
      </c>
      <c r="BD49" s="22">
        <f>INDEX(順位表['#],MATCH(BF49,順位表[Accessibility],0))</f>
        <v>18</v>
      </c>
      <c r="BE49" s="209" t="str">
        <f>IF(JPEN!$C$2="EN",INDEX(都市マスタ[City Name],MATCH(BD49,都市マスタ['#],0)),INDEX(都市マスタ[都市名],MATCH(BD49,都市マスタ['#],0)))</f>
        <v>ムンバイ</v>
      </c>
      <c r="BF49" s="117">
        <v>44</v>
      </c>
      <c r="BG49" s="23">
        <f>INDEX(スコア表[Accessibility],MATCH(BD49,スコア表['#],0))</f>
        <v>92.885580577433331</v>
      </c>
      <c r="BH49" s="121">
        <f>INDEX(前年結果表[順Accessibility],MATCH(BD49,前年結果表['#],0))</f>
        <v>48</v>
      </c>
      <c r="BI49" s="29">
        <f>INDEX(前年結果表[スAccessibility],MATCH(BD49,前年結果表['#],0))</f>
        <v>88.997958616916662</v>
      </c>
      <c r="BJ49" s="107">
        <f t="shared" si="12"/>
        <v>4</v>
      </c>
      <c r="BK49" s="110">
        <f t="shared" si="13"/>
        <v>3.8876219605166682</v>
      </c>
      <c r="BM49" s="40">
        <v>44</v>
      </c>
      <c r="BN49" s="99" t="s">
        <v>190</v>
      </c>
      <c r="BO49" s="97">
        <v>221.70673490671666</v>
      </c>
      <c r="BP49" s="97">
        <v>25.23312604791667</v>
      </c>
      <c r="BQ49" s="97">
        <v>226.82481733994166</v>
      </c>
      <c r="BR49" s="97">
        <v>338.82238495265835</v>
      </c>
      <c r="BS49" s="97">
        <v>129.4140762637</v>
      </c>
      <c r="BT49" s="97">
        <v>185.75301918166667</v>
      </c>
      <c r="BU49" s="97">
        <v>1127.7541586926</v>
      </c>
      <c r="BV49" s="96">
        <v>27</v>
      </c>
      <c r="BW49" s="96">
        <v>39</v>
      </c>
      <c r="BX49" s="96">
        <v>4</v>
      </c>
      <c r="BY49" s="96">
        <v>21</v>
      </c>
      <c r="BZ49" s="96">
        <v>41</v>
      </c>
      <c r="CA49" s="96">
        <v>9</v>
      </c>
      <c r="CB49" s="100">
        <v>11</v>
      </c>
    </row>
    <row r="50" spans="1:80" ht="20.85" customHeight="1">
      <c r="A50" s="34"/>
      <c r="B50" s="22">
        <f>INDEX(順位表['#],MATCH(D50,順位表[Comprehensive],0))</f>
        <v>42</v>
      </c>
      <c r="C50" s="43" t="str">
        <f>IF(JPEN!$C$2="EN",INDEX(都市マスタ[City Name],MATCH(B50,都市マスタ['#],0)),INDEX(都市マスタ[都市名],MATCH(B50,都市マスタ['#],0)))</f>
        <v>ジャカルタ</v>
      </c>
      <c r="D50" s="117">
        <v>45</v>
      </c>
      <c r="E50" s="23">
        <f>INDEX(スコア表[Comprehensive],MATCH(B50,スコア表['#],0))</f>
        <v>741.73320807286666</v>
      </c>
      <c r="F50" s="121">
        <f>INDEX(前年結果表[順Comprehensive],MATCH(B50,前年結果表['#],0))</f>
        <v>45</v>
      </c>
      <c r="G50" s="29">
        <f>INDEX(前年結果表[スComprehensive],MATCH(B50,前年結果表['#],0))</f>
        <v>756.79036659585825</v>
      </c>
      <c r="H50" s="107">
        <f t="shared" si="0"/>
        <v>0</v>
      </c>
      <c r="I50" s="110">
        <f t="shared" si="1"/>
        <v>-15.057158522991585</v>
      </c>
      <c r="K50" s="22">
        <f>INDEX(順位表['#],MATCH(M50,順位表[Economy],0))</f>
        <v>41</v>
      </c>
      <c r="L50" s="183" t="str">
        <f>IF(JPEN!$C$2="EN",INDEX(都市マスタ[City Name],MATCH(K50,都市マスタ['#],0)),INDEX(都市マスタ[都市名],MATCH(K50,都市マスタ['#],0)))</f>
        <v>ヨハネスブルグ</v>
      </c>
      <c r="M50" s="117">
        <v>45</v>
      </c>
      <c r="N50" s="23">
        <f>INDEX(スコア表[Economy],MATCH(K50,スコア表['#],0))</f>
        <v>117.59803928888333</v>
      </c>
      <c r="O50" s="121">
        <f>INDEX(前年結果表[順Economy],MATCH(K50,前年結果表['#],0))</f>
        <v>45</v>
      </c>
      <c r="P50" s="29">
        <f>INDEX(前年結果表[スEconomy],MATCH(K50,前年結果表['#],0))</f>
        <v>107.94242629998332</v>
      </c>
      <c r="Q50" s="107">
        <f t="shared" si="2"/>
        <v>0</v>
      </c>
      <c r="R50" s="110">
        <f t="shared" si="3"/>
        <v>9.6556129889000033</v>
      </c>
      <c r="T50" s="22">
        <f>INDEX(順位表['#],MATCH(V50,順位表[R&amp;D],0))</f>
        <v>43</v>
      </c>
      <c r="U50" s="187" t="str">
        <f>IF(JPEN!$C$2="EN",INDEX(都市マスタ[City Name],MATCH(T50,都市マスタ['#],0)),INDEX(都市マスタ[都市名],MATCH(T50,都市マスタ['#],0)))</f>
        <v>ブエノスアイレス</v>
      </c>
      <c r="V50" s="117">
        <v>45</v>
      </c>
      <c r="W50" s="23">
        <f>INDEX(スコア表[R&amp;D],MATCH(T50,スコア表['#],0))</f>
        <v>10.379929740866666</v>
      </c>
      <c r="X50" s="121">
        <f>INDEX(前年結果表[順R&amp;D],MATCH(T50,前年結果表['#],0))</f>
        <v>46</v>
      </c>
      <c r="Y50" s="29">
        <f>INDEX(前年結果表[スR&amp;D],MATCH(T50,前年結果表['#],0))</f>
        <v>9.4744973357333322</v>
      </c>
      <c r="Z50" s="107">
        <f t="shared" si="4"/>
        <v>1</v>
      </c>
      <c r="AA50" s="110">
        <f t="shared" si="5"/>
        <v>0.90543240513333423</v>
      </c>
      <c r="AC50" s="22">
        <f>INDEX(順位表['#],MATCH(AE50,順位表[Cultural Interaction],0))</f>
        <v>11</v>
      </c>
      <c r="AD50" s="193" t="str">
        <f>IF(JPEN!$C$2="EN",INDEX(都市マスタ[City Name],MATCH(AC50,都市マスタ['#],0)),INDEX(都市マスタ[都市名],MATCH(AC50,都市マスタ['#],0)))</f>
        <v>チューリッヒ</v>
      </c>
      <c r="AE50" s="117">
        <v>45</v>
      </c>
      <c r="AF50" s="23">
        <f>INDEX(スコア表[Cultural Interaction],MATCH(AC50,スコア表['#],0))</f>
        <v>57.66907930024167</v>
      </c>
      <c r="AG50" s="121">
        <f>INDEX(前年結果表[順Cultural Interaction],MATCH(AC50,前年結果表['#],0))</f>
        <v>45</v>
      </c>
      <c r="AH50" s="29">
        <f>INDEX(前年結果表[スCultural Interaction],MATCH(AC50,前年結果表['#],0))</f>
        <v>50.81149846973333</v>
      </c>
      <c r="AI50" s="107">
        <f t="shared" si="6"/>
        <v>0</v>
      </c>
      <c r="AJ50" s="110">
        <f t="shared" si="7"/>
        <v>6.8575808305083399</v>
      </c>
      <c r="AL50" s="22">
        <f>INDEX(順位表['#],MATCH(AN50,順位表[Livability],0))</f>
        <v>18</v>
      </c>
      <c r="AM50" s="199" t="str">
        <f>IF(JPEN!$C$2="EN",INDEX(都市マスタ[City Name],MATCH(AL50,都市マスタ['#],0)),INDEX(都市マスタ[都市名],MATCH(AL50,都市マスタ['#],0)))</f>
        <v>ムンバイ</v>
      </c>
      <c r="AN50" s="117">
        <v>45</v>
      </c>
      <c r="AO50" s="23">
        <f>INDEX(スコア表[Livability],MATCH(AL50,スコア表['#],0))</f>
        <v>288.9200820559667</v>
      </c>
      <c r="AP50" s="121">
        <f>INDEX(前年結果表[順Livability],MATCH(AL50,前年結果表['#],0))</f>
        <v>46</v>
      </c>
      <c r="AQ50" s="29">
        <f>INDEX(前年結果表[スLivability],MATCH(AL50,前年結果表['#],0))</f>
        <v>274.99281213791664</v>
      </c>
      <c r="AR50" s="107">
        <f t="shared" si="8"/>
        <v>1</v>
      </c>
      <c r="AS50" s="110">
        <f t="shared" si="9"/>
        <v>13.927269918050058</v>
      </c>
      <c r="AU50" s="22">
        <f>INDEX(順位表['#],MATCH(AW50,順位表[Environment],0))</f>
        <v>19</v>
      </c>
      <c r="AV50" s="204" t="str">
        <f>IF(JPEN!$C$2="EN",INDEX(都市マスタ[City Name],MATCH(AU50,都市マスタ['#],0)),INDEX(都市マスタ[都市名],MATCH(AU50,都市マスタ['#],0)))</f>
        <v>バンコク</v>
      </c>
      <c r="AW50" s="117">
        <v>45</v>
      </c>
      <c r="AX50" s="23">
        <f>INDEX(スコア表[Environment],MATCH(AU50,スコア表['#],0))</f>
        <v>122.29754939166666</v>
      </c>
      <c r="AY50" s="121">
        <f>INDEX(前年結果表[順Environment],MATCH(AU50,前年結果表['#],0))</f>
        <v>45</v>
      </c>
      <c r="AZ50" s="29">
        <f>INDEX(前年結果表[スEnvironment],MATCH(AU50,前年結果表['#],0))</f>
        <v>113.7748868091</v>
      </c>
      <c r="BA50" s="107">
        <f t="shared" si="10"/>
        <v>0</v>
      </c>
      <c r="BB50" s="110">
        <f t="shared" si="11"/>
        <v>8.5226625825666673</v>
      </c>
      <c r="BD50" s="22">
        <f>INDEX(順位表['#],MATCH(BF50,順位表[Accessibility],0))</f>
        <v>41</v>
      </c>
      <c r="BE50" s="209" t="str">
        <f>IF(JPEN!$C$2="EN",INDEX(都市マスタ[City Name],MATCH(BD50,都市マスタ['#],0)),INDEX(都市マスタ[都市名],MATCH(BD50,都市マスタ['#],0)))</f>
        <v>ヨハネスブルグ</v>
      </c>
      <c r="BF50" s="117">
        <v>45</v>
      </c>
      <c r="BG50" s="23">
        <f>INDEX(スコア表[Accessibility],MATCH(BD50,スコア表['#],0))</f>
        <v>91.2491304582</v>
      </c>
      <c r="BH50" s="121">
        <f>INDEX(前年結果表[順Accessibility],MATCH(BD50,前年結果表['#],0))</f>
        <v>47</v>
      </c>
      <c r="BI50" s="29">
        <f>INDEX(前年結果表[スAccessibility],MATCH(BD50,前年結果表['#],0))</f>
        <v>92.898451201883347</v>
      </c>
      <c r="BJ50" s="107">
        <f t="shared" si="12"/>
        <v>2</v>
      </c>
      <c r="BK50" s="110">
        <f t="shared" si="13"/>
        <v>-1.6493207436833472</v>
      </c>
      <c r="BM50" s="40">
        <v>45</v>
      </c>
      <c r="BN50" s="99" t="s">
        <v>369</v>
      </c>
      <c r="BO50" s="97">
        <v>273.55532181846672</v>
      </c>
      <c r="BP50" s="97">
        <v>33.495137712750001</v>
      </c>
      <c r="BQ50" s="97">
        <v>71.238933723799988</v>
      </c>
      <c r="BR50" s="97">
        <v>337.92010654339998</v>
      </c>
      <c r="BS50" s="97">
        <v>162.38949319076667</v>
      </c>
      <c r="BT50" s="97">
        <v>134.11354294341666</v>
      </c>
      <c r="BU50" s="97">
        <v>1012.7125359326001</v>
      </c>
      <c r="BV50" s="96">
        <v>9</v>
      </c>
      <c r="BW50" s="96">
        <v>35</v>
      </c>
      <c r="BX50" s="96">
        <v>39</v>
      </c>
      <c r="BY50" s="96">
        <v>22</v>
      </c>
      <c r="BZ50" s="96">
        <v>21</v>
      </c>
      <c r="CA50" s="96">
        <v>30</v>
      </c>
      <c r="CB50" s="100">
        <v>30</v>
      </c>
    </row>
    <row r="51" spans="1:80" ht="20.85" customHeight="1">
      <c r="A51" s="34"/>
      <c r="B51" s="22">
        <f>INDEX(順位表['#],MATCH(D51,順位表[Comprehensive],0))</f>
        <v>41</v>
      </c>
      <c r="C51" s="43" t="str">
        <f>IF(JPEN!$C$2="EN",INDEX(都市マスタ[City Name],MATCH(B51,都市マスタ['#],0)),INDEX(都市マスタ[都市名],MATCH(B51,都市マスタ['#],0)))</f>
        <v>ヨハネスブルグ</v>
      </c>
      <c r="D51" s="117">
        <v>46</v>
      </c>
      <c r="E51" s="23">
        <f>INDEX(スコア表[Comprehensive],MATCH(B51,スコア表['#],0))</f>
        <v>664.00173191842509</v>
      </c>
      <c r="F51" s="121">
        <f>INDEX(前年結果表[順Comprehensive],MATCH(B51,前年結果表['#],0))</f>
        <v>47</v>
      </c>
      <c r="G51" s="29">
        <f>INDEX(前年結果表[スComprehensive],MATCH(B51,前年結果表['#],0))</f>
        <v>639.80703681084992</v>
      </c>
      <c r="H51" s="107">
        <f t="shared" si="0"/>
        <v>1</v>
      </c>
      <c r="I51" s="110">
        <f t="shared" si="1"/>
        <v>24.194695107575171</v>
      </c>
      <c r="K51" s="22">
        <f>INDEX(順位表['#],MATCH(M51,順位表[Economy],0))</f>
        <v>43</v>
      </c>
      <c r="L51" s="183" t="str">
        <f>IF(JPEN!$C$2="EN",INDEX(都市マスタ[City Name],MATCH(K51,都市マスタ['#],0)),INDEX(都市マスタ[都市名],MATCH(K51,都市マスタ['#],0)))</f>
        <v>ブエノスアイレス</v>
      </c>
      <c r="M51" s="117">
        <v>46</v>
      </c>
      <c r="N51" s="23">
        <f>INDEX(スコア表[Economy],MATCH(K51,スコア表['#],0))</f>
        <v>96.232952059400006</v>
      </c>
      <c r="O51" s="121">
        <f>INDEX(前年結果表[順Economy],MATCH(K51,前年結果表['#],0))</f>
        <v>47</v>
      </c>
      <c r="P51" s="29">
        <f>INDEX(前年結果表[スEconomy],MATCH(K51,前年結果表['#],0))</f>
        <v>100.81895600586665</v>
      </c>
      <c r="Q51" s="107">
        <f t="shared" si="2"/>
        <v>1</v>
      </c>
      <c r="R51" s="110">
        <f t="shared" si="3"/>
        <v>-4.5860039464666471</v>
      </c>
      <c r="T51" s="22">
        <f>INDEX(順位表['#],MATCH(V51,順位表[R&amp;D],0))</f>
        <v>42</v>
      </c>
      <c r="U51" s="187" t="str">
        <f>IF(JPEN!$C$2="EN",INDEX(都市マスタ[City Name],MATCH(T51,都市マスタ['#],0)),INDEX(都市マスタ[都市名],MATCH(T51,都市マスタ['#],0)))</f>
        <v>ジャカルタ</v>
      </c>
      <c r="V51" s="117">
        <v>46</v>
      </c>
      <c r="W51" s="23">
        <f>INDEX(スコア表[R&amp;D],MATCH(T51,スコア表['#],0))</f>
        <v>9.4096349131166672</v>
      </c>
      <c r="X51" s="121">
        <f>INDEX(前年結果表[順R&amp;D],MATCH(T51,前年結果表['#],0))</f>
        <v>45</v>
      </c>
      <c r="Y51" s="29">
        <f>INDEX(前年結果表[スR&amp;D],MATCH(T51,前年結果表['#],0))</f>
        <v>10.728391757116666</v>
      </c>
      <c r="Z51" s="107">
        <f t="shared" si="4"/>
        <v>-1</v>
      </c>
      <c r="AA51" s="110">
        <f t="shared" si="5"/>
        <v>-1.3187568439999993</v>
      </c>
      <c r="AC51" s="22">
        <f>INDEX(順位表['#],MATCH(AE51,順位表[Cultural Interaction],0))</f>
        <v>7</v>
      </c>
      <c r="AD51" s="193" t="str">
        <f>IF(JPEN!$C$2="EN",INDEX(都市マスタ[City Name],MATCH(AC51,都市マスタ['#],0)),INDEX(都市マスタ[都市名],MATCH(AC51,都市マスタ['#],0)))</f>
        <v>ジュネーブ</v>
      </c>
      <c r="AE51" s="117">
        <v>46</v>
      </c>
      <c r="AF51" s="23">
        <f>INDEX(スコア表[Cultural Interaction],MATCH(AC51,スコア表['#],0))</f>
        <v>50.841719823391664</v>
      </c>
      <c r="AG51" s="121">
        <f>INDEX(前年結果表[順Cultural Interaction],MATCH(AC51,前年結果表['#],0))</f>
        <v>47</v>
      </c>
      <c r="AH51" s="29">
        <f>INDEX(前年結果表[スCultural Interaction],MATCH(AC51,前年結果表['#],0))</f>
        <v>37.564671794783337</v>
      </c>
      <c r="AI51" s="107">
        <f t="shared" si="6"/>
        <v>1</v>
      </c>
      <c r="AJ51" s="110">
        <f t="shared" si="7"/>
        <v>13.277048028608327</v>
      </c>
      <c r="AL51" s="22">
        <f>INDEX(順位表['#],MATCH(AN51,順位表[Livability],0))</f>
        <v>35</v>
      </c>
      <c r="AM51" s="199" t="str">
        <f>IF(JPEN!$C$2="EN",INDEX(都市マスタ[City Name],MATCH(AL51,都市マスタ['#],0)),INDEX(都市マスタ[都市名],MATCH(AL51,都市マスタ['#],0)))</f>
        <v>シカゴ</v>
      </c>
      <c r="AN51" s="117">
        <v>46</v>
      </c>
      <c r="AO51" s="23">
        <f>INDEX(スコア表[Livability],MATCH(AL51,スコア表['#],0))</f>
        <v>286.26469909770003</v>
      </c>
      <c r="AP51" s="121">
        <f>INDEX(前年結果表[順Livability],MATCH(AL51,前年結果表['#],0))</f>
        <v>44</v>
      </c>
      <c r="AQ51" s="29">
        <f>INDEX(前年結果表[スLivability],MATCH(AL51,前年結果表['#],0))</f>
        <v>287.18046695046667</v>
      </c>
      <c r="AR51" s="107">
        <f t="shared" si="8"/>
        <v>-2</v>
      </c>
      <c r="AS51" s="110">
        <f t="shared" si="9"/>
        <v>-0.91576785276663486</v>
      </c>
      <c r="AU51" s="22">
        <f>INDEX(順位表['#],MATCH(AW51,順位表[Environment],0))</f>
        <v>18</v>
      </c>
      <c r="AV51" s="204" t="str">
        <f>IF(JPEN!$C$2="EN",INDEX(都市マスタ[City Name],MATCH(AU51,都市マスタ['#],0)),INDEX(都市マスタ[都市名],MATCH(AU51,都市マスタ['#],0)))</f>
        <v>ムンバイ</v>
      </c>
      <c r="AW51" s="117">
        <v>46</v>
      </c>
      <c r="AX51" s="23">
        <f>INDEX(スコア表[Environment],MATCH(AU51,スコア表['#],0))</f>
        <v>92.760730815266669</v>
      </c>
      <c r="AY51" s="121">
        <f>INDEX(前年結果表[順Environment],MATCH(AU51,前年結果表['#],0))</f>
        <v>48</v>
      </c>
      <c r="AZ51" s="29">
        <f>INDEX(前年結果表[スEnvironment],MATCH(AU51,前年結果表['#],0))</f>
        <v>80.309843971500001</v>
      </c>
      <c r="BA51" s="107">
        <f t="shared" si="10"/>
        <v>2</v>
      </c>
      <c r="BB51" s="110">
        <f t="shared" si="11"/>
        <v>12.450886843766668</v>
      </c>
      <c r="BD51" s="22">
        <f>INDEX(順位表['#],MATCH(BF51,順位表[Accessibility],0))</f>
        <v>40</v>
      </c>
      <c r="BE51" s="209" t="str">
        <f>IF(JPEN!$C$2="EN",INDEX(都市マスタ[City Name],MATCH(BD51,都市マスタ['#],0)),INDEX(都市マスタ[都市名],MATCH(BD51,都市マスタ['#],0)))</f>
        <v>サンパウロ</v>
      </c>
      <c r="BF51" s="117">
        <v>46</v>
      </c>
      <c r="BG51" s="23">
        <f>INDEX(スコア表[Accessibility],MATCH(BD51,スコア表['#],0))</f>
        <v>90.181285020066667</v>
      </c>
      <c r="BH51" s="121">
        <f>INDEX(前年結果表[順Accessibility],MATCH(BD51,前年結果表['#],0))</f>
        <v>42</v>
      </c>
      <c r="BI51" s="29">
        <f>INDEX(前年結果表[スAccessibility],MATCH(BD51,前年結果表['#],0))</f>
        <v>109.63131224511667</v>
      </c>
      <c r="BJ51" s="107">
        <f t="shared" si="12"/>
        <v>-4</v>
      </c>
      <c r="BK51" s="110">
        <f t="shared" si="13"/>
        <v>-19.450027225050007</v>
      </c>
      <c r="BM51" s="40">
        <v>46</v>
      </c>
      <c r="BN51" s="99" t="s">
        <v>370</v>
      </c>
      <c r="BO51" s="97">
        <v>238.09570578815001</v>
      </c>
      <c r="BP51" s="97">
        <v>35.991581687699998</v>
      </c>
      <c r="BQ51" s="97">
        <v>37.334302367308332</v>
      </c>
      <c r="BR51" s="97">
        <v>354.02747180714169</v>
      </c>
      <c r="BS51" s="97">
        <v>208.82837919443335</v>
      </c>
      <c r="BT51" s="97">
        <v>151.33138323556668</v>
      </c>
      <c r="BU51" s="97">
        <v>1025.6088240803001</v>
      </c>
      <c r="BV51" s="96">
        <v>22</v>
      </c>
      <c r="BW51" s="96">
        <v>33</v>
      </c>
      <c r="BX51" s="96">
        <v>48</v>
      </c>
      <c r="BY51" s="96">
        <v>10</v>
      </c>
      <c r="BZ51" s="96">
        <v>3</v>
      </c>
      <c r="CA51" s="96">
        <v>25</v>
      </c>
      <c r="CB51" s="100">
        <v>28</v>
      </c>
    </row>
    <row r="52" spans="1:80" ht="20.85" customHeight="1">
      <c r="A52" s="34"/>
      <c r="B52" s="22">
        <f>INDEX(順位表['#],MATCH(D52,順位表[Comprehensive],0))</f>
        <v>16</v>
      </c>
      <c r="C52" s="43" t="str">
        <f>IF(JPEN!$C$2="EN",INDEX(都市マスタ[City Name],MATCH(B52,都市マスタ['#],0)),INDEX(都市マスタ[都市名],MATCH(B52,都市マスタ['#],0)))</f>
        <v>カイロ</v>
      </c>
      <c r="D52" s="117">
        <v>47</v>
      </c>
      <c r="E52" s="23">
        <f>INDEX(スコア表[Comprehensive],MATCH(B52,スコア表['#],0))</f>
        <v>661.27664620438327</v>
      </c>
      <c r="F52" s="121">
        <f>INDEX(前年結果表[順Comprehensive],MATCH(B52,前年結果表['#],0))</f>
        <v>46</v>
      </c>
      <c r="G52" s="29">
        <f>INDEX(前年結果表[スComprehensive],MATCH(B52,前年結果表['#],0))</f>
        <v>697.38332535459165</v>
      </c>
      <c r="H52" s="107">
        <f t="shared" si="0"/>
        <v>-1</v>
      </c>
      <c r="I52" s="110">
        <f t="shared" si="1"/>
        <v>-36.106679150208379</v>
      </c>
      <c r="K52" s="22">
        <f>INDEX(順位表['#],MATCH(M52,順位表[Economy],0))</f>
        <v>18</v>
      </c>
      <c r="L52" s="183" t="str">
        <f>IF(JPEN!$C$2="EN",INDEX(都市マスタ[City Name],MATCH(K52,都市マスタ['#],0)),INDEX(都市マスタ[都市名],MATCH(K52,都市マスタ['#],0)))</f>
        <v>ムンバイ</v>
      </c>
      <c r="M52" s="117">
        <v>47</v>
      </c>
      <c r="N52" s="23">
        <f>INDEX(スコア表[Economy],MATCH(K52,スコア表['#],0))</f>
        <v>90.066968958250001</v>
      </c>
      <c r="O52" s="121">
        <f>INDEX(前年結果表[順Economy],MATCH(K52,前年結果表['#],0))</f>
        <v>44</v>
      </c>
      <c r="P52" s="29">
        <f>INDEX(前年結果表[スEconomy],MATCH(K52,前年結果表['#],0))</f>
        <v>111.40864578668334</v>
      </c>
      <c r="Q52" s="107">
        <f t="shared" si="2"/>
        <v>-3</v>
      </c>
      <c r="R52" s="110">
        <f t="shared" si="3"/>
        <v>-21.341676828433336</v>
      </c>
      <c r="T52" s="22">
        <f>INDEX(順位表['#],MATCH(V52,順位表[R&amp;D],0))</f>
        <v>18</v>
      </c>
      <c r="U52" s="187" t="str">
        <f>IF(JPEN!$C$2="EN",INDEX(都市マスタ[City Name],MATCH(T52,都市マスタ['#],0)),INDEX(都市マスタ[都市名],MATCH(T52,都市マスタ['#],0)))</f>
        <v>ムンバイ</v>
      </c>
      <c r="V52" s="117">
        <v>47</v>
      </c>
      <c r="W52" s="23">
        <f>INDEX(スコア表[R&amp;D],MATCH(T52,スコア表['#],0))</f>
        <v>7.5170181804833334</v>
      </c>
      <c r="X52" s="121">
        <f>INDEX(前年結果表[順R&amp;D],MATCH(T52,前年結果表['#],0))</f>
        <v>47</v>
      </c>
      <c r="Y52" s="29">
        <f>INDEX(前年結果表[スR&amp;D],MATCH(T52,前年結果表['#],0))</f>
        <v>6.5887630215500002</v>
      </c>
      <c r="Z52" s="107">
        <f t="shared" si="4"/>
        <v>0</v>
      </c>
      <c r="AA52" s="110">
        <f t="shared" si="5"/>
        <v>0.92825515893333321</v>
      </c>
      <c r="AC52" s="22">
        <f>INDEX(順位表['#],MATCH(AE52,順位表[Cultural Interaction],0))</f>
        <v>27</v>
      </c>
      <c r="AD52" s="193" t="str">
        <f>IF(JPEN!$C$2="EN",INDEX(都市マスタ[City Name],MATCH(AC52,都市マスタ['#],0)),INDEX(都市マスタ[都市名],MATCH(AC52,都市マスタ['#],0)))</f>
        <v>福岡</v>
      </c>
      <c r="AE52" s="117">
        <v>47</v>
      </c>
      <c r="AF52" s="23">
        <f>INDEX(スコア表[Cultural Interaction],MATCH(AC52,スコア表['#],0))</f>
        <v>48.990002428691668</v>
      </c>
      <c r="AG52" s="121">
        <f>INDEX(前年結果表[順Cultural Interaction],MATCH(AC52,前年結果表['#],0))</f>
        <v>46</v>
      </c>
      <c r="AH52" s="29">
        <f>INDEX(前年結果表[スCultural Interaction],MATCH(AC52,前年結果表['#],0))</f>
        <v>43.607071788249996</v>
      </c>
      <c r="AI52" s="107">
        <f t="shared" si="6"/>
        <v>-1</v>
      </c>
      <c r="AJ52" s="110">
        <f t="shared" si="7"/>
        <v>5.3829306404416712</v>
      </c>
      <c r="AL52" s="22">
        <f>INDEX(順位表['#],MATCH(AN52,順位表[Livability],0))</f>
        <v>37</v>
      </c>
      <c r="AM52" s="199" t="str">
        <f>IF(JPEN!$C$2="EN",INDEX(都市マスタ[City Name],MATCH(AL52,都市マスタ['#],0)),INDEX(都市マスタ[都市名],MATCH(AL52,都市マスタ['#],0)))</f>
        <v>ワシントンDC</v>
      </c>
      <c r="AN52" s="117">
        <v>47</v>
      </c>
      <c r="AO52" s="23">
        <f>INDEX(スコア表[Livability],MATCH(AL52,スコア表['#],0))</f>
        <v>284.30176071891668</v>
      </c>
      <c r="AP52" s="121">
        <f>INDEX(前年結果表[順Livability],MATCH(AL52,前年結果表['#],0))</f>
        <v>47</v>
      </c>
      <c r="AQ52" s="29">
        <f>INDEX(前年結果表[スLivability],MATCH(AL52,前年結果表['#],0))</f>
        <v>273.65136298326667</v>
      </c>
      <c r="AR52" s="107">
        <f t="shared" si="8"/>
        <v>0</v>
      </c>
      <c r="AS52" s="110">
        <f t="shared" si="9"/>
        <v>10.650397735650017</v>
      </c>
      <c r="AU52" s="22">
        <f>INDEX(順位表['#],MATCH(AW52,順位表[Environment],0))</f>
        <v>42</v>
      </c>
      <c r="AV52" s="204" t="str">
        <f>IF(JPEN!$C$2="EN",INDEX(都市マスタ[City Name],MATCH(AU52,都市マスタ['#],0)),INDEX(都市マスタ[都市名],MATCH(AU52,都市マスタ['#],0)))</f>
        <v>ジャカルタ</v>
      </c>
      <c r="AW52" s="117">
        <v>47</v>
      </c>
      <c r="AX52" s="23">
        <f>INDEX(スコア表[Environment],MATCH(AU52,スコア表['#],0))</f>
        <v>91.384468461466668</v>
      </c>
      <c r="AY52" s="121">
        <f>INDEX(前年結果表[順Environment],MATCH(AU52,前年結果表['#],0))</f>
        <v>46</v>
      </c>
      <c r="AZ52" s="29">
        <f>INDEX(前年結果表[スEnvironment],MATCH(AU52,前年結果表['#],0))</f>
        <v>86.946947562666679</v>
      </c>
      <c r="BA52" s="107">
        <f t="shared" si="10"/>
        <v>-1</v>
      </c>
      <c r="BB52" s="110">
        <f t="shared" si="11"/>
        <v>4.4375208987999883</v>
      </c>
      <c r="BD52" s="22">
        <f>INDEX(順位表['#],MATCH(BF52,順位表[Accessibility],0))</f>
        <v>42</v>
      </c>
      <c r="BE52" s="209" t="str">
        <f>IF(JPEN!$C$2="EN",INDEX(都市マスタ[City Name],MATCH(BD52,都市マスタ['#],0)),INDEX(都市マスタ[都市名],MATCH(BD52,都市マスタ['#],0)))</f>
        <v>ジャカルタ</v>
      </c>
      <c r="BF52" s="117">
        <v>47</v>
      </c>
      <c r="BG52" s="23">
        <f>INDEX(スコア表[Accessibility],MATCH(BD52,スコア表['#],0))</f>
        <v>76.94312260671667</v>
      </c>
      <c r="BH52" s="121">
        <f>INDEX(前年結果表[順Accessibility],MATCH(BD52,前年結果表['#],0))</f>
        <v>45</v>
      </c>
      <c r="BI52" s="29">
        <f>INDEX(前年結果表[スAccessibility],MATCH(BD52,前年結果表['#],0))</f>
        <v>103.30302505561667</v>
      </c>
      <c r="BJ52" s="107">
        <f t="shared" si="12"/>
        <v>-2</v>
      </c>
      <c r="BK52" s="110">
        <f t="shared" si="13"/>
        <v>-26.359902448900002</v>
      </c>
      <c r="BM52" s="40">
        <v>47</v>
      </c>
      <c r="BN52" s="99" t="s">
        <v>371</v>
      </c>
      <c r="BO52" s="97">
        <v>207.86321582733333</v>
      </c>
      <c r="BP52" s="97">
        <v>32.144512014166665</v>
      </c>
      <c r="BQ52" s="97">
        <v>86.701661524966667</v>
      </c>
      <c r="BR52" s="97">
        <v>315.76181324662502</v>
      </c>
      <c r="BS52" s="97">
        <v>135.7674191960333</v>
      </c>
      <c r="BT52" s="97">
        <v>106.68319547241667</v>
      </c>
      <c r="BU52" s="97">
        <v>884.92181728154162</v>
      </c>
      <c r="BV52" s="96">
        <v>30</v>
      </c>
      <c r="BW52" s="96">
        <v>36</v>
      </c>
      <c r="BX52" s="96">
        <v>32</v>
      </c>
      <c r="BY52" s="96">
        <v>36</v>
      </c>
      <c r="BZ52" s="96">
        <v>36</v>
      </c>
      <c r="CA52" s="96">
        <v>44</v>
      </c>
      <c r="CB52" s="100">
        <v>39</v>
      </c>
    </row>
    <row r="53" spans="1:80" ht="20.85" customHeight="1">
      <c r="A53" s="34"/>
      <c r="B53" s="22">
        <f>INDEX(順位表['#],MATCH(D53,順位表[Comprehensive],0))</f>
        <v>18</v>
      </c>
      <c r="C53" s="43" t="str">
        <f>IF(JPEN!$C$2="EN",INDEX(都市マスタ[City Name],MATCH(B53,都市マスタ['#],0)),INDEX(都市マスタ[都市名],MATCH(B53,都市マスタ['#],0)))</f>
        <v>ムンバイ</v>
      </c>
      <c r="D53" s="117">
        <v>48</v>
      </c>
      <c r="E53" s="23">
        <f>INDEX(スコア表[Comprehensive],MATCH(B53,スコア表['#],0))</f>
        <v>645.34513309169165</v>
      </c>
      <c r="F53" s="121">
        <f>INDEX(前年結果表[順Comprehensive],MATCH(B53,前年結果表['#],0))</f>
        <v>48</v>
      </c>
      <c r="G53" s="29">
        <f>INDEX(前年結果表[スComprehensive],MATCH(B53,前年結果表['#],0))</f>
        <v>627.69220192448324</v>
      </c>
      <c r="H53" s="107">
        <f t="shared" si="0"/>
        <v>0</v>
      </c>
      <c r="I53" s="110">
        <f t="shared" si="1"/>
        <v>17.652931167208408</v>
      </c>
      <c r="K53" s="22">
        <f>INDEX(順位表['#],MATCH(M53,順位表[Economy],0))</f>
        <v>16</v>
      </c>
      <c r="L53" s="183" t="str">
        <f>IF(JPEN!$C$2="EN",INDEX(都市マスタ[City Name],MATCH(K53,都市マスタ['#],0)),INDEX(都市マスタ[都市名],MATCH(K53,都市マスタ['#],0)))</f>
        <v>カイロ</v>
      </c>
      <c r="M53" s="117">
        <v>48</v>
      </c>
      <c r="N53" s="23">
        <f>INDEX(スコア表[Economy],MATCH(K53,スコア表['#],0))</f>
        <v>81.585996675550007</v>
      </c>
      <c r="O53" s="121">
        <f>INDEX(前年結果表[順Economy],MATCH(K53,前年結果表['#],0))</f>
        <v>48</v>
      </c>
      <c r="P53" s="29">
        <f>INDEX(前年結果表[スEconomy],MATCH(K53,前年結果表['#],0))</f>
        <v>90.142204235000008</v>
      </c>
      <c r="Q53" s="107">
        <f t="shared" si="2"/>
        <v>0</v>
      </c>
      <c r="R53" s="110">
        <f t="shared" si="3"/>
        <v>-8.5562075594500016</v>
      </c>
      <c r="T53" s="22">
        <f>INDEX(順位表['#],MATCH(V53,順位表[R&amp;D],0))</f>
        <v>41</v>
      </c>
      <c r="U53" s="187" t="str">
        <f>IF(JPEN!$C$2="EN",INDEX(都市マスタ[City Name],MATCH(T53,都市マスタ['#],0)),INDEX(都市マスタ[都市名],MATCH(T53,都市マスタ['#],0)))</f>
        <v>ヨハネスブルグ</v>
      </c>
      <c r="V53" s="117">
        <v>48</v>
      </c>
      <c r="W53" s="23">
        <f>INDEX(スコア表[R&amp;D],MATCH(T53,スコア表['#],0))</f>
        <v>3.7728619893999999</v>
      </c>
      <c r="X53" s="121">
        <f>INDEX(前年結果表[順R&amp;D],MATCH(T53,前年結果表['#],0))</f>
        <v>48</v>
      </c>
      <c r="Y53" s="29">
        <f>INDEX(前年結果表[スR&amp;D],MATCH(T53,前年結果表['#],0))</f>
        <v>4.4836158956833332</v>
      </c>
      <c r="Z53" s="107">
        <f t="shared" si="4"/>
        <v>0</v>
      </c>
      <c r="AA53" s="110">
        <f t="shared" si="5"/>
        <v>-0.71075390628333324</v>
      </c>
      <c r="AC53" s="22">
        <f>INDEX(順位表['#],MATCH(AE53,順位表[Cultural Interaction],0))</f>
        <v>46</v>
      </c>
      <c r="AD53" s="193" t="str">
        <f>IF(JPEN!$C$2="EN",INDEX(都市マスタ[City Name],MATCH(AC53,都市マスタ['#],0)),INDEX(都市マスタ[都市名],MATCH(AC53,都市マスタ['#],0)))</f>
        <v>ヘルシンキ</v>
      </c>
      <c r="AE53" s="117">
        <v>48</v>
      </c>
      <c r="AF53" s="23">
        <f>INDEX(スコア表[Cultural Interaction],MATCH(AC53,スコア表['#],0))</f>
        <v>43.338953521625008</v>
      </c>
      <c r="AG53" s="121">
        <f>INDEX(前年結果表[順Cultural Interaction],MATCH(AC53,前年結果表['#],0))</f>
        <v>48</v>
      </c>
      <c r="AH53" s="29">
        <f>INDEX(前年結果表[スCultural Interaction],MATCH(AC53,前年結果表['#],0))</f>
        <v>37.334302367308332</v>
      </c>
      <c r="AI53" s="107">
        <f t="shared" si="6"/>
        <v>0</v>
      </c>
      <c r="AJ53" s="110">
        <f t="shared" si="7"/>
        <v>6.0046511543166758</v>
      </c>
      <c r="AL53" s="22">
        <f>INDEX(順位表['#],MATCH(AN53,順位表[Livability],0))</f>
        <v>41</v>
      </c>
      <c r="AM53" s="199" t="str">
        <f>IF(JPEN!$C$2="EN",INDEX(都市マスタ[City Name],MATCH(AL53,都市マスタ['#],0)),INDEX(都市マスタ[都市名],MATCH(AL53,都市マスタ['#],0)))</f>
        <v>ヨハネスブルグ</v>
      </c>
      <c r="AN53" s="117">
        <v>48</v>
      </c>
      <c r="AO53" s="23">
        <f>INDEX(スコア表[Livability],MATCH(AL53,スコア表['#],0))</f>
        <v>231.67150434173334</v>
      </c>
      <c r="AP53" s="121">
        <f>INDEX(前年結果表[順Livability],MATCH(AL53,前年結果表['#],0))</f>
        <v>48</v>
      </c>
      <c r="AQ53" s="29">
        <f>INDEX(前年結果表[スLivability],MATCH(AL53,前年結果表['#],0))</f>
        <v>223.23159473181667</v>
      </c>
      <c r="AR53" s="107">
        <f t="shared" si="8"/>
        <v>0</v>
      </c>
      <c r="AS53" s="110">
        <f t="shared" si="9"/>
        <v>8.4399096099166684</v>
      </c>
      <c r="AU53" s="22">
        <f>INDEX(順位表['#],MATCH(AW53,順位表[Environment],0))</f>
        <v>16</v>
      </c>
      <c r="AV53" s="204" t="str">
        <f>IF(JPEN!$C$2="EN",INDEX(都市マスタ[City Name],MATCH(AU53,都市マスタ['#],0)),INDEX(都市マスタ[都市名],MATCH(AU53,都市マスタ['#],0)))</f>
        <v>カイロ</v>
      </c>
      <c r="AW53" s="117">
        <v>48</v>
      </c>
      <c r="AX53" s="23">
        <f>INDEX(スコア表[Environment],MATCH(AU53,スコア表['#],0))</f>
        <v>67.555458495300002</v>
      </c>
      <c r="AY53" s="121">
        <f>INDEX(前年結果表[順Environment],MATCH(AU53,前年結果表['#],0))</f>
        <v>47</v>
      </c>
      <c r="AZ53" s="29">
        <f>INDEX(前年結果表[スEnvironment],MATCH(AU53,前年結果表['#],0))</f>
        <v>83.415773806066667</v>
      </c>
      <c r="BA53" s="107">
        <f t="shared" si="10"/>
        <v>-1</v>
      </c>
      <c r="BB53" s="110">
        <f t="shared" si="11"/>
        <v>-15.860315310766666</v>
      </c>
      <c r="BD53" s="22">
        <f>INDEX(順位表['#],MATCH(BF53,順位表[Accessibility],0))</f>
        <v>43</v>
      </c>
      <c r="BE53" s="209" t="str">
        <f>IF(JPEN!$C$2="EN",INDEX(都市マスタ[City Name],MATCH(BD53,都市マスタ['#],0)),INDEX(都市マスタ[都市名],MATCH(BD53,都市マスタ['#],0)))</f>
        <v>ブエノスアイレス</v>
      </c>
      <c r="BF53" s="117">
        <v>48</v>
      </c>
      <c r="BG53" s="23">
        <f>INDEX(スコア表[Accessibility],MATCH(BD53,スコア表['#],0))</f>
        <v>76.789037432650005</v>
      </c>
      <c r="BH53" s="121">
        <f>INDEX(前年結果表[順Accessibility],MATCH(BD53,前年結果表['#],0))</f>
        <v>46</v>
      </c>
      <c r="BI53" s="29">
        <f>INDEX(前年結果表[スAccessibility],MATCH(BD53,前年結果表['#],0))</f>
        <v>98.032842286250002</v>
      </c>
      <c r="BJ53" s="107">
        <f t="shared" si="12"/>
        <v>-2</v>
      </c>
      <c r="BK53" s="110">
        <f>IFERROR(BG53-BI53,"-")</f>
        <v>-21.243804853599997</v>
      </c>
      <c r="BM53" s="114">
        <v>48</v>
      </c>
      <c r="BN53" s="99" t="s">
        <v>372</v>
      </c>
      <c r="BO53" s="104">
        <v>241.99038612441666</v>
      </c>
      <c r="BP53" s="104">
        <v>80.236176355866675</v>
      </c>
      <c r="BQ53" s="104">
        <v>124.35755315814166</v>
      </c>
      <c r="BR53" s="104">
        <v>349.39050383109168</v>
      </c>
      <c r="BS53" s="104">
        <v>201.57415134406668</v>
      </c>
      <c r="BT53" s="104">
        <v>159.6854393269</v>
      </c>
      <c r="BU53" s="104">
        <v>1157.2342101404834</v>
      </c>
      <c r="BV53" s="105">
        <v>18</v>
      </c>
      <c r="BW53" s="105">
        <v>17</v>
      </c>
      <c r="BX53" s="105">
        <v>18</v>
      </c>
      <c r="BY53" s="105">
        <v>15</v>
      </c>
      <c r="BZ53" s="105">
        <v>7</v>
      </c>
      <c r="CA53" s="105">
        <v>21</v>
      </c>
      <c r="CB53" s="106">
        <v>9</v>
      </c>
    </row>
  </sheetData>
  <autoFilter ref="C5:I53" xr:uid="{00000000-0001-0000-0E00-000000000000}"/>
  <mergeCells count="24">
    <mergeCell ref="BO4:BU4"/>
    <mergeCell ref="BV4:CB4"/>
    <mergeCell ref="BE2:BJ2"/>
    <mergeCell ref="AI4:AJ4"/>
    <mergeCell ref="BF4:BG4"/>
    <mergeCell ref="BH4:BI4"/>
    <mergeCell ref="BJ4:BK4"/>
    <mergeCell ref="AW4:AX4"/>
    <mergeCell ref="AY4:AZ4"/>
    <mergeCell ref="BA4:BB4"/>
    <mergeCell ref="AN4:AO4"/>
    <mergeCell ref="AP4:AQ4"/>
    <mergeCell ref="AR4:AS4"/>
    <mergeCell ref="AG4:AH4"/>
    <mergeCell ref="D4:E4"/>
    <mergeCell ref="F4:G4"/>
    <mergeCell ref="H4:I4"/>
    <mergeCell ref="M4:N4"/>
    <mergeCell ref="O4:P4"/>
    <mergeCell ref="Q4:R4"/>
    <mergeCell ref="V4:W4"/>
    <mergeCell ref="X4:Y4"/>
    <mergeCell ref="Z4:AA4"/>
    <mergeCell ref="AE4:AF4"/>
  </mergeCells>
  <phoneticPr fontId="5"/>
  <conditionalFormatting sqref="B1:I3 B5:I1048576 B4:C4 H4:I4">
    <cfRule type="expression" dxfId="59" priority="27">
      <formula>$B1=29</formula>
    </cfRule>
    <cfRule type="expression" dxfId="58" priority="28">
      <formula>OR($B1=3,$B1=38,$B1=4,$B1=21)</formula>
    </cfRule>
  </conditionalFormatting>
  <conditionalFormatting sqref="K1:R3 K5:R1048576 K4:L4 Q4:R4">
    <cfRule type="expression" dxfId="57" priority="29">
      <formula>$K1=29</formula>
    </cfRule>
    <cfRule type="expression" dxfId="56" priority="30">
      <formula>OR($K1=3,$K1=38,$K1=4,$K1=21)</formula>
    </cfRule>
  </conditionalFormatting>
  <conditionalFormatting sqref="T1:AA3 T5:AA1048576 T4:U4 Z4:AA4">
    <cfRule type="expression" dxfId="55" priority="31">
      <formula>$T1=29</formula>
    </cfRule>
    <cfRule type="expression" dxfId="54" priority="32">
      <formula>OR($T1=3,$T1=38,$T1=4,$T1=21)</formula>
    </cfRule>
  </conditionalFormatting>
  <conditionalFormatting sqref="AC1:AJ3 AC5:AJ1048576 AC4:AD4 AI4:AJ4">
    <cfRule type="expression" dxfId="53" priority="33">
      <formula>$AC1=29</formula>
    </cfRule>
    <cfRule type="expression" dxfId="52" priority="34">
      <formula>OR($AC1=3,$AC1=38,$AC1=4,$AC1=21)</formula>
    </cfRule>
  </conditionalFormatting>
  <conditionalFormatting sqref="AL1:AS3 AL5:AS1048576 AL4:AM4 AR4:AS4">
    <cfRule type="expression" dxfId="51" priority="35">
      <formula>$AL1=29</formula>
    </cfRule>
    <cfRule type="expression" dxfId="50" priority="36">
      <formula>OR($AL1=3,$AL1=38,$AL1=4,$AL1=21)</formula>
    </cfRule>
  </conditionalFormatting>
  <conditionalFormatting sqref="AU1:BB3 AU5:BB1048576 AU4:AV4 BA4:BB4">
    <cfRule type="expression" dxfId="49" priority="37">
      <formula>$AU1=29</formula>
    </cfRule>
    <cfRule type="expression" dxfId="48" priority="38">
      <formula>OR($AU1=3,$AU1=38,$AU1=4,$AU1=21)</formula>
    </cfRule>
  </conditionalFormatting>
  <conditionalFormatting sqref="BD1:BK3 BD5:BK1048576 BD4:BE4 BJ4:BK4">
    <cfRule type="expression" dxfId="47" priority="39">
      <formula>$BD1=29</formula>
    </cfRule>
    <cfRule type="expression" dxfId="46" priority="65">
      <formula>OR($BD1=3,$BD1=38,$BD1=4,$BD1=21)</formula>
    </cfRule>
  </conditionalFormatting>
  <conditionalFormatting sqref="M4:P4">
    <cfRule type="expression" dxfId="45" priority="13">
      <formula>$AL4=29</formula>
    </cfRule>
    <cfRule type="expression" dxfId="44" priority="14">
      <formula>OR($AL4=3,$AL4=38,$AL4=4,$AL4=21)</formula>
    </cfRule>
  </conditionalFormatting>
  <conditionalFormatting sqref="D4:G4">
    <cfRule type="expression" dxfId="43" priority="11">
      <formula>$AL4=29</formula>
    </cfRule>
    <cfRule type="expression" dxfId="42" priority="12">
      <formula>OR($AL4=3,$AL4=38,$AL4=4,$AL4=21)</formula>
    </cfRule>
  </conditionalFormatting>
  <conditionalFormatting sqref="V4:Y4">
    <cfRule type="expression" dxfId="41" priority="9">
      <formula>$AL4=29</formula>
    </cfRule>
    <cfRule type="expression" dxfId="40" priority="10">
      <formula>OR($AL4=3,$AL4=38,$AL4=4,$AL4=21)</formula>
    </cfRule>
  </conditionalFormatting>
  <conditionalFormatting sqref="AE4:AH4">
    <cfRule type="expression" dxfId="39" priority="7">
      <formula>$AL4=29</formula>
    </cfRule>
    <cfRule type="expression" dxfId="38" priority="8">
      <formula>OR($AL4=3,$AL4=38,$AL4=4,$AL4=21)</formula>
    </cfRule>
  </conditionalFormatting>
  <conditionalFormatting sqref="AN4:AQ4">
    <cfRule type="expression" dxfId="37" priority="5">
      <formula>$AL4=29</formula>
    </cfRule>
    <cfRule type="expression" dxfId="36" priority="6">
      <formula>OR($AL4=3,$AL4=38,$AL4=4,$AL4=21)</formula>
    </cfRule>
  </conditionalFormatting>
  <conditionalFormatting sqref="AW4:AZ4">
    <cfRule type="expression" dxfId="35" priority="3">
      <formula>$AL4=29</formula>
    </cfRule>
    <cfRule type="expression" dxfId="34" priority="4">
      <formula>OR($AL4=3,$AL4=38,$AL4=4,$AL4=21)</formula>
    </cfRule>
  </conditionalFormatting>
  <conditionalFormatting sqref="BF4:BI4">
    <cfRule type="expression" dxfId="33" priority="1">
      <formula>$AL4=29</formula>
    </cfRule>
    <cfRule type="expression" dxfId="32" priority="2">
      <formula>OR($AL4=3,$AL4=38,$AL4=4,$AL4=21)</formula>
    </cfRule>
  </conditionalFormatting>
  <pageMargins left="0.25" right="0.25" top="0.75" bottom="0.75" header="0.3" footer="0.3"/>
  <pageSetup paperSize="8" scale="62" orientation="landscape" r:id="rId1"/>
  <ignoredErrors>
    <ignoredError sqref="E5:F5 G5:H5 N5:O5 P5:Q5 W5:X5 Y5:Z5 AF5:AG5 AH5:AI5 AO5:AR5 AX5:BA5 BG5:BJ5" formula="1"/>
  </ignoredErrors>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pageSetUpPr fitToPage="1"/>
  </sheetPr>
  <dimension ref="B1:AA21"/>
  <sheetViews>
    <sheetView showGridLines="0" zoomScale="115" zoomScaleNormal="115" workbookViewId="0">
      <selection activeCell="P22" sqref="P22"/>
    </sheetView>
  </sheetViews>
  <sheetFormatPr defaultColWidth="9.28515625" defaultRowHeight="22.9" customHeight="1"/>
  <cols>
    <col min="1" max="1" width="3.28515625" style="27" bestFit="1" customWidth="1"/>
    <col min="2" max="2" width="3.28515625" style="27" customWidth="1"/>
    <col min="3" max="3" width="4.42578125" style="27" bestFit="1" customWidth="1"/>
    <col min="4" max="4" width="16.140625" style="27" bestFit="1" customWidth="1"/>
    <col min="5" max="5" width="6.42578125" style="242" bestFit="1" customWidth="1"/>
    <col min="6" max="6" width="3.28515625" style="27" customWidth="1"/>
    <col min="7" max="7" width="4.42578125" style="27" bestFit="1" customWidth="1"/>
    <col min="8" max="8" width="16.140625" style="27" bestFit="1" customWidth="1"/>
    <col min="9" max="9" width="6.42578125" style="242" bestFit="1" customWidth="1"/>
    <col min="10" max="10" width="3.28515625" style="27" customWidth="1"/>
    <col min="11" max="11" width="4.42578125" style="27" bestFit="1" customWidth="1"/>
    <col min="12" max="12" width="16.140625" style="27" bestFit="1" customWidth="1"/>
    <col min="13" max="13" width="6.42578125" style="242" bestFit="1" customWidth="1"/>
    <col min="14" max="14" width="3.28515625" style="27" customWidth="1"/>
    <col min="15" max="15" width="4.42578125" style="238" bestFit="1" customWidth="1"/>
    <col min="16" max="16" width="16.140625" style="240" bestFit="1" customWidth="1"/>
    <col min="17" max="17" width="6.42578125" style="242" bestFit="1" customWidth="1"/>
    <col min="18" max="18" width="3.28515625" style="27" customWidth="1"/>
    <col min="19" max="19" width="4.42578125" style="27" bestFit="1" customWidth="1"/>
    <col min="20" max="20" width="16.140625" style="27" bestFit="1" customWidth="1"/>
    <col min="21" max="21" width="6.42578125" style="242" bestFit="1" customWidth="1"/>
    <col min="22" max="22" width="3.28515625" style="27" customWidth="1"/>
    <col min="23" max="23" width="4.42578125" style="27" bestFit="1" customWidth="1"/>
    <col min="24" max="24" width="16.140625" style="27" bestFit="1" customWidth="1"/>
    <col min="25" max="25" width="6.42578125" style="242" bestFit="1" customWidth="1"/>
    <col min="26" max="26" width="3.28515625" style="27" customWidth="1"/>
    <col min="27" max="16384" width="9.28515625" style="27"/>
  </cols>
  <sheetData>
    <row r="1" spans="2:27" ht="22.9" customHeight="1">
      <c r="B1" s="27" t="s">
        <v>1093</v>
      </c>
      <c r="O1" s="27"/>
      <c r="P1" s="27"/>
    </row>
    <row r="2" spans="2:27" ht="22.9" customHeight="1" thickBot="1">
      <c r="O2" s="27"/>
      <c r="P2" s="27"/>
      <c r="U2" s="446" t="str">
        <f ca="1">TEXT(NOW(),"yyyy/m/d h:mm")</f>
        <v>2024/9/9 10:49</v>
      </c>
      <c r="V2" s="446"/>
      <c r="W2" s="446"/>
      <c r="X2" s="446"/>
      <c r="Y2" s="115" t="s">
        <v>640</v>
      </c>
      <c r="Z2" s="86"/>
    </row>
    <row r="3" spans="2:27" ht="22.9" customHeight="1">
      <c r="B3" s="245"/>
      <c r="C3" s="246"/>
      <c r="D3" s="246"/>
      <c r="E3" s="247"/>
      <c r="F3" s="246"/>
      <c r="G3" s="246"/>
      <c r="H3" s="246"/>
      <c r="I3" s="247"/>
      <c r="J3" s="246"/>
      <c r="K3" s="246"/>
      <c r="L3" s="246"/>
      <c r="M3" s="247"/>
      <c r="N3" s="246"/>
      <c r="O3" s="248"/>
      <c r="P3" s="249"/>
      <c r="Q3" s="247"/>
      <c r="R3" s="246"/>
      <c r="S3" s="246"/>
      <c r="T3" s="246"/>
      <c r="U3" s="247"/>
      <c r="V3" s="246"/>
      <c r="W3" s="246"/>
      <c r="X3" s="246"/>
      <c r="Y3" s="247"/>
      <c r="Z3" s="250"/>
    </row>
    <row r="4" spans="2:27" s="241" customFormat="1" ht="22.9" customHeight="1">
      <c r="B4" s="251"/>
      <c r="C4" s="447" t="str">
        <f>IF(JPEN!$C$2="EN","Economy","経済")</f>
        <v>経済</v>
      </c>
      <c r="D4" s="447"/>
      <c r="E4" s="447"/>
      <c r="G4" s="452" t="str">
        <f>IF(JPEN!$C$2="EN","R&amp;D","研究・開発")</f>
        <v>研究・開発</v>
      </c>
      <c r="H4" s="452"/>
      <c r="I4" s="452"/>
      <c r="K4" s="451" t="str">
        <f>IF(JPEN!$C$2="EN","Cultural Interaction","文化・交流")</f>
        <v>文化・交流</v>
      </c>
      <c r="L4" s="451"/>
      <c r="M4" s="451"/>
      <c r="O4" s="450" t="str">
        <f>IF(JPEN!$C$2="EN","Livability","居住")</f>
        <v>居住</v>
      </c>
      <c r="P4" s="450"/>
      <c r="Q4" s="450"/>
      <c r="S4" s="449" t="str">
        <f>IF(JPEN!$C$2="EN","Environment","環境")</f>
        <v>環境</v>
      </c>
      <c r="T4" s="449"/>
      <c r="U4" s="449"/>
      <c r="W4" s="448" t="str">
        <f>IF(JPEN!$C$2="EN","Accessibility","交通・アクセス")</f>
        <v>交通・アクセス</v>
      </c>
      <c r="X4" s="448"/>
      <c r="Y4" s="448"/>
      <c r="Z4" s="252"/>
    </row>
    <row r="5" spans="2:27" ht="22.9" customHeight="1">
      <c r="B5" s="253"/>
      <c r="C5" s="239">
        <v>1</v>
      </c>
      <c r="D5" s="28" t="str">
        <f>IF(JPEN!$C$2="EN",INDEX(順位表[City Name],MATCH(C5,順位表[Economy],0)),INDEX(都市マスタ[都市名],MATCH(INDEX(順位表[City Name],MATCH(C5,順位表[Economy],0)),都市マスタ[City Name],0)))</f>
        <v>ニューヨーク</v>
      </c>
      <c r="E5" s="243">
        <f>INDEX(スコア表[Economy],MATCH(INDEX(順位表[City Name],MATCH(C5,順位表[Economy],0)),スコア表[City Name],0))</f>
        <v>371.09627417245002</v>
      </c>
      <c r="F5" s="22"/>
      <c r="G5" s="239">
        <v>1</v>
      </c>
      <c r="H5" s="28" t="str">
        <f>IF(JPEN!$C$2="EN",INDEX(順位表[City Name],MATCH(G5,順位表[R&amp;D],0)),INDEX(都市マスタ[都市名],MATCH(INDEX(順位表[City Name],MATCH(G5,順位表[R&amp;D],0)),都市マスタ[City Name],0)))</f>
        <v>ニューヨーク</v>
      </c>
      <c r="I5" s="243">
        <f>INDEX(スコア表[R&amp;D],MATCH(INDEX(順位表[City Name],MATCH(G5,順位表[R&amp;D],0)),スコア表[City Name],0))</f>
        <v>206.45811885533334</v>
      </c>
      <c r="J5" s="22"/>
      <c r="K5" s="239">
        <v>1</v>
      </c>
      <c r="L5" s="28" t="str">
        <f>IF(JPEN!$C$2="EN",INDEX(順位表[City Name],MATCH(K5,順位表[Cultural Interaction],0)),INDEX(都市マスタ[都市名],MATCH(INDEX(順位表[City Name],MATCH(K5,順位表[Cultural Interaction],0)),都市マスタ[City Name],0)))</f>
        <v>ロンドン</v>
      </c>
      <c r="M5" s="243">
        <f>INDEX(スコア表[Cultural Interaction],MATCH(INDEX(順位表[City Name],MATCH(K5,順位表[Cultural Interaction],0)),スコア表[City Name],0))</f>
        <v>367.57992580267501</v>
      </c>
      <c r="N5" s="22"/>
      <c r="O5" s="239">
        <v>1</v>
      </c>
      <c r="P5" s="28" t="str">
        <f>IF(JPEN!$C$2="EN",INDEX(順位表[City Name],MATCH(O5,順位表[Livability],0)),INDEX(都市マスタ[都市名],MATCH(INDEX(順位表[City Name],MATCH(O5,順位表[Livability],0)),都市マスタ[City Name],0)))</f>
        <v>パリ</v>
      </c>
      <c r="Q5" s="243">
        <f>INDEX(スコア表[Livability],MATCH(INDEX(順位表[City Name],MATCH(O5,順位表[Livability],0)),スコア表[City Name],0))</f>
        <v>389.98593915240826</v>
      </c>
      <c r="R5" s="22"/>
      <c r="S5" s="239">
        <v>1</v>
      </c>
      <c r="T5" s="28" t="str">
        <f>IF(JPEN!$C$2="EN",INDEX(順位表[City Name],MATCH(S5,順位表[Environment],0)),INDEX(都市マスタ[都市名],MATCH(INDEX(順位表[City Name],MATCH(S5,順位表[Environment],0)),都市マスタ[City Name],0)))</f>
        <v>ストックホルム</v>
      </c>
      <c r="U5" s="243">
        <f>INDEX(スコア表[Environment],MATCH(INDEX(順位表[City Name],MATCH(S5,順位表[Environment],0)),スコア表[City Name],0))</f>
        <v>228.73709255586664</v>
      </c>
      <c r="V5" s="22"/>
      <c r="W5" s="239">
        <v>1</v>
      </c>
      <c r="X5" s="28" t="str">
        <f>IF(JPEN!$C$2="EN",INDEX(順位表[City Name],MATCH(W5,順位表[Accessibility],0)),INDEX(都市マスタ[都市名],MATCH(INDEX(順位表[City Name],MATCH(W5,順位表[Accessibility],0)),都市マスタ[City Name],0)))</f>
        <v>アムステルダム</v>
      </c>
      <c r="Y5" s="243">
        <f>INDEX(スコア表[Accessibility],MATCH(INDEX(順位表[City Name],MATCH(W5,順位表[Accessibility],0)),スコア表[City Name],0))</f>
        <v>229.1637569953333</v>
      </c>
      <c r="Z5" s="254"/>
    </row>
    <row r="6" spans="2:27" ht="22.9" customHeight="1">
      <c r="B6" s="253"/>
      <c r="C6" s="239">
        <v>2</v>
      </c>
      <c r="D6" s="28" t="str">
        <f>IF(JPEN!$C$2="EN",INDEX(順位表[City Name],MATCH(C6,順位表[Economy],0)),INDEX(都市マスタ[都市名],MATCH(INDEX(順位表[City Name],MATCH(C6,順位表[Economy],0)),都市マスタ[City Name],0)))</f>
        <v>ロンドン</v>
      </c>
      <c r="E6" s="243">
        <f>INDEX(スコア表[Economy],MATCH(INDEX(順位表[City Name],MATCH(C6,順位表[Economy],0)),スコア表[City Name],0))</f>
        <v>336.21002005771663</v>
      </c>
      <c r="F6" s="22"/>
      <c r="G6" s="239">
        <v>2</v>
      </c>
      <c r="H6" s="28" t="str">
        <f>IF(JPEN!$C$2="EN",INDEX(順位表[City Name],MATCH(G6,順位表[R&amp;D],0)),INDEX(都市マスタ[都市名],MATCH(INDEX(順位表[City Name],MATCH(G6,順位表[R&amp;D],0)),都市マスタ[City Name],0)))</f>
        <v>ロンドン</v>
      </c>
      <c r="I6" s="243">
        <f>INDEX(スコア表[R&amp;D],MATCH(INDEX(順位表[City Name],MATCH(G6,順位表[R&amp;D],0)),スコア表[City Name],0))</f>
        <v>181.4404473276</v>
      </c>
      <c r="J6" s="22"/>
      <c r="K6" s="239">
        <v>2</v>
      </c>
      <c r="L6" s="28" t="str">
        <f>IF(JPEN!$C$2="EN",INDEX(順位表[City Name],MATCH(K6,順位表[Cultural Interaction],0)),INDEX(都市マスタ[都市名],MATCH(INDEX(順位表[City Name],MATCH(K6,順位表[Cultural Interaction],0)),都市マスタ[City Name],0)))</f>
        <v>ニューヨーク</v>
      </c>
      <c r="M6" s="243">
        <f>INDEX(スコア表[Cultural Interaction],MATCH(INDEX(順位表[City Name],MATCH(K6,順位表[Cultural Interaction],0)),スコア表[City Name],0))</f>
        <v>259.40999462157504</v>
      </c>
      <c r="N6" s="22"/>
      <c r="O6" s="239">
        <v>2</v>
      </c>
      <c r="P6" s="28" t="str">
        <f>IF(JPEN!$C$2="EN",INDEX(順位表[City Name],MATCH(O6,順位表[Livability],0)),INDEX(都市マスタ[都市名],MATCH(INDEX(順位表[City Name],MATCH(O6,順位表[Livability],0)),都市マスタ[City Name],0)))</f>
        <v>マドリード</v>
      </c>
      <c r="Q6" s="243">
        <f>INDEX(スコア表[Livability],MATCH(INDEX(順位表[City Name],MATCH(O6,順位表[Livability],0)),スコア表[City Name],0))</f>
        <v>380.90916702499993</v>
      </c>
      <c r="R6" s="22"/>
      <c r="S6" s="239">
        <v>2</v>
      </c>
      <c r="T6" s="28" t="str">
        <f>IF(JPEN!$C$2="EN",INDEX(順位表[City Name],MATCH(S6,順位表[Environment],0)),INDEX(都市マスタ[都市名],MATCH(INDEX(順位表[City Name],MATCH(S6,順位表[Environment],0)),都市マスタ[City Name],0)))</f>
        <v>コペンハーゲン</v>
      </c>
      <c r="U6" s="243">
        <f>INDEX(スコア表[Environment],MATCH(INDEX(順位表[City Name],MATCH(S6,順位表[Environment],0)),スコア表[City Name],0))</f>
        <v>224.16844593323333</v>
      </c>
      <c r="V6" s="22"/>
      <c r="W6" s="239">
        <v>2</v>
      </c>
      <c r="X6" s="28" t="str">
        <f>IF(JPEN!$C$2="EN",INDEX(順位表[City Name],MATCH(W6,順位表[Accessibility],0)),INDEX(都市マスタ[都市名],MATCH(INDEX(順位表[City Name],MATCH(W6,順位表[Accessibility],0)),都市マスタ[City Name],0)))</f>
        <v>フランクフルト</v>
      </c>
      <c r="Y6" s="243">
        <f>INDEX(スコア表[Accessibility],MATCH(INDEX(順位表[City Name],MATCH(W6,順位表[Accessibility],0)),スコア表[City Name],0))</f>
        <v>217.64777296725003</v>
      </c>
      <c r="Z6" s="254"/>
    </row>
    <row r="7" spans="2:27" ht="22.9" customHeight="1">
      <c r="B7" s="253"/>
      <c r="C7" s="239">
        <v>3</v>
      </c>
      <c r="D7" s="28" t="str">
        <f>IF(JPEN!$C$2="EN",INDEX(順位表[City Name],MATCH(C7,順位表[Economy],0)),INDEX(都市マスタ[都市名],MATCH(INDEX(順位表[City Name],MATCH(C7,順位表[Economy],0)),都市マスタ[City Name],0)))</f>
        <v>北京</v>
      </c>
      <c r="E7" s="243">
        <f>INDEX(スコア表[Economy],MATCH(INDEX(順位表[City Name],MATCH(C7,順位表[Economy],0)),スコア表[City Name],0))</f>
        <v>309.44809679429994</v>
      </c>
      <c r="F7" s="22"/>
      <c r="G7" s="239">
        <v>3</v>
      </c>
      <c r="H7" s="28" t="str">
        <f>IF(JPEN!$C$2="EN",INDEX(順位表[City Name],MATCH(G7,順位表[R&amp;D],0)),INDEX(都市マスタ[都市名],MATCH(INDEX(順位表[City Name],MATCH(G7,順位表[R&amp;D],0)),都市マスタ[City Name],0)))</f>
        <v>ロサンゼルス</v>
      </c>
      <c r="I7" s="243">
        <f>INDEX(スコア表[R&amp;D],MATCH(INDEX(順位表[City Name],MATCH(G7,順位表[R&amp;D],0)),スコア表[City Name],0))</f>
        <v>154.91435305271668</v>
      </c>
      <c r="J7" s="22"/>
      <c r="K7" s="239">
        <v>3</v>
      </c>
      <c r="L7" s="28" t="str">
        <f>IF(JPEN!$C$2="EN",INDEX(順位表[City Name],MATCH(K7,順位表[Cultural Interaction],0)),INDEX(都市マスタ[都市名],MATCH(INDEX(順位表[City Name],MATCH(K7,順位表[Cultural Interaction],0)),都市マスタ[City Name],0)))</f>
        <v>パリ</v>
      </c>
      <c r="M7" s="243">
        <f>INDEX(スコア表[Cultural Interaction],MATCH(INDEX(順位表[City Name],MATCH(K7,順位表[Cultural Interaction],0)),スコア表[City Name],0))</f>
        <v>250.73653323328332</v>
      </c>
      <c r="N7" s="22"/>
      <c r="O7" s="239">
        <v>3</v>
      </c>
      <c r="P7" s="28" t="str">
        <f>IF(JPEN!$C$2="EN",INDEX(順位表[City Name],MATCH(O7,順位表[Livability],0)),INDEX(都市マスタ[都市名],MATCH(INDEX(順位表[City Name],MATCH(O7,順位表[Livability],0)),都市マスタ[City Name],0)))</f>
        <v>東京</v>
      </c>
      <c r="Q7" s="243">
        <f>INDEX(スコア表[Livability],MATCH(INDEX(順位表[City Name],MATCH(O7,順位表[Livability],0)),スコア表[City Name],0))</f>
        <v>367.69041284080004</v>
      </c>
      <c r="R7" s="22"/>
      <c r="S7" s="239">
        <v>3</v>
      </c>
      <c r="T7" s="28" t="str">
        <f>IF(JPEN!$C$2="EN",INDEX(順位表[City Name],MATCH(S7,順位表[Environment],0)),INDEX(都市マスタ[都市名],MATCH(INDEX(順位表[City Name],MATCH(S7,順位表[Environment],0)),都市マスタ[City Name],0)))</f>
        <v>ジュネーブ</v>
      </c>
      <c r="U7" s="243">
        <f>INDEX(スコア表[Environment],MATCH(INDEX(順位表[City Name],MATCH(S7,順位表[Environment],0)),スコア表[City Name],0))</f>
        <v>217.61196032589999</v>
      </c>
      <c r="V7" s="22"/>
      <c r="W7" s="239">
        <v>3</v>
      </c>
      <c r="X7" s="28" t="str">
        <f>IF(JPEN!$C$2="EN",INDEX(順位表[City Name],MATCH(W7,順位表[Accessibility],0)),INDEX(都市マスタ[都市名],MATCH(INDEX(順位表[City Name],MATCH(W7,順位表[Accessibility],0)),都市マスタ[City Name],0)))</f>
        <v>ニューヨーク</v>
      </c>
      <c r="Y7" s="243">
        <f>INDEX(スコア表[Accessibility],MATCH(INDEX(順位表[City Name],MATCH(W7,順位表[Accessibility],0)),スコア表[City Name],0))</f>
        <v>216.10079665688338</v>
      </c>
      <c r="Z7" s="254"/>
    </row>
    <row r="8" spans="2:27" ht="22.9" customHeight="1">
      <c r="B8" s="253"/>
      <c r="C8" s="239">
        <v>4</v>
      </c>
      <c r="D8" s="28" t="str">
        <f>IF(JPEN!$C$2="EN",INDEX(順位表[City Name],MATCH(C8,順位表[Economy],0)),INDEX(都市マスタ[都市名],MATCH(INDEX(順位表[City Name],MATCH(C8,順位表[Economy],0)),都市マスタ[City Name],0)))</f>
        <v>シンガポール</v>
      </c>
      <c r="E8" s="243">
        <f>INDEX(スコア表[Economy],MATCH(INDEX(順位表[City Name],MATCH(C8,順位表[Economy],0)),スコア表[City Name],0))</f>
        <v>308.34638328295</v>
      </c>
      <c r="F8" s="22"/>
      <c r="G8" s="239">
        <v>4</v>
      </c>
      <c r="H8" s="28" t="str">
        <f>IF(JPEN!$C$2="EN",INDEX(順位表[City Name],MATCH(G8,順位表[R&amp;D],0)),INDEX(都市マスタ[都市名],MATCH(INDEX(順位表[City Name],MATCH(G8,順位表[R&amp;D],0)),都市マスタ[City Name],0)))</f>
        <v>東京</v>
      </c>
      <c r="I8" s="243">
        <f>INDEX(スコア表[R&amp;D],MATCH(INDEX(順位表[City Name],MATCH(G8,順位表[R&amp;D],0)),スコア表[City Name],0))</f>
        <v>143.44736716223332</v>
      </c>
      <c r="J8" s="22"/>
      <c r="K8" s="239">
        <v>4</v>
      </c>
      <c r="L8" s="28" t="str">
        <f>IF(JPEN!$C$2="EN",INDEX(順位表[City Name],MATCH(K8,順位表[Cultural Interaction],0)),INDEX(都市マスタ[都市名],MATCH(INDEX(順位表[City Name],MATCH(K8,順位表[Cultural Interaction],0)),都市マスタ[City Name],0)))</f>
        <v>ドバイ</v>
      </c>
      <c r="M8" s="243">
        <f>INDEX(スコア表[Cultural Interaction],MATCH(INDEX(順位表[City Name],MATCH(K8,順位表[Cultural Interaction],0)),スコア表[City Name],0))</f>
        <v>237.54820990479999</v>
      </c>
      <c r="N8" s="22"/>
      <c r="O8" s="239">
        <v>4</v>
      </c>
      <c r="P8" s="28" t="str">
        <f>IF(JPEN!$C$2="EN",INDEX(順位表[City Name],MATCH(O8,順位表[Livability],0)),INDEX(都市マスタ[都市名],MATCH(INDEX(順位表[City Name],MATCH(O8,順位表[Livability],0)),都市マスタ[City Name],0)))</f>
        <v>バルセロナ</v>
      </c>
      <c r="Q8" s="243">
        <f>INDEX(スコア表[Livability],MATCH(INDEX(順位表[City Name],MATCH(O8,順位表[Livability],0)),スコア表[City Name],0))</f>
        <v>365.61221548564998</v>
      </c>
      <c r="R8" s="22"/>
      <c r="S8" s="239">
        <v>4</v>
      </c>
      <c r="T8" s="28" t="str">
        <f>IF(JPEN!$C$2="EN",INDEX(順位表[City Name],MATCH(S8,順位表[Environment],0)),INDEX(都市マスタ[都市名],MATCH(INDEX(順位表[City Name],MATCH(S8,順位表[Environment],0)),都市マスタ[City Name],0)))</f>
        <v>ヘルシンキ</v>
      </c>
      <c r="U8" s="243">
        <f>INDEX(スコア表[Environment],MATCH(INDEX(順位表[City Name],MATCH(S8,順位表[Environment],0)),スコア表[City Name],0))</f>
        <v>210.67987394316665</v>
      </c>
      <c r="V8" s="22"/>
      <c r="W8" s="239">
        <v>4</v>
      </c>
      <c r="X8" s="28" t="str">
        <f>IF(JPEN!$C$2="EN",INDEX(順位表[City Name],MATCH(W8,順位表[Accessibility],0)),INDEX(都市マスタ[都市名],MATCH(INDEX(順位表[City Name],MATCH(W8,順位表[Accessibility],0)),都市マスタ[City Name],0)))</f>
        <v>ロンドン</v>
      </c>
      <c r="Y8" s="243">
        <f>INDEX(スコア表[Accessibility],MATCH(INDEX(順位表[City Name],MATCH(W8,順位表[Accessibility],0)),スコア表[City Name],0))</f>
        <v>215.94210663439998</v>
      </c>
      <c r="Z8" s="254"/>
    </row>
    <row r="9" spans="2:27" ht="22.9" customHeight="1">
      <c r="B9" s="253"/>
      <c r="C9" s="239">
        <v>5</v>
      </c>
      <c r="D9" s="28" t="str">
        <f>IF(JPEN!$C$2="EN",INDEX(順位表[City Name],MATCH(C9,順位表[Economy],0)),INDEX(都市マスタ[都市名],MATCH(INDEX(順位表[City Name],MATCH(C9,順位表[Economy],0)),都市マスタ[City Name],0)))</f>
        <v>チューリッヒ</v>
      </c>
      <c r="E9" s="243">
        <f>INDEX(スコア表[Economy],MATCH(INDEX(順位表[City Name],MATCH(C9,順位表[Economy],0)),スコア表[City Name],0))</f>
        <v>302.71871872881661</v>
      </c>
      <c r="F9" s="22"/>
      <c r="G9" s="239">
        <v>5</v>
      </c>
      <c r="H9" s="28" t="str">
        <f>IF(JPEN!$C$2="EN",INDEX(順位表[City Name],MATCH(G9,順位表[R&amp;D],0)),INDEX(都市マスタ[都市名],MATCH(INDEX(順位表[City Name],MATCH(G9,順位表[R&amp;D],0)),都市マスタ[City Name],0)))</f>
        <v>ボストン</v>
      </c>
      <c r="I9" s="243">
        <f>INDEX(スコア表[R&amp;D],MATCH(INDEX(順位表[City Name],MATCH(G9,順位表[R&amp;D],0)),スコア表[City Name],0))</f>
        <v>137.66717395626668</v>
      </c>
      <c r="J9" s="22"/>
      <c r="K9" s="239">
        <v>5</v>
      </c>
      <c r="L9" s="28" t="str">
        <f>IF(JPEN!$C$2="EN",INDEX(順位表[City Name],MATCH(K9,順位表[Cultural Interaction],0)),INDEX(都市マスタ[都市名],MATCH(INDEX(順位表[City Name],MATCH(K9,順位表[Cultural Interaction],0)),都市マスタ[City Name],0)))</f>
        <v>東京</v>
      </c>
      <c r="M9" s="243">
        <f>INDEX(スコア表[Cultural Interaction],MATCH(INDEX(順位表[City Name],MATCH(K9,順位表[Cultural Interaction],0)),スコア表[City Name],0))</f>
        <v>237.5124623666</v>
      </c>
      <c r="N9" s="22"/>
      <c r="O9" s="239">
        <v>5</v>
      </c>
      <c r="P9" s="28" t="str">
        <f>IF(JPEN!$C$2="EN",INDEX(順位表[City Name],MATCH(O9,順位表[Livability],0)),INDEX(都市マスタ[都市名],MATCH(INDEX(順位表[City Name],MATCH(O9,順位表[Livability],0)),都市マスタ[City Name],0)))</f>
        <v>ウィーン</v>
      </c>
      <c r="Q9" s="243">
        <f>INDEX(スコア表[Livability],MATCH(INDEX(順位表[City Name],MATCH(O9,順位表[Livability],0)),スコア表[City Name],0))</f>
        <v>359.96691426207502</v>
      </c>
      <c r="R9" s="22"/>
      <c r="S9" s="239">
        <v>5</v>
      </c>
      <c r="T9" s="28" t="str">
        <f>IF(JPEN!$C$2="EN",INDEX(順位表[City Name],MATCH(S9,順位表[Environment],0)),INDEX(都市マスタ[都市名],MATCH(INDEX(順位表[City Name],MATCH(S9,順位表[Environment],0)),都市マスタ[City Name],0)))</f>
        <v>ウィーン</v>
      </c>
      <c r="U9" s="243">
        <f>INDEX(スコア表[Environment],MATCH(INDEX(順位表[City Name],MATCH(S9,順位表[Environment],0)),スコア表[City Name],0))</f>
        <v>210.4710449698</v>
      </c>
      <c r="V9" s="22"/>
      <c r="W9" s="239">
        <v>5</v>
      </c>
      <c r="X9" s="28" t="str">
        <f>IF(JPEN!$C$2="EN",INDEX(順位表[City Name],MATCH(W9,順位表[Accessibility],0)),INDEX(都市マスタ[都市名],MATCH(INDEX(順位表[City Name],MATCH(W9,順位表[Accessibility],0)),都市マスタ[City Name],0)))</f>
        <v>パリ</v>
      </c>
      <c r="Y9" s="243">
        <f>INDEX(スコア表[Accessibility],MATCH(INDEX(順位表[City Name],MATCH(W9,順位表[Accessibility],0)),スコア表[City Name],0))</f>
        <v>210.39062060088332</v>
      </c>
      <c r="Z9" s="254"/>
    </row>
    <row r="10" spans="2:27" ht="22.9" customHeight="1">
      <c r="B10" s="253"/>
      <c r="C10" s="239">
        <v>6</v>
      </c>
      <c r="D10" s="28" t="str">
        <f>IF(JPEN!$C$2="EN",INDEX(順位表[City Name],MATCH(C10,順位表[Economy],0)),INDEX(都市マスタ[都市名],MATCH(INDEX(順位表[City Name],MATCH(C10,順位表[Economy],0)),都市マスタ[City Name],0)))</f>
        <v>ダブリン</v>
      </c>
      <c r="E10" s="243">
        <f>INDEX(スコア表[Economy],MATCH(INDEX(順位表[City Name],MATCH(C10,順位表[Economy],0)),スコア表[City Name],0))</f>
        <v>298.66435348588334</v>
      </c>
      <c r="F10" s="22"/>
      <c r="G10" s="239">
        <v>6</v>
      </c>
      <c r="H10" s="28" t="str">
        <f>IF(JPEN!$C$2="EN",INDEX(順位表[City Name],MATCH(G10,順位表[R&amp;D],0)),INDEX(都市マスタ[都市名],MATCH(INDEX(順位表[City Name],MATCH(G10,順位表[R&amp;D],0)),都市マスタ[City Name],0)))</f>
        <v>ソウル</v>
      </c>
      <c r="I10" s="243">
        <f>INDEX(スコア表[R&amp;D],MATCH(INDEX(順位表[City Name],MATCH(G10,順位表[R&amp;D],0)),スコア表[City Name],0))</f>
        <v>136.38505214888332</v>
      </c>
      <c r="J10" s="22"/>
      <c r="K10" s="239">
        <v>6</v>
      </c>
      <c r="L10" s="28" t="str">
        <f>IF(JPEN!$C$2="EN",INDEX(順位表[City Name],MATCH(K10,順位表[Cultural Interaction],0)),INDEX(都市マスタ[都市名],MATCH(INDEX(順位表[City Name],MATCH(K10,順位表[Cultural Interaction],0)),都市マスタ[City Name],0)))</f>
        <v>イスタンブール</v>
      </c>
      <c r="M10" s="243">
        <f>INDEX(スコア表[Cultural Interaction],MATCH(INDEX(順位表[City Name],MATCH(K10,順位表[Cultural Interaction],0)),スコア表[City Name],0))</f>
        <v>207.21040014800832</v>
      </c>
      <c r="N10" s="22"/>
      <c r="O10" s="239">
        <v>6</v>
      </c>
      <c r="P10" s="28" t="str">
        <f>IF(JPEN!$C$2="EN",INDEX(順位表[City Name],MATCH(O10,順位表[Livability],0)),INDEX(都市マスタ[都市名],MATCH(INDEX(順位表[City Name],MATCH(O10,順位表[Livability],0)),都市マスタ[City Name],0)))</f>
        <v>ベルリン</v>
      </c>
      <c r="Q10" s="243">
        <f>INDEX(スコア表[Livability],MATCH(INDEX(順位表[City Name],MATCH(O10,順位表[Livability],0)),スコア表[City Name],0))</f>
        <v>359.26697375449999</v>
      </c>
      <c r="R10" s="22"/>
      <c r="S10" s="239">
        <v>6</v>
      </c>
      <c r="T10" s="28" t="str">
        <f>IF(JPEN!$C$2="EN",INDEX(順位表[City Name],MATCH(S10,順位表[Environment],0)),INDEX(都市マスタ[都市名],MATCH(INDEX(順位表[City Name],MATCH(S10,順位表[Environment],0)),都市マスタ[City Name],0)))</f>
        <v>メルボルン</v>
      </c>
      <c r="U10" s="243">
        <f>INDEX(スコア表[Environment],MATCH(INDEX(順位表[City Name],MATCH(S10,順位表[Environment],0)),スコア表[City Name],0))</f>
        <v>203.12582147590001</v>
      </c>
      <c r="V10" s="22"/>
      <c r="W10" s="239">
        <v>6</v>
      </c>
      <c r="X10" s="28" t="str">
        <f>IF(JPEN!$C$2="EN",INDEX(順位表[City Name],MATCH(W10,順位表[Accessibility],0)),INDEX(都市マスタ[都市名],MATCH(INDEX(順位表[City Name],MATCH(W10,順位表[Accessibility],0)),都市マスタ[City Name],0)))</f>
        <v>ドバイ</v>
      </c>
      <c r="Y10" s="243">
        <f>INDEX(スコア表[Accessibility],MATCH(INDEX(順位表[City Name],MATCH(W10,順位表[Accessibility],0)),スコア表[City Name],0))</f>
        <v>192.50675426359999</v>
      </c>
      <c r="Z10" s="254"/>
    </row>
    <row r="11" spans="2:27" ht="22.9" customHeight="1">
      <c r="B11" s="253"/>
      <c r="C11" s="239">
        <v>7</v>
      </c>
      <c r="D11" s="28" t="str">
        <f>IF(JPEN!$C$2="EN",INDEX(順位表[City Name],MATCH(C11,順位表[Economy],0)),INDEX(都市マスタ[都市名],MATCH(INDEX(順位表[City Name],MATCH(C11,順位表[Economy],0)),都市マスタ[City Name],0)))</f>
        <v>サンフランシスコ</v>
      </c>
      <c r="E11" s="243">
        <f>INDEX(スコア表[Economy],MATCH(INDEX(順位表[City Name],MATCH(C11,順位表[Economy],0)),スコア表[City Name],0))</f>
        <v>291.40429790600001</v>
      </c>
      <c r="F11" s="22"/>
      <c r="G11" s="239">
        <v>7</v>
      </c>
      <c r="H11" s="28" t="str">
        <f>IF(JPEN!$C$2="EN",INDEX(順位表[City Name],MATCH(G11,順位表[R&amp;D],0)),INDEX(都市マスタ[都市名],MATCH(INDEX(順位表[City Name],MATCH(G11,順位表[R&amp;D],0)),都市マスタ[City Name],0)))</f>
        <v>サンフランシスコ</v>
      </c>
      <c r="I11" s="243">
        <f>INDEX(スコア表[R&amp;D],MATCH(INDEX(順位表[City Name],MATCH(G11,順位表[R&amp;D],0)),スコア表[City Name],0))</f>
        <v>117.70197243871664</v>
      </c>
      <c r="J11" s="22"/>
      <c r="K11" s="239">
        <v>7</v>
      </c>
      <c r="L11" s="28" t="str">
        <f>IF(JPEN!$C$2="EN",INDEX(順位表[City Name],MATCH(K11,順位表[Cultural Interaction],0)),INDEX(都市マスタ[都市名],MATCH(INDEX(順位表[City Name],MATCH(K11,順位表[Cultural Interaction],0)),都市マスタ[City Name],0)))</f>
        <v>マドリード</v>
      </c>
      <c r="M11" s="243">
        <f>INDEX(スコア表[Cultural Interaction],MATCH(INDEX(順位表[City Name],MATCH(K11,順位表[Cultural Interaction],0)),スコア表[City Name],0))</f>
        <v>183.86445457120834</v>
      </c>
      <c r="N11" s="22"/>
      <c r="O11" s="239">
        <v>7</v>
      </c>
      <c r="P11" s="28" t="str">
        <f>IF(JPEN!$C$2="EN",INDEX(順位表[City Name],MATCH(O11,順位表[Livability],0)),INDEX(都市マスタ[都市名],MATCH(INDEX(順位表[City Name],MATCH(O11,順位表[Livability],0)),都市マスタ[City Name],0)))</f>
        <v>フランクフルト</v>
      </c>
      <c r="Q11" s="243">
        <f>INDEX(スコア表[Livability],MATCH(INDEX(順位表[City Name],MATCH(O11,順位表[Livability],0)),スコア表[City Name],0))</f>
        <v>358.10326910957502</v>
      </c>
      <c r="R11" s="22"/>
      <c r="S11" s="239">
        <v>7</v>
      </c>
      <c r="T11" s="28" t="str">
        <f>IF(JPEN!$C$2="EN",INDEX(順位表[City Name],MATCH(S11,順位表[Environment],0)),INDEX(都市マスタ[都市名],MATCH(INDEX(順位表[City Name],MATCH(S11,順位表[Environment],0)),都市マスタ[City Name],0)))</f>
        <v>シドニー</v>
      </c>
      <c r="U11" s="243">
        <f>INDEX(スコア表[Environment],MATCH(INDEX(順位表[City Name],MATCH(S11,順位表[Environment],0)),スコア表[City Name],0))</f>
        <v>202.1467375758333</v>
      </c>
      <c r="V11" s="22"/>
      <c r="W11" s="239">
        <v>7</v>
      </c>
      <c r="X11" s="28" t="str">
        <f>IF(JPEN!$C$2="EN",INDEX(順位表[City Name],MATCH(W11,順位表[Accessibility],0)),INDEX(都市マスタ[都市名],MATCH(INDEX(順位表[City Name],MATCH(W11,順位表[Accessibility],0)),都市マスタ[City Name],0)))</f>
        <v>シンガポール</v>
      </c>
      <c r="Y11" s="243">
        <f>INDEX(スコア表[Accessibility],MATCH(INDEX(順位表[City Name],MATCH(W11,順位表[Accessibility],0)),スコア表[City Name],0))</f>
        <v>183.81839168318334</v>
      </c>
      <c r="Z11" s="254"/>
    </row>
    <row r="12" spans="2:27" ht="22.9" customHeight="1">
      <c r="B12" s="253"/>
      <c r="C12" s="239">
        <v>8</v>
      </c>
      <c r="D12" s="28" t="str">
        <f>IF(JPEN!$C$2="EN",INDEX(順位表[City Name],MATCH(C12,順位表[Economy],0)),INDEX(都市マスタ[都市名],MATCH(INDEX(順位表[City Name],MATCH(C12,順位表[Economy],0)),都市マスタ[City Name],0)))</f>
        <v>ジュネーブ</v>
      </c>
      <c r="E12" s="243">
        <f>INDEX(スコア表[Economy],MATCH(INDEX(順位表[City Name],MATCH(C12,順位表[Economy],0)),スコア表[City Name],0))</f>
        <v>274.56096232340002</v>
      </c>
      <c r="F12" s="22"/>
      <c r="G12" s="239">
        <v>8</v>
      </c>
      <c r="H12" s="28" t="str">
        <f>IF(JPEN!$C$2="EN",INDEX(順位表[City Name],MATCH(G12,順位表[R&amp;D],0)),INDEX(都市マスタ[都市名],MATCH(INDEX(順位表[City Name],MATCH(G12,順位表[R&amp;D],0)),都市マスタ[City Name],0)))</f>
        <v>シカゴ</v>
      </c>
      <c r="I12" s="243">
        <f>INDEX(スコア表[R&amp;D],MATCH(INDEX(順位表[City Name],MATCH(G12,順位表[R&amp;D],0)),スコア表[City Name],0))</f>
        <v>113.03958124431666</v>
      </c>
      <c r="J12" s="22"/>
      <c r="K12" s="239">
        <v>8</v>
      </c>
      <c r="L12" s="28" t="str">
        <f>IF(JPEN!$C$2="EN",INDEX(順位表[City Name],MATCH(K12,順位表[Cultural Interaction],0)),INDEX(都市マスタ[都市名],MATCH(INDEX(順位表[City Name],MATCH(K12,順位表[Cultural Interaction],0)),都市マスタ[City Name],0)))</f>
        <v>モスクワ</v>
      </c>
      <c r="M12" s="243">
        <f>INDEX(スコア表[Cultural Interaction],MATCH(INDEX(順位表[City Name],MATCH(K12,順位表[Cultural Interaction],0)),スコア表[City Name],0))</f>
        <v>176.50947350084999</v>
      </c>
      <c r="N12" s="22"/>
      <c r="O12" s="239">
        <v>8</v>
      </c>
      <c r="P12" s="28" t="str">
        <f>IF(JPEN!$C$2="EN",INDEX(順位表[City Name],MATCH(O12,順位表[Livability],0)),INDEX(都市マスタ[都市名],MATCH(INDEX(順位表[City Name],MATCH(O12,順位表[Livability],0)),都市マスタ[City Name],0)))</f>
        <v>アムステルダム</v>
      </c>
      <c r="Q12" s="243">
        <f>INDEX(スコア表[Livability],MATCH(INDEX(順位表[City Name],MATCH(O12,順位表[Livability],0)),スコア表[City Name],0))</f>
        <v>357.92366671079168</v>
      </c>
      <c r="R12" s="22"/>
      <c r="S12" s="239">
        <v>8</v>
      </c>
      <c r="T12" s="28" t="str">
        <f>IF(JPEN!$C$2="EN",INDEX(順位表[City Name],MATCH(S12,順位表[Environment],0)),INDEX(都市マスタ[都市名],MATCH(INDEX(順位表[City Name],MATCH(S12,順位表[Environment],0)),都市マスタ[City Name],0)))</f>
        <v>チューリッヒ</v>
      </c>
      <c r="U12" s="243">
        <f>INDEX(スコア表[Environment],MATCH(INDEX(順位表[City Name],MATCH(S12,順位表[Environment],0)),スコア表[City Name],0))</f>
        <v>201.45625802520001</v>
      </c>
      <c r="V12" s="22"/>
      <c r="W12" s="239">
        <v>8</v>
      </c>
      <c r="X12" s="28" t="str">
        <f>IF(JPEN!$C$2="EN",INDEX(順位表[City Name],MATCH(W12,順位表[Accessibility],0)),INDEX(都市マスタ[都市名],MATCH(INDEX(順位表[City Name],MATCH(W12,順位表[Accessibility],0)),都市マスタ[City Name],0)))</f>
        <v>東京</v>
      </c>
      <c r="Y12" s="243">
        <f>INDEX(スコア表[Accessibility],MATCH(INDEX(順位表[City Name],MATCH(W12,順位表[Accessibility],0)),スコア表[City Name],0))</f>
        <v>183.26320413665002</v>
      </c>
      <c r="Z12" s="254"/>
    </row>
    <row r="13" spans="2:27" ht="22.9" customHeight="1">
      <c r="B13" s="253"/>
      <c r="C13" s="239">
        <v>9</v>
      </c>
      <c r="D13" s="28" t="str">
        <f>IF(JPEN!$C$2="EN",INDEX(順位表[City Name],MATCH(C13,順位表[Economy],0)),INDEX(都市マスタ[都市名],MATCH(INDEX(順位表[City Name],MATCH(C13,順位表[Economy],0)),都市マスタ[City Name],0)))</f>
        <v>ワシントンDC</v>
      </c>
      <c r="E13" s="243">
        <f>INDEX(スコア表[Economy],MATCH(INDEX(順位表[City Name],MATCH(C13,順位表[Economy],0)),スコア表[City Name],0))</f>
        <v>271.34976814340001</v>
      </c>
      <c r="F13" s="22"/>
      <c r="G13" s="239">
        <v>9</v>
      </c>
      <c r="H13" s="28" t="str">
        <f>IF(JPEN!$C$2="EN",INDEX(順位表[City Name],MATCH(G13,順位表[R&amp;D],0)),INDEX(都市マスタ[都市名],MATCH(INDEX(順位表[City Name],MATCH(G13,順位表[R&amp;D],0)),都市マスタ[City Name],0)))</f>
        <v>パリ</v>
      </c>
      <c r="I13" s="243">
        <f>INDEX(スコア表[R&amp;D],MATCH(INDEX(順位表[City Name],MATCH(G13,順位表[R&amp;D],0)),スコア表[City Name],0))</f>
        <v>108.2801633</v>
      </c>
      <c r="J13" s="22"/>
      <c r="K13" s="239">
        <v>9</v>
      </c>
      <c r="L13" s="28" t="str">
        <f>IF(JPEN!$C$2="EN",INDEX(順位表[City Name],MATCH(K13,順位表[Cultural Interaction],0)),INDEX(都市マスタ[都市名],MATCH(INDEX(順位表[City Name],MATCH(K13,順位表[Cultural Interaction],0)),都市マスタ[City Name],0)))</f>
        <v>シンガポール</v>
      </c>
      <c r="M13" s="243">
        <f>INDEX(スコア表[Cultural Interaction],MATCH(INDEX(順位表[City Name],MATCH(K13,順位表[Cultural Interaction],0)),スコア表[City Name],0))</f>
        <v>174.90516273540001</v>
      </c>
      <c r="N13" s="22"/>
      <c r="O13" s="239">
        <v>9</v>
      </c>
      <c r="P13" s="28" t="str">
        <f>IF(JPEN!$C$2="EN",INDEX(順位表[City Name],MATCH(O13,順位表[Livability],0)),INDEX(都市マスタ[都市名],MATCH(INDEX(順位表[City Name],MATCH(O13,順位表[Livability],0)),都市マスタ[City Name],0)))</f>
        <v>ロンドン</v>
      </c>
      <c r="Q13" s="243">
        <f>INDEX(スコア表[Livability],MATCH(INDEX(順位表[City Name],MATCH(O13,順位表[Livability],0)),スコア表[City Name],0))</f>
        <v>357.87296612675834</v>
      </c>
      <c r="R13" s="22"/>
      <c r="S13" s="239">
        <v>9</v>
      </c>
      <c r="T13" s="28" t="str">
        <f>IF(JPEN!$C$2="EN",INDEX(順位表[City Name],MATCH(S13,順位表[Environment],0)),INDEX(都市マスタ[都市名],MATCH(INDEX(順位表[City Name],MATCH(S13,順位表[Environment],0)),都市マスタ[City Name],0)))</f>
        <v>ベルリン</v>
      </c>
      <c r="U13" s="243">
        <f>INDEX(スコア表[Environment],MATCH(INDEX(順位表[City Name],MATCH(S13,順位表[Environment],0)),スコア表[City Name],0))</f>
        <v>192.19428406303334</v>
      </c>
      <c r="V13" s="22"/>
      <c r="W13" s="239">
        <v>9</v>
      </c>
      <c r="X13" s="28" t="str">
        <f>IF(JPEN!$C$2="EN",INDEX(順位表[City Name],MATCH(W13,順位表[Accessibility],0)),INDEX(都市マスタ[都市名],MATCH(INDEX(順位表[City Name],MATCH(W13,順位表[Accessibility],0)),都市マスタ[City Name],0)))</f>
        <v>上海</v>
      </c>
      <c r="Y13" s="243">
        <f>INDEX(スコア表[Accessibility],MATCH(INDEX(順位表[City Name],MATCH(W13,順位表[Accessibility],0)),スコア表[City Name],0))</f>
        <v>175.50802941770002</v>
      </c>
      <c r="Z13" s="254"/>
    </row>
    <row r="14" spans="2:27" ht="22.9" customHeight="1">
      <c r="B14" s="253"/>
      <c r="C14" s="239">
        <v>10</v>
      </c>
      <c r="D14" s="28" t="str">
        <f>IF(JPEN!$C$2="EN",INDEX(順位表[City Name],MATCH(C14,順位表[Economy],0)),INDEX(都市マスタ[都市名],MATCH(INDEX(順位表[City Name],MATCH(C14,順位表[Economy],0)),都市マスタ[City Name],0)))</f>
        <v>東京</v>
      </c>
      <c r="E14" s="243">
        <f>INDEX(スコア表[Economy],MATCH(INDEX(順位表[City Name],MATCH(C14,順位表[Economy],0)),スコア表[City Name],0))</f>
        <v>270.08264425940001</v>
      </c>
      <c r="F14" s="22"/>
      <c r="G14" s="239">
        <v>10</v>
      </c>
      <c r="H14" s="28" t="str">
        <f>IF(JPEN!$C$2="EN",INDEX(順位表[City Name],MATCH(G14,順位表[R&amp;D],0)),INDEX(都市マスタ[都市名],MATCH(INDEX(順位表[City Name],MATCH(G14,順位表[R&amp;D],0)),都市マスタ[City Name],0)))</f>
        <v>香港</v>
      </c>
      <c r="I14" s="243">
        <f>INDEX(スコア表[R&amp;D],MATCH(INDEX(順位表[City Name],MATCH(G14,順位表[R&amp;D],0)),スコア表[City Name],0))</f>
        <v>107.40907506731666</v>
      </c>
      <c r="J14" s="22"/>
      <c r="K14" s="239">
        <v>10</v>
      </c>
      <c r="L14" s="28" t="str">
        <f>IF(JPEN!$C$2="EN",INDEX(順位表[City Name],MATCH(K14,順位表[Cultural Interaction],0)),INDEX(都市マスタ[都市名],MATCH(INDEX(順位表[City Name],MATCH(K14,順位表[Cultural Interaction],0)),都市マスタ[City Name],0)))</f>
        <v>ベルリン</v>
      </c>
      <c r="M14" s="243">
        <f>INDEX(スコア表[Cultural Interaction],MATCH(INDEX(順位表[City Name],MATCH(K14,順位表[Cultural Interaction],0)),スコア表[City Name],0))</f>
        <v>173.39383899745832</v>
      </c>
      <c r="N14" s="22"/>
      <c r="O14" s="239">
        <v>10</v>
      </c>
      <c r="P14" s="28" t="str">
        <f>IF(JPEN!$C$2="EN",INDEX(順位表[City Name],MATCH(O14,順位表[Livability],0)),INDEX(都市マスタ[都市名],MATCH(INDEX(順位表[City Name],MATCH(O14,順位表[Livability],0)),都市マスタ[City Name],0)))</f>
        <v>ストックホルム</v>
      </c>
      <c r="Q14" s="243">
        <f>INDEX(スコア表[Livability],MATCH(INDEX(順位表[City Name],MATCH(O14,順位表[Livability],0)),スコア表[City Name],0))</f>
        <v>357.31986454819167</v>
      </c>
      <c r="R14" s="22"/>
      <c r="S14" s="239">
        <v>10</v>
      </c>
      <c r="T14" s="28" t="str">
        <f>IF(JPEN!$C$2="EN",INDEX(順位表[City Name],MATCH(S14,順位表[Environment],0)),INDEX(都市マスタ[都市名],MATCH(INDEX(順位表[City Name],MATCH(S14,順位表[Environment],0)),都市マスタ[City Name],0)))</f>
        <v>バンクーバー</v>
      </c>
      <c r="U14" s="243">
        <f>INDEX(スコア表[Environment],MATCH(INDEX(順位表[City Name],MATCH(S14,順位表[Environment],0)),スコア表[City Name],0))</f>
        <v>189.76686276836665</v>
      </c>
      <c r="V14" s="22"/>
      <c r="W14" s="239">
        <v>10</v>
      </c>
      <c r="X14" s="28" t="str">
        <f>IF(JPEN!$C$2="EN",INDEX(順位表[City Name],MATCH(W14,順位表[Accessibility],0)),INDEX(都市マスタ[都市名],MATCH(INDEX(順位表[City Name],MATCH(W14,順位表[Accessibility],0)),都市マスタ[City Name],0)))</f>
        <v>コペンハーゲン</v>
      </c>
      <c r="Y14" s="243">
        <f>INDEX(スコア表[Accessibility],MATCH(INDEX(順位表[City Name],MATCH(W14,順位表[Accessibility],0)),スコア表[City Name],0))</f>
        <v>174.47820119616665</v>
      </c>
      <c r="Z14" s="254"/>
    </row>
    <row r="15" spans="2:27" ht="22.9" customHeight="1">
      <c r="B15" s="253"/>
      <c r="C15" s="239" t="str">
        <f>IF(INDEX(順位表[Economy],MATCH("Tokyo",順位表[City Name],0))=11,11,"")</f>
        <v/>
      </c>
      <c r="D15" s="28" t="str">
        <f>IF(C15="","",IF(JPEN!$C$2="EN","Tokyo","東京"))</f>
        <v/>
      </c>
      <c r="E15" s="244" t="str">
        <f>IF(C15="","",INDEX(スコア表[Economy],MATCH("Tokyo",スコア表[City Name],0)))</f>
        <v/>
      </c>
      <c r="F15" s="93"/>
      <c r="G15" s="239" t="str">
        <f>IF(INDEX(順位表[R&amp;D],MATCH("Tokyo",順位表[City Name],0))=11,11,"")</f>
        <v/>
      </c>
      <c r="H15" s="28" t="str">
        <f>IF(G15="","",IF(JPEN!$C$2="EN","Tokyo","東京"))</f>
        <v/>
      </c>
      <c r="I15" s="244" t="str">
        <f>IF(G15="","",INDEX(スコア表[R&amp;D],MATCH("Tokyo",スコア表[City Name],0)))</f>
        <v/>
      </c>
      <c r="J15" s="93"/>
      <c r="K15" s="239" t="str">
        <f>IF(INDEX(順位表[Cultural Interaction],MATCH("Tokyo",順位表[City Name],0))=11,11,"")</f>
        <v/>
      </c>
      <c r="L15" s="28" t="str">
        <f>IF(K15="","",IF(JPEN!$C$2="EN","Tokyo","東京"))</f>
        <v/>
      </c>
      <c r="M15" s="244" t="str">
        <f>IF(K15="","",INDEX(スコア表[Cultural Interaction],MATCH("Tokyo",スコア表[City Name],0)))</f>
        <v/>
      </c>
      <c r="N15" s="93"/>
      <c r="O15" s="239" t="str">
        <f>IF(INDEX(順位表[Livability],MATCH("Tokyo",順位表[City Name],0))=11,11,"")</f>
        <v/>
      </c>
      <c r="P15" s="28" t="str">
        <f>IF(O15="","",IF(JPEN!$C$2="EN","Tokyo","東京"))</f>
        <v/>
      </c>
      <c r="Q15" s="244" t="str">
        <f>IF(O15="","",INDEX(スコア表[Livability],MATCH("Tokyo",スコア表[City Name],0)))</f>
        <v/>
      </c>
      <c r="R15" s="93"/>
      <c r="S15" s="239" t="str">
        <f>IF(INDEX(順位表[Environment],MATCH("Tokyo",順位表[City Name],0))=11,11,"")</f>
        <v/>
      </c>
      <c r="T15" s="28" t="str">
        <f>IF(S15="","",IF(JPEN!$C$2="EN","Tokyo","東京"))</f>
        <v/>
      </c>
      <c r="U15" s="244" t="str">
        <f>IF(S15="","",INDEX(スコア表[Environment],MATCH("Tokyo",スコア表[City Name],0)))</f>
        <v/>
      </c>
      <c r="V15" s="93"/>
      <c r="W15" s="239" t="str">
        <f>IF(INDEX(順位表[Accessibility],MATCH("Tokyo",順位表[City Name],0))=11,11,"")</f>
        <v/>
      </c>
      <c r="X15" s="28" t="str">
        <f>IF(W15="","",IF(JPEN!$C$2="EN","Tokyo","東京"))</f>
        <v/>
      </c>
      <c r="Y15" s="244" t="str">
        <f>IF(W15="","",INDEX(スコア表[Accessibility],MATCH("Tokyo",スコア表[City Name],0)))</f>
        <v/>
      </c>
      <c r="Z15" s="255"/>
      <c r="AA15" s="27" t="s">
        <v>1092</v>
      </c>
    </row>
    <row r="16" spans="2:27" ht="22.9" customHeight="1">
      <c r="B16" s="253"/>
      <c r="C16" s="239" t="str">
        <f>IF(INDEX(順位表[Economy],MATCH("Tokyo",順位表[City Name],0))&gt;11,INDEX(順位表[Economy],MATCH("Tokyo",順位表[City Name],0)),"")</f>
        <v/>
      </c>
      <c r="D16" s="28" t="str">
        <f>IF(C16="","",IF(JPEN!$C$2="EN","Tokyo","東京"))</f>
        <v/>
      </c>
      <c r="E16" s="244" t="str">
        <f>IF(C16="","",INDEX(スコア表[Economy],MATCH("Tokyo",スコア表[City Name],0)))</f>
        <v/>
      </c>
      <c r="F16" s="93"/>
      <c r="G16" s="239" t="str">
        <f>IF(INDEX(順位表[R&amp;D],MATCH("Tokyo",順位表[City Name],0))&gt;11,INDEX(順位表[R&amp;D],MATCH("Tokyo",順位表[City Name],0)),"")</f>
        <v/>
      </c>
      <c r="H16" s="28" t="str">
        <f>IF(G16="","",IF(JPEN!$C$2="EN","Tokyo","東京"))</f>
        <v/>
      </c>
      <c r="I16" s="244" t="str">
        <f>IF(G16="","",INDEX(スコア表[R&amp;D],MATCH("Tokyo",スコア表[City Name],0)))</f>
        <v/>
      </c>
      <c r="J16" s="93"/>
      <c r="K16" s="239" t="str">
        <f>IF(INDEX(順位表[Cultural Interaction],MATCH("Tokyo",順位表[City Name],0))&gt;11,INDEX(順位表[Cultural Interaction],MATCH("Tokyo",順位表[City Name],0)),"")</f>
        <v/>
      </c>
      <c r="L16" s="28" t="str">
        <f>IF(K16="","",IF(JPEN!$C$2="EN","Tokyo","東京"))</f>
        <v/>
      </c>
      <c r="M16" s="244" t="str">
        <f>IF(K16="","",INDEX(スコア表[Cultural Interaction],MATCH("Tokyo",スコア表[City Name],0)))</f>
        <v/>
      </c>
      <c r="N16" s="93"/>
      <c r="O16" s="239" t="str">
        <f>IF(INDEX(順位表[Livability],MATCH("Tokyo",順位表[City Name],0))&gt;11,INDEX(順位表[Livability],MATCH("Tokyo",順位表[City Name],0)),"")</f>
        <v/>
      </c>
      <c r="P16" s="28" t="str">
        <f>IF(O16="","",IF(JPEN!$C$2="EN","Tokyo","東京"))</f>
        <v/>
      </c>
      <c r="Q16" s="244" t="str">
        <f>IF(O16="","",INDEX(スコア表[Livability],MATCH("Tokyo",スコア表[City Name],0)))</f>
        <v/>
      </c>
      <c r="R16" s="22"/>
      <c r="S16" s="239">
        <f>IF(INDEX(順位表[Environment],MATCH("Tokyo",順位表[City Name],0))&gt;11,INDEX(順位表[Environment],MATCH("Tokyo",順位表[City Name],0)),"")</f>
        <v>16</v>
      </c>
      <c r="T16" s="28" t="str">
        <f>IF(S16="","",IF(JPEN!$C$2="EN","Tokyo","東京"))</f>
        <v>東京</v>
      </c>
      <c r="U16" s="244">
        <f>IF(S16="","",INDEX(スコア表[Environment],MATCH("Tokyo",スコア表[City Name],0)))</f>
        <v>173.80686015423333</v>
      </c>
      <c r="V16" s="22"/>
      <c r="W16" s="239" t="str">
        <f>IF(INDEX(順位表[Accessibility],MATCH("Tokyo",順位表[City Name],0))&gt;11,INDEX(順位表[Accessibility],MATCH("Tokyo",順位表[City Name],0)),"")</f>
        <v/>
      </c>
      <c r="X16" s="28" t="str">
        <f>IF(W16="","",IF(JPEN!$C$2="EN","Tokyo","東京"))</f>
        <v/>
      </c>
      <c r="Y16" s="244" t="str">
        <f>IF(W16="","",INDEX(スコア表[Accessibility],MATCH("Tokyo",スコア表[City Name],0)))</f>
        <v/>
      </c>
      <c r="Z16" s="254"/>
      <c r="AA16" s="27" t="s">
        <v>1092</v>
      </c>
    </row>
    <row r="17" spans="2:26" ht="22.9" customHeight="1" thickBot="1">
      <c r="B17" s="256"/>
      <c r="C17" s="257"/>
      <c r="D17" s="258"/>
      <c r="E17" s="259"/>
      <c r="F17" s="257"/>
      <c r="G17" s="257"/>
      <c r="H17" s="258"/>
      <c r="I17" s="259"/>
      <c r="J17" s="257"/>
      <c r="K17" s="257"/>
      <c r="L17" s="258"/>
      <c r="M17" s="259"/>
      <c r="N17" s="257"/>
      <c r="O17" s="260"/>
      <c r="P17" s="261"/>
      <c r="Q17" s="262"/>
      <c r="R17" s="263"/>
      <c r="S17" s="264"/>
      <c r="T17" s="264"/>
      <c r="U17" s="262"/>
      <c r="V17" s="264"/>
      <c r="W17" s="264"/>
      <c r="X17" s="264"/>
      <c r="Y17" s="259"/>
      <c r="Z17" s="265"/>
    </row>
    <row r="18" spans="2:26" ht="22.9" customHeight="1">
      <c r="C18" s="93"/>
      <c r="D18" s="28"/>
      <c r="E18" s="244"/>
      <c r="F18" s="93"/>
      <c r="G18" s="93"/>
      <c r="H18" s="28"/>
      <c r="I18" s="244"/>
      <c r="J18" s="93"/>
      <c r="K18" s="93"/>
      <c r="L18" s="28"/>
      <c r="M18" s="244"/>
      <c r="N18" s="93"/>
      <c r="R18" s="22"/>
      <c r="Y18" s="244"/>
    </row>
    <row r="19" spans="2:26" ht="22.9" customHeight="1">
      <c r="C19" s="93"/>
      <c r="D19" s="28"/>
      <c r="E19" s="244"/>
      <c r="F19" s="93"/>
      <c r="G19" s="93"/>
      <c r="H19" s="28"/>
      <c r="I19" s="244"/>
      <c r="J19" s="93"/>
      <c r="K19" s="93"/>
      <c r="L19" s="28"/>
      <c r="Y19" s="244"/>
    </row>
    <row r="20" spans="2:26" ht="22.9" customHeight="1">
      <c r="C20" s="93"/>
      <c r="D20" s="28"/>
      <c r="E20" s="244"/>
      <c r="F20" s="93"/>
      <c r="G20" s="93"/>
      <c r="H20" s="28"/>
      <c r="I20" s="244"/>
      <c r="J20" s="93"/>
      <c r="K20" s="93"/>
      <c r="L20" s="28"/>
      <c r="Y20" s="244"/>
    </row>
    <row r="21" spans="2:26" ht="22.9" customHeight="1">
      <c r="C21" s="239"/>
      <c r="D21" s="28"/>
      <c r="E21" s="244"/>
      <c r="F21" s="22"/>
      <c r="G21" s="239"/>
      <c r="H21" s="28"/>
      <c r="I21" s="244"/>
      <c r="J21" s="22"/>
      <c r="K21" s="239"/>
      <c r="L21" s="28"/>
      <c r="Y21" s="244"/>
    </row>
  </sheetData>
  <mergeCells count="7">
    <mergeCell ref="U2:X2"/>
    <mergeCell ref="C4:E4"/>
    <mergeCell ref="W4:Y4"/>
    <mergeCell ref="S4:U4"/>
    <mergeCell ref="O4:Q4"/>
    <mergeCell ref="K4:M4"/>
    <mergeCell ref="G4:I4"/>
  </mergeCells>
  <phoneticPr fontId="5"/>
  <conditionalFormatting sqref="C1:E1048576">
    <cfRule type="expression" dxfId="10" priority="3">
      <formula>OR($D1="Tokyo",$D1="東京")</formula>
    </cfRule>
  </conditionalFormatting>
  <conditionalFormatting sqref="G1:I1048576">
    <cfRule type="expression" dxfId="9" priority="4">
      <formula>OR($H1="Tokyo",$H1="東京")</formula>
    </cfRule>
  </conditionalFormatting>
  <conditionalFormatting sqref="K1:M1048576">
    <cfRule type="expression" dxfId="8" priority="5">
      <formula>OR($L1="Tokyo",$L1="東京")</formula>
    </cfRule>
  </conditionalFormatting>
  <conditionalFormatting sqref="O1:Q1048576">
    <cfRule type="expression" dxfId="7" priority="6">
      <formula>OR($P1="Tokyo",$P1="東京")</formula>
    </cfRule>
  </conditionalFormatting>
  <conditionalFormatting sqref="S1:U1 S2:T2 S3:U1048576">
    <cfRule type="expression" dxfId="6" priority="7">
      <formula>OR($T1="Tokyo",$T1="東京")</formula>
    </cfRule>
  </conditionalFormatting>
  <conditionalFormatting sqref="W1:Y1 W3:Y1048576">
    <cfRule type="expression" dxfId="5" priority="8">
      <formula>OR($X1="Tokyo",$X1="東京")</formula>
    </cfRule>
  </conditionalFormatting>
  <conditionalFormatting sqref="Y2:Z2 U2">
    <cfRule type="expression" dxfId="4" priority="1">
      <formula>$BD2=29</formula>
    </cfRule>
    <cfRule type="expression" dxfId="3" priority="2">
      <formula>OR($BD2=3,$BD2=38,$BD2=4,$BD2=21)</formula>
    </cfRule>
  </conditionalFormatting>
  <pageMargins left="0.25" right="0.25" top="0.75" bottom="0.75" header="0.3" footer="0.3"/>
  <pageSetup paperSize="9" scale="87"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8">
    <pageSetUpPr fitToPage="1"/>
  </sheetPr>
  <dimension ref="B1:AA51"/>
  <sheetViews>
    <sheetView showGridLines="0" zoomScale="115" zoomScaleNormal="115" workbookViewId="0">
      <selection activeCell="G2" sqref="G2"/>
    </sheetView>
  </sheetViews>
  <sheetFormatPr defaultColWidth="9.28515625" defaultRowHeight="15.75"/>
  <cols>
    <col min="1" max="1" width="3.28515625" bestFit="1" customWidth="1"/>
    <col min="2" max="2" width="8.140625" bestFit="1" customWidth="1"/>
    <col min="3" max="3" width="3.28515625" style="2" customWidth="1"/>
    <col min="4" max="4" width="16.7109375" customWidth="1"/>
    <col min="5" max="10" width="9.140625" customWidth="1"/>
    <col min="11" max="11" width="7.42578125" bestFit="1" customWidth="1"/>
    <col min="12" max="12" width="3.28515625" bestFit="1" customWidth="1"/>
    <col min="24" max="24" width="10.85546875" bestFit="1" customWidth="1"/>
    <col min="25" max="25" width="12.28515625" bestFit="1" customWidth="1"/>
    <col min="26" max="26" width="12.42578125" bestFit="1" customWidth="1"/>
    <col min="27" max="27" width="3.42578125" bestFit="1" customWidth="1"/>
  </cols>
  <sheetData>
    <row r="1" spans="2:27">
      <c r="B1" t="s">
        <v>1117</v>
      </c>
      <c r="D1" s="93"/>
      <c r="E1" t="s">
        <v>1094</v>
      </c>
      <c r="K1" t="s">
        <v>3841</v>
      </c>
    </row>
    <row r="2" spans="2:27">
      <c r="U2" s="445" t="str">
        <f ca="1">TEXT(NOW(),"yyyy/m/d h:mm")</f>
        <v>2024/9/9 10:49</v>
      </c>
      <c r="V2" s="445"/>
      <c r="W2" t="s">
        <v>640</v>
      </c>
    </row>
    <row r="3" spans="2:27">
      <c r="B3" s="84" t="s">
        <v>537</v>
      </c>
      <c r="C3" s="36" t="s">
        <v>523</v>
      </c>
      <c r="D3" s="36" t="str">
        <f>IF(JPEN!$C$2="EN",都市!$C$2,都市!$D$2)</f>
        <v>都市名</v>
      </c>
      <c r="E3" s="141" t="str">
        <f>IF(JPEN!$C$2="EN","Economy","経済")</f>
        <v>経済</v>
      </c>
      <c r="F3" s="149" t="str">
        <f>IF(JPEN!$C$2="EN","R&amp;D","研究・開発")</f>
        <v>研究・開発</v>
      </c>
      <c r="G3" s="156" t="str">
        <f>IF(JPEN!$C$2="EN","Cultural Interaction","文化・交流")</f>
        <v>文化・交流</v>
      </c>
      <c r="H3" s="164" t="str">
        <f>IF(JPEN!$C$2="EN","Livability","居住")</f>
        <v>居住</v>
      </c>
      <c r="I3" s="172" t="str">
        <f>IF(JPEN!$C$2="EN","Environment","環境")</f>
        <v>環境</v>
      </c>
      <c r="J3" s="182" t="str">
        <f>IF(JPEN!$C$2="EN","Accessibility","交通・アクセス")</f>
        <v>交通・アクセス</v>
      </c>
      <c r="K3" s="237" t="s">
        <v>657</v>
      </c>
      <c r="X3" s="96"/>
      <c r="Y3" s="332" t="s">
        <v>2551</v>
      </c>
      <c r="Z3" s="332" t="s">
        <v>2557</v>
      </c>
      <c r="AA3" s="332" t="s">
        <v>2568</v>
      </c>
    </row>
    <row r="4" spans="2:27">
      <c r="B4" s="83">
        <f>INDEX(順位表[Comprehensive],MATCH($C4,順位表['#],0))</f>
        <v>1</v>
      </c>
      <c r="C4" s="3">
        <v>3</v>
      </c>
      <c r="D4" s="1" t="str">
        <f>INDEX(都市マスタ[],MATCH($C4,都市マスタ['#],0),MATCH(D$3,都市マスタ[#Headers],0))</f>
        <v>ロンドン</v>
      </c>
      <c r="E4" s="4">
        <f>INDEX(偏差値表[Economy],MATCH($C4,偏差値表['#],0))</f>
        <v>67.884213669604364</v>
      </c>
      <c r="F4" s="4">
        <f>INDEX(偏差値表[R&amp;D],MATCH($C4,偏差値表['#],0))</f>
        <v>74.597208583595972</v>
      </c>
      <c r="G4" s="4">
        <f>INDEX(偏差値表[Cultural Interaction],MATCH($C4,偏差値表['#],0))</f>
        <v>86.772741769308922</v>
      </c>
      <c r="H4" s="4">
        <f>INDEX(偏差値表[Livability],MATCH($C4,偏差値表['#],0))</f>
        <v>58.944552322499028</v>
      </c>
      <c r="I4" s="4">
        <f>INDEX(偏差値表[Environment],MATCH($C4,偏差値表['#],0))</f>
        <v>58.292712639616084</v>
      </c>
      <c r="J4" s="4">
        <f>INDEX(偏差値表[Accessibility],MATCH($C4,偏差値表['#],0))</f>
        <v>69.671428944015361</v>
      </c>
      <c r="K4" s="4" t="s">
        <v>658</v>
      </c>
      <c r="X4" s="96" t="s">
        <v>2541</v>
      </c>
      <c r="Y4" s="96" t="s">
        <v>3596</v>
      </c>
      <c r="Z4" s="96" t="s">
        <v>2558</v>
      </c>
      <c r="AA4" s="333"/>
    </row>
    <row r="5" spans="2:27">
      <c r="B5" s="83">
        <f>INDEX(順位表[Comprehensive],MATCH($C5,順位表['#],0))</f>
        <v>4</v>
      </c>
      <c r="C5" s="3">
        <v>4</v>
      </c>
      <c r="D5" s="1" t="str">
        <f>INDEX(都市マスタ[],MATCH($C5,都市マスタ['#],0),MATCH(D$3,都市マスタ[#Headers],0))</f>
        <v>パリ</v>
      </c>
      <c r="E5" s="4">
        <f>INDEX(偏差値表[Economy],MATCH($C5,偏差値表['#],0))</f>
        <v>54.901087600679375</v>
      </c>
      <c r="F5" s="4">
        <f>INDEX(偏差値表[R&amp;D],MATCH($C5,偏差値表['#],0))</f>
        <v>59.136671559332513</v>
      </c>
      <c r="G5" s="4">
        <f>INDEX(偏差値表[Cultural Interaction],MATCH($C5,偏差値表['#],0))</f>
        <v>68.580133781243646</v>
      </c>
      <c r="H5" s="4">
        <f>INDEX(偏差値表[Livability],MATCH($C5,偏差値表['#],0))</f>
        <v>69.847064135478533</v>
      </c>
      <c r="I5" s="4">
        <f>INDEX(偏差値表[Environment],MATCH($C5,偏差値表['#],0))</f>
        <v>47.598828969527517</v>
      </c>
      <c r="J5" s="4">
        <f>INDEX(偏差値表[Accessibility],MATCH($C5,偏差値表['#],0))</f>
        <v>68.236925219534584</v>
      </c>
      <c r="K5" s="4" t="s">
        <v>658</v>
      </c>
      <c r="X5" s="96" t="s">
        <v>2542</v>
      </c>
      <c r="Y5" s="96" t="s">
        <v>3597</v>
      </c>
      <c r="Z5" s="96" t="s">
        <v>2559</v>
      </c>
      <c r="AA5" s="334"/>
    </row>
    <row r="6" spans="2:27">
      <c r="B6" s="83">
        <f>INDEX(順位表[Comprehensive],MATCH($C6,順位表['#],0))</f>
        <v>3</v>
      </c>
      <c r="C6" s="3">
        <v>29</v>
      </c>
      <c r="D6" s="1" t="str">
        <f>INDEX(都市マスタ[],MATCH($C6,都市マスタ['#],0),MATCH(D$3,都市マスタ[#Headers],0))</f>
        <v>東京</v>
      </c>
      <c r="E6" s="4">
        <f>INDEX(偏差値表[Economy],MATCH($C6,偏差値表['#],0))</f>
        <v>57.558812416740885</v>
      </c>
      <c r="F6" s="4">
        <f>INDEX(偏差値表[R&amp;D],MATCH($C6,偏差値表['#],0))</f>
        <v>66.568352075318003</v>
      </c>
      <c r="G6" s="4">
        <f>INDEX(偏差値表[Cultural Interaction],MATCH($C6,偏差値表['#],0))</f>
        <v>66.521135561544682</v>
      </c>
      <c r="H6" s="4">
        <f>INDEX(偏差値表[Livability],MATCH($C6,偏差値表['#],0))</f>
        <v>62.277623623236067</v>
      </c>
      <c r="I6" s="4">
        <f>INDEX(偏差値表[Environment],MATCH($C6,偏差値表['#],0))</f>
        <v>54.219545203639861</v>
      </c>
      <c r="J6" s="4">
        <f>INDEX(偏差値表[Accessibility],MATCH($C6,偏差値表['#],0))</f>
        <v>61.227202107823388</v>
      </c>
      <c r="K6" s="4" t="s">
        <v>658</v>
      </c>
      <c r="X6" s="96" t="s">
        <v>2543</v>
      </c>
      <c r="Y6" s="96" t="s">
        <v>3598</v>
      </c>
      <c r="Z6" s="96" t="s">
        <v>2560</v>
      </c>
      <c r="AA6" s="335"/>
    </row>
    <row r="7" spans="2:27">
      <c r="B7" s="83">
        <f>INDEX(順位表[Comprehensive],MATCH($C7,順位表['#],0))</f>
        <v>2</v>
      </c>
      <c r="C7" s="3">
        <v>38</v>
      </c>
      <c r="D7" s="1" t="str">
        <f>INDEX(都市マスタ[],MATCH($C7,都市マスタ['#],0),MATCH(D$3,都市マスタ[#Headers],0))</f>
        <v>ニューヨーク</v>
      </c>
      <c r="E7" s="4">
        <f>INDEX(偏差値表[Economy],MATCH($C7,偏差値表['#],0))</f>
        <v>73.331497303580832</v>
      </c>
      <c r="F7" s="4">
        <f>INDEX(偏差値表[R&amp;D],MATCH($C7,偏差値表['#],0))</f>
        <v>79.884047502502668</v>
      </c>
      <c r="G7" s="4">
        <f>INDEX(偏差値表[Cultural Interaction],MATCH($C7,偏差値表['#],0))</f>
        <v>69.930598531255939</v>
      </c>
      <c r="H7" s="4">
        <f>INDEX(偏差値表[Livability],MATCH($C7,偏差値表['#],0))</f>
        <v>40.15755177617558</v>
      </c>
      <c r="I7" s="4">
        <f>INDEX(偏差値表[Environment],MATCH($C7,偏差値表['#],0))</f>
        <v>47.45671002646835</v>
      </c>
      <c r="J7" s="4">
        <f>INDEX(偏差値表[Accessibility],MATCH($C7,偏差値表['#],0))</f>
        <v>69.712434438204852</v>
      </c>
      <c r="K7" s="4" t="s">
        <v>658</v>
      </c>
      <c r="X7" s="96" t="s">
        <v>2544</v>
      </c>
      <c r="Y7" s="96" t="s">
        <v>2552</v>
      </c>
      <c r="Z7" s="96" t="s">
        <v>2561</v>
      </c>
      <c r="AA7" s="336"/>
    </row>
    <row r="8" spans="2:27">
      <c r="B8" s="83">
        <f>INDEX(順位表[Comprehensive],MATCH($C8,順位表['#],0))</f>
        <v>14</v>
      </c>
      <c r="C8" s="3">
        <v>1</v>
      </c>
      <c r="D8" s="1" t="str">
        <f>INDEX(都市マスタ[],MATCH($C8,都市マスタ['#],0),MATCH(D$3,都市マスタ[#Headers],0))</f>
        <v>マドリード</v>
      </c>
      <c r="E8" s="4">
        <f>INDEX(偏差値表[Economy],MATCH($C8,偏差値表['#],0))</f>
        <v>46.966263279859604</v>
      </c>
      <c r="F8" s="4">
        <f>INDEX(偏差値表[R&amp;D],MATCH($C8,偏差値表['#],0))</f>
        <v>42.852011589078685</v>
      </c>
      <c r="G8" s="4">
        <f>INDEX(偏差値表[Cultural Interaction],MATCH($C8,偏差値表['#],0))</f>
        <v>58.168098614396825</v>
      </c>
      <c r="H8" s="4">
        <f>INDEX(偏差値表[Livability],MATCH($C8,偏差値表['#],0))</f>
        <v>66.765455488912252</v>
      </c>
      <c r="I8" s="4">
        <f>INDEX(偏差値表[Environment],MATCH($C8,偏差値表['#],0))</f>
        <v>55.060572025505721</v>
      </c>
      <c r="J8" s="4">
        <f>INDEX(偏差値表[Accessibility],MATCH($C8,偏差値表['#],0))</f>
        <v>54.343333942126762</v>
      </c>
      <c r="K8" s="4"/>
      <c r="X8" s="96" t="s">
        <v>2545</v>
      </c>
      <c r="Y8" s="96" t="s">
        <v>2553</v>
      </c>
      <c r="Z8" s="96" t="s">
        <v>2562</v>
      </c>
      <c r="AA8" s="337"/>
    </row>
    <row r="9" spans="2:27">
      <c r="B9" s="83">
        <f>INDEX(順位表[Comprehensive],MATCH($C9,順位表['#],0))</f>
        <v>22</v>
      </c>
      <c r="C9" s="3">
        <v>2</v>
      </c>
      <c r="D9" s="1" t="str">
        <f>INDEX(都市マスタ[],MATCH($C9,都市マスタ['#],0),MATCH(D$3,都市マスタ[#Headers],0))</f>
        <v>バルセロナ</v>
      </c>
      <c r="E9" s="4">
        <f>INDEX(偏差値表[Economy],MATCH($C9,偏差値表['#],0))</f>
        <v>45.450211827857913</v>
      </c>
      <c r="F9" s="4">
        <f>INDEX(偏差値表[R&amp;D],MATCH($C9,偏差値表['#],0))</f>
        <v>43.21872484951281</v>
      </c>
      <c r="G9" s="4">
        <f>INDEX(偏差値表[Cultural Interaction],MATCH($C9,偏差値表['#],0))</f>
        <v>55.039858059326754</v>
      </c>
      <c r="H9" s="4">
        <f>INDEX(偏差値表[Livability],MATCH($C9,偏差値表['#],0))</f>
        <v>61.572065430410731</v>
      </c>
      <c r="I9" s="4">
        <f>INDEX(偏差値表[Environment],MATCH($C9,偏差値表['#],0))</f>
        <v>46.972740705815298</v>
      </c>
      <c r="J9" s="4">
        <f>INDEX(偏差値表[Accessibility],MATCH($C9,偏差値表['#],0))</f>
        <v>56.13819196901656</v>
      </c>
      <c r="K9" s="4"/>
      <c r="X9" s="96" t="s">
        <v>2546</v>
      </c>
      <c r="Y9" s="96" t="s">
        <v>2555</v>
      </c>
      <c r="Z9" s="96" t="s">
        <v>2564</v>
      </c>
      <c r="AA9" s="339"/>
    </row>
    <row r="10" spans="2:27">
      <c r="B10" s="83">
        <f>INDEX(順位表[Comprehensive],MATCH($C10,順位表['#],0))</f>
        <v>24</v>
      </c>
      <c r="C10" s="3">
        <v>5</v>
      </c>
      <c r="D10" s="1" t="str">
        <f>INDEX(都市マスタ[],MATCH($C10,都市マスタ['#],0),MATCH(D$3,都市マスタ[#Headers],0))</f>
        <v>ブリュッセル</v>
      </c>
      <c r="E10" s="4">
        <f>INDEX(偏差値表[Economy],MATCH($C10,偏差値表['#],0))</f>
        <v>46.958469091236303</v>
      </c>
      <c r="F10" s="4">
        <f>INDEX(偏差値表[R&amp;D],MATCH($C10,偏差値表['#],0))</f>
        <v>49.17046330608116</v>
      </c>
      <c r="G10" s="4">
        <f>INDEX(偏差値表[Cultural Interaction],MATCH($C10,偏差値表['#],0))</f>
        <v>50.324120627042639</v>
      </c>
      <c r="H10" s="4">
        <f>INDEX(偏差値表[Livability],MATCH($C10,偏差値表['#],0))</f>
        <v>58.34257964030958</v>
      </c>
      <c r="I10" s="4">
        <f>INDEX(偏差値表[Environment],MATCH($C10,偏差値表['#],0))</f>
        <v>48.811939092777969</v>
      </c>
      <c r="J10" s="4">
        <f>INDEX(偏差値表[Accessibility],MATCH($C10,偏差値表['#],0))</f>
        <v>50.309209311011358</v>
      </c>
      <c r="K10" s="4"/>
      <c r="X10" s="96" t="s">
        <v>2547</v>
      </c>
      <c r="Y10" s="96" t="s">
        <v>2554</v>
      </c>
      <c r="Z10" s="96" t="s">
        <v>2563</v>
      </c>
      <c r="AA10" s="338"/>
    </row>
    <row r="11" spans="2:27">
      <c r="B11" s="83">
        <f>INDEX(順位表[Comprehensive],MATCH($C11,順位表['#],0))</f>
        <v>6</v>
      </c>
      <c r="C11" s="3">
        <v>6</v>
      </c>
      <c r="D11" s="1" t="str">
        <f>INDEX(都市マスタ[],MATCH($C11,都市マスタ['#],0),MATCH(D$3,都市マスタ[#Headers],0))</f>
        <v>アムステルダム</v>
      </c>
      <c r="E11" s="4">
        <f>INDEX(偏差値表[Economy],MATCH($C11,偏差値表['#],0))</f>
        <v>55.847897707198612</v>
      </c>
      <c r="F11" s="4">
        <f>INDEX(偏差値表[R&amp;D],MATCH($C11,偏差値表['#],0))</f>
        <v>50.585795659118247</v>
      </c>
      <c r="G11" s="4">
        <f>INDEX(偏差値表[Cultural Interaction],MATCH($C11,偏差値表['#],0))</f>
        <v>54.226942986827801</v>
      </c>
      <c r="H11" s="4">
        <f>INDEX(偏差値表[Livability],MATCH($C11,偏差値表['#],0))</f>
        <v>58.961765419396251</v>
      </c>
      <c r="I11" s="4">
        <f>INDEX(偏差値表[Environment],MATCH($C11,偏差値表['#],0))</f>
        <v>54.198232358596314</v>
      </c>
      <c r="J11" s="4">
        <f>INDEX(偏差値表[Accessibility],MATCH($C11,偏差値表['#],0))</f>
        <v>73.087902762382669</v>
      </c>
      <c r="K11" s="4"/>
      <c r="X11" s="96" t="s">
        <v>2548</v>
      </c>
      <c r="Y11" s="331" t="s">
        <v>2556</v>
      </c>
      <c r="Z11" s="96" t="s">
        <v>2565</v>
      </c>
      <c r="AA11" s="340"/>
    </row>
    <row r="12" spans="2:27">
      <c r="B12" s="83">
        <f>INDEX(順位表[Comprehensive],MATCH($C12,順位表['#],0))</f>
        <v>26</v>
      </c>
      <c r="C12" s="3">
        <v>7</v>
      </c>
      <c r="D12" s="1" t="str">
        <f>INDEX(都市マスタ[],MATCH($C12,都市マスタ['#],0),MATCH(D$3,都市マスタ[#Headers],0))</f>
        <v>ジュネーブ</v>
      </c>
      <c r="E12" s="4">
        <f>INDEX(偏差値表[Economy],MATCH($C12,偏差値表['#],0))</f>
        <v>58.258075473689892</v>
      </c>
      <c r="F12" s="4">
        <f>INDEX(偏差値表[R&amp;D],MATCH($C12,偏差値表['#],0))</f>
        <v>47.419595239233963</v>
      </c>
      <c r="G12" s="4">
        <f>INDEX(偏差値表[Cultural Interaction],MATCH($C12,偏差値表['#],0))</f>
        <v>37.456354342420163</v>
      </c>
      <c r="H12" s="4">
        <f>INDEX(偏差値表[Livability],MATCH($C12,偏差値表['#],0))</f>
        <v>47.802007411705127</v>
      </c>
      <c r="I12" s="4">
        <f>INDEX(偏差値表[Environment],MATCH($C12,偏差値表['#],0))</f>
        <v>67.076261516427138</v>
      </c>
      <c r="J12" s="4">
        <f>INDEX(偏差値表[Accessibility],MATCH($C12,偏差値表['#],0))</f>
        <v>45.398387554388847</v>
      </c>
      <c r="K12" s="4"/>
      <c r="X12" s="96" t="s">
        <v>2549</v>
      </c>
      <c r="Y12" s="96" t="s">
        <v>3599</v>
      </c>
      <c r="Z12" s="96" t="s">
        <v>2566</v>
      </c>
      <c r="AA12" s="341"/>
    </row>
    <row r="13" spans="2:27">
      <c r="B13" s="83">
        <f>INDEX(順位表[Comprehensive],MATCH($C13,順位表['#],0))</f>
        <v>20</v>
      </c>
      <c r="C13" s="3">
        <v>8</v>
      </c>
      <c r="D13" s="1" t="str">
        <f>INDEX(都市マスタ[],MATCH($C13,都市マスタ['#],0),MATCH(D$3,都市マスタ[#Headers],0))</f>
        <v>フランクフルト</v>
      </c>
      <c r="E13" s="4">
        <f>INDEX(偏差値表[Economy],MATCH($C13,偏差値表['#],0))</f>
        <v>49.536818619202002</v>
      </c>
      <c r="F13" s="4">
        <f>INDEX(偏差値表[R&amp;D],MATCH($C13,偏差値表['#],0))</f>
        <v>42.6843075675854</v>
      </c>
      <c r="G13" s="4">
        <f>INDEX(偏差値表[Cultural Interaction],MATCH($C13,偏差値表['#],0))</f>
        <v>42.080198624339658</v>
      </c>
      <c r="H13" s="4">
        <f>INDEX(偏差値表[Livability],MATCH($C13,偏差値表['#],0))</f>
        <v>59.022741314490446</v>
      </c>
      <c r="I13" s="4">
        <f>INDEX(偏差値表[Environment],MATCH($C13,偏差値表['#],0))</f>
        <v>56.264094433063285</v>
      </c>
      <c r="J13" s="4">
        <f>INDEX(偏差値表[Accessibility],MATCH($C13,偏差値表['#],0))</f>
        <v>70.112173042518464</v>
      </c>
      <c r="K13" s="4"/>
      <c r="X13" s="96" t="s">
        <v>2550</v>
      </c>
      <c r="Y13" s="96" t="s">
        <v>3600</v>
      </c>
      <c r="Z13" s="96" t="s">
        <v>2567</v>
      </c>
      <c r="AA13" s="342"/>
    </row>
    <row r="14" spans="2:27">
      <c r="B14" s="83">
        <f>INDEX(順位表[Comprehensive],MATCH($C14,順位表['#],0))</f>
        <v>10</v>
      </c>
      <c r="C14" s="3">
        <v>9</v>
      </c>
      <c r="D14" s="1" t="str">
        <f>INDEX(都市マスタ[],MATCH($C14,都市マスタ['#],0),MATCH(D$3,都市マスタ[#Headers],0))</f>
        <v>ベルリン</v>
      </c>
      <c r="E14" s="4">
        <f>INDEX(偏差値表[Economy],MATCH($C14,偏差値表['#],0))</f>
        <v>48.35767644924811</v>
      </c>
      <c r="F14" s="4">
        <f>INDEX(偏差値表[R&amp;D],MATCH($C14,偏差値表['#],0))</f>
        <v>52.832824240261388</v>
      </c>
      <c r="G14" s="4">
        <f>INDEX(偏差値表[Cultural Interaction],MATCH($C14,偏差値表['#],0))</f>
        <v>56.537815546282062</v>
      </c>
      <c r="H14" s="4">
        <f>INDEX(偏差値表[Livability],MATCH($C14,偏差値表['#],0))</f>
        <v>59.417824747842438</v>
      </c>
      <c r="I14" s="4">
        <f>INDEX(偏差値表[Environment],MATCH($C14,偏差値表['#],0))</f>
        <v>59.616220293800012</v>
      </c>
      <c r="J14" s="4">
        <f>INDEX(偏差値表[Accessibility],MATCH($C14,偏差値表['#],0))</f>
        <v>49.346058175387277</v>
      </c>
      <c r="K14" s="4"/>
    </row>
    <row r="15" spans="2:27">
      <c r="B15" s="83">
        <f>INDEX(順位表[Comprehensive],MATCH($C15,順位表['#],0))</f>
        <v>33</v>
      </c>
      <c r="C15" s="3">
        <v>10</v>
      </c>
      <c r="D15" s="1" t="str">
        <f>INDEX(都市マスタ[],MATCH($C15,都市マスタ['#],0),MATCH(D$3,都市マスタ[#Headers],0))</f>
        <v>ミラノ</v>
      </c>
      <c r="E15" s="4">
        <f>INDEX(偏差値表[Economy],MATCH($C15,偏差値表['#],0))</f>
        <v>43.400145613683563</v>
      </c>
      <c r="F15" s="4">
        <f>INDEX(偏差値表[R&amp;D],MATCH($C15,偏差値表['#],0))</f>
        <v>42.905760478451832</v>
      </c>
      <c r="G15" s="4">
        <f>INDEX(偏差値表[Cultural Interaction],MATCH($C15,偏差値表['#],0))</f>
        <v>48.939469552296565</v>
      </c>
      <c r="H15" s="4">
        <f>INDEX(偏差値表[Livability],MATCH($C15,偏差値表['#],0))</f>
        <v>57.304006621837232</v>
      </c>
      <c r="I15" s="4">
        <f>INDEX(偏差値表[Environment],MATCH($C15,偏差値表['#],0))</f>
        <v>48.272048826929066</v>
      </c>
      <c r="J15" s="4">
        <f>INDEX(偏差値表[Accessibility],MATCH($C15,偏差値表['#],0))</f>
        <v>52.270053168398405</v>
      </c>
      <c r="K15" s="4"/>
    </row>
    <row r="16" spans="2:27">
      <c r="B16" s="83">
        <f>INDEX(順位表[Comprehensive],MATCH($C16,順位表['#],0))</f>
        <v>19</v>
      </c>
      <c r="C16" s="3">
        <v>11</v>
      </c>
      <c r="D16" s="1" t="str">
        <f>INDEX(都市マスタ[],MATCH($C16,都市マスタ['#],0),MATCH(D$3,都市マスタ[#Headers],0))</f>
        <v>チューリッヒ</v>
      </c>
      <c r="E16" s="4">
        <f>INDEX(偏差値表[Economy],MATCH($C16,偏差値表['#],0))</f>
        <v>62.654743718216153</v>
      </c>
      <c r="F16" s="4">
        <f>INDEX(偏差値表[R&amp;D],MATCH($C16,偏差値表['#],0))</f>
        <v>47.235026530182296</v>
      </c>
      <c r="G16" s="4">
        <f>INDEX(偏差値表[Cultural Interaction],MATCH($C16,偏差値表['#],0))</f>
        <v>38.51937957495241</v>
      </c>
      <c r="H16" s="4">
        <f>INDEX(偏差値表[Livability],MATCH($C16,偏差値表['#],0))</f>
        <v>48.087645784416367</v>
      </c>
      <c r="I16" s="4">
        <f>INDEX(偏差値表[Environment],MATCH($C16,偏差値表['#],0))</f>
        <v>62.334592612579002</v>
      </c>
      <c r="J16" s="4">
        <f>INDEX(偏差値表[Accessibility],MATCH($C16,偏差値表['#],0))</f>
        <v>52.328709570737843</v>
      </c>
      <c r="K16" s="4"/>
    </row>
    <row r="17" spans="2:11">
      <c r="B17" s="83">
        <f>INDEX(順位表[Comprehensive],MATCH($C17,順位表['#],0))</f>
        <v>11</v>
      </c>
      <c r="C17" s="3">
        <v>12</v>
      </c>
      <c r="D17" s="1" t="str">
        <f>INDEX(都市マスタ[],MATCH($C17,都市マスタ['#],0),MATCH(D$3,都市マスタ[#Headers],0))</f>
        <v>コペンハーゲン</v>
      </c>
      <c r="E17" s="4">
        <f>INDEX(偏差値表[Economy],MATCH($C17,偏差値表['#],0))</f>
        <v>54.297108935331103</v>
      </c>
      <c r="F17" s="4">
        <f>INDEX(偏差値表[R&amp;D],MATCH($C17,偏差値表['#],0))</f>
        <v>45.332672677061716</v>
      </c>
      <c r="G17" s="4">
        <f>INDEX(偏差値表[Cultural Interaction],MATCH($C17,偏差値表['#],0))</f>
        <v>44.491315737707851</v>
      </c>
      <c r="H17" s="4">
        <f>INDEX(偏差値表[Livability],MATCH($C17,偏差値表['#],0))</f>
        <v>56.971525534262547</v>
      </c>
      <c r="I17" s="4">
        <f>INDEX(偏差値表[Environment],MATCH($C17,偏差値表['#],0))</f>
        <v>69.000577980309572</v>
      </c>
      <c r="J17" s="4">
        <f>INDEX(偏差値表[Accessibility],MATCH($C17,偏差値表['#],0))</f>
        <v>58.957157769854483</v>
      </c>
      <c r="K17" s="4"/>
    </row>
    <row r="18" spans="2:11">
      <c r="B18" s="83">
        <f>INDEX(順位表[Comprehensive],MATCH($C18,順位表['#],0))</f>
        <v>13</v>
      </c>
      <c r="C18" s="3">
        <v>13</v>
      </c>
      <c r="D18" s="1" t="str">
        <f>INDEX(都市マスタ[],MATCH($C18,都市マスタ['#],0),MATCH(D$3,都市マスタ[#Headers],0))</f>
        <v>ウィーン</v>
      </c>
      <c r="E18" s="4">
        <f>INDEX(偏差値表[Economy],MATCH($C18,偏差値表['#],0))</f>
        <v>46.828277615585357</v>
      </c>
      <c r="F18" s="4">
        <f>INDEX(偏差値表[R&amp;D],MATCH($C18,偏差値表['#],0))</f>
        <v>44.894667134215929</v>
      </c>
      <c r="G18" s="4">
        <f>INDEX(偏差値表[Cultural Interaction],MATCH($C18,偏差値表['#],0))</f>
        <v>52.720829988376735</v>
      </c>
      <c r="H18" s="4">
        <f>INDEX(偏差値表[Livability],MATCH($C18,偏差値表['#],0))</f>
        <v>59.655457982427237</v>
      </c>
      <c r="I18" s="4">
        <f>INDEX(偏差値表[Environment],MATCH($C18,偏差値表['#],0))</f>
        <v>64.980415996448471</v>
      </c>
      <c r="J18" s="4">
        <f>INDEX(偏差値表[Accessibility],MATCH($C18,偏差値表['#],0))</f>
        <v>58.227415901422013</v>
      </c>
      <c r="K18" s="4"/>
    </row>
    <row r="19" spans="2:11">
      <c r="B19" s="83">
        <f>INDEX(順位表[Comprehensive],MATCH($C19,順位表['#],0))</f>
        <v>16</v>
      </c>
      <c r="C19" s="3">
        <v>14</v>
      </c>
      <c r="D19" s="1" t="str">
        <f>INDEX(都市マスタ[],MATCH($C19,都市マスタ['#],0),MATCH(D$3,都市マスタ[#Headers],0))</f>
        <v>ストックホルム</v>
      </c>
      <c r="E19" s="4">
        <f>INDEX(偏差値表[Economy],MATCH($C19,偏差値表['#],0))</f>
        <v>53.894519265531223</v>
      </c>
      <c r="F19" s="4">
        <f>INDEX(偏差値表[R&amp;D],MATCH($C19,偏差値表['#],0))</f>
        <v>46.716964229160872</v>
      </c>
      <c r="G19" s="4">
        <f>INDEX(偏差値表[Cultural Interaction],MATCH($C19,偏差値表['#],0))</f>
        <v>44.750463540865937</v>
      </c>
      <c r="H19" s="4">
        <f>INDEX(偏差値表[Livability],MATCH($C19,偏差値表['#],0))</f>
        <v>58.756771624359239</v>
      </c>
      <c r="I19" s="4">
        <f>INDEX(偏差値表[Environment],MATCH($C19,偏差値表['#],0))</f>
        <v>70.341467359180612</v>
      </c>
      <c r="J19" s="4">
        <f>INDEX(偏差値表[Accessibility],MATCH($C19,偏差値表['#],0))</f>
        <v>49.511838599352679</v>
      </c>
      <c r="K19" s="4"/>
    </row>
    <row r="20" spans="2:11">
      <c r="B20" s="83">
        <f>INDEX(順位表[Comprehensive],MATCH($C20,順位表['#],0))</f>
        <v>30</v>
      </c>
      <c r="C20" s="3">
        <v>15</v>
      </c>
      <c r="D20" s="1" t="str">
        <f>INDEX(都市マスタ[],MATCH($C20,都市マスタ['#],0),MATCH(D$3,都市マスタ[#Headers],0))</f>
        <v>イスタンブール</v>
      </c>
      <c r="E20" s="4">
        <f>INDEX(偏差値表[Economy],MATCH($C20,偏差値表['#],0))</f>
        <v>41.06329280419267</v>
      </c>
      <c r="F20" s="4">
        <f>INDEX(偏差値表[R&amp;D],MATCH($C20,偏差値表['#],0))</f>
        <v>44.226190071789482</v>
      </c>
      <c r="G20" s="4">
        <f>INDEX(偏差値表[Cultural Interaction],MATCH($C20,偏差値表['#],0))</f>
        <v>61.803080675853067</v>
      </c>
      <c r="H20" s="4">
        <f>INDEX(偏差値表[Livability],MATCH($C20,偏差値表['#],0))</f>
        <v>37.46410019919427</v>
      </c>
      <c r="I20" s="4">
        <f>INDEX(偏差値表[Environment],MATCH($C20,偏差値表['#],0))</f>
        <v>46.333818405901226</v>
      </c>
      <c r="J20" s="4">
        <f>INDEX(偏差値表[Accessibility],MATCH($C20,偏差値表['#],0))</f>
        <v>56.831140409463345</v>
      </c>
      <c r="K20" s="4"/>
    </row>
    <row r="21" spans="2:11">
      <c r="B21" s="83">
        <f>INDEX(順位表[Comprehensive],MATCH($C21,順位表['#],0))</f>
        <v>47</v>
      </c>
      <c r="C21" s="3">
        <v>16</v>
      </c>
      <c r="D21" s="1" t="str">
        <f>INDEX(都市マスタ[],MATCH($C21,都市マスタ['#],0),MATCH(D$3,都市マスタ[#Headers],0))</f>
        <v>カイロ</v>
      </c>
      <c r="E21" s="4">
        <f>INDEX(偏差値表[Economy],MATCH($C21,偏差値表['#],0))</f>
        <v>28.126168256492857</v>
      </c>
      <c r="F21" s="4">
        <f>INDEX(偏差値表[R&amp;D],MATCH($C21,偏差値表['#],0))</f>
        <v>40.400245618049262</v>
      </c>
      <c r="G21" s="4">
        <f>INDEX(偏差値表[Cultural Interaction],MATCH($C21,偏差値表['#],0))</f>
        <v>44.882279974178594</v>
      </c>
      <c r="H21" s="4">
        <f>INDEX(偏差値表[Livability],MATCH($C21,偏差値表['#],0))</f>
        <v>36.774832419376501</v>
      </c>
      <c r="I21" s="4">
        <f>INDEX(偏差値表[Environment],MATCH($C21,偏差値表['#],0))</f>
        <v>23.034954285879913</v>
      </c>
      <c r="J21" s="4">
        <f>INDEX(偏差値表[Accessibility],MATCH($C21,偏差値表['#],0))</f>
        <v>40.076061496906249</v>
      </c>
      <c r="K21" s="4"/>
    </row>
    <row r="22" spans="2:11">
      <c r="B22" s="83">
        <f>INDEX(順位表[Comprehensive],MATCH($C22,順位表['#],0))</f>
        <v>34</v>
      </c>
      <c r="C22" s="3">
        <v>17</v>
      </c>
      <c r="D22" s="1" t="str">
        <f>INDEX(都市マスタ[],MATCH($C22,都市マスタ['#],0),MATCH(D$3,都市マスタ[#Headers],0))</f>
        <v>モスクワ</v>
      </c>
      <c r="E22" s="4">
        <f>INDEX(偏差値表[Economy],MATCH($C22,偏差値表['#],0))</f>
        <v>39.284897581299461</v>
      </c>
      <c r="F22" s="4">
        <f>INDEX(偏差値表[R&amp;D],MATCH($C22,偏差値表['#],0))</f>
        <v>48.192185256642503</v>
      </c>
      <c r="G22" s="4">
        <f>INDEX(偏差値表[Cultural Interaction],MATCH($C22,偏差値表['#],0))</f>
        <v>57.022922285378435</v>
      </c>
      <c r="H22" s="4">
        <f>INDEX(偏差値表[Livability],MATCH($C22,偏差値表['#],0))</f>
        <v>50.226255327492936</v>
      </c>
      <c r="I22" s="4">
        <f>INDEX(偏差値表[Environment],MATCH($C22,偏差値表['#],0))</f>
        <v>45.135761935299016</v>
      </c>
      <c r="J22" s="4">
        <f>INDEX(偏差値表[Accessibility],MATCH($C22,偏差値表['#],0))</f>
        <v>43.688543754246538</v>
      </c>
      <c r="K22" s="4"/>
    </row>
    <row r="23" spans="2:11">
      <c r="B23" s="83">
        <f>INDEX(順位表[Comprehensive],MATCH($C23,順位表['#],0))</f>
        <v>48</v>
      </c>
      <c r="C23" s="3">
        <v>18</v>
      </c>
      <c r="D23" s="1" t="str">
        <f>INDEX(都市マスタ[],MATCH($C23,都市マスタ['#],0),MATCH(D$3,都市マスタ[#Headers],0))</f>
        <v>ムンバイ</v>
      </c>
      <c r="E23" s="4">
        <f>INDEX(偏差値表[Economy],MATCH($C23,偏差値表['#],0))</f>
        <v>29.450422255326426</v>
      </c>
      <c r="F23" s="4">
        <f>INDEX(偏差値表[R&amp;D],MATCH($C23,偏差値表['#],0))</f>
        <v>37.842982551594197</v>
      </c>
      <c r="G23" s="4">
        <f>INDEX(偏差値表[Cultural Interaction],MATCH($C23,偏差値表['#],0))</f>
        <v>40.936739086183195</v>
      </c>
      <c r="H23" s="4">
        <f>INDEX(偏差値表[Livability],MATCH($C23,偏差値表['#],0))</f>
        <v>35.534710059674239</v>
      </c>
      <c r="I23" s="4">
        <f>INDEX(偏差値表[Environment],MATCH($C23,偏差値表['#],0))</f>
        <v>30.432655342022287</v>
      </c>
      <c r="J23" s="4">
        <f>INDEX(偏差値表[Accessibility],MATCH($C23,偏差値表['#],0))</f>
        <v>37.873628520015757</v>
      </c>
      <c r="K23" s="4"/>
    </row>
    <row r="24" spans="2:11">
      <c r="B24" s="83">
        <f>INDEX(順位表[Comprehensive],MATCH($C24,順位表['#],0))</f>
        <v>38</v>
      </c>
      <c r="C24" s="3">
        <v>19</v>
      </c>
      <c r="D24" s="1" t="str">
        <f>INDEX(都市マスタ[],MATCH($C24,都市マスタ['#],0),MATCH(D$3,都市マスタ[#Headers],0))</f>
        <v>バンコク</v>
      </c>
      <c r="E24" s="4">
        <f>INDEX(偏差値表[Economy],MATCH($C24,偏差値表['#],0))</f>
        <v>43.763660540251976</v>
      </c>
      <c r="F24" s="4">
        <f>INDEX(偏差値表[R&amp;D],MATCH($C24,偏差値表['#],0))</f>
        <v>40.748895532250053</v>
      </c>
      <c r="G24" s="4">
        <f>INDEX(偏差値表[Cultural Interaction],MATCH($C24,偏差値表['#],0))</f>
        <v>55.278711900608791</v>
      </c>
      <c r="H24" s="4">
        <f>INDEX(偏差値表[Livability],MATCH($C24,偏差値表['#],0))</f>
        <v>53.398157386715141</v>
      </c>
      <c r="I24" s="4">
        <f>INDEX(偏差値表[Environment],MATCH($C24,偏差値表['#],0))</f>
        <v>39.101657255746062</v>
      </c>
      <c r="J24" s="4">
        <f>INDEX(偏差値表[Accessibility],MATCH($C24,偏差値表['#],0))</f>
        <v>43.111402490395655</v>
      </c>
      <c r="K24" s="4"/>
    </row>
    <row r="25" spans="2:11">
      <c r="B25" s="83">
        <f>INDEX(順位表[Comprehensive],MATCH($C25,順位表['#],0))</f>
        <v>41</v>
      </c>
      <c r="C25" s="3">
        <v>20</v>
      </c>
      <c r="D25" s="1" t="str">
        <f>INDEX(都市マスタ[],MATCH($C25,都市マスタ['#],0),MATCH(D$3,都市マスタ[#Headers],0))</f>
        <v>クアラルンプール</v>
      </c>
      <c r="E25" s="4">
        <f>INDEX(偏差値表[Economy],MATCH($C25,偏差値表['#],0))</f>
        <v>43.07713737069777</v>
      </c>
      <c r="F25" s="4">
        <f>INDEX(偏差値表[R&amp;D],MATCH($C25,偏差値表['#],0))</f>
        <v>39.835278190274693</v>
      </c>
      <c r="G25" s="4">
        <f>INDEX(偏差値表[Cultural Interaction],MATCH($C25,偏差値表['#],0))</f>
        <v>44.934623519722471</v>
      </c>
      <c r="H25" s="4">
        <f>INDEX(偏差値表[Livability],MATCH($C25,偏差値表['#],0))</f>
        <v>56.243849647788736</v>
      </c>
      <c r="I25" s="4">
        <f>INDEX(偏差値表[Environment],MATCH($C25,偏差値表['#],0))</f>
        <v>40.152526574407716</v>
      </c>
      <c r="J25" s="4">
        <f>INDEX(偏差値表[Accessibility],MATCH($C25,偏差値表['#],0))</f>
        <v>42.225782883983051</v>
      </c>
      <c r="K25" s="4"/>
    </row>
    <row r="26" spans="2:11">
      <c r="B26" s="83">
        <f>INDEX(順位表[Comprehensive],MATCH($C26,順位表['#],0))</f>
        <v>5</v>
      </c>
      <c r="C26" s="3">
        <v>21</v>
      </c>
      <c r="D26" s="1" t="str">
        <f>INDEX(都市マスタ[],MATCH($C26,都市マスタ['#],0),MATCH(D$3,都市マスタ[#Headers],0))</f>
        <v>シンガポール</v>
      </c>
      <c r="E26" s="4">
        <f>INDEX(偏差値表[Economy],MATCH($C26,偏差値表['#],0))</f>
        <v>63.533470477541506</v>
      </c>
      <c r="F26" s="4">
        <f>INDEX(偏差値表[R&amp;D],MATCH($C26,偏差値表['#],0))</f>
        <v>56.893443037342941</v>
      </c>
      <c r="G26" s="4">
        <f>INDEX(偏差値表[Cultural Interaction],MATCH($C26,偏差値表['#],0))</f>
        <v>56.773129839224232</v>
      </c>
      <c r="H26" s="4">
        <f>INDEX(偏差値表[Livability],MATCH($C26,偏差値表['#],0))</f>
        <v>45.77454569360718</v>
      </c>
      <c r="I26" s="4">
        <f>INDEX(偏差値表[Environment],MATCH($C26,偏差値表['#],0))</f>
        <v>56.29754527778632</v>
      </c>
      <c r="J26" s="4">
        <f>INDEX(偏差値表[Accessibility],MATCH($C26,偏差値表['#],0))</f>
        <v>61.370662543187734</v>
      </c>
      <c r="K26" s="4"/>
    </row>
    <row r="27" spans="2:11">
      <c r="B27" s="83">
        <f>INDEX(順位表[Comprehensive],MATCH($C27,順位表['#],0))</f>
        <v>18</v>
      </c>
      <c r="C27" s="3">
        <v>22</v>
      </c>
      <c r="D27" s="1" t="str">
        <f>INDEX(都市マスタ[],MATCH($C27,都市マスタ['#],0),MATCH(D$3,都市マスタ[#Headers],0))</f>
        <v>香港</v>
      </c>
      <c r="E27" s="4">
        <f>INDEX(偏差値表[Economy],MATCH($C27,偏差値表['#],0))</f>
        <v>51.768501408504648</v>
      </c>
      <c r="F27" s="4">
        <f>INDEX(偏差値表[R&amp;D],MATCH($C27,偏差値表['#],0))</f>
        <v>58.952589552929695</v>
      </c>
      <c r="G27" s="4">
        <f>INDEX(偏差値表[Cultural Interaction],MATCH($C27,偏差値表['#],0))</f>
        <v>46.527731016854169</v>
      </c>
      <c r="H27" s="4">
        <f>INDEX(偏差値表[Livability],MATCH($C27,偏差値表['#],0))</f>
        <v>50.146152733854073</v>
      </c>
      <c r="I27" s="4">
        <f>INDEX(偏差値表[Environment],MATCH($C27,偏差値表['#],0))</f>
        <v>49.492773200287019</v>
      </c>
      <c r="J27" s="4">
        <f>INDEX(偏差値表[Accessibility],MATCH($C27,偏差値表['#],0))</f>
        <v>53.309478568775617</v>
      </c>
      <c r="K27" s="4"/>
    </row>
    <row r="28" spans="2:11">
      <c r="B28" s="83">
        <f>INDEX(順位表[Comprehensive],MATCH($C28,順位表['#],0))</f>
        <v>17</v>
      </c>
      <c r="C28" s="3">
        <v>23</v>
      </c>
      <c r="D28" s="1" t="str">
        <f>INDEX(都市マスタ[],MATCH($C28,都市マスタ['#],0),MATCH(D$3,都市マスタ[#Headers],0))</f>
        <v>北京</v>
      </c>
      <c r="E28" s="4">
        <f>INDEX(偏差値表[Economy],MATCH($C28,偏差値表['#],0))</f>
        <v>63.705496570109943</v>
      </c>
      <c r="F28" s="4">
        <f>INDEX(偏差値表[R&amp;D],MATCH($C28,偏差値表['#],0))</f>
        <v>55.948620313883346</v>
      </c>
      <c r="G28" s="4">
        <f>INDEX(偏差値表[Cultural Interaction],MATCH($C28,偏差値表['#],0))</f>
        <v>51.854873605611147</v>
      </c>
      <c r="H28" s="4">
        <f>INDEX(偏差値表[Livability],MATCH($C28,偏差値表['#],0))</f>
        <v>48.939067171045103</v>
      </c>
      <c r="I28" s="4">
        <f>INDEX(偏差値表[Environment],MATCH($C28,偏差値表['#],0))</f>
        <v>43.51065115719701</v>
      </c>
      <c r="J28" s="4">
        <f>INDEX(偏差値表[Accessibility],MATCH($C28,偏差値表['#],0))</f>
        <v>40.65631725883231</v>
      </c>
      <c r="K28" s="4"/>
    </row>
    <row r="29" spans="2:11">
      <c r="B29" s="83">
        <f>INDEX(順位表[Comprehensive],MATCH($C29,順位表['#],0))</f>
        <v>15</v>
      </c>
      <c r="C29" s="3">
        <v>24</v>
      </c>
      <c r="D29" s="1" t="str">
        <f>INDEX(都市マスタ[],MATCH($C29,都市マスタ['#],0),MATCH(D$3,都市マスタ[#Headers],0))</f>
        <v>上海</v>
      </c>
      <c r="E29" s="4">
        <f>INDEX(偏差値表[Economy],MATCH($C29,偏差値表['#],0))</f>
        <v>57.34851343747313</v>
      </c>
      <c r="F29" s="4">
        <f>INDEX(偏差値表[R&amp;D],MATCH($C29,偏差値表['#],0))</f>
        <v>55.271936907682658</v>
      </c>
      <c r="G29" s="4">
        <f>INDEX(偏差値表[Cultural Interaction],MATCH($C29,偏差値表['#],0))</f>
        <v>49.125257685917532</v>
      </c>
      <c r="H29" s="4">
        <f>INDEX(偏差値表[Livability],MATCH($C29,偏差値表['#],0))</f>
        <v>49.119400343246554</v>
      </c>
      <c r="I29" s="4">
        <f>INDEX(偏差値表[Environment],MATCH($C29,偏差値表['#],0))</f>
        <v>45.045379391631599</v>
      </c>
      <c r="J29" s="4">
        <f>INDEX(偏差値表[Accessibility],MATCH($C29,偏差値表['#],0))</f>
        <v>59.2232653328468</v>
      </c>
      <c r="K29" s="4"/>
    </row>
    <row r="30" spans="2:11">
      <c r="B30" s="83">
        <f>INDEX(順位表[Comprehensive],MATCH($C30,順位表['#],0))</f>
        <v>35</v>
      </c>
      <c r="C30" s="3">
        <v>25</v>
      </c>
      <c r="D30" s="1" t="str">
        <f>INDEX(都市マスタ[],MATCH($C30,都市マスタ['#],0),MATCH(D$3,都市マスタ[#Headers],0))</f>
        <v>台北</v>
      </c>
      <c r="E30" s="4">
        <f>INDEX(偏差値表[Economy],MATCH($C30,偏差値表['#],0))</f>
        <v>50.808390601453112</v>
      </c>
      <c r="F30" s="4">
        <f>INDEX(偏差値表[R&amp;D],MATCH($C30,偏差値表['#],0))</f>
        <v>46.153687402204334</v>
      </c>
      <c r="G30" s="4">
        <f>INDEX(偏差値表[Cultural Interaction],MATCH($C30,偏差値表['#],0))</f>
        <v>38.751806366194508</v>
      </c>
      <c r="H30" s="4">
        <f>INDEX(偏差値表[Livability],MATCH($C30,偏差値表['#],0))</f>
        <v>51.940735234430889</v>
      </c>
      <c r="I30" s="4">
        <f>INDEX(偏差値表[Environment],MATCH($C30,偏差値表['#],0))</f>
        <v>52.683938878660136</v>
      </c>
      <c r="J30" s="4">
        <f>INDEX(偏差値表[Accessibility],MATCH($C30,偏差値表['#],0))</f>
        <v>44.832700368917273</v>
      </c>
      <c r="K30" s="4"/>
    </row>
    <row r="31" spans="2:11">
      <c r="B31" s="83">
        <f>INDEX(順位表[Comprehensive],MATCH($C31,順位表['#],0))</f>
        <v>7</v>
      </c>
      <c r="C31" s="3">
        <v>26</v>
      </c>
      <c r="D31" s="1" t="str">
        <f>INDEX(都市マスタ[],MATCH($C31,都市マスタ['#],0),MATCH(D$3,都市マスタ[#Headers],0))</f>
        <v>ソウル</v>
      </c>
      <c r="E31" s="4">
        <f>INDEX(偏差値表[Economy],MATCH($C31,偏差値表['#],0))</f>
        <v>55.170522363650306</v>
      </c>
      <c r="F31" s="4">
        <f>INDEX(偏差値表[R&amp;D],MATCH($C31,偏差値表['#],0))</f>
        <v>65.075914146841427</v>
      </c>
      <c r="G31" s="4">
        <f>INDEX(偏差値表[Cultural Interaction],MATCH($C31,偏差値表['#],0))</f>
        <v>55.664736693379226</v>
      </c>
      <c r="H31" s="4">
        <f>INDEX(偏差値表[Livability],MATCH($C31,偏差値表['#],0))</f>
        <v>45.633481228104365</v>
      </c>
      <c r="I31" s="4">
        <f>INDEX(偏差値表[Environment],MATCH($C31,偏差値表['#],0))</f>
        <v>55.491446343323119</v>
      </c>
      <c r="J31" s="4">
        <f>INDEX(偏差値表[Accessibility],MATCH($C31,偏差値表['#],0))</f>
        <v>51.676968938094149</v>
      </c>
      <c r="K31" s="4"/>
    </row>
    <row r="32" spans="2:11">
      <c r="B32" s="83">
        <f>INDEX(順位表[Comprehensive],MATCH($C32,順位表['#],0))</f>
        <v>42</v>
      </c>
      <c r="C32" s="3">
        <v>27</v>
      </c>
      <c r="D32" s="1" t="str">
        <f>INDEX(都市マスタ[],MATCH($C32,都市マスタ['#],0),MATCH(D$3,都市マスタ[#Headers],0))</f>
        <v>福岡</v>
      </c>
      <c r="E32" s="4">
        <f>INDEX(偏差値表[Economy],MATCH($C32,偏差値表['#],0))</f>
        <v>37.658856579311653</v>
      </c>
      <c r="F32" s="4">
        <f>INDEX(偏差値表[R&amp;D],MATCH($C32,偏差値表['#],0))</f>
        <v>43.894314120689927</v>
      </c>
      <c r="G32" s="4">
        <f>INDEX(偏差値表[Cultural Interaction],MATCH($C32,偏差値表['#],0))</f>
        <v>37.168040489786591</v>
      </c>
      <c r="H32" s="4">
        <f>INDEX(偏差値表[Livability],MATCH($C32,偏差値表['#],0))</f>
        <v>51.731070943790087</v>
      </c>
      <c r="I32" s="4">
        <f>INDEX(偏差値表[Environment],MATCH($C32,偏差値表['#],0))</f>
        <v>51.112045652895176</v>
      </c>
      <c r="J32" s="4">
        <f>INDEX(偏差値表[Accessibility],MATCH($C32,偏差値表['#],0))</f>
        <v>44.148163133606502</v>
      </c>
      <c r="K32" s="4"/>
    </row>
    <row r="33" spans="2:11">
      <c r="B33" s="83">
        <f>INDEX(順位表[Comprehensive],MATCH($C33,順位表['#],0))</f>
        <v>37</v>
      </c>
      <c r="C33" s="3">
        <v>28</v>
      </c>
      <c r="D33" s="1" t="str">
        <f>INDEX(都市マスタ[],MATCH($C33,都市マスタ['#],0),MATCH(D$3,都市マスタ[#Headers],0))</f>
        <v>大阪</v>
      </c>
      <c r="E33" s="4">
        <f>INDEX(偏差値表[Economy],MATCH($C33,偏差値表['#],0))</f>
        <v>42.616218486427215</v>
      </c>
      <c r="F33" s="4">
        <f>INDEX(偏差値表[R&amp;D],MATCH($C33,偏差値表['#],0))</f>
        <v>50.982835439933446</v>
      </c>
      <c r="G33" s="4">
        <f>INDEX(偏差値表[Cultural Interaction],MATCH($C33,偏差値表['#],0))</f>
        <v>46.663291407284234</v>
      </c>
      <c r="H33" s="4">
        <f>INDEX(偏差値表[Livability],MATCH($C33,偏差値表['#],0))</f>
        <v>57.892374252426812</v>
      </c>
      <c r="I33" s="4">
        <f>INDEX(偏差値表[Environment],MATCH($C33,偏差値表['#],0))</f>
        <v>41.245642123953765</v>
      </c>
      <c r="J33" s="4">
        <f>INDEX(偏差値表[Accessibility],MATCH($C33,偏差値表['#],0))</f>
        <v>42.121841232780007</v>
      </c>
      <c r="K33" s="4"/>
    </row>
    <row r="34" spans="2:11">
      <c r="B34" s="83">
        <f>INDEX(順位表[Comprehensive],MATCH($C34,順位表['#],0))</f>
        <v>12</v>
      </c>
      <c r="C34" s="3">
        <v>30</v>
      </c>
      <c r="D34" s="1" t="str">
        <f>INDEX(都市マスタ[],MATCH($C34,都市マスタ['#],0),MATCH(D$3,都市マスタ[#Headers],0))</f>
        <v>シドニー</v>
      </c>
      <c r="E34" s="4">
        <f>INDEX(偏差値表[Economy],MATCH($C34,偏差値表['#],0))</f>
        <v>55.670828503019543</v>
      </c>
      <c r="F34" s="4">
        <f>INDEX(偏差値表[R&amp;D],MATCH($C34,偏差値表['#],0))</f>
        <v>54.016332668210268</v>
      </c>
      <c r="G34" s="4">
        <f>INDEX(偏差値表[Cultural Interaction],MATCH($C34,偏差値表['#],0))</f>
        <v>50.350934575413199</v>
      </c>
      <c r="H34" s="4">
        <f>INDEX(偏差値表[Livability],MATCH($C34,偏差値表['#],0))</f>
        <v>51.179636034101257</v>
      </c>
      <c r="I34" s="4">
        <f>INDEX(偏差値表[Environment],MATCH($C34,偏差値表['#],0))</f>
        <v>62.53724709042482</v>
      </c>
      <c r="J34" s="4">
        <f>INDEX(偏差値表[Accessibility],MATCH($C34,偏差値表['#],0))</f>
        <v>45.031227094136021</v>
      </c>
      <c r="K34" s="4"/>
    </row>
    <row r="35" spans="2:11">
      <c r="B35" s="83">
        <f>INDEX(順位表[Comprehensive],MATCH($C35,順位表['#],0))</f>
        <v>32</v>
      </c>
      <c r="C35" s="3">
        <v>31</v>
      </c>
      <c r="D35" s="1" t="str">
        <f>INDEX(都市マスタ[],MATCH($C35,都市マスタ['#],0),MATCH(D$3,都市マスタ[#Headers],0))</f>
        <v>バンクーバー</v>
      </c>
      <c r="E35" s="4">
        <f>INDEX(偏差値表[Economy],MATCH($C35,偏差値表['#],0))</f>
        <v>52.754225598918168</v>
      </c>
      <c r="F35" s="4">
        <f>INDEX(偏差値表[R&amp;D],MATCH($C35,偏差値表['#],0))</f>
        <v>46.033631047287138</v>
      </c>
      <c r="G35" s="4">
        <f>INDEX(偏差値表[Cultural Interaction],MATCH($C35,偏差値表['#],0))</f>
        <v>41.493529247682829</v>
      </c>
      <c r="H35" s="4">
        <f>INDEX(偏差値表[Livability],MATCH($C35,偏差値表['#],0))</f>
        <v>50.101695605000693</v>
      </c>
      <c r="I35" s="4">
        <f>INDEX(偏差値表[Environment],MATCH($C35,偏差値表['#],0))</f>
        <v>58.903776609506508</v>
      </c>
      <c r="J35" s="4">
        <f>INDEX(偏差値表[Accessibility],MATCH($C35,偏差値表['#],0))</f>
        <v>41.953357495567467</v>
      </c>
      <c r="K35" s="4"/>
    </row>
    <row r="36" spans="2:11">
      <c r="B36" s="83">
        <f>INDEX(順位表[Comprehensive],MATCH($C36,順位表['#],0))</f>
        <v>27</v>
      </c>
      <c r="C36" s="3">
        <v>32</v>
      </c>
      <c r="D36" s="1" t="str">
        <f>INDEX(都市マスタ[],MATCH($C36,都市マスタ['#],0),MATCH(D$3,都市マスタ[#Headers],0))</f>
        <v>サンフランシスコ</v>
      </c>
      <c r="E36" s="4">
        <f>INDEX(偏差値表[Economy],MATCH($C36,偏差値表['#],0))</f>
        <v>60.888063375484194</v>
      </c>
      <c r="F36" s="4">
        <f>INDEX(偏差値表[R&amp;D],MATCH($C36,偏差値表['#],0))</f>
        <v>61.127727648859441</v>
      </c>
      <c r="G36" s="4">
        <f>INDEX(偏差値表[Cultural Interaction],MATCH($C36,偏差値表['#],0))</f>
        <v>41.977430630811384</v>
      </c>
      <c r="H36" s="4">
        <f>INDEX(偏差値表[Livability],MATCH($C36,偏差値表['#],0))</f>
        <v>39.577580381670401</v>
      </c>
      <c r="I36" s="4">
        <f>INDEX(偏差値表[Environment],MATCH($C36,偏差値表['#],0))</f>
        <v>39.886224216631433</v>
      </c>
      <c r="J36" s="4">
        <f>INDEX(偏差値表[Accessibility],MATCH($C36,偏差値表['#],0))</f>
        <v>44.956440360683608</v>
      </c>
      <c r="K36" s="4"/>
    </row>
    <row r="37" spans="2:11">
      <c r="B37" s="83">
        <f>INDEX(順位表[Comprehensive],MATCH($C37,順位表['#],0))</f>
        <v>21</v>
      </c>
      <c r="C37" s="3">
        <v>33</v>
      </c>
      <c r="D37" s="1" t="str">
        <f>INDEX(都市マスタ[],MATCH($C37,都市マスタ['#],0),MATCH(D$3,都市マスタ[#Headers],0))</f>
        <v>ロサンゼルス</v>
      </c>
      <c r="E37" s="4">
        <f>INDEX(偏差値表[Economy],MATCH($C37,偏差値表['#],0))</f>
        <v>54.830183817765018</v>
      </c>
      <c r="F37" s="4">
        <f>INDEX(偏差値表[R&amp;D],MATCH($C37,偏差値表['#],0))</f>
        <v>68.991603464687174</v>
      </c>
      <c r="G37" s="4">
        <f>INDEX(偏差値表[Cultural Interaction],MATCH($C37,偏差値表['#],0))</f>
        <v>46.369586253399575</v>
      </c>
      <c r="H37" s="4">
        <f>INDEX(偏差値表[Livability],MATCH($C37,偏差値表['#],0))</f>
        <v>36.223154640472423</v>
      </c>
      <c r="I37" s="4">
        <f>INDEX(偏差値表[Environment],MATCH($C37,偏差値表['#],0))</f>
        <v>44.301284693622442</v>
      </c>
      <c r="J37" s="4">
        <f>INDEX(偏差値表[Accessibility],MATCH($C37,偏差値表['#],0))</f>
        <v>46.204043819094871</v>
      </c>
      <c r="K37" s="4"/>
    </row>
    <row r="38" spans="2:11">
      <c r="B38" s="83">
        <f>INDEX(順位表[Comprehensive],MATCH($C38,順位表['#],0))</f>
        <v>43</v>
      </c>
      <c r="C38" s="3">
        <v>34</v>
      </c>
      <c r="D38" s="1" t="str">
        <f>INDEX(都市マスタ[],MATCH($C38,都市マスタ['#],0),MATCH(D$3,都市マスタ[#Headers],0))</f>
        <v>メキシコシティ</v>
      </c>
      <c r="E38" s="4">
        <f>INDEX(偏差値表[Economy],MATCH($C38,偏差値表['#],0))</f>
        <v>35.753870105509193</v>
      </c>
      <c r="F38" s="4">
        <f>INDEX(偏差値表[R&amp;D],MATCH($C38,偏差値表['#],0))</f>
        <v>39.210393913132499</v>
      </c>
      <c r="G38" s="4">
        <f>INDEX(偏差値表[Cultural Interaction],MATCH($C38,偏差値表['#],0))</f>
        <v>53.853346966746912</v>
      </c>
      <c r="H38" s="4">
        <f>INDEX(偏差値表[Livability],MATCH($C38,偏差値表['#],0))</f>
        <v>38.089679032877839</v>
      </c>
      <c r="I38" s="4">
        <f>INDEX(偏差値表[Environment],MATCH($C38,偏差値表['#],0))</f>
        <v>43.793330674154305</v>
      </c>
      <c r="J38" s="4">
        <f>INDEX(偏差値表[Accessibility],MATCH($C38,偏差値表['#],0))</f>
        <v>40.393426612252071</v>
      </c>
      <c r="K38" s="4"/>
    </row>
    <row r="39" spans="2:11">
      <c r="B39" s="83">
        <f>INDEX(順位表[Comprehensive],MATCH($C39,順位表['#],0))</f>
        <v>25</v>
      </c>
      <c r="C39" s="3">
        <v>35</v>
      </c>
      <c r="D39" s="1" t="str">
        <f>INDEX(都市マスタ[],MATCH($C39,都市マスタ['#],0),MATCH(D$3,都市マスタ[#Headers],0))</f>
        <v>シカゴ</v>
      </c>
      <c r="E39" s="4">
        <f>INDEX(偏差値表[Economy],MATCH($C39,偏差値表['#],0))</f>
        <v>52.749116184415755</v>
      </c>
      <c r="F39" s="4">
        <f>INDEX(偏差値表[R&amp;D],MATCH($C39,偏差値表['#],0))</f>
        <v>60.14245165327381</v>
      </c>
      <c r="G39" s="4">
        <f>INDEX(偏差値表[Cultural Interaction],MATCH($C39,偏差値表['#],0))</f>
        <v>46.206402307743105</v>
      </c>
      <c r="H39" s="4">
        <f>INDEX(偏差値表[Livability],MATCH($C39,偏差値表['#],0))</f>
        <v>34.633194524274785</v>
      </c>
      <c r="I39" s="4">
        <f>INDEX(偏差値表[Environment],MATCH($C39,偏差値表['#],0))</f>
        <v>44.977734434139109</v>
      </c>
      <c r="J39" s="4">
        <f>INDEX(偏差値表[Accessibility],MATCH($C39,偏差値表['#],0))</f>
        <v>54.246141957111611</v>
      </c>
      <c r="K39" s="4"/>
    </row>
    <row r="40" spans="2:11">
      <c r="B40" s="83">
        <f>INDEX(順位表[Comprehensive],MATCH($C40,順位表['#],0))</f>
        <v>23</v>
      </c>
      <c r="C40" s="3">
        <v>36</v>
      </c>
      <c r="D40" s="1" t="str">
        <f>INDEX(都市マスタ[],MATCH($C40,都市マスタ['#],0),MATCH(D$3,都市マスタ[#Headers],0))</f>
        <v>トロント</v>
      </c>
      <c r="E40" s="4">
        <f>INDEX(偏差値表[Economy],MATCH($C40,偏差値表['#],0))</f>
        <v>54.303473103689306</v>
      </c>
      <c r="F40" s="4">
        <f>INDEX(偏差値表[R&amp;D],MATCH($C40,偏差値表['#],0))</f>
        <v>49.266865044041694</v>
      </c>
      <c r="G40" s="4">
        <f>INDEX(偏差値表[Cultural Interaction],MATCH($C40,偏差値表['#],0))</f>
        <v>45.411409880994313</v>
      </c>
      <c r="H40" s="4">
        <f>INDEX(偏差値表[Livability],MATCH($C40,偏差値表['#],0))</f>
        <v>55.019961542594842</v>
      </c>
      <c r="I40" s="4">
        <f>INDEX(偏差値表[Environment],MATCH($C40,偏差値表['#],0))</f>
        <v>52.797784071552613</v>
      </c>
      <c r="J40" s="4">
        <f>INDEX(偏差値表[Accessibility],MATCH($C40,偏差値表['#],0))</f>
        <v>49.329619394615982</v>
      </c>
      <c r="K40" s="4"/>
    </row>
    <row r="41" spans="2:11">
      <c r="B41" s="83">
        <f>INDEX(順位表[Comprehensive],MATCH($C41,順位表['#],0))</f>
        <v>36</v>
      </c>
      <c r="C41" s="3">
        <v>37</v>
      </c>
      <c r="D41" s="1" t="str">
        <f>INDEX(都市マスタ[],MATCH($C41,都市マスタ['#],0),MATCH(D$3,都市マスタ[#Headers],0))</f>
        <v>ワシントンDC</v>
      </c>
      <c r="E41" s="4">
        <f>INDEX(偏差値表[Economy],MATCH($C41,偏差値表['#],0))</f>
        <v>57.756666367263442</v>
      </c>
      <c r="F41" s="4">
        <f>INDEX(偏差値表[R&amp;D],MATCH($C41,偏差値表['#],0))</f>
        <v>54.726168442108026</v>
      </c>
      <c r="G41" s="4">
        <f>INDEX(偏差値表[Cultural Interaction],MATCH($C41,偏差値表['#],0))</f>
        <v>40.663140584727181</v>
      </c>
      <c r="H41" s="4">
        <f>INDEX(偏差値表[Livability],MATCH($C41,偏差値表['#],0))</f>
        <v>33.966767319115597</v>
      </c>
      <c r="I41" s="4">
        <f>INDEX(偏差値表[Environment],MATCH($C41,偏差値表['#],0))</f>
        <v>44.279428461428061</v>
      </c>
      <c r="J41" s="4">
        <f>INDEX(偏差値表[Accessibility],MATCH($C41,偏差値表['#],0))</f>
        <v>39.986957593399701</v>
      </c>
      <c r="K41" s="4"/>
    </row>
    <row r="42" spans="2:11">
      <c r="B42" s="83">
        <f>INDEX(順位表[Comprehensive],MATCH($C42,順位表['#],0))</f>
        <v>29</v>
      </c>
      <c r="C42" s="3">
        <v>39</v>
      </c>
      <c r="D42" s="1" t="str">
        <f>INDEX(都市マスタ[],MATCH($C42,都市マスタ['#],0),MATCH(D$3,都市マスタ[#Headers],0))</f>
        <v>ボストン</v>
      </c>
      <c r="E42" s="4">
        <f>INDEX(偏差値表[Economy],MATCH($C42,偏差値表['#],0))</f>
        <v>55.826459247524411</v>
      </c>
      <c r="F42" s="4">
        <f>INDEX(偏差値表[R&amp;D],MATCH($C42,偏差値表['#],0))</f>
        <v>65.346857486334045</v>
      </c>
      <c r="G42" s="4">
        <f>INDEX(偏差値表[Cultural Interaction],MATCH($C42,偏差値表['#],0))</f>
        <v>39.220195705286656</v>
      </c>
      <c r="H42" s="4">
        <f>INDEX(偏差値表[Livability],MATCH($C42,偏差値表['#],0))</f>
        <v>39.316668052346984</v>
      </c>
      <c r="I42" s="4">
        <f>INDEX(偏差値表[Environment],MATCH($C42,偏差値表['#],0))</f>
        <v>47.968087837827078</v>
      </c>
      <c r="J42" s="4">
        <f>INDEX(偏差値表[Accessibility],MATCH($C42,偏差値表['#],0))</f>
        <v>43.572787495529141</v>
      </c>
      <c r="K42" s="4"/>
    </row>
    <row r="43" spans="2:11">
      <c r="B43" s="83">
        <f>INDEX(順位表[Comprehensive],MATCH($C43,順位表['#],0))</f>
        <v>39</v>
      </c>
      <c r="C43" s="3">
        <v>40</v>
      </c>
      <c r="D43" s="1" t="str">
        <f>INDEX(都市マスタ[],MATCH($C43,都市マスタ['#],0),MATCH(D$3,都市マスタ[#Headers],0))</f>
        <v>サンパウロ</v>
      </c>
      <c r="E43" s="4">
        <f>INDEX(偏差値表[Economy],MATCH($C43,偏差値表['#],0))</f>
        <v>36.126853849851912</v>
      </c>
      <c r="F43" s="4">
        <f>INDEX(偏差値表[R&amp;D],MATCH($C43,偏差値表['#],0))</f>
        <v>41.163388417534428</v>
      </c>
      <c r="G43" s="4">
        <f>INDEX(偏差値表[Cultural Interaction],MATCH($C43,偏差値表['#],0))</f>
        <v>53.170101512901674</v>
      </c>
      <c r="H43" s="4">
        <f>INDEX(偏差値表[Livability],MATCH($C43,偏差値表['#],0))</f>
        <v>52.448073975391729</v>
      </c>
      <c r="I43" s="4">
        <f>INDEX(偏差値表[Environment],MATCH($C43,偏差値表['#],0))</f>
        <v>50.641738465304918</v>
      </c>
      <c r="J43" s="4">
        <f>INDEX(偏差値表[Accessibility],MATCH($C43,偏差値表['#],0))</f>
        <v>37.174838677851305</v>
      </c>
      <c r="K43" s="4"/>
    </row>
    <row r="44" spans="2:11">
      <c r="B44" s="83">
        <f>INDEX(順位表[Comprehensive],MATCH($C44,順位表['#],0))</f>
        <v>46</v>
      </c>
      <c r="C44" s="3">
        <v>41</v>
      </c>
      <c r="D44" s="1" t="str">
        <f>INDEX(都市マスタ[],MATCH($C44,都市マスタ['#],0),MATCH(D$3,都市マスタ[#Headers],0))</f>
        <v>ヨハネスブルグ</v>
      </c>
      <c r="E44" s="4">
        <f>INDEX(偏差値表[Economy],MATCH($C44,偏差値表['#],0))</f>
        <v>33.749237150863692</v>
      </c>
      <c r="F44" s="4">
        <f>INDEX(偏差値表[R&amp;D],MATCH($C44,偏差値表['#],0))</f>
        <v>37.051751815050977</v>
      </c>
      <c r="G44" s="4">
        <f>INDEX(偏差値表[Cultural Interaction],MATCH($C44,偏差値表['#],0))</f>
        <v>42.975883426317807</v>
      </c>
      <c r="H44" s="4">
        <f>INDEX(偏差値表[Livability],MATCH($C44,偏差値表['#],0))</f>
        <v>16.098537198719626</v>
      </c>
      <c r="I44" s="4">
        <f>INDEX(偏差値表[Environment],MATCH($C44,偏差値表['#],0))</f>
        <v>42.365748944781728</v>
      </c>
      <c r="J44" s="4">
        <f>INDEX(偏差値表[Accessibility],MATCH($C44,偏差値表['#],0))</f>
        <v>37.450769887787487</v>
      </c>
      <c r="K44" s="4"/>
    </row>
    <row r="45" spans="2:11">
      <c r="B45" s="83">
        <f>INDEX(順位表[Comprehensive],MATCH($C45,順位表['#],0))</f>
        <v>45</v>
      </c>
      <c r="C45" s="3">
        <v>42</v>
      </c>
      <c r="D45" s="1" t="str">
        <f>INDEX(都市マスタ[],MATCH($C45,都市マスタ['#],0),MATCH(D$3,都市マスタ[#Headers],0))</f>
        <v>ジャカルタ</v>
      </c>
      <c r="E45" s="4">
        <f>INDEX(偏差値表[Economy],MATCH($C45,偏差値表['#],0))</f>
        <v>39.901530061961665</v>
      </c>
      <c r="F45" s="4">
        <f>INDEX(偏差値表[R&amp;D],MATCH($C45,偏差値表['#],0))</f>
        <v>38.242938230505715</v>
      </c>
      <c r="G45" s="4">
        <f>INDEX(偏差値表[Cultural Interaction],MATCH($C45,偏差値表['#],0))</f>
        <v>41.045070083430332</v>
      </c>
      <c r="H45" s="4">
        <f>INDEX(偏差値表[Livability],MATCH($C45,偏差値表['#],0))</f>
        <v>50.536064003508258</v>
      </c>
      <c r="I45" s="4">
        <f>INDEX(偏差値表[Environment],MATCH($C45,偏差値表['#],0))</f>
        <v>30.028724873071546</v>
      </c>
      <c r="J45" s="4">
        <f>INDEX(偏差値表[Accessibility],MATCH($C45,偏差値表['#],0))</f>
        <v>33.754098145932431</v>
      </c>
      <c r="K45" s="4"/>
    </row>
    <row r="46" spans="2:11">
      <c r="B46" s="83">
        <f>INDEX(順位表[Comprehensive],MATCH($C46,順位表['#],0))</f>
        <v>44</v>
      </c>
      <c r="C46" s="3">
        <v>43</v>
      </c>
      <c r="D46" s="1" t="str">
        <f>INDEX(都市マスタ[],MATCH($C46,都市マスタ['#],0),MATCH(D$3,都市マスタ[#Headers],0))</f>
        <v>ブエノスアイレス</v>
      </c>
      <c r="E46" s="4">
        <f>INDEX(偏差値表[Economy],MATCH($C46,偏差値表['#],0))</f>
        <v>30.41320429331212</v>
      </c>
      <c r="F46" s="4">
        <f>INDEX(偏差値表[R&amp;D],MATCH($C46,偏差値表['#],0))</f>
        <v>38.447984989252859</v>
      </c>
      <c r="G46" s="4">
        <f>INDEX(偏差値表[Cultural Interaction],MATCH($C46,偏差値表['#],0))</f>
        <v>54.826354659862275</v>
      </c>
      <c r="H46" s="4">
        <f>INDEX(偏差値表[Livability],MATCH($C46,偏差値表['#],0))</f>
        <v>47.104841554310283</v>
      </c>
      <c r="I46" s="4">
        <f>INDEX(偏差値表[Environment],MATCH($C46,偏差値表['#],0))</f>
        <v>45.477595138486066</v>
      </c>
      <c r="J46" s="4">
        <f>INDEX(偏差値表[Accessibility],MATCH($C46,偏差値表['#],0))</f>
        <v>33.714282544352713</v>
      </c>
      <c r="K46" s="4"/>
    </row>
    <row r="47" spans="2:11">
      <c r="B47" s="83">
        <f>INDEX(順位表[Comprehensive],MATCH($C47,順位表['#],0))</f>
        <v>8</v>
      </c>
      <c r="C47" s="3">
        <v>44</v>
      </c>
      <c r="D47" s="1" t="str">
        <f>INDEX(都市マスタ[],MATCH($C47,都市マスタ['#],0),MATCH(D$3,都市マスタ[#Headers],0))</f>
        <v>ドバイ</v>
      </c>
      <c r="E47" s="4">
        <f>INDEX(偏差値表[Economy],MATCH($C47,偏差値表['#],0))</f>
        <v>52.458892392492167</v>
      </c>
      <c r="F47" s="4">
        <f>INDEX(偏差値表[R&amp;D],MATCH($C47,偏差値表['#],0))</f>
        <v>42.028166516464609</v>
      </c>
      <c r="G47" s="4">
        <f>INDEX(偏差値表[Cultural Interaction],MATCH($C47,偏差値表['#],0))</f>
        <v>66.526701481317374</v>
      </c>
      <c r="H47" s="4">
        <f>INDEX(偏差値表[Livability],MATCH($C47,偏差値表['#],0))</f>
        <v>54.23252728958532</v>
      </c>
      <c r="I47" s="4">
        <f>INDEX(偏差値表[Environment],MATCH($C47,偏差値表['#],0))</f>
        <v>39.564312559515258</v>
      </c>
      <c r="J47" s="4">
        <f>INDEX(偏差値表[Accessibility],MATCH($C47,偏差値表['#],0))</f>
        <v>63.61573501675602</v>
      </c>
      <c r="K47" s="4"/>
    </row>
    <row r="48" spans="2:11">
      <c r="B48" s="83">
        <f>INDEX(順位表[Comprehensive],MATCH($C48,順位表['#],0))</f>
        <v>28</v>
      </c>
      <c r="C48" s="3">
        <v>45</v>
      </c>
      <c r="D48" s="1" t="str">
        <f>INDEX(都市マスタ[],MATCH($C48,都市マスタ['#],0),MATCH(D$3,都市マスタ[#Headers],0))</f>
        <v>ダブリン</v>
      </c>
      <c r="E48" s="4">
        <f>INDEX(偏差値表[Economy],MATCH($C48,偏差値表['#],0))</f>
        <v>62.021678403683971</v>
      </c>
      <c r="F48" s="4">
        <f>INDEX(偏差値表[R&amp;D],MATCH($C48,偏差値表['#],0))</f>
        <v>43.16665327109348</v>
      </c>
      <c r="G48" s="4">
        <f>INDEX(偏差値表[Cultural Interaction],MATCH($C48,偏差値表['#],0))</f>
        <v>42.629602251637387</v>
      </c>
      <c r="H48" s="4">
        <f>INDEX(偏差値表[Livability],MATCH($C48,偏差値表['#],0))</f>
        <v>49.70857785632753</v>
      </c>
      <c r="I48" s="4">
        <f>INDEX(偏差値表[Environment],MATCH($C48,偏差値表['#],0))</f>
        <v>50.3070253687535</v>
      </c>
      <c r="J48" s="4">
        <f>INDEX(偏差値表[Accessibility],MATCH($C48,偏差値表['#],0))</f>
        <v>46.166224013390433</v>
      </c>
      <c r="K48" s="4"/>
    </row>
    <row r="49" spans="2:11">
      <c r="B49" s="83">
        <f>INDEX(順位表[Comprehensive],MATCH($C49,順位表['#],0))</f>
        <v>31</v>
      </c>
      <c r="C49" s="3">
        <v>46</v>
      </c>
      <c r="D49" s="1" t="str">
        <f>INDEX(都市マスタ[],MATCH($C49,都市マスタ['#],0),MATCH(D$3,都市マスタ[#Headers],0))</f>
        <v>ヘルシンキ</v>
      </c>
      <c r="E49" s="4">
        <f>INDEX(偏差値表[Economy],MATCH($C49,偏差値表['#],0))</f>
        <v>51.864149859551624</v>
      </c>
      <c r="F49" s="4">
        <f>INDEX(偏差値表[R&amp;D],MATCH($C49,偏差値表['#],0))</f>
        <v>43.909139671199981</v>
      </c>
      <c r="G49" s="4">
        <f>INDEX(偏差値表[Cultural Interaction],MATCH($C49,偏差値表['#],0))</f>
        <v>36.288167736805775</v>
      </c>
      <c r="H49" s="4">
        <f>INDEX(偏差値表[Livability],MATCH($C49,偏差値表['#],0))</f>
        <v>57.013500570087018</v>
      </c>
      <c r="I49" s="4">
        <f>INDEX(偏差値表[Environment],MATCH($C49,偏差値表['#],0))</f>
        <v>65.041706915952005</v>
      </c>
      <c r="J49" s="4">
        <f>INDEX(偏差値表[Accessibility],MATCH($C49,偏差値表['#],0))</f>
        <v>47.95282925967674</v>
      </c>
      <c r="K49" s="4"/>
    </row>
    <row r="50" spans="2:11">
      <c r="B50" s="83">
        <f>INDEX(順位表[Comprehensive],MATCH($C50,順位表['#],0))</f>
        <v>40</v>
      </c>
      <c r="C50" s="3">
        <v>47</v>
      </c>
      <c r="D50" s="1" t="str">
        <f>INDEX(都市マスタ[],MATCH($C50,都市マスタ['#],0),MATCH(D$3,都市マスタ[#Headers],0))</f>
        <v>テルアビブ</v>
      </c>
      <c r="E50" s="4">
        <f>INDEX(偏差値表[Economy],MATCH($C50,偏差値表['#],0))</f>
        <v>46.794501683564668</v>
      </c>
      <c r="F50" s="4">
        <f>INDEX(偏差値表[R&amp;D],MATCH($C50,偏差値表['#],0))</f>
        <v>42.857866721180628</v>
      </c>
      <c r="G50" s="4">
        <f>INDEX(偏差値表[Cultural Interaction],MATCH($C50,偏差値表['#],0))</f>
        <v>44.333150463691489</v>
      </c>
      <c r="H50" s="4">
        <f>INDEX(偏差値表[Livability],MATCH($C50,偏差値表['#],0))</f>
        <v>44.639032095002783</v>
      </c>
      <c r="I50" s="4">
        <f>INDEX(偏差値表[Environment],MATCH($C50,偏差値表['#],0))</f>
        <v>44.735887365285421</v>
      </c>
      <c r="J50" s="4">
        <f>INDEX(偏差値表[Accessibility],MATCH($C50,偏差値表['#],0))</f>
        <v>41.730229693531115</v>
      </c>
      <c r="K50" s="4"/>
    </row>
    <row r="51" spans="2:11">
      <c r="B51" s="85">
        <f>INDEX(順位表[Comprehensive],MATCH($C51,順位表['#],0))</f>
        <v>9</v>
      </c>
      <c r="C51" s="3">
        <v>48</v>
      </c>
      <c r="D51" s="1" t="str">
        <f>INDEX(都市マスタ[],MATCH($C51,都市マスタ['#],0),MATCH(D$3,都市マスタ[#Headers],0))</f>
        <v>メルボルン</v>
      </c>
      <c r="E51" s="4">
        <f>INDEX(偏差値表[Economy],MATCH($C51,偏差値表['#],0))</f>
        <v>52.635698681151418</v>
      </c>
      <c r="F51" s="4">
        <f>INDEX(偏差値表[R&amp;D],MATCH($C51,偏差値表['#],0))</f>
        <v>53.815867636981764</v>
      </c>
      <c r="G51" s="4">
        <f>INDEX(偏差値表[Cultural Interaction],MATCH($C51,偏差値表['#],0))</f>
        <v>50.212310846866011</v>
      </c>
      <c r="H51" s="4">
        <f>INDEX(偏差値表[Livability],MATCH($C51,偏差値表['#],0))</f>
        <v>55.405136826106848</v>
      </c>
      <c r="I51" s="4">
        <f>INDEX(偏差値表[Environment],MATCH($C51,偏差値表['#],0))</f>
        <v>62.824606413888183</v>
      </c>
      <c r="J51" s="4">
        <f>INDEX(偏差値表[Accessibility],MATCH($C51,偏差値表['#],0))</f>
        <v>52.742611530105222</v>
      </c>
      <c r="K51" s="4"/>
    </row>
  </sheetData>
  <autoFilter ref="B3:K3" xr:uid="{00000000-0009-0000-0000-000010000000}">
    <sortState xmlns:xlrd2="http://schemas.microsoft.com/office/spreadsheetml/2017/richdata2" ref="B4:K51">
      <sortCondition ref="K3"/>
    </sortState>
  </autoFilter>
  <mergeCells count="1">
    <mergeCell ref="U2:V2"/>
  </mergeCells>
  <phoneticPr fontId="5"/>
  <pageMargins left="0.25" right="0.25" top="0.75" bottom="0.75" header="0.3" footer="0.3"/>
  <pageSetup paperSize="8" scale="95"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pageSetUpPr fitToPage="1"/>
  </sheetPr>
  <dimension ref="B1:X51"/>
  <sheetViews>
    <sheetView showGridLines="0" zoomScale="130" zoomScaleNormal="130" zoomScaleSheetLayoutView="100" workbookViewId="0">
      <selection activeCell="F11" sqref="F11"/>
    </sheetView>
  </sheetViews>
  <sheetFormatPr defaultRowHeight="15.75"/>
  <cols>
    <col min="1" max="1" width="3.28515625" bestFit="1" customWidth="1"/>
    <col min="2" max="2" width="8.140625" bestFit="1" customWidth="1"/>
    <col min="3" max="3" width="3.28515625" style="2" customWidth="1"/>
    <col min="4" max="4" width="16.7109375" customWidth="1"/>
    <col min="5" max="5" width="17.7109375" bestFit="1" customWidth="1"/>
    <col min="6" max="12" width="9.140625" customWidth="1"/>
    <col min="13" max="13" width="3.28515625" bestFit="1" customWidth="1"/>
  </cols>
  <sheetData>
    <row r="1" spans="2:24">
      <c r="B1" t="s">
        <v>1117</v>
      </c>
      <c r="D1" s="93"/>
      <c r="E1" t="s">
        <v>1094</v>
      </c>
    </row>
    <row r="2" spans="2:24">
      <c r="V2" s="445" t="str">
        <f ca="1">TEXT(NOW(),"yyyy/m/d h:mm")</f>
        <v>2024/9/9 10:49</v>
      </c>
      <c r="W2" s="445"/>
      <c r="X2" t="s">
        <v>640</v>
      </c>
    </row>
    <row r="3" spans="2:24">
      <c r="B3" s="84" t="s">
        <v>537</v>
      </c>
      <c r="C3" s="36" t="s">
        <v>523</v>
      </c>
      <c r="D3" s="36" t="str">
        <f>IF(JPEN!$C$2="EN",都市!$C$2,都市!$D$2)</f>
        <v>都市名</v>
      </c>
      <c r="E3" s="36" t="s">
        <v>641</v>
      </c>
      <c r="F3" s="141" t="str">
        <f>IF(JPEN!$C$2="EN","Economy","経済")</f>
        <v>経済</v>
      </c>
      <c r="G3" s="149" t="str">
        <f>IF(JPEN!$C$2="EN","R&amp;D","研究・開発")</f>
        <v>研究・開発</v>
      </c>
      <c r="H3" s="156" t="str">
        <f>IF(JPEN!$C$2="EN","Cultural Interaction","文化・交流")</f>
        <v>文化・交流</v>
      </c>
      <c r="I3" s="164" t="str">
        <f>IF(JPEN!$C$2="EN","Livability","居住")</f>
        <v>居住</v>
      </c>
      <c r="J3" s="172" t="str">
        <f>IF(JPEN!$C$2="EN","Environment","環境")</f>
        <v>環境</v>
      </c>
      <c r="K3" s="182" t="str">
        <f>IF(JPEN!$C$2="EN","Accessibility","交通・アクセス")</f>
        <v>交通・アクセス</v>
      </c>
      <c r="L3" s="229" t="str">
        <f>IF(JPEN!$C$2="EN","Comprehensive","総合")</f>
        <v>総合</v>
      </c>
    </row>
    <row r="4" spans="2:24">
      <c r="B4" s="83">
        <f>INDEX(順位表[Comprehensive],MATCH($C4,順位表['#],0))</f>
        <v>1</v>
      </c>
      <c r="C4" s="3">
        <v>3</v>
      </c>
      <c r="D4" s="1" t="str">
        <f>INDEX(都市マスタ[],MATCH($C4,都市マスタ['#],0),MATCH(D$3,都市マスタ[#Headers],0))</f>
        <v>ロンドン</v>
      </c>
      <c r="E4" s="1" t="str">
        <f t="shared" ref="E4:E51" si="0">CONCATENATE(D4," ",B4)</f>
        <v>ロンドン 1</v>
      </c>
      <c r="F4" s="4">
        <f>INDEX(スコア表[Economy],MATCH($C4,スコア表['#],0))</f>
        <v>336.21002005771663</v>
      </c>
      <c r="G4" s="4">
        <f>INDEX(スコア表[R&amp;D],MATCH($C4,スコア表['#],0))</f>
        <v>181.4404473276</v>
      </c>
      <c r="H4" s="4">
        <f>INDEX(スコア表[Cultural Interaction],MATCH($C4,スコア表['#],0))</f>
        <v>367.57992580267501</v>
      </c>
      <c r="I4" s="4">
        <f>INDEX(スコア表[Livability],MATCH($C4,スコア表['#],0))</f>
        <v>357.87296612675834</v>
      </c>
      <c r="J4" s="4">
        <f>INDEX(スコア表[Environment],MATCH($C4,スコア表['#],0))</f>
        <v>187.68486004223331</v>
      </c>
      <c r="K4" s="4">
        <f>INDEX(スコア表[Accessibility],MATCH($C4,スコア表['#],0))</f>
        <v>215.94210663439998</v>
      </c>
      <c r="L4" s="4">
        <f>INDEX(スコア表[Comprehensive],MATCH($C4,スコア表['#],0))</f>
        <v>1646.7303259913833</v>
      </c>
    </row>
    <row r="5" spans="2:24">
      <c r="B5" s="83">
        <f>INDEX(順位表[Comprehensive],MATCH($C5,順位表['#],0))</f>
        <v>2</v>
      </c>
      <c r="C5" s="3">
        <v>38</v>
      </c>
      <c r="D5" s="1" t="str">
        <f>INDEX(都市マスタ[],MATCH($C5,都市マスタ['#],0),MATCH(D$3,都市マスタ[#Headers],0))</f>
        <v>ニューヨーク</v>
      </c>
      <c r="E5" s="1" t="str">
        <f t="shared" si="0"/>
        <v>ニューヨーク 2</v>
      </c>
      <c r="F5" s="4">
        <f>INDEX(スコア表[Economy],MATCH($C5,スコア表['#],0))</f>
        <v>371.09627417245002</v>
      </c>
      <c r="G5" s="4">
        <f>INDEX(スコア表[R&amp;D],MATCH($C5,スコア表['#],0))</f>
        <v>206.45811885533334</v>
      </c>
      <c r="H5" s="4">
        <f>INDEX(スコア表[Cultural Interaction],MATCH($C5,スコア表['#],0))</f>
        <v>259.40999462157504</v>
      </c>
      <c r="I5" s="4">
        <f>INDEX(スコア表[Livability],MATCH($C5,スコア表['#],0))</f>
        <v>302.53650310557498</v>
      </c>
      <c r="J5" s="4">
        <f>INDEX(スコア表[Environment],MATCH($C5,スコア表['#],0))</f>
        <v>150.76468786286665</v>
      </c>
      <c r="K5" s="4">
        <f>INDEX(スコア表[Accessibility],MATCH($C5,スコア表['#],0))</f>
        <v>216.10079665688338</v>
      </c>
      <c r="L5" s="4">
        <f>INDEX(スコア表[Comprehensive],MATCH($C5,スコア表['#],0))</f>
        <v>1506.3663752746834</v>
      </c>
    </row>
    <row r="6" spans="2:24">
      <c r="B6" s="83">
        <f>INDEX(順位表[Comprehensive],MATCH($C6,順位表['#],0))</f>
        <v>3</v>
      </c>
      <c r="C6" s="3">
        <v>29</v>
      </c>
      <c r="D6" s="1" t="str">
        <f>INDEX(都市マスタ[],MATCH($C6,都市マスタ['#],0),MATCH(D$3,都市マスタ[#Headers],0))</f>
        <v>東京</v>
      </c>
      <c r="E6" s="1" t="str">
        <f t="shared" si="0"/>
        <v>東京 3</v>
      </c>
      <c r="F6" s="4">
        <f>INDEX(スコア表[Economy],MATCH($C6,スコア表['#],0))</f>
        <v>270.08264425940001</v>
      </c>
      <c r="G6" s="4">
        <f>INDEX(スコア表[R&amp;D],MATCH($C6,スコア表['#],0))</f>
        <v>143.44736716223332</v>
      </c>
      <c r="H6" s="4">
        <f>INDEX(スコア表[Cultural Interaction],MATCH($C6,スコア表['#],0))</f>
        <v>237.5124623666</v>
      </c>
      <c r="I6" s="4">
        <f>INDEX(スコア表[Livability],MATCH($C6,スコア表['#],0))</f>
        <v>367.69041284080004</v>
      </c>
      <c r="J6" s="4">
        <f>INDEX(スコア表[Environment],MATCH($C6,スコア表['#],0))</f>
        <v>173.80686015423333</v>
      </c>
      <c r="K6" s="4">
        <f>INDEX(スコア表[Accessibility],MATCH($C6,スコア表['#],0))</f>
        <v>183.26320413665002</v>
      </c>
      <c r="L6" s="4">
        <f>INDEX(スコア表[Comprehensive],MATCH($C6,スコア表['#],0))</f>
        <v>1375.8029509199168</v>
      </c>
    </row>
    <row r="7" spans="2:24">
      <c r="B7" s="83">
        <f>INDEX(順位表[Comprehensive],MATCH($C7,順位表['#],0))</f>
        <v>4</v>
      </c>
      <c r="C7" s="3">
        <v>4</v>
      </c>
      <c r="D7" s="1" t="str">
        <f>INDEX(都市マスタ[],MATCH($C7,都市マスタ['#],0),MATCH(D$3,都市マスタ[#Headers],0))</f>
        <v>パリ</v>
      </c>
      <c r="E7" s="1" t="str">
        <f t="shared" si="0"/>
        <v>パリ 4</v>
      </c>
      <c r="F7" s="4">
        <f>INDEX(スコア表[Economy],MATCH($C7,スコア表['#],0))</f>
        <v>253.06167205926667</v>
      </c>
      <c r="G7" s="4">
        <f>INDEX(スコア表[R&amp;D],MATCH($C7,スコア表['#],0))</f>
        <v>108.2801633</v>
      </c>
      <c r="H7" s="4">
        <f>INDEX(スコア表[Cultural Interaction],MATCH($C7,スコア表['#],0))</f>
        <v>250.73653323328332</v>
      </c>
      <c r="I7" s="4">
        <f>INDEX(スコア表[Livability],MATCH($C7,スコア表['#],0))</f>
        <v>389.98593915240826</v>
      </c>
      <c r="J7" s="4">
        <f>INDEX(スコア表[Environment],MATCH($C7,スコア表['#],0))</f>
        <v>151.24891216909998</v>
      </c>
      <c r="K7" s="4">
        <f>INDEX(スコア表[Accessibility],MATCH($C7,スコア表['#],0))</f>
        <v>210.39062060088332</v>
      </c>
      <c r="L7" s="4">
        <f>INDEX(スコア表[Comprehensive],MATCH($C7,スコア表['#],0))</f>
        <v>1363.7038405149415</v>
      </c>
    </row>
    <row r="8" spans="2:24">
      <c r="B8" s="83">
        <f>INDEX(順位表[Comprehensive],MATCH($C8,順位表['#],0))</f>
        <v>5</v>
      </c>
      <c r="C8" s="3">
        <v>21</v>
      </c>
      <c r="D8" s="1" t="str">
        <f>INDEX(都市マスタ[],MATCH($C8,都市マスタ['#],0),MATCH(D$3,都市マスタ[#Headers],0))</f>
        <v>シンガポール</v>
      </c>
      <c r="E8" s="1" t="str">
        <f t="shared" si="0"/>
        <v>シンガポール 5</v>
      </c>
      <c r="F8" s="4">
        <f>INDEX(スコア表[Economy],MATCH($C8,スコア表['#],0))</f>
        <v>308.34638328295</v>
      </c>
      <c r="G8" s="4">
        <f>INDEX(スコア表[R&amp;D],MATCH($C8,スコア表['#],0))</f>
        <v>97.665057527800002</v>
      </c>
      <c r="H8" s="4">
        <f>INDEX(スコア表[Cultural Interaction],MATCH($C8,スコア表['#],0))</f>
        <v>174.90516273540001</v>
      </c>
      <c r="I8" s="4">
        <f>INDEX(スコア表[Livability],MATCH($C8,スコア表['#],0))</f>
        <v>319.08116522104996</v>
      </c>
      <c r="J8" s="4">
        <f>INDEX(スコア表[Environment],MATCH($C8,スコア表['#],0))</f>
        <v>180.88697292876668</v>
      </c>
      <c r="K8" s="4">
        <f>INDEX(スコア表[Accessibility],MATCH($C8,スコア表['#],0))</f>
        <v>183.81839168318334</v>
      </c>
      <c r="L8" s="4">
        <f>INDEX(スコア表[Comprehensive],MATCH($C8,スコア表['#],0))</f>
        <v>1264.7031333791499</v>
      </c>
    </row>
    <row r="9" spans="2:24">
      <c r="B9" s="83">
        <f>INDEX(順位表[Comprehensive],MATCH($C9,順位表['#],0))</f>
        <v>6</v>
      </c>
      <c r="C9" s="3">
        <v>6</v>
      </c>
      <c r="D9" s="1" t="str">
        <f>INDEX(都市マスタ[],MATCH($C9,都市マスタ['#],0),MATCH(D$3,都市マスタ[#Headers],0))</f>
        <v>アムステルダム</v>
      </c>
      <c r="E9" s="1" t="str">
        <f t="shared" si="0"/>
        <v>アムステルダム 6</v>
      </c>
      <c r="F9" s="4">
        <f>INDEX(スコア表[Economy],MATCH($C9,スコア表['#],0))</f>
        <v>259.12536548775</v>
      </c>
      <c r="G9" s="4">
        <f>INDEX(スコア表[R&amp;D],MATCH($C9,スコア表['#],0))</f>
        <v>67.816852836549998</v>
      </c>
      <c r="H9" s="4">
        <f>INDEX(スコア表[Cultural Interaction],MATCH($C9,スコア表['#],0))</f>
        <v>158.55208624714999</v>
      </c>
      <c r="I9" s="4">
        <f>INDEX(スコア表[Livability],MATCH($C9,スコア表['#],0))</f>
        <v>357.92366671079168</v>
      </c>
      <c r="J9" s="4">
        <f>INDEX(スコア表[Environment],MATCH($C9,スコア表['#],0))</f>
        <v>173.73424353196665</v>
      </c>
      <c r="K9" s="4">
        <f>INDEX(スコア表[Accessibility],MATCH($C9,スコア表['#],0))</f>
        <v>229.1637569953333</v>
      </c>
      <c r="L9" s="4">
        <f>INDEX(スコア表[Comprehensive],MATCH($C9,スコア表['#],0))</f>
        <v>1246.3159718095417</v>
      </c>
    </row>
    <row r="10" spans="2:24">
      <c r="B10" s="83">
        <f>INDEX(順位表[Comprehensive],MATCH($C10,順位表['#],0))</f>
        <v>7</v>
      </c>
      <c r="C10" s="3">
        <v>26</v>
      </c>
      <c r="D10" s="1" t="str">
        <f>INDEX(都市マスタ[],MATCH($C10,都市マスタ['#],0),MATCH(D$3,都市マスタ[#Headers],0))</f>
        <v>ソウル</v>
      </c>
      <c r="E10" s="1" t="str">
        <f t="shared" si="0"/>
        <v>ソウル 7</v>
      </c>
      <c r="F10" s="4">
        <f>INDEX(スコア表[Economy],MATCH($C10,スコア表['#],0))</f>
        <v>254.78722377273331</v>
      </c>
      <c r="G10" s="4">
        <f>INDEX(スコア表[R&amp;D],MATCH($C10,スコア表['#],0))</f>
        <v>136.38505214888332</v>
      </c>
      <c r="H10" s="4">
        <f>INDEX(スコア表[Cultural Interaction],MATCH($C10,スコア表['#],0))</f>
        <v>167.78642442442498</v>
      </c>
      <c r="I10" s="4">
        <f>INDEX(スコア表[Livability],MATCH($C10,スコア表['#],0))</f>
        <v>318.66566469665003</v>
      </c>
      <c r="J10" s="4">
        <f>INDEX(スコア表[Environment],MATCH($C10,スコア表['#],0))</f>
        <v>178.14045167766668</v>
      </c>
      <c r="K10" s="4">
        <f>INDEX(スコア表[Accessibility],MATCH($C10,スコア表['#],0))</f>
        <v>146.30409057438334</v>
      </c>
      <c r="L10" s="4">
        <f>INDEX(スコア表[Comprehensive],MATCH($C10,スコア表['#],0))</f>
        <v>1202.0689072947416</v>
      </c>
    </row>
    <row r="11" spans="2:24">
      <c r="B11" s="83">
        <f>INDEX(順位表[Comprehensive],MATCH($C11,順位表['#],0))</f>
        <v>8</v>
      </c>
      <c r="C11" s="3">
        <v>44</v>
      </c>
      <c r="D11" s="1" t="str">
        <f>INDEX(都市マスタ[],MATCH($C11,都市マスタ['#],0),MATCH(D$3,都市マスタ[#Headers],0))</f>
        <v>ドバイ</v>
      </c>
      <c r="E11" s="1" t="str">
        <f t="shared" si="0"/>
        <v>ドバイ 8</v>
      </c>
      <c r="F11" s="4">
        <f>INDEX(スコア表[Economy],MATCH($C11,スコア表['#],0))</f>
        <v>237.42102465489998</v>
      </c>
      <c r="G11" s="4">
        <f>INDEX(スコア表[R&amp;D],MATCH($C11,スコア表['#],0))</f>
        <v>27.321585583099996</v>
      </c>
      <c r="H11" s="4">
        <f>INDEX(スコア表[Cultural Interaction],MATCH($C11,スコア表['#],0))</f>
        <v>237.54820990479999</v>
      </c>
      <c r="I11" s="4">
        <f>INDEX(スコア表[Livability],MATCH($C11,スコア表['#],0))</f>
        <v>343.99385869043334</v>
      </c>
      <c r="J11" s="4">
        <f>INDEX(スコア表[Environment],MATCH($C11,スコア表['#],0))</f>
        <v>123.8738976157</v>
      </c>
      <c r="K11" s="4">
        <f>INDEX(スコア表[Accessibility],MATCH($C11,スコア表['#],0))</f>
        <v>192.50675426359999</v>
      </c>
      <c r="L11" s="4">
        <f>INDEX(スコア表[Comprehensive],MATCH($C11,スコア表['#],0))</f>
        <v>1162.6653307125334</v>
      </c>
    </row>
    <row r="12" spans="2:24">
      <c r="B12" s="83">
        <f>INDEX(順位表[Comprehensive],MATCH($C12,順位表['#],0))</f>
        <v>9</v>
      </c>
      <c r="C12" s="3">
        <v>48</v>
      </c>
      <c r="D12" s="1" t="str">
        <f>INDEX(都市マスタ[],MATCH($C12,都市マスタ['#],0),MATCH(D$3,都市マスタ[#Headers],0))</f>
        <v>メルボルン</v>
      </c>
      <c r="E12" s="1" t="str">
        <f t="shared" si="0"/>
        <v>メルボルン 9</v>
      </c>
      <c r="F12" s="4">
        <f>INDEX(スコア表[Economy],MATCH($C12,スコア表['#],0))</f>
        <v>238.55335216521669</v>
      </c>
      <c r="G12" s="4">
        <f>INDEX(スコア表[R&amp;D],MATCH($C12,スコア表['#],0))</f>
        <v>83.101767128933346</v>
      </c>
      <c r="H12" s="4">
        <f>INDEX(スコア表[Cultural Interaction],MATCH($C12,スコア表['#],0))</f>
        <v>132.76780949810001</v>
      </c>
      <c r="I12" s="4">
        <f>INDEX(スコア表[Livability],MATCH($C12,スコア表['#],0))</f>
        <v>347.44773969160832</v>
      </c>
      <c r="J12" s="4">
        <f>INDEX(スコア表[Environment],MATCH($C12,スコア表['#],0))</f>
        <v>203.12582147590001</v>
      </c>
      <c r="K12" s="4">
        <f>INDEX(スコア表[Accessibility],MATCH($C12,スコア表['#],0))</f>
        <v>150.42809517981667</v>
      </c>
      <c r="L12" s="4">
        <f>INDEX(スコア表[Comprehensive],MATCH($C12,スコア表['#],0))</f>
        <v>1155.4245851395751</v>
      </c>
    </row>
    <row r="13" spans="2:24">
      <c r="B13" s="83">
        <f>INDEX(順位表[Comprehensive],MATCH($C13,順位表['#],0))</f>
        <v>10</v>
      </c>
      <c r="C13" s="3">
        <v>9</v>
      </c>
      <c r="D13" s="1" t="str">
        <f>INDEX(都市マスタ[],MATCH($C13,都市マスタ['#],0),MATCH(D$3,都市マスタ[#Headers],0))</f>
        <v>ベルリン</v>
      </c>
      <c r="E13" s="1" t="str">
        <f t="shared" si="0"/>
        <v>ベルリン 10</v>
      </c>
      <c r="F13" s="4">
        <f>INDEX(スコア表[Economy],MATCH($C13,スコア表['#],0))</f>
        <v>211.15544511301667</v>
      </c>
      <c r="G13" s="4">
        <f>INDEX(スコア表[R&amp;D],MATCH($C13,スコア表['#],0))</f>
        <v>78.449940740066666</v>
      </c>
      <c r="H13" s="4">
        <f>INDEX(スコア表[Cultural Interaction],MATCH($C13,スコア表['#],0))</f>
        <v>173.39383899745832</v>
      </c>
      <c r="I13" s="4">
        <f>INDEX(スコア表[Livability],MATCH($C13,スコア表['#],0))</f>
        <v>359.26697375449999</v>
      </c>
      <c r="J13" s="4">
        <f>INDEX(スコア表[Environment],MATCH($C13,スコア表['#],0))</f>
        <v>192.19428406303334</v>
      </c>
      <c r="K13" s="4">
        <f>INDEX(スコア表[Accessibility],MATCH($C13,スコア表['#],0))</f>
        <v>137.2835364108</v>
      </c>
      <c r="L13" s="4">
        <f>INDEX(スコア表[Comprehensive],MATCH($C13,スコア表['#],0))</f>
        <v>1151.744019078875</v>
      </c>
    </row>
    <row r="14" spans="2:24">
      <c r="B14" s="83">
        <f>INDEX(順位表[Comprehensive],MATCH($C14,順位表['#],0))</f>
        <v>11</v>
      </c>
      <c r="C14" s="3">
        <v>12</v>
      </c>
      <c r="D14" s="1" t="str">
        <f>INDEX(都市マスタ[],MATCH($C14,都市マスタ['#],0),MATCH(D$3,都市マスタ[#Headers],0))</f>
        <v>コペンハーゲン</v>
      </c>
      <c r="E14" s="1" t="str">
        <f t="shared" si="0"/>
        <v>コペンハーゲン 11</v>
      </c>
      <c r="F14" s="4">
        <f>INDEX(スコア表[Economy],MATCH($C14,スコア表['#],0))</f>
        <v>249.19358759459999</v>
      </c>
      <c r="G14" s="4">
        <f>INDEX(スコア表[R&amp;D],MATCH($C14,スコア表['#],0))</f>
        <v>42.95872735255</v>
      </c>
      <c r="H14" s="4">
        <f>INDEX(スコア表[Cultural Interaction],MATCH($C14,スコア表['#],0))</f>
        <v>96.024288290724996</v>
      </c>
      <c r="I14" s="4">
        <f>INDEX(スコア表[Livability],MATCH($C14,スコア表['#],0))</f>
        <v>352.06148367974163</v>
      </c>
      <c r="J14" s="4">
        <f>INDEX(スコア表[Environment],MATCH($C14,スコア表['#],0))</f>
        <v>224.16844593323333</v>
      </c>
      <c r="K14" s="4">
        <f>INDEX(スコア表[Accessibility],MATCH($C14,スコア表['#],0))</f>
        <v>174.47820119616665</v>
      </c>
      <c r="L14" s="4">
        <f>INDEX(スコア表[Comprehensive],MATCH($C14,スコア表['#],0))</f>
        <v>1138.8847340470165</v>
      </c>
    </row>
    <row r="15" spans="2:24">
      <c r="B15" s="83">
        <f>INDEX(順位表[Comprehensive],MATCH($C15,順位表['#],0))</f>
        <v>12</v>
      </c>
      <c r="C15" s="3">
        <v>30</v>
      </c>
      <c r="D15" s="1" t="str">
        <f>INDEX(都市マスタ[],MATCH($C15,都市マスタ['#],0),MATCH(D$3,都市マスタ[#Headers],0))</f>
        <v>シドニー</v>
      </c>
      <c r="E15" s="1" t="str">
        <f t="shared" si="0"/>
        <v>シドニー 12</v>
      </c>
      <c r="F15" s="4">
        <f>INDEX(スコア表[Economy],MATCH($C15,スコア表['#],0))</f>
        <v>257.99135417716667</v>
      </c>
      <c r="G15" s="4">
        <f>INDEX(スコア表[R&amp;D],MATCH($C15,スコア表['#],0))</f>
        <v>84.050380918950012</v>
      </c>
      <c r="H15" s="4">
        <f>INDEX(スコア表[Cultural Interaction],MATCH($C15,スコア表['#],0))</f>
        <v>133.65813081677501</v>
      </c>
      <c r="I15" s="4">
        <f>INDEX(スコア表[Livability],MATCH($C15,スコア表['#],0))</f>
        <v>335.00167264933333</v>
      </c>
      <c r="J15" s="4">
        <f>INDEX(スコア表[Environment],MATCH($C15,スコア表['#],0))</f>
        <v>202.1467375758333</v>
      </c>
      <c r="K15" s="4">
        <f>INDEX(スコア表[Accessibility],MATCH($C15,スコア表['#],0))</f>
        <v>120.58527060935</v>
      </c>
      <c r="L15" s="4">
        <f>INDEX(スコア表[Comprehensive],MATCH($C15,スコア表['#],0))</f>
        <v>1133.4335467474084</v>
      </c>
    </row>
    <row r="16" spans="2:24">
      <c r="B16" s="83">
        <f>INDEX(順位表[Comprehensive],MATCH($C16,順位表['#],0))</f>
        <v>13</v>
      </c>
      <c r="C16" s="3">
        <v>13</v>
      </c>
      <c r="D16" s="1" t="str">
        <f>INDEX(都市マスタ[],MATCH($C16,都市マスタ['#],0),MATCH(D$3,都市マスタ[#Headers],0))</f>
        <v>ウィーン</v>
      </c>
      <c r="E16" s="1" t="str">
        <f t="shared" si="0"/>
        <v>ウィーン 13</v>
      </c>
      <c r="F16" s="4">
        <f>INDEX(スコア表[Economy],MATCH($C16,スコア表['#],0))</f>
        <v>201.36065564746667</v>
      </c>
      <c r="G16" s="4">
        <f>INDEX(スコア表[R&amp;D],MATCH($C16,スコア表['#],0))</f>
        <v>40.886056146500003</v>
      </c>
      <c r="H16" s="4">
        <f>INDEX(スコア表[Cultural Interaction],MATCH($C16,スコア表['#],0))</f>
        <v>148.87896228123333</v>
      </c>
      <c r="I16" s="4">
        <f>INDEX(スコア表[Livability],MATCH($C16,スコア表['#],0))</f>
        <v>359.96691426207502</v>
      </c>
      <c r="J16" s="4">
        <f>INDEX(スコア表[Environment],MATCH($C16,スコア表['#],0))</f>
        <v>210.4710449698</v>
      </c>
      <c r="K16" s="4">
        <f>INDEX(スコア表[Accessibility],MATCH($C16,スコア表['#],0))</f>
        <v>171.65412223314999</v>
      </c>
      <c r="L16" s="4">
        <f>INDEX(スコア表[Comprehensive],MATCH($C16,スコア表['#],0))</f>
        <v>1133.217755540225</v>
      </c>
    </row>
    <row r="17" spans="2:12">
      <c r="B17" s="83">
        <f>INDEX(順位表[Comprehensive],MATCH($C17,順位表['#],0))</f>
        <v>14</v>
      </c>
      <c r="C17" s="3">
        <v>1</v>
      </c>
      <c r="D17" s="1" t="str">
        <f>INDEX(都市マスタ[],MATCH($C17,都市マスタ['#],0),MATCH(D$3,都市マスタ[#Headers],0))</f>
        <v>マドリード</v>
      </c>
      <c r="E17" s="1" t="str">
        <f t="shared" si="0"/>
        <v>マドリード 14</v>
      </c>
      <c r="F17" s="4">
        <f>INDEX(スコア表[Economy],MATCH($C17,スコア表['#],0))</f>
        <v>202.24436269698333</v>
      </c>
      <c r="G17" s="4">
        <f>INDEX(スコア表[R&amp;D],MATCH($C17,スコア表['#],0))</f>
        <v>31.220074970150002</v>
      </c>
      <c r="H17" s="4">
        <f>INDEX(スコア表[Cultural Interaction],MATCH($C17,スコア表['#],0))</f>
        <v>183.86445457120834</v>
      </c>
      <c r="I17" s="4">
        <f>INDEX(スコア表[Livability],MATCH($C17,スコア表['#],0))</f>
        <v>380.90916702499993</v>
      </c>
      <c r="J17" s="4">
        <f>INDEX(スコア表[Environment],MATCH($C17,スコア表['#],0))</f>
        <v>176.67238687836664</v>
      </c>
      <c r="K17" s="4">
        <f>INDEX(スコア表[Accessibility],MATCH($C17,スコア表['#],0))</f>
        <v>156.62284250756667</v>
      </c>
      <c r="L17" s="4">
        <f>INDEX(スコア表[Comprehensive],MATCH($C17,スコア表['#],0))</f>
        <v>1131.5332886492749</v>
      </c>
    </row>
    <row r="18" spans="2:12">
      <c r="B18" s="83">
        <f>INDEX(順位表[Comprehensive],MATCH($C18,順位表['#],0))</f>
        <v>15</v>
      </c>
      <c r="C18" s="3">
        <v>24</v>
      </c>
      <c r="D18" s="1" t="str">
        <f>INDEX(都市マスタ[],MATCH($C18,都市マスタ['#],0),MATCH(D$3,都市マスタ[#Headers],0))</f>
        <v>上海</v>
      </c>
      <c r="E18" s="1" t="str">
        <f t="shared" si="0"/>
        <v>上海 15</v>
      </c>
      <c r="F18" s="4">
        <f>INDEX(スコア表[Economy],MATCH($C18,スコア表['#],0))</f>
        <v>268.73581818538332</v>
      </c>
      <c r="G18" s="4">
        <f>INDEX(スコア表[R&amp;D],MATCH($C18,スコア表['#],0))</f>
        <v>89.991983247633343</v>
      </c>
      <c r="H18" s="4">
        <f>INDEX(スコア表[Cultural Interaction],MATCH($C18,スコア表['#],0))</f>
        <v>125.78612884451667</v>
      </c>
      <c r="I18" s="4">
        <f>INDEX(スコア表[Livability],MATCH($C18,スコア表['#],0))</f>
        <v>328.93331938342499</v>
      </c>
      <c r="J18" s="4">
        <f>INDEX(スコア表[Environment],MATCH($C18,スコア表['#],0))</f>
        <v>142.54885907453331</v>
      </c>
      <c r="K18" s="4">
        <f>INDEX(スコア表[Accessibility],MATCH($C18,スコア表['#],0))</f>
        <v>175.50802941770002</v>
      </c>
      <c r="L18" s="4">
        <f>INDEX(スコア表[Comprehensive],MATCH($C18,スコア表['#],0))</f>
        <v>1131.5041381531917</v>
      </c>
    </row>
    <row r="19" spans="2:12">
      <c r="B19" s="83">
        <f>INDEX(順位表[Comprehensive],MATCH($C19,順位表['#],0))</f>
        <v>16</v>
      </c>
      <c r="C19" s="3">
        <v>14</v>
      </c>
      <c r="D19" s="1" t="str">
        <f>INDEX(都市マスタ[],MATCH($C19,都市マスタ['#],0),MATCH(D$3,都市マスタ[#Headers],0))</f>
        <v>ストックホルム</v>
      </c>
      <c r="E19" s="1" t="str">
        <f t="shared" si="0"/>
        <v>ストックホルム 16</v>
      </c>
      <c r="F19" s="4">
        <f>INDEX(スコア表[Economy],MATCH($C19,スコア表['#],0))</f>
        <v>246.61526664266665</v>
      </c>
      <c r="G19" s="4">
        <f>INDEX(スコア表[R&amp;D],MATCH($C19,スコア表['#],0))</f>
        <v>49.509286558200003</v>
      </c>
      <c r="H19" s="4">
        <f>INDEX(スコア表[Cultural Interaction],MATCH($C19,スコア表['#],0))</f>
        <v>97.688684539891668</v>
      </c>
      <c r="I19" s="4">
        <f>INDEX(スコア表[Livability],MATCH($C19,スコア表['#],0))</f>
        <v>357.31986454819167</v>
      </c>
      <c r="J19" s="4">
        <f>INDEX(スコア表[Environment],MATCH($C19,スコア表['#],0))</f>
        <v>228.73709255586664</v>
      </c>
      <c r="K19" s="4">
        <f>INDEX(スコア表[Accessibility],MATCH($C19,スコア表['#],0))</f>
        <v>137.92510163825</v>
      </c>
      <c r="L19" s="4">
        <f>INDEX(スコア表[Comprehensive],MATCH($C19,スコア表['#],0))</f>
        <v>1117.7952964830665</v>
      </c>
    </row>
    <row r="20" spans="2:12">
      <c r="B20" s="83">
        <f>INDEX(順位表[Comprehensive],MATCH($C20,順位表['#],0))</f>
        <v>17</v>
      </c>
      <c r="C20" s="3">
        <v>23</v>
      </c>
      <c r="D20" s="1" t="str">
        <f>INDEX(都市マスタ[],MATCH($C20,都市マスタ['#],0),MATCH(D$3,都市マスタ[#Headers],0))</f>
        <v>北京</v>
      </c>
      <c r="E20" s="1" t="str">
        <f t="shared" si="0"/>
        <v>北京 17</v>
      </c>
      <c r="F20" s="4">
        <f>INDEX(スコア表[Economy],MATCH($C20,スコア表['#],0))</f>
        <v>309.44809679429994</v>
      </c>
      <c r="G20" s="4">
        <f>INDEX(スコア表[R&amp;D],MATCH($C20,スコア表['#],0))</f>
        <v>93.194093893383339</v>
      </c>
      <c r="H20" s="4">
        <f>INDEX(スコア表[Cultural Interaction],MATCH($C20,スコア表['#],0))</f>
        <v>143.31729230814167</v>
      </c>
      <c r="I20" s="4">
        <f>INDEX(スコア表[Livability],MATCH($C20,スコア表['#],0))</f>
        <v>328.40215423599165</v>
      </c>
      <c r="J20" s="4">
        <f>INDEX(スコア表[Environment],MATCH($C20,スコア表['#],0))</f>
        <v>137.31976928129998</v>
      </c>
      <c r="K20" s="4">
        <f>INDEX(スコア表[Accessibility],MATCH($C20,スコア表['#],0))</f>
        <v>103.65450184653335</v>
      </c>
      <c r="L20" s="4">
        <f>INDEX(スコア表[Comprehensive],MATCH($C20,スコア表['#],0))</f>
        <v>1115.3359083596499</v>
      </c>
    </row>
    <row r="21" spans="2:12">
      <c r="B21" s="83">
        <f>INDEX(順位表[Comprehensive],MATCH($C21,順位表['#],0))</f>
        <v>18</v>
      </c>
      <c r="C21" s="3">
        <v>22</v>
      </c>
      <c r="D21" s="1" t="str">
        <f>INDEX(都市マスタ[],MATCH($C21,都市マスタ['#],0),MATCH(D$3,都市マスタ[#Headers],0))</f>
        <v>香港</v>
      </c>
      <c r="E21" s="1" t="str">
        <f t="shared" si="0"/>
        <v>香港 18</v>
      </c>
      <c r="F21" s="4">
        <f>INDEX(スコア表[Economy],MATCH($C21,スコア表['#],0))</f>
        <v>232.99952635881667</v>
      </c>
      <c r="G21" s="4">
        <f>INDEX(スコア表[R&amp;D],MATCH($C21,スコア表['#],0))</f>
        <v>107.40907506731666</v>
      </c>
      <c r="H21" s="4">
        <f>INDEX(スコア表[Cultural Interaction],MATCH($C21,スコア表['#],0))</f>
        <v>109.10331852386668</v>
      </c>
      <c r="I21" s="4">
        <f>INDEX(スコア表[Livability],MATCH($C21,スコア表['#],0))</f>
        <v>331.95758318512503</v>
      </c>
      <c r="J21" s="4">
        <f>INDEX(スコア表[Environment],MATCH($C21,スコア表['#],0))</f>
        <v>157.70191422106669</v>
      </c>
      <c r="K21" s="4">
        <f>INDEX(スコア表[Accessibility],MATCH($C21,スコア表['#],0))</f>
        <v>152.62185347708333</v>
      </c>
      <c r="L21" s="4">
        <f>INDEX(スコア表[Comprehensive],MATCH($C21,スコア表['#],0))</f>
        <v>1091.7932708332751</v>
      </c>
    </row>
    <row r="22" spans="2:12">
      <c r="B22" s="83">
        <f>INDEX(順位表[Comprehensive],MATCH($C22,順位表['#],0))</f>
        <v>19</v>
      </c>
      <c r="C22" s="3">
        <v>11</v>
      </c>
      <c r="D22" s="1" t="str">
        <f>INDEX(都市マスタ[],MATCH($C22,都市マスタ['#],0),MATCH(D$3,都市マスタ[#Headers],0))</f>
        <v>チューリッヒ</v>
      </c>
      <c r="E22" s="1" t="str">
        <f t="shared" si="0"/>
        <v>チューリッヒ 19</v>
      </c>
      <c r="F22" s="4">
        <f>INDEX(スコア表[Economy],MATCH($C22,スコア表['#],0))</f>
        <v>302.71871872881661</v>
      </c>
      <c r="G22" s="4">
        <f>INDEX(スコア表[R&amp;D],MATCH($C22,スコア表['#],0))</f>
        <v>51.960791640283333</v>
      </c>
      <c r="H22" s="4">
        <f>INDEX(スコア表[Cultural Interaction],MATCH($C22,スコア表['#],0))</f>
        <v>57.66907930024167</v>
      </c>
      <c r="I22" s="4">
        <f>INDEX(スコア表[Livability],MATCH($C22,スコア表['#],0))</f>
        <v>325.89432186751674</v>
      </c>
      <c r="J22" s="4">
        <f>INDEX(スコア表[Environment],MATCH($C22,スコア表['#],0))</f>
        <v>201.45625802520001</v>
      </c>
      <c r="K22" s="4">
        <f>INDEX(スコア表[Accessibility],MATCH($C22,スコア表['#],0))</f>
        <v>148.82630711370001</v>
      </c>
      <c r="L22" s="4">
        <f>INDEX(スコア表[Comprehensive],MATCH($C22,スコア表['#],0))</f>
        <v>1088.5254766757585</v>
      </c>
    </row>
    <row r="23" spans="2:12">
      <c r="B23" s="83">
        <f>INDEX(順位表[Comprehensive],MATCH($C23,順位表['#],0))</f>
        <v>20</v>
      </c>
      <c r="C23" s="3">
        <v>8</v>
      </c>
      <c r="D23" s="1" t="str">
        <f>INDEX(都市マスタ[],MATCH($C23,都市マスタ['#],0),MATCH(D$3,都市マスタ[#Headers],0))</f>
        <v>フランクフルト</v>
      </c>
      <c r="E23" s="1" t="str">
        <f t="shared" si="0"/>
        <v>フランクフルト 20</v>
      </c>
      <c r="F23" s="4">
        <f>INDEX(スコア表[Economy],MATCH($C23,スコア表['#],0))</f>
        <v>218.70707196824998</v>
      </c>
      <c r="G23" s="4">
        <f>INDEX(スコア表[R&amp;D],MATCH($C23,スコア表['#],0))</f>
        <v>30.426488445583331</v>
      </c>
      <c r="H23" s="4">
        <f>INDEX(スコア表[Cultural Interaction],MATCH($C23,スコア表['#],0))</f>
        <v>80.538707356266656</v>
      </c>
      <c r="I23" s="4">
        <f>INDEX(スコア表[Livability],MATCH($C23,スコア表['#],0))</f>
        <v>358.10326910957502</v>
      </c>
      <c r="J23" s="4">
        <f>INDEX(スコア表[Environment],MATCH($C23,スコア表['#],0))</f>
        <v>180.77300000066668</v>
      </c>
      <c r="K23" s="4">
        <f>INDEX(スコア表[Accessibility],MATCH($C23,スコア表['#],0))</f>
        <v>217.64777296725003</v>
      </c>
      <c r="L23" s="4">
        <f>INDEX(スコア表[Comprehensive],MATCH($C23,スコア表['#],0))</f>
        <v>1086.1963098475917</v>
      </c>
    </row>
    <row r="24" spans="2:12">
      <c r="B24" s="83">
        <f>INDEX(順位表[Comprehensive],MATCH($C24,順位表['#],0))</f>
        <v>21</v>
      </c>
      <c r="C24" s="3">
        <v>33</v>
      </c>
      <c r="D24" s="1" t="str">
        <f>INDEX(都市マスタ[],MATCH($C24,都市マスタ['#],0),MATCH(D$3,都市マスタ[#Headers],0))</f>
        <v>ロサンゼルス</v>
      </c>
      <c r="E24" s="1" t="str">
        <f t="shared" si="0"/>
        <v>ロサンゼルス 21</v>
      </c>
      <c r="F24" s="4">
        <f>INDEX(スコア表[Economy],MATCH($C24,スコア表['#],0))</f>
        <v>252.60758015683336</v>
      </c>
      <c r="G24" s="4">
        <f>INDEX(スコア表[R&amp;D],MATCH($C24,スコア表['#],0))</f>
        <v>154.91435305271668</v>
      </c>
      <c r="H24" s="4">
        <f>INDEX(スコア表[Cultural Interaction],MATCH($C24,スコア表['#],0))</f>
        <v>108.08762189085833</v>
      </c>
      <c r="I24" s="4">
        <f>INDEX(スコア表[Livability],MATCH($C24,スコア表['#],0))</f>
        <v>290.94787185634164</v>
      </c>
      <c r="J24" s="4">
        <f>INDEX(スコア表[Environment],MATCH($C24,スコア表['#],0))</f>
        <v>140.01359719346667</v>
      </c>
      <c r="K24" s="4">
        <f>INDEX(スコア表[Accessibility],MATCH($C24,スコア表['#],0))</f>
        <v>125.12403586828333</v>
      </c>
      <c r="L24" s="4">
        <f>INDEX(スコア表[Comprehensive],MATCH($C24,スコア表['#],0))</f>
        <v>1071.6950600185</v>
      </c>
    </row>
    <row r="25" spans="2:12">
      <c r="B25" s="83">
        <f>INDEX(順位表[Comprehensive],MATCH($C25,順位表['#],0))</f>
        <v>22</v>
      </c>
      <c r="C25" s="3">
        <v>2</v>
      </c>
      <c r="D25" s="1" t="str">
        <f>INDEX(都市マスタ[],MATCH($C25,都市マスタ['#],0),MATCH(D$3,都市マスタ[#Headers],0))</f>
        <v>バルセロナ</v>
      </c>
      <c r="E25" s="1" t="str">
        <f t="shared" si="0"/>
        <v>バルセロナ 22</v>
      </c>
      <c r="F25" s="4">
        <f>INDEX(スコア表[Economy],MATCH($C25,スコア表['#],0))</f>
        <v>192.53505439593334</v>
      </c>
      <c r="G25" s="4">
        <f>INDEX(スコア表[R&amp;D],MATCH($C25,スコア表['#],0))</f>
        <v>32.955386379316664</v>
      </c>
      <c r="H25" s="4">
        <f>INDEX(スコア表[Cultural Interaction],MATCH($C25,スコア表['#],0))</f>
        <v>163.77309441727502</v>
      </c>
      <c r="I25" s="4">
        <f>INDEX(スコア表[Livability],MATCH($C25,スコア表['#],0))</f>
        <v>365.61221548564998</v>
      </c>
      <c r="J25" s="4">
        <f>INDEX(スコア表[Environment],MATCH($C25,スコア表['#],0))</f>
        <v>149.1157190239</v>
      </c>
      <c r="K25" s="4">
        <f>INDEX(スコア表[Accessibility],MATCH($C25,スコア表['#],0))</f>
        <v>163.56888879408334</v>
      </c>
      <c r="L25" s="4">
        <f>INDEX(スコア表[Comprehensive],MATCH($C25,スコア表['#],0))</f>
        <v>1067.5603584961584</v>
      </c>
    </row>
    <row r="26" spans="2:12">
      <c r="B26" s="83">
        <f>INDEX(順位表[Comprehensive],MATCH($C26,順位表['#],0))</f>
        <v>23</v>
      </c>
      <c r="C26" s="3">
        <v>36</v>
      </c>
      <c r="D26" s="1" t="str">
        <f>INDEX(都市マスタ[],MATCH($C26,都市マスタ['#],0),MATCH(D$3,都市マスタ[#Headers],0))</f>
        <v>トロント</v>
      </c>
      <c r="E26" s="1" t="str">
        <f t="shared" si="0"/>
        <v>トロント 23</v>
      </c>
      <c r="F26" s="4">
        <f>INDEX(スコア表[Economy],MATCH($C26,スコア表['#],0))</f>
        <v>249.23434588983332</v>
      </c>
      <c r="G26" s="4">
        <f>INDEX(スコア表[R&amp;D],MATCH($C26,スコア表['#],0))</f>
        <v>61.575585908999997</v>
      </c>
      <c r="H26" s="4">
        <f>INDEX(スコア表[Cultural Interaction],MATCH($C26,スコア表['#],0))</f>
        <v>101.933662100975</v>
      </c>
      <c r="I26" s="4">
        <f>INDEX(スコア表[Livability],MATCH($C26,スコア表['#],0))</f>
        <v>346.31321916076672</v>
      </c>
      <c r="J26" s="4">
        <f>INDEX(スコア表[Environment],MATCH($C26,スコア表['#],0))</f>
        <v>168.96266920406669</v>
      </c>
      <c r="K26" s="4">
        <f>INDEX(スコア表[Accessibility],MATCH($C26,スコア表['#],0))</f>
        <v>137.21991882633333</v>
      </c>
      <c r="L26" s="4">
        <f>INDEX(スコア表[Comprehensive],MATCH($C26,スコア表['#],0))</f>
        <v>1065.239401090975</v>
      </c>
    </row>
    <row r="27" spans="2:12">
      <c r="B27" s="83">
        <f>INDEX(順位表[Comprehensive],MATCH($C27,順位表['#],0))</f>
        <v>24</v>
      </c>
      <c r="C27" s="3">
        <v>5</v>
      </c>
      <c r="D27" s="1" t="str">
        <f>INDEX(都市マスタ[],MATCH($C27,都市マスタ['#],0),MATCH(D$3,都市マスタ[#Headers],0))</f>
        <v>ブリュッセル</v>
      </c>
      <c r="E27" s="1" t="str">
        <f t="shared" si="0"/>
        <v>ブリュッセル 24</v>
      </c>
      <c r="F27" s="4">
        <f>INDEX(スコア表[Economy],MATCH($C27,スコア表['#],0))</f>
        <v>202.19444606638331</v>
      </c>
      <c r="G27" s="4">
        <f>INDEX(スコア表[R&amp;D],MATCH($C27,スコア表['#],0))</f>
        <v>61.119406507283337</v>
      </c>
      <c r="H27" s="4">
        <f>INDEX(スコア表[Cultural Interaction],MATCH($C27,スコア表['#],0))</f>
        <v>133.485916217425</v>
      </c>
      <c r="I27" s="4">
        <f>INDEX(スコア表[Livability],MATCH($C27,スコア表['#],0))</f>
        <v>356.09987632535001</v>
      </c>
      <c r="J27" s="4">
        <f>INDEX(スコア表[Environment],MATCH($C27,スコア表['#],0))</f>
        <v>155.38219232986665</v>
      </c>
      <c r="K27" s="4">
        <f>INDEX(スコア表[Accessibility],MATCH($C27,スコア表['#],0))</f>
        <v>141.01090217941669</v>
      </c>
      <c r="L27" s="4">
        <f>INDEX(スコア表[Comprehensive],MATCH($C27,スコア表['#],0))</f>
        <v>1049.2927396257251</v>
      </c>
    </row>
    <row r="28" spans="2:12">
      <c r="B28" s="83">
        <f>INDEX(順位表[Comprehensive],MATCH($C28,順位表['#],0))</f>
        <v>25</v>
      </c>
      <c r="C28" s="3">
        <v>35</v>
      </c>
      <c r="D28" s="1" t="str">
        <f>INDEX(都市マスタ[],MATCH($C28,都市マスタ['#],0),MATCH(D$3,都市マスタ[#Headers],0))</f>
        <v>シカゴ</v>
      </c>
      <c r="E28" s="1" t="str">
        <f t="shared" si="0"/>
        <v>シカゴ 25</v>
      </c>
      <c r="F28" s="4">
        <f>INDEX(スコア表[Economy],MATCH($C28,スコア表['#],0))</f>
        <v>239.27971636906668</v>
      </c>
      <c r="G28" s="4">
        <f>INDEX(スコア表[R&amp;D],MATCH($C28,スコア表['#],0))</f>
        <v>113.03958124431666</v>
      </c>
      <c r="H28" s="4">
        <f>INDEX(スコア表[Cultural Interaction],MATCH($C28,スコア表['#],0))</f>
        <v>107.0395607313</v>
      </c>
      <c r="I28" s="4">
        <f>INDEX(スコア表[Livability],MATCH($C28,スコア表['#],0))</f>
        <v>286.26469909770003</v>
      </c>
      <c r="J28" s="4">
        <f>INDEX(スコア表[Environment],MATCH($C28,スコア表['#],0))</f>
        <v>142.318380773</v>
      </c>
      <c r="K28" s="4">
        <f>INDEX(スコア表[Accessibility],MATCH($C28,スコア表['#],0))</f>
        <v>156.24671246469998</v>
      </c>
      <c r="L28" s="4">
        <f>INDEX(スコア表[Comprehensive],MATCH($C28,スコア表['#],0))</f>
        <v>1044.1886506800834</v>
      </c>
    </row>
    <row r="29" spans="2:12">
      <c r="B29" s="83">
        <f>INDEX(順位表[Comprehensive],MATCH($C29,順位表['#],0))</f>
        <v>26</v>
      </c>
      <c r="C29" s="3">
        <v>7</v>
      </c>
      <c r="D29" s="1" t="str">
        <f>INDEX(都市マスタ[],MATCH($C29,都市マスタ['#],0),MATCH(D$3,都市マスタ[#Headers],0))</f>
        <v>ジュネーブ</v>
      </c>
      <c r="E29" s="1" t="str">
        <f t="shared" si="0"/>
        <v>ジュネーブ 26</v>
      </c>
      <c r="F29" s="4">
        <f>INDEX(スコア表[Economy],MATCH($C29,スコア表['#],0))</f>
        <v>274.56096232340002</v>
      </c>
      <c r="G29" s="4">
        <f>INDEX(スコア表[R&amp;D],MATCH($C29,スコア表['#],0))</f>
        <v>52.834182982099996</v>
      </c>
      <c r="H29" s="4">
        <f>INDEX(スコア表[Cultural Interaction],MATCH($C29,スコア表['#],0))</f>
        <v>50.841719823391664</v>
      </c>
      <c r="I29" s="4">
        <f>INDEX(スコア表[Livability],MATCH($C29,スコア表['#],0))</f>
        <v>325.05298387905003</v>
      </c>
      <c r="J29" s="4">
        <f>INDEX(スコア表[Environment],MATCH($C29,スコア表['#],0))</f>
        <v>217.61196032589999</v>
      </c>
      <c r="K29" s="4">
        <f>INDEX(スコア表[Accessibility],MATCH($C29,スコア表['#],0))</f>
        <v>122.00617048738334</v>
      </c>
      <c r="L29" s="4">
        <f>INDEX(スコア表[Comprehensive],MATCH($C29,スコア表['#],0))</f>
        <v>1042.9079798212251</v>
      </c>
    </row>
    <row r="30" spans="2:12">
      <c r="B30" s="83">
        <f>INDEX(順位表[Comprehensive],MATCH($C30,順位表['#],0))</f>
        <v>27</v>
      </c>
      <c r="C30" s="3">
        <v>32</v>
      </c>
      <c r="D30" s="1" t="str">
        <f>INDEX(都市マスタ[],MATCH($C30,都市マスタ['#],0),MATCH(D$3,都市マスタ[#Headers],0))</f>
        <v>サンフランシスコ</v>
      </c>
      <c r="E30" s="1" t="str">
        <f t="shared" si="0"/>
        <v>サンフランシスコ 27</v>
      </c>
      <c r="F30" s="4">
        <f>INDEX(スコア表[Economy],MATCH($C30,スコア表['#],0))</f>
        <v>291.40429790600001</v>
      </c>
      <c r="G30" s="4">
        <f>INDEX(スコア表[R&amp;D],MATCH($C30,スコア表['#],0))</f>
        <v>117.70197243871664</v>
      </c>
      <c r="H30" s="4">
        <f>INDEX(スコア表[Cultural Interaction],MATCH($C30,スコア表['#],0))</f>
        <v>79.878672191475005</v>
      </c>
      <c r="I30" s="4">
        <f>INDEX(スコア表[Livability],MATCH($C30,スコア表['#],0))</f>
        <v>300.82821733924169</v>
      </c>
      <c r="J30" s="4">
        <f>INDEX(スコア表[Environment],MATCH($C30,スコア表['#],0))</f>
        <v>124.97070741093333</v>
      </c>
      <c r="K30" s="4">
        <f>INDEX(スコア表[Accessibility],MATCH($C30,スコア表['#],0))</f>
        <v>120.29584821248332</v>
      </c>
      <c r="L30" s="4">
        <f>INDEX(スコア表[Comprehensive],MATCH($C30,スコア表['#],0))</f>
        <v>1035.07971549885</v>
      </c>
    </row>
    <row r="31" spans="2:12">
      <c r="B31" s="83">
        <f>INDEX(順位表[Comprehensive],MATCH($C31,順位表['#],0))</f>
        <v>28</v>
      </c>
      <c r="C31" s="3">
        <v>45</v>
      </c>
      <c r="D31" s="1" t="str">
        <f>INDEX(都市マスタ[],MATCH($C31,都市マスタ['#],0),MATCH(D$3,都市マスタ[#Headers],0))</f>
        <v>ダブリン</v>
      </c>
      <c r="E31" s="1" t="str">
        <f t="shared" si="0"/>
        <v>ダブリン 28</v>
      </c>
      <c r="F31" s="4">
        <f>INDEX(スコア表[Economy],MATCH($C31,スコア表['#],0))</f>
        <v>298.66435348588334</v>
      </c>
      <c r="G31" s="4">
        <f>INDEX(スコア表[R&amp;D],MATCH($C31,スコア表['#],0))</f>
        <v>32.708980225316658</v>
      </c>
      <c r="H31" s="4">
        <f>INDEX(スコア表[Cultural Interaction],MATCH($C31,スコア表['#],0))</f>
        <v>84.067293458133335</v>
      </c>
      <c r="I31" s="4">
        <f>INDEX(スコア表[Livability],MATCH($C31,スコア表['#],0))</f>
        <v>330.66872145493335</v>
      </c>
      <c r="J31" s="4">
        <f>INDEX(スコア表[Environment],MATCH($C31,スコア表['#],0))</f>
        <v>160.4762149785</v>
      </c>
      <c r="K31" s="4">
        <f>INDEX(スコア表[Accessibility],MATCH($C31,スコア表['#],0))</f>
        <v>124.97767436390001</v>
      </c>
      <c r="L31" s="4">
        <f>INDEX(スコア表[Comprehensive],MATCH($C31,スコア表['#],0))</f>
        <v>1031.5632379666667</v>
      </c>
    </row>
    <row r="32" spans="2:12">
      <c r="B32" s="83">
        <f>INDEX(順位表[Comprehensive],MATCH($C32,順位表['#],0))</f>
        <v>29</v>
      </c>
      <c r="C32" s="3">
        <v>39</v>
      </c>
      <c r="D32" s="1" t="str">
        <f>INDEX(都市マスタ[],MATCH($C32,都市マスタ['#],0),MATCH(D$3,都市マスタ[#Headers],0))</f>
        <v>ボストン</v>
      </c>
      <c r="E32" s="1" t="str">
        <f t="shared" si="0"/>
        <v>ボストン 29</v>
      </c>
      <c r="F32" s="4">
        <f>INDEX(スコア表[Economy],MATCH($C32,スコア表['#],0))</f>
        <v>258.98806631218332</v>
      </c>
      <c r="G32" s="4">
        <f>INDEX(スコア表[R&amp;D],MATCH($C32,スコア表['#],0))</f>
        <v>137.66717395626668</v>
      </c>
      <c r="H32" s="4">
        <f>INDEX(スコア表[Cultural Interaction],MATCH($C32,スコア表['#],0))</f>
        <v>62.170123586433341</v>
      </c>
      <c r="I32" s="4">
        <f>INDEX(スコア表[Livability],MATCH($C32,スコア表['#],0))</f>
        <v>300.05970905992501</v>
      </c>
      <c r="J32" s="4">
        <f>INDEX(スコア表[Environment],MATCH($C32,スコア表['#],0))</f>
        <v>152.50704226403334</v>
      </c>
      <c r="K32" s="4">
        <f>INDEX(スコア表[Accessibility],MATCH($C32,スコア表['#],0))</f>
        <v>114.94115346680002</v>
      </c>
      <c r="L32" s="4">
        <f>INDEX(スコア表[Comprehensive],MATCH($C32,スコア表['#],0))</f>
        <v>1026.3332686456417</v>
      </c>
    </row>
    <row r="33" spans="2:12">
      <c r="B33" s="83">
        <f>INDEX(順位表[Comprehensive],MATCH($C33,順位表['#],0))</f>
        <v>30</v>
      </c>
      <c r="C33" s="3">
        <v>15</v>
      </c>
      <c r="D33" s="1" t="str">
        <f>INDEX(都市マスタ[],MATCH($C33,都市マスタ['#],0),MATCH(D$3,都市マスタ[#Headers],0))</f>
        <v>イスタンブール</v>
      </c>
      <c r="E33" s="1" t="str">
        <f t="shared" si="0"/>
        <v>イスタンブール 30</v>
      </c>
      <c r="F33" s="4">
        <f>INDEX(スコア表[Economy],MATCH($C33,スコア表['#],0))</f>
        <v>164.43973531143331</v>
      </c>
      <c r="G33" s="4">
        <f>INDEX(スコア表[R&amp;D],MATCH($C33,スコア表['#],0))</f>
        <v>37.722778462400001</v>
      </c>
      <c r="H33" s="4">
        <f>INDEX(スコア表[Cultural Interaction],MATCH($C33,スコア表['#],0))</f>
        <v>207.21040014800832</v>
      </c>
      <c r="I33" s="4">
        <f>INDEX(スコア表[Livability],MATCH($C33,スコア表['#],0))</f>
        <v>294.60303425718331</v>
      </c>
      <c r="J33" s="4">
        <f>INDEX(スコア表[Environment],MATCH($C33,スコア表['#],0))</f>
        <v>146.93879805366666</v>
      </c>
      <c r="K33" s="4">
        <f>INDEX(スコア表[Accessibility],MATCH($C33,スコア表['#],0))</f>
        <v>166.25057830344997</v>
      </c>
      <c r="L33" s="4">
        <f>INDEX(スコア表[Comprehensive],MATCH($C33,スコア表['#],0))</f>
        <v>1017.1653245361416</v>
      </c>
    </row>
    <row r="34" spans="2:12">
      <c r="B34" s="83">
        <f>INDEX(順位表[Comprehensive],MATCH($C34,順位表['#],0))</f>
        <v>31</v>
      </c>
      <c r="C34" s="3">
        <v>46</v>
      </c>
      <c r="D34" s="1" t="str">
        <f>INDEX(都市マスタ[],MATCH($C34,都市マスタ['#],0),MATCH(D$3,都市マスタ[#Headers],0))</f>
        <v>ヘルシンキ</v>
      </c>
      <c r="E34" s="1" t="str">
        <f t="shared" si="0"/>
        <v>ヘルシンキ 31</v>
      </c>
      <c r="F34" s="4">
        <f>INDEX(スコア表[Economy],MATCH($C34,スコア表['#],0))</f>
        <v>233.61209151846666</v>
      </c>
      <c r="G34" s="4">
        <f>INDEX(スコア表[R&amp;D],MATCH($C34,スコア表['#],0))</f>
        <v>36.222474991583333</v>
      </c>
      <c r="H34" s="4">
        <f>INDEX(スコア表[Cultural Interaction],MATCH($C34,スコア表['#],0))</f>
        <v>43.338953521625008</v>
      </c>
      <c r="I34" s="4">
        <f>INDEX(スコア表[Livability],MATCH($C34,スコア表['#],0))</f>
        <v>352.18511970200001</v>
      </c>
      <c r="J34" s="4">
        <f>INDEX(スコア表[Environment],MATCH($C34,スコア表['#],0))</f>
        <v>210.67987394316665</v>
      </c>
      <c r="K34" s="4">
        <f>INDEX(スコア表[Accessibility],MATCH($C34,スコア表['#],0))</f>
        <v>131.89178263905001</v>
      </c>
      <c r="L34" s="4">
        <f>INDEX(スコア表[Comprehensive],MATCH($C34,スコア表['#],0))</f>
        <v>1007.9302963158916</v>
      </c>
    </row>
    <row r="35" spans="2:12">
      <c r="B35" s="83">
        <f>INDEX(順位表[Comprehensive],MATCH($C35,順位表['#],0))</f>
        <v>32</v>
      </c>
      <c r="C35" s="3">
        <v>31</v>
      </c>
      <c r="D35" s="1" t="str">
        <f>INDEX(都市マスタ[],MATCH($C35,都市マスタ['#],0),MATCH(D$3,都市マスタ[#Headers],0))</f>
        <v>バンクーバー</v>
      </c>
      <c r="E35" s="1" t="str">
        <f t="shared" si="0"/>
        <v>バンクーバー 32</v>
      </c>
      <c r="F35" s="4">
        <f>INDEX(スコア表[Economy],MATCH($C35,スコア表['#],0))</f>
        <v>239.31243879453334</v>
      </c>
      <c r="G35" s="4">
        <f>INDEX(スコア表[R&amp;D],MATCH($C35,スコア表['#],0))</f>
        <v>46.275708734033337</v>
      </c>
      <c r="H35" s="4">
        <f>INDEX(スコア表[Cultural Interaction],MATCH($C35,スコア表['#],0))</f>
        <v>76.770779177408329</v>
      </c>
      <c r="I35" s="4">
        <f>INDEX(スコア表[Livability],MATCH($C35,スコア表['#],0))</f>
        <v>331.82663624334168</v>
      </c>
      <c r="J35" s="4">
        <f>INDEX(スコア表[Environment],MATCH($C35,スコア表['#],0))</f>
        <v>189.76686276836665</v>
      </c>
      <c r="K35" s="4">
        <f>INDEX(スコア表[Accessibility],MATCH($C35,スコア表['#],0))</f>
        <v>108.67400833945</v>
      </c>
      <c r="L35" s="4">
        <f>INDEX(スコア表[Comprehensive],MATCH($C35,スコア表['#],0))</f>
        <v>992.62643405713322</v>
      </c>
    </row>
    <row r="36" spans="2:12">
      <c r="B36" s="83">
        <f>INDEX(順位表[Comprehensive],MATCH($C36,順位表['#],0))</f>
        <v>33</v>
      </c>
      <c r="C36" s="3">
        <v>10</v>
      </c>
      <c r="D36" s="1" t="str">
        <f>INDEX(都市マスタ[],MATCH($C36,都市マスタ['#],0),MATCH(D$3,都市マスタ[#Headers],0))</f>
        <v>ミラノ</v>
      </c>
      <c r="E36" s="1" t="str">
        <f t="shared" si="0"/>
        <v>ミラノ 33</v>
      </c>
      <c r="F36" s="4">
        <f>INDEX(スコア表[Economy],MATCH($C36,スコア表['#],0))</f>
        <v>179.40573422365003</v>
      </c>
      <c r="G36" s="4">
        <f>INDEX(スコア表[R&amp;D],MATCH($C36,スコア表['#],0))</f>
        <v>31.474418270549997</v>
      </c>
      <c r="H36" s="4">
        <f>INDEX(スコア表[Cultural Interaction],MATCH($C36,スコア表['#],0))</f>
        <v>124.59289058831666</v>
      </c>
      <c r="I36" s="4">
        <f>INDEX(スコア表[Livability],MATCH($C36,スコア表['#],0))</f>
        <v>353.04079527141664</v>
      </c>
      <c r="J36" s="4">
        <f>INDEX(スコア表[Environment],MATCH($C36,スコア表['#],0))</f>
        <v>153.54269096716669</v>
      </c>
      <c r="K36" s="4">
        <f>INDEX(スコア表[Accessibility],MATCH($C36,スコア表['#],0))</f>
        <v>148.59930861045001</v>
      </c>
      <c r="L36" s="4">
        <f>INDEX(スコア表[Comprehensive],MATCH($C36,スコア表['#],0))</f>
        <v>990.65583793154997</v>
      </c>
    </row>
    <row r="37" spans="2:12">
      <c r="B37" s="83">
        <f>INDEX(順位表[Comprehensive],MATCH($C37,順位表['#],0))</f>
        <v>34</v>
      </c>
      <c r="C37" s="3">
        <v>17</v>
      </c>
      <c r="D37" s="1" t="str">
        <f>INDEX(都市マスタ[],MATCH($C37,都市マスタ['#],0),MATCH(D$3,都市マスタ[#Headers],0))</f>
        <v>モスクワ</v>
      </c>
      <c r="E37" s="1" t="str">
        <f t="shared" si="0"/>
        <v>モスクワ 34</v>
      </c>
      <c r="F37" s="4">
        <f>INDEX(スコア表[Economy],MATCH($C37,スコア表['#],0))</f>
        <v>153.05028841806666</v>
      </c>
      <c r="G37" s="4">
        <f>INDEX(スコア表[R&amp;D],MATCH($C37,スコア表['#],0))</f>
        <v>56.490130057016671</v>
      </c>
      <c r="H37" s="4">
        <f>INDEX(スコア表[Cultural Interaction],MATCH($C37,スコア表['#],0))</f>
        <v>176.50947350084999</v>
      </c>
      <c r="I37" s="4">
        <f>INDEX(スコア表[Livability],MATCH($C37,スコア表['#],0))</f>
        <v>332.19352261568332</v>
      </c>
      <c r="J37" s="4">
        <f>INDEX(スコア表[Environment],MATCH($C37,スコア表['#],0))</f>
        <v>142.85680834266668</v>
      </c>
      <c r="K37" s="4">
        <f>INDEX(スコア表[Accessibility],MATCH($C37,スコア表['#],0))</f>
        <v>115.3891266875</v>
      </c>
      <c r="L37" s="4">
        <f>INDEX(スコア表[Comprehensive],MATCH($C37,スコア表['#],0))</f>
        <v>976.48934962178328</v>
      </c>
    </row>
    <row r="38" spans="2:12">
      <c r="B38" s="83">
        <f>INDEX(順位表[Comprehensive],MATCH($C38,順位表['#],0))</f>
        <v>35</v>
      </c>
      <c r="C38" s="3">
        <v>25</v>
      </c>
      <c r="D38" s="1" t="str">
        <f>INDEX(都市マスタ[],MATCH($C38,都市マスタ['#],0),MATCH(D$3,都市マスタ[#Headers],0))</f>
        <v>台北</v>
      </c>
      <c r="E38" s="1" t="str">
        <f t="shared" si="0"/>
        <v>台北 35</v>
      </c>
      <c r="F38" s="4">
        <f>INDEX(スコア表[Economy],MATCH($C38,スコア表['#],0))</f>
        <v>226.85065072763337</v>
      </c>
      <c r="G38" s="4">
        <f>INDEX(スコア表[R&amp;D],MATCH($C38,スコア表['#],0))</f>
        <v>46.843823348116665</v>
      </c>
      <c r="H38" s="4">
        <f>INDEX(スコア表[Cultural Interaction],MATCH($C38,スコア表['#],0))</f>
        <v>59.161857841424997</v>
      </c>
      <c r="I38" s="4">
        <f>INDEX(スコア表[Livability],MATCH($C38,スコア表['#],0))</f>
        <v>337.24346412906664</v>
      </c>
      <c r="J38" s="4">
        <f>INDEX(スコア表[Environment],MATCH($C38,スコア表['#],0))</f>
        <v>168.57477855163333</v>
      </c>
      <c r="K38" s="4">
        <f>INDEX(スコア表[Accessibility],MATCH($C38,スコア表['#],0))</f>
        <v>119.81697818631665</v>
      </c>
      <c r="L38" s="4">
        <f>INDEX(スコア表[Comprehensive],MATCH($C38,スコア表['#],0))</f>
        <v>958.49155278419164</v>
      </c>
    </row>
    <row r="39" spans="2:12">
      <c r="B39" s="83">
        <f>INDEX(順位表[Comprehensive],MATCH($C39,順位表['#],0))</f>
        <v>36</v>
      </c>
      <c r="C39" s="3">
        <v>37</v>
      </c>
      <c r="D39" s="1" t="str">
        <f>INDEX(都市マスタ[],MATCH($C39,都市マスタ['#],0),MATCH(D$3,都市マスタ[#Headers],0))</f>
        <v>ワシントンDC</v>
      </c>
      <c r="E39" s="1" t="str">
        <f t="shared" si="0"/>
        <v>ワシントンDC 36</v>
      </c>
      <c r="F39" s="4">
        <f>INDEX(スコア表[Economy],MATCH($C39,スコア表['#],0))</f>
        <v>271.34976814340001</v>
      </c>
      <c r="G39" s="4">
        <f>INDEX(スコア表[R&amp;D],MATCH($C39,スコア表['#],0))</f>
        <v>87.409370761916662</v>
      </c>
      <c r="H39" s="4">
        <f>INDEX(スコア表[Cultural Interaction],MATCH($C39,スコア表['#],0))</f>
        <v>71.437545558866674</v>
      </c>
      <c r="I39" s="4">
        <f>INDEX(スコア表[Livability],MATCH($C39,スコア表['#],0))</f>
        <v>284.30176071891668</v>
      </c>
      <c r="J39" s="4">
        <f>INDEX(スコア表[Environment],MATCH($C39,スコア表['#],0))</f>
        <v>139.93912915533335</v>
      </c>
      <c r="K39" s="4">
        <f>INDEX(スコア表[Accessibility],MATCH($C39,スコア表['#],0))</f>
        <v>101.06410018313333</v>
      </c>
      <c r="L39" s="4">
        <f>INDEX(スコア表[Comprehensive],MATCH($C39,スコア表['#],0))</f>
        <v>955.50167452156677</v>
      </c>
    </row>
    <row r="40" spans="2:12">
      <c r="B40" s="83">
        <f>INDEX(順位表[Comprehensive],MATCH($C40,順位表['#],0))</f>
        <v>37</v>
      </c>
      <c r="C40" s="3">
        <v>28</v>
      </c>
      <c r="D40" s="1" t="str">
        <f>INDEX(都市マスタ[],MATCH($C40,都市マスタ['#],0),MATCH(D$3,都市マスタ[#Headers],0))</f>
        <v>大阪</v>
      </c>
      <c r="E40" s="1" t="str">
        <f t="shared" si="0"/>
        <v>大阪 37</v>
      </c>
      <c r="F40" s="4">
        <f>INDEX(スコア表[Economy],MATCH($C40,スコア表['#],0))</f>
        <v>174.38519870419998</v>
      </c>
      <c r="G40" s="4">
        <f>INDEX(スコア表[R&amp;D],MATCH($C40,スコア表['#],0))</f>
        <v>69.695671346483337</v>
      </c>
      <c r="H40" s="4">
        <f>INDEX(スコア表[Cultural Interaction],MATCH($C40,スコア表['#],0))</f>
        <v>109.97396532317499</v>
      </c>
      <c r="I40" s="4">
        <f>INDEX(スコア表[Livability],MATCH($C40,スコア表['#],0))</f>
        <v>354.77381186194168</v>
      </c>
      <c r="J40" s="4">
        <f>INDEX(スコア表[Environment],MATCH($C40,スコア表['#],0))</f>
        <v>129.60248399810001</v>
      </c>
      <c r="K40" s="4">
        <f>INDEX(スコア表[Accessibility],MATCH($C40,スコア表['#],0))</f>
        <v>109.32603530741667</v>
      </c>
      <c r="L40" s="4">
        <f>INDEX(スコア表[Comprehensive],MATCH($C40,スコア表['#],0))</f>
        <v>947.75716654131668</v>
      </c>
    </row>
    <row r="41" spans="2:12">
      <c r="B41" s="83">
        <f>INDEX(順位表[Comprehensive],MATCH($C41,順位表['#],0))</f>
        <v>38</v>
      </c>
      <c r="C41" s="3">
        <v>19</v>
      </c>
      <c r="D41" s="1" t="str">
        <f>INDEX(都市マスタ[],MATCH($C41,都市マスタ['#],0),MATCH(D$3,都市マスタ[#Headers],0))</f>
        <v>バンコク</v>
      </c>
      <c r="E41" s="1" t="str">
        <f t="shared" si="0"/>
        <v>バンコク 38</v>
      </c>
      <c r="F41" s="4">
        <f>INDEX(スコア表[Economy],MATCH($C41,スコア表['#],0))</f>
        <v>181.73380725140001</v>
      </c>
      <c r="G41" s="4">
        <f>INDEX(スコア表[R&amp;D],MATCH($C41,スコア表['#],0))</f>
        <v>21.267990652566667</v>
      </c>
      <c r="H41" s="4">
        <f>INDEX(スコア表[Cultural Interaction],MATCH($C41,スコア表['#],0))</f>
        <v>165.30715117054166</v>
      </c>
      <c r="I41" s="4">
        <f>INDEX(スコア表[Livability],MATCH($C41,スコア表['#],0))</f>
        <v>341.53625088005833</v>
      </c>
      <c r="J41" s="4">
        <f>INDEX(スコア表[Environment],MATCH($C41,スコア表['#],0))</f>
        <v>122.29754939166666</v>
      </c>
      <c r="K41" s="4">
        <f>INDEX(スコア表[Accessibility],MATCH($C41,スコア表['#],0))</f>
        <v>113.15560744948334</v>
      </c>
      <c r="L41" s="4">
        <f>INDEX(スコア表[Comprehensive],MATCH($C41,スコア表['#],0))</f>
        <v>945.29835679571659</v>
      </c>
    </row>
    <row r="42" spans="2:12">
      <c r="B42" s="83">
        <f>INDEX(順位表[Comprehensive],MATCH($C42,順位表['#],0))</f>
        <v>39</v>
      </c>
      <c r="C42" s="3">
        <v>40</v>
      </c>
      <c r="D42" s="1" t="str">
        <f>INDEX(都市マスタ[],MATCH($C42,都市マスタ['#],0),MATCH(D$3,都市マスタ[#Headers],0))</f>
        <v>サンパウロ</v>
      </c>
      <c r="E42" s="1" t="str">
        <f t="shared" si="0"/>
        <v>サンパウロ 39</v>
      </c>
      <c r="F42" s="4">
        <f>INDEX(スコア表[Economy],MATCH($C42,スコア表['#],0))</f>
        <v>132.82510399154998</v>
      </c>
      <c r="G42" s="4">
        <f>INDEX(スコア表[R&amp;D],MATCH($C42,スコア表['#],0))</f>
        <v>23.2293984075</v>
      </c>
      <c r="H42" s="4">
        <f>INDEX(スコア表[Cultural Interaction],MATCH($C42,スコア表['#],0))</f>
        <v>151.76444242485834</v>
      </c>
      <c r="I42" s="4">
        <f>INDEX(スコア表[Livability],MATCH($C42,スコア表['#],0))</f>
        <v>338.73781291609998</v>
      </c>
      <c r="J42" s="4">
        <f>INDEX(スコア表[Environment],MATCH($C42,スコア表['#],0))</f>
        <v>161.61664153583337</v>
      </c>
      <c r="K42" s="4">
        <f>INDEX(スコア表[Accessibility],MATCH($C42,スコア表['#],0))</f>
        <v>90.181285020066667</v>
      </c>
      <c r="L42" s="4">
        <f>INDEX(スコア表[Comprehensive],MATCH($C42,スコア表['#],0))</f>
        <v>898.35468429590821</v>
      </c>
    </row>
    <row r="43" spans="2:12">
      <c r="B43" s="83">
        <f>INDEX(順位表[Comprehensive],MATCH($C43,順位表['#],0))</f>
        <v>40</v>
      </c>
      <c r="C43" s="3">
        <v>47</v>
      </c>
      <c r="D43" s="1" t="str">
        <f>INDEX(都市マスタ[],MATCH($C43,都市マスタ['#],0),MATCH(D$3,都市マスタ[#Headers],0))</f>
        <v>テルアビブ</v>
      </c>
      <c r="E43" s="1" t="str">
        <f t="shared" si="0"/>
        <v>テルアビブ 40</v>
      </c>
      <c r="F43" s="4">
        <f>INDEX(スコア表[Economy],MATCH($C43,スコア表['#],0))</f>
        <v>201.14434310958333</v>
      </c>
      <c r="G43" s="4">
        <f>INDEX(スコア表[R&amp;D],MATCH($C43,スコア表['#],0))</f>
        <v>31.247781842616668</v>
      </c>
      <c r="H43" s="4">
        <f>INDEX(スコア表[Cultural Interaction],MATCH($C43,スコア表['#],0))</f>
        <v>95.008459927091664</v>
      </c>
      <c r="I43" s="4">
        <f>INDEX(スコア表[Livability],MATCH($C43,スコア表['#],0))</f>
        <v>315.73654902729999</v>
      </c>
      <c r="J43" s="4">
        <f>INDEX(スコア表[Environment],MATCH($C43,スコア表['#],0))</f>
        <v>141.49436515193332</v>
      </c>
      <c r="K43" s="4">
        <f>INDEX(スコア表[Accessibility],MATCH($C43,スコア表['#],0))</f>
        <v>107.81051049308334</v>
      </c>
      <c r="L43" s="4">
        <f>INDEX(スコア表[Comprehensive],MATCH($C43,スコア表['#],0))</f>
        <v>892.44200955160829</v>
      </c>
    </row>
    <row r="44" spans="2:12">
      <c r="B44" s="83">
        <f>INDEX(順位表[Comprehensive],MATCH($C44,順位表['#],0))</f>
        <v>41</v>
      </c>
      <c r="C44" s="3">
        <v>20</v>
      </c>
      <c r="D44" s="1" t="str">
        <f>INDEX(都市マスタ[],MATCH($C44,都市マスタ['#],0),MATCH(D$3,都市マスタ[#Headers],0))</f>
        <v>クアラルンプール</v>
      </c>
      <c r="E44" s="1" t="str">
        <f t="shared" si="0"/>
        <v>クアラルンプール 41</v>
      </c>
      <c r="F44" s="4">
        <f>INDEX(スコア表[Economy],MATCH($C44,スコア表['#],0))</f>
        <v>177.33707975233332</v>
      </c>
      <c r="G44" s="4">
        <f>INDEX(スコア表[R&amp;D],MATCH($C44,スコア表['#],0))</f>
        <v>16.9446929478</v>
      </c>
      <c r="H44" s="4">
        <f>INDEX(スコア表[Cultural Interaction],MATCH($C44,スコア表['#],0))</f>
        <v>98.871465849708329</v>
      </c>
      <c r="I44" s="4">
        <f>INDEX(スコア表[Livability],MATCH($C44,スコア表['#],0))</f>
        <v>349.91813941975835</v>
      </c>
      <c r="J44" s="4">
        <f>INDEX(スコア表[Environment],MATCH($C44,スコア表['#],0))</f>
        <v>125.87804651483333</v>
      </c>
      <c r="K44" s="4">
        <f>INDEX(スコア表[Accessibility],MATCH($C44,スコア表['#],0))</f>
        <v>109.72828635431668</v>
      </c>
      <c r="L44" s="4">
        <f>INDEX(スコア表[Comprehensive],MATCH($C44,スコア表['#],0))</f>
        <v>878.67771083875004</v>
      </c>
    </row>
    <row r="45" spans="2:12">
      <c r="B45" s="83">
        <f>INDEX(順位表[Comprehensive],MATCH($C45,順位表['#],0))</f>
        <v>42</v>
      </c>
      <c r="C45" s="3">
        <v>27</v>
      </c>
      <c r="D45" s="1" t="str">
        <f>INDEX(都市マスタ[],MATCH($C45,都市マスタ['#],0),MATCH(D$3,都市マスタ[#Headers],0))</f>
        <v>福岡</v>
      </c>
      <c r="E45" s="1" t="str">
        <f t="shared" si="0"/>
        <v>福岡 42</v>
      </c>
      <c r="F45" s="4">
        <f>INDEX(スコア表[Economy],MATCH($C45,スコア表['#],0))</f>
        <v>142.63656968998333</v>
      </c>
      <c r="G45" s="4">
        <f>INDEX(スコア表[R&amp;D],MATCH($C45,スコア表['#],0))</f>
        <v>36.15231950575</v>
      </c>
      <c r="H45" s="4">
        <f>INDEX(スコア表[Cultural Interaction],MATCH($C45,スコア表['#],0))</f>
        <v>48.990002428691668</v>
      </c>
      <c r="I45" s="4">
        <f>INDEX(スコア表[Livability],MATCH($C45,スコア表['#],0))</f>
        <v>336.62590518253336</v>
      </c>
      <c r="J45" s="4">
        <f>INDEX(スコア表[Environment],MATCH($C45,スコア表['#],0))</f>
        <v>163.21906107770002</v>
      </c>
      <c r="K45" s="4">
        <f>INDEX(スコア表[Accessibility],MATCH($C45,スコア表['#],0))</f>
        <v>117.16783978646666</v>
      </c>
      <c r="L45" s="4">
        <f>INDEX(スコア表[Comprehensive],MATCH($C45,スコア表['#],0))</f>
        <v>844.79169767112489</v>
      </c>
    </row>
    <row r="46" spans="2:12">
      <c r="B46" s="83">
        <f>INDEX(順位表[Comprehensive],MATCH($C46,順位表['#],0))</f>
        <v>43</v>
      </c>
      <c r="C46" s="3">
        <v>34</v>
      </c>
      <c r="D46" s="1" t="str">
        <f>INDEX(都市マスタ[],MATCH($C46,都市マスタ['#],0),MATCH(D$3,都市マスタ[#Headers],0))</f>
        <v>メキシコシティ</v>
      </c>
      <c r="E46" s="1" t="str">
        <f t="shared" si="0"/>
        <v>メキシコシティ 43</v>
      </c>
      <c r="F46" s="4">
        <f>INDEX(スコア表[Economy],MATCH($C46,スコア表['#],0))</f>
        <v>130.43638943946667</v>
      </c>
      <c r="G46" s="4">
        <f>INDEX(スコア表[R&amp;D],MATCH($C46,スコア表['#],0))</f>
        <v>13.987699207650001</v>
      </c>
      <c r="H46" s="4">
        <f>INDEX(スコア表[Cultural Interaction],MATCH($C46,スコア表['#],0))</f>
        <v>156.15263772029169</v>
      </c>
      <c r="I46" s="4">
        <f>INDEX(スコア表[Livability],MATCH($C46,スコア表['#],0))</f>
        <v>296.44565516474165</v>
      </c>
      <c r="J46" s="4">
        <f>INDEX(スコア表[Environment],MATCH($C46,スコア表['#],0))</f>
        <v>138.28290825516666</v>
      </c>
      <c r="K46" s="4">
        <f>INDEX(スコア表[Accessibility],MATCH($C46,スコア表['#],0))</f>
        <v>102.63712299423332</v>
      </c>
      <c r="L46" s="4">
        <f>INDEX(スコア表[Comprehensive],MATCH($C46,スコア表['#],0))</f>
        <v>837.94241278155005</v>
      </c>
    </row>
    <row r="47" spans="2:12">
      <c r="B47" s="83">
        <f>INDEX(順位表[Comprehensive],MATCH($C47,順位表['#],0))</f>
        <v>44</v>
      </c>
      <c r="C47" s="3">
        <v>43</v>
      </c>
      <c r="D47" s="1" t="str">
        <f>INDEX(都市マスタ[],MATCH($C47,都市マスタ['#],0),MATCH(D$3,都市マスタ[#Headers],0))</f>
        <v>ブエノスアイレス</v>
      </c>
      <c r="E47" s="1" t="str">
        <f t="shared" si="0"/>
        <v>ブエノスアイレス 44</v>
      </c>
      <c r="F47" s="4">
        <f>INDEX(スコア表[Economy],MATCH($C47,スコア表['#],0))</f>
        <v>96.232952059400006</v>
      </c>
      <c r="G47" s="4">
        <f>INDEX(スコア表[R&amp;D],MATCH($C47,スコア表['#],0))</f>
        <v>10.379929740866666</v>
      </c>
      <c r="H47" s="4">
        <f>INDEX(スコア表[Cultural Interaction],MATCH($C47,スコア表['#],0))</f>
        <v>162.40185278249166</v>
      </c>
      <c r="I47" s="4">
        <f>INDEX(スコア表[Livability],MATCH($C47,スコア表['#],0))</f>
        <v>322.99950585885</v>
      </c>
      <c r="J47" s="4">
        <f>INDEX(スコア表[Environment],MATCH($C47,スコア表['#],0))</f>
        <v>144.02149435916667</v>
      </c>
      <c r="K47" s="4">
        <f>INDEX(スコア表[Accessibility],MATCH($C47,スコア表['#],0))</f>
        <v>76.789037432650005</v>
      </c>
      <c r="L47" s="4">
        <f>INDEX(スコア表[Comprehensive],MATCH($C47,スコア表['#],0))</f>
        <v>812.82477223342505</v>
      </c>
    </row>
    <row r="48" spans="2:12">
      <c r="B48" s="83">
        <f>INDEX(順位表[Comprehensive],MATCH($C48,順位表['#],0))</f>
        <v>45</v>
      </c>
      <c r="C48" s="3">
        <v>42</v>
      </c>
      <c r="D48" s="1" t="str">
        <f>INDEX(都市マスタ[],MATCH($C48,都市マスタ['#],0),MATCH(D$3,都市マスタ[#Headers],0))</f>
        <v>ジャカルタ</v>
      </c>
      <c r="E48" s="1" t="str">
        <f t="shared" si="0"/>
        <v>ジャカルタ 45</v>
      </c>
      <c r="F48" s="4">
        <f>INDEX(スコア表[Economy],MATCH($C48,スコア表['#],0))</f>
        <v>156.99941221283336</v>
      </c>
      <c r="G48" s="4">
        <f>INDEX(スコア表[R&amp;D],MATCH($C48,スコア表['#],0))</f>
        <v>9.4096349131166672</v>
      </c>
      <c r="H48" s="4">
        <f>INDEX(スコア表[Cultural Interaction],MATCH($C48,スコア表['#],0))</f>
        <v>73.890516478708349</v>
      </c>
      <c r="I48" s="4">
        <f>INDEX(スコア表[Livability],MATCH($C48,スコア表['#],0))</f>
        <v>333.10605340002496</v>
      </c>
      <c r="J48" s="4">
        <f>INDEX(スコア表[Environment],MATCH($C48,スコア表['#],0))</f>
        <v>91.384468461466668</v>
      </c>
      <c r="K48" s="4">
        <f>INDEX(スコア表[Accessibility],MATCH($C48,スコア表['#],0))</f>
        <v>76.94312260671667</v>
      </c>
      <c r="L48" s="4">
        <f>INDEX(スコア表[Comprehensive],MATCH($C48,スコア表['#],0))</f>
        <v>741.73320807286666</v>
      </c>
    </row>
    <row r="49" spans="2:12">
      <c r="B49" s="83">
        <f>INDEX(順位表[Comprehensive],MATCH($C49,順位表['#],0))</f>
        <v>46</v>
      </c>
      <c r="C49" s="3">
        <v>41</v>
      </c>
      <c r="D49" s="1" t="str">
        <f>INDEX(都市マスタ[],MATCH($C49,都市マスタ['#],0),MATCH(D$3,都市マスタ[#Headers],0))</f>
        <v>ヨハネスブルグ</v>
      </c>
      <c r="E49" s="1" t="str">
        <f t="shared" si="0"/>
        <v>ヨハネスブルグ 46</v>
      </c>
      <c r="F49" s="4">
        <f>INDEX(スコア表[Economy],MATCH($C49,スコア表['#],0))</f>
        <v>117.59803928888333</v>
      </c>
      <c r="G49" s="4">
        <f>INDEX(スコア表[R&amp;D],MATCH($C49,スコア表['#],0))</f>
        <v>3.7728619893999999</v>
      </c>
      <c r="H49" s="4">
        <f>INDEX(スコア表[Cultural Interaction],MATCH($C49,スコア表['#],0))</f>
        <v>86.291310336808337</v>
      </c>
      <c r="I49" s="4">
        <f>INDEX(スコア表[Livability],MATCH($C49,スコア表['#],0))</f>
        <v>231.67150434173334</v>
      </c>
      <c r="J49" s="4">
        <f>INDEX(スコア表[Environment],MATCH($C49,スコア表['#],0))</f>
        <v>133.41888550339999</v>
      </c>
      <c r="K49" s="4">
        <f>INDEX(スコア表[Accessibility],MATCH($C49,スコア表['#],0))</f>
        <v>91.2491304582</v>
      </c>
      <c r="L49" s="4">
        <f>INDEX(スコア表[Comprehensive],MATCH($C49,スコア表['#],0))</f>
        <v>664.00173191842509</v>
      </c>
    </row>
    <row r="50" spans="2:12">
      <c r="B50" s="83">
        <f>INDEX(順位表[Comprehensive],MATCH($C50,順位表['#],0))</f>
        <v>47</v>
      </c>
      <c r="C50" s="3">
        <v>16</v>
      </c>
      <c r="D50" s="1" t="str">
        <f>INDEX(都市マスタ[],MATCH($C50,都市マスタ['#],0),MATCH(D$3,都市マスタ[#Headers],0))</f>
        <v>カイロ</v>
      </c>
      <c r="E50" s="1" t="str">
        <f t="shared" si="0"/>
        <v>カイロ 47</v>
      </c>
      <c r="F50" s="4">
        <f>INDEX(スコア表[Economy],MATCH($C50,スコア表['#],0))</f>
        <v>81.585996675550007</v>
      </c>
      <c r="G50" s="4">
        <f>INDEX(スコア表[R&amp;D],MATCH($C50,スコア表['#],0))</f>
        <v>19.618156192800001</v>
      </c>
      <c r="H50" s="4">
        <f>INDEX(スコア表[Cultural Interaction],MATCH($C50,スコア表['#],0))</f>
        <v>98.53528549313333</v>
      </c>
      <c r="I50" s="4">
        <f>INDEX(スコア表[Livability],MATCH($C50,スコア表['#],0))</f>
        <v>292.57281975244996</v>
      </c>
      <c r="J50" s="4">
        <f>INDEX(スコア表[Environment],MATCH($C50,スコア表['#],0))</f>
        <v>67.555458495300002</v>
      </c>
      <c r="K50" s="4">
        <f>INDEX(スコア表[Accessibility],MATCH($C50,スコア表['#],0))</f>
        <v>101.40892959515</v>
      </c>
      <c r="L50" s="4">
        <f>INDEX(スコア表[Comprehensive],MATCH($C50,スコア表['#],0))</f>
        <v>661.27664620438327</v>
      </c>
    </row>
    <row r="51" spans="2:12">
      <c r="B51" s="85">
        <f>INDEX(順位表[Comprehensive],MATCH($C51,順位表['#],0))</f>
        <v>48</v>
      </c>
      <c r="C51" s="3">
        <v>18</v>
      </c>
      <c r="D51" s="1" t="str">
        <f>INDEX(都市マスタ[],MATCH($C51,都市マスタ['#],0),MATCH(D$3,都市マスタ[#Headers],0))</f>
        <v>ムンバイ</v>
      </c>
      <c r="E51" s="1" t="str">
        <f t="shared" si="0"/>
        <v>ムンバイ 48</v>
      </c>
      <c r="F51" s="4">
        <f>INDEX(スコア表[Economy],MATCH($C51,スコア表['#],0))</f>
        <v>90.066968958250001</v>
      </c>
      <c r="G51" s="4">
        <f>INDEX(スコア表[R&amp;D],MATCH($C51,スコア表['#],0))</f>
        <v>7.5170181804833334</v>
      </c>
      <c r="H51" s="4">
        <f>INDEX(スコア表[Cultural Interaction],MATCH($C51,スコア表['#],0))</f>
        <v>73.194752504291671</v>
      </c>
      <c r="I51" s="4">
        <f>INDEX(スコア表[Livability],MATCH($C51,スコア表['#],0))</f>
        <v>288.9200820559667</v>
      </c>
      <c r="J51" s="4">
        <f>INDEX(スコア表[Environment],MATCH($C51,スコア表['#],0))</f>
        <v>92.760730815266669</v>
      </c>
      <c r="K51" s="4">
        <f>INDEX(スコア表[Accessibility],MATCH($C51,スコア表['#],0))</f>
        <v>92.885580577433331</v>
      </c>
      <c r="L51" s="4">
        <f>INDEX(スコア表[Comprehensive],MATCH($C51,スコア表['#],0))</f>
        <v>645.34513309169165</v>
      </c>
    </row>
  </sheetData>
  <autoFilter ref="B3:L3" xr:uid="{00000000-0009-0000-0000-000011000000}">
    <sortState xmlns:xlrd2="http://schemas.microsoft.com/office/spreadsheetml/2017/richdata2" ref="B4:L51">
      <sortCondition ref="B3"/>
    </sortState>
  </autoFilter>
  <mergeCells count="1">
    <mergeCell ref="V2:W2"/>
  </mergeCells>
  <phoneticPr fontId="5"/>
  <pageMargins left="0.25" right="0.25" top="0.75" bottom="0.75" header="0.3" footer="0.3"/>
  <pageSetup paperSize="8" scale="92"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pageSetUpPr fitToPage="1"/>
  </sheetPr>
  <dimension ref="B1:AN51"/>
  <sheetViews>
    <sheetView showGridLines="0" zoomScaleNormal="100" workbookViewId="0">
      <selection activeCell="T3" sqref="T3"/>
    </sheetView>
  </sheetViews>
  <sheetFormatPr defaultColWidth="9" defaultRowHeight="15.75"/>
  <cols>
    <col min="1" max="1" width="3.28515625" style="93" bestFit="1" customWidth="1"/>
    <col min="2" max="2" width="8.140625" bestFit="1" customWidth="1"/>
    <col min="3" max="3" width="3.28515625" style="2" customWidth="1"/>
    <col min="4" max="4" width="16" style="93" customWidth="1"/>
    <col min="5" max="10" width="4.140625" style="22" customWidth="1"/>
    <col min="11" max="12" width="6.140625" style="22" customWidth="1"/>
    <col min="13" max="14" width="6.7109375" style="22" customWidth="1"/>
    <col min="15" max="19" width="7.28515625" style="22" customWidth="1"/>
    <col min="20" max="20" width="7.28515625" style="26" customWidth="1"/>
    <col min="21" max="21" width="3.28515625" style="93" bestFit="1" customWidth="1"/>
    <col min="22" max="36" width="9" style="93"/>
    <col min="37" max="37" width="11" style="93" bestFit="1" customWidth="1"/>
    <col min="38" max="39" width="12.42578125" style="93" bestFit="1" customWidth="1"/>
    <col min="40" max="40" width="3.42578125" style="93" bestFit="1" customWidth="1"/>
    <col min="41" max="16384" width="9" style="93"/>
  </cols>
  <sheetData>
    <row r="1" spans="2:40">
      <c r="B1" t="s">
        <v>1117</v>
      </c>
      <c r="E1" t="s">
        <v>1094</v>
      </c>
      <c r="T1" s="292" t="s">
        <v>1095</v>
      </c>
    </row>
    <row r="2" spans="2:40">
      <c r="T2"/>
      <c r="AG2" s="445" t="str">
        <f ca="1">TEXT(NOW(),"yyyy/m/d h:mm")</f>
        <v>2024/9/9 10:49</v>
      </c>
      <c r="AH2" s="445"/>
      <c r="AI2" t="s">
        <v>640</v>
      </c>
    </row>
    <row r="3" spans="2:40" ht="63">
      <c r="B3" s="84" t="s">
        <v>537</v>
      </c>
      <c r="C3" s="36" t="s">
        <v>523</v>
      </c>
      <c r="D3" s="98" t="str">
        <f>IF(JPEN!$C$2="EN",都市!$C$2,都市!$D$2)</f>
        <v>都市名</v>
      </c>
      <c r="E3" s="124" t="s">
        <v>467</v>
      </c>
      <c r="F3" s="124" t="s">
        <v>466</v>
      </c>
      <c r="G3" s="124" t="s">
        <v>443</v>
      </c>
      <c r="H3" s="124" t="s">
        <v>444</v>
      </c>
      <c r="I3" s="124" t="s">
        <v>445</v>
      </c>
      <c r="J3" s="124" t="s">
        <v>446</v>
      </c>
      <c r="K3" s="124" t="s">
        <v>447</v>
      </c>
      <c r="L3" s="124" t="s">
        <v>448</v>
      </c>
      <c r="M3" s="124" t="s">
        <v>449</v>
      </c>
      <c r="N3" s="124" t="s">
        <v>450</v>
      </c>
      <c r="O3" s="124" t="s">
        <v>451</v>
      </c>
      <c r="P3" s="124" t="s">
        <v>452</v>
      </c>
      <c r="Q3" s="124" t="s">
        <v>1096</v>
      </c>
      <c r="R3" s="124" t="s">
        <v>3571</v>
      </c>
      <c r="S3" s="124" t="s">
        <v>3572</v>
      </c>
      <c r="T3" s="124" t="s">
        <v>3835</v>
      </c>
      <c r="AK3" s="96"/>
      <c r="AL3" s="332" t="s">
        <v>2551</v>
      </c>
      <c r="AM3" s="332" t="s">
        <v>2557</v>
      </c>
      <c r="AN3" s="332" t="s">
        <v>2568</v>
      </c>
    </row>
    <row r="4" spans="2:40">
      <c r="B4" s="83">
        <f>INDEX(順位表[Comprehensive],MATCH($C4,順位表['#],0))</f>
        <v>1</v>
      </c>
      <c r="C4" s="3">
        <v>3</v>
      </c>
      <c r="D4" s="43" t="str">
        <f>INDEX(都市マスタ[],MATCH($C4,都市マスタ['#],0),MATCH(D$3,都市マスタ[#Headers],0))</f>
        <v>ロンドン</v>
      </c>
      <c r="E4" s="11">
        <v>2</v>
      </c>
      <c r="F4" s="11">
        <v>2</v>
      </c>
      <c r="G4" s="11">
        <v>2</v>
      </c>
      <c r="H4" s="11">
        <v>2</v>
      </c>
      <c r="I4" s="11">
        <v>1</v>
      </c>
      <c r="J4" s="11">
        <v>1</v>
      </c>
      <c r="K4" s="11">
        <v>1</v>
      </c>
      <c r="L4" s="11">
        <v>1</v>
      </c>
      <c r="M4" s="11">
        <v>1</v>
      </c>
      <c r="N4" s="11">
        <v>1</v>
      </c>
      <c r="O4" s="11">
        <v>1</v>
      </c>
      <c r="P4" s="11">
        <v>1</v>
      </c>
      <c r="Q4" s="11">
        <v>1</v>
      </c>
      <c r="R4" s="11">
        <v>1</v>
      </c>
      <c r="S4" s="362">
        <v>1</v>
      </c>
      <c r="T4" s="269">
        <f>INDEX(順位表[Comprehensive],MATCH($C4,順位表['#],0))</f>
        <v>1</v>
      </c>
      <c r="AK4" s="96" t="s">
        <v>2541</v>
      </c>
      <c r="AL4" s="96" t="s">
        <v>3596</v>
      </c>
      <c r="AM4" s="96" t="s">
        <v>2558</v>
      </c>
      <c r="AN4" s="333"/>
    </row>
    <row r="5" spans="2:40">
      <c r="B5" s="83">
        <f>INDEX(順位表[Comprehensive],MATCH($C5,順位表['#],0))</f>
        <v>2</v>
      </c>
      <c r="C5" s="3">
        <v>38</v>
      </c>
      <c r="D5" s="43" t="str">
        <f>INDEX(都市マスタ[],MATCH($C5,都市マスタ['#],0),MATCH(D$3,都市マスタ[#Headers],0))</f>
        <v>ニューヨーク</v>
      </c>
      <c r="E5" s="11">
        <v>1</v>
      </c>
      <c r="F5" s="11">
        <v>1</v>
      </c>
      <c r="G5" s="11">
        <v>1</v>
      </c>
      <c r="H5" s="11">
        <v>1</v>
      </c>
      <c r="I5" s="11">
        <v>2</v>
      </c>
      <c r="J5" s="11">
        <v>2</v>
      </c>
      <c r="K5" s="11">
        <v>2</v>
      </c>
      <c r="L5" s="11">
        <v>2</v>
      </c>
      <c r="M5" s="11">
        <v>2</v>
      </c>
      <c r="N5" s="11">
        <v>2</v>
      </c>
      <c r="O5" s="11">
        <v>2</v>
      </c>
      <c r="P5" s="11">
        <v>2</v>
      </c>
      <c r="Q5" s="11">
        <v>2</v>
      </c>
      <c r="R5" s="11">
        <v>2</v>
      </c>
      <c r="S5" s="362">
        <v>2</v>
      </c>
      <c r="T5" s="269">
        <f>INDEX(順位表[Comprehensive],MATCH($C5,順位表['#],0))</f>
        <v>2</v>
      </c>
      <c r="AK5" s="96" t="s">
        <v>2542</v>
      </c>
      <c r="AL5" s="96" t="s">
        <v>3597</v>
      </c>
      <c r="AM5" s="96" t="s">
        <v>2559</v>
      </c>
      <c r="AN5" s="334"/>
    </row>
    <row r="6" spans="2:40">
      <c r="B6" s="83">
        <f>INDEX(順位表[Comprehensive],MATCH($C6,順位表['#],0))</f>
        <v>3</v>
      </c>
      <c r="C6" s="3">
        <v>29</v>
      </c>
      <c r="D6" s="43" t="str">
        <f>INDEX(都市マスタ[],MATCH($C6,都市マスタ['#],0),MATCH(D$3,都市マスタ[#Headers],0))</f>
        <v>東京</v>
      </c>
      <c r="E6" s="11">
        <v>4</v>
      </c>
      <c r="F6" s="11">
        <v>4</v>
      </c>
      <c r="G6" s="11">
        <v>4</v>
      </c>
      <c r="H6" s="11">
        <v>4</v>
      </c>
      <c r="I6" s="11">
        <v>4</v>
      </c>
      <c r="J6" s="11">
        <v>4</v>
      </c>
      <c r="K6" s="11">
        <v>4</v>
      </c>
      <c r="L6" s="11">
        <v>4</v>
      </c>
      <c r="M6" s="11">
        <v>3</v>
      </c>
      <c r="N6" s="11">
        <v>3</v>
      </c>
      <c r="O6" s="11">
        <v>3</v>
      </c>
      <c r="P6" s="11">
        <v>3</v>
      </c>
      <c r="Q6" s="11">
        <v>3</v>
      </c>
      <c r="R6" s="11">
        <v>3</v>
      </c>
      <c r="S6" s="362">
        <v>3</v>
      </c>
      <c r="T6" s="269">
        <f>INDEX(順位表[Comprehensive],MATCH($C6,順位表['#],0))</f>
        <v>3</v>
      </c>
      <c r="AK6" s="96" t="s">
        <v>2543</v>
      </c>
      <c r="AL6" s="96" t="s">
        <v>3598</v>
      </c>
      <c r="AM6" s="96" t="s">
        <v>2560</v>
      </c>
      <c r="AN6" s="335"/>
    </row>
    <row r="7" spans="2:40">
      <c r="B7" s="83">
        <f>INDEX(順位表[Comprehensive],MATCH($C7,順位表['#],0))</f>
        <v>4</v>
      </c>
      <c r="C7" s="3">
        <v>4</v>
      </c>
      <c r="D7" s="43" t="str">
        <f>INDEX(都市マスタ[],MATCH($C7,都市マスタ['#],0),MATCH(D$3,都市マスタ[#Headers],0))</f>
        <v>パリ</v>
      </c>
      <c r="E7" s="11">
        <v>3</v>
      </c>
      <c r="F7" s="11">
        <v>3</v>
      </c>
      <c r="G7" s="11">
        <v>3</v>
      </c>
      <c r="H7" s="11">
        <v>3</v>
      </c>
      <c r="I7" s="11">
        <v>3</v>
      </c>
      <c r="J7" s="11">
        <v>3</v>
      </c>
      <c r="K7" s="11">
        <v>3</v>
      </c>
      <c r="L7" s="11">
        <v>3</v>
      </c>
      <c r="M7" s="11">
        <v>4</v>
      </c>
      <c r="N7" s="11">
        <v>4</v>
      </c>
      <c r="O7" s="11">
        <v>4</v>
      </c>
      <c r="P7" s="11">
        <v>4</v>
      </c>
      <c r="Q7" s="11">
        <v>4</v>
      </c>
      <c r="R7" s="11">
        <v>4</v>
      </c>
      <c r="S7" s="362">
        <v>4</v>
      </c>
      <c r="T7" s="269">
        <f>INDEX(順位表[Comprehensive],MATCH($C7,順位表['#],0))</f>
        <v>4</v>
      </c>
      <c r="AK7" s="96" t="s">
        <v>2544</v>
      </c>
      <c r="AL7" s="96" t="s">
        <v>2552</v>
      </c>
      <c r="AM7" s="96" t="s">
        <v>2561</v>
      </c>
      <c r="AN7" s="336"/>
    </row>
    <row r="8" spans="2:40">
      <c r="B8" s="83">
        <f>INDEX(順位表[Comprehensive],MATCH($C8,順位表['#],0))</f>
        <v>5</v>
      </c>
      <c r="C8" s="3">
        <v>21</v>
      </c>
      <c r="D8" s="43" t="str">
        <f>INDEX(都市マスタ[],MATCH($C8,都市マスタ['#],0),MATCH(D$3,都市マスタ[#Headers],0))</f>
        <v>シンガポール</v>
      </c>
      <c r="E8" s="11">
        <v>11</v>
      </c>
      <c r="F8" s="11">
        <v>5</v>
      </c>
      <c r="G8" s="11">
        <v>5</v>
      </c>
      <c r="H8" s="11">
        <v>5</v>
      </c>
      <c r="I8" s="11">
        <v>5</v>
      </c>
      <c r="J8" s="11">
        <v>5</v>
      </c>
      <c r="K8" s="11">
        <v>5</v>
      </c>
      <c r="L8" s="11">
        <v>5</v>
      </c>
      <c r="M8" s="11">
        <v>5</v>
      </c>
      <c r="N8" s="11">
        <v>5</v>
      </c>
      <c r="O8" s="11">
        <v>5</v>
      </c>
      <c r="P8" s="11">
        <v>5</v>
      </c>
      <c r="Q8" s="11">
        <v>5</v>
      </c>
      <c r="R8" s="11">
        <v>5</v>
      </c>
      <c r="S8" s="362">
        <v>5</v>
      </c>
      <c r="T8" s="269">
        <f>INDEX(順位表[Comprehensive],MATCH($C8,順位表['#],0))</f>
        <v>5</v>
      </c>
      <c r="AK8" s="96" t="s">
        <v>2545</v>
      </c>
      <c r="AL8" s="96" t="s">
        <v>2553</v>
      </c>
      <c r="AM8" s="96" t="s">
        <v>2562</v>
      </c>
      <c r="AN8" s="337"/>
    </row>
    <row r="9" spans="2:40">
      <c r="B9" s="83">
        <f>INDEX(順位表[Comprehensive],MATCH($C9,順位表['#],0))</f>
        <v>6</v>
      </c>
      <c r="C9" s="3">
        <v>6</v>
      </c>
      <c r="D9" s="43" t="str">
        <f>INDEX(都市マスタ[],MATCH($C9,都市マスタ['#],0),MATCH(D$3,都市マスタ[#Headers],0))</f>
        <v>アムステルダム</v>
      </c>
      <c r="E9" s="11">
        <v>7</v>
      </c>
      <c r="F9" s="11">
        <v>8</v>
      </c>
      <c r="G9" s="11">
        <v>7</v>
      </c>
      <c r="H9" s="11">
        <v>9</v>
      </c>
      <c r="I9" s="11">
        <v>7</v>
      </c>
      <c r="J9" s="11">
        <v>7</v>
      </c>
      <c r="K9" s="11">
        <v>7</v>
      </c>
      <c r="L9" s="11">
        <v>9</v>
      </c>
      <c r="M9" s="11">
        <v>8</v>
      </c>
      <c r="N9" s="11">
        <v>7</v>
      </c>
      <c r="O9" s="11">
        <v>6</v>
      </c>
      <c r="P9" s="11">
        <v>6</v>
      </c>
      <c r="Q9" s="11">
        <v>6</v>
      </c>
      <c r="R9" s="11">
        <v>6</v>
      </c>
      <c r="S9" s="362">
        <v>6</v>
      </c>
      <c r="T9" s="269">
        <f>INDEX(順位表[Comprehensive],MATCH($C9,順位表['#],0))</f>
        <v>6</v>
      </c>
      <c r="AK9" s="96" t="s">
        <v>2546</v>
      </c>
      <c r="AL9" s="96" t="s">
        <v>2555</v>
      </c>
      <c r="AM9" s="96" t="s">
        <v>2564</v>
      </c>
      <c r="AN9" s="339"/>
    </row>
    <row r="10" spans="2:40">
      <c r="B10" s="83">
        <f>INDEX(順位表[Comprehensive],MATCH($C10,順位表['#],0))</f>
        <v>7</v>
      </c>
      <c r="C10" s="3">
        <v>26</v>
      </c>
      <c r="D10" s="43" t="str">
        <f>INDEX(都市マスタ[],MATCH($C10,都市マスタ['#],0),MATCH(D$3,都市マスタ[#Headers],0))</f>
        <v>ソウル</v>
      </c>
      <c r="E10" s="11">
        <v>13</v>
      </c>
      <c r="F10" s="11">
        <v>12</v>
      </c>
      <c r="G10" s="11">
        <v>8</v>
      </c>
      <c r="H10" s="11">
        <v>7</v>
      </c>
      <c r="I10" s="11">
        <v>6</v>
      </c>
      <c r="J10" s="11">
        <v>6</v>
      </c>
      <c r="K10" s="11">
        <v>6</v>
      </c>
      <c r="L10" s="11">
        <v>6</v>
      </c>
      <c r="M10" s="11">
        <v>6</v>
      </c>
      <c r="N10" s="11">
        <v>6</v>
      </c>
      <c r="O10" s="11">
        <v>7</v>
      </c>
      <c r="P10" s="11">
        <v>7</v>
      </c>
      <c r="Q10" s="11">
        <v>8</v>
      </c>
      <c r="R10" s="11">
        <v>8</v>
      </c>
      <c r="S10" s="362">
        <v>7</v>
      </c>
      <c r="T10" s="269">
        <f>INDEX(順位表[Comprehensive],MATCH($C10,順位表['#],0))</f>
        <v>7</v>
      </c>
      <c r="AK10" s="96" t="s">
        <v>2547</v>
      </c>
      <c r="AL10" s="96" t="s">
        <v>2554</v>
      </c>
      <c r="AM10" s="96" t="s">
        <v>2563</v>
      </c>
      <c r="AN10" s="338"/>
    </row>
    <row r="11" spans="2:40">
      <c r="B11" s="83">
        <f>INDEX(順位表[Comprehensive],MATCH($C11,順位表['#],0))</f>
        <v>8</v>
      </c>
      <c r="C11" s="3">
        <v>44</v>
      </c>
      <c r="D11" s="43" t="str">
        <f>INDEX(都市マスタ[],MATCH($C11,都市マスタ['#],0),MATCH(D$3,都市マスタ[#Headers],0))</f>
        <v>ドバイ</v>
      </c>
      <c r="E11" s="11"/>
      <c r="F11" s="11" t="s">
        <v>655</v>
      </c>
      <c r="G11" s="11"/>
      <c r="H11" s="11"/>
      <c r="I11" s="11"/>
      <c r="J11" s="11"/>
      <c r="K11" s="11"/>
      <c r="L11" s="11"/>
      <c r="M11" s="11"/>
      <c r="N11" s="11">
        <v>23</v>
      </c>
      <c r="O11" s="11">
        <v>29</v>
      </c>
      <c r="P11" s="11">
        <v>19</v>
      </c>
      <c r="Q11" s="11">
        <v>17</v>
      </c>
      <c r="R11" s="11">
        <v>14</v>
      </c>
      <c r="S11" s="362">
        <v>11</v>
      </c>
      <c r="T11" s="269">
        <f>INDEX(順位表[Comprehensive],MATCH($C11,順位表['#],0))</f>
        <v>8</v>
      </c>
      <c r="AK11" s="96" t="s">
        <v>2548</v>
      </c>
      <c r="AL11" s="331" t="s">
        <v>2556</v>
      </c>
      <c r="AM11" s="96" t="s">
        <v>2565</v>
      </c>
      <c r="AN11" s="340"/>
    </row>
    <row r="12" spans="2:40">
      <c r="B12" s="83">
        <f>INDEX(順位表[Comprehensive],MATCH($C12,順位表['#],0))</f>
        <v>9</v>
      </c>
      <c r="C12" s="3">
        <v>48</v>
      </c>
      <c r="D12" s="43" t="str">
        <f>INDEX(都市マスタ[],MATCH($C12,都市マスタ['#],0),MATCH(D$3,都市マスタ[#Headers],0))</f>
        <v>メルボルン</v>
      </c>
      <c r="E12" s="11"/>
      <c r="F12" s="11" t="s">
        <v>655</v>
      </c>
      <c r="G12" s="11"/>
      <c r="H12" s="11"/>
      <c r="I12" s="11"/>
      <c r="J12" s="11"/>
      <c r="K12" s="11"/>
      <c r="L12" s="11"/>
      <c r="M12" s="11"/>
      <c r="N12" s="11"/>
      <c r="O12" s="11"/>
      <c r="P12" s="11">
        <v>11</v>
      </c>
      <c r="Q12" s="11">
        <v>14</v>
      </c>
      <c r="R12" s="11">
        <v>11</v>
      </c>
      <c r="S12" s="362">
        <v>9</v>
      </c>
      <c r="T12" s="269">
        <f>INDEX(順位表[Comprehensive],MATCH($C12,順位表['#],0))</f>
        <v>9</v>
      </c>
      <c r="AK12" s="96" t="s">
        <v>2549</v>
      </c>
      <c r="AL12" s="96" t="s">
        <v>3599</v>
      </c>
      <c r="AM12" s="96" t="s">
        <v>2566</v>
      </c>
      <c r="AN12" s="341"/>
    </row>
    <row r="13" spans="2:40">
      <c r="B13" s="83">
        <f>INDEX(順位表[Comprehensive],MATCH($C13,順位表['#],0))</f>
        <v>10</v>
      </c>
      <c r="C13" s="3">
        <v>9</v>
      </c>
      <c r="D13" s="43" t="str">
        <f>INDEX(都市マスタ[],MATCH($C13,都市マスタ['#],0),MATCH(D$3,都市マスタ[#Headers],0))</f>
        <v>ベルリン</v>
      </c>
      <c r="E13" s="11">
        <v>6</v>
      </c>
      <c r="F13" s="11">
        <v>6</v>
      </c>
      <c r="G13" s="11">
        <v>6</v>
      </c>
      <c r="H13" s="11">
        <v>6</v>
      </c>
      <c r="I13" s="11">
        <v>8</v>
      </c>
      <c r="J13" s="11">
        <v>8</v>
      </c>
      <c r="K13" s="11">
        <v>8</v>
      </c>
      <c r="L13" s="11">
        <v>8</v>
      </c>
      <c r="M13" s="11">
        <v>9</v>
      </c>
      <c r="N13" s="11">
        <v>8</v>
      </c>
      <c r="O13" s="11">
        <v>8</v>
      </c>
      <c r="P13" s="11">
        <v>8</v>
      </c>
      <c r="Q13" s="11">
        <v>7</v>
      </c>
      <c r="R13" s="11">
        <v>7</v>
      </c>
      <c r="S13" s="362">
        <v>8</v>
      </c>
      <c r="T13" s="269">
        <f>INDEX(順位表[Comprehensive],MATCH($C13,順位表['#],0))</f>
        <v>10</v>
      </c>
      <c r="AK13" s="96" t="s">
        <v>2550</v>
      </c>
      <c r="AL13" s="96" t="s">
        <v>3600</v>
      </c>
      <c r="AM13" s="96" t="s">
        <v>2567</v>
      </c>
      <c r="AN13" s="342"/>
    </row>
    <row r="14" spans="2:40">
      <c r="B14" s="83">
        <f>INDEX(順位表[Comprehensive],MATCH($C14,順位表['#],0))</f>
        <v>11</v>
      </c>
      <c r="C14" s="3">
        <v>12</v>
      </c>
      <c r="D14" s="43" t="str">
        <f>INDEX(都市マスタ[],MATCH($C14,都市マスタ['#],0),MATCH(D$3,都市マスタ[#Headers],0))</f>
        <v>コペンハーゲン</v>
      </c>
      <c r="E14" s="11">
        <v>18</v>
      </c>
      <c r="F14" s="11">
        <v>17</v>
      </c>
      <c r="G14" s="11">
        <v>17</v>
      </c>
      <c r="H14" s="11">
        <v>19</v>
      </c>
      <c r="I14" s="11">
        <v>20</v>
      </c>
      <c r="J14" s="11">
        <v>20</v>
      </c>
      <c r="K14" s="11">
        <v>18</v>
      </c>
      <c r="L14" s="11">
        <v>19</v>
      </c>
      <c r="M14" s="11">
        <v>19</v>
      </c>
      <c r="N14" s="11">
        <v>20</v>
      </c>
      <c r="O14" s="11">
        <v>18</v>
      </c>
      <c r="P14" s="11">
        <v>20</v>
      </c>
      <c r="Q14" s="11">
        <v>19</v>
      </c>
      <c r="R14" s="11">
        <v>15</v>
      </c>
      <c r="S14" s="362">
        <v>14</v>
      </c>
      <c r="T14" s="269">
        <f>INDEX(順位表[Comprehensive],MATCH($C14,順位表['#],0))</f>
        <v>11</v>
      </c>
    </row>
    <row r="15" spans="2:40">
      <c r="B15" s="83">
        <f>INDEX(順位表[Comprehensive],MATCH($C15,順位表['#],0))</f>
        <v>12</v>
      </c>
      <c r="C15" s="3">
        <v>30</v>
      </c>
      <c r="D15" s="43" t="str">
        <f>INDEX(都市マスタ[],MATCH($C15,都市マスタ['#],0),MATCH(D$3,都市マスタ[#Headers],0))</f>
        <v>シドニー</v>
      </c>
      <c r="E15" s="11">
        <v>12</v>
      </c>
      <c r="F15" s="11">
        <v>14</v>
      </c>
      <c r="G15" s="11">
        <v>10</v>
      </c>
      <c r="H15" s="11">
        <v>11</v>
      </c>
      <c r="I15" s="11">
        <v>15</v>
      </c>
      <c r="J15" s="11">
        <v>13</v>
      </c>
      <c r="K15" s="11">
        <v>13</v>
      </c>
      <c r="L15" s="11">
        <v>12</v>
      </c>
      <c r="M15" s="11">
        <v>14</v>
      </c>
      <c r="N15" s="11">
        <v>10</v>
      </c>
      <c r="O15" s="11">
        <v>10</v>
      </c>
      <c r="P15" s="11">
        <v>10</v>
      </c>
      <c r="Q15" s="11">
        <v>11</v>
      </c>
      <c r="R15" s="11">
        <v>12</v>
      </c>
      <c r="S15" s="362">
        <v>13</v>
      </c>
      <c r="T15" s="269">
        <f>INDEX(順位表[Comprehensive],MATCH($C15,順位表['#],0))</f>
        <v>12</v>
      </c>
    </row>
    <row r="16" spans="2:40">
      <c r="B16" s="83">
        <f>INDEX(順位表[Comprehensive],MATCH($C16,順位表['#],0))</f>
        <v>13</v>
      </c>
      <c r="C16" s="3">
        <v>13</v>
      </c>
      <c r="D16" s="43" t="str">
        <f>INDEX(都市マスタ[],MATCH($C16,都市マスタ['#],0),MATCH(D$3,都市マスタ[#Headers],0))</f>
        <v>ウィーン</v>
      </c>
      <c r="E16" s="11">
        <v>5</v>
      </c>
      <c r="F16" s="11">
        <v>7</v>
      </c>
      <c r="G16" s="11">
        <v>11</v>
      </c>
      <c r="H16" s="11">
        <v>12</v>
      </c>
      <c r="I16" s="11">
        <v>10</v>
      </c>
      <c r="J16" s="11">
        <v>9</v>
      </c>
      <c r="K16" s="11">
        <v>10</v>
      </c>
      <c r="L16" s="11">
        <v>10</v>
      </c>
      <c r="M16" s="11">
        <v>10</v>
      </c>
      <c r="N16" s="11">
        <v>14</v>
      </c>
      <c r="O16" s="11">
        <v>17</v>
      </c>
      <c r="P16" s="11">
        <v>21</v>
      </c>
      <c r="Q16" s="11">
        <v>16</v>
      </c>
      <c r="R16" s="11">
        <v>19</v>
      </c>
      <c r="S16" s="362">
        <v>15</v>
      </c>
      <c r="T16" s="269">
        <f>INDEX(順位表[Comprehensive],MATCH($C16,順位表['#],0))</f>
        <v>13</v>
      </c>
    </row>
    <row r="17" spans="2:20">
      <c r="B17" s="83">
        <f>INDEX(順位表[Comprehensive],MATCH($C17,順位表['#],0))</f>
        <v>14</v>
      </c>
      <c r="C17" s="3">
        <v>1</v>
      </c>
      <c r="D17" s="43" t="str">
        <f>INDEX(都市マスタ[],MATCH($C17,都市マスタ['#],0),MATCH(D$3,都市マスタ[#Headers],0))</f>
        <v>マドリード</v>
      </c>
      <c r="E17" s="11">
        <v>19</v>
      </c>
      <c r="F17" s="11">
        <v>11</v>
      </c>
      <c r="G17" s="11">
        <v>15</v>
      </c>
      <c r="H17" s="11">
        <v>20</v>
      </c>
      <c r="I17" s="11">
        <v>22</v>
      </c>
      <c r="J17" s="11">
        <v>17</v>
      </c>
      <c r="K17" s="11">
        <v>19</v>
      </c>
      <c r="L17" s="11">
        <v>22</v>
      </c>
      <c r="M17" s="11">
        <v>26</v>
      </c>
      <c r="N17" s="11">
        <v>27</v>
      </c>
      <c r="O17" s="11">
        <v>22</v>
      </c>
      <c r="P17" s="11">
        <v>13</v>
      </c>
      <c r="Q17" s="11">
        <v>13</v>
      </c>
      <c r="R17" s="11">
        <v>9</v>
      </c>
      <c r="S17" s="362">
        <v>12</v>
      </c>
      <c r="T17" s="269">
        <f>INDEX(順位表[Comprehensive],MATCH($C17,順位表['#],0))</f>
        <v>14</v>
      </c>
    </row>
    <row r="18" spans="2:20">
      <c r="B18" s="83">
        <f>INDEX(順位表[Comprehensive],MATCH($C18,順位表['#],0))</f>
        <v>15</v>
      </c>
      <c r="C18" s="3">
        <v>24</v>
      </c>
      <c r="D18" s="43" t="str">
        <f>INDEX(都市マスタ[],MATCH($C18,都市マスタ['#],0),MATCH(D$3,都市マスタ[#Headers],0))</f>
        <v>上海</v>
      </c>
      <c r="E18" s="11">
        <v>25</v>
      </c>
      <c r="F18" s="11">
        <v>21</v>
      </c>
      <c r="G18" s="11">
        <v>26</v>
      </c>
      <c r="H18" s="11">
        <v>23</v>
      </c>
      <c r="I18" s="11">
        <v>14</v>
      </c>
      <c r="J18" s="11">
        <v>12</v>
      </c>
      <c r="K18" s="11">
        <v>15</v>
      </c>
      <c r="L18" s="11">
        <v>17</v>
      </c>
      <c r="M18" s="11">
        <v>12</v>
      </c>
      <c r="N18" s="11">
        <v>15</v>
      </c>
      <c r="O18" s="11">
        <v>26</v>
      </c>
      <c r="P18" s="11">
        <v>30</v>
      </c>
      <c r="Q18" s="11">
        <v>10</v>
      </c>
      <c r="R18" s="11">
        <v>10</v>
      </c>
      <c r="S18" s="362">
        <v>10</v>
      </c>
      <c r="T18" s="269">
        <f>INDEX(順位表[Comprehensive],MATCH($C18,順位表['#],0))</f>
        <v>15</v>
      </c>
    </row>
    <row r="19" spans="2:20">
      <c r="B19" s="83">
        <f>INDEX(順位表[Comprehensive],MATCH($C19,順位表['#],0))</f>
        <v>16</v>
      </c>
      <c r="C19" s="3">
        <v>14</v>
      </c>
      <c r="D19" s="43" t="str">
        <f>INDEX(都市マスタ[],MATCH($C19,都市マスタ['#],0),MATCH(D$3,都市マスタ[#Headers],0))</f>
        <v>ストックホルム</v>
      </c>
      <c r="E19" s="11"/>
      <c r="F19" s="11" t="s">
        <v>655</v>
      </c>
      <c r="G19" s="11"/>
      <c r="H19" s="11"/>
      <c r="I19" s="11">
        <v>16</v>
      </c>
      <c r="J19" s="11">
        <v>16</v>
      </c>
      <c r="K19" s="11">
        <v>16</v>
      </c>
      <c r="L19" s="11">
        <v>15</v>
      </c>
      <c r="M19" s="11">
        <v>15</v>
      </c>
      <c r="N19" s="11">
        <v>16</v>
      </c>
      <c r="O19" s="11">
        <v>11</v>
      </c>
      <c r="P19" s="11">
        <v>14</v>
      </c>
      <c r="Q19" s="11">
        <v>22</v>
      </c>
      <c r="R19" s="11">
        <v>22</v>
      </c>
      <c r="S19" s="362">
        <v>19</v>
      </c>
      <c r="T19" s="269">
        <f>INDEX(順位表[Comprehensive],MATCH($C19,順位表['#],0))</f>
        <v>16</v>
      </c>
    </row>
    <row r="20" spans="2:20">
      <c r="B20" s="83">
        <f>INDEX(順位表[Comprehensive],MATCH($C20,順位表['#],0))</f>
        <v>17</v>
      </c>
      <c r="C20" s="3">
        <v>23</v>
      </c>
      <c r="D20" s="43" t="str">
        <f>INDEX(都市マスタ[],MATCH($C20,都市マスタ['#],0),MATCH(D$3,都市マスタ[#Headers],0))</f>
        <v>北京</v>
      </c>
      <c r="E20" s="11">
        <v>28</v>
      </c>
      <c r="F20" s="11">
        <v>26</v>
      </c>
      <c r="G20" s="11">
        <v>24</v>
      </c>
      <c r="H20" s="11">
        <v>18</v>
      </c>
      <c r="I20" s="11">
        <v>11</v>
      </c>
      <c r="J20" s="11">
        <v>14</v>
      </c>
      <c r="K20" s="11">
        <v>14</v>
      </c>
      <c r="L20" s="11">
        <v>18</v>
      </c>
      <c r="M20" s="11">
        <v>17</v>
      </c>
      <c r="N20" s="11">
        <v>13</v>
      </c>
      <c r="O20" s="11">
        <v>23</v>
      </c>
      <c r="P20" s="11">
        <v>24</v>
      </c>
      <c r="Q20" s="11">
        <v>15</v>
      </c>
      <c r="R20" s="11">
        <v>17</v>
      </c>
      <c r="S20" s="362">
        <v>17</v>
      </c>
      <c r="T20" s="269">
        <f>INDEX(順位表[Comprehensive],MATCH($C20,順位表['#],0))</f>
        <v>17</v>
      </c>
    </row>
    <row r="21" spans="2:20">
      <c r="B21" s="83">
        <f>INDEX(順位表[Comprehensive],MATCH($C21,順位表['#],0))</f>
        <v>18</v>
      </c>
      <c r="C21" s="3">
        <v>22</v>
      </c>
      <c r="D21" s="43" t="str">
        <f>INDEX(都市マスタ[],MATCH($C21,都市マスタ['#],0),MATCH(D$3,都市マスタ[#Headers],0))</f>
        <v>香港</v>
      </c>
      <c r="E21" s="11">
        <v>17</v>
      </c>
      <c r="F21" s="11">
        <v>10</v>
      </c>
      <c r="G21" s="11">
        <v>9</v>
      </c>
      <c r="H21" s="11">
        <v>8</v>
      </c>
      <c r="I21" s="11">
        <v>9</v>
      </c>
      <c r="J21" s="11">
        <v>11</v>
      </c>
      <c r="K21" s="11">
        <v>9</v>
      </c>
      <c r="L21" s="11">
        <v>7</v>
      </c>
      <c r="M21" s="11">
        <v>7</v>
      </c>
      <c r="N21" s="11">
        <v>9</v>
      </c>
      <c r="O21" s="11">
        <v>9</v>
      </c>
      <c r="P21" s="11">
        <v>9</v>
      </c>
      <c r="Q21" s="11">
        <v>9</v>
      </c>
      <c r="R21" s="11">
        <v>13</v>
      </c>
      <c r="S21" s="362">
        <v>23</v>
      </c>
      <c r="T21" s="269">
        <f>INDEX(順位表[Comprehensive],MATCH($C21,順位表['#],0))</f>
        <v>18</v>
      </c>
    </row>
    <row r="22" spans="2:20">
      <c r="B22" s="83">
        <f>INDEX(順位表[Comprehensive],MATCH($C22,順位表['#],0))</f>
        <v>19</v>
      </c>
      <c r="C22" s="3">
        <v>11</v>
      </c>
      <c r="D22" s="43" t="str">
        <f>INDEX(都市マスタ[],MATCH($C22,都市マスタ['#],0),MATCH(D$3,都市マスタ[#Headers],0))</f>
        <v>チューリッヒ</v>
      </c>
      <c r="E22" s="11">
        <v>15</v>
      </c>
      <c r="F22" s="11">
        <v>9</v>
      </c>
      <c r="G22" s="11">
        <v>12</v>
      </c>
      <c r="H22" s="11">
        <v>14</v>
      </c>
      <c r="I22" s="11">
        <v>18</v>
      </c>
      <c r="J22" s="11">
        <v>15</v>
      </c>
      <c r="K22" s="11">
        <v>12</v>
      </c>
      <c r="L22" s="11">
        <v>13</v>
      </c>
      <c r="M22" s="11">
        <v>16</v>
      </c>
      <c r="N22" s="11">
        <v>18</v>
      </c>
      <c r="O22" s="11">
        <v>16</v>
      </c>
      <c r="P22" s="11">
        <v>15</v>
      </c>
      <c r="Q22" s="11">
        <v>20</v>
      </c>
      <c r="R22" s="11">
        <v>21</v>
      </c>
      <c r="S22" s="362">
        <v>18</v>
      </c>
      <c r="T22" s="269">
        <f>INDEX(順位表[Comprehensive],MATCH($C22,順位表['#],0))</f>
        <v>19</v>
      </c>
    </row>
    <row r="23" spans="2:20">
      <c r="B23" s="83">
        <f>INDEX(順位表[Comprehensive],MATCH($C23,順位表['#],0))</f>
        <v>20</v>
      </c>
      <c r="C23" s="3">
        <v>8</v>
      </c>
      <c r="D23" s="43" t="str">
        <f>INDEX(都市マスタ[],MATCH($C23,都市マスタ['#],0),MATCH(D$3,都市マスタ[#Headers],0))</f>
        <v>フランクフルト</v>
      </c>
      <c r="E23" s="11">
        <v>16</v>
      </c>
      <c r="F23" s="11">
        <v>16</v>
      </c>
      <c r="G23" s="11">
        <v>13</v>
      </c>
      <c r="H23" s="11">
        <v>10</v>
      </c>
      <c r="I23" s="11">
        <v>12</v>
      </c>
      <c r="J23" s="11">
        <v>10</v>
      </c>
      <c r="K23" s="11">
        <v>11</v>
      </c>
      <c r="L23" s="11">
        <v>11</v>
      </c>
      <c r="M23" s="11">
        <v>11</v>
      </c>
      <c r="N23" s="11">
        <v>12</v>
      </c>
      <c r="O23" s="11">
        <v>15</v>
      </c>
      <c r="P23" s="11">
        <v>17</v>
      </c>
      <c r="Q23" s="11">
        <v>23</v>
      </c>
      <c r="R23" s="11">
        <v>25</v>
      </c>
      <c r="S23" s="362">
        <v>21</v>
      </c>
      <c r="T23" s="269">
        <f>INDEX(順位表[Comprehensive],MATCH($C23,順位表['#],0))</f>
        <v>20</v>
      </c>
    </row>
    <row r="24" spans="2:20">
      <c r="B24" s="83">
        <f>INDEX(順位表[Comprehensive],MATCH($C24,順位表['#],0))</f>
        <v>21</v>
      </c>
      <c r="C24" s="3">
        <v>33</v>
      </c>
      <c r="D24" s="43" t="str">
        <f>INDEX(都市マスタ[],MATCH($C24,都市マスタ['#],0),MATCH(D$3,都市マスタ[#Headers],0))</f>
        <v>ロサンゼルス</v>
      </c>
      <c r="E24" s="11">
        <v>9</v>
      </c>
      <c r="F24" s="11">
        <v>13</v>
      </c>
      <c r="G24" s="11">
        <v>14</v>
      </c>
      <c r="H24" s="11">
        <v>13</v>
      </c>
      <c r="I24" s="11">
        <v>23</v>
      </c>
      <c r="J24" s="11">
        <v>22</v>
      </c>
      <c r="K24" s="11">
        <v>20</v>
      </c>
      <c r="L24" s="11">
        <v>14</v>
      </c>
      <c r="M24" s="11">
        <v>13</v>
      </c>
      <c r="N24" s="11">
        <v>11</v>
      </c>
      <c r="O24" s="11">
        <v>12</v>
      </c>
      <c r="P24" s="11">
        <v>12</v>
      </c>
      <c r="Q24" s="11">
        <v>12</v>
      </c>
      <c r="R24" s="11">
        <v>16</v>
      </c>
      <c r="S24" s="362">
        <v>16</v>
      </c>
      <c r="T24" s="269">
        <f>INDEX(順位表[Comprehensive],MATCH($C24,順位表['#],0))</f>
        <v>21</v>
      </c>
    </row>
    <row r="25" spans="2:20">
      <c r="B25" s="83">
        <f>INDEX(順位表[Comprehensive],MATCH($C25,順位表['#],0))</f>
        <v>22</v>
      </c>
      <c r="C25" s="3">
        <v>2</v>
      </c>
      <c r="D25" s="43" t="str">
        <f>INDEX(都市マスタ[],MATCH($C25,都市マスタ['#],0),MATCH(D$3,都市マスタ[#Headers],0))</f>
        <v>バルセロナ</v>
      </c>
      <c r="E25" s="11"/>
      <c r="F25" s="11" t="s">
        <v>655</v>
      </c>
      <c r="G25" s="11"/>
      <c r="H25" s="11"/>
      <c r="I25" s="11">
        <v>13</v>
      </c>
      <c r="J25" s="11">
        <v>19</v>
      </c>
      <c r="K25" s="11">
        <v>27</v>
      </c>
      <c r="L25" s="11">
        <v>26</v>
      </c>
      <c r="M25" s="11">
        <v>20</v>
      </c>
      <c r="N25" s="11">
        <v>24</v>
      </c>
      <c r="O25" s="11">
        <v>24</v>
      </c>
      <c r="P25" s="11">
        <v>22</v>
      </c>
      <c r="Q25" s="11">
        <v>21</v>
      </c>
      <c r="R25" s="11">
        <v>18</v>
      </c>
      <c r="S25" s="362">
        <v>20</v>
      </c>
      <c r="T25" s="269">
        <f>INDEX(順位表[Comprehensive],MATCH($C25,順位表['#],0))</f>
        <v>22</v>
      </c>
    </row>
    <row r="26" spans="2:20">
      <c r="B26" s="83">
        <f>INDEX(順位表[Comprehensive],MATCH($C26,順位表['#],0))</f>
        <v>23</v>
      </c>
      <c r="C26" s="3">
        <v>36</v>
      </c>
      <c r="D26" s="43" t="str">
        <f>INDEX(都市マスタ[],MATCH($C26,都市マスタ['#],0),MATCH(D$3,都市マスタ[#Headers],0))</f>
        <v>トロント</v>
      </c>
      <c r="E26" s="11">
        <v>10</v>
      </c>
      <c r="F26" s="11">
        <v>15</v>
      </c>
      <c r="G26" s="11">
        <v>23</v>
      </c>
      <c r="H26" s="11">
        <v>25</v>
      </c>
      <c r="I26" s="11">
        <v>21</v>
      </c>
      <c r="J26" s="11">
        <v>18</v>
      </c>
      <c r="K26" s="11">
        <v>17</v>
      </c>
      <c r="L26" s="11">
        <v>16</v>
      </c>
      <c r="M26" s="11">
        <v>18</v>
      </c>
      <c r="N26" s="11">
        <v>19</v>
      </c>
      <c r="O26" s="11">
        <v>14</v>
      </c>
      <c r="P26" s="11">
        <v>16</v>
      </c>
      <c r="Q26" s="11">
        <v>18</v>
      </c>
      <c r="R26" s="11">
        <v>20</v>
      </c>
      <c r="S26" s="362">
        <v>22</v>
      </c>
      <c r="T26" s="269">
        <f>INDEX(順位表[Comprehensive],MATCH($C26,順位表['#],0))</f>
        <v>23</v>
      </c>
    </row>
    <row r="27" spans="2:20">
      <c r="B27" s="83">
        <f>INDEX(順位表[Comprehensive],MATCH($C27,順位表['#],0))</f>
        <v>24</v>
      </c>
      <c r="C27" s="3">
        <v>5</v>
      </c>
      <c r="D27" s="43" t="str">
        <f>INDEX(都市マスタ[],MATCH($C27,都市マスタ['#],0),MATCH(D$3,都市マスタ[#Headers],0))</f>
        <v>ブリュッセル</v>
      </c>
      <c r="E27" s="11">
        <v>21</v>
      </c>
      <c r="F27" s="11">
        <v>18</v>
      </c>
      <c r="G27" s="11">
        <v>21</v>
      </c>
      <c r="H27" s="11">
        <v>24</v>
      </c>
      <c r="I27" s="11">
        <v>19</v>
      </c>
      <c r="J27" s="11">
        <v>21</v>
      </c>
      <c r="K27" s="11">
        <v>23</v>
      </c>
      <c r="L27" s="11">
        <v>25</v>
      </c>
      <c r="M27" s="11">
        <v>23</v>
      </c>
      <c r="N27" s="11">
        <v>21</v>
      </c>
      <c r="O27" s="11">
        <v>25</v>
      </c>
      <c r="P27" s="11">
        <v>27</v>
      </c>
      <c r="Q27" s="11">
        <v>28</v>
      </c>
      <c r="R27" s="11">
        <v>24</v>
      </c>
      <c r="S27" s="362">
        <v>26</v>
      </c>
      <c r="T27" s="269">
        <f>INDEX(順位表[Comprehensive],MATCH($C27,順位表['#],0))</f>
        <v>24</v>
      </c>
    </row>
    <row r="28" spans="2:20">
      <c r="B28" s="83">
        <f>INDEX(順位表[Comprehensive],MATCH($C28,順位表['#],0))</f>
        <v>25</v>
      </c>
      <c r="C28" s="3">
        <v>35</v>
      </c>
      <c r="D28" s="43" t="str">
        <f>INDEX(都市マスタ[],MATCH($C28,都市マスタ['#],0),MATCH(D$3,都市マスタ[#Headers],0))</f>
        <v>シカゴ</v>
      </c>
      <c r="E28" s="11">
        <v>14</v>
      </c>
      <c r="F28" s="11">
        <v>22</v>
      </c>
      <c r="G28" s="11">
        <v>25</v>
      </c>
      <c r="H28" s="11">
        <v>26</v>
      </c>
      <c r="I28" s="11">
        <v>28</v>
      </c>
      <c r="J28" s="11">
        <v>29</v>
      </c>
      <c r="K28" s="11">
        <v>31</v>
      </c>
      <c r="L28" s="11">
        <v>27</v>
      </c>
      <c r="M28" s="11">
        <v>25</v>
      </c>
      <c r="N28" s="11">
        <v>22</v>
      </c>
      <c r="O28" s="11">
        <v>19</v>
      </c>
      <c r="P28" s="11">
        <v>26</v>
      </c>
      <c r="Q28" s="11">
        <v>25</v>
      </c>
      <c r="R28" s="11">
        <v>26</v>
      </c>
      <c r="S28" s="362">
        <v>25</v>
      </c>
      <c r="T28" s="269">
        <f>INDEX(順位表[Comprehensive],MATCH($C28,順位表['#],0))</f>
        <v>25</v>
      </c>
    </row>
    <row r="29" spans="2:20">
      <c r="B29" s="83">
        <f>INDEX(順位表[Comprehensive],MATCH($C29,順位表['#],0))</f>
        <v>26</v>
      </c>
      <c r="C29" s="3">
        <v>7</v>
      </c>
      <c r="D29" s="43" t="str">
        <f>INDEX(都市マスタ[],MATCH($C29,都市マスタ['#],0),MATCH(D$3,都市マスタ[#Headers],0))</f>
        <v>ジュネーブ</v>
      </c>
      <c r="E29" s="11">
        <v>22</v>
      </c>
      <c r="F29" s="11">
        <v>19</v>
      </c>
      <c r="G29" s="11">
        <v>19</v>
      </c>
      <c r="H29" s="11">
        <v>17</v>
      </c>
      <c r="I29" s="11">
        <v>26</v>
      </c>
      <c r="J29" s="11">
        <v>25</v>
      </c>
      <c r="K29" s="11">
        <v>28</v>
      </c>
      <c r="L29" s="11">
        <v>28</v>
      </c>
      <c r="M29" s="11">
        <v>30</v>
      </c>
      <c r="N29" s="11">
        <v>34</v>
      </c>
      <c r="O29" s="11">
        <v>30</v>
      </c>
      <c r="P29" s="11">
        <v>34</v>
      </c>
      <c r="Q29" s="11">
        <v>29</v>
      </c>
      <c r="R29" s="11">
        <v>31</v>
      </c>
      <c r="S29" s="362">
        <v>31</v>
      </c>
      <c r="T29" s="269">
        <f>INDEX(順位表[Comprehensive],MATCH($C29,順位表['#],0))</f>
        <v>26</v>
      </c>
    </row>
    <row r="30" spans="2:20">
      <c r="B30" s="83">
        <f>INDEX(順位表[Comprehensive],MATCH($C30,順位表['#],0))</f>
        <v>27</v>
      </c>
      <c r="C30" s="3">
        <v>32</v>
      </c>
      <c r="D30" s="43" t="str">
        <f>INDEX(都市マスタ[],MATCH($C30,都市マスタ['#],0),MATCH(D$3,都市マスタ[#Headers],0))</f>
        <v>サンフランシスコ</v>
      </c>
      <c r="E30" s="11">
        <v>20</v>
      </c>
      <c r="F30" s="11">
        <v>24</v>
      </c>
      <c r="G30" s="11">
        <v>22</v>
      </c>
      <c r="H30" s="11">
        <v>21</v>
      </c>
      <c r="I30" s="11">
        <v>31</v>
      </c>
      <c r="J30" s="11">
        <v>28</v>
      </c>
      <c r="K30" s="11">
        <v>32</v>
      </c>
      <c r="L30" s="11">
        <v>21</v>
      </c>
      <c r="M30" s="11">
        <v>24</v>
      </c>
      <c r="N30" s="11">
        <v>17</v>
      </c>
      <c r="O30" s="11">
        <v>13</v>
      </c>
      <c r="P30" s="11">
        <v>18</v>
      </c>
      <c r="Q30" s="11">
        <v>24</v>
      </c>
      <c r="R30" s="11">
        <v>23</v>
      </c>
      <c r="S30" s="362">
        <v>24</v>
      </c>
      <c r="T30" s="269">
        <f>INDEX(順位表[Comprehensive],MATCH($C30,順位表['#],0))</f>
        <v>27</v>
      </c>
    </row>
    <row r="31" spans="2:20">
      <c r="B31" s="83">
        <f>INDEX(順位表[Comprehensive],MATCH($C31,順位表['#],0))</f>
        <v>28</v>
      </c>
      <c r="C31" s="3">
        <v>45</v>
      </c>
      <c r="D31" s="43" t="str">
        <f>INDEX(都市マスタ[],MATCH($C31,都市マスタ['#],0),MATCH(D$3,都市マスタ[#Headers],0))</f>
        <v>ダブリン</v>
      </c>
      <c r="E31" s="11"/>
      <c r="F31" s="11" t="s">
        <v>655</v>
      </c>
      <c r="G31" s="11"/>
      <c r="H31" s="11"/>
      <c r="I31" s="11"/>
      <c r="J31" s="11"/>
      <c r="K31" s="11"/>
      <c r="L31" s="11"/>
      <c r="M31" s="11"/>
      <c r="N31" s="11"/>
      <c r="O31" s="11"/>
      <c r="P31" s="11">
        <v>33</v>
      </c>
      <c r="Q31" s="11">
        <v>31</v>
      </c>
      <c r="R31" s="11">
        <v>28</v>
      </c>
      <c r="S31" s="362">
        <v>30</v>
      </c>
      <c r="T31" s="269">
        <f>INDEX(順位表[Comprehensive],MATCH($C31,順位表['#],0))</f>
        <v>28</v>
      </c>
    </row>
    <row r="32" spans="2:20">
      <c r="B32" s="83">
        <f>INDEX(順位表[Comprehensive],MATCH($C32,順位表['#],0))</f>
        <v>29</v>
      </c>
      <c r="C32" s="3">
        <v>39</v>
      </c>
      <c r="D32" s="43" t="str">
        <f>INDEX(都市マスタ[],MATCH($C32,都市マスタ['#],0),MATCH(D$3,都市マスタ[#Headers],0))</f>
        <v>ボストン</v>
      </c>
      <c r="E32" s="11">
        <v>8</v>
      </c>
      <c r="F32" s="11">
        <v>20</v>
      </c>
      <c r="G32" s="11">
        <v>20</v>
      </c>
      <c r="H32" s="11">
        <v>16</v>
      </c>
      <c r="I32" s="11">
        <v>27</v>
      </c>
      <c r="J32" s="11">
        <v>31</v>
      </c>
      <c r="K32" s="11">
        <v>30</v>
      </c>
      <c r="L32" s="11">
        <v>23</v>
      </c>
      <c r="M32" s="11">
        <v>27</v>
      </c>
      <c r="N32" s="11">
        <v>25</v>
      </c>
      <c r="O32" s="11">
        <v>20</v>
      </c>
      <c r="P32" s="11">
        <v>25</v>
      </c>
      <c r="Q32" s="11">
        <v>27</v>
      </c>
      <c r="R32" s="11">
        <v>27</v>
      </c>
      <c r="S32" s="362">
        <v>27</v>
      </c>
      <c r="T32" s="269">
        <f>INDEX(順位表[Comprehensive],MATCH($C32,順位表['#],0))</f>
        <v>29</v>
      </c>
    </row>
    <row r="33" spans="2:20">
      <c r="B33" s="83">
        <f>INDEX(順位表[Comprehensive],MATCH($C33,順位表['#],0))</f>
        <v>30</v>
      </c>
      <c r="C33" s="3">
        <v>15</v>
      </c>
      <c r="D33" s="43" t="str">
        <f>INDEX(都市マスタ[],MATCH($C33,都市マスタ['#],0),MATCH(D$3,都市マスタ[#Headers],0))</f>
        <v>イスタンブール</v>
      </c>
      <c r="E33" s="11"/>
      <c r="F33" s="11" t="s">
        <v>655</v>
      </c>
      <c r="G33" s="11"/>
      <c r="H33" s="11"/>
      <c r="I33" s="11">
        <v>25</v>
      </c>
      <c r="J33" s="11">
        <v>27</v>
      </c>
      <c r="K33" s="11">
        <v>21</v>
      </c>
      <c r="L33" s="11">
        <v>31</v>
      </c>
      <c r="M33" s="11">
        <v>21</v>
      </c>
      <c r="N33" s="11">
        <v>30</v>
      </c>
      <c r="O33" s="11">
        <v>34</v>
      </c>
      <c r="P33" s="11">
        <v>37</v>
      </c>
      <c r="Q33" s="11">
        <v>34</v>
      </c>
      <c r="R33" s="11">
        <v>34</v>
      </c>
      <c r="S33" s="362">
        <v>32</v>
      </c>
      <c r="T33" s="269">
        <f>INDEX(順位表[Comprehensive],MATCH($C33,順位表['#],0))</f>
        <v>30</v>
      </c>
    </row>
    <row r="34" spans="2:20">
      <c r="B34" s="83">
        <f>INDEX(順位表[Comprehensive],MATCH($C34,順位表['#],0))</f>
        <v>31</v>
      </c>
      <c r="C34" s="3">
        <v>46</v>
      </c>
      <c r="D34" s="43" t="str">
        <f>INDEX(都市マスタ[],MATCH($C34,都市マスタ['#],0),MATCH(D$3,都市マスタ[#Headers],0))</f>
        <v>ヘルシンキ</v>
      </c>
      <c r="E34" s="11"/>
      <c r="F34" s="11" t="s">
        <v>655</v>
      </c>
      <c r="G34" s="11"/>
      <c r="H34" s="11"/>
      <c r="I34" s="11"/>
      <c r="J34" s="11"/>
      <c r="K34" s="11"/>
      <c r="L34" s="11"/>
      <c r="M34" s="11"/>
      <c r="N34" s="11"/>
      <c r="O34" s="11"/>
      <c r="P34" s="11">
        <v>28</v>
      </c>
      <c r="Q34" s="11">
        <v>32</v>
      </c>
      <c r="R34" s="11">
        <v>30</v>
      </c>
      <c r="S34" s="362">
        <v>28</v>
      </c>
      <c r="T34" s="269">
        <f>INDEX(順位表[Comprehensive],MATCH($C34,順位表['#],0))</f>
        <v>31</v>
      </c>
    </row>
    <row r="35" spans="2:20">
      <c r="B35" s="83">
        <f>INDEX(順位表[Comprehensive],MATCH($C35,順位表['#],0))</f>
        <v>32</v>
      </c>
      <c r="C35" s="3">
        <v>31</v>
      </c>
      <c r="D35" s="43" t="str">
        <f>INDEX(都市マスタ[],MATCH($C35,都市マスタ['#],0),MATCH(D$3,都市マスタ[#Headers],0))</f>
        <v>バンクーバー</v>
      </c>
      <c r="E35" s="11"/>
      <c r="F35" s="11">
        <v>23</v>
      </c>
      <c r="G35" s="11">
        <v>16</v>
      </c>
      <c r="H35" s="11">
        <v>22</v>
      </c>
      <c r="I35" s="11">
        <v>24</v>
      </c>
      <c r="J35" s="11">
        <v>24</v>
      </c>
      <c r="K35" s="11">
        <v>22</v>
      </c>
      <c r="L35" s="11">
        <v>20</v>
      </c>
      <c r="M35" s="11">
        <v>28</v>
      </c>
      <c r="N35" s="11">
        <v>28</v>
      </c>
      <c r="O35" s="11">
        <v>21</v>
      </c>
      <c r="P35" s="11">
        <v>23</v>
      </c>
      <c r="Q35" s="11">
        <v>26</v>
      </c>
      <c r="R35" s="11">
        <v>29</v>
      </c>
      <c r="S35" s="362">
        <v>34</v>
      </c>
      <c r="T35" s="269">
        <f>INDEX(順位表[Comprehensive],MATCH($C35,順位表['#],0))</f>
        <v>32</v>
      </c>
    </row>
    <row r="36" spans="2:20">
      <c r="B36" s="83">
        <f>INDEX(順位表[Comprehensive],MATCH($C36,順位表['#],0))</f>
        <v>33</v>
      </c>
      <c r="C36" s="3">
        <v>10</v>
      </c>
      <c r="D36" s="43" t="str">
        <f>INDEX(都市マスタ[],MATCH($C36,都市マスタ['#],0),MATCH(D$3,都市マスタ[#Headers],0))</f>
        <v>ミラノ</v>
      </c>
      <c r="E36" s="11">
        <v>27</v>
      </c>
      <c r="F36" s="11">
        <v>28</v>
      </c>
      <c r="G36" s="11">
        <v>27</v>
      </c>
      <c r="H36" s="11">
        <v>27</v>
      </c>
      <c r="I36" s="11">
        <v>29</v>
      </c>
      <c r="J36" s="11">
        <v>30</v>
      </c>
      <c r="K36" s="11">
        <v>25</v>
      </c>
      <c r="L36" s="11">
        <v>29</v>
      </c>
      <c r="M36" s="11">
        <v>31</v>
      </c>
      <c r="N36" s="11">
        <v>32</v>
      </c>
      <c r="O36" s="11">
        <v>31</v>
      </c>
      <c r="P36" s="11">
        <v>36</v>
      </c>
      <c r="Q36" s="11">
        <v>39</v>
      </c>
      <c r="R36" s="11">
        <v>33</v>
      </c>
      <c r="S36" s="362">
        <v>29</v>
      </c>
      <c r="T36" s="269">
        <f>INDEX(順位表[Comprehensive],MATCH($C36,順位表['#],0))</f>
        <v>33</v>
      </c>
    </row>
    <row r="37" spans="2:20">
      <c r="B37" s="83">
        <f>INDEX(順位表[Comprehensive],MATCH($C37,順位表['#],0))</f>
        <v>34</v>
      </c>
      <c r="C37" s="3">
        <v>17</v>
      </c>
      <c r="D37" s="43" t="str">
        <f>INDEX(都市マスタ[],MATCH($C37,都市マスタ['#],0),MATCH(D$3,都市マスタ[#Headers],0))</f>
        <v>モスクワ</v>
      </c>
      <c r="E37" s="11">
        <v>23</v>
      </c>
      <c r="F37" s="11">
        <v>32</v>
      </c>
      <c r="G37" s="11">
        <v>32</v>
      </c>
      <c r="H37" s="11">
        <v>33</v>
      </c>
      <c r="I37" s="11">
        <v>37</v>
      </c>
      <c r="J37" s="11">
        <v>36</v>
      </c>
      <c r="K37" s="11">
        <v>35</v>
      </c>
      <c r="L37" s="11">
        <v>36</v>
      </c>
      <c r="M37" s="11">
        <v>35</v>
      </c>
      <c r="N37" s="11">
        <v>35</v>
      </c>
      <c r="O37" s="11">
        <v>33</v>
      </c>
      <c r="P37" s="11">
        <v>32</v>
      </c>
      <c r="Q37" s="11">
        <v>30</v>
      </c>
      <c r="R37" s="11">
        <v>32</v>
      </c>
      <c r="S37" s="362">
        <v>33</v>
      </c>
      <c r="T37" s="269">
        <f>INDEX(順位表[Comprehensive],MATCH($C37,順位表['#],0))</f>
        <v>34</v>
      </c>
    </row>
    <row r="38" spans="2:20">
      <c r="B38" s="83">
        <f>INDEX(順位表[Comprehensive],MATCH($C38,順位表['#],0))</f>
        <v>35</v>
      </c>
      <c r="C38" s="3">
        <v>25</v>
      </c>
      <c r="D38" s="43" t="str">
        <f>INDEX(都市マスタ[],MATCH($C38,都市マスタ['#],0),MATCH(D$3,都市マスタ[#Headers],0))</f>
        <v>台北</v>
      </c>
      <c r="E38" s="11">
        <v>26</v>
      </c>
      <c r="F38" s="11">
        <v>31</v>
      </c>
      <c r="G38" s="11">
        <v>29</v>
      </c>
      <c r="H38" s="11">
        <v>29</v>
      </c>
      <c r="I38" s="11">
        <v>32</v>
      </c>
      <c r="J38" s="11">
        <v>33</v>
      </c>
      <c r="K38" s="11">
        <v>33</v>
      </c>
      <c r="L38" s="11">
        <v>32</v>
      </c>
      <c r="M38" s="11">
        <v>33</v>
      </c>
      <c r="N38" s="11">
        <v>36</v>
      </c>
      <c r="O38" s="11">
        <v>35</v>
      </c>
      <c r="P38" s="11">
        <v>39</v>
      </c>
      <c r="Q38" s="11">
        <v>37</v>
      </c>
      <c r="R38" s="11">
        <v>38</v>
      </c>
      <c r="S38" s="362">
        <v>36</v>
      </c>
      <c r="T38" s="269">
        <f>INDEX(順位表[Comprehensive],MATCH($C38,順位表['#],0))</f>
        <v>35</v>
      </c>
    </row>
    <row r="39" spans="2:20">
      <c r="B39" s="83">
        <f>INDEX(順位表[Comprehensive],MATCH($C39,順位表['#],0))</f>
        <v>36</v>
      </c>
      <c r="C39" s="3">
        <v>37</v>
      </c>
      <c r="D39" s="43" t="str">
        <f>INDEX(都市マスタ[],MATCH($C39,都市マスタ['#],0),MATCH(D$3,都市マスタ[#Headers],0))</f>
        <v>ワシントンDC</v>
      </c>
      <c r="E39" s="11"/>
      <c r="F39" s="11" t="s">
        <v>655</v>
      </c>
      <c r="G39" s="11"/>
      <c r="H39" s="11"/>
      <c r="I39" s="11">
        <v>30</v>
      </c>
      <c r="J39" s="11">
        <v>26</v>
      </c>
      <c r="K39" s="11">
        <v>24</v>
      </c>
      <c r="L39" s="11">
        <v>30</v>
      </c>
      <c r="M39" s="11">
        <v>29</v>
      </c>
      <c r="N39" s="11">
        <v>29</v>
      </c>
      <c r="O39" s="11">
        <v>27</v>
      </c>
      <c r="P39" s="11">
        <v>31</v>
      </c>
      <c r="Q39" s="11">
        <v>36</v>
      </c>
      <c r="R39" s="11">
        <v>37</v>
      </c>
      <c r="S39" s="362">
        <v>35</v>
      </c>
      <c r="T39" s="269">
        <f>INDEX(順位表[Comprehensive],MATCH($C39,順位表['#],0))</f>
        <v>36</v>
      </c>
    </row>
    <row r="40" spans="2:20">
      <c r="B40" s="83">
        <f>INDEX(順位表[Comprehensive],MATCH($C40,順位表['#],0))</f>
        <v>37</v>
      </c>
      <c r="C40" s="3">
        <v>28</v>
      </c>
      <c r="D40" s="43" t="str">
        <f>INDEX(都市マスタ[],MATCH($C40,都市マスタ['#],0),MATCH(D$3,都市マスタ[#Headers],0))</f>
        <v>大阪</v>
      </c>
      <c r="E40" s="11"/>
      <c r="F40" s="11">
        <v>25</v>
      </c>
      <c r="G40" s="11">
        <v>18</v>
      </c>
      <c r="H40" s="11">
        <v>15</v>
      </c>
      <c r="I40" s="11">
        <v>17</v>
      </c>
      <c r="J40" s="11">
        <v>23</v>
      </c>
      <c r="K40" s="11">
        <v>26</v>
      </c>
      <c r="L40" s="11">
        <v>24</v>
      </c>
      <c r="M40" s="11">
        <v>22</v>
      </c>
      <c r="N40" s="11">
        <v>26</v>
      </c>
      <c r="O40" s="11">
        <v>28</v>
      </c>
      <c r="P40" s="11">
        <v>29</v>
      </c>
      <c r="Q40" s="11">
        <v>33</v>
      </c>
      <c r="R40" s="11">
        <v>36</v>
      </c>
      <c r="S40" s="362">
        <v>37</v>
      </c>
      <c r="T40" s="269">
        <f>INDEX(順位表[Comprehensive],MATCH($C40,順位表['#],0))</f>
        <v>37</v>
      </c>
    </row>
    <row r="41" spans="2:20">
      <c r="B41" s="83">
        <f>INDEX(順位表[Comprehensive],MATCH($C41,順位表['#],0))</f>
        <v>38</v>
      </c>
      <c r="C41" s="3">
        <v>19</v>
      </c>
      <c r="D41" s="43" t="str">
        <f>INDEX(都市マスタ[],MATCH($C41,都市マスタ['#],0),MATCH(D$3,都市マスタ[#Headers],0))</f>
        <v>バンコク</v>
      </c>
      <c r="E41" s="11">
        <v>29</v>
      </c>
      <c r="F41" s="11">
        <v>29</v>
      </c>
      <c r="G41" s="11">
        <v>31</v>
      </c>
      <c r="H41" s="11">
        <v>30</v>
      </c>
      <c r="I41" s="11">
        <v>35</v>
      </c>
      <c r="J41" s="11">
        <v>32</v>
      </c>
      <c r="K41" s="11">
        <v>29</v>
      </c>
      <c r="L41" s="11">
        <v>33</v>
      </c>
      <c r="M41" s="11">
        <v>34</v>
      </c>
      <c r="N41" s="11">
        <v>33</v>
      </c>
      <c r="O41" s="11">
        <v>36</v>
      </c>
      <c r="P41" s="11">
        <v>40</v>
      </c>
      <c r="Q41" s="11">
        <v>35</v>
      </c>
      <c r="R41" s="11">
        <v>35</v>
      </c>
      <c r="S41" s="362">
        <v>40</v>
      </c>
      <c r="T41" s="269">
        <f>INDEX(順位表[Comprehensive],MATCH($C41,順位表['#],0))</f>
        <v>38</v>
      </c>
    </row>
    <row r="42" spans="2:20">
      <c r="B42" s="83">
        <f>INDEX(順位表[Comprehensive],MATCH($C42,順位表['#],0))</f>
        <v>39</v>
      </c>
      <c r="C42" s="3">
        <v>40</v>
      </c>
      <c r="D42" s="43" t="str">
        <f>INDEX(都市マスタ[],MATCH($C42,都市マスタ['#],0),MATCH(D$3,都市マスタ[#Headers],0))</f>
        <v>サンパウロ</v>
      </c>
      <c r="E42" s="11"/>
      <c r="F42" s="11">
        <v>33</v>
      </c>
      <c r="G42" s="11">
        <v>33</v>
      </c>
      <c r="H42" s="11">
        <v>32</v>
      </c>
      <c r="I42" s="11">
        <v>38</v>
      </c>
      <c r="J42" s="11">
        <v>38</v>
      </c>
      <c r="K42" s="11">
        <v>38</v>
      </c>
      <c r="L42" s="11">
        <v>38</v>
      </c>
      <c r="M42" s="11">
        <v>38</v>
      </c>
      <c r="N42" s="11">
        <v>39</v>
      </c>
      <c r="O42" s="11">
        <v>40</v>
      </c>
      <c r="P42" s="11">
        <v>43</v>
      </c>
      <c r="Q42" s="11">
        <v>42</v>
      </c>
      <c r="R42" s="11">
        <v>43</v>
      </c>
      <c r="S42" s="362">
        <v>38</v>
      </c>
      <c r="T42" s="269">
        <f>INDEX(順位表[Comprehensive],MATCH($C42,順位表['#],0))</f>
        <v>39</v>
      </c>
    </row>
    <row r="43" spans="2:20">
      <c r="B43" s="83">
        <f>INDEX(順位表[Comprehensive],MATCH($C43,順位表['#],0))</f>
        <v>40</v>
      </c>
      <c r="C43" s="3">
        <v>47</v>
      </c>
      <c r="D43" s="43" t="str">
        <f>INDEX(都市マスタ[],MATCH($C43,都市マスタ['#],0),MATCH(D$3,都市マスタ[#Headers],0))</f>
        <v>テルアビブ</v>
      </c>
      <c r="E43" s="11"/>
      <c r="F43" s="11" t="s">
        <v>655</v>
      </c>
      <c r="G43" s="11"/>
      <c r="H43" s="11"/>
      <c r="I43" s="11"/>
      <c r="J43" s="11"/>
      <c r="K43" s="11"/>
      <c r="L43" s="11"/>
      <c r="M43" s="11"/>
      <c r="N43" s="11"/>
      <c r="O43" s="11"/>
      <c r="P43" s="11">
        <v>38</v>
      </c>
      <c r="Q43" s="11">
        <v>41</v>
      </c>
      <c r="R43" s="11">
        <v>41</v>
      </c>
      <c r="S43" s="362">
        <v>39</v>
      </c>
      <c r="T43" s="269">
        <f>INDEX(順位表[Comprehensive],MATCH($C43,順位表['#],0))</f>
        <v>40</v>
      </c>
    </row>
    <row r="44" spans="2:20">
      <c r="B44" s="83">
        <f>INDEX(順位表[Comprehensive],MATCH($C44,順位表['#],0))</f>
        <v>41</v>
      </c>
      <c r="C44" s="3">
        <v>20</v>
      </c>
      <c r="D44" s="43" t="str">
        <f>INDEX(都市マスタ[],MATCH($C44,都市マスタ['#],0),MATCH(D$3,都市マスタ[#Headers],0))</f>
        <v>クアラルンプール</v>
      </c>
      <c r="E44" s="11">
        <v>24</v>
      </c>
      <c r="F44" s="11">
        <v>27</v>
      </c>
      <c r="G44" s="11">
        <v>30</v>
      </c>
      <c r="H44" s="11">
        <v>31</v>
      </c>
      <c r="I44" s="11">
        <v>34</v>
      </c>
      <c r="J44" s="11">
        <v>34</v>
      </c>
      <c r="K44" s="11">
        <v>34</v>
      </c>
      <c r="L44" s="11">
        <v>34</v>
      </c>
      <c r="M44" s="11">
        <v>32</v>
      </c>
      <c r="N44" s="11">
        <v>31</v>
      </c>
      <c r="O44" s="11">
        <v>32</v>
      </c>
      <c r="P44" s="11">
        <v>35</v>
      </c>
      <c r="Q44" s="11">
        <v>38</v>
      </c>
      <c r="R44" s="11">
        <v>39</v>
      </c>
      <c r="S44" s="362">
        <v>41</v>
      </c>
      <c r="T44" s="269">
        <f>INDEX(順位表[Comprehensive],MATCH($C44,順位表['#],0))</f>
        <v>41</v>
      </c>
    </row>
    <row r="45" spans="2:20">
      <c r="B45" s="83">
        <f>INDEX(順位表[Comprehensive],MATCH($C45,順位表['#],0))</f>
        <v>42</v>
      </c>
      <c r="C45" s="3">
        <v>27</v>
      </c>
      <c r="D45" s="43" t="str">
        <f>INDEX(都市マスタ[],MATCH($C45,都市マスタ['#],0),MATCH(D$3,都市マスタ[#Headers],0))</f>
        <v>福岡</v>
      </c>
      <c r="E45" s="11"/>
      <c r="F45" s="11">
        <v>30</v>
      </c>
      <c r="G45" s="11">
        <v>28</v>
      </c>
      <c r="H45" s="11">
        <v>28</v>
      </c>
      <c r="I45" s="11">
        <v>33</v>
      </c>
      <c r="J45" s="11">
        <v>35</v>
      </c>
      <c r="K45" s="11">
        <v>36</v>
      </c>
      <c r="L45" s="11">
        <v>35</v>
      </c>
      <c r="M45" s="11">
        <v>36</v>
      </c>
      <c r="N45" s="11">
        <v>37</v>
      </c>
      <c r="O45" s="11">
        <v>37</v>
      </c>
      <c r="P45" s="11">
        <v>42</v>
      </c>
      <c r="Q45" s="11">
        <v>43</v>
      </c>
      <c r="R45" s="11">
        <v>42</v>
      </c>
      <c r="S45" s="362">
        <v>42</v>
      </c>
      <c r="T45" s="269">
        <f>INDEX(順位表[Comprehensive],MATCH($C45,順位表['#],0))</f>
        <v>42</v>
      </c>
    </row>
    <row r="46" spans="2:20">
      <c r="B46" s="83">
        <f>INDEX(順位表[Comprehensive],MATCH($C46,順位表['#],0))</f>
        <v>43</v>
      </c>
      <c r="C46" s="3">
        <v>34</v>
      </c>
      <c r="D46" s="43" t="str">
        <f>INDEX(都市マスタ[],MATCH($C46,都市マスタ['#],0),MATCH(D$3,都市マスタ[#Headers],0))</f>
        <v>メキシコシティ</v>
      </c>
      <c r="E46" s="11"/>
      <c r="F46" s="11" t="s">
        <v>655</v>
      </c>
      <c r="G46" s="11"/>
      <c r="H46" s="11"/>
      <c r="I46" s="11">
        <v>36</v>
      </c>
      <c r="J46" s="11">
        <v>37</v>
      </c>
      <c r="K46" s="11">
        <v>37</v>
      </c>
      <c r="L46" s="11">
        <v>37</v>
      </c>
      <c r="M46" s="11">
        <v>37</v>
      </c>
      <c r="N46" s="11">
        <v>38</v>
      </c>
      <c r="O46" s="11">
        <v>39</v>
      </c>
      <c r="P46" s="11">
        <v>44</v>
      </c>
      <c r="Q46" s="11">
        <v>44</v>
      </c>
      <c r="R46" s="11">
        <v>44</v>
      </c>
      <c r="S46" s="362">
        <v>44</v>
      </c>
      <c r="T46" s="269">
        <f>INDEX(順位表[Comprehensive],MATCH($C46,順位表['#],0))</f>
        <v>43</v>
      </c>
    </row>
    <row r="47" spans="2:20">
      <c r="B47" s="83">
        <f>INDEX(順位表[Comprehensive],MATCH($C47,順位表['#],0))</f>
        <v>44</v>
      </c>
      <c r="C47" s="3">
        <v>43</v>
      </c>
      <c r="D47" s="43" t="str">
        <f>INDEX(都市マスタ[],MATCH($C47,都市マスタ['#],0),MATCH(D$3,都市マスタ[#Headers],0))</f>
        <v>ブエノスアイレス</v>
      </c>
      <c r="E47" s="11"/>
      <c r="F47" s="11" t="s">
        <v>655</v>
      </c>
      <c r="G47" s="11"/>
      <c r="H47" s="11"/>
      <c r="I47" s="11"/>
      <c r="J47" s="11"/>
      <c r="K47" s="11"/>
      <c r="L47" s="11"/>
      <c r="M47" s="11"/>
      <c r="N47" s="11">
        <v>40</v>
      </c>
      <c r="O47" s="11">
        <v>38</v>
      </c>
      <c r="P47" s="11">
        <v>41</v>
      </c>
      <c r="Q47" s="11">
        <v>40</v>
      </c>
      <c r="R47" s="11">
        <v>40</v>
      </c>
      <c r="S47" s="362">
        <v>43</v>
      </c>
      <c r="T47" s="269">
        <f>INDEX(順位表[Comprehensive],MATCH($C47,順位表['#],0))</f>
        <v>44</v>
      </c>
    </row>
    <row r="48" spans="2:20">
      <c r="B48" s="83">
        <f>INDEX(順位表[Comprehensive],MATCH($C48,順位表['#],0))</f>
        <v>45</v>
      </c>
      <c r="C48" s="3">
        <v>42</v>
      </c>
      <c r="D48" s="43" t="str">
        <f>INDEX(都市マスタ[],MATCH($C48,都市マスタ['#],0),MATCH(D$3,都市マスタ[#Headers],0))</f>
        <v>ジャカルタ</v>
      </c>
      <c r="E48" s="11"/>
      <c r="F48" s="11" t="s">
        <v>655</v>
      </c>
      <c r="G48" s="11"/>
      <c r="H48" s="11"/>
      <c r="I48" s="11"/>
      <c r="J48" s="11"/>
      <c r="K48" s="11"/>
      <c r="L48" s="11"/>
      <c r="M48" s="11">
        <v>40</v>
      </c>
      <c r="N48" s="11">
        <v>41</v>
      </c>
      <c r="O48" s="11">
        <v>41</v>
      </c>
      <c r="P48" s="11">
        <v>45</v>
      </c>
      <c r="Q48" s="11">
        <v>45</v>
      </c>
      <c r="R48" s="11">
        <v>45</v>
      </c>
      <c r="S48" s="362">
        <v>45</v>
      </c>
      <c r="T48" s="269">
        <f>INDEX(順位表[Comprehensive],MATCH($C48,順位表['#],0))</f>
        <v>45</v>
      </c>
    </row>
    <row r="49" spans="2:20">
      <c r="B49" s="83">
        <f>INDEX(順位表[Comprehensive],MATCH($C49,順位表['#],0))</f>
        <v>46</v>
      </c>
      <c r="C49" s="3">
        <v>41</v>
      </c>
      <c r="D49" s="43" t="str">
        <f>INDEX(都市マスタ[],MATCH($C49,都市マスタ['#],0),MATCH(D$3,都市マスタ[#Headers],0))</f>
        <v>ヨハネスブルグ</v>
      </c>
      <c r="E49" s="11"/>
      <c r="F49" s="11" t="s">
        <v>655</v>
      </c>
      <c r="G49" s="11"/>
      <c r="H49" s="11"/>
      <c r="I49" s="11"/>
      <c r="J49" s="11"/>
      <c r="K49" s="11"/>
      <c r="L49" s="11"/>
      <c r="M49" s="11">
        <v>42</v>
      </c>
      <c r="N49" s="11">
        <v>44</v>
      </c>
      <c r="O49" s="11">
        <v>42</v>
      </c>
      <c r="P49" s="11">
        <v>47</v>
      </c>
      <c r="Q49" s="11">
        <v>47</v>
      </c>
      <c r="R49" s="11">
        <v>47</v>
      </c>
      <c r="S49" s="362">
        <v>47</v>
      </c>
      <c r="T49" s="269">
        <f>INDEX(順位表[Comprehensive],MATCH($C49,順位表['#],0))</f>
        <v>46</v>
      </c>
    </row>
    <row r="50" spans="2:20">
      <c r="B50" s="83">
        <f>INDEX(順位表[Comprehensive],MATCH($C50,順位表['#],0))</f>
        <v>47</v>
      </c>
      <c r="C50" s="3">
        <v>16</v>
      </c>
      <c r="D50" s="43" t="str">
        <f>INDEX(都市マスタ[],MATCH($C50,都市マスタ['#],0),MATCH(D$3,都市マスタ[#Headers],0))</f>
        <v>カイロ</v>
      </c>
      <c r="E50" s="11"/>
      <c r="F50" s="11">
        <v>35</v>
      </c>
      <c r="G50" s="11">
        <v>35</v>
      </c>
      <c r="H50" s="11">
        <v>35</v>
      </c>
      <c r="I50" s="11">
        <v>40</v>
      </c>
      <c r="J50" s="11">
        <v>40</v>
      </c>
      <c r="K50" s="11">
        <v>40</v>
      </c>
      <c r="L50" s="11">
        <v>40</v>
      </c>
      <c r="M50" s="11">
        <v>41</v>
      </c>
      <c r="N50" s="11">
        <v>43</v>
      </c>
      <c r="O50" s="11">
        <v>44</v>
      </c>
      <c r="P50" s="11">
        <v>46</v>
      </c>
      <c r="Q50" s="11">
        <v>46</v>
      </c>
      <c r="R50" s="11">
        <v>46</v>
      </c>
      <c r="S50" s="362">
        <v>46</v>
      </c>
      <c r="T50" s="269">
        <f>INDEX(順位表[Comprehensive],MATCH($C50,順位表['#],0))</f>
        <v>47</v>
      </c>
    </row>
    <row r="51" spans="2:20">
      <c r="B51" s="85">
        <f>INDEX(順位表[Comprehensive],MATCH($C51,順位表['#],0))</f>
        <v>48</v>
      </c>
      <c r="C51" s="3">
        <v>18</v>
      </c>
      <c r="D51" s="43" t="str">
        <f>INDEX(都市マスタ[],MATCH($C51,都市マスタ['#],0),MATCH(D$3,都市マスタ[#Headers],0))</f>
        <v>ムンバイ</v>
      </c>
      <c r="E51" s="11">
        <v>30</v>
      </c>
      <c r="F51" s="11">
        <v>34</v>
      </c>
      <c r="G51" s="11">
        <v>34</v>
      </c>
      <c r="H51" s="11">
        <v>34</v>
      </c>
      <c r="I51" s="11">
        <v>39</v>
      </c>
      <c r="J51" s="11">
        <v>39</v>
      </c>
      <c r="K51" s="11">
        <v>39</v>
      </c>
      <c r="L51" s="11">
        <v>39</v>
      </c>
      <c r="M51" s="11">
        <v>39</v>
      </c>
      <c r="N51" s="11">
        <v>42</v>
      </c>
      <c r="O51" s="11">
        <v>43</v>
      </c>
      <c r="P51" s="11">
        <v>48</v>
      </c>
      <c r="Q51" s="11">
        <v>48</v>
      </c>
      <c r="R51" s="11">
        <v>48</v>
      </c>
      <c r="S51" s="362">
        <v>48</v>
      </c>
      <c r="T51" s="269">
        <f>INDEX(順位表[Comprehensive],MATCH($C51,順位表['#],0))</f>
        <v>48</v>
      </c>
    </row>
  </sheetData>
  <autoFilter ref="B3:T3" xr:uid="{00000000-0009-0000-0000-000012000000}">
    <sortState xmlns:xlrd2="http://schemas.microsoft.com/office/spreadsheetml/2017/richdata2" ref="B4:T51">
      <sortCondition ref="B3"/>
    </sortState>
  </autoFilter>
  <mergeCells count="1">
    <mergeCell ref="AG2:AH2"/>
  </mergeCells>
  <phoneticPr fontId="5"/>
  <pageMargins left="0.25" right="0.25" top="0.75" bottom="0.75" header="0.3" footer="0.3"/>
  <pageSetup paperSize="8" scale="88"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9">
    <pageSetUpPr fitToPage="1"/>
  </sheetPr>
  <dimension ref="B1:AO51"/>
  <sheetViews>
    <sheetView showGridLines="0" view="pageBreakPreview" zoomScaleNormal="85" zoomScaleSheetLayoutView="100" workbookViewId="0">
      <selection activeCell="K4" sqref="K4:T51"/>
    </sheetView>
  </sheetViews>
  <sheetFormatPr defaultColWidth="9" defaultRowHeight="15.75"/>
  <cols>
    <col min="1" max="1" width="3.28515625" style="93" bestFit="1" customWidth="1"/>
    <col min="2" max="2" width="6" customWidth="1"/>
    <col min="3" max="3" width="3.28515625" style="2" customWidth="1"/>
    <col min="4" max="4" width="16" style="93" customWidth="1"/>
    <col min="5" max="10" width="3.85546875" style="22" customWidth="1"/>
    <col min="11" max="14" width="7.42578125" style="22" customWidth="1"/>
    <col min="15" max="19" width="7.28515625" style="22" customWidth="1"/>
    <col min="20" max="20" width="7.28515625" style="26" customWidth="1"/>
    <col min="21" max="21" width="3.28515625" style="93" bestFit="1" customWidth="1"/>
    <col min="22" max="35" width="9" style="93"/>
    <col min="36" max="36" width="15.85546875" style="93" customWidth="1"/>
    <col min="37" max="37" width="3.42578125" style="93" customWidth="1"/>
    <col min="38" max="38" width="11" style="93" bestFit="1" customWidth="1"/>
    <col min="39" max="39" width="12.42578125" style="93" customWidth="1"/>
    <col min="40" max="40" width="12.42578125" style="93" bestFit="1" customWidth="1"/>
    <col min="41" max="41" width="3.42578125" style="93" bestFit="1" customWidth="1"/>
    <col min="42" max="16384" width="9" style="93"/>
  </cols>
  <sheetData>
    <row r="1" spans="2:41">
      <c r="B1" t="s">
        <v>1117</v>
      </c>
      <c r="E1" t="s">
        <v>1094</v>
      </c>
      <c r="T1" s="292" t="s">
        <v>1095</v>
      </c>
    </row>
    <row r="2" spans="2:41" ht="4.5" customHeight="1">
      <c r="T2"/>
      <c r="AG2" s="445" t="str">
        <f ca="1">TEXT(NOW(),"yyyy/m/d h:mm")</f>
        <v>2024/9/9 10:49</v>
      </c>
      <c r="AH2" s="445"/>
      <c r="AI2" t="s">
        <v>640</v>
      </c>
    </row>
    <row r="3" spans="2:41" ht="42" customHeight="1">
      <c r="B3" s="84" t="s">
        <v>537</v>
      </c>
      <c r="C3" s="36" t="s">
        <v>523</v>
      </c>
      <c r="D3" s="98" t="str">
        <f>IF(JPEN!$C$2="EN",都市!$C$2,都市!$D$2)</f>
        <v>都市名</v>
      </c>
      <c r="E3" s="124" t="s">
        <v>3573</v>
      </c>
      <c r="F3" s="124" t="s">
        <v>3574</v>
      </c>
      <c r="G3" s="124" t="s">
        <v>3575</v>
      </c>
      <c r="H3" s="124" t="s">
        <v>3576</v>
      </c>
      <c r="I3" s="124" t="s">
        <v>3577</v>
      </c>
      <c r="J3" s="124" t="s">
        <v>3578</v>
      </c>
      <c r="K3" s="124" t="s">
        <v>3579</v>
      </c>
      <c r="L3" s="124" t="s">
        <v>3580</v>
      </c>
      <c r="M3" s="124" t="s">
        <v>3581</v>
      </c>
      <c r="N3" s="124" t="s">
        <v>3582</v>
      </c>
      <c r="O3" s="124" t="s">
        <v>3583</v>
      </c>
      <c r="P3" s="124" t="s">
        <v>3584</v>
      </c>
      <c r="Q3" s="124" t="s">
        <v>3585</v>
      </c>
      <c r="R3" s="124" t="s">
        <v>3586</v>
      </c>
      <c r="S3" s="124" t="s">
        <v>3587</v>
      </c>
      <c r="T3" s="124" t="s">
        <v>3834</v>
      </c>
      <c r="AL3" s="96"/>
      <c r="AM3" s="332" t="s">
        <v>2551</v>
      </c>
      <c r="AN3" s="332" t="s">
        <v>2557</v>
      </c>
      <c r="AO3" s="332" t="s">
        <v>2568</v>
      </c>
    </row>
    <row r="4" spans="2:41">
      <c r="B4" s="83">
        <f>INDEX(順位表[Comprehensive],MATCH($C4,順位表['#],0))</f>
        <v>1</v>
      </c>
      <c r="C4" s="3">
        <v>3</v>
      </c>
      <c r="D4" s="43" t="str">
        <f>INDEX(都市マスタ[],MATCH($C4,都市マスタ['#],0),MATCH(D$3,都市マスタ[#Headers],0))</f>
        <v>ロンドン</v>
      </c>
      <c r="E4" s="125">
        <v>73.298505025906479</v>
      </c>
      <c r="F4" s="125">
        <v>71.663023549170163</v>
      </c>
      <c r="G4" s="125">
        <v>73.909335562840255</v>
      </c>
      <c r="H4" s="125">
        <v>74.511886495870925</v>
      </c>
      <c r="I4" s="125">
        <v>77.669247285463172</v>
      </c>
      <c r="J4" s="125">
        <v>78.784940952488043</v>
      </c>
      <c r="K4" s="125">
        <v>79.655018113467023</v>
      </c>
      <c r="L4" s="125">
        <v>79.711637343756621</v>
      </c>
      <c r="M4" s="125">
        <v>77.945471378263761</v>
      </c>
      <c r="N4" s="125">
        <v>80.170654186379778</v>
      </c>
      <c r="O4" s="125">
        <v>77.911043665248883</v>
      </c>
      <c r="P4" s="125">
        <v>80.382590927088529</v>
      </c>
      <c r="Q4" s="125">
        <v>82.2</v>
      </c>
      <c r="R4" s="125">
        <v>81.33185402316721</v>
      </c>
      <c r="S4" s="361">
        <v>79.275394020867481</v>
      </c>
      <c r="T4" s="270">
        <f>INDEX(偏差値表[Comprehensive],MATCH($C4,偏差値表['#],0))</f>
        <v>80.918178715655742</v>
      </c>
      <c r="AL4" s="96" t="s">
        <v>2541</v>
      </c>
      <c r="AM4" s="96" t="s">
        <v>3596</v>
      </c>
      <c r="AN4" s="96" t="s">
        <v>2558</v>
      </c>
      <c r="AO4" s="333"/>
    </row>
    <row r="5" spans="2:41">
      <c r="B5" s="83">
        <f>INDEX(順位表[Comprehensive],MATCH($C5,順位表['#],0))</f>
        <v>2</v>
      </c>
      <c r="C5" s="3">
        <v>38</v>
      </c>
      <c r="D5" s="43" t="str">
        <f>INDEX(都市マスタ[],MATCH($C5,都市マスタ['#],0),MATCH(D$3,都市マスタ[#Headers],0))</f>
        <v>ニューヨーク</v>
      </c>
      <c r="E5" s="125">
        <v>75.138721479407593</v>
      </c>
      <c r="F5" s="125">
        <v>73.612532190714859</v>
      </c>
      <c r="G5" s="125">
        <v>75.999748456233334</v>
      </c>
      <c r="H5" s="125">
        <v>74.577116073738097</v>
      </c>
      <c r="I5" s="125">
        <v>73.574334027406081</v>
      </c>
      <c r="J5" s="125">
        <v>73.642044736840901</v>
      </c>
      <c r="K5" s="125">
        <v>73.043470195200314</v>
      </c>
      <c r="L5" s="125">
        <v>72.669330280027964</v>
      </c>
      <c r="M5" s="125">
        <v>71.473987678116941</v>
      </c>
      <c r="N5" s="125">
        <v>71.10112903297906</v>
      </c>
      <c r="O5" s="125">
        <v>72.167292784660091</v>
      </c>
      <c r="P5" s="125">
        <v>74.155766677280511</v>
      </c>
      <c r="Q5" s="125">
        <v>74.8</v>
      </c>
      <c r="R5" s="125">
        <v>73.11776176246272</v>
      </c>
      <c r="S5" s="361">
        <v>74.65105229280168</v>
      </c>
      <c r="T5" s="270">
        <f>INDEX(偏差値表[Comprehensive],MATCH($C5,偏差値表['#],0))</f>
        <v>73.65900515785043</v>
      </c>
      <c r="AL5" s="96" t="s">
        <v>2542</v>
      </c>
      <c r="AM5" s="96" t="s">
        <v>3597</v>
      </c>
      <c r="AN5" s="96" t="s">
        <v>2559</v>
      </c>
      <c r="AO5" s="334"/>
    </row>
    <row r="6" spans="2:41">
      <c r="B6" s="83">
        <f>INDEX(順位表[Comprehensive],MATCH($C6,順位表['#],0))</f>
        <v>3</v>
      </c>
      <c r="C6" s="3">
        <v>29</v>
      </c>
      <c r="D6" s="43" t="str">
        <f>INDEX(都市マスタ[],MATCH($C6,都市マスタ['#],0),MATCH(D$3,都市マスタ[#Headers],0))</f>
        <v>東京</v>
      </c>
      <c r="E6" s="125">
        <v>60.923479909221882</v>
      </c>
      <c r="F6" s="125">
        <v>67.6857361713475</v>
      </c>
      <c r="G6" s="125">
        <v>70.808581391240295</v>
      </c>
      <c r="H6" s="125">
        <v>70.842727705000684</v>
      </c>
      <c r="I6" s="125">
        <v>70.78597789637233</v>
      </c>
      <c r="J6" s="125">
        <v>68.901622924362414</v>
      </c>
      <c r="K6" s="125">
        <v>68.378420531155172</v>
      </c>
      <c r="L6" s="125">
        <v>67.808367647607554</v>
      </c>
      <c r="M6" s="125">
        <v>69.113415468705938</v>
      </c>
      <c r="N6" s="125">
        <v>69.453272073799667</v>
      </c>
      <c r="O6" s="125">
        <v>67.491864818468628</v>
      </c>
      <c r="P6" s="125">
        <v>68.179126919832953</v>
      </c>
      <c r="Q6" s="125">
        <v>68.3</v>
      </c>
      <c r="R6" s="125">
        <v>69.455660880362004</v>
      </c>
      <c r="S6" s="361">
        <v>67.227495673945711</v>
      </c>
      <c r="T6" s="270">
        <f>INDEX(偏差値表[Comprehensive],MATCH($C6,偏差値表['#],0))</f>
        <v>66.906683405340274</v>
      </c>
      <c r="AL6" s="96" t="s">
        <v>2543</v>
      </c>
      <c r="AM6" s="96" t="s">
        <v>3598</v>
      </c>
      <c r="AN6" s="96" t="s">
        <v>2560</v>
      </c>
      <c r="AO6" s="335"/>
    </row>
    <row r="7" spans="2:41">
      <c r="B7" s="83">
        <f>INDEX(順位表[Comprehensive],MATCH($C7,順位表['#],0))</f>
        <v>4</v>
      </c>
      <c r="C7" s="3">
        <v>4</v>
      </c>
      <c r="D7" s="43" t="str">
        <f>INDEX(都市マスタ[],MATCH($C7,都市マスタ['#],0),MATCH(D$3,都市マスタ[#Headers],0))</f>
        <v>パリ</v>
      </c>
      <c r="E7" s="125">
        <v>67.569358008798133</v>
      </c>
      <c r="F7" s="125">
        <v>70.601257895702474</v>
      </c>
      <c r="G7" s="125">
        <v>71.44855679278497</v>
      </c>
      <c r="H7" s="125">
        <v>71.847455472994184</v>
      </c>
      <c r="I7" s="125">
        <v>72.117036932204684</v>
      </c>
      <c r="J7" s="125">
        <v>69.789858189839975</v>
      </c>
      <c r="K7" s="125">
        <v>69.25701237275932</v>
      </c>
      <c r="L7" s="125">
        <v>68.714302676659329</v>
      </c>
      <c r="M7" s="125">
        <v>66.622351264089843</v>
      </c>
      <c r="N7" s="125">
        <v>65.66556880127618</v>
      </c>
      <c r="O7" s="125">
        <v>64.411243489690378</v>
      </c>
      <c r="P7" s="125">
        <v>66.470894444576203</v>
      </c>
      <c r="Q7" s="125">
        <v>65.2</v>
      </c>
      <c r="R7" s="125">
        <v>66.383622006253546</v>
      </c>
      <c r="S7" s="361">
        <v>66.67490216680207</v>
      </c>
      <c r="T7" s="270">
        <f>INDEX(偏差値表[Comprehensive],MATCH($C7,偏差値表['#],0))</f>
        <v>66.280956202049794</v>
      </c>
      <c r="AL7" s="96" t="s">
        <v>2544</v>
      </c>
      <c r="AM7" s="96" t="s">
        <v>2552</v>
      </c>
      <c r="AN7" s="96" t="s">
        <v>2561</v>
      </c>
      <c r="AO7" s="336"/>
    </row>
    <row r="8" spans="2:41">
      <c r="B8" s="83">
        <f>INDEX(順位表[Comprehensive],MATCH($C8,順位表['#],0))</f>
        <v>5</v>
      </c>
      <c r="C8" s="3">
        <v>21</v>
      </c>
      <c r="D8" s="43" t="str">
        <f>INDEX(都市マスタ[],MATCH($C8,都市マスタ['#],0),MATCH(D$3,都市マスタ[#Headers],0))</f>
        <v>シンガポール</v>
      </c>
      <c r="E8" s="125">
        <v>51.899577059086006</v>
      </c>
      <c r="F8" s="125">
        <v>60.218974520023636</v>
      </c>
      <c r="G8" s="125">
        <v>57.694096108759759</v>
      </c>
      <c r="H8" s="125">
        <v>59.832652133815444</v>
      </c>
      <c r="I8" s="125">
        <v>59.65243067008074</v>
      </c>
      <c r="J8" s="125">
        <v>60.124297505153379</v>
      </c>
      <c r="K8" s="125">
        <v>60.985617588531532</v>
      </c>
      <c r="L8" s="125">
        <v>63.501219810053506</v>
      </c>
      <c r="M8" s="125">
        <v>61.891832376376399</v>
      </c>
      <c r="N8" s="125">
        <v>62.662136003288637</v>
      </c>
      <c r="O8" s="125">
        <v>60.639074829022185</v>
      </c>
      <c r="P8" s="125">
        <v>60.30393311223709</v>
      </c>
      <c r="Q8" s="125">
        <v>61.9</v>
      </c>
      <c r="R8" s="125">
        <v>60.370986466128784</v>
      </c>
      <c r="S8" s="361">
        <v>60.086348274666157</v>
      </c>
      <c r="T8" s="270">
        <f>INDEX(偏差値表[Comprehensive],MATCH($C8,偏差値表['#],0))</f>
        <v>61.16095700158084</v>
      </c>
      <c r="AL8" s="96" t="s">
        <v>2545</v>
      </c>
      <c r="AM8" s="96" t="s">
        <v>2553</v>
      </c>
      <c r="AN8" s="96" t="s">
        <v>2562</v>
      </c>
      <c r="AO8" s="337"/>
    </row>
    <row r="9" spans="2:41">
      <c r="B9" s="83">
        <f>INDEX(順位表[Comprehensive],MATCH($C9,順位表['#],0))</f>
        <v>6</v>
      </c>
      <c r="C9" s="3">
        <v>6</v>
      </c>
      <c r="D9" s="43" t="str">
        <f>INDEX(都市マスタ[],MATCH($C9,都市マスタ['#],0),MATCH(D$3,都市マスタ[#Headers],0))</f>
        <v>アムステルダム</v>
      </c>
      <c r="E9" s="125">
        <v>54.443405886676395</v>
      </c>
      <c r="F9" s="125">
        <v>54.505292709085602</v>
      </c>
      <c r="G9" s="125">
        <v>54.557533025481533</v>
      </c>
      <c r="H9" s="125">
        <v>53.371106236825284</v>
      </c>
      <c r="I9" s="125">
        <v>56.937521870826558</v>
      </c>
      <c r="J9" s="125">
        <v>57.332023461818565</v>
      </c>
      <c r="K9" s="125">
        <v>56.519498073011746</v>
      </c>
      <c r="L9" s="125">
        <v>55.960054654544756</v>
      </c>
      <c r="M9" s="125">
        <v>56.214426992054641</v>
      </c>
      <c r="N9" s="125">
        <v>57.716518889136275</v>
      </c>
      <c r="O9" s="125">
        <v>58.618112460630549</v>
      </c>
      <c r="P9" s="125">
        <v>58.976981525777603</v>
      </c>
      <c r="Q9" s="125">
        <v>58.1</v>
      </c>
      <c r="R9" s="125">
        <v>59.351852254432707</v>
      </c>
      <c r="S9" s="361">
        <v>59.807780184385379</v>
      </c>
      <c r="T9" s="270">
        <f>INDEX(偏差値表[Comprehensive],MATCH($C9,偏差値表['#],0))</f>
        <v>60.210031950043991</v>
      </c>
      <c r="AL9" s="96" t="s">
        <v>2546</v>
      </c>
      <c r="AM9" s="96" t="s">
        <v>2555</v>
      </c>
      <c r="AN9" s="96" t="s">
        <v>2564</v>
      </c>
      <c r="AO9" s="339"/>
    </row>
    <row r="10" spans="2:41">
      <c r="B10" s="83">
        <f>INDEX(順位表[Comprehensive],MATCH($C10,順位表['#],0))</f>
        <v>7</v>
      </c>
      <c r="C10" s="3">
        <v>26</v>
      </c>
      <c r="D10" s="43" t="str">
        <f>INDEX(都市マスタ[],MATCH($C10,都市マスタ['#],0),MATCH(D$3,都市マスタ[#Headers],0))</f>
        <v>ソウル</v>
      </c>
      <c r="E10" s="125">
        <v>51.161077359599126</v>
      </c>
      <c r="F10" s="125">
        <v>52.2593578308066</v>
      </c>
      <c r="G10" s="125">
        <v>54.018995238588133</v>
      </c>
      <c r="H10" s="125">
        <v>54.8999608516962</v>
      </c>
      <c r="I10" s="125">
        <v>57.627733179662869</v>
      </c>
      <c r="J10" s="125">
        <v>59.640438656406637</v>
      </c>
      <c r="K10" s="125">
        <v>59.86916928435123</v>
      </c>
      <c r="L10" s="125">
        <v>57.35164912293849</v>
      </c>
      <c r="M10" s="125">
        <v>58.640317098699803</v>
      </c>
      <c r="N10" s="125">
        <v>58.428987508329683</v>
      </c>
      <c r="O10" s="125">
        <v>57.333624568470725</v>
      </c>
      <c r="P10" s="125">
        <v>57.473573813948846</v>
      </c>
      <c r="Q10" s="125">
        <v>56.9</v>
      </c>
      <c r="R10" s="125">
        <v>56.703495162321175</v>
      </c>
      <c r="S10" s="361">
        <v>57.696339564827902</v>
      </c>
      <c r="T10" s="270">
        <f>INDEX(偏差値表[Comprehensive],MATCH($C10,偏差値表['#],0))</f>
        <v>57.921715618847081</v>
      </c>
      <c r="AL10" s="96" t="s">
        <v>2547</v>
      </c>
      <c r="AM10" s="96" t="s">
        <v>2554</v>
      </c>
      <c r="AN10" s="96" t="s">
        <v>2563</v>
      </c>
      <c r="AO10" s="338"/>
    </row>
    <row r="11" spans="2:41">
      <c r="B11" s="83">
        <f>INDEX(順位表[Comprehensive],MATCH($C11,順位表['#],0))</f>
        <v>8</v>
      </c>
      <c r="C11" s="3">
        <v>44</v>
      </c>
      <c r="D11" s="43" t="str">
        <f>INDEX(都市マスタ[],MATCH($C11,都市マスタ['#],0),MATCH(D$3,都市マスタ[#Headers],0))</f>
        <v>ドバイ</v>
      </c>
      <c r="E11" s="125"/>
      <c r="F11" s="125"/>
      <c r="G11" s="125"/>
      <c r="H11" s="125"/>
      <c r="I11" s="125"/>
      <c r="J11" s="125"/>
      <c r="K11" s="125"/>
      <c r="L11" s="125"/>
      <c r="M11" s="125"/>
      <c r="N11" s="125">
        <v>49.358446610370734</v>
      </c>
      <c r="O11" s="125">
        <v>48.392405632487211</v>
      </c>
      <c r="P11" s="125">
        <v>51.839323901882892</v>
      </c>
      <c r="Q11" s="125">
        <v>52.9</v>
      </c>
      <c r="R11" s="125">
        <v>54.233895370399743</v>
      </c>
      <c r="S11" s="361">
        <v>54.41431994965334</v>
      </c>
      <c r="T11" s="270">
        <f>INDEX(偏差値表[Comprehensive],MATCH($C11,偏差値表['#],0))</f>
        <v>55.883888956459678</v>
      </c>
      <c r="AL11" s="96" t="s">
        <v>2548</v>
      </c>
      <c r="AM11" s="331" t="s">
        <v>2556</v>
      </c>
      <c r="AN11" s="96" t="s">
        <v>2565</v>
      </c>
      <c r="AO11" s="340"/>
    </row>
    <row r="12" spans="2:41">
      <c r="B12" s="83">
        <f>INDEX(順位表[Comprehensive],MATCH($C12,順位表['#],0))</f>
        <v>9</v>
      </c>
      <c r="C12" s="3">
        <v>48</v>
      </c>
      <c r="D12" s="43" t="str">
        <f>INDEX(都市マスタ[],MATCH($C12,都市マスタ['#],0),MATCH(D$3,都市マスタ[#Headers],0))</f>
        <v>メルボルン</v>
      </c>
      <c r="E12" s="125"/>
      <c r="F12" s="125"/>
      <c r="G12" s="125"/>
      <c r="H12" s="125"/>
      <c r="I12" s="125"/>
      <c r="J12" s="125"/>
      <c r="K12" s="125"/>
      <c r="L12" s="125"/>
      <c r="M12" s="125"/>
      <c r="N12" s="125"/>
      <c r="O12" s="125"/>
      <c r="P12" s="125">
        <v>55.322980077342741</v>
      </c>
      <c r="Q12" s="125">
        <v>53.3</v>
      </c>
      <c r="R12" s="125">
        <v>54.873977063584178</v>
      </c>
      <c r="S12" s="361">
        <v>55.991796723418055</v>
      </c>
      <c r="T12" s="270">
        <f>INDEX(偏差値表[Comprehensive],MATCH($C12,偏差値表['#],0))</f>
        <v>55.509420807525188</v>
      </c>
      <c r="AL12" s="96" t="s">
        <v>2549</v>
      </c>
      <c r="AM12" s="96" t="s">
        <v>3599</v>
      </c>
      <c r="AN12" s="96" t="s">
        <v>2566</v>
      </c>
      <c r="AO12" s="341"/>
    </row>
    <row r="13" spans="2:41">
      <c r="B13" s="83">
        <f>INDEX(順位表[Comprehensive],MATCH($C13,順位表['#],0))</f>
        <v>10</v>
      </c>
      <c r="C13" s="3">
        <v>9</v>
      </c>
      <c r="D13" s="43" t="str">
        <f>INDEX(都市マスタ[],MATCH($C13,都市マスタ['#],0),MATCH(D$3,都市マスタ[#Headers],0))</f>
        <v>ベルリン</v>
      </c>
      <c r="E13" s="125">
        <v>55.870572031858906</v>
      </c>
      <c r="F13" s="125">
        <v>56.599942374982682</v>
      </c>
      <c r="G13" s="125">
        <v>55.051739306703929</v>
      </c>
      <c r="H13" s="125">
        <v>55.20713632357883</v>
      </c>
      <c r="I13" s="125">
        <v>55.802818855620359</v>
      </c>
      <c r="J13" s="125">
        <v>56.13068970374681</v>
      </c>
      <c r="K13" s="125">
        <v>56.488418873077876</v>
      </c>
      <c r="L13" s="125">
        <v>56.519924127629309</v>
      </c>
      <c r="M13" s="125">
        <v>55.959947108437355</v>
      </c>
      <c r="N13" s="125">
        <v>56.568346474194712</v>
      </c>
      <c r="O13" s="125">
        <v>57.095881510855236</v>
      </c>
      <c r="P13" s="125">
        <v>57.280813255945816</v>
      </c>
      <c r="Q13" s="125">
        <v>58</v>
      </c>
      <c r="R13" s="125">
        <v>57.320884250991057</v>
      </c>
      <c r="S13" s="361">
        <v>57.366394408227528</v>
      </c>
      <c r="T13" s="270">
        <f>INDEX(偏差値表[Comprehensive],MATCH($C13,偏差値表['#],0))</f>
        <v>55.319073729880479</v>
      </c>
      <c r="AL13" s="96" t="s">
        <v>2550</v>
      </c>
      <c r="AM13" s="96" t="s">
        <v>3600</v>
      </c>
      <c r="AN13" s="96" t="s">
        <v>2567</v>
      </c>
      <c r="AO13" s="342"/>
    </row>
    <row r="14" spans="2:41">
      <c r="B14" s="83">
        <f>INDEX(順位表[Comprehensive],MATCH($C14,順位表['#],0))</f>
        <v>11</v>
      </c>
      <c r="C14" s="3">
        <v>12</v>
      </c>
      <c r="D14" s="43" t="str">
        <f>INDEX(都市マスタ[],MATCH($C14,都市マスタ['#],0),MATCH(D$3,都市マスタ[#Headers],0))</f>
        <v>コペンハーゲン</v>
      </c>
      <c r="E14" s="125">
        <v>49.061850662020241</v>
      </c>
      <c r="F14" s="125">
        <v>50.011793154153189</v>
      </c>
      <c r="G14" s="125">
        <v>48.839609835780301</v>
      </c>
      <c r="H14" s="125">
        <v>48.113071101416246</v>
      </c>
      <c r="I14" s="125">
        <v>49.456604659907882</v>
      </c>
      <c r="J14" s="125">
        <v>49.625222904066419</v>
      </c>
      <c r="K14" s="125">
        <v>49.323011405675508</v>
      </c>
      <c r="L14" s="125">
        <v>49.130531506748149</v>
      </c>
      <c r="M14" s="125">
        <v>50.380518281713037</v>
      </c>
      <c r="N14" s="125">
        <v>50.112521347409455</v>
      </c>
      <c r="O14" s="125">
        <v>52.266701203025697</v>
      </c>
      <c r="P14" s="125">
        <v>51.6280904467855</v>
      </c>
      <c r="Q14" s="125">
        <v>52.7</v>
      </c>
      <c r="R14" s="125">
        <v>53.315814308567646</v>
      </c>
      <c r="S14" s="361">
        <v>53.616812015702031</v>
      </c>
      <c r="T14" s="270">
        <f>INDEX(偏差値表[Comprehensive],MATCH($C14,偏差値表['#],0))</f>
        <v>54.65403273182568</v>
      </c>
    </row>
    <row r="15" spans="2:41">
      <c r="B15" s="83">
        <f>INDEX(順位表[Comprehensive],MATCH($C15,順位表['#],0))</f>
        <v>12</v>
      </c>
      <c r="C15" s="3">
        <v>30</v>
      </c>
      <c r="D15" s="43" t="str">
        <f>INDEX(都市マスタ[],MATCH($C15,都市マスタ['#],0),MATCH(D$3,都市マスタ[#Headers],0))</f>
        <v>シドニー</v>
      </c>
      <c r="E15" s="125">
        <v>51.606174929087693</v>
      </c>
      <c r="F15" s="125">
        <v>51.331565996677526</v>
      </c>
      <c r="G15" s="125">
        <v>51.811115094354946</v>
      </c>
      <c r="H15" s="125">
        <v>50.945579410657253</v>
      </c>
      <c r="I15" s="125">
        <v>51.242317078367876</v>
      </c>
      <c r="J15" s="125">
        <v>52.089305210827767</v>
      </c>
      <c r="K15" s="125">
        <v>51.852761538426044</v>
      </c>
      <c r="L15" s="125">
        <v>51.191716279370262</v>
      </c>
      <c r="M15" s="125">
        <v>52.339328251908618</v>
      </c>
      <c r="N15" s="125">
        <v>55.014689156640785</v>
      </c>
      <c r="O15" s="125">
        <v>55.667178288780718</v>
      </c>
      <c r="P15" s="125">
        <v>55.360459511917057</v>
      </c>
      <c r="Q15" s="125">
        <v>53.8</v>
      </c>
      <c r="R15" s="125">
        <v>54.686893734009466</v>
      </c>
      <c r="S15" s="361">
        <v>53.739272158160439</v>
      </c>
      <c r="T15" s="270">
        <f>INDEX(偏差値表[Comprehensive],MATCH($C15,偏差値表['#],0))</f>
        <v>54.372114799892948</v>
      </c>
    </row>
    <row r="16" spans="2:41">
      <c r="B16" s="83">
        <f>INDEX(順位表[Comprehensive],MATCH($C16,順位表['#],0))</f>
        <v>13</v>
      </c>
      <c r="C16" s="3">
        <v>13</v>
      </c>
      <c r="D16" s="43" t="str">
        <f>INDEX(都市マスタ[],MATCH($C16,都市マスタ['#],0),MATCH(D$3,都市マスタ[#Headers],0))</f>
        <v>ウィーン</v>
      </c>
      <c r="E16" s="125">
        <v>57.911466307410599</v>
      </c>
      <c r="F16" s="125">
        <v>55.607165149838465</v>
      </c>
      <c r="G16" s="125">
        <v>51.438430677409883</v>
      </c>
      <c r="H16" s="125">
        <v>50.833382180733487</v>
      </c>
      <c r="I16" s="125">
        <v>54.153983901635883</v>
      </c>
      <c r="J16" s="125">
        <v>54.798722146812125</v>
      </c>
      <c r="K16" s="125">
        <v>53.765625851494292</v>
      </c>
      <c r="L16" s="125">
        <v>53.318086845748809</v>
      </c>
      <c r="M16" s="125">
        <v>54.540300324804832</v>
      </c>
      <c r="N16" s="125">
        <v>53.34070662133874</v>
      </c>
      <c r="O16" s="125">
        <v>52.274873545894451</v>
      </c>
      <c r="P16" s="125">
        <v>51.55796323216952</v>
      </c>
      <c r="Q16" s="125">
        <v>53</v>
      </c>
      <c r="R16" s="125">
        <v>52.395864980347618</v>
      </c>
      <c r="S16" s="361">
        <v>53.086515696584989</v>
      </c>
      <c r="T16" s="270">
        <f>INDEX(偏差値表[Comprehensive],MATCH($C16,偏差値表['#],0))</f>
        <v>54.360954770432436</v>
      </c>
    </row>
    <row r="17" spans="2:20">
      <c r="B17" s="83">
        <f>INDEX(順位表[Comprehensive],MATCH($C17,順位表['#],0))</f>
        <v>14</v>
      </c>
      <c r="C17" s="3">
        <v>1</v>
      </c>
      <c r="D17" s="43" t="str">
        <f>INDEX(都市マスタ[],MATCH($C17,都市マスタ['#],0),MATCH(D$3,都市マスタ[#Headers],0))</f>
        <v>マドリード</v>
      </c>
      <c r="E17" s="125">
        <v>47.636333292829548</v>
      </c>
      <c r="F17" s="125">
        <v>52.587123732585766</v>
      </c>
      <c r="G17" s="125">
        <v>49.437263032839255</v>
      </c>
      <c r="H17" s="125">
        <v>48.011263742305275</v>
      </c>
      <c r="I17" s="125">
        <v>48.321146702158899</v>
      </c>
      <c r="J17" s="125">
        <v>49.850163453726196</v>
      </c>
      <c r="K17" s="125">
        <v>48.953382142931204</v>
      </c>
      <c r="L17" s="125">
        <v>47.771861295523678</v>
      </c>
      <c r="M17" s="125">
        <v>48.464613608869215</v>
      </c>
      <c r="N17" s="125">
        <v>48.106624412194989</v>
      </c>
      <c r="O17" s="125">
        <v>50.611107585799594</v>
      </c>
      <c r="P17" s="125">
        <v>53.486527431364983</v>
      </c>
      <c r="Q17" s="125">
        <v>53.6</v>
      </c>
      <c r="R17" s="125">
        <v>54.936668537583401</v>
      </c>
      <c r="S17" s="361">
        <v>54.105832367476566</v>
      </c>
      <c r="T17" s="270">
        <f>INDEX(偏差値表[Comprehensive],MATCH($C17,偏差値表['#],0))</f>
        <v>54.273839542830565</v>
      </c>
    </row>
    <row r="18" spans="2:20">
      <c r="B18" s="83">
        <f>INDEX(順位表[Comprehensive],MATCH($C18,順位表['#],0))</f>
        <v>15</v>
      </c>
      <c r="C18" s="3">
        <v>24</v>
      </c>
      <c r="D18" s="43" t="str">
        <f>INDEX(都市マスタ[],MATCH($C18,都市マスタ['#],0),MATCH(D$3,都市マスタ[#Headers],0))</f>
        <v>上海</v>
      </c>
      <c r="E18" s="125">
        <v>40.180520380888581</v>
      </c>
      <c r="F18" s="125">
        <v>48.1742500890999</v>
      </c>
      <c r="G18" s="125">
        <v>46.649274082982679</v>
      </c>
      <c r="H18" s="125">
        <v>47.235505034689027</v>
      </c>
      <c r="I18" s="125">
        <v>51.336254531336508</v>
      </c>
      <c r="J18" s="125">
        <v>52.638861850263524</v>
      </c>
      <c r="K18" s="125">
        <v>51.290112700062863</v>
      </c>
      <c r="L18" s="125">
        <v>49.825082232777298</v>
      </c>
      <c r="M18" s="125">
        <v>52.571239990243349</v>
      </c>
      <c r="N18" s="125">
        <v>52.658898657611545</v>
      </c>
      <c r="O18" s="125">
        <v>49.84344983538999</v>
      </c>
      <c r="P18" s="125">
        <v>48.456233174343794</v>
      </c>
      <c r="Q18" s="125">
        <v>54.2</v>
      </c>
      <c r="R18" s="125">
        <v>54.895224255008443</v>
      </c>
      <c r="S18" s="361">
        <v>54.740348870171424</v>
      </c>
      <c r="T18" s="270">
        <f>INDEX(偏差値表[Comprehensive],MATCH($C18,偏差値表['#],0))</f>
        <v>54.272331972622659</v>
      </c>
    </row>
    <row r="19" spans="2:20">
      <c r="B19" s="83">
        <f>INDEX(順位表[Comprehensive],MATCH($C19,順位表['#],0))</f>
        <v>16</v>
      </c>
      <c r="C19" s="3">
        <v>14</v>
      </c>
      <c r="D19" s="43" t="str">
        <f>INDEX(都市マスタ[],MATCH($C19,都市マスタ['#],0),MATCH(D$3,都市マスタ[#Headers],0))</f>
        <v>ストックホルム</v>
      </c>
      <c r="E19" s="125"/>
      <c r="F19" s="125"/>
      <c r="G19" s="125"/>
      <c r="H19" s="125"/>
      <c r="I19" s="125">
        <v>51.15831748427842</v>
      </c>
      <c r="J19" s="125">
        <v>51.188754841324396</v>
      </c>
      <c r="K19" s="125">
        <v>51.079642467588577</v>
      </c>
      <c r="L19" s="125">
        <v>50.679248818423773</v>
      </c>
      <c r="M19" s="125">
        <v>51.468486272466151</v>
      </c>
      <c r="N19" s="125">
        <v>52.37096147367172</v>
      </c>
      <c r="O19" s="125">
        <v>54.694837242352953</v>
      </c>
      <c r="P19" s="125">
        <v>53.107970123094375</v>
      </c>
      <c r="Q19" s="125">
        <v>51.2</v>
      </c>
      <c r="R19" s="125">
        <v>51.400611869430357</v>
      </c>
      <c r="S19" s="361">
        <v>52.672735404674455</v>
      </c>
      <c r="T19" s="270">
        <f>INDEX(偏差値表[Comprehensive],MATCH($C19,偏差値表['#],0))</f>
        <v>53.56335462871214</v>
      </c>
    </row>
    <row r="20" spans="2:20">
      <c r="B20" s="83">
        <f>INDEX(順位表[Comprehensive],MATCH($C20,順位表['#],0))</f>
        <v>17</v>
      </c>
      <c r="C20" s="3">
        <v>23</v>
      </c>
      <c r="D20" s="43" t="str">
        <f>INDEX(都市マスタ[],MATCH($C20,都市マスタ['#],0),MATCH(D$3,都市マスタ[#Headers],0))</f>
        <v>北京</v>
      </c>
      <c r="E20" s="125">
        <v>37.322441593029822</v>
      </c>
      <c r="F20" s="125">
        <v>45.149166704068818</v>
      </c>
      <c r="G20" s="125">
        <v>47.19501529408209</v>
      </c>
      <c r="H20" s="125">
        <v>48.338747596921998</v>
      </c>
      <c r="I20" s="125">
        <v>52.083550392171475</v>
      </c>
      <c r="J20" s="125">
        <v>52.086330514285791</v>
      </c>
      <c r="K20" s="125">
        <v>51.402153902949749</v>
      </c>
      <c r="L20" s="125">
        <v>49.507675704877506</v>
      </c>
      <c r="M20" s="125">
        <v>50.863079523421327</v>
      </c>
      <c r="N20" s="125">
        <v>53.634665348262551</v>
      </c>
      <c r="O20" s="125">
        <v>50.593662236543295</v>
      </c>
      <c r="P20" s="125">
        <v>49.827576670945525</v>
      </c>
      <c r="Q20" s="125">
        <v>53.3</v>
      </c>
      <c r="R20" s="125">
        <v>52.520392128896077</v>
      </c>
      <c r="S20" s="361">
        <v>52.917876680450313</v>
      </c>
      <c r="T20" s="270">
        <f>INDEX(偏差値表[Comprehensive],MATCH($C20,偏差値表['#],0))</f>
        <v>53.436162959179278</v>
      </c>
    </row>
    <row r="21" spans="2:20">
      <c r="B21" s="83">
        <f>INDEX(順位表[Comprehensive],MATCH($C21,順位表['#],0))</f>
        <v>18</v>
      </c>
      <c r="C21" s="3">
        <v>22</v>
      </c>
      <c r="D21" s="43" t="str">
        <f>INDEX(都市マスタ[],MATCH($C21,都市マスタ['#],0),MATCH(D$3,都市マスタ[#Headers],0))</f>
        <v>香港</v>
      </c>
      <c r="E21" s="125">
        <v>49.40495782237037</v>
      </c>
      <c r="F21" s="125">
        <v>52.588540725830846</v>
      </c>
      <c r="G21" s="125">
        <v>52.932374795806403</v>
      </c>
      <c r="H21" s="125">
        <v>54.373973972670861</v>
      </c>
      <c r="I21" s="125">
        <v>55.311949031155628</v>
      </c>
      <c r="J21" s="125">
        <v>53.215927641760238</v>
      </c>
      <c r="K21" s="125">
        <v>54.2212912152511</v>
      </c>
      <c r="L21" s="125">
        <v>57.130041158689615</v>
      </c>
      <c r="M21" s="125">
        <v>56.860423100564944</v>
      </c>
      <c r="N21" s="125">
        <v>55.644577062737277</v>
      </c>
      <c r="O21" s="125">
        <v>55.858134083526814</v>
      </c>
      <c r="P21" s="125">
        <v>55.732637826768155</v>
      </c>
      <c r="Q21" s="125">
        <v>56.2</v>
      </c>
      <c r="R21" s="125">
        <v>54.63432849556996</v>
      </c>
      <c r="S21" s="361">
        <v>51.233520025294013</v>
      </c>
      <c r="T21" s="270">
        <f>INDEX(偏差値表[Comprehensive],MATCH($C21,偏差値表['#],0))</f>
        <v>52.218613218381606</v>
      </c>
    </row>
    <row r="22" spans="2:20">
      <c r="B22" s="83">
        <f>INDEX(順位表[Comprehensive],MATCH($C22,順位表['#],0))</f>
        <v>19</v>
      </c>
      <c r="C22" s="3">
        <v>11</v>
      </c>
      <c r="D22" s="43" t="str">
        <f>INDEX(都市マスタ[],MATCH($C22,都市マスタ['#],0),MATCH(D$3,都市マスタ[#Headers],0))</f>
        <v>チューリッヒ</v>
      </c>
      <c r="E22" s="125">
        <v>50.19829701504873</v>
      </c>
      <c r="F22" s="125">
        <v>52.592323467215799</v>
      </c>
      <c r="G22" s="125">
        <v>50.878987399531468</v>
      </c>
      <c r="H22" s="125">
        <v>49.960585610969424</v>
      </c>
      <c r="I22" s="125">
        <v>49.902038872212223</v>
      </c>
      <c r="J22" s="125">
        <v>52.079867310311734</v>
      </c>
      <c r="K22" s="125">
        <v>52.124767044233387</v>
      </c>
      <c r="L22" s="125">
        <v>51.045192147703773</v>
      </c>
      <c r="M22" s="125">
        <v>51.020365790216289</v>
      </c>
      <c r="N22" s="125">
        <v>50.782512645379967</v>
      </c>
      <c r="O22" s="125">
        <v>52.599051305636472</v>
      </c>
      <c r="P22" s="125">
        <v>53.106644898949135</v>
      </c>
      <c r="Q22" s="125">
        <v>52.4</v>
      </c>
      <c r="R22" s="125">
        <v>52.038203231843212</v>
      </c>
      <c r="S22" s="361">
        <v>52.873009230218919</v>
      </c>
      <c r="T22" s="270">
        <f>INDEX(偏差値表[Comprehensive],MATCH($C22,偏差値表['#],0))</f>
        <v>52.049613380321524</v>
      </c>
    </row>
    <row r="23" spans="2:20">
      <c r="B23" s="83">
        <f>INDEX(順位表[Comprehensive],MATCH($C23,順位表['#],0))</f>
        <v>20</v>
      </c>
      <c r="C23" s="3">
        <v>8</v>
      </c>
      <c r="D23" s="43" t="str">
        <f>INDEX(都市マスタ[],MATCH($C23,都市マスタ['#],0),MATCH(D$3,都市マスタ[#Headers],0))</f>
        <v>フランクフルト</v>
      </c>
      <c r="E23" s="125">
        <v>49.834781290144065</v>
      </c>
      <c r="F23" s="125">
        <v>50.2779366510321</v>
      </c>
      <c r="G23" s="125">
        <v>50.249022696043355</v>
      </c>
      <c r="H23" s="125">
        <v>53.043906672896497</v>
      </c>
      <c r="I23" s="125">
        <v>51.456627420599659</v>
      </c>
      <c r="J23" s="125">
        <v>53.729091852701195</v>
      </c>
      <c r="K23" s="125">
        <v>52.896809909259886</v>
      </c>
      <c r="L23" s="125">
        <v>52.201302339951631</v>
      </c>
      <c r="M23" s="125">
        <v>53.512750062325452</v>
      </c>
      <c r="N23" s="125">
        <v>54.065055951992946</v>
      </c>
      <c r="O23" s="125">
        <v>52.939095140043115</v>
      </c>
      <c r="P23" s="125">
        <v>52.295490582143174</v>
      </c>
      <c r="Q23" s="125">
        <v>50.8</v>
      </c>
      <c r="R23" s="125">
        <v>49.23281808105731</v>
      </c>
      <c r="S23" s="361">
        <v>51.514982276471422</v>
      </c>
      <c r="T23" s="270">
        <f>INDEX(偏差値表[Comprehensive],MATCH($C23,偏差値表['#],0))</f>
        <v>51.929156338720645</v>
      </c>
    </row>
    <row r="24" spans="2:20">
      <c r="B24" s="83">
        <f>INDEX(順位表[Comprehensive],MATCH($C24,順位表['#],0))</f>
        <v>21</v>
      </c>
      <c r="C24" s="3">
        <v>33</v>
      </c>
      <c r="D24" s="43" t="str">
        <f>INDEX(都市マスタ[],MATCH($C24,都市マスタ['#],0),MATCH(D$3,都市マスタ[#Headers],0))</f>
        <v>ロサンゼルス</v>
      </c>
      <c r="E24" s="125">
        <v>52.311602123985686</v>
      </c>
      <c r="F24" s="125">
        <v>51.985229923687839</v>
      </c>
      <c r="G24" s="125">
        <v>49.863957845911351</v>
      </c>
      <c r="H24" s="125">
        <v>50.126987690837559</v>
      </c>
      <c r="I24" s="125">
        <v>47.355646967261386</v>
      </c>
      <c r="J24" s="125">
        <v>48.609473095055918</v>
      </c>
      <c r="K24" s="125">
        <v>48.802429483730585</v>
      </c>
      <c r="L24" s="125">
        <v>50.782271944552619</v>
      </c>
      <c r="M24" s="125">
        <v>52.473472127232732</v>
      </c>
      <c r="N24" s="125">
        <v>54.779595802199147</v>
      </c>
      <c r="O24" s="125">
        <v>54.586725545891504</v>
      </c>
      <c r="P24" s="125">
        <v>53.75245873855328</v>
      </c>
      <c r="Q24" s="125">
        <v>53.7</v>
      </c>
      <c r="R24" s="125">
        <v>52.848690792846234</v>
      </c>
      <c r="S24" s="361">
        <v>53.01157959456706</v>
      </c>
      <c r="T24" s="270">
        <f>INDEX(偏差値表[Comprehensive],MATCH($C24,偏差値表['#],0))</f>
        <v>51.179198185099459</v>
      </c>
    </row>
    <row r="25" spans="2:20">
      <c r="B25" s="83">
        <f>INDEX(順位表[Comprehensive],MATCH($C25,順位表['#],0))</f>
        <v>22</v>
      </c>
      <c r="C25" s="3">
        <v>2</v>
      </c>
      <c r="D25" s="43" t="str">
        <f>INDEX(都市マスタ[],MATCH($C25,都市マスタ['#],0),MATCH(D$3,都市マスタ[#Headers],0))</f>
        <v>バルセロナ</v>
      </c>
      <c r="E25" s="125"/>
      <c r="F25" s="125"/>
      <c r="G25" s="125"/>
      <c r="H25" s="125"/>
      <c r="I25" s="125">
        <v>51.340703262288081</v>
      </c>
      <c r="J25" s="125">
        <v>49.642506424707022</v>
      </c>
      <c r="K25" s="125">
        <v>46.507202968040744</v>
      </c>
      <c r="L25" s="125">
        <v>47.228696299369197</v>
      </c>
      <c r="M25" s="125">
        <v>50.248013322547386</v>
      </c>
      <c r="N25" s="125">
        <v>49.223245132770366</v>
      </c>
      <c r="O25" s="125">
        <v>50.364461399580023</v>
      </c>
      <c r="P25" s="125">
        <v>51.107091265247391</v>
      </c>
      <c r="Q25" s="125">
        <v>52.3</v>
      </c>
      <c r="R25" s="125">
        <v>52.46119647952915</v>
      </c>
      <c r="S25" s="361">
        <v>52.294129346884596</v>
      </c>
      <c r="T25" s="270">
        <f>INDEX(偏差値表[Comprehensive],MATCH($C25,偏差値表['#],0))</f>
        <v>50.965364677228351</v>
      </c>
    </row>
    <row r="26" spans="2:20">
      <c r="B26" s="83">
        <f>INDEX(順位表[Comprehensive],MATCH($C26,順位表['#],0))</f>
        <v>23</v>
      </c>
      <c r="C26" s="3">
        <v>36</v>
      </c>
      <c r="D26" s="43" t="str">
        <f>INDEX(都市マスタ[],MATCH($C26,都市マスタ['#],0),MATCH(D$3,都市マスタ[#Headers],0))</f>
        <v>トロント</v>
      </c>
      <c r="E26" s="125">
        <v>52.080613831224184</v>
      </c>
      <c r="F26" s="125">
        <v>50.689931417427161</v>
      </c>
      <c r="G26" s="125">
        <v>47.257266855816908</v>
      </c>
      <c r="H26" s="125">
        <v>46.164611779604193</v>
      </c>
      <c r="I26" s="125">
        <v>49.239232211207423</v>
      </c>
      <c r="J26" s="125">
        <v>49.732807310854604</v>
      </c>
      <c r="K26" s="125">
        <v>50.227852023742173</v>
      </c>
      <c r="L26" s="125">
        <v>50.431208545855867</v>
      </c>
      <c r="M26" s="125">
        <v>50.420191580702365</v>
      </c>
      <c r="N26" s="125">
        <v>50.543332330738423</v>
      </c>
      <c r="O26" s="125">
        <v>53.146421911529224</v>
      </c>
      <c r="P26" s="125">
        <v>52.903861610312447</v>
      </c>
      <c r="Q26" s="125">
        <v>52.8</v>
      </c>
      <c r="R26" s="125">
        <v>52.217693810638842</v>
      </c>
      <c r="S26" s="361">
        <v>51.486024885862065</v>
      </c>
      <c r="T26" s="270">
        <f>INDEX(偏差値表[Comprehensive],MATCH($C26,偏差値表['#],0))</f>
        <v>50.845332200666718</v>
      </c>
    </row>
    <row r="27" spans="2:20">
      <c r="B27" s="83">
        <f>INDEX(順位表[Comprehensive],MATCH($C27,順位表['#],0))</f>
        <v>24</v>
      </c>
      <c r="C27" s="3">
        <v>5</v>
      </c>
      <c r="D27" s="43" t="str">
        <f>INDEX(都市マスタ[],MATCH($C27,都市マスタ['#],0),MATCH(D$3,都市マスタ[#Headers],0))</f>
        <v>ブリュッセル</v>
      </c>
      <c r="E27" s="125">
        <v>46.820509565954687</v>
      </c>
      <c r="F27" s="125">
        <v>49.568445111808124</v>
      </c>
      <c r="G27" s="125">
        <v>48.05225372378537</v>
      </c>
      <c r="H27" s="125">
        <v>47.199752676317523</v>
      </c>
      <c r="I27" s="125">
        <v>49.544672344288728</v>
      </c>
      <c r="J27" s="125">
        <v>48.88781607016562</v>
      </c>
      <c r="K27" s="125">
        <v>47.328738795543792</v>
      </c>
      <c r="L27" s="125">
        <v>47.379254045695149</v>
      </c>
      <c r="M27" s="125">
        <v>49.667497259055892</v>
      </c>
      <c r="N27" s="125">
        <v>49.819676753832617</v>
      </c>
      <c r="O27" s="125">
        <v>50.118695385533336</v>
      </c>
      <c r="P27" s="125">
        <v>49.499058335997347</v>
      </c>
      <c r="Q27" s="125">
        <v>48.3</v>
      </c>
      <c r="R27" s="125">
        <v>49.690558046565442</v>
      </c>
      <c r="S27" s="361">
        <v>50.239420801531487</v>
      </c>
      <c r="T27" s="270">
        <f>INDEX(偏差値表[Comprehensive],MATCH($C27,偏差値表['#],0))</f>
        <v>50.020621990867511</v>
      </c>
    </row>
    <row r="28" spans="2:20">
      <c r="B28" s="83">
        <f>INDEX(順位表[Comprehensive],MATCH($C28,順位表['#],0))</f>
        <v>25</v>
      </c>
      <c r="C28" s="3">
        <v>35</v>
      </c>
      <c r="D28" s="43" t="str">
        <f>INDEX(都市マスタ[],MATCH($C28,都市マスタ['#],0),MATCH(D$3,都市マスタ[#Headers],0))</f>
        <v>シカゴ</v>
      </c>
      <c r="E28" s="125">
        <v>50.383824169019292</v>
      </c>
      <c r="F28" s="125">
        <v>47.472861470682886</v>
      </c>
      <c r="G28" s="125">
        <v>46.742013433265427</v>
      </c>
      <c r="H28" s="125">
        <v>44.997814400693642</v>
      </c>
      <c r="I28" s="125">
        <v>45.376851142159659</v>
      </c>
      <c r="J28" s="125">
        <v>44.975588529205424</v>
      </c>
      <c r="K28" s="125">
        <v>44.979285168057281</v>
      </c>
      <c r="L28" s="125">
        <v>46.866533055503211</v>
      </c>
      <c r="M28" s="125">
        <v>48.6208655825262</v>
      </c>
      <c r="N28" s="125">
        <v>49.67152681449209</v>
      </c>
      <c r="O28" s="125">
        <v>51.173122527111197</v>
      </c>
      <c r="P28" s="125">
        <v>49.589501656870695</v>
      </c>
      <c r="Q28" s="125">
        <v>49.3</v>
      </c>
      <c r="R28" s="125">
        <v>48.970147159664137</v>
      </c>
      <c r="S28" s="361">
        <v>50.701467460322966</v>
      </c>
      <c r="T28" s="270">
        <f>INDEX(偏差値表[Comprehensive],MATCH($C28,偏差値表['#],0))</f>
        <v>49.756654873087598</v>
      </c>
    </row>
    <row r="29" spans="2:20">
      <c r="B29" s="83">
        <f>INDEX(順位表[Comprehensive],MATCH($C29,順位表['#],0))</f>
        <v>26</v>
      </c>
      <c r="C29" s="3">
        <v>7</v>
      </c>
      <c r="D29" s="43" t="str">
        <f>INDEX(都市マスタ[],MATCH($C29,都市マスタ['#],0),MATCH(D$3,都市マスタ[#Headers],0))</f>
        <v>ジュネーブ</v>
      </c>
      <c r="E29" s="125">
        <v>46.010947524048021</v>
      </c>
      <c r="F29" s="125">
        <v>49.525024844822852</v>
      </c>
      <c r="G29" s="125">
        <v>48.640426206554487</v>
      </c>
      <c r="H29" s="125">
        <v>48.562458106911713</v>
      </c>
      <c r="I29" s="125">
        <v>46.116937519383384</v>
      </c>
      <c r="J29" s="125">
        <v>47.078752599819381</v>
      </c>
      <c r="K29" s="125">
        <v>46.026069390164082</v>
      </c>
      <c r="L29" s="125">
        <v>46.631694681720326</v>
      </c>
      <c r="M29" s="125">
        <v>46.661281650310286</v>
      </c>
      <c r="N29" s="125">
        <v>45.81763492888782</v>
      </c>
      <c r="O29" s="125">
        <v>46.560167611819175</v>
      </c>
      <c r="P29" s="125">
        <v>46.633053873951575</v>
      </c>
      <c r="Q29" s="125">
        <v>46.9</v>
      </c>
      <c r="R29" s="125">
        <v>47.552249459861557</v>
      </c>
      <c r="S29" s="361">
        <v>48.005578009174911</v>
      </c>
      <c r="T29" s="270">
        <f>INDEX(偏差値表[Comprehensive],MATCH($C29,偏差値表['#],0))</f>
        <v>49.690422681791993</v>
      </c>
    </row>
    <row r="30" spans="2:20">
      <c r="B30" s="83">
        <f>INDEX(順位表[Comprehensive],MATCH($C30,順位表['#],0))</f>
        <v>27</v>
      </c>
      <c r="C30" s="3">
        <v>32</v>
      </c>
      <c r="D30" s="43" t="str">
        <f>INDEX(都市マスタ[],MATCH($C30,都市マスタ['#],0),MATCH(D$3,都市マスタ[#Headers],0))</f>
        <v>サンフランシスコ</v>
      </c>
      <c r="E30" s="125">
        <v>47.559187042330933</v>
      </c>
      <c r="F30" s="125">
        <v>46.739268083740249</v>
      </c>
      <c r="G30" s="125">
        <v>47.930853933080073</v>
      </c>
      <c r="H30" s="125">
        <v>47.724555613117232</v>
      </c>
      <c r="I30" s="125">
        <v>44.258706417413663</v>
      </c>
      <c r="J30" s="125">
        <v>45.280810165273884</v>
      </c>
      <c r="K30" s="125">
        <v>44.503260366798926</v>
      </c>
      <c r="L30" s="125">
        <v>48.410691763625223</v>
      </c>
      <c r="M30" s="125">
        <v>49.506130615858801</v>
      </c>
      <c r="N30" s="125">
        <v>51.254007998213424</v>
      </c>
      <c r="O30" s="125">
        <v>53.682314095834869</v>
      </c>
      <c r="P30" s="125">
        <v>52.216399568899185</v>
      </c>
      <c r="Q30" s="125">
        <v>50.7</v>
      </c>
      <c r="R30" s="125">
        <v>51.369354474404005</v>
      </c>
      <c r="S30" s="361">
        <v>51.120622217026437</v>
      </c>
      <c r="T30" s="270">
        <f>INDEX(偏差値表[Comprehensive],MATCH($C30,偏差値表['#],0))</f>
        <v>49.285569946582285</v>
      </c>
    </row>
    <row r="31" spans="2:20">
      <c r="B31" s="83">
        <f>INDEX(順位表[Comprehensive],MATCH($C31,順位表['#],0))</f>
        <v>28</v>
      </c>
      <c r="C31" s="3">
        <v>45</v>
      </c>
      <c r="D31" s="43" t="str">
        <f>INDEX(都市マスタ[],MATCH($C31,都市マスタ['#],0),MATCH(D$3,都市マスタ[#Headers],0))</f>
        <v>ダブリン</v>
      </c>
      <c r="E31" s="125"/>
      <c r="F31" s="125"/>
      <c r="G31" s="125"/>
      <c r="H31" s="125"/>
      <c r="I31" s="125"/>
      <c r="J31" s="125"/>
      <c r="K31" s="125"/>
      <c r="L31" s="125"/>
      <c r="M31" s="125"/>
      <c r="N31" s="125"/>
      <c r="O31" s="125"/>
      <c r="P31" s="125">
        <v>48.115486865245209</v>
      </c>
      <c r="Q31" s="125">
        <v>46.7</v>
      </c>
      <c r="R31" s="125">
        <v>48.511101933969222</v>
      </c>
      <c r="S31" s="361">
        <v>48.258445756525646</v>
      </c>
      <c r="T31" s="270">
        <f>INDEX(偏差値表[Comprehensive],MATCH($C31,偏差値表['#],0))</f>
        <v>49.103709001603889</v>
      </c>
    </row>
    <row r="32" spans="2:20">
      <c r="B32" s="83">
        <f>INDEX(順位表[Comprehensive],MATCH($C32,順位表['#],0))</f>
        <v>29</v>
      </c>
      <c r="C32" s="3">
        <v>39</v>
      </c>
      <c r="D32" s="43" t="str">
        <f>INDEX(都市マスタ[],MATCH($C32,都市マスタ['#],0),MATCH(D$3,都市マスタ[#Headers],0))</f>
        <v>ボストン</v>
      </c>
      <c r="E32" s="125">
        <v>52.897545999681718</v>
      </c>
      <c r="F32" s="125">
        <v>48.688506431565067</v>
      </c>
      <c r="G32" s="125">
        <v>48.141307111879001</v>
      </c>
      <c r="H32" s="125">
        <v>48.678498274095929</v>
      </c>
      <c r="I32" s="125">
        <v>45.613084911193596</v>
      </c>
      <c r="J32" s="125">
        <v>44.623803736429785</v>
      </c>
      <c r="K32" s="125">
        <v>45.28915768119942</v>
      </c>
      <c r="L32" s="125">
        <v>47.657913685360995</v>
      </c>
      <c r="M32" s="125">
        <v>48.15220767803568</v>
      </c>
      <c r="N32" s="125">
        <v>49.098505734824101</v>
      </c>
      <c r="O32" s="125">
        <v>51.116134225622929</v>
      </c>
      <c r="P32" s="125">
        <v>49.668015390105872</v>
      </c>
      <c r="Q32" s="125">
        <v>48.9</v>
      </c>
      <c r="R32" s="125">
        <v>48.778768672838986</v>
      </c>
      <c r="S32" s="361">
        <v>49.365926850992786</v>
      </c>
      <c r="T32" s="270">
        <f>INDEX(偏差値表[Comprehensive],MATCH($C32,偏差値表['#],0))</f>
        <v>48.833231754351537</v>
      </c>
    </row>
    <row r="33" spans="2:20">
      <c r="B33" s="83">
        <f>INDEX(順位表[Comprehensive],MATCH($C33,順位表['#],0))</f>
        <v>30</v>
      </c>
      <c r="C33" s="3">
        <v>15</v>
      </c>
      <c r="D33" s="43" t="str">
        <f>INDEX(都市マスタ[],MATCH($C33,都市マスタ['#],0),MATCH(D$3,都市マスタ[#Headers],0))</f>
        <v>イスタンブール</v>
      </c>
      <c r="E33" s="125"/>
      <c r="F33" s="125"/>
      <c r="G33" s="125"/>
      <c r="H33" s="125"/>
      <c r="I33" s="125">
        <v>46.52813354558306</v>
      </c>
      <c r="J33" s="125">
        <v>45.403762074384801</v>
      </c>
      <c r="K33" s="125">
        <v>48.219711906807085</v>
      </c>
      <c r="L33" s="125">
        <v>45.482400462178639</v>
      </c>
      <c r="M33" s="125">
        <v>49.760531722121705</v>
      </c>
      <c r="N33" s="125">
        <v>47.08921407527663</v>
      </c>
      <c r="O33" s="125">
        <v>44.399643576311377</v>
      </c>
      <c r="P33" s="125">
        <v>44.933869848640178</v>
      </c>
      <c r="Q33" s="125">
        <v>46.2</v>
      </c>
      <c r="R33" s="125">
        <v>46.13074993224123</v>
      </c>
      <c r="S33" s="361">
        <v>47.433540673855504</v>
      </c>
      <c r="T33" s="270">
        <f>INDEX(偏差値表[Comprehensive],MATCH($C33,偏差値表['#],0))</f>
        <v>48.359095075244781</v>
      </c>
    </row>
    <row r="34" spans="2:20">
      <c r="B34" s="83">
        <f>INDEX(順位表[Comprehensive],MATCH($C34,順位表['#],0))</f>
        <v>31</v>
      </c>
      <c r="C34" s="3">
        <v>46</v>
      </c>
      <c r="D34" s="43" t="str">
        <f>INDEX(都市マスタ[],MATCH($C34,都市マスタ['#],0),MATCH(D$3,都市マスタ[#Headers],0))</f>
        <v>ヘルシンキ</v>
      </c>
      <c r="E34" s="125"/>
      <c r="F34" s="125"/>
      <c r="G34" s="125"/>
      <c r="H34" s="125"/>
      <c r="I34" s="125"/>
      <c r="J34" s="125"/>
      <c r="K34" s="125"/>
      <c r="L34" s="125"/>
      <c r="M34" s="125"/>
      <c r="N34" s="125"/>
      <c r="O34" s="125"/>
      <c r="P34" s="125">
        <v>48.544386113426448</v>
      </c>
      <c r="Q34" s="125">
        <v>46.5</v>
      </c>
      <c r="R34" s="125">
        <v>47.576006846629276</v>
      </c>
      <c r="S34" s="361">
        <v>48.948525794436662</v>
      </c>
      <c r="T34" s="270">
        <f>INDEX(偏差値表[Comprehensive],MATCH($C34,偏差値表['#],0))</f>
        <v>47.881489020985661</v>
      </c>
    </row>
    <row r="35" spans="2:20">
      <c r="B35" s="83">
        <f>INDEX(順位表[Comprehensive],MATCH($C35,順位表['#],0))</f>
        <v>32</v>
      </c>
      <c r="C35" s="3">
        <v>31</v>
      </c>
      <c r="D35" s="43" t="str">
        <f>INDEX(都市マスタ[],MATCH($C35,都市マスタ['#],0),MATCH(D$3,都市マスタ[#Headers],0))</f>
        <v>バンクーバー</v>
      </c>
      <c r="E35" s="125"/>
      <c r="F35" s="125">
        <v>46.997626657354736</v>
      </c>
      <c r="G35" s="125">
        <v>49.32590060738174</v>
      </c>
      <c r="H35" s="125">
        <v>47.671027943817734</v>
      </c>
      <c r="I35" s="125">
        <v>47.319407781699951</v>
      </c>
      <c r="J35" s="125">
        <v>47.432057714696725</v>
      </c>
      <c r="K35" s="125">
        <v>47.838464613198155</v>
      </c>
      <c r="L35" s="125">
        <v>48.626743587896009</v>
      </c>
      <c r="M35" s="125">
        <v>47.877456488891546</v>
      </c>
      <c r="N35" s="125">
        <v>48.053467199889845</v>
      </c>
      <c r="O35" s="125">
        <v>50.808834131899573</v>
      </c>
      <c r="P35" s="125">
        <v>50.075225648498083</v>
      </c>
      <c r="Q35" s="125">
        <v>49</v>
      </c>
      <c r="R35" s="125">
        <v>47.897285718044799</v>
      </c>
      <c r="S35" s="361">
        <v>46.324908583188801</v>
      </c>
      <c r="T35" s="270">
        <f>INDEX(偏差値表[Comprehensive],MATCH($C35,偏差値表['#],0))</f>
        <v>47.090022325485641</v>
      </c>
    </row>
    <row r="36" spans="2:20">
      <c r="B36" s="83">
        <f>INDEX(順位表[Comprehensive],MATCH($C36,順位表['#],0))</f>
        <v>33</v>
      </c>
      <c r="C36" s="3">
        <v>10</v>
      </c>
      <c r="D36" s="43" t="str">
        <f>INDEX(都市マスタ[],MATCH($C36,都市マスタ['#],0),MATCH(D$3,都市マスタ[#Headers],0))</f>
        <v>ミラノ</v>
      </c>
      <c r="E36" s="125">
        <v>38.219439194341945</v>
      </c>
      <c r="F36" s="125">
        <v>43.259501059698572</v>
      </c>
      <c r="G36" s="125">
        <v>43.68953256035897</v>
      </c>
      <c r="H36" s="125">
        <v>43.702806940971087</v>
      </c>
      <c r="I36" s="125">
        <v>45.183212579884731</v>
      </c>
      <c r="J36" s="125">
        <v>44.79460238500824</v>
      </c>
      <c r="K36" s="125">
        <v>46.773177902984308</v>
      </c>
      <c r="L36" s="125">
        <v>45.886640438778954</v>
      </c>
      <c r="M36" s="125">
        <v>45.762022543892257</v>
      </c>
      <c r="N36" s="125">
        <v>46.425521058018916</v>
      </c>
      <c r="O36" s="125">
        <v>46.012935937863901</v>
      </c>
      <c r="P36" s="125">
        <v>46.346903760795293</v>
      </c>
      <c r="Q36" s="125">
        <v>44.7</v>
      </c>
      <c r="R36" s="125">
        <v>46.604606612852542</v>
      </c>
      <c r="S36" s="361">
        <v>48.491299665999293</v>
      </c>
      <c r="T36" s="270">
        <f>INDEX(偏差値表[Comprehensive],MATCH($C36,偏差値表['#],0))</f>
        <v>46.988109411130452</v>
      </c>
    </row>
    <row r="37" spans="2:20">
      <c r="B37" s="83">
        <f>INDEX(順位表[Comprehensive],MATCH($C37,順位表['#],0))</f>
        <v>34</v>
      </c>
      <c r="C37" s="3">
        <v>17</v>
      </c>
      <c r="D37" s="43" t="str">
        <f>INDEX(都市マスタ[],MATCH($C37,都市マスタ['#],0),MATCH(D$3,都市マスタ[#Headers],0))</f>
        <v>モスクワ</v>
      </c>
      <c r="E37" s="125">
        <v>43.345304427585035</v>
      </c>
      <c r="F37" s="125">
        <v>37.510877755841442</v>
      </c>
      <c r="G37" s="125">
        <v>37.86382690816545</v>
      </c>
      <c r="H37" s="125">
        <v>38.576100417790933</v>
      </c>
      <c r="I37" s="125">
        <v>40.309518025643541</v>
      </c>
      <c r="J37" s="125">
        <v>39.154747037489479</v>
      </c>
      <c r="K37" s="125">
        <v>40.643697732164846</v>
      </c>
      <c r="L37" s="125">
        <v>39.32373050323249</v>
      </c>
      <c r="M37" s="125">
        <v>43.024735141567291</v>
      </c>
      <c r="N37" s="125">
        <v>43.516524895322767</v>
      </c>
      <c r="O37" s="125">
        <v>44.500397606169244</v>
      </c>
      <c r="P37" s="125">
        <v>48.231281666089053</v>
      </c>
      <c r="Q37" s="125">
        <v>46.8</v>
      </c>
      <c r="R37" s="125">
        <v>46.786819283292573</v>
      </c>
      <c r="S37" s="361">
        <v>47.147393874603161</v>
      </c>
      <c r="T37" s="270">
        <f>INDEX(偏差値表[Comprehensive],MATCH($C37,偏差値表['#],0))</f>
        <v>46.255464050123372</v>
      </c>
    </row>
    <row r="38" spans="2:20">
      <c r="B38" s="83">
        <f>INDEX(順位表[Comprehensive],MATCH($C38,順位表['#],0))</f>
        <v>35</v>
      </c>
      <c r="C38" s="3">
        <v>25</v>
      </c>
      <c r="D38" s="43" t="str">
        <f>INDEX(都市マスタ[],MATCH($C38,都市マスタ['#],0),MATCH(D$3,都市マスタ[#Headers],0))</f>
        <v>台北</v>
      </c>
      <c r="E38" s="125">
        <v>39.432003794937827</v>
      </c>
      <c r="F38" s="125">
        <v>41.441897664377294</v>
      </c>
      <c r="G38" s="125">
        <v>41.907702787593379</v>
      </c>
      <c r="H38" s="125">
        <v>41.818667615702637</v>
      </c>
      <c r="I38" s="125">
        <v>42.885306390297274</v>
      </c>
      <c r="J38" s="125">
        <v>40.756450857699726</v>
      </c>
      <c r="K38" s="125">
        <v>43.658980200901652</v>
      </c>
      <c r="L38" s="125">
        <v>45.267696518612077</v>
      </c>
      <c r="M38" s="125">
        <v>45.519774906803768</v>
      </c>
      <c r="N38" s="125">
        <v>43.017759796372559</v>
      </c>
      <c r="O38" s="125">
        <v>44.364729955506654</v>
      </c>
      <c r="P38" s="125">
        <v>43.251721686915118</v>
      </c>
      <c r="Q38" s="125">
        <v>45.3</v>
      </c>
      <c r="R38" s="125">
        <v>44.493188740159006</v>
      </c>
      <c r="S38" s="361">
        <v>45.60458188417914</v>
      </c>
      <c r="T38" s="270">
        <f>INDEX(偏差値表[Comprehensive],MATCH($C38,偏差値表['#],0))</f>
        <v>45.324675694316191</v>
      </c>
    </row>
    <row r="39" spans="2:20">
      <c r="B39" s="83">
        <f>INDEX(順位表[Comprehensive],MATCH($C39,順位表['#],0))</f>
        <v>36</v>
      </c>
      <c r="C39" s="3">
        <v>37</v>
      </c>
      <c r="D39" s="43" t="str">
        <f>INDEX(都市マスタ[],MATCH($C39,都市マスタ['#],0),MATCH(D$3,都市マスタ[#Headers],0))</f>
        <v>ワシントンDC</v>
      </c>
      <c r="E39" s="125"/>
      <c r="F39" s="125"/>
      <c r="G39" s="125"/>
      <c r="H39" s="125"/>
      <c r="I39" s="125">
        <v>44.426347327164848</v>
      </c>
      <c r="J39" s="125">
        <v>45.508721334299352</v>
      </c>
      <c r="K39" s="125">
        <v>47.316516023836783</v>
      </c>
      <c r="L39" s="125">
        <v>45.761406675122863</v>
      </c>
      <c r="M39" s="125">
        <v>47.055192621485247</v>
      </c>
      <c r="N39" s="125">
        <v>47.201861678218464</v>
      </c>
      <c r="O39" s="125">
        <v>49.446142193149413</v>
      </c>
      <c r="P39" s="125">
        <v>48.425338354518566</v>
      </c>
      <c r="Q39" s="125">
        <v>45.4</v>
      </c>
      <c r="R39" s="125">
        <v>45.495151283854625</v>
      </c>
      <c r="S39" s="361">
        <v>46.247080607612894</v>
      </c>
      <c r="T39" s="270">
        <f>INDEX(偏差値表[Comprehensive],MATCH($C39,偏差値表['#],0))</f>
        <v>45.170048775408006</v>
      </c>
    </row>
    <row r="40" spans="2:20">
      <c r="B40" s="83">
        <f>INDEX(順位表[Comprehensive],MATCH($C40,順位表['#],0))</f>
        <v>37</v>
      </c>
      <c r="C40" s="3">
        <v>28</v>
      </c>
      <c r="D40" s="43" t="str">
        <f>INDEX(都市マスタ[],MATCH($C40,都市マスタ['#],0),MATCH(D$3,都市マスタ[#Headers],0))</f>
        <v>大阪</v>
      </c>
      <c r="E40" s="125"/>
      <c r="F40" s="125">
        <v>46.035903159223736</v>
      </c>
      <c r="G40" s="125">
        <v>48.669172695307196</v>
      </c>
      <c r="H40" s="125">
        <v>48.694451703920947</v>
      </c>
      <c r="I40" s="125">
        <v>50.126668294200094</v>
      </c>
      <c r="J40" s="125">
        <v>47.472001909102268</v>
      </c>
      <c r="K40" s="125">
        <v>46.679221123961163</v>
      </c>
      <c r="L40" s="125">
        <v>47.4208808703562</v>
      </c>
      <c r="M40" s="125">
        <v>49.745652221051948</v>
      </c>
      <c r="N40" s="125">
        <v>48.786021301502416</v>
      </c>
      <c r="O40" s="125">
        <v>49.099939029613935</v>
      </c>
      <c r="P40" s="125">
        <v>48.52171332667735</v>
      </c>
      <c r="Q40" s="125">
        <v>46.3</v>
      </c>
      <c r="R40" s="125">
        <v>45.535126372959155</v>
      </c>
      <c r="S40" s="361">
        <v>44.759326084349865</v>
      </c>
      <c r="T40" s="270">
        <f>INDEX(偏差値表[Comprehensive],MATCH($C40,偏差値表['#],0))</f>
        <v>44.769527649710199</v>
      </c>
    </row>
    <row r="41" spans="2:20">
      <c r="B41" s="83">
        <f>INDEX(順位表[Comprehensive],MATCH($C41,順位表['#],0))</f>
        <v>38</v>
      </c>
      <c r="C41" s="3">
        <v>19</v>
      </c>
      <c r="D41" s="43" t="str">
        <f>INDEX(都市マスタ[],MATCH($C41,都市マスタ['#],0),MATCH(D$3,都市マスタ[#Headers],0))</f>
        <v>バンコク</v>
      </c>
      <c r="E41" s="125">
        <v>33.751775168217392</v>
      </c>
      <c r="F41" s="125">
        <v>42.195321218069132</v>
      </c>
      <c r="G41" s="125">
        <v>40.26983782145048</v>
      </c>
      <c r="H41" s="125">
        <v>41.048092225130006</v>
      </c>
      <c r="I41" s="125">
        <v>41.453051847093079</v>
      </c>
      <c r="J41" s="125">
        <v>43.72814208134303</v>
      </c>
      <c r="K41" s="125">
        <v>45.521538785008268</v>
      </c>
      <c r="L41" s="125">
        <v>44.357246948322505</v>
      </c>
      <c r="M41" s="125">
        <v>45.414530734065657</v>
      </c>
      <c r="N41" s="125">
        <v>46.184622930063341</v>
      </c>
      <c r="O41" s="125">
        <v>42.760381103582617</v>
      </c>
      <c r="P41" s="125">
        <v>42.827285169781376</v>
      </c>
      <c r="Q41" s="125">
        <v>45.9</v>
      </c>
      <c r="R41" s="125">
        <v>45.806327822352451</v>
      </c>
      <c r="S41" s="361">
        <v>41.335153979000836</v>
      </c>
      <c r="T41" s="270">
        <f>INDEX(偏差値表[Comprehensive],MATCH($C41,偏差値表['#],0))</f>
        <v>44.642365892023861</v>
      </c>
    </row>
    <row r="42" spans="2:20">
      <c r="B42" s="83">
        <f>INDEX(順位表[Comprehensive],MATCH($C42,順位表['#],0))</f>
        <v>39</v>
      </c>
      <c r="C42" s="3">
        <v>40</v>
      </c>
      <c r="D42" s="43" t="str">
        <f>INDEX(都市マスタ[],MATCH($C42,都市マスタ['#],0),MATCH(D$3,都市マスタ[#Headers],0))</f>
        <v>サンパウロ</v>
      </c>
      <c r="E42" s="125"/>
      <c r="F42" s="125">
        <v>37.078069753617712</v>
      </c>
      <c r="G42" s="125">
        <v>37.845998740898111</v>
      </c>
      <c r="H42" s="125">
        <v>38.729676727569448</v>
      </c>
      <c r="I42" s="125">
        <v>35.322276498852744</v>
      </c>
      <c r="J42" s="125">
        <v>37.187117854394423</v>
      </c>
      <c r="K42" s="125">
        <v>37.014618287818962</v>
      </c>
      <c r="L42" s="125">
        <v>35.6815997676226</v>
      </c>
      <c r="M42" s="125">
        <v>38.419050994134679</v>
      </c>
      <c r="N42" s="125">
        <v>39.313662811647525</v>
      </c>
      <c r="O42" s="125">
        <v>37.919217547455652</v>
      </c>
      <c r="P42" s="125">
        <v>39.99801840343568</v>
      </c>
      <c r="Q42" s="125">
        <v>40.799999999999997</v>
      </c>
      <c r="R42" s="125">
        <v>39.373186987708806</v>
      </c>
      <c r="S42" s="361">
        <v>42.458982280291174</v>
      </c>
      <c r="T42" s="270">
        <f>INDEX(偏差値表[Comprehensive],MATCH($C42,偏差値表['#],0))</f>
        <v>42.214589640522718</v>
      </c>
    </row>
    <row r="43" spans="2:20">
      <c r="B43" s="83">
        <f>INDEX(順位表[Comprehensive],MATCH($C43,順位表['#],0))</f>
        <v>40</v>
      </c>
      <c r="C43" s="3">
        <v>47</v>
      </c>
      <c r="D43" s="43" t="str">
        <f>INDEX(都市マスタ[],MATCH($C43,都市マスタ['#],0),MATCH(D$3,都市マスタ[#Headers],0))</f>
        <v>テルアビブ</v>
      </c>
      <c r="E43" s="125"/>
      <c r="F43" s="125"/>
      <c r="G43" s="125"/>
      <c r="H43" s="125"/>
      <c r="I43" s="125"/>
      <c r="J43" s="125"/>
      <c r="K43" s="125"/>
      <c r="L43" s="125"/>
      <c r="M43" s="125"/>
      <c r="N43" s="125"/>
      <c r="O43" s="125"/>
      <c r="P43" s="125">
        <v>43.94543454995523</v>
      </c>
      <c r="Q43" s="125">
        <v>41.4</v>
      </c>
      <c r="R43" s="125">
        <v>41.01224348740174</v>
      </c>
      <c r="S43" s="361">
        <v>41.420367779249261</v>
      </c>
      <c r="T43" s="270">
        <f>INDEX(偏差値表[Comprehensive],MATCH($C43,偏差値表['#],0))</f>
        <v>41.908805057368923</v>
      </c>
    </row>
    <row r="44" spans="2:20">
      <c r="B44" s="83">
        <f>INDEX(順位表[Comprehensive],MATCH($C44,順位表['#],0))</f>
        <v>41</v>
      </c>
      <c r="C44" s="3">
        <v>20</v>
      </c>
      <c r="D44" s="43" t="str">
        <f>INDEX(都市マスタ[],MATCH($C44,都市マスタ['#],0),MATCH(D$3,都市マスタ[#Headers],0))</f>
        <v>クアラルンプール</v>
      </c>
      <c r="E44" s="125">
        <v>42.094338311335846</v>
      </c>
      <c r="F44" s="125">
        <v>43.40061047556884</v>
      </c>
      <c r="G44" s="125">
        <v>40.340339783832029</v>
      </c>
      <c r="H44" s="125">
        <v>40.016305988190709</v>
      </c>
      <c r="I44" s="125">
        <v>41.815428469706767</v>
      </c>
      <c r="J44" s="125">
        <v>40.433416084511826</v>
      </c>
      <c r="K44" s="125">
        <v>42.066553299669572</v>
      </c>
      <c r="L44" s="125">
        <v>44.041111183836193</v>
      </c>
      <c r="M44" s="125">
        <v>45.639632844839277</v>
      </c>
      <c r="N44" s="125">
        <v>46.729593537683726</v>
      </c>
      <c r="O44" s="125">
        <v>45.904544327106407</v>
      </c>
      <c r="P44" s="125">
        <v>46.41343761319898</v>
      </c>
      <c r="Q44" s="125">
        <v>44.9</v>
      </c>
      <c r="R44" s="125">
        <v>43.333682599855564</v>
      </c>
      <c r="S44" s="361">
        <v>40.895415916752725</v>
      </c>
      <c r="T44" s="270">
        <f>INDEX(偏差値表[Comprehensive],MATCH($C44,偏差値表['#],0))</f>
        <v>41.196959652990273</v>
      </c>
    </row>
    <row r="45" spans="2:20">
      <c r="B45" s="83">
        <f>INDEX(順位表[Comprehensive],MATCH($C45,順位表['#],0))</f>
        <v>42</v>
      </c>
      <c r="C45" s="3">
        <v>27</v>
      </c>
      <c r="D45" s="43" t="str">
        <f>INDEX(都市マスタ[],MATCH($C45,都市マスタ['#],0),MATCH(D$3,都市マスタ[#Headers],0))</f>
        <v>福岡</v>
      </c>
      <c r="E45" s="125"/>
      <c r="F45" s="125">
        <v>41.575572198488224</v>
      </c>
      <c r="G45" s="125">
        <v>43.141349807892595</v>
      </c>
      <c r="H45" s="125">
        <v>42.206802741038189</v>
      </c>
      <c r="I45" s="125">
        <v>41.935598738656026</v>
      </c>
      <c r="J45" s="125">
        <v>39.661939657168887</v>
      </c>
      <c r="K45" s="125">
        <v>39.950564868751187</v>
      </c>
      <c r="L45" s="125">
        <v>41.205079170837806</v>
      </c>
      <c r="M45" s="125">
        <v>42.969976540191865</v>
      </c>
      <c r="N45" s="125">
        <v>42.639733736525272</v>
      </c>
      <c r="O45" s="125">
        <v>42.55902169451354</v>
      </c>
      <c r="P45" s="125">
        <v>40.902681680586241</v>
      </c>
      <c r="Q45" s="125">
        <v>40.200000000000003</v>
      </c>
      <c r="R45" s="125">
        <v>40.785200253538363</v>
      </c>
      <c r="S45" s="361">
        <v>40.724655478638283</v>
      </c>
      <c r="T45" s="270">
        <f>INDEX(偏差値表[Comprehensive],MATCH($C45,偏差値表['#],0))</f>
        <v>39.444483682416148</v>
      </c>
    </row>
    <row r="46" spans="2:20">
      <c r="B46" s="83">
        <f>INDEX(順位表[Comprehensive],MATCH($C46,順位表['#],0))</f>
        <v>43</v>
      </c>
      <c r="C46" s="3">
        <v>34</v>
      </c>
      <c r="D46" s="43" t="str">
        <f>INDEX(都市マスタ[],MATCH($C46,都市マスタ['#],0),MATCH(D$3,都市マスタ[#Headers],0))</f>
        <v>メキシコシティ</v>
      </c>
      <c r="E46" s="125"/>
      <c r="F46" s="125"/>
      <c r="G46" s="125"/>
      <c r="H46" s="125"/>
      <c r="I46" s="125">
        <v>41.434913841196632</v>
      </c>
      <c r="J46" s="125">
        <v>38.60051119956097</v>
      </c>
      <c r="K46" s="125">
        <v>38.031499655985961</v>
      </c>
      <c r="L46" s="125">
        <v>37.011552029673794</v>
      </c>
      <c r="M46" s="125">
        <v>39.131982654322471</v>
      </c>
      <c r="N46" s="125">
        <v>39.6564182294209</v>
      </c>
      <c r="O46" s="125">
        <v>38.669003789241387</v>
      </c>
      <c r="P46" s="125">
        <v>37.799444123146372</v>
      </c>
      <c r="Q46" s="125">
        <v>37.9</v>
      </c>
      <c r="R46" s="125">
        <v>37.680709142663922</v>
      </c>
      <c r="S46" s="361">
        <v>37.79193847549061</v>
      </c>
      <c r="T46" s="270">
        <f>INDEX(偏差値表[Comprehensive],MATCH($C46,偏差値表['#],0))</f>
        <v>39.090260625096903</v>
      </c>
    </row>
    <row r="47" spans="2:20">
      <c r="B47" s="83">
        <f>INDEX(順位表[Comprehensive],MATCH($C47,順位表['#],0))</f>
        <v>44</v>
      </c>
      <c r="C47" s="3">
        <v>43</v>
      </c>
      <c r="D47" s="43" t="str">
        <f>INDEX(都市マスタ[],MATCH($C47,都市マスタ['#],0),MATCH(D$3,都市マスタ[#Headers],0))</f>
        <v>ブエノスアイレス</v>
      </c>
      <c r="E47" s="125"/>
      <c r="F47" s="125"/>
      <c r="G47" s="125"/>
      <c r="H47" s="125"/>
      <c r="I47" s="125"/>
      <c r="J47" s="125"/>
      <c r="K47" s="125"/>
      <c r="L47" s="125"/>
      <c r="M47" s="125"/>
      <c r="N47" s="125">
        <v>36.760625277786943</v>
      </c>
      <c r="O47" s="125">
        <v>38.894800417540665</v>
      </c>
      <c r="P47" s="125">
        <v>41.114068326150623</v>
      </c>
      <c r="Q47" s="125">
        <v>41.6</v>
      </c>
      <c r="R47" s="125">
        <v>41.977639325493143</v>
      </c>
      <c r="S47" s="361">
        <v>40.331360526000523</v>
      </c>
      <c r="T47" s="270">
        <f>INDEX(偏差値表[Comprehensive],MATCH($C47,偏差値表['#],0))</f>
        <v>37.791256777097388</v>
      </c>
    </row>
    <row r="48" spans="2:20">
      <c r="B48" s="83">
        <f>INDEX(順位表[Comprehensive],MATCH($C48,順位表['#],0))</f>
        <v>45</v>
      </c>
      <c r="C48" s="3">
        <v>42</v>
      </c>
      <c r="D48" s="43" t="str">
        <f>INDEX(都市マスタ[],MATCH($C48,都市マスタ['#],0),MATCH(D$3,都市マスタ[#Headers],0))</f>
        <v>ジャカルタ</v>
      </c>
      <c r="E48" s="125"/>
      <c r="F48" s="125"/>
      <c r="G48" s="125"/>
      <c r="H48" s="125"/>
      <c r="I48" s="125"/>
      <c r="J48" s="125"/>
      <c r="K48" s="125"/>
      <c r="L48" s="125"/>
      <c r="M48" s="125">
        <v>31.201240027957191</v>
      </c>
      <c r="N48" s="125">
        <v>34.012952495815135</v>
      </c>
      <c r="O48" s="125">
        <v>33.104234564992609</v>
      </c>
      <c r="P48" s="125">
        <v>33.475398690882777</v>
      </c>
      <c r="Q48" s="125">
        <v>35.299999999999997</v>
      </c>
      <c r="R48" s="125">
        <v>33.953131270196295</v>
      </c>
      <c r="S48" s="361">
        <v>34.564057239806267</v>
      </c>
      <c r="T48" s="270">
        <f>INDEX(偏差値表[Comprehensive],MATCH($C48,偏差値表['#],0))</f>
        <v>34.114628981268716</v>
      </c>
    </row>
    <row r="49" spans="2:20">
      <c r="B49" s="83">
        <f>INDEX(順位表[Comprehensive],MATCH($C49,順位表['#],0))</f>
        <v>46</v>
      </c>
      <c r="C49" s="3">
        <v>41</v>
      </c>
      <c r="D49" s="43" t="str">
        <f>INDEX(都市マスタ[],MATCH($C49,都市マスタ['#],0),MATCH(D$3,都市マスタ[#Headers],0))</f>
        <v>ヨハネスブルグ</v>
      </c>
      <c r="E49" s="125"/>
      <c r="F49" s="125"/>
      <c r="G49" s="125"/>
      <c r="H49" s="125"/>
      <c r="I49" s="125"/>
      <c r="J49" s="125"/>
      <c r="K49" s="125"/>
      <c r="L49" s="125"/>
      <c r="M49" s="125">
        <v>27.990845453056885</v>
      </c>
      <c r="N49" s="125">
        <v>29.702590280421827</v>
      </c>
      <c r="O49" s="125">
        <v>31.587293939840151</v>
      </c>
      <c r="P49" s="125">
        <v>29.032765873726142</v>
      </c>
      <c r="Q49" s="125">
        <v>29.3</v>
      </c>
      <c r="R49" s="125">
        <v>28.429044226164748</v>
      </c>
      <c r="S49" s="361">
        <v>28.304282355093232</v>
      </c>
      <c r="T49" s="270">
        <f>INDEX(偏差値表[Comprehensive],MATCH($C49,偏差値表['#],0))</f>
        <v>30.094606223086529</v>
      </c>
    </row>
    <row r="50" spans="2:20">
      <c r="B50" s="83">
        <f>INDEX(順位表[Comprehensive],MATCH($C50,順位表['#],0))</f>
        <v>47</v>
      </c>
      <c r="C50" s="3">
        <v>16</v>
      </c>
      <c r="D50" s="43" t="str">
        <f>INDEX(都市マスタ[],MATCH($C50,都市マスタ['#],0),MATCH(D$3,都市マスタ[#Headers],0))</f>
        <v>カイロ</v>
      </c>
      <c r="E50" s="125"/>
      <c r="F50" s="125">
        <v>26.206517032844452</v>
      </c>
      <c r="G50" s="125">
        <v>32.802122014539258</v>
      </c>
      <c r="H50" s="125">
        <v>33.692515006035421</v>
      </c>
      <c r="I50" s="125">
        <v>31.720955378535511</v>
      </c>
      <c r="J50" s="125">
        <v>31.230733540078603</v>
      </c>
      <c r="K50" s="125">
        <v>28.665320506787843</v>
      </c>
      <c r="L50" s="125">
        <v>29.030292969476331</v>
      </c>
      <c r="M50" s="125">
        <v>30.51756820815206</v>
      </c>
      <c r="N50" s="125">
        <v>30.27544140511143</v>
      </c>
      <c r="O50" s="125">
        <v>28.711810108914811</v>
      </c>
      <c r="P50" s="125">
        <v>29.937875170223368</v>
      </c>
      <c r="Q50" s="125">
        <v>31.2</v>
      </c>
      <c r="R50" s="125">
        <v>33.117070591170844</v>
      </c>
      <c r="S50" s="361">
        <v>31.385188033222541</v>
      </c>
      <c r="T50" s="270">
        <f>INDEX(偏差値表[Comprehensive],MATCH($C50,偏差値表['#],0))</f>
        <v>29.953673525929467</v>
      </c>
    </row>
    <row r="51" spans="2:20">
      <c r="B51" s="85">
        <f>INDEX(順位表[Comprehensive],MATCH($C51,順位表['#],0))</f>
        <v>48</v>
      </c>
      <c r="C51" s="3">
        <v>18</v>
      </c>
      <c r="D51" s="43" t="str">
        <f>INDEX(都市マスタ[],MATCH($C51,都市マスタ['#],0),MATCH(D$3,都市マスタ[#Headers],0))</f>
        <v>ムンバイ</v>
      </c>
      <c r="E51" s="125">
        <v>31.631388793953604</v>
      </c>
      <c r="F51" s="125">
        <v>34.162852828845303</v>
      </c>
      <c r="G51" s="125">
        <v>34.596458370825928</v>
      </c>
      <c r="H51" s="125">
        <v>34.4428175314752</v>
      </c>
      <c r="I51" s="125">
        <v>32.103455714827973</v>
      </c>
      <c r="J51" s="125">
        <v>34.156074482013423</v>
      </c>
      <c r="K51" s="125">
        <v>32.849956005420488</v>
      </c>
      <c r="L51" s="125">
        <v>31.478130859339185</v>
      </c>
      <c r="M51" s="125">
        <v>34.337292509919536</v>
      </c>
      <c r="N51" s="125">
        <v>33.570191537969933</v>
      </c>
      <c r="O51" s="125">
        <v>29.100393146849672</v>
      </c>
      <c r="P51" s="125">
        <v>27.79264413377561</v>
      </c>
      <c r="Q51" s="125">
        <v>29</v>
      </c>
      <c r="R51" s="125">
        <v>28.412259810686873</v>
      </c>
      <c r="S51" s="361">
        <v>27.656017860540931</v>
      </c>
      <c r="T51" s="270">
        <f>INDEX(偏差値表[Comprehensive],MATCH($C51,偏差値表['#],0))</f>
        <v>29.129746740362577</v>
      </c>
    </row>
  </sheetData>
  <autoFilter ref="B3:T3" xr:uid="{00000000-0009-0000-0000-000014000000}">
    <sortState xmlns:xlrd2="http://schemas.microsoft.com/office/spreadsheetml/2017/richdata2" ref="B4:T51">
      <sortCondition ref="B3"/>
    </sortState>
  </autoFilter>
  <mergeCells count="1">
    <mergeCell ref="AG2:AH2"/>
  </mergeCells>
  <phoneticPr fontId="5"/>
  <pageMargins left="0.25" right="0.25" top="0.75" bottom="0.75" header="0.3" footer="0.3"/>
  <pageSetup paperSize="9" scale="41"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7">
    <pageSetUpPr fitToPage="1"/>
  </sheetPr>
  <dimension ref="B1:AN51"/>
  <sheetViews>
    <sheetView showGridLines="0" zoomScaleNormal="100" workbookViewId="0">
      <selection activeCell="Q6" sqref="Q6"/>
    </sheetView>
  </sheetViews>
  <sheetFormatPr defaultColWidth="9" defaultRowHeight="15.75"/>
  <cols>
    <col min="1" max="1" width="3.28515625" style="93" bestFit="1" customWidth="1"/>
    <col min="2" max="2" width="5.7109375" customWidth="1"/>
    <col min="3" max="3" width="3.28515625" style="2" customWidth="1"/>
    <col min="4" max="4" width="16" style="93" customWidth="1"/>
    <col min="5" max="13" width="3" style="22" customWidth="1"/>
    <col min="14" max="19" width="7.28515625" style="22" customWidth="1"/>
    <col min="20" max="20" width="7.28515625" style="26" customWidth="1"/>
    <col min="21" max="21" width="3.28515625" style="93" bestFit="1" customWidth="1"/>
    <col min="22" max="37" width="9" style="93"/>
    <col min="38" max="39" width="12.42578125" style="93" bestFit="1" customWidth="1"/>
    <col min="40" max="40" width="3.42578125" style="93" bestFit="1" customWidth="1"/>
    <col min="41" max="16384" width="9" style="93"/>
  </cols>
  <sheetData>
    <row r="1" spans="2:40">
      <c r="B1" t="s">
        <v>1117</v>
      </c>
      <c r="E1" t="s">
        <v>1094</v>
      </c>
      <c r="T1" s="292" t="s">
        <v>1095</v>
      </c>
    </row>
    <row r="2" spans="2:40">
      <c r="T2"/>
      <c r="AG2" s="445" t="str">
        <f ca="1">TEXT(NOW(),"yyyy/m/d h:mm")</f>
        <v>2024/9/9 10:49</v>
      </c>
      <c r="AH2" s="445"/>
      <c r="AI2" t="s">
        <v>640</v>
      </c>
    </row>
    <row r="3" spans="2:40" ht="78.75">
      <c r="B3" s="84" t="s">
        <v>537</v>
      </c>
      <c r="C3" s="36" t="s">
        <v>523</v>
      </c>
      <c r="D3" s="98" t="str">
        <f>IF(JPEN!$C$2="EN",都市!$C$2,都市!$D$2)</f>
        <v>都市名</v>
      </c>
      <c r="E3" s="124" t="s">
        <v>467</v>
      </c>
      <c r="F3" s="124" t="s">
        <v>466</v>
      </c>
      <c r="G3" s="124" t="s">
        <v>443</v>
      </c>
      <c r="H3" s="124" t="s">
        <v>444</v>
      </c>
      <c r="I3" s="124" t="s">
        <v>445</v>
      </c>
      <c r="J3" s="124" t="s">
        <v>446</v>
      </c>
      <c r="K3" s="124" t="s">
        <v>447</v>
      </c>
      <c r="L3" s="124" t="s">
        <v>448</v>
      </c>
      <c r="M3" s="124" t="s">
        <v>449</v>
      </c>
      <c r="N3" s="124" t="s">
        <v>450</v>
      </c>
      <c r="O3" s="124" t="s">
        <v>451</v>
      </c>
      <c r="P3" s="124" t="s">
        <v>452</v>
      </c>
      <c r="Q3" s="124" t="s">
        <v>1096</v>
      </c>
      <c r="R3" s="124" t="s">
        <v>3571</v>
      </c>
      <c r="S3" s="124" t="s">
        <v>3572</v>
      </c>
      <c r="T3" s="124" t="s">
        <v>3835</v>
      </c>
      <c r="AK3" s="96"/>
      <c r="AL3" s="332" t="s">
        <v>2551</v>
      </c>
      <c r="AM3" s="332" t="s">
        <v>2557</v>
      </c>
      <c r="AN3" s="332" t="s">
        <v>2568</v>
      </c>
    </row>
    <row r="4" spans="2:40">
      <c r="B4" s="83">
        <f>INDEX(順位表[Comprehensive],MATCH($C4,順位表['#],0))</f>
        <v>14</v>
      </c>
      <c r="C4" s="3">
        <v>1</v>
      </c>
      <c r="D4" s="43" t="str">
        <f>INDEX(都市マスタ[],MATCH($C4,都市マスタ['#],0),MATCH(D$3,都市マスタ[#Headers],0))</f>
        <v>マドリード</v>
      </c>
      <c r="E4" s="125">
        <v>1101.9247079602371</v>
      </c>
      <c r="F4" s="125">
        <v>1152.2175110359169</v>
      </c>
      <c r="G4" s="125">
        <v>1001.4051948413723</v>
      </c>
      <c r="H4" s="125">
        <v>972.25220266354188</v>
      </c>
      <c r="I4" s="125">
        <v>977.5531107073449</v>
      </c>
      <c r="J4" s="125">
        <v>993.74281141593985</v>
      </c>
      <c r="K4" s="125">
        <v>984.20063246364782</v>
      </c>
      <c r="L4" s="125">
        <v>966.14798309360378</v>
      </c>
      <c r="M4" s="125">
        <v>997.97972147364169</v>
      </c>
      <c r="N4" s="125">
        <v>1010.4263573629732</v>
      </c>
      <c r="O4" s="125">
        <v>1088.9283127969009</v>
      </c>
      <c r="P4" s="125">
        <v>1124.9565874032833</v>
      </c>
      <c r="Q4" s="125">
        <v>1097</v>
      </c>
      <c r="R4" s="125">
        <v>1126.1585298414584</v>
      </c>
      <c r="S4" s="361">
        <v>1121.9891103921418</v>
      </c>
      <c r="T4" s="270">
        <f>INDEX(スコア表[Comprehensive],MATCH($C4,スコア表['#],0))</f>
        <v>1131.5332886492749</v>
      </c>
      <c r="AK4" s="96" t="s">
        <v>2541</v>
      </c>
      <c r="AL4" s="96" t="s">
        <v>3596</v>
      </c>
      <c r="AM4" s="96" t="s">
        <v>2558</v>
      </c>
      <c r="AN4" s="333"/>
    </row>
    <row r="5" spans="2:40">
      <c r="B5" s="83">
        <f>INDEX(順位表[Comprehensive],MATCH($C5,順位表['#],0))</f>
        <v>22</v>
      </c>
      <c r="C5" s="3">
        <v>2</v>
      </c>
      <c r="D5" s="43" t="str">
        <f>INDEX(都市マスタ[],MATCH($C5,都市マスタ['#],0),MATCH(D$3,都市マスタ[#Headers],0))</f>
        <v>バルセロナ</v>
      </c>
      <c r="E5" s="125"/>
      <c r="F5" s="125"/>
      <c r="G5" s="125"/>
      <c r="H5" s="125"/>
      <c r="I5" s="125">
        <v>1037.7516068359225</v>
      </c>
      <c r="J5" s="125">
        <v>989.61828681338432</v>
      </c>
      <c r="K5" s="125">
        <v>935.2541927779688</v>
      </c>
      <c r="L5" s="125">
        <v>954.96180848283416</v>
      </c>
      <c r="M5" s="125">
        <v>1035.3042128782872</v>
      </c>
      <c r="N5" s="125">
        <v>1033.2898597256869</v>
      </c>
      <c r="O5" s="125">
        <v>1083.4771670706834</v>
      </c>
      <c r="P5" s="125">
        <v>1076.8136642654249</v>
      </c>
      <c r="Q5" s="125">
        <v>1072.3</v>
      </c>
      <c r="R5" s="125">
        <v>1077.58746057605</v>
      </c>
      <c r="S5" s="361">
        <v>1088.1318142698833</v>
      </c>
      <c r="T5" s="270">
        <f>INDEX(スコア表[Comprehensive],MATCH($C5,スコア表['#],0))</f>
        <v>1067.5603584961584</v>
      </c>
      <c r="AK5" s="96" t="s">
        <v>2542</v>
      </c>
      <c r="AL5" s="96" t="s">
        <v>3597</v>
      </c>
      <c r="AM5" s="96" t="s">
        <v>2559</v>
      </c>
      <c r="AN5" s="334"/>
    </row>
    <row r="6" spans="2:40">
      <c r="B6" s="83">
        <f>INDEX(順位表[Comprehensive],MATCH($C6,順位表['#],0))</f>
        <v>1</v>
      </c>
      <c r="C6" s="3">
        <v>3</v>
      </c>
      <c r="D6" s="43" t="str">
        <f>INDEX(都市マスタ[],MATCH($C6,都市マスタ['#],0),MATCH(D$3,都市マスタ[#Headers],0))</f>
        <v>ロンドン</v>
      </c>
      <c r="E6" s="125">
        <v>1598.5391764325204</v>
      </c>
      <c r="F6" s="125">
        <v>1531.1641861369289</v>
      </c>
      <c r="G6" s="125">
        <v>1503.7313778857824</v>
      </c>
      <c r="H6" s="125">
        <v>1537.1473041029617</v>
      </c>
      <c r="I6" s="125">
        <v>1562.642836355526</v>
      </c>
      <c r="J6" s="125">
        <v>1568.451032114278</v>
      </c>
      <c r="K6" s="125">
        <v>1598.5202165353248</v>
      </c>
      <c r="L6" s="125">
        <v>1623.9295309361985</v>
      </c>
      <c r="M6" s="125">
        <v>1614.9799452461964</v>
      </c>
      <c r="N6" s="125">
        <v>1666.9572697773926</v>
      </c>
      <c r="O6" s="125">
        <v>1692.2862327649866</v>
      </c>
      <c r="P6" s="125">
        <v>1669.1422798054998</v>
      </c>
      <c r="Q6" s="125">
        <v>1661.1</v>
      </c>
      <c r="R6" s="125">
        <v>1644.0566730753167</v>
      </c>
      <c r="S6" s="361">
        <v>1592.3605192160085</v>
      </c>
      <c r="T6" s="270">
        <f>INDEX(スコア表[Comprehensive],MATCH($C6,スコア表['#],0))</f>
        <v>1646.7303259913833</v>
      </c>
      <c r="AK6" s="96" t="s">
        <v>2543</v>
      </c>
      <c r="AL6" s="96" t="s">
        <v>3598</v>
      </c>
      <c r="AM6" s="96" t="s">
        <v>2560</v>
      </c>
      <c r="AN6" s="335"/>
    </row>
    <row r="7" spans="2:40">
      <c r="B7" s="83">
        <f>INDEX(順位表[Comprehensive],MATCH($C7,順位表['#],0))</f>
        <v>4</v>
      </c>
      <c r="C7" s="3">
        <v>4</v>
      </c>
      <c r="D7" s="43" t="str">
        <f>INDEX(都市マスタ[],MATCH($C7,都市マスタ['#],0),MATCH(D$3,都市マスタ[#Headers],0))</f>
        <v>パリ</v>
      </c>
      <c r="E7" s="125">
        <v>1487.6686963229367</v>
      </c>
      <c r="F7" s="125">
        <v>1510.0719929514607</v>
      </c>
      <c r="G7" s="125">
        <v>1453.2201837332152</v>
      </c>
      <c r="H7" s="125">
        <v>1480.3515054931429</v>
      </c>
      <c r="I7" s="125">
        <v>1451.9528370791486</v>
      </c>
      <c r="J7" s="125">
        <v>1389.7889356189107</v>
      </c>
      <c r="K7" s="125">
        <v>1390.4629466251251</v>
      </c>
      <c r="L7" s="125">
        <v>1397.4456692916367</v>
      </c>
      <c r="M7" s="125">
        <v>1378.0001497837422</v>
      </c>
      <c r="N7" s="125">
        <v>1369.9566429192471</v>
      </c>
      <c r="O7" s="125">
        <v>1393.9261439279549</v>
      </c>
      <c r="P7" s="125">
        <v>1387.6681457178418</v>
      </c>
      <c r="Q7" s="125">
        <v>1325.4</v>
      </c>
      <c r="R7" s="125">
        <v>1350.7584270593247</v>
      </c>
      <c r="S7" s="361">
        <v>1356.881205476275</v>
      </c>
      <c r="T7" s="270">
        <f>INDEX(スコア表[Comprehensive],MATCH($C7,スコア表['#],0))</f>
        <v>1363.7038405149415</v>
      </c>
      <c r="AK7" s="96" t="s">
        <v>2544</v>
      </c>
      <c r="AL7" s="96" t="s">
        <v>2552</v>
      </c>
      <c r="AM7" s="96" t="s">
        <v>2561</v>
      </c>
      <c r="AN7" s="336"/>
    </row>
    <row r="8" spans="2:40">
      <c r="B8" s="83">
        <f>INDEX(順位表[Comprehensive],MATCH($C8,順位表['#],0))</f>
        <v>24</v>
      </c>
      <c r="C8" s="3">
        <v>5</v>
      </c>
      <c r="D8" s="43" t="str">
        <f>INDEX(都市マスタ[],MATCH($C8,都市マスタ['#],0),MATCH(D$3,都市マスタ[#Headers],0))</f>
        <v>ブリュッセル</v>
      </c>
      <c r="E8" s="125">
        <v>1086.1368833480738</v>
      </c>
      <c r="F8" s="125">
        <v>1092.2508390811981</v>
      </c>
      <c r="G8" s="125">
        <v>972.97579071774931</v>
      </c>
      <c r="H8" s="125">
        <v>954.95379310527289</v>
      </c>
      <c r="I8" s="125">
        <v>1001.9455677334907</v>
      </c>
      <c r="J8" s="125">
        <v>974.62847910343226</v>
      </c>
      <c r="K8" s="125">
        <v>951.69258545306911</v>
      </c>
      <c r="L8" s="125">
        <v>958.06245976067737</v>
      </c>
      <c r="M8" s="125">
        <v>1023.1546837200937</v>
      </c>
      <c r="N8" s="125">
        <v>1045.5021673840361</v>
      </c>
      <c r="O8" s="125">
        <v>1078.0454740951939</v>
      </c>
      <c r="P8" s="125">
        <v>1044.2784751233917</v>
      </c>
      <c r="Q8" s="125">
        <v>993.4</v>
      </c>
      <c r="R8" s="125">
        <v>1023.2249518985501</v>
      </c>
      <c r="S8" s="361">
        <v>1049.7332054061499</v>
      </c>
      <c r="T8" s="270">
        <f>INDEX(スコア表[Comprehensive],MATCH($C8,スコア表['#],0))</f>
        <v>1049.2927396257251</v>
      </c>
      <c r="AK8" s="96" t="s">
        <v>2545</v>
      </c>
      <c r="AL8" s="96" t="s">
        <v>2553</v>
      </c>
      <c r="AM8" s="96" t="s">
        <v>2562</v>
      </c>
      <c r="AN8" s="337"/>
    </row>
    <row r="9" spans="2:40">
      <c r="B9" s="83">
        <f>INDEX(順位表[Comprehensive],MATCH($C9,順位表['#],0))</f>
        <v>6</v>
      </c>
      <c r="C9" s="3">
        <v>6</v>
      </c>
      <c r="D9" s="43" t="str">
        <f>INDEX(都市マスタ[],MATCH($C9,都市マスタ['#],0),MATCH(D$3,都市マスタ[#Headers],0))</f>
        <v>アムステルダム</v>
      </c>
      <c r="E9" s="125">
        <v>1233.6552089173426</v>
      </c>
      <c r="F9" s="125">
        <v>1190.3223324553803</v>
      </c>
      <c r="G9" s="125">
        <v>1106.5064558158028</v>
      </c>
      <c r="H9" s="125">
        <v>1086.5041882790049</v>
      </c>
      <c r="I9" s="125">
        <v>1149.3309253978641</v>
      </c>
      <c r="J9" s="125">
        <v>1142.3489810313383</v>
      </c>
      <c r="K9" s="125">
        <v>1135.5936460367955</v>
      </c>
      <c r="L9" s="125">
        <v>1134.7791749215542</v>
      </c>
      <c r="M9" s="125">
        <v>1160.1743437951466</v>
      </c>
      <c r="N9" s="125">
        <v>1207.1949118330722</v>
      </c>
      <c r="O9" s="125">
        <v>1265.8917237145204</v>
      </c>
      <c r="P9" s="125">
        <v>1236.0444632720169</v>
      </c>
      <c r="Q9" s="125">
        <v>1187.4000000000001</v>
      </c>
      <c r="R9" s="125">
        <v>1212.7885499351416</v>
      </c>
      <c r="S9" s="361">
        <v>1228.5477094100249</v>
      </c>
      <c r="T9" s="270">
        <f>INDEX(スコア表[Comprehensive],MATCH($C9,スコア表['#],0))</f>
        <v>1246.3159718095417</v>
      </c>
      <c r="AK9" s="96" t="s">
        <v>2546</v>
      </c>
      <c r="AL9" s="96" t="s">
        <v>2555</v>
      </c>
      <c r="AM9" s="96" t="s">
        <v>2564</v>
      </c>
      <c r="AN9" s="339"/>
    </row>
    <row r="10" spans="2:40">
      <c r="B10" s="83">
        <f>INDEX(順位表[Comprehensive],MATCH($C10,順位表['#],0))</f>
        <v>26</v>
      </c>
      <c r="C10" s="3">
        <v>7</v>
      </c>
      <c r="D10" s="43" t="str">
        <f>INDEX(都市マスタ[],MATCH($C10,都市マスタ['#],0),MATCH(D$3,都市マスタ[#Headers],0))</f>
        <v>ジュネーブ</v>
      </c>
      <c r="E10" s="125">
        <v>1070.4702348929623</v>
      </c>
      <c r="F10" s="125">
        <v>1091.388286542955</v>
      </c>
      <c r="G10" s="125">
        <v>985.04891766189996</v>
      </c>
      <c r="H10" s="125">
        <v>984.00162453195048</v>
      </c>
      <c r="I10" s="125">
        <v>933.60954637476948</v>
      </c>
      <c r="J10" s="125">
        <v>938.69650595390533</v>
      </c>
      <c r="K10" s="125">
        <v>925.62702568733675</v>
      </c>
      <c r="L10" s="125">
        <v>942.66689922834894</v>
      </c>
      <c r="M10" s="125">
        <v>960.23807125876374</v>
      </c>
      <c r="N10" s="125">
        <v>963.55787687046245</v>
      </c>
      <c r="O10" s="125">
        <v>999.39818681040435</v>
      </c>
      <c r="P10" s="125">
        <v>986.29085835359183</v>
      </c>
      <c r="Q10" s="125">
        <v>964.9</v>
      </c>
      <c r="R10" s="125">
        <v>981.26934422457498</v>
      </c>
      <c r="S10" s="361">
        <v>1007.9869169406834</v>
      </c>
      <c r="T10" s="270">
        <f>INDEX(スコア表[Comprehensive],MATCH($C10,スコア表['#],0))</f>
        <v>1042.9079798212251</v>
      </c>
      <c r="AK10" s="96" t="s">
        <v>2547</v>
      </c>
      <c r="AL10" s="96" t="s">
        <v>2554</v>
      </c>
      <c r="AM10" s="96" t="s">
        <v>2563</v>
      </c>
      <c r="AN10" s="338"/>
    </row>
    <row r="11" spans="2:40">
      <c r="B11" s="83">
        <f>INDEX(順位表[Comprehensive],MATCH($C11,順位表['#],0))</f>
        <v>20</v>
      </c>
      <c r="C11" s="3">
        <v>8</v>
      </c>
      <c r="D11" s="43" t="str">
        <f>INDEX(都市マスタ[],MATCH($C11,都市マスタ['#],0),MATCH(D$3,都市マスタ[#Headers],0))</f>
        <v>フランクフルト</v>
      </c>
      <c r="E11" s="125">
        <v>1144.4690839782288</v>
      </c>
      <c r="F11" s="125">
        <v>1106.3450344998321</v>
      </c>
      <c r="G11" s="125">
        <v>1018.0677857464474</v>
      </c>
      <c r="H11" s="125">
        <v>1079.5295057375686</v>
      </c>
      <c r="I11" s="125">
        <v>1040.0626945259075</v>
      </c>
      <c r="J11" s="125">
        <v>1070.7868473856847</v>
      </c>
      <c r="K11" s="125">
        <v>1063.1060337117319</v>
      </c>
      <c r="L11" s="125">
        <v>1057.3698057476338</v>
      </c>
      <c r="M11" s="125">
        <v>1103.6313733278971</v>
      </c>
      <c r="N11" s="125">
        <v>1132.4289416585982</v>
      </c>
      <c r="O11" s="125">
        <v>1140.3793390686187</v>
      </c>
      <c r="P11" s="125">
        <v>1100.8584433543083</v>
      </c>
      <c r="Q11" s="125">
        <v>1043</v>
      </c>
      <c r="R11" s="125">
        <v>1014.2436670975751</v>
      </c>
      <c r="S11" s="361">
        <v>1073.5710320743833</v>
      </c>
      <c r="T11" s="270">
        <f>INDEX(スコア表[Comprehensive],MATCH($C11,スコア表['#],0))</f>
        <v>1086.1963098475917</v>
      </c>
      <c r="AK11" s="96" t="s">
        <v>2548</v>
      </c>
      <c r="AL11" s="331" t="s">
        <v>2556</v>
      </c>
      <c r="AM11" s="96" t="s">
        <v>2565</v>
      </c>
      <c r="AN11" s="340"/>
    </row>
    <row r="12" spans="2:40">
      <c r="B12" s="83">
        <f>INDEX(順位表[Comprehensive],MATCH($C12,順位表['#],0))</f>
        <v>10</v>
      </c>
      <c r="C12" s="3">
        <v>9</v>
      </c>
      <c r="D12" s="43" t="str">
        <f>INDEX(都市マスタ[],MATCH($C12,都市マスタ['#],0),MATCH(D$3,都市マスタ[#Headers],0))</f>
        <v>ベルリン</v>
      </c>
      <c r="E12" s="125">
        <v>1261.2737348933774</v>
      </c>
      <c r="F12" s="125">
        <v>1231.9329790841207</v>
      </c>
      <c r="G12" s="125">
        <v>1116.6507848087265</v>
      </c>
      <c r="H12" s="125">
        <v>1125.64154787041</v>
      </c>
      <c r="I12" s="125">
        <v>1126.7092543982478</v>
      </c>
      <c r="J12" s="125">
        <v>1118.487854516859</v>
      </c>
      <c r="K12" s="125">
        <v>1134.97177164564</v>
      </c>
      <c r="L12" s="125">
        <v>1146.3093687475609</v>
      </c>
      <c r="M12" s="125">
        <v>1154.8483744368029</v>
      </c>
      <c r="N12" s="125">
        <v>1183.6853689434397</v>
      </c>
      <c r="O12" s="125">
        <v>1232.2487841525167</v>
      </c>
      <c r="P12" s="125">
        <v>1201.7260395184501</v>
      </c>
      <c r="Q12" s="125">
        <v>1185.4000000000001</v>
      </c>
      <c r="R12" s="125">
        <v>1172.9390645612168</v>
      </c>
      <c r="S12" s="361">
        <v>1182.9228358890668</v>
      </c>
      <c r="T12" s="270">
        <f>INDEX(スコア表[Comprehensive],MATCH($C12,スコア表['#],0))</f>
        <v>1151.744019078875</v>
      </c>
      <c r="AK12" s="96" t="s">
        <v>2549</v>
      </c>
      <c r="AL12" s="96" t="s">
        <v>3599</v>
      </c>
      <c r="AM12" s="96" t="s">
        <v>2566</v>
      </c>
      <c r="AN12" s="341"/>
    </row>
    <row r="13" spans="2:40">
      <c r="B13" s="83">
        <f>INDEX(順位表[Comprehensive],MATCH($C13,順位表['#],0))</f>
        <v>33</v>
      </c>
      <c r="C13" s="3">
        <v>10</v>
      </c>
      <c r="D13" s="43" t="str">
        <f>INDEX(都市マスタ[],MATCH($C13,都市マスタ['#],0),MATCH(D$3,都市マスタ[#Headers],0))</f>
        <v>ミラノ</v>
      </c>
      <c r="E13" s="125">
        <v>919.68892893018722</v>
      </c>
      <c r="F13" s="125">
        <v>966.9223672957296</v>
      </c>
      <c r="G13" s="125">
        <v>883.42436155193514</v>
      </c>
      <c r="H13" s="125">
        <v>880.41186500545575</v>
      </c>
      <c r="I13" s="125">
        <v>914.99461532901307</v>
      </c>
      <c r="J13" s="125">
        <v>893.32826678849233</v>
      </c>
      <c r="K13" s="125">
        <v>940.57617664765019</v>
      </c>
      <c r="L13" s="125">
        <v>927.32293024094645</v>
      </c>
      <c r="M13" s="125">
        <v>941.41761921393072</v>
      </c>
      <c r="N13" s="125">
        <v>976.00472269156455</v>
      </c>
      <c r="O13" s="125">
        <v>987.30377883899314</v>
      </c>
      <c r="P13" s="125">
        <v>980.50120822565827</v>
      </c>
      <c r="Q13" s="125">
        <v>922</v>
      </c>
      <c r="R13" s="125">
        <v>962.67570823050835</v>
      </c>
      <c r="S13" s="361">
        <v>1017.0641342225333</v>
      </c>
      <c r="T13" s="270">
        <f>INDEX(スコア表[Comprehensive],MATCH($C13,スコア表['#],0))</f>
        <v>990.65583793154997</v>
      </c>
      <c r="AK13" s="96" t="s">
        <v>2550</v>
      </c>
      <c r="AL13" s="96" t="s">
        <v>3600</v>
      </c>
      <c r="AM13" s="96" t="s">
        <v>2567</v>
      </c>
      <c r="AN13" s="342"/>
    </row>
    <row r="14" spans="2:40">
      <c r="B14" s="83">
        <f>INDEX(順位表[Comprehensive],MATCH($C14,順位表['#],0))</f>
        <v>19</v>
      </c>
      <c r="C14" s="3">
        <v>11</v>
      </c>
      <c r="D14" s="43" t="str">
        <f>INDEX(都市マスタ[],MATCH($C14,都市マスタ['#],0),MATCH(D$3,都市マスタ[#Headers],0))</f>
        <v>チューリッヒ</v>
      </c>
      <c r="E14" s="125">
        <v>1151.5038420019296</v>
      </c>
      <c r="F14" s="125">
        <v>1152.320804834291</v>
      </c>
      <c r="G14" s="125">
        <v>1030.9987610272678</v>
      </c>
      <c r="H14" s="125">
        <v>1013.8045233383062</v>
      </c>
      <c r="I14" s="125">
        <v>1009.0700998027842</v>
      </c>
      <c r="J14" s="125">
        <v>1038.0296263450448</v>
      </c>
      <c r="K14" s="125">
        <v>1047.6579627299852</v>
      </c>
      <c r="L14" s="125">
        <v>1033.5603729393074</v>
      </c>
      <c r="M14" s="125">
        <v>1051.4686558911264</v>
      </c>
      <c r="N14" s="125">
        <v>1065.2168299150655</v>
      </c>
      <c r="O14" s="125">
        <v>1132.8640049656935</v>
      </c>
      <c r="P14" s="125">
        <v>1117.2704574621082</v>
      </c>
      <c r="Q14" s="125">
        <v>1073.5</v>
      </c>
      <c r="R14" s="125">
        <v>1069.28793876755</v>
      </c>
      <c r="S14" s="361">
        <v>1098.949982262375</v>
      </c>
      <c r="T14" s="270">
        <f>INDEX(スコア表[Comprehensive],MATCH($C14,スコア表['#],0))</f>
        <v>1088.5254766757585</v>
      </c>
    </row>
    <row r="15" spans="2:40">
      <c r="B15" s="83">
        <f>INDEX(順位表[Comprehensive],MATCH($C15,順位表['#],0))</f>
        <v>11</v>
      </c>
      <c r="C15" s="3">
        <v>12</v>
      </c>
      <c r="D15" s="43" t="str">
        <f>INDEX(都市マスタ[],MATCH($C15,都市マスタ['#],0),MATCH(D$3,都市マスタ[#Headers],0))</f>
        <v>コペンハーゲン</v>
      </c>
      <c r="E15" s="125">
        <v>1129.511326815498</v>
      </c>
      <c r="F15" s="125">
        <v>1101.0580391700319</v>
      </c>
      <c r="G15" s="125">
        <v>989.13746194319356</v>
      </c>
      <c r="H15" s="125">
        <v>974.42235839863815</v>
      </c>
      <c r="I15" s="125">
        <v>1000.1898323956416</v>
      </c>
      <c r="J15" s="125">
        <v>989.27499813956649</v>
      </c>
      <c r="K15" s="125">
        <v>991.59667139680823</v>
      </c>
      <c r="L15" s="125">
        <v>994.12902445085217</v>
      </c>
      <c r="M15" s="125">
        <v>1038.0773882755464</v>
      </c>
      <c r="N15" s="125">
        <v>1051.4983422120492</v>
      </c>
      <c r="O15" s="125">
        <v>1125.5187106020423</v>
      </c>
      <c r="P15" s="125">
        <v>1087.354994984375</v>
      </c>
      <c r="Q15" s="125">
        <v>1080.5</v>
      </c>
      <c r="R15" s="125">
        <v>1094.3558590052</v>
      </c>
      <c r="S15" s="361">
        <v>1112.8502467529834</v>
      </c>
      <c r="T15" s="270">
        <f>INDEX(スコア表[Comprehensive],MATCH($C15,スコア表['#],0))</f>
        <v>1138.8847340470165</v>
      </c>
    </row>
    <row r="16" spans="2:40">
      <c r="B16" s="83">
        <f>INDEX(順位表[Comprehensive],MATCH($C16,順位表['#],0))</f>
        <v>13</v>
      </c>
      <c r="C16" s="3">
        <v>13</v>
      </c>
      <c r="D16" s="43" t="str">
        <f>INDEX(都市マスタ[],MATCH($C16,都市マスタ['#],0),MATCH(D$3,都市マスタ[#Headers],0))</f>
        <v>ウィーン</v>
      </c>
      <c r="E16" s="125">
        <v>1300.7691305443559</v>
      </c>
      <c r="F16" s="125">
        <v>1212.2112552230351</v>
      </c>
      <c r="G16" s="125">
        <v>1042.4821777285711</v>
      </c>
      <c r="H16" s="125">
        <v>1032.4093127954336</v>
      </c>
      <c r="I16" s="125">
        <v>1093.8377440895117</v>
      </c>
      <c r="J16" s="125">
        <v>1092.0320538905503</v>
      </c>
      <c r="K16" s="125">
        <v>1080.4904704492562</v>
      </c>
      <c r="L16" s="125">
        <v>1080.3693483781319</v>
      </c>
      <c r="M16" s="125">
        <v>1125.1368107492433</v>
      </c>
      <c r="N16" s="125">
        <v>1117.5974394952593</v>
      </c>
      <c r="O16" s="125">
        <v>1125.6993281602743</v>
      </c>
      <c r="P16" s="125">
        <v>1085.9361172051749</v>
      </c>
      <c r="Q16" s="125">
        <v>1085</v>
      </c>
      <c r="R16" s="125">
        <v>1076.3055956640085</v>
      </c>
      <c r="S16" s="361">
        <v>1102.9400135056917</v>
      </c>
      <c r="T16" s="270">
        <f>INDEX(スコア表[Comprehensive],MATCH($C16,スコア表['#],0))</f>
        <v>1133.217755540225</v>
      </c>
    </row>
    <row r="17" spans="2:20">
      <c r="B17" s="83">
        <f>INDEX(順位表[Comprehensive],MATCH($C17,順位表['#],0))</f>
        <v>16</v>
      </c>
      <c r="C17" s="3">
        <v>14</v>
      </c>
      <c r="D17" s="43" t="str">
        <f>INDEX(都市マスタ[],MATCH($C17,都市マスタ['#],0),MATCH(D$3,都市マスタ[#Headers],0))</f>
        <v>ストックホルム</v>
      </c>
      <c r="E17" s="125"/>
      <c r="F17" s="125"/>
      <c r="G17" s="125"/>
      <c r="H17" s="125"/>
      <c r="I17" s="125">
        <v>1034.1155267252216</v>
      </c>
      <c r="J17" s="125">
        <v>1020.3301758648837</v>
      </c>
      <c r="K17" s="125">
        <v>1026.7457059419858</v>
      </c>
      <c r="L17" s="125">
        <v>1026.0239779065755</v>
      </c>
      <c r="M17" s="125">
        <v>1060.8472988053861</v>
      </c>
      <c r="N17" s="125">
        <v>1097.7413056564656</v>
      </c>
      <c r="O17" s="125">
        <v>1179.1831259993692</v>
      </c>
      <c r="P17" s="125">
        <v>1117.2972706059418</v>
      </c>
      <c r="Q17" s="125">
        <v>1050</v>
      </c>
      <c r="R17" s="125">
        <v>1056.7778019126333</v>
      </c>
      <c r="S17" s="361">
        <v>1095.207243999025</v>
      </c>
      <c r="T17" s="270">
        <f>INDEX(スコア表[Comprehensive],MATCH($C17,スコア表['#],0))</f>
        <v>1117.7952964830665</v>
      </c>
    </row>
    <row r="18" spans="2:20">
      <c r="B18" s="83">
        <f>INDEX(順位表[Comprehensive],MATCH($C18,順位表['#],0))</f>
        <v>30</v>
      </c>
      <c r="C18" s="3">
        <v>15</v>
      </c>
      <c r="D18" s="43" t="str">
        <f>INDEX(都市マスタ[],MATCH($C18,都市マスタ['#],0),MATCH(D$3,都市マスタ[#Headers],0))</f>
        <v>イスタンブール</v>
      </c>
      <c r="E18" s="125"/>
      <c r="F18" s="125"/>
      <c r="G18" s="125"/>
      <c r="H18" s="125"/>
      <c r="I18" s="125">
        <v>941.80723431283161</v>
      </c>
      <c r="J18" s="125">
        <v>905.42751590895773</v>
      </c>
      <c r="K18" s="125">
        <v>969.52037259951294</v>
      </c>
      <c r="L18" s="125">
        <v>918.99783750684367</v>
      </c>
      <c r="M18" s="125">
        <v>1025.1017873281087</v>
      </c>
      <c r="N18" s="125">
        <v>989.59424918751688</v>
      </c>
      <c r="O18" s="125">
        <v>951.64828423512563</v>
      </c>
      <c r="P18" s="125">
        <v>951.91141708405848</v>
      </c>
      <c r="Q18" s="125">
        <v>951.1</v>
      </c>
      <c r="R18" s="125">
        <v>953.37819845617503</v>
      </c>
      <c r="S18" s="361">
        <v>997.29662320337502</v>
      </c>
      <c r="T18" s="270">
        <f>INDEX(スコア表[Comprehensive],MATCH($C18,スコア表['#],0))</f>
        <v>1017.1653245361416</v>
      </c>
    </row>
    <row r="19" spans="2:20">
      <c r="B19" s="83">
        <f>INDEX(順位表[Comprehensive],MATCH($C19,順位表['#],0))</f>
        <v>47</v>
      </c>
      <c r="C19" s="3">
        <v>16</v>
      </c>
      <c r="D19" s="43" t="str">
        <f>INDEX(都市マスタ[],MATCH($C19,都市マスタ['#],0),MATCH(D$3,都市マスタ[#Headers],0))</f>
        <v>カイロ</v>
      </c>
      <c r="E19" s="125"/>
      <c r="F19" s="125">
        <v>628.16133061273717</v>
      </c>
      <c r="G19" s="125">
        <v>659.94384611890689</v>
      </c>
      <c r="H19" s="125">
        <v>667.02952563145584</v>
      </c>
      <c r="I19" s="125">
        <v>646.60830698224493</v>
      </c>
      <c r="J19" s="125">
        <v>623.92004583401274</v>
      </c>
      <c r="K19" s="125">
        <v>578.24983564301112</v>
      </c>
      <c r="L19" s="125">
        <v>580.17602750166077</v>
      </c>
      <c r="M19" s="125">
        <v>622.36883813650809</v>
      </c>
      <c r="N19" s="125">
        <v>645.32181711911676</v>
      </c>
      <c r="O19" s="125">
        <v>604.93030870039843</v>
      </c>
      <c r="P19" s="125">
        <v>648.49877275297501</v>
      </c>
      <c r="Q19" s="125">
        <v>657.4</v>
      </c>
      <c r="R19" s="125">
        <v>698.03767921405006</v>
      </c>
      <c r="S19" s="361">
        <v>697.38332535459165</v>
      </c>
      <c r="T19" s="270">
        <f>INDEX(スコア表[Comprehensive],MATCH($C19,スコア表['#],0))</f>
        <v>661.27664620438327</v>
      </c>
    </row>
    <row r="20" spans="2:20">
      <c r="B20" s="83">
        <f>INDEX(順位表[Comprehensive],MATCH($C20,順位表['#],0))</f>
        <v>34</v>
      </c>
      <c r="C20" s="3">
        <v>17</v>
      </c>
      <c r="D20" s="43" t="str">
        <f>INDEX(都市マスタ[],MATCH($C20,都市マスタ['#],0),MATCH(D$3,都市マスタ[#Headers],0))</f>
        <v>モスクワ</v>
      </c>
      <c r="E20" s="125">
        <v>1018.8846971116651</v>
      </c>
      <c r="F20" s="125">
        <v>852.7247824713977</v>
      </c>
      <c r="G20" s="125">
        <v>763.84297014264371</v>
      </c>
      <c r="H20" s="125">
        <v>771.12947461059878</v>
      </c>
      <c r="I20" s="125">
        <v>817.83164556407303</v>
      </c>
      <c r="J20" s="125">
        <v>781.3083546980256</v>
      </c>
      <c r="K20" s="125">
        <v>817.92930164961774</v>
      </c>
      <c r="L20" s="125">
        <v>792.16352745627557</v>
      </c>
      <c r="M20" s="125">
        <v>884.12936278071288</v>
      </c>
      <c r="N20" s="125">
        <v>916.4412205879521</v>
      </c>
      <c r="O20" s="125">
        <v>953.875056550875</v>
      </c>
      <c r="P20" s="125">
        <v>1018.6276610168918</v>
      </c>
      <c r="Q20" s="125">
        <v>963</v>
      </c>
      <c r="R20" s="125">
        <v>966.25089067225008</v>
      </c>
      <c r="S20" s="361">
        <v>991.94908179807487</v>
      </c>
      <c r="T20" s="270">
        <f>INDEX(スコア表[Comprehensive],MATCH($C20,スコア表['#],0))</f>
        <v>976.48934962178328</v>
      </c>
    </row>
    <row r="21" spans="2:20">
      <c r="B21" s="83">
        <f>INDEX(順位表[Comprehensive],MATCH($C21,順位表['#],0))</f>
        <v>48</v>
      </c>
      <c r="C21" s="3">
        <v>18</v>
      </c>
      <c r="D21" s="43" t="str">
        <f>INDEX(都市マスタ[],MATCH($C21,都市マスタ['#],0),MATCH(D$3,都市マスタ[#Headers],0))</f>
        <v>ムンバイ</v>
      </c>
      <c r="E21" s="125">
        <v>792.1969464944051</v>
      </c>
      <c r="F21" s="125">
        <v>786.21557837411683</v>
      </c>
      <c r="G21" s="125">
        <v>696.77530499294858</v>
      </c>
      <c r="H21" s="125">
        <v>683.02319586177259</v>
      </c>
      <c r="I21" s="125">
        <v>654.23391178710961</v>
      </c>
      <c r="J21" s="125">
        <v>682.02374086838108</v>
      </c>
      <c r="K21" s="125">
        <v>661.98164529246014</v>
      </c>
      <c r="L21" s="125">
        <v>630.58785861876777</v>
      </c>
      <c r="M21" s="125">
        <v>702.3112457616578</v>
      </c>
      <c r="N21" s="125">
        <v>712.78387120704906</v>
      </c>
      <c r="O21" s="125">
        <v>613.5184113545929</v>
      </c>
      <c r="P21" s="125">
        <v>605.09450145068331</v>
      </c>
      <c r="Q21" s="125">
        <v>612.6</v>
      </c>
      <c r="R21" s="125">
        <v>605.72490615890001</v>
      </c>
      <c r="S21" s="361">
        <v>627.69220192448324</v>
      </c>
      <c r="T21" s="270">
        <f>INDEX(スコア表[Comprehensive],MATCH($C21,スコア表['#],0))</f>
        <v>645.34513309169165</v>
      </c>
    </row>
    <row r="22" spans="2:20">
      <c r="B22" s="83">
        <f>INDEX(順位表[Comprehensive],MATCH($C22,順位表['#],0))</f>
        <v>38</v>
      </c>
      <c r="C22" s="3">
        <v>19</v>
      </c>
      <c r="D22" s="43" t="str">
        <f>INDEX(都市マスタ[],MATCH($C22,都市マスタ['#],0),MATCH(D$3,都市マスタ[#Headers],0))</f>
        <v>バンコク</v>
      </c>
      <c r="E22" s="125">
        <v>833.23067361476467</v>
      </c>
      <c r="F22" s="125">
        <v>945.78221576566125</v>
      </c>
      <c r="G22" s="125">
        <v>813.22997146637726</v>
      </c>
      <c r="H22" s="125">
        <v>823.82318206607113</v>
      </c>
      <c r="I22" s="125">
        <v>840.62936932006801</v>
      </c>
      <c r="J22" s="125">
        <v>872.14602325504643</v>
      </c>
      <c r="K22" s="125">
        <v>915.53169943800583</v>
      </c>
      <c r="L22" s="125">
        <v>895.82593990846442</v>
      </c>
      <c r="M22" s="125">
        <v>934.14501791788825</v>
      </c>
      <c r="N22" s="125">
        <v>971.07218399136252</v>
      </c>
      <c r="O22" s="125">
        <v>915.41882227049098</v>
      </c>
      <c r="P22" s="125">
        <v>909.28907414339164</v>
      </c>
      <c r="Q22" s="125">
        <v>945.9</v>
      </c>
      <c r="R22" s="125">
        <v>947.01273425335</v>
      </c>
      <c r="S22" s="361">
        <v>883.32933284235844</v>
      </c>
      <c r="T22" s="270">
        <f>INDEX(スコア表[Comprehensive],MATCH($C22,スコア表['#],0))</f>
        <v>945.29835679571659</v>
      </c>
    </row>
    <row r="23" spans="2:20">
      <c r="B23" s="83">
        <f>INDEX(順位表[Comprehensive],MATCH($C23,順位表['#],0))</f>
        <v>41</v>
      </c>
      <c r="C23" s="3">
        <v>20</v>
      </c>
      <c r="D23" s="43" t="str">
        <f>INDEX(都市マスタ[],MATCH($C23,都市マスタ['#],0),MATCH(D$3,都市マスタ[#Headers],0))</f>
        <v>クアラルンプール</v>
      </c>
      <c r="E23" s="125">
        <v>994.67599492699458</v>
      </c>
      <c r="F23" s="125">
        <v>969.72553487805226</v>
      </c>
      <c r="G23" s="125">
        <v>814.67713053379384</v>
      </c>
      <c r="H23" s="125">
        <v>801.8293219066453</v>
      </c>
      <c r="I23" s="125">
        <v>847.85378366008752</v>
      </c>
      <c r="J23" s="125">
        <v>806.70552987615508</v>
      </c>
      <c r="K23" s="125">
        <v>846.39970763262238</v>
      </c>
      <c r="L23" s="125">
        <v>889.31530338495907</v>
      </c>
      <c r="M23" s="125">
        <v>938.85614450061564</v>
      </c>
      <c r="N23" s="125">
        <v>982.23079545660369</v>
      </c>
      <c r="O23" s="125">
        <v>984.90820777910847</v>
      </c>
      <c r="P23" s="125">
        <v>981.84738182255819</v>
      </c>
      <c r="Q23" s="125">
        <v>927</v>
      </c>
      <c r="R23" s="125">
        <v>898.49713013658334</v>
      </c>
      <c r="S23" s="361">
        <v>875.11146180028345</v>
      </c>
      <c r="T23" s="270">
        <f>INDEX(スコア表[Comprehensive],MATCH($C23,スコア表['#],0))</f>
        <v>878.67771083875004</v>
      </c>
    </row>
    <row r="24" spans="2:20">
      <c r="B24" s="83">
        <f>INDEX(順位表[Comprehensive],MATCH($C24,順位表['#],0))</f>
        <v>5</v>
      </c>
      <c r="C24" s="3">
        <v>21</v>
      </c>
      <c r="D24" s="43" t="str">
        <f>INDEX(都市マスタ[],MATCH($C24,都市マスタ['#],0),MATCH(D$3,都市マスタ[#Headers],0))</f>
        <v>シンガポール</v>
      </c>
      <c r="E24" s="125">
        <v>1184.427021442081</v>
      </c>
      <c r="F24" s="125">
        <v>1303.8257973329696</v>
      </c>
      <c r="G24" s="125">
        <v>1170.8891418171463</v>
      </c>
      <c r="H24" s="125">
        <v>1224.2404090040293</v>
      </c>
      <c r="I24" s="125">
        <v>1203.4559015613681</v>
      </c>
      <c r="J24" s="125">
        <v>1197.8096752501126</v>
      </c>
      <c r="K24" s="125">
        <v>1224.9577661058875</v>
      </c>
      <c r="L24" s="125">
        <v>1290.0851883712514</v>
      </c>
      <c r="M24" s="125">
        <v>1278.9958658816111</v>
      </c>
      <c r="N24" s="125">
        <v>1308.4594920893251</v>
      </c>
      <c r="O24" s="125">
        <v>1310.557163493497</v>
      </c>
      <c r="P24" s="125">
        <v>1262.8925582721083</v>
      </c>
      <c r="Q24" s="125">
        <v>1262.0999999999999</v>
      </c>
      <c r="R24" s="125">
        <v>1232.7849131443249</v>
      </c>
      <c r="S24" s="361">
        <v>1233.7536191069501</v>
      </c>
      <c r="T24" s="270">
        <f>INDEX(スコア表[Comprehensive],MATCH($C24,スコア表['#],0))</f>
        <v>1264.7031333791499</v>
      </c>
    </row>
    <row r="25" spans="2:20">
      <c r="B25" s="83">
        <f>INDEX(順位表[Comprehensive],MATCH($C25,順位表['#],0))</f>
        <v>18</v>
      </c>
      <c r="C25" s="3">
        <v>22</v>
      </c>
      <c r="D25" s="43" t="str">
        <f>INDEX(都市マスタ[],MATCH($C25,都市マスタ['#],0),MATCH(D$3,都市マスタ[#Headers],0))</f>
        <v>香港</v>
      </c>
      <c r="E25" s="125">
        <v>1136.1511382016361</v>
      </c>
      <c r="F25" s="125">
        <v>1152.2456598983049</v>
      </c>
      <c r="G25" s="125">
        <v>1073.1476330452704</v>
      </c>
      <c r="H25" s="125">
        <v>1107.8816131281844</v>
      </c>
      <c r="I25" s="125">
        <v>1116.92317334984</v>
      </c>
      <c r="J25" s="125">
        <v>1060.594279269045</v>
      </c>
      <c r="K25" s="125">
        <v>1089.6080352919764</v>
      </c>
      <c r="L25" s="125">
        <v>1158.8743824924891</v>
      </c>
      <c r="M25" s="125">
        <v>1173.6942944907753</v>
      </c>
      <c r="N25" s="125">
        <v>1164.7706168416009</v>
      </c>
      <c r="O25" s="125">
        <v>1204.8932361019517</v>
      </c>
      <c r="P25" s="125">
        <v>1170.4019419224915</v>
      </c>
      <c r="Q25" s="125">
        <v>1149.7</v>
      </c>
      <c r="R25" s="125">
        <v>1120.2263363939251</v>
      </c>
      <c r="S25" s="361">
        <v>1068.3110359949833</v>
      </c>
      <c r="T25" s="270">
        <f>INDEX(スコア表[Comprehensive],MATCH($C25,スコア表['#],0))</f>
        <v>1091.7932708332751</v>
      </c>
    </row>
    <row r="26" spans="2:20">
      <c r="B26" s="83">
        <f>INDEX(順位表[Comprehensive],MATCH($C26,順位表['#],0))</f>
        <v>17</v>
      </c>
      <c r="C26" s="3">
        <v>23</v>
      </c>
      <c r="D26" s="43" t="str">
        <f>INDEX(都市マスタ[],MATCH($C26,都市マスタ['#],0),MATCH(D$3,都市マスタ[#Headers],0))</f>
        <v>北京</v>
      </c>
      <c r="E26" s="125">
        <v>902.3302271168734</v>
      </c>
      <c r="F26" s="125">
        <v>1004.4609641573132</v>
      </c>
      <c r="G26" s="125">
        <v>955.37967956598925</v>
      </c>
      <c r="H26" s="125">
        <v>979.23294522924618</v>
      </c>
      <c r="I26" s="125">
        <v>1052.5611588949498</v>
      </c>
      <c r="J26" s="125">
        <v>1038.1579997688978</v>
      </c>
      <c r="K26" s="125">
        <v>1033.1989480760392</v>
      </c>
      <c r="L26" s="125">
        <v>1001.8960950161171</v>
      </c>
      <c r="M26" s="125">
        <v>1048.1768364139609</v>
      </c>
      <c r="N26" s="125">
        <v>1123.6164268951168</v>
      </c>
      <c r="O26" s="125">
        <v>1088.5427518340559</v>
      </c>
      <c r="P26" s="125">
        <v>1050.9253577647501</v>
      </c>
      <c r="Q26" s="125">
        <v>1091.9000000000001</v>
      </c>
      <c r="R26" s="125">
        <v>1078.7489343952584</v>
      </c>
      <c r="S26" s="361">
        <v>1099.7884698795335</v>
      </c>
      <c r="T26" s="270">
        <f>INDEX(スコア表[Comprehensive],MATCH($C26,スコア表['#],0))</f>
        <v>1115.3359083596499</v>
      </c>
    </row>
    <row r="27" spans="2:20">
      <c r="B27" s="83">
        <f>INDEX(順位表[Comprehensive],MATCH($C27,順位表['#],0))</f>
        <v>15</v>
      </c>
      <c r="C27" s="3">
        <v>24</v>
      </c>
      <c r="D27" s="43" t="str">
        <f>INDEX(都市マスタ[],MATCH($C27,都市マスタ['#],0),MATCH(D$3,都市マスタ[#Headers],0))</f>
        <v>上海</v>
      </c>
      <c r="E27" s="125">
        <v>957.63978130612043</v>
      </c>
      <c r="F27" s="125">
        <v>1064.5548680718337</v>
      </c>
      <c r="G27" s="125">
        <v>944.17751844271186</v>
      </c>
      <c r="H27" s="125">
        <v>955.71590093559746</v>
      </c>
      <c r="I27" s="125">
        <v>1037.6629160273112</v>
      </c>
      <c r="J27" s="125">
        <v>1049.1324854373438</v>
      </c>
      <c r="K27" s="125">
        <v>1030.9570771469976</v>
      </c>
      <c r="L27" s="125">
        <v>1008.432902190406</v>
      </c>
      <c r="M27" s="125">
        <v>1083.926657484729</v>
      </c>
      <c r="N27" s="125">
        <v>1103.636998226033</v>
      </c>
      <c r="O27" s="125">
        <v>1071.9622516974691</v>
      </c>
      <c r="P27" s="125">
        <v>1023.1790851424332</v>
      </c>
      <c r="Q27" s="125">
        <v>1108.9000000000001</v>
      </c>
      <c r="R27" s="125">
        <v>1125.3453543854666</v>
      </c>
      <c r="S27" s="361">
        <v>1133.8470213643166</v>
      </c>
      <c r="T27" s="270">
        <f>INDEX(スコア表[Comprehensive],MATCH($C27,スコア表['#],0))</f>
        <v>1131.5041381531917</v>
      </c>
    </row>
    <row r="28" spans="2:20">
      <c r="B28" s="83">
        <f>INDEX(順位表[Comprehensive],MATCH($C28,順位表['#],0))</f>
        <v>35</v>
      </c>
      <c r="C28" s="3">
        <v>25</v>
      </c>
      <c r="D28" s="43" t="str">
        <f>INDEX(都市マスタ[],MATCH($C28,都市マスタ['#],0),MATCH(D$3,都市マスタ[#Headers],0))</f>
        <v>台北</v>
      </c>
      <c r="E28" s="125">
        <v>943.1544848027271</v>
      </c>
      <c r="F28" s="125">
        <v>930.8153018397403</v>
      </c>
      <c r="G28" s="125">
        <v>846.84961915972667</v>
      </c>
      <c r="H28" s="125">
        <v>840.24899467704745</v>
      </c>
      <c r="I28" s="125">
        <v>869.18308833718322</v>
      </c>
      <c r="J28" s="125">
        <v>813.12170984264878</v>
      </c>
      <c r="K28" s="125">
        <v>878.26312470161088</v>
      </c>
      <c r="L28" s="125">
        <v>914.57613172801007</v>
      </c>
      <c r="M28" s="125">
        <v>936.34765661443203</v>
      </c>
      <c r="N28" s="125">
        <v>906.22869559342121</v>
      </c>
      <c r="O28" s="125">
        <v>950.87665570215086</v>
      </c>
      <c r="P28" s="125">
        <v>917.87666094745828</v>
      </c>
      <c r="Q28" s="125">
        <v>934.1</v>
      </c>
      <c r="R28" s="125">
        <v>921.24772143132486</v>
      </c>
      <c r="S28" s="361">
        <v>963.11684945809156</v>
      </c>
      <c r="T28" s="270">
        <f>INDEX(スコア表[Comprehensive],MATCH($C28,スコア表['#],0))</f>
        <v>958.49155278419164</v>
      </c>
    </row>
    <row r="29" spans="2:20">
      <c r="B29" s="83">
        <f>INDEX(順位表[Comprehensive],MATCH($C29,順位表['#],0))</f>
        <v>7</v>
      </c>
      <c r="C29" s="3">
        <v>26</v>
      </c>
      <c r="D29" s="43" t="str">
        <f>INDEX(都市マスタ[],MATCH($C29,都市マスタ['#],0),MATCH(D$3,都市マスタ[#Headers],0))</f>
        <v>ソウル</v>
      </c>
      <c r="E29" s="125">
        <v>1170.1355717728038</v>
      </c>
      <c r="F29" s="125">
        <v>1145.7063739527416</v>
      </c>
      <c r="G29" s="125">
        <v>1095.4521558343156</v>
      </c>
      <c r="H29" s="125">
        <v>1119.0937047890434</v>
      </c>
      <c r="I29" s="125">
        <v>1163.091118981092</v>
      </c>
      <c r="J29" s="125">
        <v>1188.1991759800117</v>
      </c>
      <c r="K29" s="125">
        <v>1202.618368344811</v>
      </c>
      <c r="L29" s="125">
        <v>1163.4382726562067</v>
      </c>
      <c r="M29" s="125">
        <v>1210.945415327589</v>
      </c>
      <c r="N29" s="125">
        <v>1221.7831490546546</v>
      </c>
      <c r="O29" s="125">
        <v>1237.5031611705535</v>
      </c>
      <c r="P29" s="125">
        <v>1205.6261469725166</v>
      </c>
      <c r="Q29" s="125">
        <v>1163.0999999999999</v>
      </c>
      <c r="R29" s="125">
        <v>1160.8253151484835</v>
      </c>
      <c r="S29" s="361">
        <v>1189.0888855915582</v>
      </c>
      <c r="T29" s="270">
        <f>INDEX(スコア表[Comprehensive],MATCH($C29,スコア表['#],0))</f>
        <v>1202.0689072947416</v>
      </c>
    </row>
    <row r="30" spans="2:20">
      <c r="B30" s="83">
        <f>INDEX(順位表[Comprehensive],MATCH($C30,順位表['#],0))</f>
        <v>42</v>
      </c>
      <c r="C30" s="3">
        <v>27</v>
      </c>
      <c r="D30" s="43" t="str">
        <f>INDEX(都市マスタ[],MATCH($C30,都市マスタ['#],0),MATCH(D$3,都市マスタ[#Headers],0))</f>
        <v>福岡</v>
      </c>
      <c r="E30" s="125"/>
      <c r="F30" s="125">
        <v>933.47077396603936</v>
      </c>
      <c r="G30" s="125">
        <v>872.17208411120623</v>
      </c>
      <c r="H30" s="125">
        <v>848.52259764243922</v>
      </c>
      <c r="I30" s="125">
        <v>850.24952267873414</v>
      </c>
      <c r="J30" s="125">
        <v>791.3823138988439</v>
      </c>
      <c r="K30" s="125">
        <v>804.06016800581676</v>
      </c>
      <c r="L30" s="125">
        <v>830.90883477277737</v>
      </c>
      <c r="M30" s="125">
        <v>882.9833286467541</v>
      </c>
      <c r="N30" s="125">
        <v>898.48837736967164</v>
      </c>
      <c r="O30" s="125">
        <v>910.96856297800207</v>
      </c>
      <c r="P30" s="125">
        <v>870.3487406431417</v>
      </c>
      <c r="Q30" s="125">
        <v>834</v>
      </c>
      <c r="R30" s="125">
        <v>848.49353095965</v>
      </c>
      <c r="S30" s="361">
        <v>871.92027281760011</v>
      </c>
      <c r="T30" s="270">
        <f>INDEX(スコア表[Comprehensive],MATCH($C30,スコア表['#],0))</f>
        <v>844.79169767112489</v>
      </c>
    </row>
    <row r="31" spans="2:20">
      <c r="B31" s="83">
        <f>INDEX(順位表[Comprehensive],MATCH($C31,順位表['#],0))</f>
        <v>37</v>
      </c>
      <c r="C31" s="3">
        <v>28</v>
      </c>
      <c r="D31" s="43" t="str">
        <f>INDEX(都市マスタ[],MATCH($C31,都市マスタ['#],0),MATCH(D$3,都市マスタ[#Headers],0))</f>
        <v>大阪</v>
      </c>
      <c r="E31" s="125"/>
      <c r="F31" s="125">
        <v>1022.0761663025706</v>
      </c>
      <c r="G31" s="125">
        <v>985.63898268207254</v>
      </c>
      <c r="H31" s="125">
        <v>986.81523902943832</v>
      </c>
      <c r="I31" s="125">
        <v>1013.5483578253209</v>
      </c>
      <c r="J31" s="125">
        <v>946.50730079545849</v>
      </c>
      <c r="K31" s="125">
        <v>938.69616317000987</v>
      </c>
      <c r="L31" s="125">
        <v>958.91974057304026</v>
      </c>
      <c r="M31" s="125">
        <v>1024.7903765963899</v>
      </c>
      <c r="N31" s="125">
        <v>1024.3374303868525</v>
      </c>
      <c r="O31" s="125">
        <v>1055.5298640192968</v>
      </c>
      <c r="P31" s="125">
        <v>1024.5039393182833</v>
      </c>
      <c r="Q31" s="125">
        <v>954</v>
      </c>
      <c r="R31" s="125">
        <v>941.69150901854982</v>
      </c>
      <c r="S31" s="361">
        <v>947.32062039151674</v>
      </c>
      <c r="T31" s="270">
        <f>INDEX(スコア表[Comprehensive],MATCH($C31,スコア表['#],0))</f>
        <v>947.75716654131668</v>
      </c>
    </row>
    <row r="32" spans="2:20">
      <c r="B32" s="83">
        <f>INDEX(順位表[Comprehensive],MATCH($C32,順位表['#],0))</f>
        <v>3</v>
      </c>
      <c r="C32" s="3">
        <v>29</v>
      </c>
      <c r="D32" s="43" t="str">
        <f>INDEX(都市マスタ[],MATCH($C32,都市マスタ['#],0),MATCH(D$3,都市マスタ[#Headers],0))</f>
        <v>東京</v>
      </c>
      <c r="E32" s="125">
        <v>1359.0576319795946</v>
      </c>
      <c r="F32" s="125">
        <v>1452.1545539707549</v>
      </c>
      <c r="G32" s="125">
        <v>1440.0837237825451</v>
      </c>
      <c r="H32" s="125">
        <v>1458.9344316493471</v>
      </c>
      <c r="I32" s="125">
        <v>1425.4165723595256</v>
      </c>
      <c r="J32" s="125">
        <v>1372.1466327186736</v>
      </c>
      <c r="K32" s="125">
        <v>1372.8829005578402</v>
      </c>
      <c r="L32" s="125">
        <v>1378.7884518848957</v>
      </c>
      <c r="M32" s="125">
        <v>1430.1352397360963</v>
      </c>
      <c r="N32" s="125">
        <v>1447.5122185277453</v>
      </c>
      <c r="O32" s="125">
        <v>1462.0111852896509</v>
      </c>
      <c r="P32" s="125">
        <v>1422.2306634810584</v>
      </c>
      <c r="Q32" s="125">
        <v>1386.5</v>
      </c>
      <c r="R32" s="125">
        <v>1411.0346933394749</v>
      </c>
      <c r="S32" s="361">
        <v>1367.2081309127002</v>
      </c>
      <c r="T32" s="270">
        <f>INDEX(スコア表[Comprehensive],MATCH($C32,スコア表['#],0))</f>
        <v>1375.8029509199168</v>
      </c>
    </row>
    <row r="33" spans="2:20">
      <c r="B33" s="83">
        <f>INDEX(順位表[Comprehensive],MATCH($C33,順位表['#],0))</f>
        <v>12</v>
      </c>
      <c r="C33" s="3">
        <v>30</v>
      </c>
      <c r="D33" s="43" t="str">
        <f>INDEX(都市マスタ[],MATCH($C33,都市マスタ['#],0),MATCH(D$3,都市マスタ[#Headers],0))</f>
        <v>シドニー</v>
      </c>
      <c r="E33" s="125">
        <v>1178.7491020378577</v>
      </c>
      <c r="F33" s="125">
        <v>1127.2755982562044</v>
      </c>
      <c r="G33" s="125">
        <v>1050.1320872495012</v>
      </c>
      <c r="H33" s="125">
        <v>1034.8009420853709</v>
      </c>
      <c r="I33" s="125">
        <v>1035.7901597843818</v>
      </c>
      <c r="J33" s="125">
        <v>1038.2170837745318</v>
      </c>
      <c r="K33" s="125">
        <v>1042.2153110956183</v>
      </c>
      <c r="L33" s="125">
        <v>1036.5779542140892</v>
      </c>
      <c r="M33" s="125">
        <v>1079.0730132805038</v>
      </c>
      <c r="N33" s="125">
        <v>1151.8732709801868</v>
      </c>
      <c r="O33" s="125">
        <v>1200.6729078642388</v>
      </c>
      <c r="P33" s="125">
        <v>1162.8716907392081</v>
      </c>
      <c r="Q33" s="125">
        <v>1101.7</v>
      </c>
      <c r="R33" s="125">
        <v>1121.2577153702666</v>
      </c>
      <c r="S33" s="361">
        <v>1115.1387947430583</v>
      </c>
      <c r="T33" s="270">
        <f>INDEX(スコア表[Comprehensive],MATCH($C33,スコア表['#],0))</f>
        <v>1133.4335467474084</v>
      </c>
    </row>
    <row r="34" spans="2:20">
      <c r="B34" s="83">
        <f>INDEX(順位表[Comprehensive],MATCH($C34,順位表['#],0))</f>
        <v>32</v>
      </c>
      <c r="C34" s="3">
        <v>31</v>
      </c>
      <c r="D34" s="43" t="str">
        <f>INDEX(都市マスタ[],MATCH($C34,都市マスタ['#],0),MATCH(D$3,都市マスタ[#Headers],0))</f>
        <v>バンクーバー</v>
      </c>
      <c r="E34" s="125"/>
      <c r="F34" s="125">
        <v>1041.1810014866187</v>
      </c>
      <c r="G34" s="125">
        <v>999.11931316763753</v>
      </c>
      <c r="H34" s="125">
        <v>964.99963589606546</v>
      </c>
      <c r="I34" s="125">
        <v>957.58223904978149</v>
      </c>
      <c r="J34" s="125">
        <v>945.71392137876796</v>
      </c>
      <c r="K34" s="125">
        <v>961.89186449450324</v>
      </c>
      <c r="L34" s="125">
        <v>983.75379838331401</v>
      </c>
      <c r="M34" s="125">
        <v>985.69120269139773</v>
      </c>
      <c r="N34" s="125">
        <v>1009.3379304452749</v>
      </c>
      <c r="O34" s="125">
        <v>1093.298281914417</v>
      </c>
      <c r="P34" s="125">
        <v>1055.9360177947417</v>
      </c>
      <c r="Q34" s="125">
        <v>1007.6</v>
      </c>
      <c r="R34" s="125">
        <v>988.03927723220841</v>
      </c>
      <c r="S34" s="361">
        <v>976.57839038170846</v>
      </c>
      <c r="T34" s="270">
        <f>INDEX(スコア表[Comprehensive],MATCH($C34,スコア表['#],0))</f>
        <v>992.62643405713322</v>
      </c>
    </row>
    <row r="35" spans="2:20">
      <c r="B35" s="83">
        <f>INDEX(順位表[Comprehensive],MATCH($C35,順位表['#],0))</f>
        <v>27</v>
      </c>
      <c r="C35" s="3">
        <v>32</v>
      </c>
      <c r="D35" s="43" t="str">
        <f>INDEX(都市マスタ[],MATCH($C35,都市マスタ['#],0),MATCH(D$3,都市マスタ[#Headers],0))</f>
        <v>サンフランシスコ</v>
      </c>
      <c r="E35" s="125">
        <v>1100.4317733565529</v>
      </c>
      <c r="F35" s="125">
        <v>1036.0486552593684</v>
      </c>
      <c r="G35" s="125">
        <v>970.48387698986119</v>
      </c>
      <c r="H35" s="125">
        <v>966.14064750397893</v>
      </c>
      <c r="I35" s="125">
        <v>896.56347170440756</v>
      </c>
      <c r="J35" s="125">
        <v>902.98542099671499</v>
      </c>
      <c r="K35" s="125">
        <v>895.15661665922937</v>
      </c>
      <c r="L35" s="125">
        <v>979.30433376689211</v>
      </c>
      <c r="M35" s="125">
        <v>1019.7774666885936</v>
      </c>
      <c r="N35" s="125">
        <v>1074.8709899309763</v>
      </c>
      <c r="O35" s="125">
        <v>1156.8052765485577</v>
      </c>
      <c r="P35" s="125">
        <v>1099.2582018241001</v>
      </c>
      <c r="Q35" s="125">
        <v>1040.0999999999999</v>
      </c>
      <c r="R35" s="125">
        <v>1056.1645026859499</v>
      </c>
      <c r="S35" s="361">
        <v>1066.2011899094916</v>
      </c>
      <c r="T35" s="270">
        <f>INDEX(スコア表[Comprehensive],MATCH($C35,スコア表['#],0))</f>
        <v>1035.07971549885</v>
      </c>
    </row>
    <row r="36" spans="2:20">
      <c r="B36" s="83">
        <f>INDEX(順位表[Comprehensive],MATCH($C36,順位表['#],0))</f>
        <v>21</v>
      </c>
      <c r="C36" s="3">
        <v>33</v>
      </c>
      <c r="D36" s="43" t="str">
        <f>INDEX(都市マスタ[],MATCH($C36,都市マスタ['#],0),MATCH(D$3,都市マスタ[#Headers],0))</f>
        <v>ロサンゼルス</v>
      </c>
      <c r="E36" s="125">
        <v>1192.4005324422694</v>
      </c>
      <c r="F36" s="125">
        <v>1140.260766670576</v>
      </c>
      <c r="G36" s="125">
        <v>1010.163749169478</v>
      </c>
      <c r="H36" s="125">
        <v>1017.3515992187849</v>
      </c>
      <c r="I36" s="125">
        <v>958.30471085260456</v>
      </c>
      <c r="J36" s="125">
        <v>969.09997638810898</v>
      </c>
      <c r="K36" s="125">
        <v>981.18016883416453</v>
      </c>
      <c r="L36" s="125">
        <v>1028.145680678263</v>
      </c>
      <c r="M36" s="125">
        <v>1081.8804892956223</v>
      </c>
      <c r="N36" s="125">
        <v>1147.0595886208223</v>
      </c>
      <c r="O36" s="125">
        <v>1176.793741346183</v>
      </c>
      <c r="P36" s="125">
        <v>1130.3371522043999</v>
      </c>
      <c r="Q36" s="125">
        <v>1099</v>
      </c>
      <c r="R36" s="125">
        <v>1085.1904602022585</v>
      </c>
      <c r="S36" s="361">
        <v>1101.5395997693167</v>
      </c>
      <c r="T36" s="270">
        <f>INDEX(スコア表[Comprehensive],MATCH($C36,スコア表['#],0))</f>
        <v>1071.6950600185</v>
      </c>
    </row>
    <row r="37" spans="2:20">
      <c r="B37" s="83">
        <f>INDEX(順位表[Comprehensive],MATCH($C37,順位表['#],0))</f>
        <v>43</v>
      </c>
      <c r="C37" s="3">
        <v>34</v>
      </c>
      <c r="D37" s="43" t="str">
        <f>INDEX(都市マスタ[],MATCH($C37,都市マスタ['#],0),MATCH(D$3,都市マスタ[#Headers],0))</f>
        <v>メキシコシティ</v>
      </c>
      <c r="E37" s="125"/>
      <c r="F37" s="125"/>
      <c r="G37" s="125"/>
      <c r="H37" s="125"/>
      <c r="I37" s="125">
        <v>840.26776633102168</v>
      </c>
      <c r="J37" s="125">
        <v>770.30001387782147</v>
      </c>
      <c r="K37" s="125">
        <v>765.66093271934017</v>
      </c>
      <c r="L37" s="125">
        <v>744.54552497156783</v>
      </c>
      <c r="M37" s="125">
        <v>802.65855977664717</v>
      </c>
      <c r="N37" s="125">
        <v>837.40314055778947</v>
      </c>
      <c r="O37" s="125">
        <v>824.99498761382995</v>
      </c>
      <c r="P37" s="125">
        <v>807.56120747299997</v>
      </c>
      <c r="Q37" s="125">
        <v>788.9</v>
      </c>
      <c r="R37" s="125">
        <v>787.58052154412508</v>
      </c>
      <c r="S37" s="361">
        <v>817.11334977901663</v>
      </c>
      <c r="T37" s="270">
        <f>INDEX(スコア表[Comprehensive],MATCH($C37,スコア表['#],0))</f>
        <v>837.94241278155005</v>
      </c>
    </row>
    <row r="38" spans="2:20">
      <c r="B38" s="83">
        <f>INDEX(順位表[Comprehensive],MATCH($C38,順位表['#],0))</f>
        <v>25</v>
      </c>
      <c r="C38" s="3">
        <v>35</v>
      </c>
      <c r="D38" s="43" t="str">
        <f>INDEX(都市マスタ[],MATCH($C38,都市マスタ['#],0),MATCH(D$3,都市マスタ[#Headers],0))</f>
        <v>シカゴ</v>
      </c>
      <c r="E38" s="125">
        <v>1155.094164361027</v>
      </c>
      <c r="F38" s="125">
        <v>1050.6216388423666</v>
      </c>
      <c r="G38" s="125">
        <v>946.08113342213142</v>
      </c>
      <c r="H38" s="125">
        <v>908.0166264907815</v>
      </c>
      <c r="I38" s="125">
        <v>918.85503324446745</v>
      </c>
      <c r="J38" s="125">
        <v>896.92304905032472</v>
      </c>
      <c r="K38" s="125">
        <v>904.68156048298783</v>
      </c>
      <c r="L38" s="125">
        <v>947.50326216234293</v>
      </c>
      <c r="M38" s="125">
        <v>1001.249894392808</v>
      </c>
      <c r="N38" s="125">
        <v>1042.4687054163926</v>
      </c>
      <c r="O38" s="125">
        <v>1101.3494468608747</v>
      </c>
      <c r="P38" s="125">
        <v>1046.1084068976249</v>
      </c>
      <c r="Q38" s="125">
        <v>1013.7</v>
      </c>
      <c r="R38" s="125">
        <v>1009.0898187737832</v>
      </c>
      <c r="S38" s="361">
        <v>1058.3679818409166</v>
      </c>
      <c r="T38" s="270">
        <f>INDEX(スコア表[Comprehensive],MATCH($C38,スコア表['#],0))</f>
        <v>1044.1886506800834</v>
      </c>
    </row>
    <row r="39" spans="2:20">
      <c r="B39" s="83">
        <f>INDEX(順位表[Comprehensive],MATCH($C39,順位表['#],0))</f>
        <v>23</v>
      </c>
      <c r="C39" s="3">
        <v>36</v>
      </c>
      <c r="D39" s="43" t="str">
        <f>INDEX(都市マスタ[],MATCH($C39,都市マスタ['#],0),MATCH(D$3,都市マスタ[#Headers],0))</f>
        <v>トロント</v>
      </c>
      <c r="E39" s="125">
        <v>1187.9304459107691</v>
      </c>
      <c r="F39" s="125">
        <v>1114.529395310361</v>
      </c>
      <c r="G39" s="125">
        <v>956.65748672173663</v>
      </c>
      <c r="H39" s="125">
        <v>932.888424027322</v>
      </c>
      <c r="I39" s="125">
        <v>995.85625087432231</v>
      </c>
      <c r="J39" s="125">
        <v>991.41186070928097</v>
      </c>
      <c r="K39" s="125">
        <v>1009.7019382521423</v>
      </c>
      <c r="L39" s="125">
        <v>1020.915729364988</v>
      </c>
      <c r="M39" s="125">
        <v>1038.907704494487</v>
      </c>
      <c r="N39" s="125">
        <v>1060.3194645087494</v>
      </c>
      <c r="O39" s="125">
        <v>1144.9614834821994</v>
      </c>
      <c r="P39" s="125">
        <v>1113.1675609786917</v>
      </c>
      <c r="Q39" s="125">
        <v>1082.0999999999999</v>
      </c>
      <c r="R39" s="125">
        <v>1072.8097112338583</v>
      </c>
      <c r="S39" s="361">
        <v>1073.0298733206332</v>
      </c>
      <c r="T39" s="270">
        <f>INDEX(スコア表[Comprehensive],MATCH($C39,スコア表['#],0))</f>
        <v>1065.239401090975</v>
      </c>
    </row>
    <row r="40" spans="2:20">
      <c r="B40" s="83">
        <f>INDEX(順位表[Comprehensive],MATCH($C40,順位表['#],0))</f>
        <v>36</v>
      </c>
      <c r="C40" s="3">
        <v>37</v>
      </c>
      <c r="D40" s="43" t="str">
        <f>INDEX(都市マスタ[],MATCH($C40,都市マスタ['#],0),MATCH(D$3,都市マスタ[#Headers],0))</f>
        <v>ワシントンDC</v>
      </c>
      <c r="E40" s="125"/>
      <c r="F40" s="125"/>
      <c r="G40" s="125"/>
      <c r="H40" s="125"/>
      <c r="I40" s="125">
        <v>899.90559511083791</v>
      </c>
      <c r="J40" s="125">
        <v>907.51223729704805</v>
      </c>
      <c r="K40" s="125">
        <v>951.44801581389879</v>
      </c>
      <c r="L40" s="125">
        <v>924.74381200369078</v>
      </c>
      <c r="M40" s="125">
        <v>968.48217186338491</v>
      </c>
      <c r="N40" s="125">
        <v>991.90077878038301</v>
      </c>
      <c r="O40" s="125">
        <v>1063.1813259139046</v>
      </c>
      <c r="P40" s="125">
        <v>1022.5539929641334</v>
      </c>
      <c r="Q40" s="125">
        <v>936.3</v>
      </c>
      <c r="R40" s="125">
        <v>940.90716050794174</v>
      </c>
      <c r="S40" s="361">
        <v>975.12393300888334</v>
      </c>
      <c r="T40" s="270">
        <f>INDEX(スコア表[Comprehensive],MATCH($C40,スコア表['#],0))</f>
        <v>955.50167452156677</v>
      </c>
    </row>
    <row r="41" spans="2:20">
      <c r="B41" s="83">
        <f>INDEX(順位表[Comprehensive],MATCH($C41,順位表['#],0))</f>
        <v>2</v>
      </c>
      <c r="C41" s="3">
        <v>38</v>
      </c>
      <c r="D41" s="43" t="str">
        <f>INDEX(都市マスタ[],MATCH($C41,都市マスタ['#],0),MATCH(D$3,都市マスタ[#Headers],0))</f>
        <v>ニューヨーク</v>
      </c>
      <c r="E41" s="125">
        <v>1634.1510539242242</v>
      </c>
      <c r="F41" s="125">
        <v>1569.8915764512658</v>
      </c>
      <c r="G41" s="125">
        <v>1546.6402540521824</v>
      </c>
      <c r="H41" s="125">
        <v>1538.5377570500027</v>
      </c>
      <c r="I41" s="125">
        <v>1481.0058095261745</v>
      </c>
      <c r="J41" s="125">
        <v>1466.3018196844514</v>
      </c>
      <c r="K41" s="125">
        <v>1466.2274823267157</v>
      </c>
      <c r="L41" s="125">
        <v>1478.8972165653361</v>
      </c>
      <c r="M41" s="125">
        <v>1479.539283296521</v>
      </c>
      <c r="N41" s="125">
        <v>1481.2531126248912</v>
      </c>
      <c r="O41" s="125">
        <v>1565.3431668896169</v>
      </c>
      <c r="P41" s="125">
        <v>1543.1554912039833</v>
      </c>
      <c r="Q41" s="125">
        <v>1514.9</v>
      </c>
      <c r="R41" s="125">
        <v>1482.8885262367999</v>
      </c>
      <c r="S41" s="361">
        <v>1505.9403358426416</v>
      </c>
      <c r="T41" s="270">
        <f>INDEX(スコア表[Comprehensive],MATCH($C41,スコア表['#],0))</f>
        <v>1506.3663752746834</v>
      </c>
    </row>
    <row r="42" spans="2:20">
      <c r="B42" s="83">
        <f>INDEX(順位表[Comprehensive],MATCH($C42,順位表['#],0))</f>
        <v>29</v>
      </c>
      <c r="C42" s="3">
        <v>39</v>
      </c>
      <c r="D42" s="43" t="str">
        <f>INDEX(都市マスタ[],MATCH($C42,都市マスタ['#],0),MATCH(D$3,都市マスタ[#Headers],0))</f>
        <v>ボストン</v>
      </c>
      <c r="E42" s="125">
        <v>1203.7397210896709</v>
      </c>
      <c r="F42" s="125">
        <v>1074.7706761333418</v>
      </c>
      <c r="G42" s="125">
        <v>974.80374576624001</v>
      </c>
      <c r="H42" s="125">
        <v>986.47517100752361</v>
      </c>
      <c r="I42" s="125">
        <v>923.56463789913914</v>
      </c>
      <c r="J42" s="125">
        <v>889.93583056096634</v>
      </c>
      <c r="K42" s="125">
        <v>910.88190607927504</v>
      </c>
      <c r="L42" s="125">
        <v>963.801296777689</v>
      </c>
      <c r="M42" s="125">
        <v>991.44142700677344</v>
      </c>
      <c r="N42" s="125">
        <v>1030.7357431244848</v>
      </c>
      <c r="O42" s="125">
        <v>1100.0899441664944</v>
      </c>
      <c r="P42" s="125">
        <v>1047.6969683720749</v>
      </c>
      <c r="Q42" s="125">
        <v>1005.2</v>
      </c>
      <c r="R42" s="125">
        <v>1005.3347944707418</v>
      </c>
      <c r="S42" s="361">
        <v>1033.4092588165333</v>
      </c>
      <c r="T42" s="270">
        <f>INDEX(スコア表[Comprehensive],MATCH($C42,スコア表['#],0))</f>
        <v>1026.3332686456417</v>
      </c>
    </row>
    <row r="43" spans="2:20">
      <c r="B43" s="83">
        <f>INDEX(順位表[Comprehensive],MATCH($C43,順位表['#],0))</f>
        <v>39</v>
      </c>
      <c r="C43" s="3">
        <v>40</v>
      </c>
      <c r="D43" s="43" t="str">
        <f>INDEX(都市マスタ[],MATCH($C43,都市マスタ['#],0),MATCH(D$3,都市マスタ[#Headers],0))</f>
        <v>サンパウロ</v>
      </c>
      <c r="E43" s="125"/>
      <c r="F43" s="125">
        <v>844.12696244839651</v>
      </c>
      <c r="G43" s="125">
        <v>763.47702013154014</v>
      </c>
      <c r="H43" s="125">
        <v>774.40315258782118</v>
      </c>
      <c r="I43" s="125">
        <v>718.40498016988249</v>
      </c>
      <c r="J43" s="125">
        <v>742.22691828956965</v>
      </c>
      <c r="K43" s="125">
        <v>745.31380399492627</v>
      </c>
      <c r="L43" s="125">
        <v>717.15591346747601</v>
      </c>
      <c r="M43" s="125">
        <v>787.73772547422504</v>
      </c>
      <c r="N43" s="125">
        <v>830.38501062370005</v>
      </c>
      <c r="O43" s="125">
        <v>808.42390605715639</v>
      </c>
      <c r="P43" s="125">
        <v>852.04476794671655</v>
      </c>
      <c r="Q43" s="125">
        <v>846.4</v>
      </c>
      <c r="R43" s="125">
        <v>820.78851449010835</v>
      </c>
      <c r="S43" s="361">
        <v>904.33155404245827</v>
      </c>
      <c r="T43" s="270">
        <f>INDEX(スコア表[Comprehensive],MATCH($C43,スコア表['#],0))</f>
        <v>898.35468429590821</v>
      </c>
    </row>
    <row r="44" spans="2:20">
      <c r="B44" s="83">
        <f>INDEX(順位表[Comprehensive],MATCH($C44,順位表['#],0))</f>
        <v>46</v>
      </c>
      <c r="C44" s="3">
        <v>41</v>
      </c>
      <c r="D44" s="43" t="str">
        <f>INDEX(都市マスタ[],MATCH($C44,都市マスタ['#],0),MATCH(D$3,都市マスタ[#Headers],0))</f>
        <v>ヨハネスブルグ</v>
      </c>
      <c r="E44" s="125"/>
      <c r="F44" s="125"/>
      <c r="G44" s="125"/>
      <c r="H44" s="125"/>
      <c r="I44" s="125"/>
      <c r="J44" s="125"/>
      <c r="K44" s="125"/>
      <c r="L44" s="125"/>
      <c r="M44" s="125">
        <v>569.48745600374707</v>
      </c>
      <c r="N44" s="125">
        <v>633.59233476088582</v>
      </c>
      <c r="O44" s="125">
        <v>668.48159094808841</v>
      </c>
      <c r="P44" s="125">
        <v>630.18577578625002</v>
      </c>
      <c r="Q44" s="125">
        <v>618.1</v>
      </c>
      <c r="R44" s="125">
        <v>606.05423203600003</v>
      </c>
      <c r="S44" s="361">
        <v>639.80703681084992</v>
      </c>
      <c r="T44" s="270">
        <f>INDEX(スコア表[Comprehensive],MATCH($C44,スコア表['#],0))</f>
        <v>664.00173191842509</v>
      </c>
    </row>
    <row r="45" spans="2:20">
      <c r="B45" s="83">
        <f>INDEX(順位表[Comprehensive],MATCH($C45,順位表['#],0))</f>
        <v>45</v>
      </c>
      <c r="C45" s="3">
        <v>42</v>
      </c>
      <c r="D45" s="43" t="str">
        <f>INDEX(都市マスタ[],MATCH($C45,都市マスタ['#],0),MATCH(D$3,都市マスタ[#Headers],0))</f>
        <v>ジャカルタ</v>
      </c>
      <c r="E45" s="125"/>
      <c r="F45" s="125"/>
      <c r="G45" s="125"/>
      <c r="H45" s="125"/>
      <c r="I45" s="125"/>
      <c r="J45" s="125"/>
      <c r="K45" s="125"/>
      <c r="L45" s="125"/>
      <c r="M45" s="125">
        <v>636.67729785319489</v>
      </c>
      <c r="N45" s="125">
        <v>721.84967664955855</v>
      </c>
      <c r="O45" s="125">
        <v>702.00760865169968</v>
      </c>
      <c r="P45" s="125">
        <v>720.07317570548332</v>
      </c>
      <c r="Q45" s="125">
        <v>737.3</v>
      </c>
      <c r="R45" s="125">
        <v>714.44196906208333</v>
      </c>
      <c r="S45" s="361">
        <v>756.79036659585825</v>
      </c>
      <c r="T45" s="270">
        <f>INDEX(スコア表[Comprehensive],MATCH($C45,スコア表['#],0))</f>
        <v>741.73320807286666</v>
      </c>
    </row>
    <row r="46" spans="2:20">
      <c r="B46" s="83">
        <f>INDEX(順位表[Comprehensive],MATCH($C46,順位表['#],0))</f>
        <v>44</v>
      </c>
      <c r="C46" s="3">
        <v>43</v>
      </c>
      <c r="D46" s="43" t="str">
        <f>INDEX(都市マスタ[],MATCH($C46,都市マスタ['#],0),MATCH(D$3,都市マスタ[#Headers],0))</f>
        <v>ブエノスアイレス</v>
      </c>
      <c r="E46" s="125"/>
      <c r="F46" s="125"/>
      <c r="G46" s="125"/>
      <c r="H46" s="125"/>
      <c r="I46" s="125"/>
      <c r="J46" s="125"/>
      <c r="K46" s="125"/>
      <c r="L46" s="125"/>
      <c r="M46" s="125"/>
      <c r="N46" s="125">
        <v>778.1099823961739</v>
      </c>
      <c r="O46" s="125">
        <v>829.98533570805193</v>
      </c>
      <c r="P46" s="125">
        <v>874.62570809227509</v>
      </c>
      <c r="Q46" s="125">
        <v>861.2</v>
      </c>
      <c r="R46" s="125">
        <v>871.89029707149177</v>
      </c>
      <c r="S46" s="361">
        <v>864.57033548046672</v>
      </c>
      <c r="T46" s="270">
        <f>INDEX(スコア表[Comprehensive],MATCH($C46,スコア表['#],0))</f>
        <v>812.82477223342505</v>
      </c>
    </row>
    <row r="47" spans="2:20">
      <c r="B47" s="83">
        <f>INDEX(順位表[Comprehensive],MATCH($C47,順位表['#],0))</f>
        <v>8</v>
      </c>
      <c r="C47" s="3">
        <v>44</v>
      </c>
      <c r="D47" s="43" t="str">
        <f>INDEX(都市マスタ[],MATCH($C47,都市マスタ['#],0),MATCH(D$3,都市マスタ[#Headers],0))</f>
        <v>ドバイ</v>
      </c>
      <c r="E47" s="125"/>
      <c r="F47" s="125"/>
      <c r="G47" s="125"/>
      <c r="H47" s="125"/>
      <c r="I47" s="125"/>
      <c r="J47" s="125"/>
      <c r="K47" s="125"/>
      <c r="L47" s="125"/>
      <c r="M47" s="125"/>
      <c r="N47" s="125">
        <v>1036.0581939018302</v>
      </c>
      <c r="O47" s="125">
        <v>1039.8926157284595</v>
      </c>
      <c r="P47" s="125">
        <v>1091.6288629442333</v>
      </c>
      <c r="Q47" s="125">
        <v>1084.9000000000001</v>
      </c>
      <c r="R47" s="125">
        <v>1112.3694652183749</v>
      </c>
      <c r="S47" s="361">
        <v>1127.7541586926</v>
      </c>
      <c r="T47" s="270">
        <f>INDEX(スコア表[Comprehensive],MATCH($C47,スコア表['#],0))</f>
        <v>1162.6653307125334</v>
      </c>
    </row>
    <row r="48" spans="2:20">
      <c r="B48" s="83">
        <f>INDEX(順位表[Comprehensive],MATCH($C48,順位表['#],0))</f>
        <v>28</v>
      </c>
      <c r="C48" s="3">
        <v>45</v>
      </c>
      <c r="D48" s="43" t="str">
        <f>INDEX(都市マスタ[],MATCH($C48,都市マスタ['#],0),MATCH(D$3,都市マスタ[#Headers],0))</f>
        <v>ダブリン</v>
      </c>
      <c r="E48" s="125"/>
      <c r="F48" s="125"/>
      <c r="G48" s="125"/>
      <c r="H48" s="125"/>
      <c r="I48" s="125"/>
      <c r="J48" s="125"/>
      <c r="K48" s="125"/>
      <c r="L48" s="125"/>
      <c r="M48" s="125"/>
      <c r="N48" s="125"/>
      <c r="O48" s="125"/>
      <c r="P48" s="125">
        <v>1016.2847949731749</v>
      </c>
      <c r="Q48" s="125">
        <v>962.3</v>
      </c>
      <c r="R48" s="125">
        <v>1000.0829235512583</v>
      </c>
      <c r="S48" s="361">
        <v>1012.7125359326001</v>
      </c>
      <c r="T48" s="270">
        <f>INDEX(スコア表[Comprehensive],MATCH($C48,スコア表['#],0))</f>
        <v>1031.5632379666667</v>
      </c>
    </row>
    <row r="49" spans="2:20">
      <c r="B49" s="83">
        <f>INDEX(順位表[Comprehensive],MATCH($C49,順位表['#],0))</f>
        <v>31</v>
      </c>
      <c r="C49" s="3">
        <v>46</v>
      </c>
      <c r="D49" s="43" t="str">
        <f>INDEX(都市マスタ[],MATCH($C49,都市マスタ['#],0),MATCH(D$3,都市マスタ[#Headers],0))</f>
        <v>ヘルシンキ</v>
      </c>
      <c r="E49" s="125"/>
      <c r="F49" s="125"/>
      <c r="G49" s="125"/>
      <c r="H49" s="125"/>
      <c r="I49" s="125"/>
      <c r="J49" s="125"/>
      <c r="K49" s="125"/>
      <c r="L49" s="125"/>
      <c r="M49" s="125"/>
      <c r="N49" s="125"/>
      <c r="O49" s="125"/>
      <c r="P49" s="125">
        <v>1024.9626758228915</v>
      </c>
      <c r="Q49" s="125">
        <v>958.7</v>
      </c>
      <c r="R49" s="125">
        <v>981.73548629816673</v>
      </c>
      <c r="S49" s="361">
        <v>1025.6088240803001</v>
      </c>
      <c r="T49" s="270">
        <f>INDEX(スコア表[Comprehensive],MATCH($C49,スコア表['#],0))</f>
        <v>1007.9302963158916</v>
      </c>
    </row>
    <row r="50" spans="2:20">
      <c r="B50" s="83">
        <f>INDEX(順位表[Comprehensive],MATCH($C50,順位表['#],0))</f>
        <v>40</v>
      </c>
      <c r="C50" s="3">
        <v>47</v>
      </c>
      <c r="D50" s="43" t="str">
        <f>INDEX(都市マスタ[],MATCH($C50,都市マスタ['#],0),MATCH(D$3,都市マスタ[#Headers],0))</f>
        <v>テルアビブ</v>
      </c>
      <c r="E50" s="125"/>
      <c r="F50" s="125"/>
      <c r="G50" s="125"/>
      <c r="H50" s="125"/>
      <c r="I50" s="125"/>
      <c r="J50" s="125"/>
      <c r="K50" s="125"/>
      <c r="L50" s="125"/>
      <c r="M50" s="125"/>
      <c r="N50" s="125"/>
      <c r="O50" s="125"/>
      <c r="P50" s="125">
        <v>931.91249242747506</v>
      </c>
      <c r="Q50" s="125">
        <v>856.7</v>
      </c>
      <c r="R50" s="125">
        <v>852.94833084411653</v>
      </c>
      <c r="S50" s="361">
        <v>884.92181728154162</v>
      </c>
      <c r="T50" s="270">
        <f>INDEX(スコア表[Comprehensive],MATCH($C50,スコア表['#],0))</f>
        <v>892.44200955160829</v>
      </c>
    </row>
    <row r="51" spans="2:20">
      <c r="B51" s="85">
        <f>INDEX(順位表[Comprehensive],MATCH($C51,順位表['#],0))</f>
        <v>9</v>
      </c>
      <c r="C51" s="3">
        <v>48</v>
      </c>
      <c r="D51" s="43" t="str">
        <f>INDEX(都市マスタ[],MATCH($C51,都市マスタ['#],0),MATCH(D$3,都市マスタ[#Headers],0))</f>
        <v>メルボルン</v>
      </c>
      <c r="E51" s="125"/>
      <c r="F51" s="125"/>
      <c r="G51" s="125"/>
      <c r="H51" s="125"/>
      <c r="I51" s="125"/>
      <c r="J51" s="125"/>
      <c r="K51" s="125"/>
      <c r="L51" s="125"/>
      <c r="M51" s="125"/>
      <c r="N51" s="125"/>
      <c r="O51" s="125"/>
      <c r="P51" s="125">
        <v>1162.1133726285334</v>
      </c>
      <c r="Q51" s="125">
        <v>1092</v>
      </c>
      <c r="R51" s="125">
        <v>1124.9284646843666</v>
      </c>
      <c r="S51" s="361">
        <v>1157.2342101404834</v>
      </c>
      <c r="T51" s="270">
        <f>INDEX(スコア表[Comprehensive],MATCH($C51,スコア表['#],0))</f>
        <v>1155.4245851395751</v>
      </c>
    </row>
  </sheetData>
  <autoFilter ref="B3:T3" xr:uid="{00000000-0009-0000-0000-000013000000}">
    <sortState xmlns:xlrd2="http://schemas.microsoft.com/office/spreadsheetml/2017/richdata2" ref="B4:T51">
      <sortCondition ref="C3"/>
    </sortState>
  </autoFilter>
  <mergeCells count="1">
    <mergeCell ref="AG2:AH2"/>
  </mergeCells>
  <phoneticPr fontId="5"/>
  <pageMargins left="0.25" right="0.25" top="0.75" bottom="0.75" header="0.3" footer="0.3"/>
  <pageSetup paperSize="8" scale="88" orientation="landscape"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B1:DD26"/>
  <sheetViews>
    <sheetView showGridLines="0" topLeftCell="A13" zoomScale="115" zoomScaleNormal="115" workbookViewId="0">
      <selection activeCell="L16" sqref="L16"/>
    </sheetView>
  </sheetViews>
  <sheetFormatPr defaultColWidth="9.28515625" defaultRowHeight="15.75"/>
  <cols>
    <col min="1" max="1" width="3.28515625" bestFit="1" customWidth="1"/>
    <col min="2" max="2" width="4.42578125" style="2" bestFit="1" customWidth="1"/>
    <col min="3" max="3" width="12.42578125" bestFit="1" customWidth="1"/>
    <col min="4" max="108" width="5.140625" customWidth="1"/>
  </cols>
  <sheetData>
    <row r="1" spans="2:108">
      <c r="D1" t="s">
        <v>1094</v>
      </c>
      <c r="R1" t="s">
        <v>1095</v>
      </c>
    </row>
    <row r="2" spans="2:108">
      <c r="B2" s="240" t="s">
        <v>668</v>
      </c>
      <c r="D2" s="433" t="str">
        <f>IF(JPEN!$C$2="EN","Comprehensive","総合")</f>
        <v>総合</v>
      </c>
      <c r="E2" s="433"/>
      <c r="F2" s="433"/>
      <c r="G2" s="433"/>
      <c r="H2" s="433"/>
      <c r="I2" s="433"/>
      <c r="J2" s="433"/>
      <c r="K2" s="433"/>
      <c r="L2" s="433"/>
      <c r="M2" s="433"/>
      <c r="N2" s="433"/>
      <c r="O2" s="433"/>
      <c r="P2" s="433"/>
      <c r="Q2" s="453"/>
      <c r="R2" s="433"/>
      <c r="S2" s="462" t="str">
        <f>IF(JPEN!$C$2="EN","Economy","経済")</f>
        <v>経済</v>
      </c>
      <c r="T2" s="462"/>
      <c r="U2" s="462"/>
      <c r="V2" s="462"/>
      <c r="W2" s="462"/>
      <c r="X2" s="462"/>
      <c r="Y2" s="462"/>
      <c r="Z2" s="462"/>
      <c r="AA2" s="462"/>
      <c r="AB2" s="462"/>
      <c r="AC2" s="462"/>
      <c r="AD2" s="462"/>
      <c r="AE2" s="462"/>
      <c r="AF2" s="463"/>
      <c r="AG2" s="462"/>
      <c r="AH2" s="464" t="str">
        <f>IF(JPEN!$C$2="EN","R&amp;D","研究・開発")</f>
        <v>研究・開発</v>
      </c>
      <c r="AI2" s="464"/>
      <c r="AJ2" s="464"/>
      <c r="AK2" s="464"/>
      <c r="AL2" s="464"/>
      <c r="AM2" s="464"/>
      <c r="AN2" s="464"/>
      <c r="AO2" s="464"/>
      <c r="AP2" s="464"/>
      <c r="AQ2" s="464"/>
      <c r="AR2" s="464"/>
      <c r="AS2" s="464"/>
      <c r="AT2" s="464"/>
      <c r="AU2" s="465"/>
      <c r="AV2" s="464"/>
      <c r="AW2" s="454" t="str">
        <f>IF(JPEN!$C$2="EN","Cultural Interaction","文化・交流")</f>
        <v>文化・交流</v>
      </c>
      <c r="AX2" s="454"/>
      <c r="AY2" s="454"/>
      <c r="AZ2" s="454"/>
      <c r="BA2" s="454"/>
      <c r="BB2" s="454"/>
      <c r="BC2" s="454"/>
      <c r="BD2" s="454"/>
      <c r="BE2" s="454"/>
      <c r="BF2" s="454"/>
      <c r="BG2" s="454"/>
      <c r="BH2" s="454"/>
      <c r="BI2" s="454"/>
      <c r="BJ2" s="455"/>
      <c r="BK2" s="454"/>
      <c r="BL2" s="456" t="str">
        <f>IF(JPEN!$C$2="EN","Livability","居住")</f>
        <v>居住</v>
      </c>
      <c r="BM2" s="456"/>
      <c r="BN2" s="456"/>
      <c r="BO2" s="456"/>
      <c r="BP2" s="456"/>
      <c r="BQ2" s="456"/>
      <c r="BR2" s="456"/>
      <c r="BS2" s="456"/>
      <c r="BT2" s="456"/>
      <c r="BU2" s="456"/>
      <c r="BV2" s="456"/>
      <c r="BW2" s="456"/>
      <c r="BX2" s="456"/>
      <c r="BY2" s="457"/>
      <c r="BZ2" s="456"/>
      <c r="CA2" s="458" t="str">
        <f>IF(JPEN!$C$2="EN","Environment","環境")</f>
        <v>環境</v>
      </c>
      <c r="CB2" s="458"/>
      <c r="CC2" s="458"/>
      <c r="CD2" s="458"/>
      <c r="CE2" s="458"/>
      <c r="CF2" s="458"/>
      <c r="CG2" s="458"/>
      <c r="CH2" s="458"/>
      <c r="CI2" s="458"/>
      <c r="CJ2" s="458"/>
      <c r="CK2" s="458"/>
      <c r="CL2" s="458"/>
      <c r="CM2" s="458"/>
      <c r="CN2" s="459"/>
      <c r="CO2" s="458"/>
      <c r="CP2" s="460" t="str">
        <f>IF(JPEN!$C$2="EN","Accessibility","交通・アクセス")</f>
        <v>交通・アクセス</v>
      </c>
      <c r="CQ2" s="460"/>
      <c r="CR2" s="460"/>
      <c r="CS2" s="460"/>
      <c r="CT2" s="460"/>
      <c r="CU2" s="460"/>
      <c r="CV2" s="460"/>
      <c r="CW2" s="460"/>
      <c r="CX2" s="460"/>
      <c r="CY2" s="460"/>
      <c r="CZ2" s="460"/>
      <c r="DA2" s="460"/>
      <c r="DB2" s="460"/>
      <c r="DC2" s="461"/>
      <c r="DD2" s="460"/>
    </row>
    <row r="3" spans="2:108">
      <c r="B3" s="35" t="s">
        <v>208</v>
      </c>
      <c r="C3" s="36" t="str">
        <f>IF(JPEN!$C$2="EN",都市!$C$2,都市!$D$2)</f>
        <v>都市名</v>
      </c>
      <c r="D3" s="36">
        <v>2009</v>
      </c>
      <c r="E3" s="36">
        <v>2010</v>
      </c>
      <c r="F3" s="36">
        <v>2011</v>
      </c>
      <c r="G3" s="36">
        <v>2012</v>
      </c>
      <c r="H3" s="36">
        <v>2013</v>
      </c>
      <c r="I3" s="36">
        <v>2014</v>
      </c>
      <c r="J3" s="36">
        <v>2015</v>
      </c>
      <c r="K3" s="36">
        <v>2016</v>
      </c>
      <c r="L3" s="36">
        <v>2017</v>
      </c>
      <c r="M3" s="36">
        <v>2018</v>
      </c>
      <c r="N3" s="36">
        <v>2019</v>
      </c>
      <c r="O3" s="36">
        <v>2020</v>
      </c>
      <c r="P3" s="36">
        <v>2021</v>
      </c>
      <c r="Q3" s="357">
        <v>2022</v>
      </c>
      <c r="R3" s="36">
        <v>2023</v>
      </c>
      <c r="S3" s="36">
        <v>2009</v>
      </c>
      <c r="T3" s="36">
        <v>2010</v>
      </c>
      <c r="U3" s="36">
        <v>2011</v>
      </c>
      <c r="V3" s="36">
        <v>2012</v>
      </c>
      <c r="W3" s="36">
        <v>2013</v>
      </c>
      <c r="X3" s="36">
        <v>2014</v>
      </c>
      <c r="Y3" s="36">
        <v>2015</v>
      </c>
      <c r="Z3" s="36">
        <v>2016</v>
      </c>
      <c r="AA3" s="36">
        <v>2017</v>
      </c>
      <c r="AB3" s="36">
        <v>2018</v>
      </c>
      <c r="AC3" s="36">
        <v>2019</v>
      </c>
      <c r="AD3" s="36">
        <v>2020</v>
      </c>
      <c r="AE3" s="36">
        <v>2021</v>
      </c>
      <c r="AF3" s="357">
        <v>2022</v>
      </c>
      <c r="AG3" s="36">
        <v>2023</v>
      </c>
      <c r="AH3" s="36">
        <v>2009</v>
      </c>
      <c r="AI3" s="36">
        <v>2010</v>
      </c>
      <c r="AJ3" s="36">
        <v>2011</v>
      </c>
      <c r="AK3" s="36">
        <v>2012</v>
      </c>
      <c r="AL3" s="36">
        <v>2013</v>
      </c>
      <c r="AM3" s="36">
        <v>2014</v>
      </c>
      <c r="AN3" s="36">
        <v>2015</v>
      </c>
      <c r="AO3" s="36">
        <v>2016</v>
      </c>
      <c r="AP3" s="36">
        <v>2017</v>
      </c>
      <c r="AQ3" s="36">
        <v>2018</v>
      </c>
      <c r="AR3" s="36">
        <v>2019</v>
      </c>
      <c r="AS3" s="36">
        <v>2020</v>
      </c>
      <c r="AT3" s="36">
        <v>2021</v>
      </c>
      <c r="AU3" s="357">
        <v>2022</v>
      </c>
      <c r="AV3" s="36">
        <v>2023</v>
      </c>
      <c r="AW3" s="36">
        <v>2009</v>
      </c>
      <c r="AX3" s="36">
        <v>2010</v>
      </c>
      <c r="AY3" s="36">
        <v>2011</v>
      </c>
      <c r="AZ3" s="36">
        <v>2012</v>
      </c>
      <c r="BA3" s="36">
        <v>2013</v>
      </c>
      <c r="BB3" s="36">
        <v>2014</v>
      </c>
      <c r="BC3" s="36">
        <v>2015</v>
      </c>
      <c r="BD3" s="36">
        <v>2016</v>
      </c>
      <c r="BE3" s="36">
        <v>2017</v>
      </c>
      <c r="BF3" s="36">
        <v>2018</v>
      </c>
      <c r="BG3" s="36">
        <v>2019</v>
      </c>
      <c r="BH3" s="36">
        <v>2020</v>
      </c>
      <c r="BI3" s="36">
        <v>2021</v>
      </c>
      <c r="BJ3" s="357">
        <v>2022</v>
      </c>
      <c r="BK3" s="36">
        <v>2023</v>
      </c>
      <c r="BL3" s="36">
        <v>2009</v>
      </c>
      <c r="BM3" s="36">
        <v>2010</v>
      </c>
      <c r="BN3" s="36">
        <v>2011</v>
      </c>
      <c r="BO3" s="36">
        <v>2012</v>
      </c>
      <c r="BP3" s="36">
        <v>2013</v>
      </c>
      <c r="BQ3" s="36">
        <v>2014</v>
      </c>
      <c r="BR3" s="36">
        <v>2015</v>
      </c>
      <c r="BS3" s="36">
        <v>2016</v>
      </c>
      <c r="BT3" s="36">
        <v>2017</v>
      </c>
      <c r="BU3" s="36">
        <v>2018</v>
      </c>
      <c r="BV3" s="36">
        <v>2019</v>
      </c>
      <c r="BW3" s="36">
        <v>2020</v>
      </c>
      <c r="BX3" s="36">
        <v>2021</v>
      </c>
      <c r="BY3" s="357">
        <v>2022</v>
      </c>
      <c r="BZ3" s="36">
        <v>2023</v>
      </c>
      <c r="CA3" s="36">
        <v>2009</v>
      </c>
      <c r="CB3" s="36">
        <v>2010</v>
      </c>
      <c r="CC3" s="36">
        <v>2011</v>
      </c>
      <c r="CD3" s="36">
        <v>2012</v>
      </c>
      <c r="CE3" s="36">
        <v>2013</v>
      </c>
      <c r="CF3" s="36">
        <v>2014</v>
      </c>
      <c r="CG3" s="36">
        <v>2015</v>
      </c>
      <c r="CH3" s="36">
        <v>2016</v>
      </c>
      <c r="CI3" s="36">
        <v>2017</v>
      </c>
      <c r="CJ3" s="36">
        <v>2018</v>
      </c>
      <c r="CK3" s="36">
        <v>2019</v>
      </c>
      <c r="CL3" s="36">
        <v>2020</v>
      </c>
      <c r="CM3" s="36">
        <v>2021</v>
      </c>
      <c r="CN3" s="357">
        <v>2022</v>
      </c>
      <c r="CO3" s="36">
        <v>2023</v>
      </c>
      <c r="CP3" s="36">
        <v>2009</v>
      </c>
      <c r="CQ3" s="36">
        <v>2010</v>
      </c>
      <c r="CR3" s="36">
        <v>2011</v>
      </c>
      <c r="CS3" s="36">
        <v>2012</v>
      </c>
      <c r="CT3" s="36">
        <v>2013</v>
      </c>
      <c r="CU3" s="36">
        <v>2014</v>
      </c>
      <c r="CV3" s="36">
        <v>2015</v>
      </c>
      <c r="CW3" s="36">
        <v>2016</v>
      </c>
      <c r="CX3" s="36">
        <v>2017</v>
      </c>
      <c r="CY3" s="36">
        <v>2018</v>
      </c>
      <c r="CZ3" s="36">
        <v>2019</v>
      </c>
      <c r="DA3" s="36">
        <v>2020</v>
      </c>
      <c r="DB3" s="36">
        <v>2021</v>
      </c>
      <c r="DC3" s="357">
        <v>2022</v>
      </c>
      <c r="DD3" s="36">
        <v>2023</v>
      </c>
    </row>
    <row r="4" spans="2:108">
      <c r="B4" s="3">
        <v>3</v>
      </c>
      <c r="C4" s="1" t="str">
        <f>IFERROR(INDEX(都市マスタ[],MATCH(B4,都市マスタ['#],0),MATCH(C$3,都市マスタ[#Headers],0)),"")</f>
        <v>ロンドン</v>
      </c>
      <c r="D4" s="19">
        <v>71.663023549169964</v>
      </c>
      <c r="E4" s="19">
        <v>74.511886495871067</v>
      </c>
      <c r="F4" s="19">
        <v>74.511886495871067</v>
      </c>
      <c r="G4" s="19">
        <v>77.669247285463015</v>
      </c>
      <c r="H4" s="19">
        <v>78.784940952487773</v>
      </c>
      <c r="I4" s="19">
        <v>79.655018113466909</v>
      </c>
      <c r="J4" s="19">
        <v>79.711637343756877</v>
      </c>
      <c r="K4" s="19">
        <v>77.945471378263832</v>
      </c>
      <c r="L4" s="19">
        <v>80.170654186379636</v>
      </c>
      <c r="M4" s="19">
        <v>77.911043665249082</v>
      </c>
      <c r="N4" s="19">
        <v>80.382590927088529</v>
      </c>
      <c r="O4" s="19">
        <v>82.2</v>
      </c>
      <c r="P4" s="19">
        <v>81.33185402316721</v>
      </c>
      <c r="Q4" s="367">
        <v>79.275394020867481</v>
      </c>
      <c r="R4" s="267">
        <f>INDEX(偏差値表[Comprehensive],MATCH($B4,偏差値表['#],0))</f>
        <v>80.918178715655742</v>
      </c>
      <c r="S4" s="19">
        <v>67.12928675291036</v>
      </c>
      <c r="T4" s="19">
        <v>68.597495794076067</v>
      </c>
      <c r="U4" s="19">
        <v>68.597495794076067</v>
      </c>
      <c r="V4" s="19">
        <v>65.160557170824717</v>
      </c>
      <c r="W4" s="19">
        <v>65.629396077549799</v>
      </c>
      <c r="X4" s="19">
        <v>69.100457089089701</v>
      </c>
      <c r="Y4" s="19">
        <v>72.597922369339784</v>
      </c>
      <c r="Z4" s="19">
        <v>70.622825202840673</v>
      </c>
      <c r="AA4" s="19">
        <v>70.286453384368855</v>
      </c>
      <c r="AB4" s="19">
        <v>72.52590683748835</v>
      </c>
      <c r="AC4" s="19">
        <v>70.508301731867249</v>
      </c>
      <c r="AD4" s="19">
        <v>70</v>
      </c>
      <c r="AE4" s="19">
        <v>68.46352857170298</v>
      </c>
      <c r="AF4" s="367">
        <v>67.41339241205803</v>
      </c>
      <c r="AG4" s="267">
        <f>INDEX(偏差値表[Economy],MATCH($B4,偏差値表['#],0))</f>
        <v>67.884213669604364</v>
      </c>
      <c r="AH4" s="19">
        <v>67.42784154277652</v>
      </c>
      <c r="AI4" s="19">
        <v>62.294186784112185</v>
      </c>
      <c r="AJ4" s="19">
        <v>62.294186784112185</v>
      </c>
      <c r="AK4" s="19">
        <v>64.903428553360683</v>
      </c>
      <c r="AL4" s="19">
        <v>68.713953098756662</v>
      </c>
      <c r="AM4" s="19">
        <v>68.909944533685902</v>
      </c>
      <c r="AN4" s="19">
        <v>69.450964683955533</v>
      </c>
      <c r="AO4" s="19">
        <v>70.621449460217775</v>
      </c>
      <c r="AP4" s="19">
        <v>72.009398573628346</v>
      </c>
      <c r="AQ4" s="19">
        <v>69.251211636861129</v>
      </c>
      <c r="AR4" s="19">
        <v>73.368067098917521</v>
      </c>
      <c r="AS4" s="19">
        <v>76</v>
      </c>
      <c r="AT4" s="19">
        <v>74.960828805287576</v>
      </c>
      <c r="AU4" s="367">
        <v>74.841864522184352</v>
      </c>
      <c r="AV4" s="267">
        <f>INDEX(偏差値表[R&amp;D],MATCH($B4,偏差値表['#],0))</f>
        <v>74.597208583595972</v>
      </c>
      <c r="AW4" s="19">
        <v>80.52124469496664</v>
      </c>
      <c r="AX4" s="19">
        <v>80.731266759319567</v>
      </c>
      <c r="AY4" s="19">
        <v>80.731266759319567</v>
      </c>
      <c r="AZ4" s="19">
        <v>86.23745724256267</v>
      </c>
      <c r="BA4" s="19">
        <v>86.338346175979638</v>
      </c>
      <c r="BB4" s="19">
        <v>86.592011909197865</v>
      </c>
      <c r="BC4" s="19">
        <v>85.780476898961808</v>
      </c>
      <c r="BD4" s="19">
        <v>85.637546315576984</v>
      </c>
      <c r="BE4" s="19">
        <v>88.936114740123486</v>
      </c>
      <c r="BF4" s="19">
        <v>88.055459294322503</v>
      </c>
      <c r="BG4" s="19">
        <v>89.358818301938072</v>
      </c>
      <c r="BH4" s="19">
        <v>89.3</v>
      </c>
      <c r="BI4" s="19">
        <v>88.797124295119829</v>
      </c>
      <c r="BJ4" s="367">
        <v>85.587940713252877</v>
      </c>
      <c r="BK4" s="267">
        <f>INDEX(偏差値表[Cultural Interaction],MATCH($B4,偏差値表['#],0))</f>
        <v>86.772741769308922</v>
      </c>
      <c r="BL4" s="19">
        <v>36.070647312950229</v>
      </c>
      <c r="BM4" s="19">
        <v>54.039687882423642</v>
      </c>
      <c r="BN4" s="19">
        <v>54.039687882423642</v>
      </c>
      <c r="BO4" s="19">
        <v>52.208622676030082</v>
      </c>
      <c r="BP4" s="19">
        <v>49.571995733193503</v>
      </c>
      <c r="BQ4" s="19">
        <v>50.644294338806382</v>
      </c>
      <c r="BR4" s="19">
        <v>53.833377727067422</v>
      </c>
      <c r="BS4" s="19">
        <v>49.029033388788903</v>
      </c>
      <c r="BT4" s="19">
        <v>55.409859586602487</v>
      </c>
      <c r="BU4" s="19">
        <v>58.460382182166356</v>
      </c>
      <c r="BV4" s="19">
        <v>59.904022080734158</v>
      </c>
      <c r="BW4" s="19">
        <v>58.2</v>
      </c>
      <c r="BX4" s="19">
        <v>61.200049894135503</v>
      </c>
      <c r="BY4" s="367">
        <v>59.602372075077625</v>
      </c>
      <c r="BZ4" s="267">
        <f>INDEX(偏差値表[Livability],MATCH($B4,偏差値表['#],0))</f>
        <v>58.944552322499028</v>
      </c>
      <c r="CA4" s="19">
        <v>53.105873278418315</v>
      </c>
      <c r="CB4" s="19">
        <v>53.513322071632544</v>
      </c>
      <c r="CC4" s="19">
        <v>53.513322071632544</v>
      </c>
      <c r="CD4" s="19">
        <v>57.028125508280958</v>
      </c>
      <c r="CE4" s="19">
        <v>59.617761987329786</v>
      </c>
      <c r="CF4" s="19">
        <v>61.799530492515871</v>
      </c>
      <c r="CG4" s="19">
        <v>59.632880029672613</v>
      </c>
      <c r="CH4" s="19">
        <v>59.619811347403235</v>
      </c>
      <c r="CI4" s="19">
        <v>61.20472743985917</v>
      </c>
      <c r="CJ4" s="19">
        <v>53.323884640962916</v>
      </c>
      <c r="CK4" s="19">
        <v>52.313790428378141</v>
      </c>
      <c r="CL4" s="19">
        <v>55</v>
      </c>
      <c r="CM4" s="19">
        <v>55.753297667883864</v>
      </c>
      <c r="CN4" s="367">
        <v>59.455907376917466</v>
      </c>
      <c r="CO4" s="267">
        <f>INDEX(偏差値表[Environment],MATCH($B4,偏差値表['#],0))</f>
        <v>58.292712639616084</v>
      </c>
      <c r="CP4" s="19">
        <v>73.070842771020523</v>
      </c>
      <c r="CQ4" s="19">
        <v>77.216828121758923</v>
      </c>
      <c r="CR4" s="19">
        <v>77.216828121758923</v>
      </c>
      <c r="CS4" s="19">
        <v>74.561857482368993</v>
      </c>
      <c r="CT4" s="19">
        <v>74.332295926207934</v>
      </c>
      <c r="CU4" s="19">
        <v>73.292737116227002</v>
      </c>
      <c r="CV4" s="19">
        <v>71.795728390290364</v>
      </c>
      <c r="CW4" s="19">
        <v>73.729431780026786</v>
      </c>
      <c r="CX4" s="19">
        <v>72.213977775118991</v>
      </c>
      <c r="CY4" s="19">
        <v>70.282888003724452</v>
      </c>
      <c r="CZ4" s="19">
        <v>69.342108210617837</v>
      </c>
      <c r="DA4" s="19">
        <v>72.5</v>
      </c>
      <c r="DB4" s="19">
        <v>67.619661483328599</v>
      </c>
      <c r="DC4" s="367">
        <v>61.482505507569975</v>
      </c>
      <c r="DD4" s="267">
        <f>INDEX(偏差値表[Accessibility],MATCH($B4,偏差値表['#],0))</f>
        <v>69.671428944015361</v>
      </c>
    </row>
    <row r="5" spans="2:108">
      <c r="B5" s="3">
        <v>38</v>
      </c>
      <c r="C5" s="1" t="str">
        <f>IFERROR(INDEX(都市マスタ[],MATCH(B5,都市マスタ['#],0),MATCH(C$3,都市マスタ[#Headers],0)),"")</f>
        <v>ニューヨーク</v>
      </c>
      <c r="D5" s="19">
        <v>73.612532190714646</v>
      </c>
      <c r="E5" s="19">
        <v>74.57711607373821</v>
      </c>
      <c r="F5" s="19">
        <v>74.57711607373821</v>
      </c>
      <c r="G5" s="19">
        <v>73.574334027405953</v>
      </c>
      <c r="H5" s="19">
        <v>73.642044736840674</v>
      </c>
      <c r="I5" s="19">
        <v>73.043470195200229</v>
      </c>
      <c r="J5" s="19">
        <v>72.669330280028177</v>
      </c>
      <c r="K5" s="19">
        <v>71.473987678116998</v>
      </c>
      <c r="L5" s="19">
        <v>71.101129032978946</v>
      </c>
      <c r="M5" s="19">
        <v>72.167292784660248</v>
      </c>
      <c r="N5" s="19">
        <v>74.155766677280511</v>
      </c>
      <c r="O5" s="19">
        <v>74.8</v>
      </c>
      <c r="P5" s="19">
        <v>73.11776176246272</v>
      </c>
      <c r="Q5" s="367">
        <v>74.65105229280168</v>
      </c>
      <c r="R5" s="267">
        <f>INDEX(偏差値表[Comprehensive],MATCH($B5,偏差値表['#],0))</f>
        <v>73.65900515785043</v>
      </c>
      <c r="S5" s="19">
        <v>78.902665812251783</v>
      </c>
      <c r="T5" s="19">
        <v>70.402369833405288</v>
      </c>
      <c r="U5" s="19">
        <v>70.402369833405288</v>
      </c>
      <c r="V5" s="19">
        <v>73.690743883126601</v>
      </c>
      <c r="W5" s="19">
        <v>72.463728034911398</v>
      </c>
      <c r="X5" s="19">
        <v>70.106676897679435</v>
      </c>
      <c r="Y5" s="19">
        <v>68.5450707195007</v>
      </c>
      <c r="Z5" s="19">
        <v>68.945630707611684</v>
      </c>
      <c r="AA5" s="19">
        <v>74.158588906032207</v>
      </c>
      <c r="AB5" s="19">
        <v>73.640180252954835</v>
      </c>
      <c r="AC5" s="19">
        <v>74.979727289235797</v>
      </c>
      <c r="AD5" s="19">
        <v>75.8</v>
      </c>
      <c r="AE5" s="19">
        <v>74.96086674098791</v>
      </c>
      <c r="AF5" s="367">
        <v>73.635282525397798</v>
      </c>
      <c r="AG5" s="267">
        <f>INDEX(偏差値表[Economy],MATCH($B5,偏差値表['#],0))</f>
        <v>73.331497303580832</v>
      </c>
      <c r="AH5" s="19">
        <v>75.730096805332835</v>
      </c>
      <c r="AI5" s="19">
        <v>83.304734624040051</v>
      </c>
      <c r="AJ5" s="19">
        <v>83.304734624040051</v>
      </c>
      <c r="AK5" s="19">
        <v>84.833396831533832</v>
      </c>
      <c r="AL5" s="19">
        <v>82.978493792108964</v>
      </c>
      <c r="AM5" s="19">
        <v>85.188389659300242</v>
      </c>
      <c r="AN5" s="19">
        <v>81.737565043139426</v>
      </c>
      <c r="AO5" s="19">
        <v>81.932678431913331</v>
      </c>
      <c r="AP5" s="19">
        <v>76.153563304662782</v>
      </c>
      <c r="AQ5" s="19">
        <v>76.493418561853943</v>
      </c>
      <c r="AR5" s="19">
        <v>80.981596848987238</v>
      </c>
      <c r="AS5" s="19">
        <v>81.3</v>
      </c>
      <c r="AT5" s="19">
        <v>81.21803335232029</v>
      </c>
      <c r="AU5" s="367">
        <v>80.395542522389036</v>
      </c>
      <c r="AV5" s="267">
        <f>INDEX(偏差値表[R&amp;D],MATCH($B5,偏差値表['#],0))</f>
        <v>79.884047502502668</v>
      </c>
      <c r="AW5" s="19">
        <v>77.056136191131671</v>
      </c>
      <c r="AX5" s="19">
        <v>72.959253724863515</v>
      </c>
      <c r="AY5" s="19">
        <v>72.959253724863515</v>
      </c>
      <c r="AZ5" s="19">
        <v>72.42838837032059</v>
      </c>
      <c r="BA5" s="19">
        <v>74.648150883507057</v>
      </c>
      <c r="BB5" s="19">
        <v>72.813173994123915</v>
      </c>
      <c r="BC5" s="19">
        <v>74.495277717105964</v>
      </c>
      <c r="BD5" s="19">
        <v>72.734611505974172</v>
      </c>
      <c r="BE5" s="19">
        <v>71.280605250125916</v>
      </c>
      <c r="BF5" s="19">
        <v>72.993147668451954</v>
      </c>
      <c r="BG5" s="19">
        <v>69.76438016025088</v>
      </c>
      <c r="BH5" s="19">
        <v>70</v>
      </c>
      <c r="BI5" s="19">
        <v>69.008319440566808</v>
      </c>
      <c r="BJ5" s="367">
        <v>71.75400579848241</v>
      </c>
      <c r="BK5" s="267">
        <f>INDEX(偏差値表[Cultural Interaction],MATCH($B5,偏差値表['#],0))</f>
        <v>69.930598531255939</v>
      </c>
      <c r="BL5" s="19">
        <v>50.617875144599076</v>
      </c>
      <c r="BM5" s="19">
        <v>39.497291232036858</v>
      </c>
      <c r="BN5" s="19">
        <v>39.497291232036858</v>
      </c>
      <c r="BO5" s="19">
        <v>40.505602797913035</v>
      </c>
      <c r="BP5" s="19">
        <v>39.452559045806851</v>
      </c>
      <c r="BQ5" s="19">
        <v>42.497117976969633</v>
      </c>
      <c r="BR5" s="19">
        <v>47.221507714641454</v>
      </c>
      <c r="BS5" s="19">
        <v>48.308666685398649</v>
      </c>
      <c r="BT5" s="19">
        <v>41.897798323661007</v>
      </c>
      <c r="BU5" s="19">
        <v>46.03506930194682</v>
      </c>
      <c r="BV5" s="19">
        <v>46.988902123276887</v>
      </c>
      <c r="BW5" s="19">
        <v>46</v>
      </c>
      <c r="BX5" s="19">
        <v>40.808599138168681</v>
      </c>
      <c r="BY5" s="367">
        <v>42.03459256468873</v>
      </c>
      <c r="BZ5" s="267">
        <f>INDEX(偏差値表[Livability],MATCH($B5,偏差値表['#],0))</f>
        <v>40.15755177617558</v>
      </c>
      <c r="CA5" s="19">
        <v>41.732674701249579</v>
      </c>
      <c r="CB5" s="19">
        <v>46.565825359113823</v>
      </c>
      <c r="CC5" s="19">
        <v>46.565825359113823</v>
      </c>
      <c r="CD5" s="19">
        <v>48.666511584483594</v>
      </c>
      <c r="CE5" s="19">
        <v>48.161130699195688</v>
      </c>
      <c r="CF5" s="19">
        <v>48.532792705402358</v>
      </c>
      <c r="CG5" s="19">
        <v>48.314285763113375</v>
      </c>
      <c r="CH5" s="19">
        <v>46.8247194462488</v>
      </c>
      <c r="CI5" s="19">
        <v>47.934022905908037</v>
      </c>
      <c r="CJ5" s="19">
        <v>51.223613372067454</v>
      </c>
      <c r="CK5" s="19">
        <v>50.916492479391046</v>
      </c>
      <c r="CL5" s="19">
        <v>50.8</v>
      </c>
      <c r="CM5" s="19">
        <v>51.603506158261688</v>
      </c>
      <c r="CN5" s="367">
        <v>49.301576956627869</v>
      </c>
      <c r="CO5" s="267">
        <f>INDEX(偏差値表[Environment],MATCH($B5,偏差値表['#],0))</f>
        <v>47.45671002646835</v>
      </c>
      <c r="CP5" s="19">
        <v>62.234215950786769</v>
      </c>
      <c r="CQ5" s="19">
        <v>66.754734154542064</v>
      </c>
      <c r="CR5" s="19">
        <v>66.754734154542064</v>
      </c>
      <c r="CS5" s="19">
        <v>61.749245050291719</v>
      </c>
      <c r="CT5" s="19">
        <v>62.997337122194601</v>
      </c>
      <c r="CU5" s="19">
        <v>62.94508562765715</v>
      </c>
      <c r="CV5" s="19">
        <v>62.103070522623156</v>
      </c>
      <c r="CW5" s="19">
        <v>61.726487319927323</v>
      </c>
      <c r="CX5" s="19">
        <v>66.57663311991675</v>
      </c>
      <c r="CY5" s="19">
        <v>65.088437237098645</v>
      </c>
      <c r="CZ5" s="19">
        <v>66.210498538121612</v>
      </c>
      <c r="DA5" s="19">
        <v>66.3</v>
      </c>
      <c r="DB5" s="19">
        <v>64.609192057002318</v>
      </c>
      <c r="DC5" s="367">
        <v>67.878408923515394</v>
      </c>
      <c r="DD5" s="267">
        <f>INDEX(偏差値表[Accessibility],MATCH($B5,偏差値表['#],0))</f>
        <v>69.712434438204852</v>
      </c>
    </row>
    <row r="6" spans="2:108">
      <c r="B6" s="3">
        <v>29</v>
      </c>
      <c r="C6" s="1" t="str">
        <f>IFERROR(INDEX(都市マスタ[],MATCH(B6,都市マスタ['#],0),MATCH(C$3,都市マスタ[#Headers],0)),"")</f>
        <v>東京</v>
      </c>
      <c r="D6" s="19">
        <v>67.685736171347358</v>
      </c>
      <c r="E6" s="19">
        <v>70.842727705000783</v>
      </c>
      <c r="F6" s="19">
        <v>70.842727705000783</v>
      </c>
      <c r="G6" s="19">
        <v>70.785977896372202</v>
      </c>
      <c r="H6" s="19">
        <v>68.901622924362243</v>
      </c>
      <c r="I6" s="19">
        <v>68.378420531155086</v>
      </c>
      <c r="J6" s="19">
        <v>67.808367647607724</v>
      </c>
      <c r="K6" s="19">
        <v>69.113415468706009</v>
      </c>
      <c r="L6" s="19">
        <v>69.453272073799567</v>
      </c>
      <c r="M6" s="19">
        <v>67.491864818468741</v>
      </c>
      <c r="N6" s="19">
        <v>68.179126919832953</v>
      </c>
      <c r="O6" s="19">
        <v>68.3</v>
      </c>
      <c r="P6" s="19">
        <v>69.455660880362004</v>
      </c>
      <c r="Q6" s="367">
        <v>67.227495673945711</v>
      </c>
      <c r="R6" s="267">
        <f>INDEX(偏差値表[Comprehensive],MATCH($B6,偏差値表['#],0))</f>
        <v>66.906683405340274</v>
      </c>
      <c r="S6" s="19">
        <v>69.842905174143141</v>
      </c>
      <c r="T6" s="19">
        <v>72.207837429371835</v>
      </c>
      <c r="U6" s="19">
        <v>72.207837429371835</v>
      </c>
      <c r="V6" s="19">
        <v>75.827037696930489</v>
      </c>
      <c r="W6" s="19">
        <v>75.457427644588336</v>
      </c>
      <c r="X6" s="19">
        <v>76.596534069601432</v>
      </c>
      <c r="Y6" s="19">
        <v>73.175441533592902</v>
      </c>
      <c r="Z6" s="19">
        <v>71.308902191081074</v>
      </c>
      <c r="AA6" s="19">
        <v>68.972394047474879</v>
      </c>
      <c r="AB6" s="19">
        <v>65.551585728689588</v>
      </c>
      <c r="AC6" s="19">
        <v>63.102673856154979</v>
      </c>
      <c r="AD6" s="19">
        <v>60.9</v>
      </c>
      <c r="AE6" s="19">
        <v>60.747963069539168</v>
      </c>
      <c r="AF6" s="367">
        <v>62.082796913406781</v>
      </c>
      <c r="AG6" s="267">
        <f>INDEX(偏差値表[Economy],MATCH($B6,偏差値表['#],0))</f>
        <v>57.558812416740885</v>
      </c>
      <c r="AH6" s="19">
        <v>73.854471970706598</v>
      </c>
      <c r="AI6" s="19">
        <v>72.548891953367431</v>
      </c>
      <c r="AJ6" s="19">
        <v>72.548891953367431</v>
      </c>
      <c r="AK6" s="19">
        <v>72.123573307111641</v>
      </c>
      <c r="AL6" s="19">
        <v>70.878079774740257</v>
      </c>
      <c r="AM6" s="19">
        <v>70.298591382094415</v>
      </c>
      <c r="AN6" s="19">
        <v>70.675781745124468</v>
      </c>
      <c r="AO6" s="19">
        <v>70.7296071142963</v>
      </c>
      <c r="AP6" s="19">
        <v>71.509528899510315</v>
      </c>
      <c r="AQ6" s="19">
        <v>69.405641001582978</v>
      </c>
      <c r="AR6" s="19">
        <v>68.886114206170987</v>
      </c>
      <c r="AS6" s="19">
        <v>69.2</v>
      </c>
      <c r="AT6" s="19">
        <v>68.710494464866173</v>
      </c>
      <c r="AU6" s="367">
        <v>67.220821644936876</v>
      </c>
      <c r="AV6" s="267">
        <f>INDEX(偏差値表[R&amp;D],MATCH($B6,偏差値表['#],0))</f>
        <v>66.568352075318003</v>
      </c>
      <c r="AW6" s="19">
        <v>55.933285451355403</v>
      </c>
      <c r="AX6" s="19">
        <v>57.001457907580431</v>
      </c>
      <c r="AY6" s="19">
        <v>57.001457907580431</v>
      </c>
      <c r="AZ6" s="19">
        <v>56.030308925968541</v>
      </c>
      <c r="BA6" s="19">
        <v>55.201986974613945</v>
      </c>
      <c r="BB6" s="19">
        <v>56.662784547143204</v>
      </c>
      <c r="BC6" s="19">
        <v>58.518982098540135</v>
      </c>
      <c r="BD6" s="19">
        <v>60.626056478143909</v>
      </c>
      <c r="BE6" s="19">
        <v>63.006772387036108</v>
      </c>
      <c r="BF6" s="19">
        <v>64.970408443967713</v>
      </c>
      <c r="BG6" s="19">
        <v>67.89783404535126</v>
      </c>
      <c r="BH6" s="19">
        <v>67.400000000000006</v>
      </c>
      <c r="BI6" s="19">
        <v>67.986658874512202</v>
      </c>
      <c r="BJ6" s="367">
        <v>64.610575785718268</v>
      </c>
      <c r="BK6" s="267">
        <f>INDEX(偏差値表[Cultural Interaction],MATCH($B6,偏差値表['#],0))</f>
        <v>66.521135561544682</v>
      </c>
      <c r="BL6" s="19">
        <v>52.39886334980018</v>
      </c>
      <c r="BM6" s="19">
        <v>59.418884494796956</v>
      </c>
      <c r="BN6" s="19">
        <v>59.418884494796956</v>
      </c>
      <c r="BO6" s="19">
        <v>57.559486681769826</v>
      </c>
      <c r="BP6" s="19">
        <v>52.184492747752273</v>
      </c>
      <c r="BQ6" s="19">
        <v>54.693559133357098</v>
      </c>
      <c r="BR6" s="19">
        <v>56.86471102733833</v>
      </c>
      <c r="BS6" s="19">
        <v>61.416767577109084</v>
      </c>
      <c r="BT6" s="19">
        <v>56.673250801318545</v>
      </c>
      <c r="BU6" s="19">
        <v>59.977650022994943</v>
      </c>
      <c r="BV6" s="19">
        <v>57.343400705220951</v>
      </c>
      <c r="BW6" s="19">
        <v>57</v>
      </c>
      <c r="BX6" s="19">
        <v>59.66234324433762</v>
      </c>
      <c r="BY6" s="367">
        <v>57.934638686057255</v>
      </c>
      <c r="BZ6" s="267">
        <f>INDEX(偏差値表[Livability],MATCH($B6,偏差値表['#],0))</f>
        <v>62.277623623236067</v>
      </c>
      <c r="CA6" s="19">
        <v>59.811403870409499</v>
      </c>
      <c r="CB6" s="19">
        <v>59.855461023328935</v>
      </c>
      <c r="CC6" s="19">
        <v>59.855461023328935</v>
      </c>
      <c r="CD6" s="19">
        <v>65.25774321708856</v>
      </c>
      <c r="CE6" s="19">
        <v>66.482845644712256</v>
      </c>
      <c r="CF6" s="19">
        <v>59.349477135504003</v>
      </c>
      <c r="CG6" s="19">
        <v>55.471072187725667</v>
      </c>
      <c r="CH6" s="19">
        <v>56.246868103571714</v>
      </c>
      <c r="CI6" s="19">
        <v>56.36965176198489</v>
      </c>
      <c r="CJ6" s="19">
        <v>47.581129092878776</v>
      </c>
      <c r="CK6" s="19">
        <v>52.279816598355957</v>
      </c>
      <c r="CL6" s="19">
        <v>53.6</v>
      </c>
      <c r="CM6" s="19">
        <v>53.558418989390042</v>
      </c>
      <c r="CN6" s="367">
        <v>56.074199093135846</v>
      </c>
      <c r="CO6" s="267">
        <f>INDEX(偏差値表[Environment],MATCH($B6,偏差値表['#],0))</f>
        <v>54.219545203639861</v>
      </c>
      <c r="CP6" s="19">
        <v>51.810054113098175</v>
      </c>
      <c r="CQ6" s="19">
        <v>61.713932671916425</v>
      </c>
      <c r="CR6" s="19">
        <v>61.713932671916425</v>
      </c>
      <c r="CS6" s="19">
        <v>59.341438599689113</v>
      </c>
      <c r="CT6" s="19">
        <v>55.974917909251133</v>
      </c>
      <c r="CU6" s="19">
        <v>56.079617928961731</v>
      </c>
      <c r="CV6" s="19">
        <v>56.170397872674499</v>
      </c>
      <c r="CW6" s="19">
        <v>59.242880407248386</v>
      </c>
      <c r="CX6" s="19">
        <v>62.88597886478572</v>
      </c>
      <c r="CY6" s="19">
        <v>64.859162825807402</v>
      </c>
      <c r="CZ6" s="19">
        <v>61.537043142333808</v>
      </c>
      <c r="DA6" s="19">
        <v>63.7</v>
      </c>
      <c r="DB6" s="19">
        <v>66.031783036980499</v>
      </c>
      <c r="DC6" s="367">
        <v>58.450859836718223</v>
      </c>
      <c r="DD6" s="267">
        <f>INDEX(偏差値表[Accessibility],MATCH($B6,偏差値表['#],0))</f>
        <v>61.227202107823388</v>
      </c>
    </row>
    <row r="7" spans="2:108">
      <c r="B7" s="3">
        <v>4</v>
      </c>
      <c r="C7" s="1" t="str">
        <f>IFERROR(INDEX(都市マスタ[],MATCH(B7,都市マスタ['#],0),MATCH(C$3,都市マスタ[#Headers],0)),"")</f>
        <v>パリ</v>
      </c>
      <c r="D7" s="19">
        <v>70.60125789570229</v>
      </c>
      <c r="E7" s="19">
        <v>71.847455472994284</v>
      </c>
      <c r="F7" s="19">
        <v>71.847455472994284</v>
      </c>
      <c r="G7" s="19">
        <v>72.11703693220457</v>
      </c>
      <c r="H7" s="19">
        <v>69.789858189839791</v>
      </c>
      <c r="I7" s="19">
        <v>69.257012372759249</v>
      </c>
      <c r="J7" s="19">
        <v>68.714302676659486</v>
      </c>
      <c r="K7" s="19">
        <v>66.622351264089872</v>
      </c>
      <c r="L7" s="19">
        <v>65.665568801276109</v>
      </c>
      <c r="M7" s="19">
        <v>64.411243489690463</v>
      </c>
      <c r="N7" s="19">
        <v>66.470894444576203</v>
      </c>
      <c r="O7" s="19">
        <v>65.2</v>
      </c>
      <c r="P7" s="19">
        <v>66.383622006253546</v>
      </c>
      <c r="Q7" s="367">
        <v>66.67490216680207</v>
      </c>
      <c r="R7" s="267">
        <f>INDEX(偏差値表[Comprehensive],MATCH($B7,偏差値表['#],0))</f>
        <v>66.280956202049794</v>
      </c>
      <c r="S7" s="19">
        <v>57.329750261286101</v>
      </c>
      <c r="T7" s="19">
        <v>58.647609022160268</v>
      </c>
      <c r="U7" s="19">
        <v>58.647609022160268</v>
      </c>
      <c r="V7" s="19">
        <v>56.183539456544295</v>
      </c>
      <c r="W7" s="19">
        <v>55.335093230721313</v>
      </c>
      <c r="X7" s="19">
        <v>54.511470001955104</v>
      </c>
      <c r="Y7" s="19">
        <v>52.506116010244632</v>
      </c>
      <c r="Z7" s="19">
        <v>52.25727080777618</v>
      </c>
      <c r="AA7" s="19">
        <v>54.212049670334018</v>
      </c>
      <c r="AB7" s="19">
        <v>52.910633097932738</v>
      </c>
      <c r="AC7" s="19">
        <v>53.101879488136838</v>
      </c>
      <c r="AD7" s="19">
        <v>53.6</v>
      </c>
      <c r="AE7" s="19">
        <v>56.329368243705254</v>
      </c>
      <c r="AF7" s="367">
        <v>55.707261324410553</v>
      </c>
      <c r="AG7" s="267">
        <f>INDEX(偏差値表[Economy],MATCH($B7,偏差値表['#],0))</f>
        <v>54.901087600679375</v>
      </c>
      <c r="AH7" s="19">
        <v>59.196051112882067</v>
      </c>
      <c r="AI7" s="19">
        <v>59.71055223354896</v>
      </c>
      <c r="AJ7" s="19">
        <v>59.71055223354896</v>
      </c>
      <c r="AK7" s="19">
        <v>65.591225485173254</v>
      </c>
      <c r="AL7" s="19">
        <v>60.946976985764906</v>
      </c>
      <c r="AM7" s="19">
        <v>60.524590460262395</v>
      </c>
      <c r="AN7" s="19">
        <v>61.615313926242507</v>
      </c>
      <c r="AO7" s="19">
        <v>59.917402117445121</v>
      </c>
      <c r="AP7" s="19">
        <v>58.475720843671709</v>
      </c>
      <c r="AQ7" s="19">
        <v>59.302766422357195</v>
      </c>
      <c r="AR7" s="19">
        <v>58.162803103044801</v>
      </c>
      <c r="AS7" s="19">
        <v>57.3</v>
      </c>
      <c r="AT7" s="19">
        <v>57.538561870899855</v>
      </c>
      <c r="AU7" s="367">
        <v>58.248316925423296</v>
      </c>
      <c r="AV7" s="267">
        <f>INDEX(偏差値表[R&amp;D],MATCH($B7,偏差値表['#],0))</f>
        <v>59.136671559332513</v>
      </c>
      <c r="AW7" s="19">
        <v>71.114589481248345</v>
      </c>
      <c r="AX7" s="19">
        <v>74.248544046501593</v>
      </c>
      <c r="AY7" s="19">
        <v>74.248544046501593</v>
      </c>
      <c r="AZ7" s="19">
        <v>72.539707310774531</v>
      </c>
      <c r="BA7" s="19">
        <v>69.943131115909296</v>
      </c>
      <c r="BB7" s="19">
        <v>69.999040978267246</v>
      </c>
      <c r="BC7" s="19">
        <v>70.059292132766899</v>
      </c>
      <c r="BD7" s="19">
        <v>68.520572950349674</v>
      </c>
      <c r="BE7" s="19">
        <v>68.486009118367988</v>
      </c>
      <c r="BF7" s="19">
        <v>69.564032651865347</v>
      </c>
      <c r="BG7" s="19">
        <v>69.463221910313521</v>
      </c>
      <c r="BH7" s="19">
        <v>69.5</v>
      </c>
      <c r="BI7" s="19">
        <v>69.740354251558699</v>
      </c>
      <c r="BJ7" s="367">
        <v>68.676854739272585</v>
      </c>
      <c r="BK7" s="267">
        <f>INDEX(偏差値表[Cultural Interaction],MATCH($B7,偏差値表['#],0))</f>
        <v>68.580133781243646</v>
      </c>
      <c r="BL7" s="19">
        <v>62.386039276767072</v>
      </c>
      <c r="BM7" s="19">
        <v>73.149415282674184</v>
      </c>
      <c r="BN7" s="19">
        <v>73.149415282674184</v>
      </c>
      <c r="BO7" s="19">
        <v>66.032040442530246</v>
      </c>
      <c r="BP7" s="19">
        <v>66.47978398491108</v>
      </c>
      <c r="BQ7" s="19">
        <v>68.986566291521754</v>
      </c>
      <c r="BR7" s="19">
        <v>69.208866148514232</v>
      </c>
      <c r="BS7" s="19">
        <v>65.697063529786149</v>
      </c>
      <c r="BT7" s="19">
        <v>61.633455024203116</v>
      </c>
      <c r="BU7" s="19">
        <v>58.047277774917589</v>
      </c>
      <c r="BV7" s="19">
        <v>65.963456274628456</v>
      </c>
      <c r="BW7" s="19">
        <v>63.1</v>
      </c>
      <c r="BX7" s="19">
        <v>64.879751543777076</v>
      </c>
      <c r="BY7" s="367">
        <v>67.749819225881993</v>
      </c>
      <c r="BZ7" s="267">
        <f>INDEX(偏差値表[Livability],MATCH($B7,偏差値表['#],0))</f>
        <v>69.847064135478533</v>
      </c>
      <c r="CA7" s="19">
        <v>55.445400339106037</v>
      </c>
      <c r="CB7" s="19">
        <v>51.716156980218756</v>
      </c>
      <c r="CC7" s="19">
        <v>51.716156980218756</v>
      </c>
      <c r="CD7" s="19">
        <v>52.349493418443288</v>
      </c>
      <c r="CE7" s="19">
        <v>52.826144424659077</v>
      </c>
      <c r="CF7" s="19">
        <v>53.803379678799082</v>
      </c>
      <c r="CG7" s="19">
        <v>52.960200616962013</v>
      </c>
      <c r="CH7" s="19">
        <v>50.809391279851063</v>
      </c>
      <c r="CI7" s="19">
        <v>50.281149003895251</v>
      </c>
      <c r="CJ7" s="19">
        <v>51.751169818328734</v>
      </c>
      <c r="CK7" s="19">
        <v>52.219376699416564</v>
      </c>
      <c r="CL7" s="19">
        <v>49.6</v>
      </c>
      <c r="CM7" s="19">
        <v>48.610684716049064</v>
      </c>
      <c r="CN7" s="367">
        <v>49.09301855379973</v>
      </c>
      <c r="CO7" s="267">
        <f>INDEX(偏差値表[Environment],MATCH($B7,偏差値表['#],0))</f>
        <v>47.598828969527517</v>
      </c>
      <c r="CP7" s="19">
        <v>82.19302251751202</v>
      </c>
      <c r="CQ7" s="19">
        <v>77.614445653025683</v>
      </c>
      <c r="CR7" s="19">
        <v>77.614445653025683</v>
      </c>
      <c r="CS7" s="19">
        <v>74.734863714837815</v>
      </c>
      <c r="CT7" s="19">
        <v>71.632731483620319</v>
      </c>
      <c r="CU7" s="19">
        <v>69.998107665781248</v>
      </c>
      <c r="CV7" s="19">
        <v>72.521563903001649</v>
      </c>
      <c r="CW7" s="19">
        <v>72.755131211411623</v>
      </c>
      <c r="CX7" s="19">
        <v>72.539255195443502</v>
      </c>
      <c r="CY7" s="19">
        <v>70.819512562004618</v>
      </c>
      <c r="CZ7" s="19">
        <v>71.362371613945015</v>
      </c>
      <c r="DA7" s="19">
        <v>68</v>
      </c>
      <c r="DB7" s="19">
        <v>67.664804786289579</v>
      </c>
      <c r="DC7" s="367">
        <v>69.151603792094306</v>
      </c>
      <c r="DD7" s="267">
        <f>INDEX(偏差値表[Accessibility],MATCH($B7,偏差値表['#],0))</f>
        <v>68.236925219534584</v>
      </c>
    </row>
    <row r="8" spans="2:108">
      <c r="B8" s="3">
        <v>21</v>
      </c>
      <c r="C8" s="1" t="str">
        <f>IFERROR(INDEX(都市マスタ[],MATCH(B8,都市マスタ['#],0),MATCH(C$3,都市マスタ[#Headers],0)),"")</f>
        <v>シンガポール</v>
      </c>
      <c r="D8" s="19">
        <v>60.218974520023558</v>
      </c>
      <c r="E8" s="19">
        <v>59.832652133815486</v>
      </c>
      <c r="F8" s="19">
        <v>59.832652133815486</v>
      </c>
      <c r="G8" s="19">
        <v>59.652430670080683</v>
      </c>
      <c r="H8" s="19">
        <v>60.124297505153301</v>
      </c>
      <c r="I8" s="19">
        <v>60.985617588531497</v>
      </c>
      <c r="J8" s="19">
        <v>63.501219810053612</v>
      </c>
      <c r="K8" s="19">
        <v>61.891832376376428</v>
      </c>
      <c r="L8" s="19">
        <v>62.662136003288573</v>
      </c>
      <c r="M8" s="19">
        <v>60.639074829022256</v>
      </c>
      <c r="N8" s="19">
        <v>60.30393311223709</v>
      </c>
      <c r="O8" s="19">
        <v>61.9</v>
      </c>
      <c r="P8" s="19">
        <v>60.370986466128784</v>
      </c>
      <c r="Q8" s="367">
        <v>60.086348274666157</v>
      </c>
      <c r="R8" s="267">
        <f>INDEX(偏差値表[Comprehensive],MATCH($B8,偏差値表['#],0))</f>
        <v>61.16095700158084</v>
      </c>
      <c r="S8" s="19">
        <v>57.668833271863647</v>
      </c>
      <c r="T8" s="19">
        <v>59.439194100517334</v>
      </c>
      <c r="U8" s="19">
        <v>59.439194100517334</v>
      </c>
      <c r="V8" s="19">
        <v>60.931849192670754</v>
      </c>
      <c r="W8" s="19">
        <v>60.16060516227931</v>
      </c>
      <c r="X8" s="19">
        <v>60.886130358676098</v>
      </c>
      <c r="Y8" s="19">
        <v>63.293328404154899</v>
      </c>
      <c r="Z8" s="19">
        <v>61.793539793321109</v>
      </c>
      <c r="AA8" s="19">
        <v>59.13093753527113</v>
      </c>
      <c r="AB8" s="19">
        <v>57.332459859399535</v>
      </c>
      <c r="AC8" s="19">
        <v>59.764893799143337</v>
      </c>
      <c r="AD8" s="19">
        <v>60.7</v>
      </c>
      <c r="AE8" s="19">
        <v>60.181887619024913</v>
      </c>
      <c r="AF8" s="367">
        <v>61.14601393508768</v>
      </c>
      <c r="AG8" s="267">
        <f>INDEX(偏差値表[Economy],MATCH($B8,偏差値表['#],0))</f>
        <v>63.533470477541506</v>
      </c>
      <c r="AH8" s="19">
        <v>57.245597667162315</v>
      </c>
      <c r="AI8" s="19">
        <v>59.221136686086084</v>
      </c>
      <c r="AJ8" s="19">
        <v>59.221136686086084</v>
      </c>
      <c r="AK8" s="19">
        <v>59.798701752371642</v>
      </c>
      <c r="AL8" s="19">
        <v>59.688699043366725</v>
      </c>
      <c r="AM8" s="19">
        <v>59.554969574611789</v>
      </c>
      <c r="AN8" s="19">
        <v>59.95246452170975</v>
      </c>
      <c r="AO8" s="19">
        <v>60.100345259082488</v>
      </c>
      <c r="AP8" s="19">
        <v>63.147769613133342</v>
      </c>
      <c r="AQ8" s="19">
        <v>59.810756299496404</v>
      </c>
      <c r="AR8" s="19">
        <v>57.632126627172092</v>
      </c>
      <c r="AS8" s="19">
        <v>57.5</v>
      </c>
      <c r="AT8" s="19">
        <v>56.893793944354819</v>
      </c>
      <c r="AU8" s="367">
        <v>56.913871838514844</v>
      </c>
      <c r="AV8" s="267">
        <f>INDEX(偏差値表[R&amp;D],MATCH($B8,偏差値表['#],0))</f>
        <v>56.893443037342941</v>
      </c>
      <c r="AW8" s="19">
        <v>56.576358615796323</v>
      </c>
      <c r="AX8" s="19">
        <v>60.043952742070445</v>
      </c>
      <c r="AY8" s="19">
        <v>60.043952742070445</v>
      </c>
      <c r="AZ8" s="19">
        <v>57.631824980559998</v>
      </c>
      <c r="BA8" s="19">
        <v>59.63778594886822</v>
      </c>
      <c r="BB8" s="19">
        <v>61.173080736095621</v>
      </c>
      <c r="BC8" s="19">
        <v>61.073407093063253</v>
      </c>
      <c r="BD8" s="19">
        <v>63.428562229634572</v>
      </c>
      <c r="BE8" s="19">
        <v>62.059361279600935</v>
      </c>
      <c r="BF8" s="19">
        <v>61.390648999765773</v>
      </c>
      <c r="BG8" s="19">
        <v>62.170830358296698</v>
      </c>
      <c r="BH8" s="19">
        <v>62.2</v>
      </c>
      <c r="BI8" s="19">
        <v>59.226907468968065</v>
      </c>
      <c r="BJ8" s="367">
        <v>56.65226372960737</v>
      </c>
      <c r="BK8" s="267">
        <f>INDEX(偏差値表[Cultural Interaction],MATCH($B8,偏差値表['#],0))</f>
        <v>56.773129839224232</v>
      </c>
      <c r="BL8" s="19">
        <v>55.044305314902417</v>
      </c>
      <c r="BM8" s="19">
        <v>41.579587145418188</v>
      </c>
      <c r="BN8" s="19">
        <v>41.579587145418188</v>
      </c>
      <c r="BO8" s="19">
        <v>43.95810496913117</v>
      </c>
      <c r="BP8" s="19">
        <v>39.384734168667663</v>
      </c>
      <c r="BQ8" s="19">
        <v>36.588518538371041</v>
      </c>
      <c r="BR8" s="19">
        <v>41.65793889758254</v>
      </c>
      <c r="BS8" s="19">
        <v>35.680261479482624</v>
      </c>
      <c r="BT8" s="19">
        <v>44.72792481160409</v>
      </c>
      <c r="BU8" s="19">
        <v>49.735112169799187</v>
      </c>
      <c r="BV8" s="19">
        <v>42.93593536982273</v>
      </c>
      <c r="BW8" s="19">
        <v>46</v>
      </c>
      <c r="BX8" s="19">
        <v>47.537039762046724</v>
      </c>
      <c r="BY8" s="367">
        <v>50.66873031747734</v>
      </c>
      <c r="BZ8" s="267">
        <f>INDEX(偏差値表[Livability],MATCH($B8,偏差値表['#],0))</f>
        <v>45.77454569360718</v>
      </c>
      <c r="CA8" s="19">
        <v>54.941143034802998</v>
      </c>
      <c r="CB8" s="19">
        <v>54.485732731084703</v>
      </c>
      <c r="CC8" s="19">
        <v>54.485732731084703</v>
      </c>
      <c r="CD8" s="19">
        <v>54.445059410066236</v>
      </c>
      <c r="CE8" s="19">
        <v>59.78325237227078</v>
      </c>
      <c r="CF8" s="19">
        <v>62.269028598907269</v>
      </c>
      <c r="CG8" s="19">
        <v>60.536476023742267</v>
      </c>
      <c r="CH8" s="19">
        <v>63.32126866867759</v>
      </c>
      <c r="CI8" s="19">
        <v>62.235581177792753</v>
      </c>
      <c r="CJ8" s="19">
        <v>55.20804373252809</v>
      </c>
      <c r="CK8" s="19">
        <v>54.248439822434783</v>
      </c>
      <c r="CL8" s="19">
        <v>55.4</v>
      </c>
      <c r="CM8" s="19">
        <v>56.608614348272503</v>
      </c>
      <c r="CN8" s="367">
        <v>56.560827973220896</v>
      </c>
      <c r="CO8" s="267">
        <f>INDEX(偏差値表[Environment],MATCH($B8,偏差値表['#],0))</f>
        <v>56.29754527778632</v>
      </c>
      <c r="CP8" s="19">
        <v>60.193868946820132</v>
      </c>
      <c r="CQ8" s="19">
        <v>57.962637365537013</v>
      </c>
      <c r="CR8" s="19">
        <v>57.962637365537013</v>
      </c>
      <c r="CS8" s="19">
        <v>58.205003698208515</v>
      </c>
      <c r="CT8" s="19">
        <v>58.127670472919746</v>
      </c>
      <c r="CU8" s="19">
        <v>59.769070648455653</v>
      </c>
      <c r="CV8" s="19">
        <v>65.142907112514678</v>
      </c>
      <c r="CW8" s="19">
        <v>62.862677529159761</v>
      </c>
      <c r="CX8" s="19">
        <v>60.769480975678903</v>
      </c>
      <c r="CY8" s="19">
        <v>60.20656177547859</v>
      </c>
      <c r="CZ8" s="19">
        <v>59.459185153365752</v>
      </c>
      <c r="DA8" s="19">
        <v>63</v>
      </c>
      <c r="DB8" s="19">
        <v>59.284734937721566</v>
      </c>
      <c r="DC8" s="367">
        <v>55.849663554535177</v>
      </c>
      <c r="DD8" s="267">
        <f>INDEX(偏差値表[Accessibility],MATCH($B8,偏差値表['#],0))</f>
        <v>61.370662543187734</v>
      </c>
    </row>
    <row r="9" spans="2:108">
      <c r="B9" s="3">
        <v>22</v>
      </c>
      <c r="C9" s="1" t="str">
        <f>IFERROR(INDEX(都市マスタ[],MATCH(B9,都市マスタ['#],0),MATCH(C$3,都市マスタ[#Headers],0)),"")</f>
        <v>香港</v>
      </c>
      <c r="D9" s="19">
        <v>52.588540725830846</v>
      </c>
      <c r="E9" s="19">
        <v>54.373973972670875</v>
      </c>
      <c r="F9" s="19">
        <v>54.373973972670875</v>
      </c>
      <c r="G9" s="19">
        <v>55.311949031155606</v>
      </c>
      <c r="H9" s="19">
        <v>53.215927641760231</v>
      </c>
      <c r="I9" s="19">
        <v>54.221291215251092</v>
      </c>
      <c r="J9" s="19">
        <v>57.130041158689671</v>
      </c>
      <c r="K9" s="19">
        <v>56.860423100564965</v>
      </c>
      <c r="L9" s="19">
        <v>55.644577062737248</v>
      </c>
      <c r="M9" s="19">
        <v>55.858134083526849</v>
      </c>
      <c r="N9" s="19">
        <v>55.732637826768155</v>
      </c>
      <c r="O9" s="19">
        <v>56.2</v>
      </c>
      <c r="P9" s="19">
        <v>54.63432849556996</v>
      </c>
      <c r="Q9" s="367">
        <v>51.233520025294013</v>
      </c>
      <c r="R9" s="267">
        <f>INDEX(偏差値表[Comprehensive],MATCH($B9,偏差値表['#],0))</f>
        <v>52.218613218381606</v>
      </c>
      <c r="S9" s="19">
        <v>58.039421550924516</v>
      </c>
      <c r="T9" s="19">
        <v>59.047157570326064</v>
      </c>
      <c r="U9" s="19">
        <v>59.047157570326064</v>
      </c>
      <c r="V9" s="19">
        <v>61.595227280249603</v>
      </c>
      <c r="W9" s="19">
        <v>60.373364654147707</v>
      </c>
      <c r="X9" s="19">
        <v>61.243303345026291</v>
      </c>
      <c r="Y9" s="19">
        <v>63.873362915734042</v>
      </c>
      <c r="Z9" s="19">
        <v>64.99637845309401</v>
      </c>
      <c r="AA9" s="19">
        <v>59.731394132251296</v>
      </c>
      <c r="AB9" s="19">
        <v>60.324420092955577</v>
      </c>
      <c r="AC9" s="19">
        <v>59.145601407142706</v>
      </c>
      <c r="AD9" s="19">
        <v>60.5</v>
      </c>
      <c r="AE9" s="19">
        <v>60.504127775609632</v>
      </c>
      <c r="AF9" s="367">
        <v>50.498979069645294</v>
      </c>
      <c r="AG9" s="267">
        <f>INDEX(偏差値表[Economy],MATCH($B9,偏差値表['#],0))</f>
        <v>51.768501408504648</v>
      </c>
      <c r="AH9" s="19">
        <v>55.978588165856586</v>
      </c>
      <c r="AI9" s="19">
        <v>55.924757417986221</v>
      </c>
      <c r="AJ9" s="19">
        <v>55.924757417986221</v>
      </c>
      <c r="AK9" s="19">
        <v>55.200118066897787</v>
      </c>
      <c r="AL9" s="19">
        <v>55.092614442359853</v>
      </c>
      <c r="AM9" s="19">
        <v>53.154731196049447</v>
      </c>
      <c r="AN9" s="19">
        <v>54.763316570652542</v>
      </c>
      <c r="AO9" s="19">
        <v>54.767608835110941</v>
      </c>
      <c r="AP9" s="19">
        <v>56.674069968982636</v>
      </c>
      <c r="AQ9" s="19">
        <v>56.183886941458802</v>
      </c>
      <c r="AR9" s="19">
        <v>57.920105663512189</v>
      </c>
      <c r="AS9" s="19">
        <v>57.6</v>
      </c>
      <c r="AT9" s="19">
        <v>57.284182539291919</v>
      </c>
      <c r="AU9" s="367">
        <v>57.683659735451201</v>
      </c>
      <c r="AV9" s="267">
        <f>INDEX(偏差値表[R&amp;D],MATCH($B9,偏差値表['#],0))</f>
        <v>58.952589552929695</v>
      </c>
      <c r="AW9" s="19">
        <v>55.040331238335156</v>
      </c>
      <c r="AX9" s="19">
        <v>56.593942493643567</v>
      </c>
      <c r="AY9" s="19">
        <v>56.593942493643567</v>
      </c>
      <c r="AZ9" s="19">
        <v>51.136450849604294</v>
      </c>
      <c r="BA9" s="19">
        <v>46.700194224540901</v>
      </c>
      <c r="BB9" s="19">
        <v>46.555785873747254</v>
      </c>
      <c r="BC9" s="19">
        <v>47.069225514395931</v>
      </c>
      <c r="BD9" s="19">
        <v>50.400159393224456</v>
      </c>
      <c r="BE9" s="19">
        <v>48.806595126340071</v>
      </c>
      <c r="BF9" s="19">
        <v>52.319538616399363</v>
      </c>
      <c r="BG9" s="19">
        <v>54.417239966943413</v>
      </c>
      <c r="BH9" s="19">
        <v>51.3</v>
      </c>
      <c r="BI9" s="19">
        <v>48.006797554769967</v>
      </c>
      <c r="BJ9" s="367">
        <v>48.392151685084556</v>
      </c>
      <c r="BK9" s="267">
        <f>INDEX(偏差値表[Cultural Interaction],MATCH($B9,偏差値表['#],0))</f>
        <v>46.527731016854169</v>
      </c>
      <c r="BL9" s="19">
        <v>37.408457382812159</v>
      </c>
      <c r="BM9" s="19">
        <v>33.590781236408404</v>
      </c>
      <c r="BN9" s="19">
        <v>33.590781236408404</v>
      </c>
      <c r="BO9" s="19">
        <v>41.509199575160594</v>
      </c>
      <c r="BP9" s="19">
        <v>40.029451264750492</v>
      </c>
      <c r="BQ9" s="19">
        <v>39.073461005943074</v>
      </c>
      <c r="BR9" s="19">
        <v>49.074087545241206</v>
      </c>
      <c r="BS9" s="19">
        <v>40.033640105383256</v>
      </c>
      <c r="BT9" s="19">
        <v>40.68183408208148</v>
      </c>
      <c r="BU9" s="19">
        <v>46.075967576933543</v>
      </c>
      <c r="BV9" s="19">
        <v>38.235671508956138</v>
      </c>
      <c r="BW9" s="19">
        <v>44.3</v>
      </c>
      <c r="BX9" s="19">
        <v>45.841450616448569</v>
      </c>
      <c r="BY9" s="367">
        <v>47.263044935389253</v>
      </c>
      <c r="BZ9" s="267">
        <f>INDEX(偏差値表[Livability],MATCH($B9,偏差値表['#],0))</f>
        <v>50.146152733854073</v>
      </c>
      <c r="CA9" s="19">
        <v>49.060372517998445</v>
      </c>
      <c r="CB9" s="19">
        <v>47.296043535799882</v>
      </c>
      <c r="CC9" s="19">
        <v>47.296043535799882</v>
      </c>
      <c r="CD9" s="19">
        <v>43.10488225860118</v>
      </c>
      <c r="CE9" s="19">
        <v>43.625060429727128</v>
      </c>
      <c r="CF9" s="19">
        <v>52.143951053180977</v>
      </c>
      <c r="CG9" s="19">
        <v>50.539889895886077</v>
      </c>
      <c r="CH9" s="19">
        <v>52.104297111270995</v>
      </c>
      <c r="CI9" s="19">
        <v>53.406353477992319</v>
      </c>
      <c r="CJ9" s="19">
        <v>45.998254820236411</v>
      </c>
      <c r="CK9" s="19">
        <v>45.715994698737262</v>
      </c>
      <c r="CL9" s="19">
        <v>47.8</v>
      </c>
      <c r="CM9" s="19">
        <v>50.77508909872541</v>
      </c>
      <c r="CN9" s="367">
        <v>50.669311074807794</v>
      </c>
      <c r="CO9" s="267">
        <f>INDEX(偏差値表[Environment],MATCH($B9,偏差値表['#],0))</f>
        <v>49.492773200287019</v>
      </c>
      <c r="CP9" s="19">
        <v>47.692192630427854</v>
      </c>
      <c r="CQ9" s="19">
        <v>55.686602815308447</v>
      </c>
      <c r="CR9" s="19">
        <v>55.686602815308447</v>
      </c>
      <c r="CS9" s="19">
        <v>63.608366340103814</v>
      </c>
      <c r="CT9" s="19">
        <v>64.217260355772865</v>
      </c>
      <c r="CU9" s="19">
        <v>63.9799398741633</v>
      </c>
      <c r="CV9" s="19">
        <v>64.73155905741325</v>
      </c>
      <c r="CW9" s="19">
        <v>65.278211376839195</v>
      </c>
      <c r="CX9" s="19">
        <v>63.039357420480478</v>
      </c>
      <c r="CY9" s="19">
        <v>61.31154272396207</v>
      </c>
      <c r="CZ9" s="19">
        <v>62.775143493467418</v>
      </c>
      <c r="DA9" s="19">
        <v>60.5</v>
      </c>
      <c r="DB9" s="19">
        <v>54.918228058202615</v>
      </c>
      <c r="DC9" s="367">
        <v>49.92709542630265</v>
      </c>
      <c r="DD9" s="267">
        <f>INDEX(偏差値表[Accessibility],MATCH($B9,偏差値表['#],0))</f>
        <v>53.309478568775617</v>
      </c>
    </row>
    <row r="10" spans="2:108">
      <c r="B10" s="3">
        <v>23</v>
      </c>
      <c r="C10" s="1" t="str">
        <f>IFERROR(INDEX(都市マスタ[],MATCH(B10,都市マスタ['#],0),MATCH(C$3,都市マスタ[#Headers],0)),"")</f>
        <v>北京</v>
      </c>
      <c r="D10" s="19">
        <v>45.149166704068882</v>
      </c>
      <c r="E10" s="19">
        <v>48.338747596921976</v>
      </c>
      <c r="F10" s="19">
        <v>48.338747596921976</v>
      </c>
      <c r="G10" s="19">
        <v>52.083550392171475</v>
      </c>
      <c r="H10" s="19">
        <v>52.086330514285798</v>
      </c>
      <c r="I10" s="19">
        <v>51.402153902949756</v>
      </c>
      <c r="J10" s="19">
        <v>49.507675704877478</v>
      </c>
      <c r="K10" s="19">
        <v>50.863079523421327</v>
      </c>
      <c r="L10" s="19">
        <v>53.63466534826253</v>
      </c>
      <c r="M10" s="19">
        <v>50.593662236543288</v>
      </c>
      <c r="N10" s="19">
        <v>49.827576670945525</v>
      </c>
      <c r="O10" s="19">
        <v>53.3</v>
      </c>
      <c r="P10" s="19">
        <v>52.520392128896077</v>
      </c>
      <c r="Q10" s="367">
        <v>52.917876680450313</v>
      </c>
      <c r="R10" s="267">
        <f>INDEX(偏差値表[Comprehensive],MATCH($B10,偏差値表['#],0))</f>
        <v>53.436162959179278</v>
      </c>
      <c r="S10" s="19">
        <v>56.325863665037978</v>
      </c>
      <c r="T10" s="19">
        <v>69.870415406576484</v>
      </c>
      <c r="U10" s="19">
        <v>69.870415406576484</v>
      </c>
      <c r="V10" s="19">
        <v>67.9740477716295</v>
      </c>
      <c r="W10" s="19">
        <v>70.511272788026119</v>
      </c>
      <c r="X10" s="19">
        <v>69.458858241751003</v>
      </c>
      <c r="Y10" s="19">
        <v>68.276086969031041</v>
      </c>
      <c r="Z10" s="19">
        <v>68.717466484747689</v>
      </c>
      <c r="AA10" s="19">
        <v>69.212526290226293</v>
      </c>
      <c r="AB10" s="19">
        <v>62.735183496765885</v>
      </c>
      <c r="AC10" s="19">
        <v>63.401484984548134</v>
      </c>
      <c r="AD10" s="19">
        <v>64.400000000000006</v>
      </c>
      <c r="AE10" s="19">
        <v>64.52982561434186</v>
      </c>
      <c r="AF10" s="367">
        <v>63.166198304496021</v>
      </c>
      <c r="AG10" s="267">
        <f>INDEX(偏差値表[Economy],MATCH($B10,偏差値表['#],0))</f>
        <v>63.705496570109943</v>
      </c>
      <c r="AH10" s="19">
        <v>44.179056208198901</v>
      </c>
      <c r="AI10" s="19">
        <v>44.821760977334144</v>
      </c>
      <c r="AJ10" s="19">
        <v>44.821760977334144</v>
      </c>
      <c r="AK10" s="19">
        <v>50.111431672776689</v>
      </c>
      <c r="AL10" s="19">
        <v>46.377369447619849</v>
      </c>
      <c r="AM10" s="19">
        <v>47.257150957095497</v>
      </c>
      <c r="AN10" s="19">
        <v>47.30194933162813</v>
      </c>
      <c r="AO10" s="19">
        <v>48.27694020843019</v>
      </c>
      <c r="AP10" s="19">
        <v>52.55286339631369</v>
      </c>
      <c r="AQ10" s="19">
        <v>54.830452869632964</v>
      </c>
      <c r="AR10" s="19">
        <v>54.329355775253021</v>
      </c>
      <c r="AS10" s="19">
        <v>56.3</v>
      </c>
      <c r="AT10" s="19">
        <v>55.770459041008593</v>
      </c>
      <c r="AU10" s="367">
        <v>56.40123303204043</v>
      </c>
      <c r="AV10" s="267">
        <f>INDEX(偏差値表[R&amp;D],MATCH($B10,偏差値表['#],0))</f>
        <v>55.948620313883346</v>
      </c>
      <c r="AW10" s="19">
        <v>55.534893922280432</v>
      </c>
      <c r="AX10" s="19">
        <v>55.629356962666712</v>
      </c>
      <c r="AY10" s="19">
        <v>55.629356962666712</v>
      </c>
      <c r="AZ10" s="19">
        <v>54.986621390644423</v>
      </c>
      <c r="BA10" s="19">
        <v>55.951501217096222</v>
      </c>
      <c r="BB10" s="19">
        <v>56.479001509009152</v>
      </c>
      <c r="BC10" s="19">
        <v>56.80774734264768</v>
      </c>
      <c r="BD10" s="19">
        <v>55.786773559917542</v>
      </c>
      <c r="BE10" s="19">
        <v>57.481134089451608</v>
      </c>
      <c r="BF10" s="19">
        <v>56.276559449339061</v>
      </c>
      <c r="BG10" s="19">
        <v>52.835198966578183</v>
      </c>
      <c r="BH10" s="19">
        <v>53.5</v>
      </c>
      <c r="BI10" s="19">
        <v>49.816841622446859</v>
      </c>
      <c r="BJ10" s="367">
        <v>49.689156272963388</v>
      </c>
      <c r="BK10" s="267">
        <f>INDEX(偏差値表[Cultural Interaction],MATCH($B10,偏差値表['#],0))</f>
        <v>51.854873605611147</v>
      </c>
      <c r="BL10" s="19">
        <v>49.646319293922069</v>
      </c>
      <c r="BM10" s="19">
        <v>44.973593877179361</v>
      </c>
      <c r="BN10" s="19">
        <v>44.973593877179361</v>
      </c>
      <c r="BO10" s="19">
        <v>43.947871735217454</v>
      </c>
      <c r="BP10" s="19">
        <v>46.3035847451659</v>
      </c>
      <c r="BQ10" s="19">
        <v>46.156323442081543</v>
      </c>
      <c r="BR10" s="19">
        <v>42.804242628983474</v>
      </c>
      <c r="BS10" s="19">
        <v>43.026233521854763</v>
      </c>
      <c r="BT10" s="19">
        <v>43.250740818594231</v>
      </c>
      <c r="BU10" s="19">
        <v>42.785242811050495</v>
      </c>
      <c r="BV10" s="19">
        <v>37.219520108771363</v>
      </c>
      <c r="BW10" s="19">
        <v>35</v>
      </c>
      <c r="BX10" s="19">
        <v>39.929725324375383</v>
      </c>
      <c r="BY10" s="367">
        <v>38.916340669507996</v>
      </c>
      <c r="BZ10" s="267">
        <f>INDEX(偏差値表[Livability],MATCH($B10,偏差値表['#],0))</f>
        <v>48.939067171045103</v>
      </c>
      <c r="CA10" s="19">
        <v>29.750056407700487</v>
      </c>
      <c r="CB10" s="19">
        <v>30.214850173148292</v>
      </c>
      <c r="CC10" s="19">
        <v>30.214850173148292</v>
      </c>
      <c r="CD10" s="19">
        <v>33.702834920011767</v>
      </c>
      <c r="CE10" s="19">
        <v>33.505436249668321</v>
      </c>
      <c r="CF10" s="19">
        <v>29.334794764474719</v>
      </c>
      <c r="CG10" s="19">
        <v>25.992253760323056</v>
      </c>
      <c r="CH10" s="19">
        <v>27.847943429755329</v>
      </c>
      <c r="CI10" s="19">
        <v>27.563703566318559</v>
      </c>
      <c r="CJ10" s="19">
        <v>25.385485505701574</v>
      </c>
      <c r="CK10" s="19">
        <v>26.435325904697532</v>
      </c>
      <c r="CL10" s="19">
        <v>35.700000000000003</v>
      </c>
      <c r="CM10" s="19">
        <v>38.953106227460864</v>
      </c>
      <c r="CN10" s="367">
        <v>41.497618394693447</v>
      </c>
      <c r="CO10" s="267">
        <f>INDEX(偏差値表[Environment],MATCH($B10,偏差値表['#],0))</f>
        <v>43.51065115719701</v>
      </c>
      <c r="CP10" s="19">
        <v>46.365172968549146</v>
      </c>
      <c r="CQ10" s="19">
        <v>47.444373386670229</v>
      </c>
      <c r="CR10" s="19">
        <v>47.444373386670229</v>
      </c>
      <c r="CS10" s="19">
        <v>45.539240929567825</v>
      </c>
      <c r="CT10" s="19">
        <v>45.07438082864914</v>
      </c>
      <c r="CU10" s="19">
        <v>45.34714408144459</v>
      </c>
      <c r="CV10" s="19">
        <v>44.535850675591178</v>
      </c>
      <c r="CW10" s="19">
        <v>47.090398319612632</v>
      </c>
      <c r="CX10" s="19">
        <v>51.270896710709117</v>
      </c>
      <c r="CY10" s="19">
        <v>49.747780129786378</v>
      </c>
      <c r="CZ10" s="19">
        <v>55.075056905086761</v>
      </c>
      <c r="DA10" s="19">
        <v>55.6</v>
      </c>
      <c r="DB10" s="19">
        <v>52.451291618391956</v>
      </c>
      <c r="DC10" s="367">
        <v>52.695181865466523</v>
      </c>
      <c r="DD10" s="267">
        <f>INDEX(偏差値表[Accessibility],MATCH($B10,偏差値表['#],0))</f>
        <v>40.65631725883231</v>
      </c>
    </row>
    <row r="11" spans="2:108">
      <c r="B11" s="3">
        <v>24</v>
      </c>
      <c r="C11" s="1" t="str">
        <f>IFERROR(INDEX(都市マスタ[],MATCH(B11,都市マスタ['#],0),MATCH(C$3,都市マスタ[#Headers],0)),"")</f>
        <v>上海</v>
      </c>
      <c r="D11" s="19">
        <v>48.174250089099914</v>
      </c>
      <c r="E11" s="19">
        <v>47.235505034689012</v>
      </c>
      <c r="F11" s="19">
        <v>47.235505034689012</v>
      </c>
      <c r="G11" s="19">
        <v>51.336254531336508</v>
      </c>
      <c r="H11" s="19">
        <v>52.638861850263531</v>
      </c>
      <c r="I11" s="19">
        <v>51.290112700062856</v>
      </c>
      <c r="J11" s="19">
        <v>49.825082232777291</v>
      </c>
      <c r="K11" s="19">
        <v>52.571239990243342</v>
      </c>
      <c r="L11" s="19">
        <v>52.658898657611523</v>
      </c>
      <c r="M11" s="19">
        <v>49.843449835389976</v>
      </c>
      <c r="N11" s="19">
        <v>48.456233174343794</v>
      </c>
      <c r="O11" s="19">
        <v>54.2</v>
      </c>
      <c r="P11" s="19">
        <v>54.895224255008443</v>
      </c>
      <c r="Q11" s="367">
        <v>54.740348870171424</v>
      </c>
      <c r="R11" s="267">
        <f>INDEX(偏差値表[Comprehensive],MATCH($B11,偏差値表['#],0))</f>
        <v>54.272331972622659</v>
      </c>
      <c r="S11" s="19">
        <v>56.240066658517229</v>
      </c>
      <c r="T11" s="19">
        <v>57.165489508910454</v>
      </c>
      <c r="U11" s="19">
        <v>57.165489508910454</v>
      </c>
      <c r="V11" s="19">
        <v>59.849864391349072</v>
      </c>
      <c r="W11" s="19">
        <v>59.887551019238074</v>
      </c>
      <c r="X11" s="19">
        <v>58.288764411832624</v>
      </c>
      <c r="Y11" s="19">
        <v>56.679096995184821</v>
      </c>
      <c r="Z11" s="19">
        <v>61.737994979914134</v>
      </c>
      <c r="AA11" s="19">
        <v>62.118608383436374</v>
      </c>
      <c r="AB11" s="19">
        <v>54.265518524430831</v>
      </c>
      <c r="AC11" s="19">
        <v>54.837114560074895</v>
      </c>
      <c r="AD11" s="19">
        <v>57.2</v>
      </c>
      <c r="AE11" s="19">
        <v>58.086114810007899</v>
      </c>
      <c r="AF11" s="367">
        <v>57.670068239156627</v>
      </c>
      <c r="AG11" s="267">
        <f>INDEX(偏差値表[Economy],MATCH($B11,偏差値表['#],0))</f>
        <v>57.34851343747313</v>
      </c>
      <c r="AH11" s="19">
        <v>45.410676911635704</v>
      </c>
      <c r="AI11" s="19">
        <v>43.453292274119548</v>
      </c>
      <c r="AJ11" s="19">
        <v>43.453292274119548</v>
      </c>
      <c r="AK11" s="19">
        <v>50.970058867891886</v>
      </c>
      <c r="AL11" s="19">
        <v>48.751547661367191</v>
      </c>
      <c r="AM11" s="19">
        <v>49.853769376422875</v>
      </c>
      <c r="AN11" s="19">
        <v>48.898099807976877</v>
      </c>
      <c r="AO11" s="19">
        <v>49.830509597620541</v>
      </c>
      <c r="AP11" s="19">
        <v>48.943247516199023</v>
      </c>
      <c r="AQ11" s="19">
        <v>51.983441348878053</v>
      </c>
      <c r="AR11" s="19">
        <v>51.0584948292626</v>
      </c>
      <c r="AS11" s="19">
        <v>52.9</v>
      </c>
      <c r="AT11" s="19">
        <v>53.670371139174641</v>
      </c>
      <c r="AU11" s="367">
        <v>54.934485998706961</v>
      </c>
      <c r="AV11" s="267">
        <f>INDEX(偏差値表[R&amp;D],MATCH($B11,偏差値表['#],0))</f>
        <v>55.271936907682658</v>
      </c>
      <c r="AW11" s="19">
        <v>52.994413741709579</v>
      </c>
      <c r="AX11" s="19">
        <v>53.711555667147834</v>
      </c>
      <c r="AY11" s="19">
        <v>53.711555667147834</v>
      </c>
      <c r="AZ11" s="19">
        <v>48.762182721568522</v>
      </c>
      <c r="BA11" s="19">
        <v>51.054948816889898</v>
      </c>
      <c r="BB11" s="19">
        <v>49.872652337040641</v>
      </c>
      <c r="BC11" s="19">
        <v>50.24590588993734</v>
      </c>
      <c r="BD11" s="19">
        <v>50.882655442380582</v>
      </c>
      <c r="BE11" s="19">
        <v>52.012225589390198</v>
      </c>
      <c r="BF11" s="19">
        <v>51.577601353776551</v>
      </c>
      <c r="BG11" s="19">
        <v>49.657134456714452</v>
      </c>
      <c r="BH11" s="19">
        <v>51.4</v>
      </c>
      <c r="BI11" s="19">
        <v>47.359279060385091</v>
      </c>
      <c r="BJ11" s="367">
        <v>48.465374846709047</v>
      </c>
      <c r="BK11" s="267">
        <f>INDEX(偏差値表[Cultural Interaction],MATCH($B11,偏差値表['#],0))</f>
        <v>49.125257685917532</v>
      </c>
      <c r="BL11" s="19">
        <v>56.071482439309271</v>
      </c>
      <c r="BM11" s="19">
        <v>53.88033334287438</v>
      </c>
      <c r="BN11" s="19">
        <v>53.88033334287438</v>
      </c>
      <c r="BO11" s="19">
        <v>49.775142469522699</v>
      </c>
      <c r="BP11" s="19">
        <v>54.006743136228835</v>
      </c>
      <c r="BQ11" s="19">
        <v>52.424245166862917</v>
      </c>
      <c r="BR11" s="19">
        <v>48.320599596797031</v>
      </c>
      <c r="BS11" s="19">
        <v>45.77924679812768</v>
      </c>
      <c r="BT11" s="19">
        <v>40.105828559368199</v>
      </c>
      <c r="BU11" s="19">
        <v>45.105811604494299</v>
      </c>
      <c r="BV11" s="19">
        <v>42.548079558551734</v>
      </c>
      <c r="BW11" s="19">
        <v>44.9</v>
      </c>
      <c r="BX11" s="19">
        <v>43.466251825329095</v>
      </c>
      <c r="BY11" s="367">
        <v>35.215875427148369</v>
      </c>
      <c r="BZ11" s="267">
        <f>INDEX(偏差値表[Livability],MATCH($B11,偏差値表['#],0))</f>
        <v>49.119400343246554</v>
      </c>
      <c r="CA11" s="19">
        <v>40.593255253329083</v>
      </c>
      <c r="CB11" s="19">
        <v>34.877234454265064</v>
      </c>
      <c r="CC11" s="19">
        <v>34.877234454265064</v>
      </c>
      <c r="CD11" s="19">
        <v>38.442426830110975</v>
      </c>
      <c r="CE11" s="19">
        <v>38.769632145147682</v>
      </c>
      <c r="CF11" s="19">
        <v>34.724725203118162</v>
      </c>
      <c r="CG11" s="19">
        <v>28.395240004597845</v>
      </c>
      <c r="CH11" s="19">
        <v>32.405942588544903</v>
      </c>
      <c r="CI11" s="19">
        <v>31.963950273128216</v>
      </c>
      <c r="CJ11" s="19">
        <v>26.962226586390564</v>
      </c>
      <c r="CK11" s="19">
        <v>26.345908066740993</v>
      </c>
      <c r="CL11" s="19">
        <v>38.5</v>
      </c>
      <c r="CM11" s="19">
        <v>40.543391089504709</v>
      </c>
      <c r="CN11" s="367">
        <v>44.274666231870476</v>
      </c>
      <c r="CO11" s="267">
        <f>INDEX(偏差値表[Environment],MATCH($B11,偏差値表['#],0))</f>
        <v>45.045379391631599</v>
      </c>
      <c r="CP11" s="19">
        <v>43.997611662284925</v>
      </c>
      <c r="CQ11" s="19">
        <v>49.236692035125124</v>
      </c>
      <c r="CR11" s="19">
        <v>49.236692035125124</v>
      </c>
      <c r="CS11" s="19">
        <v>53.278652653304796</v>
      </c>
      <c r="CT11" s="19">
        <v>54.542778419344693</v>
      </c>
      <c r="CU11" s="19">
        <v>56.011910218779207</v>
      </c>
      <c r="CV11" s="19">
        <v>62.359683152860519</v>
      </c>
      <c r="CW11" s="19">
        <v>63.966783344626627</v>
      </c>
      <c r="CX11" s="19">
        <v>67.298703898518013</v>
      </c>
      <c r="CY11" s="19">
        <v>65.044912959326197</v>
      </c>
      <c r="CZ11" s="19">
        <v>65.98583116397991</v>
      </c>
      <c r="DA11" s="19">
        <v>67.5</v>
      </c>
      <c r="DB11" s="19">
        <v>77.070310869064258</v>
      </c>
      <c r="DC11" s="367">
        <v>74.90082107066047</v>
      </c>
      <c r="DD11" s="267">
        <f>INDEX(偏差値表[Accessibility],MATCH($B11,偏差値表['#],0))</f>
        <v>59.2232653328468</v>
      </c>
    </row>
    <row r="13" spans="2:108" ht="262.5" customHeight="1"/>
    <row r="15" spans="2:108">
      <c r="B15" s="240" t="s">
        <v>463</v>
      </c>
      <c r="D15" s="433" t="str">
        <f>IF(JPEN!$C$2="EN","Comprehensive","総合")</f>
        <v>総合</v>
      </c>
      <c r="E15" s="433"/>
      <c r="F15" s="433"/>
      <c r="G15" s="433"/>
      <c r="H15" s="433"/>
      <c r="I15" s="433"/>
      <c r="J15" s="433"/>
      <c r="K15" s="433"/>
      <c r="L15" s="433"/>
      <c r="M15" s="433"/>
      <c r="N15" s="433"/>
      <c r="O15" s="433"/>
      <c r="P15" s="433"/>
      <c r="Q15" s="453"/>
      <c r="R15" s="433"/>
      <c r="S15" s="462" t="str">
        <f>IF(JPEN!$C$2="EN","Economy","経済")</f>
        <v>経済</v>
      </c>
      <c r="T15" s="462"/>
      <c r="U15" s="462"/>
      <c r="V15" s="462"/>
      <c r="W15" s="462"/>
      <c r="X15" s="462"/>
      <c r="Y15" s="462"/>
      <c r="Z15" s="462"/>
      <c r="AA15" s="462"/>
      <c r="AB15" s="462"/>
      <c r="AC15" s="462"/>
      <c r="AD15" s="462"/>
      <c r="AE15" s="462"/>
      <c r="AF15" s="463"/>
      <c r="AG15" s="462"/>
      <c r="AH15" s="464" t="str">
        <f>IF(JPEN!$C$2="EN","R&amp;D","研究・開発")</f>
        <v>研究・開発</v>
      </c>
      <c r="AI15" s="464"/>
      <c r="AJ15" s="464"/>
      <c r="AK15" s="464"/>
      <c r="AL15" s="464"/>
      <c r="AM15" s="464"/>
      <c r="AN15" s="464"/>
      <c r="AO15" s="464"/>
      <c r="AP15" s="464"/>
      <c r="AQ15" s="464"/>
      <c r="AR15" s="464"/>
      <c r="AS15" s="464"/>
      <c r="AT15" s="464"/>
      <c r="AU15" s="465"/>
      <c r="AV15" s="464"/>
      <c r="AW15" s="454" t="str">
        <f>IF(JPEN!$C$2="EN","Cultural Interaction","文化・交流")</f>
        <v>文化・交流</v>
      </c>
      <c r="AX15" s="454"/>
      <c r="AY15" s="454"/>
      <c r="AZ15" s="454"/>
      <c r="BA15" s="454"/>
      <c r="BB15" s="454"/>
      <c r="BC15" s="454"/>
      <c r="BD15" s="454"/>
      <c r="BE15" s="454"/>
      <c r="BF15" s="454"/>
      <c r="BG15" s="454"/>
      <c r="BH15" s="454"/>
      <c r="BI15" s="454"/>
      <c r="BJ15" s="455"/>
      <c r="BK15" s="454"/>
      <c r="BL15" s="456" t="str">
        <f>IF(JPEN!$C$2="EN","Livability","居住")</f>
        <v>居住</v>
      </c>
      <c r="BM15" s="456"/>
      <c r="BN15" s="456"/>
      <c r="BO15" s="456"/>
      <c r="BP15" s="456"/>
      <c r="BQ15" s="456"/>
      <c r="BR15" s="456"/>
      <c r="BS15" s="456"/>
      <c r="BT15" s="456"/>
      <c r="BU15" s="456"/>
      <c r="BV15" s="456"/>
      <c r="BW15" s="456"/>
      <c r="BX15" s="456"/>
      <c r="BY15" s="457"/>
      <c r="BZ15" s="456"/>
      <c r="CA15" s="458" t="str">
        <f>IF(JPEN!$C$2="EN","Environment","環境")</f>
        <v>環境</v>
      </c>
      <c r="CB15" s="458"/>
      <c r="CC15" s="458"/>
      <c r="CD15" s="458"/>
      <c r="CE15" s="458"/>
      <c r="CF15" s="458"/>
      <c r="CG15" s="458"/>
      <c r="CH15" s="458"/>
      <c r="CI15" s="458"/>
      <c r="CJ15" s="458"/>
      <c r="CK15" s="458"/>
      <c r="CL15" s="458"/>
      <c r="CM15" s="458"/>
      <c r="CN15" s="459"/>
      <c r="CO15" s="458"/>
      <c r="CP15" s="460" t="str">
        <f>IF(JPEN!$C$2="EN","Accessibility","交通・アクセス")</f>
        <v>交通・アクセス</v>
      </c>
      <c r="CQ15" s="460"/>
      <c r="CR15" s="460"/>
      <c r="CS15" s="460"/>
      <c r="CT15" s="460"/>
      <c r="CU15" s="460"/>
      <c r="CV15" s="460"/>
      <c r="CW15" s="460"/>
      <c r="CX15" s="460"/>
      <c r="CY15" s="460"/>
      <c r="CZ15" s="460"/>
      <c r="DA15" s="460"/>
      <c r="DB15" s="460"/>
      <c r="DC15" s="461"/>
      <c r="DD15" s="460"/>
    </row>
    <row r="16" spans="2:108">
      <c r="B16" s="35" t="s">
        <v>208</v>
      </c>
      <c r="C16" s="36" t="str">
        <f>IF(JPEN!$C$2="EN",都市!$C$2,都市!$D$2)</f>
        <v>都市名</v>
      </c>
      <c r="D16" s="36">
        <v>2009</v>
      </c>
      <c r="E16" s="36">
        <v>2010</v>
      </c>
      <c r="F16" s="36">
        <v>2011</v>
      </c>
      <c r="G16" s="36">
        <v>2012</v>
      </c>
      <c r="H16" s="36">
        <v>2013</v>
      </c>
      <c r="I16" s="36">
        <v>2014</v>
      </c>
      <c r="J16" s="36">
        <v>2015</v>
      </c>
      <c r="K16" s="36">
        <v>2016</v>
      </c>
      <c r="L16" s="36">
        <v>2017</v>
      </c>
      <c r="M16" s="36">
        <v>2018</v>
      </c>
      <c r="N16" s="36">
        <v>2019</v>
      </c>
      <c r="O16" s="36">
        <v>2020</v>
      </c>
      <c r="P16" s="36">
        <v>2021</v>
      </c>
      <c r="Q16" s="357">
        <v>2022</v>
      </c>
      <c r="R16" s="36">
        <v>2023</v>
      </c>
      <c r="S16" s="36">
        <v>2009</v>
      </c>
      <c r="T16" s="36">
        <v>2010</v>
      </c>
      <c r="U16" s="36">
        <v>2011</v>
      </c>
      <c r="V16" s="36">
        <v>2012</v>
      </c>
      <c r="W16" s="36">
        <v>2013</v>
      </c>
      <c r="X16" s="36">
        <v>2014</v>
      </c>
      <c r="Y16" s="36">
        <v>2015</v>
      </c>
      <c r="Z16" s="36">
        <v>2016</v>
      </c>
      <c r="AA16" s="36">
        <v>2017</v>
      </c>
      <c r="AB16" s="36">
        <v>2018</v>
      </c>
      <c r="AC16" s="36">
        <v>2019</v>
      </c>
      <c r="AD16" s="36">
        <v>2020</v>
      </c>
      <c r="AE16" s="36">
        <v>2021</v>
      </c>
      <c r="AF16" s="357">
        <v>2022</v>
      </c>
      <c r="AG16" s="36">
        <v>2022</v>
      </c>
      <c r="AH16" s="36">
        <v>2009</v>
      </c>
      <c r="AI16" s="36">
        <v>2010</v>
      </c>
      <c r="AJ16" s="36">
        <v>2011</v>
      </c>
      <c r="AK16" s="36">
        <v>2012</v>
      </c>
      <c r="AL16" s="36">
        <v>2013</v>
      </c>
      <c r="AM16" s="36">
        <v>2014</v>
      </c>
      <c r="AN16" s="36">
        <v>2015</v>
      </c>
      <c r="AO16" s="36">
        <v>2016</v>
      </c>
      <c r="AP16" s="36">
        <v>2017</v>
      </c>
      <c r="AQ16" s="36">
        <v>2018</v>
      </c>
      <c r="AR16" s="36">
        <v>2019</v>
      </c>
      <c r="AS16" s="36">
        <v>2020</v>
      </c>
      <c r="AT16" s="36">
        <v>2021</v>
      </c>
      <c r="AU16" s="357">
        <v>2022</v>
      </c>
      <c r="AV16" s="36">
        <v>2023</v>
      </c>
      <c r="AW16" s="36">
        <v>2009</v>
      </c>
      <c r="AX16" s="36">
        <v>2010</v>
      </c>
      <c r="AY16" s="36">
        <v>2011</v>
      </c>
      <c r="AZ16" s="36">
        <v>2012</v>
      </c>
      <c r="BA16" s="36">
        <v>2013</v>
      </c>
      <c r="BB16" s="36">
        <v>2014</v>
      </c>
      <c r="BC16" s="36">
        <v>2015</v>
      </c>
      <c r="BD16" s="36">
        <v>2016</v>
      </c>
      <c r="BE16" s="36">
        <v>2017</v>
      </c>
      <c r="BF16" s="36">
        <v>2018</v>
      </c>
      <c r="BG16" s="36">
        <v>2019</v>
      </c>
      <c r="BH16" s="36">
        <v>2020</v>
      </c>
      <c r="BI16" s="36">
        <v>2021</v>
      </c>
      <c r="BJ16" s="357">
        <v>2022</v>
      </c>
      <c r="BK16" s="36">
        <v>2023</v>
      </c>
      <c r="BL16" s="36">
        <v>2009</v>
      </c>
      <c r="BM16" s="36">
        <v>2010</v>
      </c>
      <c r="BN16" s="36">
        <v>2011</v>
      </c>
      <c r="BO16" s="36">
        <v>2012</v>
      </c>
      <c r="BP16" s="36">
        <v>2013</v>
      </c>
      <c r="BQ16" s="36">
        <v>2014</v>
      </c>
      <c r="BR16" s="36">
        <v>2015</v>
      </c>
      <c r="BS16" s="36">
        <v>2016</v>
      </c>
      <c r="BT16" s="36">
        <v>2017</v>
      </c>
      <c r="BU16" s="36">
        <v>2018</v>
      </c>
      <c r="BV16" s="36">
        <v>2019</v>
      </c>
      <c r="BW16" s="36">
        <v>2020</v>
      </c>
      <c r="BX16" s="36">
        <v>2021</v>
      </c>
      <c r="BY16" s="357">
        <v>2022</v>
      </c>
      <c r="BZ16" s="36">
        <v>2023</v>
      </c>
      <c r="CA16" s="36">
        <v>2009</v>
      </c>
      <c r="CB16" s="36">
        <v>2010</v>
      </c>
      <c r="CC16" s="36">
        <v>2011</v>
      </c>
      <c r="CD16" s="36">
        <v>2012</v>
      </c>
      <c r="CE16" s="36">
        <v>2013</v>
      </c>
      <c r="CF16" s="36">
        <v>2014</v>
      </c>
      <c r="CG16" s="36">
        <v>2015</v>
      </c>
      <c r="CH16" s="36">
        <v>2016</v>
      </c>
      <c r="CI16" s="36">
        <v>2017</v>
      </c>
      <c r="CJ16" s="36">
        <v>2018</v>
      </c>
      <c r="CK16" s="36">
        <v>2019</v>
      </c>
      <c r="CL16" s="36">
        <v>2020</v>
      </c>
      <c r="CM16" s="36">
        <v>2021</v>
      </c>
      <c r="CN16" s="357">
        <v>2022</v>
      </c>
      <c r="CO16" s="36">
        <v>2023</v>
      </c>
      <c r="CP16" s="36">
        <v>2009</v>
      </c>
      <c r="CQ16" s="36">
        <v>2010</v>
      </c>
      <c r="CR16" s="36">
        <v>2011</v>
      </c>
      <c r="CS16" s="36">
        <v>2012</v>
      </c>
      <c r="CT16" s="36">
        <v>2013</v>
      </c>
      <c r="CU16" s="36">
        <v>2014</v>
      </c>
      <c r="CV16" s="36">
        <v>2015</v>
      </c>
      <c r="CW16" s="36">
        <v>2016</v>
      </c>
      <c r="CX16" s="36">
        <v>2017</v>
      </c>
      <c r="CY16" s="36">
        <v>2018</v>
      </c>
      <c r="CZ16" s="36">
        <v>2019</v>
      </c>
      <c r="DA16" s="36">
        <v>2020</v>
      </c>
      <c r="DB16" s="36">
        <v>2021</v>
      </c>
      <c r="DC16" s="357">
        <v>2022</v>
      </c>
      <c r="DD16" s="36">
        <v>2023</v>
      </c>
    </row>
    <row r="17" spans="2:108">
      <c r="B17" s="3">
        <v>3</v>
      </c>
      <c r="C17" s="1" t="str">
        <f>IFERROR(INDEX(都市マスタ[],MATCH(B17,都市マスタ['#],0),MATCH(C$16,都市マスタ[#Headers],0)),"")</f>
        <v>ロンドン</v>
      </c>
      <c r="D17" s="13">
        <v>2</v>
      </c>
      <c r="E17" s="13">
        <v>2</v>
      </c>
      <c r="F17" s="13">
        <v>2</v>
      </c>
      <c r="G17" s="13">
        <v>1</v>
      </c>
      <c r="H17" s="13">
        <v>1</v>
      </c>
      <c r="I17" s="13">
        <v>1</v>
      </c>
      <c r="J17" s="13">
        <v>1</v>
      </c>
      <c r="K17" s="13">
        <v>1</v>
      </c>
      <c r="L17" s="13">
        <v>1</v>
      </c>
      <c r="M17" s="13">
        <v>1</v>
      </c>
      <c r="N17" s="13">
        <v>1</v>
      </c>
      <c r="O17" s="13">
        <v>1</v>
      </c>
      <c r="P17" s="13">
        <v>1</v>
      </c>
      <c r="Q17" s="358">
        <v>1</v>
      </c>
      <c r="R17" s="268">
        <f>INDEX(順位表[Comprehensive],MATCH($B17,順位表['#],0))</f>
        <v>1</v>
      </c>
      <c r="S17" s="13">
        <v>3</v>
      </c>
      <c r="T17" s="13">
        <v>4</v>
      </c>
      <c r="U17" s="13">
        <v>4</v>
      </c>
      <c r="V17" s="13">
        <v>4</v>
      </c>
      <c r="W17" s="13">
        <v>4</v>
      </c>
      <c r="X17" s="13">
        <v>4</v>
      </c>
      <c r="Y17" s="13">
        <v>2</v>
      </c>
      <c r="Z17" s="13">
        <v>2</v>
      </c>
      <c r="AA17" s="13">
        <v>2</v>
      </c>
      <c r="AB17" s="13">
        <v>2</v>
      </c>
      <c r="AC17" s="13">
        <v>2</v>
      </c>
      <c r="AD17" s="13">
        <v>2</v>
      </c>
      <c r="AE17" s="13">
        <v>2</v>
      </c>
      <c r="AF17" s="358">
        <v>2</v>
      </c>
      <c r="AG17" s="268">
        <f>INDEX(順位表[Economy],MATCH($B17,順位表['#],0))</f>
        <v>2</v>
      </c>
      <c r="AH17" s="13">
        <v>3</v>
      </c>
      <c r="AI17" s="13">
        <v>4</v>
      </c>
      <c r="AJ17" s="13">
        <v>4</v>
      </c>
      <c r="AK17" s="13">
        <v>4</v>
      </c>
      <c r="AL17" s="13">
        <v>3</v>
      </c>
      <c r="AM17" s="13">
        <v>3</v>
      </c>
      <c r="AN17" s="13">
        <v>3</v>
      </c>
      <c r="AO17" s="13">
        <v>3</v>
      </c>
      <c r="AP17" s="13">
        <v>2</v>
      </c>
      <c r="AQ17" s="13">
        <v>3</v>
      </c>
      <c r="AR17" s="13">
        <v>2</v>
      </c>
      <c r="AS17" s="13">
        <v>2</v>
      </c>
      <c r="AT17" s="13">
        <v>2</v>
      </c>
      <c r="AU17" s="358">
        <v>2</v>
      </c>
      <c r="AV17" s="268">
        <f>INDEX(順位表[R&amp;D],MATCH($B17,順位表['#],0))</f>
        <v>2</v>
      </c>
      <c r="AW17" s="13">
        <v>1</v>
      </c>
      <c r="AX17" s="13">
        <v>1</v>
      </c>
      <c r="AY17" s="13">
        <v>1</v>
      </c>
      <c r="AZ17" s="13">
        <v>1</v>
      </c>
      <c r="BA17" s="13">
        <v>1</v>
      </c>
      <c r="BB17" s="13">
        <v>1</v>
      </c>
      <c r="BC17" s="13">
        <v>1</v>
      </c>
      <c r="BD17" s="13">
        <v>1</v>
      </c>
      <c r="BE17" s="13">
        <v>1</v>
      </c>
      <c r="BF17" s="13">
        <v>1</v>
      </c>
      <c r="BG17" s="13">
        <v>1</v>
      </c>
      <c r="BH17" s="13">
        <v>1</v>
      </c>
      <c r="BI17" s="13">
        <v>1</v>
      </c>
      <c r="BJ17" s="358">
        <v>1</v>
      </c>
      <c r="BK17" s="268">
        <f>INDEX(順位表[Cultural Interaction],MATCH($B17,順位表['#],0))</f>
        <v>1</v>
      </c>
      <c r="BL17" s="13">
        <v>33</v>
      </c>
      <c r="BM17" s="13">
        <v>15</v>
      </c>
      <c r="BN17" s="13">
        <v>15</v>
      </c>
      <c r="BO17" s="13">
        <v>20</v>
      </c>
      <c r="BP17" s="13">
        <v>22</v>
      </c>
      <c r="BQ17" s="13">
        <v>21</v>
      </c>
      <c r="BR17" s="13">
        <v>19</v>
      </c>
      <c r="BS17" s="13">
        <v>22</v>
      </c>
      <c r="BT17" s="13">
        <v>17</v>
      </c>
      <c r="BU17" s="13">
        <v>11</v>
      </c>
      <c r="BV17" s="13">
        <v>9</v>
      </c>
      <c r="BW17" s="13">
        <v>10</v>
      </c>
      <c r="BX17" s="13">
        <v>6</v>
      </c>
      <c r="BY17" s="358">
        <v>8</v>
      </c>
      <c r="BZ17" s="268">
        <f>INDEX(順位表[Livability],MATCH($B17,順位表['#],0))</f>
        <v>9</v>
      </c>
      <c r="CA17" s="13">
        <v>16</v>
      </c>
      <c r="CB17" s="13">
        <v>12</v>
      </c>
      <c r="CC17" s="13">
        <v>12</v>
      </c>
      <c r="CD17" s="13">
        <v>12</v>
      </c>
      <c r="CE17" s="13">
        <v>9</v>
      </c>
      <c r="CF17" s="13">
        <v>7</v>
      </c>
      <c r="CG17" s="13">
        <v>8</v>
      </c>
      <c r="CH17" s="13">
        <v>8</v>
      </c>
      <c r="CI17" s="13">
        <v>7</v>
      </c>
      <c r="CJ17" s="13">
        <v>19</v>
      </c>
      <c r="CK17" s="13">
        <v>22</v>
      </c>
      <c r="CL17" s="13">
        <v>14</v>
      </c>
      <c r="CM17" s="13">
        <v>13</v>
      </c>
      <c r="CN17" s="358">
        <v>11</v>
      </c>
      <c r="CO17" s="268">
        <f>INDEX(順位表[Environment],MATCH($B17,順位表['#],0))</f>
        <v>11</v>
      </c>
      <c r="CP17" s="13">
        <v>2</v>
      </c>
      <c r="CQ17" s="13">
        <v>2</v>
      </c>
      <c r="CR17" s="13">
        <v>2</v>
      </c>
      <c r="CS17" s="13">
        <v>2</v>
      </c>
      <c r="CT17" s="13">
        <v>1</v>
      </c>
      <c r="CU17" s="13">
        <v>1</v>
      </c>
      <c r="CV17" s="13">
        <v>2</v>
      </c>
      <c r="CW17" s="13">
        <v>1</v>
      </c>
      <c r="CX17" s="13">
        <v>2</v>
      </c>
      <c r="CY17" s="13">
        <v>2</v>
      </c>
      <c r="CZ17" s="13">
        <v>2</v>
      </c>
      <c r="DA17" s="13">
        <v>1</v>
      </c>
      <c r="DB17" s="13">
        <v>3</v>
      </c>
      <c r="DC17" s="358">
        <v>6</v>
      </c>
      <c r="DD17" s="268">
        <f>INDEX(順位表[Accessibility],MATCH($B17,順位表['#],0))</f>
        <v>4</v>
      </c>
    </row>
    <row r="18" spans="2:108">
      <c r="B18" s="3">
        <v>38</v>
      </c>
      <c r="C18" s="1" t="str">
        <f>IFERROR(INDEX(都市マスタ[],MATCH(B18,都市マスタ['#],0),MATCH(C$16,都市マスタ[#Headers],0)),"")</f>
        <v>ニューヨーク</v>
      </c>
      <c r="D18" s="13">
        <v>1</v>
      </c>
      <c r="E18" s="13">
        <v>1</v>
      </c>
      <c r="F18" s="13">
        <v>1</v>
      </c>
      <c r="G18" s="13">
        <v>2</v>
      </c>
      <c r="H18" s="13">
        <v>2</v>
      </c>
      <c r="I18" s="13">
        <v>2</v>
      </c>
      <c r="J18" s="13">
        <v>2</v>
      </c>
      <c r="K18" s="13">
        <v>2</v>
      </c>
      <c r="L18" s="13">
        <v>2</v>
      </c>
      <c r="M18" s="13">
        <v>2</v>
      </c>
      <c r="N18" s="13">
        <v>2</v>
      </c>
      <c r="O18" s="13">
        <v>2</v>
      </c>
      <c r="P18" s="13">
        <v>2</v>
      </c>
      <c r="Q18" s="358">
        <v>2</v>
      </c>
      <c r="R18" s="268">
        <f>INDEX(順位表[Comprehensive],MATCH($B18,順位表['#],0))</f>
        <v>2</v>
      </c>
      <c r="S18" s="13">
        <v>1</v>
      </c>
      <c r="T18" s="13">
        <v>2</v>
      </c>
      <c r="U18" s="13">
        <v>2</v>
      </c>
      <c r="V18" s="13">
        <v>2</v>
      </c>
      <c r="W18" s="13">
        <v>2</v>
      </c>
      <c r="X18" s="13">
        <v>2</v>
      </c>
      <c r="Y18" s="13">
        <v>3</v>
      </c>
      <c r="Z18" s="13">
        <v>3</v>
      </c>
      <c r="AA18" s="13">
        <v>1</v>
      </c>
      <c r="AB18" s="13">
        <v>1</v>
      </c>
      <c r="AC18" s="13">
        <v>1</v>
      </c>
      <c r="AD18" s="13">
        <v>1</v>
      </c>
      <c r="AE18" s="13">
        <v>1</v>
      </c>
      <c r="AF18" s="358">
        <v>1</v>
      </c>
      <c r="AG18" s="268">
        <f>INDEX(順位表[Economy],MATCH($B18,順位表['#],0))</f>
        <v>1</v>
      </c>
      <c r="AH18" s="13">
        <v>1</v>
      </c>
      <c r="AI18" s="13">
        <v>1</v>
      </c>
      <c r="AJ18" s="13">
        <v>1</v>
      </c>
      <c r="AK18" s="13">
        <v>1</v>
      </c>
      <c r="AL18" s="13">
        <v>1</v>
      </c>
      <c r="AM18" s="13">
        <v>1</v>
      </c>
      <c r="AN18" s="13">
        <v>1</v>
      </c>
      <c r="AO18" s="13">
        <v>1</v>
      </c>
      <c r="AP18" s="13">
        <v>1</v>
      </c>
      <c r="AQ18" s="13">
        <v>1</v>
      </c>
      <c r="AR18" s="13">
        <v>1</v>
      </c>
      <c r="AS18" s="13">
        <v>1</v>
      </c>
      <c r="AT18" s="13">
        <v>1</v>
      </c>
      <c r="AU18" s="358">
        <v>1</v>
      </c>
      <c r="AV18" s="268">
        <f>INDEX(順位表[R&amp;D],MATCH($B18,順位表['#],0))</f>
        <v>1</v>
      </c>
      <c r="AW18" s="13">
        <v>2</v>
      </c>
      <c r="AX18" s="13">
        <v>3</v>
      </c>
      <c r="AY18" s="13">
        <v>3</v>
      </c>
      <c r="AZ18" s="13">
        <v>3</v>
      </c>
      <c r="BA18" s="13">
        <v>2</v>
      </c>
      <c r="BB18" s="13">
        <v>2</v>
      </c>
      <c r="BC18" s="13">
        <v>2</v>
      </c>
      <c r="BD18" s="13">
        <v>2</v>
      </c>
      <c r="BE18" s="13">
        <v>2</v>
      </c>
      <c r="BF18" s="13">
        <v>2</v>
      </c>
      <c r="BG18" s="13">
        <v>2</v>
      </c>
      <c r="BH18" s="13">
        <v>2</v>
      </c>
      <c r="BI18" s="13">
        <v>3</v>
      </c>
      <c r="BJ18" s="358">
        <v>2</v>
      </c>
      <c r="BK18" s="268">
        <f>INDEX(順位表[Cultural Interaction],MATCH($B18,順位表['#],0))</f>
        <v>2</v>
      </c>
      <c r="BL18" s="13">
        <v>21</v>
      </c>
      <c r="BM18" s="13">
        <v>28</v>
      </c>
      <c r="BN18" s="13">
        <v>28</v>
      </c>
      <c r="BO18" s="13">
        <v>32</v>
      </c>
      <c r="BP18" s="13">
        <v>33</v>
      </c>
      <c r="BQ18" s="13">
        <v>29</v>
      </c>
      <c r="BR18" s="13">
        <v>23</v>
      </c>
      <c r="BS18" s="13">
        <v>23</v>
      </c>
      <c r="BT18" s="13">
        <v>34</v>
      </c>
      <c r="BU18" s="13">
        <v>28</v>
      </c>
      <c r="BV18" s="13">
        <v>31</v>
      </c>
      <c r="BW18" s="13">
        <v>33</v>
      </c>
      <c r="BX18" s="13">
        <v>40</v>
      </c>
      <c r="BY18" s="358">
        <v>38</v>
      </c>
      <c r="BZ18" s="268">
        <f>INDEX(順位表[Livability],MATCH($B18,順位表['#],0))</f>
        <v>38</v>
      </c>
      <c r="CA18" s="13">
        <v>30</v>
      </c>
      <c r="CB18" s="13">
        <v>24</v>
      </c>
      <c r="CC18" s="13">
        <v>24</v>
      </c>
      <c r="CD18" s="13">
        <v>22</v>
      </c>
      <c r="CE18" s="13">
        <v>23</v>
      </c>
      <c r="CF18" s="13">
        <v>25</v>
      </c>
      <c r="CG18" s="13">
        <v>27</v>
      </c>
      <c r="CH18" s="13">
        <v>30</v>
      </c>
      <c r="CI18" s="13">
        <v>30</v>
      </c>
      <c r="CJ18" s="13">
        <v>25</v>
      </c>
      <c r="CK18" s="13">
        <v>27</v>
      </c>
      <c r="CL18" s="13">
        <v>22</v>
      </c>
      <c r="CM18" s="13">
        <v>21</v>
      </c>
      <c r="CN18" s="358">
        <v>27</v>
      </c>
      <c r="CO18" s="268">
        <f>INDEX(順位表[Environment],MATCH($B18,順位表['#],0))</f>
        <v>28</v>
      </c>
      <c r="CP18" s="13">
        <v>4</v>
      </c>
      <c r="CQ18" s="13">
        <v>3</v>
      </c>
      <c r="CR18" s="13">
        <v>3</v>
      </c>
      <c r="CS18" s="13">
        <v>7</v>
      </c>
      <c r="CT18" s="13">
        <v>7</v>
      </c>
      <c r="CU18" s="13">
        <v>7</v>
      </c>
      <c r="CV18" s="13">
        <v>8</v>
      </c>
      <c r="CW18" s="13">
        <v>8</v>
      </c>
      <c r="CX18" s="13">
        <v>4</v>
      </c>
      <c r="CY18" s="13">
        <v>3</v>
      </c>
      <c r="CZ18" s="13">
        <v>3</v>
      </c>
      <c r="DA18" s="13">
        <v>4</v>
      </c>
      <c r="DB18" s="13">
        <v>6</v>
      </c>
      <c r="DC18" s="358">
        <v>4</v>
      </c>
      <c r="DD18" s="268">
        <f>INDEX(順位表[Accessibility],MATCH($B18,順位表['#],0))</f>
        <v>3</v>
      </c>
    </row>
    <row r="19" spans="2:108">
      <c r="B19" s="3">
        <v>29</v>
      </c>
      <c r="C19" s="1" t="str">
        <f>IFERROR(INDEX(都市マスタ[],MATCH(B19,都市マスタ['#],0),MATCH(C$16,都市マスタ[#Headers],0)),"")</f>
        <v>東京</v>
      </c>
      <c r="D19" s="13">
        <v>4</v>
      </c>
      <c r="E19" s="13">
        <v>4</v>
      </c>
      <c r="F19" s="13">
        <v>4</v>
      </c>
      <c r="G19" s="13">
        <v>4</v>
      </c>
      <c r="H19" s="13">
        <v>4</v>
      </c>
      <c r="I19" s="13">
        <v>4</v>
      </c>
      <c r="J19" s="13">
        <v>4</v>
      </c>
      <c r="K19" s="13">
        <v>3</v>
      </c>
      <c r="L19" s="13">
        <v>3</v>
      </c>
      <c r="M19" s="13">
        <v>3</v>
      </c>
      <c r="N19" s="13">
        <v>3</v>
      </c>
      <c r="O19" s="13">
        <v>3</v>
      </c>
      <c r="P19" s="13">
        <v>3</v>
      </c>
      <c r="Q19" s="358">
        <v>3</v>
      </c>
      <c r="R19" s="268">
        <f>INDEX(順位表[Comprehensive],MATCH($B19,順位表['#],0))</f>
        <v>3</v>
      </c>
      <c r="S19" s="13">
        <v>2</v>
      </c>
      <c r="T19" s="13">
        <v>1</v>
      </c>
      <c r="U19" s="13">
        <v>1</v>
      </c>
      <c r="V19" s="13">
        <v>1</v>
      </c>
      <c r="W19" s="13">
        <v>1</v>
      </c>
      <c r="X19" s="13">
        <v>1</v>
      </c>
      <c r="Y19" s="13">
        <v>1</v>
      </c>
      <c r="Z19" s="13">
        <v>1</v>
      </c>
      <c r="AA19" s="13">
        <v>4</v>
      </c>
      <c r="AB19" s="13">
        <v>3</v>
      </c>
      <c r="AC19" s="13">
        <v>4</v>
      </c>
      <c r="AD19" s="13">
        <v>4</v>
      </c>
      <c r="AE19" s="13">
        <v>4</v>
      </c>
      <c r="AF19" s="358">
        <v>5</v>
      </c>
      <c r="AG19" s="268">
        <f>INDEX(順位表[Economy],MATCH($B19,順位表['#],0))</f>
        <v>10</v>
      </c>
      <c r="AH19" s="13">
        <v>2</v>
      </c>
      <c r="AI19" s="13">
        <v>2</v>
      </c>
      <c r="AJ19" s="13">
        <v>2</v>
      </c>
      <c r="AK19" s="13">
        <v>2</v>
      </c>
      <c r="AL19" s="13">
        <v>2</v>
      </c>
      <c r="AM19" s="13">
        <v>2</v>
      </c>
      <c r="AN19" s="13">
        <v>2</v>
      </c>
      <c r="AO19" s="13">
        <v>2</v>
      </c>
      <c r="AP19" s="13">
        <v>3</v>
      </c>
      <c r="AQ19" s="13">
        <v>2</v>
      </c>
      <c r="AR19" s="13">
        <v>3</v>
      </c>
      <c r="AS19" s="13">
        <v>3</v>
      </c>
      <c r="AT19" s="13">
        <v>4</v>
      </c>
      <c r="AU19" s="358">
        <v>4</v>
      </c>
      <c r="AV19" s="268">
        <f>INDEX(順位表[R&amp;D],MATCH($B19,順位表['#],0))</f>
        <v>4</v>
      </c>
      <c r="AW19" s="13">
        <v>6</v>
      </c>
      <c r="AX19" s="13">
        <v>5</v>
      </c>
      <c r="AY19" s="13">
        <v>5</v>
      </c>
      <c r="AZ19" s="13">
        <v>7</v>
      </c>
      <c r="BA19" s="13">
        <v>8</v>
      </c>
      <c r="BB19" s="13">
        <v>6</v>
      </c>
      <c r="BC19" s="13">
        <v>5</v>
      </c>
      <c r="BD19" s="13">
        <v>5</v>
      </c>
      <c r="BE19" s="13">
        <v>4</v>
      </c>
      <c r="BF19" s="13">
        <v>4</v>
      </c>
      <c r="BG19" s="13">
        <v>4</v>
      </c>
      <c r="BH19" s="13">
        <v>4</v>
      </c>
      <c r="BI19" s="13">
        <v>4</v>
      </c>
      <c r="BJ19" s="358">
        <v>5</v>
      </c>
      <c r="BK19" s="268">
        <f>INDEX(順位表[Cultural Interaction],MATCH($B19,順位表['#],0))</f>
        <v>5</v>
      </c>
      <c r="BL19" s="13">
        <v>19</v>
      </c>
      <c r="BM19" s="13">
        <v>5</v>
      </c>
      <c r="BN19" s="13">
        <v>5</v>
      </c>
      <c r="BO19" s="13">
        <v>11</v>
      </c>
      <c r="BP19" s="13">
        <v>20</v>
      </c>
      <c r="BQ19" s="13">
        <v>17</v>
      </c>
      <c r="BR19" s="13">
        <v>15</v>
      </c>
      <c r="BS19" s="13">
        <v>6</v>
      </c>
      <c r="BT19" s="13">
        <v>14</v>
      </c>
      <c r="BU19" s="13">
        <v>9</v>
      </c>
      <c r="BV19" s="13">
        <v>11</v>
      </c>
      <c r="BW19" s="13">
        <v>12</v>
      </c>
      <c r="BX19" s="13">
        <v>9</v>
      </c>
      <c r="BY19" s="358">
        <v>11</v>
      </c>
      <c r="BZ19" s="268">
        <f>INDEX(順位表[Livability],MATCH($B19,順位表['#],0))</f>
        <v>3</v>
      </c>
      <c r="CA19" s="13">
        <v>4</v>
      </c>
      <c r="CB19" s="13">
        <v>6</v>
      </c>
      <c r="CC19" s="13">
        <v>6</v>
      </c>
      <c r="CD19" s="13">
        <v>1</v>
      </c>
      <c r="CE19" s="13">
        <v>1</v>
      </c>
      <c r="CF19" s="13">
        <v>9</v>
      </c>
      <c r="CG19" s="13">
        <v>13</v>
      </c>
      <c r="CH19" s="13">
        <v>12</v>
      </c>
      <c r="CI19" s="13">
        <v>12</v>
      </c>
      <c r="CJ19" s="13">
        <v>29</v>
      </c>
      <c r="CK19" s="13">
        <v>23</v>
      </c>
      <c r="CL19" s="13">
        <v>18</v>
      </c>
      <c r="CM19" s="13">
        <v>17</v>
      </c>
      <c r="CN19" s="358">
        <v>13</v>
      </c>
      <c r="CO19" s="268">
        <f>INDEX(順位表[Environment],MATCH($B19,順位表['#],0))</f>
        <v>16</v>
      </c>
      <c r="CP19" s="13">
        <v>11</v>
      </c>
      <c r="CQ19" s="13">
        <v>4</v>
      </c>
      <c r="CR19" s="13">
        <v>4</v>
      </c>
      <c r="CS19" s="13">
        <v>8</v>
      </c>
      <c r="CT19" s="13">
        <v>10</v>
      </c>
      <c r="CU19" s="13">
        <v>10</v>
      </c>
      <c r="CV19" s="13">
        <v>11</v>
      </c>
      <c r="CW19" s="13">
        <v>11</v>
      </c>
      <c r="CX19" s="13">
        <v>6</v>
      </c>
      <c r="CY19" s="13">
        <v>5</v>
      </c>
      <c r="CZ19" s="13">
        <v>8</v>
      </c>
      <c r="DA19" s="13">
        <v>7</v>
      </c>
      <c r="DB19" s="13">
        <v>5</v>
      </c>
      <c r="DC19" s="358">
        <v>10</v>
      </c>
      <c r="DD19" s="268">
        <f>INDEX(順位表[Accessibility],MATCH($B19,順位表['#],0))</f>
        <v>8</v>
      </c>
    </row>
    <row r="20" spans="2:108">
      <c r="B20" s="3">
        <v>4</v>
      </c>
      <c r="C20" s="1" t="str">
        <f>IFERROR(INDEX(都市マスタ[],MATCH(B20,都市マスタ['#],0),MATCH(C$16,都市マスタ[#Headers],0)),"")</f>
        <v>パリ</v>
      </c>
      <c r="D20" s="13">
        <v>3</v>
      </c>
      <c r="E20" s="13">
        <v>3</v>
      </c>
      <c r="F20" s="13">
        <v>3</v>
      </c>
      <c r="G20" s="13">
        <v>3</v>
      </c>
      <c r="H20" s="13">
        <v>3</v>
      </c>
      <c r="I20" s="13">
        <v>3</v>
      </c>
      <c r="J20" s="13">
        <v>3</v>
      </c>
      <c r="K20" s="13">
        <v>4</v>
      </c>
      <c r="L20" s="13">
        <v>4</v>
      </c>
      <c r="M20" s="13">
        <v>4</v>
      </c>
      <c r="N20" s="13">
        <v>4</v>
      </c>
      <c r="O20" s="13">
        <v>4</v>
      </c>
      <c r="P20" s="13">
        <v>4</v>
      </c>
      <c r="Q20" s="358">
        <v>4</v>
      </c>
      <c r="R20" s="268">
        <f>INDEX(順位表[Comprehensive],MATCH($B20,順位表['#],0))</f>
        <v>4</v>
      </c>
      <c r="S20" s="13">
        <v>6</v>
      </c>
      <c r="T20" s="13">
        <v>7</v>
      </c>
      <c r="U20" s="13">
        <v>7</v>
      </c>
      <c r="V20" s="13">
        <v>9</v>
      </c>
      <c r="W20" s="13">
        <v>12</v>
      </c>
      <c r="X20" s="13">
        <v>12</v>
      </c>
      <c r="Y20" s="13">
        <v>13</v>
      </c>
      <c r="Z20" s="13">
        <v>14</v>
      </c>
      <c r="AA20" s="13">
        <v>12</v>
      </c>
      <c r="AB20" s="13">
        <v>20</v>
      </c>
      <c r="AC20" s="13">
        <v>21</v>
      </c>
      <c r="AD20" s="13">
        <v>17</v>
      </c>
      <c r="AE20" s="13">
        <v>13</v>
      </c>
      <c r="AF20" s="358">
        <v>13</v>
      </c>
      <c r="AG20" s="268">
        <f>INDEX(順位表[Economy],MATCH($B20,順位表['#],0))</f>
        <v>16</v>
      </c>
      <c r="AH20" s="13">
        <v>7</v>
      </c>
      <c r="AI20" s="13">
        <v>7</v>
      </c>
      <c r="AJ20" s="13">
        <v>7</v>
      </c>
      <c r="AK20" s="13">
        <v>3</v>
      </c>
      <c r="AL20" s="13">
        <v>7</v>
      </c>
      <c r="AM20" s="13">
        <v>7</v>
      </c>
      <c r="AN20" s="13">
        <v>5</v>
      </c>
      <c r="AO20" s="13">
        <v>8</v>
      </c>
      <c r="AP20" s="13">
        <v>10</v>
      </c>
      <c r="AQ20" s="13">
        <v>9</v>
      </c>
      <c r="AR20" s="13">
        <v>9</v>
      </c>
      <c r="AS20" s="13">
        <v>11</v>
      </c>
      <c r="AT20" s="13">
        <v>9</v>
      </c>
      <c r="AU20" s="358">
        <v>9</v>
      </c>
      <c r="AV20" s="268">
        <f>INDEX(順位表[R&amp;D],MATCH($B20,順位表['#],0))</f>
        <v>9</v>
      </c>
      <c r="AW20" s="13">
        <v>3</v>
      </c>
      <c r="AX20" s="13">
        <v>2</v>
      </c>
      <c r="AY20" s="13">
        <v>2</v>
      </c>
      <c r="AZ20" s="13">
        <v>2</v>
      </c>
      <c r="BA20" s="13">
        <v>3</v>
      </c>
      <c r="BB20" s="13">
        <v>3</v>
      </c>
      <c r="BC20" s="13">
        <v>3</v>
      </c>
      <c r="BD20" s="13">
        <v>3</v>
      </c>
      <c r="BE20" s="13">
        <v>3</v>
      </c>
      <c r="BF20" s="13">
        <v>3</v>
      </c>
      <c r="BG20" s="13">
        <v>3</v>
      </c>
      <c r="BH20" s="13">
        <v>3</v>
      </c>
      <c r="BI20" s="13">
        <v>2</v>
      </c>
      <c r="BJ20" s="358">
        <v>3</v>
      </c>
      <c r="BK20" s="268">
        <f>INDEX(順位表[Cultural Interaction],MATCH($B20,順位表['#],0))</f>
        <v>3</v>
      </c>
      <c r="BL20" s="13">
        <v>1</v>
      </c>
      <c r="BM20" s="13">
        <v>1</v>
      </c>
      <c r="BN20" s="13">
        <v>1</v>
      </c>
      <c r="BO20" s="13">
        <v>1</v>
      </c>
      <c r="BP20" s="13">
        <v>1</v>
      </c>
      <c r="BQ20" s="13">
        <v>1</v>
      </c>
      <c r="BR20" s="13">
        <v>1</v>
      </c>
      <c r="BS20" s="13">
        <v>1</v>
      </c>
      <c r="BT20" s="13">
        <v>7</v>
      </c>
      <c r="BU20" s="13">
        <v>12</v>
      </c>
      <c r="BV20" s="13">
        <v>1</v>
      </c>
      <c r="BW20" s="13">
        <v>4</v>
      </c>
      <c r="BX20" s="13">
        <v>2</v>
      </c>
      <c r="BY20" s="358">
        <v>1</v>
      </c>
      <c r="BZ20" s="268">
        <f>INDEX(順位表[Livability],MATCH($B20,順位表['#],0))</f>
        <v>1</v>
      </c>
      <c r="CA20" s="13">
        <v>11</v>
      </c>
      <c r="CB20" s="13">
        <v>15</v>
      </c>
      <c r="CC20" s="13">
        <v>15</v>
      </c>
      <c r="CD20" s="13">
        <v>18</v>
      </c>
      <c r="CE20" s="13">
        <v>17</v>
      </c>
      <c r="CF20" s="13">
        <v>16</v>
      </c>
      <c r="CG20" s="13">
        <v>18</v>
      </c>
      <c r="CH20" s="13">
        <v>24</v>
      </c>
      <c r="CI20" s="13">
        <v>28</v>
      </c>
      <c r="CJ20" s="13">
        <v>21</v>
      </c>
      <c r="CK20" s="13">
        <v>24</v>
      </c>
      <c r="CL20" s="13">
        <v>25</v>
      </c>
      <c r="CM20" s="13">
        <v>29</v>
      </c>
      <c r="CN20" s="358">
        <v>28</v>
      </c>
      <c r="CO20" s="268">
        <f>INDEX(順位表[Environment],MATCH($B20,順位表['#],0))</f>
        <v>27</v>
      </c>
      <c r="CP20" s="13">
        <v>1</v>
      </c>
      <c r="CQ20" s="13">
        <v>1</v>
      </c>
      <c r="CR20" s="13">
        <v>1</v>
      </c>
      <c r="CS20" s="13">
        <v>1</v>
      </c>
      <c r="CT20" s="13">
        <v>2</v>
      </c>
      <c r="CU20" s="13">
        <v>2</v>
      </c>
      <c r="CV20" s="13">
        <v>1</v>
      </c>
      <c r="CW20" s="13">
        <v>2</v>
      </c>
      <c r="CX20" s="13">
        <v>1</v>
      </c>
      <c r="CY20" s="13">
        <v>1</v>
      </c>
      <c r="CZ20" s="13">
        <v>1</v>
      </c>
      <c r="DA20" s="13">
        <v>2</v>
      </c>
      <c r="DB20" s="13">
        <v>2</v>
      </c>
      <c r="DC20" s="358">
        <v>3</v>
      </c>
      <c r="DD20" s="268">
        <f>INDEX(順位表[Accessibility],MATCH($B20,順位表['#],0))</f>
        <v>5</v>
      </c>
    </row>
    <row r="21" spans="2:108">
      <c r="B21" s="3">
        <v>21</v>
      </c>
      <c r="C21" s="1" t="str">
        <f>IFERROR(INDEX(都市マスタ[],MATCH(B21,都市マスタ['#],0),MATCH(C$16,都市マスタ[#Headers],0)),"")</f>
        <v>シンガポール</v>
      </c>
      <c r="D21" s="13">
        <v>5</v>
      </c>
      <c r="E21" s="13">
        <v>5</v>
      </c>
      <c r="F21" s="13">
        <v>5</v>
      </c>
      <c r="G21" s="13">
        <v>5</v>
      </c>
      <c r="H21" s="13">
        <v>5</v>
      </c>
      <c r="I21" s="13">
        <v>5</v>
      </c>
      <c r="J21" s="13">
        <v>5</v>
      </c>
      <c r="K21" s="13">
        <v>5</v>
      </c>
      <c r="L21" s="13">
        <v>5</v>
      </c>
      <c r="M21" s="13">
        <v>5</v>
      </c>
      <c r="N21" s="13">
        <v>5</v>
      </c>
      <c r="O21" s="13">
        <v>5</v>
      </c>
      <c r="P21" s="13">
        <v>5</v>
      </c>
      <c r="Q21" s="358">
        <v>5</v>
      </c>
      <c r="R21" s="268">
        <f>INDEX(順位表[Comprehensive],MATCH($B21,順位表['#],0))</f>
        <v>5</v>
      </c>
      <c r="S21" s="13">
        <v>5</v>
      </c>
      <c r="T21" s="13">
        <v>5</v>
      </c>
      <c r="U21" s="13">
        <v>5</v>
      </c>
      <c r="V21" s="13">
        <v>6</v>
      </c>
      <c r="W21" s="13">
        <v>6</v>
      </c>
      <c r="X21" s="13">
        <v>6</v>
      </c>
      <c r="Y21" s="13">
        <v>6</v>
      </c>
      <c r="Z21" s="13">
        <v>6</v>
      </c>
      <c r="AA21" s="13">
        <v>8</v>
      </c>
      <c r="AB21" s="13">
        <v>9</v>
      </c>
      <c r="AC21" s="13">
        <v>6</v>
      </c>
      <c r="AD21" s="13">
        <v>5</v>
      </c>
      <c r="AE21" s="13">
        <v>7</v>
      </c>
      <c r="AF21" s="358">
        <v>6</v>
      </c>
      <c r="AG21" s="268">
        <f>INDEX(順位表[Economy],MATCH($B21,順位表['#],0))</f>
        <v>4</v>
      </c>
      <c r="AH21" s="13">
        <v>8</v>
      </c>
      <c r="AI21" s="13">
        <v>8</v>
      </c>
      <c r="AJ21" s="13">
        <v>8</v>
      </c>
      <c r="AK21" s="13">
        <v>8</v>
      </c>
      <c r="AL21" s="13">
        <v>8</v>
      </c>
      <c r="AM21" s="13">
        <v>8</v>
      </c>
      <c r="AN21" s="13">
        <v>8</v>
      </c>
      <c r="AO21" s="13">
        <v>7</v>
      </c>
      <c r="AP21" s="13">
        <v>6</v>
      </c>
      <c r="AQ21" s="13">
        <v>8</v>
      </c>
      <c r="AR21" s="13">
        <v>11</v>
      </c>
      <c r="AS21" s="13">
        <v>10</v>
      </c>
      <c r="AT21" s="13">
        <v>11</v>
      </c>
      <c r="AU21" s="358">
        <v>11</v>
      </c>
      <c r="AV21" s="268">
        <f>INDEX(順位表[R&amp;D],MATCH($B21,順位表['#],0))</f>
        <v>11</v>
      </c>
      <c r="AW21" s="13">
        <v>5</v>
      </c>
      <c r="AX21" s="13">
        <v>4</v>
      </c>
      <c r="AY21" s="13">
        <v>4</v>
      </c>
      <c r="AZ21" s="13">
        <v>5</v>
      </c>
      <c r="BA21" s="13">
        <v>4</v>
      </c>
      <c r="BB21" s="13">
        <v>4</v>
      </c>
      <c r="BC21" s="13">
        <v>4</v>
      </c>
      <c r="BD21" s="13">
        <v>4</v>
      </c>
      <c r="BE21" s="13">
        <v>5</v>
      </c>
      <c r="BF21" s="13">
        <v>5</v>
      </c>
      <c r="BG21" s="13">
        <v>5</v>
      </c>
      <c r="BH21" s="13">
        <v>5</v>
      </c>
      <c r="BI21" s="13">
        <v>6</v>
      </c>
      <c r="BJ21" s="358">
        <v>11</v>
      </c>
      <c r="BK21" s="268">
        <f>INDEX(順位表[Cultural Interaction],MATCH($B21,順位表['#],0))</f>
        <v>9</v>
      </c>
      <c r="BL21" s="13">
        <v>17</v>
      </c>
      <c r="BM21" s="13">
        <v>25</v>
      </c>
      <c r="BN21" s="13">
        <v>25</v>
      </c>
      <c r="BO21" s="13">
        <v>26</v>
      </c>
      <c r="BP21" s="13">
        <v>34</v>
      </c>
      <c r="BQ21" s="13">
        <v>37</v>
      </c>
      <c r="BR21" s="13">
        <v>31</v>
      </c>
      <c r="BS21" s="13">
        <v>40</v>
      </c>
      <c r="BT21" s="13">
        <v>28</v>
      </c>
      <c r="BU21" s="13">
        <v>22</v>
      </c>
      <c r="BV21" s="13">
        <v>37</v>
      </c>
      <c r="BW21" s="13">
        <v>34</v>
      </c>
      <c r="BX21" s="13">
        <v>31</v>
      </c>
      <c r="BY21" s="358">
        <v>25</v>
      </c>
      <c r="BZ21" s="268">
        <f>INDEX(順位表[Livability],MATCH($B21,順位表['#],0))</f>
        <v>35</v>
      </c>
      <c r="CA21" s="13">
        <v>12</v>
      </c>
      <c r="CB21" s="13">
        <v>11</v>
      </c>
      <c r="CC21" s="13">
        <v>11</v>
      </c>
      <c r="CD21" s="13">
        <v>15</v>
      </c>
      <c r="CE21" s="13">
        <v>8</v>
      </c>
      <c r="CF21" s="13">
        <v>5</v>
      </c>
      <c r="CG21" s="13">
        <v>6</v>
      </c>
      <c r="CH21" s="13">
        <v>4</v>
      </c>
      <c r="CI21" s="13">
        <v>3</v>
      </c>
      <c r="CJ21" s="13">
        <v>13</v>
      </c>
      <c r="CK21" s="13">
        <v>16</v>
      </c>
      <c r="CL21" s="13">
        <v>13</v>
      </c>
      <c r="CM21" s="13">
        <v>11</v>
      </c>
      <c r="CN21" s="358">
        <v>12</v>
      </c>
      <c r="CO21" s="268">
        <f>INDEX(順位表[Environment],MATCH($B21,順位表['#],0))</f>
        <v>12</v>
      </c>
      <c r="CP21" s="13">
        <v>6</v>
      </c>
      <c r="CQ21" s="13">
        <v>7</v>
      </c>
      <c r="CR21" s="13">
        <v>7</v>
      </c>
      <c r="CS21" s="13">
        <v>9</v>
      </c>
      <c r="CT21" s="13">
        <v>8</v>
      </c>
      <c r="CU21" s="13">
        <v>8</v>
      </c>
      <c r="CV21" s="13">
        <v>4</v>
      </c>
      <c r="CW21" s="13">
        <v>7</v>
      </c>
      <c r="CX21" s="13">
        <v>9</v>
      </c>
      <c r="CY21" s="13">
        <v>9</v>
      </c>
      <c r="CZ21" s="13">
        <v>10</v>
      </c>
      <c r="DA21" s="13">
        <v>8</v>
      </c>
      <c r="DB21" s="13">
        <v>8</v>
      </c>
      <c r="DC21" s="358">
        <v>11</v>
      </c>
      <c r="DD21" s="268">
        <f>INDEX(順位表[Accessibility],MATCH($B21,順位表['#],0))</f>
        <v>7</v>
      </c>
    </row>
    <row r="22" spans="2:108">
      <c r="B22" s="3">
        <v>22</v>
      </c>
      <c r="C22" s="1" t="str">
        <f>IFERROR(INDEX(都市マスタ[],MATCH(B22,都市マスタ['#],0),MATCH(C$16,都市マスタ[#Headers],0)),"")</f>
        <v>香港</v>
      </c>
      <c r="D22" s="13">
        <v>10</v>
      </c>
      <c r="E22" s="13">
        <v>8</v>
      </c>
      <c r="F22" s="13">
        <v>8</v>
      </c>
      <c r="G22" s="13">
        <v>9</v>
      </c>
      <c r="H22" s="13">
        <v>11</v>
      </c>
      <c r="I22" s="13">
        <v>9</v>
      </c>
      <c r="J22" s="13">
        <v>7</v>
      </c>
      <c r="K22" s="13">
        <v>7</v>
      </c>
      <c r="L22" s="13">
        <v>9</v>
      </c>
      <c r="M22" s="13">
        <v>9</v>
      </c>
      <c r="N22" s="13">
        <v>9</v>
      </c>
      <c r="O22" s="13">
        <v>9</v>
      </c>
      <c r="P22" s="13">
        <v>13</v>
      </c>
      <c r="Q22" s="358">
        <v>23</v>
      </c>
      <c r="R22" s="268">
        <f>INDEX(順位表[Comprehensive],MATCH($B22,順位表['#],0))</f>
        <v>18</v>
      </c>
      <c r="S22" s="13">
        <v>4</v>
      </c>
      <c r="T22" s="13">
        <v>6</v>
      </c>
      <c r="U22" s="13">
        <v>6</v>
      </c>
      <c r="V22" s="13">
        <v>5</v>
      </c>
      <c r="W22" s="13">
        <v>5</v>
      </c>
      <c r="X22" s="13">
        <v>5</v>
      </c>
      <c r="Y22" s="13">
        <v>5</v>
      </c>
      <c r="Z22" s="13">
        <v>5</v>
      </c>
      <c r="AA22" s="13">
        <v>7</v>
      </c>
      <c r="AB22" s="13">
        <v>5</v>
      </c>
      <c r="AC22" s="13">
        <v>9</v>
      </c>
      <c r="AD22" s="13">
        <v>6</v>
      </c>
      <c r="AE22" s="13">
        <v>5</v>
      </c>
      <c r="AF22" s="358">
        <v>28</v>
      </c>
      <c r="AG22" s="268">
        <f>INDEX(順位表[Economy],MATCH($B22,順位表['#],0))</f>
        <v>26</v>
      </c>
      <c r="AH22" s="13">
        <v>9</v>
      </c>
      <c r="AI22" s="13">
        <v>9</v>
      </c>
      <c r="AJ22" s="13">
        <v>9</v>
      </c>
      <c r="AK22" s="13">
        <v>10</v>
      </c>
      <c r="AL22" s="13">
        <v>10</v>
      </c>
      <c r="AM22" s="13">
        <v>12</v>
      </c>
      <c r="AN22" s="13">
        <v>11</v>
      </c>
      <c r="AO22" s="13">
        <v>11</v>
      </c>
      <c r="AP22" s="13">
        <v>11</v>
      </c>
      <c r="AQ22" s="13">
        <v>11</v>
      </c>
      <c r="AR22" s="13">
        <v>10</v>
      </c>
      <c r="AS22" s="13">
        <v>9</v>
      </c>
      <c r="AT22" s="13">
        <v>10</v>
      </c>
      <c r="AU22" s="358">
        <v>10</v>
      </c>
      <c r="AV22" s="268">
        <f>INDEX(順位表[R&amp;D],MATCH($B22,順位表['#],0))</f>
        <v>10</v>
      </c>
      <c r="AW22" s="13">
        <v>9</v>
      </c>
      <c r="AX22" s="13">
        <v>6</v>
      </c>
      <c r="AY22" s="13">
        <v>6</v>
      </c>
      <c r="AZ22" s="13">
        <v>17</v>
      </c>
      <c r="BA22" s="13">
        <v>26</v>
      </c>
      <c r="BB22" s="13">
        <v>26</v>
      </c>
      <c r="BC22" s="13">
        <v>24</v>
      </c>
      <c r="BD22" s="13">
        <v>19</v>
      </c>
      <c r="BE22" s="13">
        <v>22</v>
      </c>
      <c r="BF22" s="13">
        <v>15</v>
      </c>
      <c r="BG22" s="13">
        <v>13</v>
      </c>
      <c r="BH22" s="13">
        <v>20</v>
      </c>
      <c r="BI22" s="13">
        <v>24</v>
      </c>
      <c r="BJ22" s="358">
        <v>25</v>
      </c>
      <c r="BK22" s="268">
        <f>INDEX(順位表[Cultural Interaction],MATCH($B22,順位表['#],0))</f>
        <v>26</v>
      </c>
      <c r="BL22" s="13">
        <v>31</v>
      </c>
      <c r="BM22" s="13">
        <v>35</v>
      </c>
      <c r="BN22" s="13">
        <v>35</v>
      </c>
      <c r="BO22" s="13">
        <v>30</v>
      </c>
      <c r="BP22" s="13">
        <v>32</v>
      </c>
      <c r="BQ22" s="13">
        <v>34</v>
      </c>
      <c r="BR22" s="13">
        <v>21</v>
      </c>
      <c r="BS22" s="13">
        <v>36</v>
      </c>
      <c r="BT22" s="13">
        <v>36</v>
      </c>
      <c r="BU22" s="13">
        <v>27</v>
      </c>
      <c r="BV22" s="13">
        <v>42</v>
      </c>
      <c r="BW22" s="13">
        <v>38</v>
      </c>
      <c r="BX22" s="13">
        <v>33</v>
      </c>
      <c r="BY22" s="358">
        <v>32</v>
      </c>
      <c r="BZ22" s="268">
        <f>INDEX(順位表[Livability],MATCH($B22,順位表['#],0))</f>
        <v>27</v>
      </c>
      <c r="CA22" s="13">
        <v>22</v>
      </c>
      <c r="CB22" s="13">
        <v>22</v>
      </c>
      <c r="CC22" s="13">
        <v>22</v>
      </c>
      <c r="CD22" s="13">
        <v>30</v>
      </c>
      <c r="CE22" s="13">
        <v>31</v>
      </c>
      <c r="CF22" s="13">
        <v>19</v>
      </c>
      <c r="CG22" s="13">
        <v>24</v>
      </c>
      <c r="CH22" s="13">
        <v>19</v>
      </c>
      <c r="CI22" s="13">
        <v>18</v>
      </c>
      <c r="CJ22" s="13">
        <v>32</v>
      </c>
      <c r="CK22" s="13">
        <v>35</v>
      </c>
      <c r="CL22" s="13">
        <v>29</v>
      </c>
      <c r="CM22" s="13">
        <v>24</v>
      </c>
      <c r="CN22" s="358">
        <v>22</v>
      </c>
      <c r="CO22" s="268">
        <f>INDEX(順位表[Environment],MATCH($B22,順位表['#],0))</f>
        <v>23</v>
      </c>
      <c r="CP22" s="13">
        <v>21</v>
      </c>
      <c r="CQ22" s="13">
        <v>9</v>
      </c>
      <c r="CR22" s="13">
        <v>9</v>
      </c>
      <c r="CS22" s="13">
        <v>5</v>
      </c>
      <c r="CT22" s="13">
        <v>5</v>
      </c>
      <c r="CU22" s="13">
        <v>6</v>
      </c>
      <c r="CV22" s="13">
        <v>5</v>
      </c>
      <c r="CW22" s="13">
        <v>3</v>
      </c>
      <c r="CX22" s="13">
        <v>5</v>
      </c>
      <c r="CY22" s="13">
        <v>8</v>
      </c>
      <c r="CZ22" s="13">
        <v>7</v>
      </c>
      <c r="DA22" s="13">
        <v>10</v>
      </c>
      <c r="DB22" s="13">
        <v>13</v>
      </c>
      <c r="DC22" s="358">
        <v>24</v>
      </c>
      <c r="DD22" s="268">
        <f>INDEX(順位表[Accessibility],MATCH($B22,順位表['#],0))</f>
        <v>16</v>
      </c>
    </row>
    <row r="23" spans="2:108">
      <c r="B23" s="3">
        <v>23</v>
      </c>
      <c r="C23" s="1" t="str">
        <f>IFERROR(INDEX(都市マスタ[],MATCH(B23,都市マスタ['#],0),MATCH(C$16,都市マスタ[#Headers],0)),"")</f>
        <v>北京</v>
      </c>
      <c r="D23" s="13">
        <v>26</v>
      </c>
      <c r="E23" s="13">
        <v>18</v>
      </c>
      <c r="F23" s="13">
        <v>18</v>
      </c>
      <c r="G23" s="13">
        <v>11</v>
      </c>
      <c r="H23" s="13">
        <v>14</v>
      </c>
      <c r="I23" s="13">
        <v>14</v>
      </c>
      <c r="J23" s="13">
        <v>18</v>
      </c>
      <c r="K23" s="13">
        <v>17</v>
      </c>
      <c r="L23" s="13">
        <v>13</v>
      </c>
      <c r="M23" s="13">
        <v>23</v>
      </c>
      <c r="N23" s="13">
        <v>24</v>
      </c>
      <c r="O23" s="13">
        <v>15</v>
      </c>
      <c r="P23" s="13">
        <v>17</v>
      </c>
      <c r="Q23" s="358">
        <v>17</v>
      </c>
      <c r="R23" s="268">
        <f>INDEX(順位表[Comprehensive],MATCH($B23,順位表['#],0))</f>
        <v>17</v>
      </c>
      <c r="S23" s="13">
        <v>7</v>
      </c>
      <c r="T23" s="13">
        <v>3</v>
      </c>
      <c r="U23" s="13">
        <v>3</v>
      </c>
      <c r="V23" s="13">
        <v>3</v>
      </c>
      <c r="W23" s="13">
        <v>3</v>
      </c>
      <c r="X23" s="13">
        <v>3</v>
      </c>
      <c r="Y23" s="13">
        <v>4</v>
      </c>
      <c r="Z23" s="13">
        <v>4</v>
      </c>
      <c r="AA23" s="13">
        <v>3</v>
      </c>
      <c r="AB23" s="13">
        <v>4</v>
      </c>
      <c r="AC23" s="13">
        <v>3</v>
      </c>
      <c r="AD23" s="13">
        <v>3</v>
      </c>
      <c r="AE23" s="13">
        <v>3</v>
      </c>
      <c r="AF23" s="358">
        <v>4</v>
      </c>
      <c r="AG23" s="268">
        <f>INDEX(順位表[Economy],MATCH($B23,順位表['#],0))</f>
        <v>3</v>
      </c>
      <c r="AH23" s="13">
        <v>27</v>
      </c>
      <c r="AI23" s="13">
        <v>24</v>
      </c>
      <c r="AJ23" s="13">
        <v>24</v>
      </c>
      <c r="AK23" s="13">
        <v>15</v>
      </c>
      <c r="AL23" s="13">
        <v>22</v>
      </c>
      <c r="AM23" s="13">
        <v>21</v>
      </c>
      <c r="AN23" s="13">
        <v>18</v>
      </c>
      <c r="AO23" s="13">
        <v>19</v>
      </c>
      <c r="AP23" s="13">
        <v>14</v>
      </c>
      <c r="AQ23" s="13">
        <v>14</v>
      </c>
      <c r="AR23" s="13">
        <v>13</v>
      </c>
      <c r="AS23" s="13">
        <v>12</v>
      </c>
      <c r="AT23" s="13">
        <v>12</v>
      </c>
      <c r="AU23" s="358">
        <v>12</v>
      </c>
      <c r="AV23" s="268">
        <f>INDEX(順位表[R&amp;D],MATCH($B23,順位表['#],0))</f>
        <v>12</v>
      </c>
      <c r="AW23" s="13">
        <v>8</v>
      </c>
      <c r="AX23" s="13">
        <v>8</v>
      </c>
      <c r="AY23" s="13">
        <v>8</v>
      </c>
      <c r="AZ23" s="13">
        <v>9</v>
      </c>
      <c r="BA23" s="13">
        <v>6</v>
      </c>
      <c r="BB23" s="13">
        <v>7</v>
      </c>
      <c r="BC23" s="13">
        <v>6</v>
      </c>
      <c r="BD23" s="13">
        <v>9</v>
      </c>
      <c r="BE23" s="13">
        <v>7</v>
      </c>
      <c r="BF23" s="13">
        <v>7</v>
      </c>
      <c r="BG23" s="13">
        <v>15</v>
      </c>
      <c r="BH23" s="13">
        <v>14</v>
      </c>
      <c r="BI23" s="13">
        <v>19</v>
      </c>
      <c r="BJ23" s="358">
        <v>20</v>
      </c>
      <c r="BK23" s="268">
        <f>INDEX(順位表[Cultural Interaction],MATCH($B23,順位表['#],0))</f>
        <v>19</v>
      </c>
      <c r="BL23" s="13">
        <v>22</v>
      </c>
      <c r="BM23" s="13">
        <v>23</v>
      </c>
      <c r="BN23" s="13">
        <v>23</v>
      </c>
      <c r="BO23" s="13">
        <v>27</v>
      </c>
      <c r="BP23" s="13">
        <v>24</v>
      </c>
      <c r="BQ23" s="13">
        <v>24</v>
      </c>
      <c r="BR23" s="13">
        <v>30</v>
      </c>
      <c r="BS23" s="13">
        <v>31</v>
      </c>
      <c r="BT23" s="13">
        <v>32</v>
      </c>
      <c r="BU23" s="13">
        <v>34</v>
      </c>
      <c r="BV23" s="13">
        <v>43</v>
      </c>
      <c r="BW23" s="13">
        <v>43</v>
      </c>
      <c r="BX23" s="13">
        <v>41</v>
      </c>
      <c r="BY23" s="358">
        <v>41</v>
      </c>
      <c r="BZ23" s="268">
        <f>INDEX(順位表[Livability],MATCH($B23,順位表['#],0))</f>
        <v>31</v>
      </c>
      <c r="CA23" s="13">
        <v>34</v>
      </c>
      <c r="CB23" s="13">
        <v>34</v>
      </c>
      <c r="CC23" s="13">
        <v>34</v>
      </c>
      <c r="CD23" s="13">
        <v>39</v>
      </c>
      <c r="CE23" s="13">
        <v>39</v>
      </c>
      <c r="CF23" s="13">
        <v>40</v>
      </c>
      <c r="CG23" s="13">
        <v>40</v>
      </c>
      <c r="CH23" s="13">
        <v>41</v>
      </c>
      <c r="CI23" s="13">
        <v>43</v>
      </c>
      <c r="CJ23" s="13">
        <v>44</v>
      </c>
      <c r="CK23" s="13">
        <v>47</v>
      </c>
      <c r="CL23" s="13">
        <v>45</v>
      </c>
      <c r="CM23" s="13">
        <v>43</v>
      </c>
      <c r="CN23" s="358">
        <v>40</v>
      </c>
      <c r="CO23" s="268">
        <f>INDEX(順位表[Environment],MATCH($B23,順位表['#],0))</f>
        <v>39</v>
      </c>
      <c r="CP23" s="13">
        <v>23</v>
      </c>
      <c r="CQ23" s="13">
        <v>20</v>
      </c>
      <c r="CR23" s="13">
        <v>20</v>
      </c>
      <c r="CS23" s="13">
        <v>28</v>
      </c>
      <c r="CT23" s="13">
        <v>27</v>
      </c>
      <c r="CU23" s="13">
        <v>27</v>
      </c>
      <c r="CV23" s="13">
        <v>27</v>
      </c>
      <c r="CW23" s="13">
        <v>24</v>
      </c>
      <c r="CX23" s="13">
        <v>15</v>
      </c>
      <c r="CY23" s="13">
        <v>21</v>
      </c>
      <c r="CZ23" s="13">
        <v>14</v>
      </c>
      <c r="DA23" s="13">
        <v>13</v>
      </c>
      <c r="DB23" s="13">
        <v>19</v>
      </c>
      <c r="DC23" s="358">
        <v>19</v>
      </c>
      <c r="DD23" s="268">
        <f>INDEX(順位表[Accessibility],MATCH($B23,順位表['#],0))</f>
        <v>40</v>
      </c>
    </row>
    <row r="24" spans="2:108">
      <c r="B24" s="3">
        <v>24</v>
      </c>
      <c r="C24" s="1" t="str">
        <f>IFERROR(INDEX(都市マスタ[],MATCH(B24,都市マスタ['#],0),MATCH(C$16,都市マスタ[#Headers],0)),"")</f>
        <v>上海</v>
      </c>
      <c r="D24" s="13">
        <v>21</v>
      </c>
      <c r="E24" s="13">
        <v>23</v>
      </c>
      <c r="F24" s="13">
        <v>23</v>
      </c>
      <c r="G24" s="13">
        <v>14</v>
      </c>
      <c r="H24" s="13">
        <v>12</v>
      </c>
      <c r="I24" s="13">
        <v>15</v>
      </c>
      <c r="J24" s="13">
        <v>17</v>
      </c>
      <c r="K24" s="13">
        <v>12</v>
      </c>
      <c r="L24" s="13">
        <v>15</v>
      </c>
      <c r="M24" s="13">
        <v>26</v>
      </c>
      <c r="N24" s="13">
        <v>30</v>
      </c>
      <c r="O24" s="13">
        <v>10</v>
      </c>
      <c r="P24" s="13">
        <v>10</v>
      </c>
      <c r="Q24" s="358">
        <v>10</v>
      </c>
      <c r="R24" s="268">
        <f>INDEX(順位表[Comprehensive],MATCH($B24,順位表['#],0))</f>
        <v>15</v>
      </c>
      <c r="S24" s="13">
        <v>8</v>
      </c>
      <c r="T24" s="13">
        <v>8</v>
      </c>
      <c r="U24" s="13">
        <v>8</v>
      </c>
      <c r="V24" s="13">
        <v>7</v>
      </c>
      <c r="W24" s="13">
        <v>7</v>
      </c>
      <c r="X24" s="13">
        <v>7</v>
      </c>
      <c r="Y24" s="13">
        <v>9</v>
      </c>
      <c r="Z24" s="13">
        <v>7</v>
      </c>
      <c r="AA24" s="13">
        <v>5</v>
      </c>
      <c r="AB24" s="13">
        <v>16</v>
      </c>
      <c r="AC24" s="13">
        <v>16</v>
      </c>
      <c r="AD24" s="13">
        <v>11</v>
      </c>
      <c r="AE24" s="13">
        <v>10</v>
      </c>
      <c r="AF24" s="358">
        <v>10</v>
      </c>
      <c r="AG24" s="268">
        <f>INDEX(順位表[Economy],MATCH($B24,順位表['#],0))</f>
        <v>11</v>
      </c>
      <c r="AH24" s="13">
        <v>22</v>
      </c>
      <c r="AI24" s="13">
        <v>28</v>
      </c>
      <c r="AJ24" s="13">
        <v>28</v>
      </c>
      <c r="AK24" s="13">
        <v>13</v>
      </c>
      <c r="AL24" s="13">
        <v>16</v>
      </c>
      <c r="AM24" s="13">
        <v>15</v>
      </c>
      <c r="AN24" s="13">
        <v>16</v>
      </c>
      <c r="AO24" s="13">
        <v>16</v>
      </c>
      <c r="AP24" s="13">
        <v>18</v>
      </c>
      <c r="AQ24" s="13">
        <v>16</v>
      </c>
      <c r="AR24" s="13">
        <v>18</v>
      </c>
      <c r="AS24" s="13">
        <v>15</v>
      </c>
      <c r="AT24" s="13">
        <v>15</v>
      </c>
      <c r="AU24" s="358">
        <v>13</v>
      </c>
      <c r="AV24" s="268">
        <f>INDEX(順位表[R&amp;D],MATCH($B24,順位表['#],0))</f>
        <v>13</v>
      </c>
      <c r="AW24" s="13">
        <v>12</v>
      </c>
      <c r="AX24" s="13">
        <v>10</v>
      </c>
      <c r="AY24" s="13">
        <v>10</v>
      </c>
      <c r="AZ24" s="13">
        <v>22</v>
      </c>
      <c r="BA24" s="13">
        <v>16</v>
      </c>
      <c r="BB24" s="13">
        <v>19</v>
      </c>
      <c r="BC24" s="13">
        <v>16</v>
      </c>
      <c r="BD24" s="13">
        <v>17</v>
      </c>
      <c r="BE24" s="13">
        <v>17</v>
      </c>
      <c r="BF24" s="13">
        <v>18</v>
      </c>
      <c r="BG24" s="13">
        <v>25</v>
      </c>
      <c r="BH24" s="13">
        <v>19</v>
      </c>
      <c r="BI24" s="13">
        <v>26</v>
      </c>
      <c r="BJ24" s="358">
        <v>24</v>
      </c>
      <c r="BK24" s="268">
        <f>INDEX(順位表[Cultural Interaction],MATCH($B24,順位表['#],0))</f>
        <v>23</v>
      </c>
      <c r="BL24" s="13">
        <v>13</v>
      </c>
      <c r="BM24" s="13">
        <v>16</v>
      </c>
      <c r="BN24" s="13">
        <v>16</v>
      </c>
      <c r="BO24" s="13">
        <v>22</v>
      </c>
      <c r="BP24" s="13">
        <v>19</v>
      </c>
      <c r="BQ24" s="13">
        <v>19</v>
      </c>
      <c r="BR24" s="13">
        <v>22</v>
      </c>
      <c r="BS24" s="13">
        <v>25</v>
      </c>
      <c r="BT24" s="13">
        <v>38</v>
      </c>
      <c r="BU24" s="13">
        <v>30</v>
      </c>
      <c r="BV24" s="13">
        <v>38</v>
      </c>
      <c r="BW24" s="13">
        <v>37</v>
      </c>
      <c r="BX24" s="13">
        <v>37</v>
      </c>
      <c r="BY24" s="358">
        <v>45</v>
      </c>
      <c r="BZ24" s="268">
        <f>INDEX(順位表[Livability],MATCH($B24,順位表['#],0))</f>
        <v>30</v>
      </c>
      <c r="CA24" s="13">
        <v>31</v>
      </c>
      <c r="CB24" s="13">
        <v>33</v>
      </c>
      <c r="CC24" s="13">
        <v>33</v>
      </c>
      <c r="CD24" s="13">
        <v>35</v>
      </c>
      <c r="CE24" s="13">
        <v>34</v>
      </c>
      <c r="CF24" s="13">
        <v>37</v>
      </c>
      <c r="CG24" s="13">
        <v>39</v>
      </c>
      <c r="CH24" s="13">
        <v>39</v>
      </c>
      <c r="CI24" s="13">
        <v>41</v>
      </c>
      <c r="CJ24" s="13">
        <v>43</v>
      </c>
      <c r="CK24" s="13">
        <v>48</v>
      </c>
      <c r="CL24" s="13">
        <v>42</v>
      </c>
      <c r="CM24" s="13">
        <v>39</v>
      </c>
      <c r="CN24" s="358">
        <v>34</v>
      </c>
      <c r="CO24" s="268">
        <f>INDEX(順位表[Environment],MATCH($B24,順位表['#],0))</f>
        <v>33</v>
      </c>
      <c r="CP24" s="13">
        <v>26</v>
      </c>
      <c r="CQ24" s="13">
        <v>16</v>
      </c>
      <c r="CR24" s="13">
        <v>16</v>
      </c>
      <c r="CS24" s="13">
        <v>11</v>
      </c>
      <c r="CT24" s="13">
        <v>11</v>
      </c>
      <c r="CU24" s="13">
        <v>11</v>
      </c>
      <c r="CV24" s="13">
        <v>7</v>
      </c>
      <c r="CW24" s="13">
        <v>4</v>
      </c>
      <c r="CX24" s="13">
        <v>3</v>
      </c>
      <c r="CY24" s="13">
        <v>4</v>
      </c>
      <c r="CZ24" s="13">
        <v>4</v>
      </c>
      <c r="DA24" s="13">
        <v>3</v>
      </c>
      <c r="DB24" s="13">
        <v>1</v>
      </c>
      <c r="DC24" s="358">
        <v>1</v>
      </c>
      <c r="DD24" s="268">
        <f>INDEX(順位表[Accessibility],MATCH($B24,順位表['#],0))</f>
        <v>9</v>
      </c>
    </row>
    <row r="26" spans="2:108" ht="262.5" customHeight="1"/>
  </sheetData>
  <mergeCells count="14">
    <mergeCell ref="CP2:DD2"/>
    <mergeCell ref="S15:AG15"/>
    <mergeCell ref="AH15:AV15"/>
    <mergeCell ref="AW15:BK15"/>
    <mergeCell ref="BL15:BZ15"/>
    <mergeCell ref="CA15:CO15"/>
    <mergeCell ref="CP15:DD15"/>
    <mergeCell ref="S2:AG2"/>
    <mergeCell ref="AH2:AV2"/>
    <mergeCell ref="D15:R15"/>
    <mergeCell ref="D2:R2"/>
    <mergeCell ref="AW2:BK2"/>
    <mergeCell ref="BL2:BZ2"/>
    <mergeCell ref="CA2:CO2"/>
  </mergeCells>
  <phoneticPr fontId="5"/>
  <pageMargins left="0.25" right="0.25" top="0.75" bottom="0.75" header="0.3" footer="0.3"/>
  <pageSetup paperSize="8" scale="41" orientation="landscape"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1"/>
  <dimension ref="B1:P1113"/>
  <sheetViews>
    <sheetView showGridLines="0" zoomScale="115" zoomScaleNormal="115" workbookViewId="0">
      <selection activeCell="G84" sqref="G84"/>
    </sheetView>
  </sheetViews>
  <sheetFormatPr defaultColWidth="9.28515625" defaultRowHeight="15.75"/>
  <cols>
    <col min="1" max="1" width="3.28515625" bestFit="1" customWidth="1"/>
    <col min="2" max="2" width="8.42578125" bestFit="1" customWidth="1"/>
    <col min="3" max="3" width="18.42578125" bestFit="1" customWidth="1"/>
    <col min="4" max="4" width="3.28515625" bestFit="1" customWidth="1"/>
    <col min="5" max="5" width="3.28515625" style="2" customWidth="1"/>
    <col min="6" max="6" width="16" customWidth="1"/>
    <col min="7" max="8" width="12.7109375" customWidth="1"/>
    <col min="9" max="9" width="3.28515625" bestFit="1" customWidth="1"/>
  </cols>
  <sheetData>
    <row r="1" spans="2:16">
      <c r="E1"/>
    </row>
    <row r="2" spans="2:16">
      <c r="C2" s="240" t="s">
        <v>647</v>
      </c>
      <c r="E2" s="240" t="s">
        <v>670</v>
      </c>
      <c r="J2" t="s">
        <v>2073</v>
      </c>
      <c r="P2" t="s">
        <v>2072</v>
      </c>
    </row>
    <row r="3" spans="2:16">
      <c r="B3" s="36" t="s">
        <v>208</v>
      </c>
      <c r="C3" s="232" t="s">
        <v>1088</v>
      </c>
      <c r="E3" s="35" t="s">
        <v>208</v>
      </c>
      <c r="F3" s="36" t="str">
        <f>IF(JPEN!$C$2="EN",都市!$C$2,都市!$D$2)</f>
        <v>都市名</v>
      </c>
      <c r="G3" s="36" t="s">
        <v>644</v>
      </c>
      <c r="H3" s="36" t="s">
        <v>645</v>
      </c>
    </row>
    <row r="4" spans="2:16">
      <c r="B4" s="36" t="str">
        <f>IF(JPEN!$C$2="EN",指標!$I$2,指標!$H$2)</f>
        <v>指標</v>
      </c>
      <c r="C4" s="13" t="str">
        <f ca="1">INDEX(INDIRECT("指標マスタ["&amp;B4&amp;"]"),MATCH(C3,指標マスタ['#],0))</f>
        <v>人口</v>
      </c>
      <c r="E4" s="266">
        <v>3</v>
      </c>
      <c r="F4" s="13" t="str">
        <f>IFERROR(INDEX(都市マスタ[],MATCH(E4,都市マスタ['#],0),MATCH(F3,都市マスタ[#Headers],0)),"")</f>
        <v>ロンドン</v>
      </c>
      <c r="G4" s="231">
        <f>IFERROR(INDEX(生データ表[],MATCH(E4,生データ表['#],0),MATCH(C3,生データ表[#Headers],0)),"")</f>
        <v>8796628</v>
      </c>
      <c r="H4" s="236">
        <f>IFERROR(INDEX(スコア表[],MATCH(E4,スコア表['#],0),MATCH(C3,スコア表[#Headers],0)),"")</f>
        <v>34.7995643171</v>
      </c>
    </row>
    <row r="5" spans="2:16">
      <c r="B5" s="36" t="str">
        <f>IF(JPEN!$C$2="EN",指標!$L$2,指標!$K$2)</f>
        <v>単位</v>
      </c>
      <c r="C5" s="13" t="str">
        <f>INDEX(指標マスタ[],MATCH(C3,指標マスタ['#],0),MATCH(B5,指標マスタ[#Headers],0))</f>
        <v>人</v>
      </c>
      <c r="E5" s="266">
        <v>38</v>
      </c>
      <c r="F5" s="13" t="str">
        <f>IFERROR(INDEX(都市マスタ[],MATCH(E5,都市マスタ['#],0),MATCH(F3,都市マスタ[#Headers],0)),"")</f>
        <v>ニューヨーク</v>
      </c>
      <c r="G5" s="231">
        <f>IFERROR(INDEX(生データ表[],MATCH(E5,生データ表['#],0),MATCH(C3,生データ表[#Headers],0)),"")</f>
        <v>8467513</v>
      </c>
      <c r="H5" s="236">
        <f>IFERROR(INDEX(スコア表[],MATCH(E5,スコア表['#],0),MATCH(C3,スコア表[#Headers],0)),"")</f>
        <v>33.466549121500002</v>
      </c>
    </row>
    <row r="6" spans="2:16">
      <c r="B6" s="36" t="s">
        <v>646</v>
      </c>
      <c r="C6" s="13" t="str">
        <f>INDEX(生データ表2[],MATCH(B6,生データ表2[maxmin],0),MATCH(C3,生データ表2[#Headers],0))</f>
        <v>プラス</v>
      </c>
      <c r="E6" s="266">
        <v>29</v>
      </c>
      <c r="F6" s="13" t="str">
        <f>IFERROR(INDEX(都市マスタ[],MATCH(E6,都市マスタ['#],0),MATCH(F3,都市マスタ[#Headers],0)),"")</f>
        <v>東京</v>
      </c>
      <c r="G6" s="231">
        <f>IFERROR(INDEX(生データ表[],MATCH(E6,生データ表['#],0),MATCH(C3,生データ表[#Headers],0)),"")</f>
        <v>9748492</v>
      </c>
      <c r="H6" s="236">
        <f>IFERROR(INDEX(スコア表[],MATCH(E6,スコア表['#],0),MATCH(C3,スコア表[#Headers],0)),"")</f>
        <v>38.654901132900001</v>
      </c>
    </row>
    <row r="7" spans="2:16">
      <c r="E7" s="266">
        <v>4</v>
      </c>
      <c r="F7" s="13" t="str">
        <f>IFERROR(INDEX(都市マスタ[],MATCH(E7,都市マスタ['#],0),MATCH(F3,都市マスタ[#Headers],0)),"")</f>
        <v>パリ</v>
      </c>
      <c r="G7" s="231">
        <f>IFERROR(INDEX(生データ表[],MATCH(E7,生データ表['#],0),MATCH(C3,生データ表[#Headers],0)),"")</f>
        <v>2102650</v>
      </c>
      <c r="H7" s="236">
        <f>IFERROR(INDEX(スコア表[],MATCH(E7,スコア表['#],0),MATCH(C3,スコア表[#Headers],0)),"")</f>
        <v>7.6869307604000001</v>
      </c>
    </row>
    <row r="8" spans="2:16">
      <c r="B8" s="240" t="s">
        <v>2067</v>
      </c>
      <c r="E8" s="266">
        <v>21</v>
      </c>
      <c r="F8" s="13" t="str">
        <f>IFERROR(INDEX(都市マスタ[],MATCH(E8,都市マスタ['#],0),MATCH(F3,都市マスタ[#Headers],0)),"")</f>
        <v>シンガポール</v>
      </c>
      <c r="G8" s="231">
        <f>IFERROR(INDEX(生データ表[],MATCH(E8,生データ表['#],0),MATCH(C3,生データ表[#Headers],0)),"")</f>
        <v>5637000</v>
      </c>
      <c r="H8" s="236">
        <f>IFERROR(INDEX(スコア表[],MATCH(E8,スコア表['#],0),MATCH(C3,スコア表[#Headers],0)),"")</f>
        <v>22.002116201900002</v>
      </c>
    </row>
    <row r="9" spans="2:16">
      <c r="E9" s="266">
        <v>26</v>
      </c>
      <c r="F9" s="13" t="str">
        <f>IFERROR(INDEX(都市マスタ[],MATCH(E9,都市マスタ['#],0),MATCH(F3,都市マスタ[#Headers],0)),"")</f>
        <v>ソウル</v>
      </c>
      <c r="G9" s="231">
        <f>IFERROR(INDEX(生データ表[],MATCH(E9,生データ表['#],0),MATCH(C3,生データ表[#Headers],0)),"")</f>
        <v>9667669</v>
      </c>
      <c r="H9" s="236">
        <f>IFERROR(INDEX(スコア表[],MATCH(E9,スコア表['#],0),MATCH(C3,スコア表[#Headers],0)),"")</f>
        <v>38.327543561399999</v>
      </c>
    </row>
    <row r="10" spans="2:16">
      <c r="E10" s="266">
        <v>22</v>
      </c>
      <c r="F10" s="13" t="str">
        <f>IFERROR(INDEX(都市マスタ[],MATCH(E10,都市マスタ['#],0),MATCH(F3,都市マスタ[#Headers],0)),"")</f>
        <v>香港</v>
      </c>
      <c r="G10" s="231">
        <f>IFERROR(INDEX(生データ表[],MATCH(E10,生データ表['#],0),MATCH(C3,生データ表[#Headers],0)),"")</f>
        <v>7346100</v>
      </c>
      <c r="H10" s="236">
        <f>IFERROR(INDEX(スコア表[],MATCH(E10,スコア表['#],0),MATCH(C3,スコア表[#Headers],0)),"")</f>
        <v>28.924487624600001</v>
      </c>
    </row>
    <row r="11" spans="2:16">
      <c r="E11" s="266">
        <v>23</v>
      </c>
      <c r="F11" s="13" t="str">
        <f>IFERROR(INDEX(都市マスタ[],MATCH(E11,都市マスタ['#],0),MATCH(F3,都市マスタ[#Headers],0)),"")</f>
        <v>北京</v>
      </c>
      <c r="G11" s="231">
        <f>IFERROR(INDEX(生データ表[],MATCH(E11,生データ表['#],0),MATCH(C3,生データ表[#Headers],0)),"")</f>
        <v>21886000</v>
      </c>
      <c r="H11" s="236">
        <f>IFERROR(INDEX(スコア表[],MATCH(E11,スコア表['#],0),MATCH(C3,スコア表[#Headers],0)),"")</f>
        <v>87.815476010099999</v>
      </c>
    </row>
    <row r="12" spans="2:16">
      <c r="B12" s="240" t="s">
        <v>2068</v>
      </c>
      <c r="E12" s="266">
        <v>24</v>
      </c>
      <c r="F12" s="13" t="str">
        <f>IFERROR(INDEX(都市マスタ[],MATCH(E12,都市マスタ['#],0),MATCH(F3,都市マスタ[#Headers],0)),"")</f>
        <v>上海</v>
      </c>
      <c r="G12" s="231">
        <f>IFERROR(INDEX(生データ表[],MATCH(E12,生データ表['#],0),MATCH(C3,生データ表[#Headers],0)),"")</f>
        <v>24894300</v>
      </c>
      <c r="H12" s="236">
        <f>IFERROR(INDEX(スコア表[],MATCH(E12,スコア表['#],0),MATCH(C3,スコア表[#Headers],0)),"")</f>
        <v>100</v>
      </c>
    </row>
    <row r="13" spans="2:16">
      <c r="B13" t="s">
        <v>2070</v>
      </c>
      <c r="E13" s="266"/>
      <c r="F13" s="13" t="str">
        <f>IFERROR(INDEX(都市マスタ[],MATCH(E13,都市マスタ['#],0),MATCH(F3,都市マスタ[#Headers],0)),"")</f>
        <v/>
      </c>
      <c r="G13" s="231" t="str">
        <f>IFERROR(INDEX(生データ表[],MATCH(E13,生データ表['#],0),MATCH(C3,生データ表[#Headers],0)),"")</f>
        <v/>
      </c>
      <c r="H13" s="236" t="str">
        <f>IFERROR(INDEX(スコア表[],MATCH(E13,スコア表['#],0),MATCH(C3,スコア表[#Headers],0)),"")</f>
        <v/>
      </c>
    </row>
    <row r="14" spans="2:16">
      <c r="B14" t="s">
        <v>2071</v>
      </c>
      <c r="E14" s="266"/>
      <c r="F14" s="13" t="str">
        <f>IFERROR(INDEX(都市マスタ[],MATCH(E14,都市マスタ['#],0),MATCH(F3,都市マスタ[#Headers],0)),"")</f>
        <v/>
      </c>
      <c r="G14" s="231" t="str">
        <f>IFERROR(INDEX(生データ表[],MATCH(E14,生データ表['#],0),MATCH(C3,生データ表[#Headers],0)),"")</f>
        <v/>
      </c>
      <c r="H14" s="236" t="str">
        <f>IFERROR(INDEX(スコア表[],MATCH(E14,スコア表['#],0),MATCH(C3,スコア表[#Headers],0)),"")</f>
        <v/>
      </c>
    </row>
    <row r="15" spans="2:16">
      <c r="B15" t="s">
        <v>2069</v>
      </c>
      <c r="E15" s="266"/>
      <c r="F15" s="13" t="str">
        <f>IFERROR(INDEX(都市マスタ[],MATCH(E15,都市マスタ['#],0),MATCH(F3,都市マスタ[#Headers],0)),"")</f>
        <v/>
      </c>
      <c r="G15" s="231" t="str">
        <f>IFERROR(INDEX(生データ表[],MATCH(E15,生データ表['#],0),MATCH(C3,生データ表[#Headers],0)),"")</f>
        <v/>
      </c>
      <c r="H15" s="236" t="str">
        <f>IFERROR(INDEX(スコア表[],MATCH(E15,スコア表['#],0),MATCH(C3,スコア表[#Headers],0)),"")</f>
        <v/>
      </c>
    </row>
    <row r="16" spans="2:16">
      <c r="E16" s="266"/>
      <c r="F16" s="13" t="str">
        <f>IFERROR(INDEX(都市マスタ[],MATCH(E16,都市マスタ['#],0),MATCH(F3,都市マスタ[#Headers],0)),"")</f>
        <v/>
      </c>
      <c r="G16" s="231" t="str">
        <f>IFERROR(INDEX(生データ表[],MATCH(E16,生データ表['#],0),MATCH(C3,生データ表[#Headers],0)),"")</f>
        <v/>
      </c>
      <c r="H16" s="236" t="str">
        <f>IFERROR(INDEX(スコア表[],MATCH(E16,スコア表['#],0),MATCH(C3,スコア表[#Headers],0)),"")</f>
        <v/>
      </c>
    </row>
    <row r="18" spans="2:8" s="233" customFormat="1">
      <c r="B18" s="466" t="s">
        <v>2066</v>
      </c>
      <c r="C18" s="466"/>
      <c r="D18" s="466"/>
      <c r="E18" s="466"/>
      <c r="F18" s="466"/>
      <c r="G18" s="466"/>
      <c r="H18" s="466"/>
    </row>
    <row r="20" spans="2:8">
      <c r="B20" s="36" t="s">
        <v>208</v>
      </c>
      <c r="C20" s="37" t="s">
        <v>1088</v>
      </c>
      <c r="E20" s="35" t="s">
        <v>208</v>
      </c>
      <c r="F20" s="36" t="str">
        <f>IF(JPEN!$C$2="EN",都市!$C$2,都市!$D$2)</f>
        <v>都市名</v>
      </c>
      <c r="G20" s="36" t="s">
        <v>644</v>
      </c>
      <c r="H20" s="36" t="s">
        <v>645</v>
      </c>
    </row>
    <row r="21" spans="2:8">
      <c r="B21" s="36" t="str">
        <f>IF(JPEN!$C$2="EN",指標!$I$2,指標!$H$2)</f>
        <v>指標</v>
      </c>
      <c r="C21" s="13" t="str">
        <f ca="1">INDEX(INDIRECT("指標マスタ["&amp;B21&amp;"]"),MATCH(C20,指標マスタ['#],0))</f>
        <v>人口</v>
      </c>
      <c r="E21" s="11">
        <v>3</v>
      </c>
      <c r="F21" s="13" t="str">
        <f>IFERROR(INDEX(都市マスタ[],MATCH(E21,都市マスタ['#],0),MATCH(F20,都市マスタ[#Headers],0)),"")</f>
        <v>ロンドン</v>
      </c>
      <c r="G21" s="5">
        <f>IFERROR(INDEX(生データ表[],MATCH(E21,生データ表['#],0),MATCH(C20,生データ表[#Headers],0)),"")</f>
        <v>8796628</v>
      </c>
      <c r="H21" s="236">
        <f>IFERROR(INDEX(スコア表[],MATCH(E21,スコア表['#],0),MATCH(C20,スコア表[#Headers],0)),"")</f>
        <v>34.7995643171</v>
      </c>
    </row>
    <row r="22" spans="2:8">
      <c r="B22" s="36" t="str">
        <f>IF(JPEN!$C$2="EN",指標!$L$2,指標!$K$2)</f>
        <v>単位</v>
      </c>
      <c r="C22" s="13" t="str">
        <f>INDEX(指標マスタ[],MATCH(C20,指標マスタ['#],0),MATCH(B22,指標マスタ[#Headers],0))</f>
        <v>人</v>
      </c>
      <c r="E22" s="11">
        <v>38</v>
      </c>
      <c r="F22" s="13" t="str">
        <f>IFERROR(INDEX(都市マスタ[],MATCH(E22,都市マスタ['#],0),MATCH(F20,都市マスタ[#Headers],0)),"")</f>
        <v>ニューヨーク</v>
      </c>
      <c r="G22" s="5">
        <f>IFERROR(INDEX(生データ表[],MATCH(E22,生データ表['#],0),MATCH(C20,生データ表[#Headers],0)),"")</f>
        <v>8467513</v>
      </c>
      <c r="H22" s="236">
        <f>IFERROR(INDEX(スコア表[],MATCH(E22,スコア表['#],0),MATCH(C20,スコア表[#Headers],0)),"")</f>
        <v>33.466549121500002</v>
      </c>
    </row>
    <row r="23" spans="2:8">
      <c r="B23" s="36" t="s">
        <v>646</v>
      </c>
      <c r="C23" s="13" t="str">
        <f>INDEX(生データ表2[],MATCH(B23,生データ表2[maxmin],0),MATCH(C20,生データ表2[#Headers],0))</f>
        <v>プラス</v>
      </c>
      <c r="E23" s="11">
        <v>29</v>
      </c>
      <c r="F23" s="13" t="str">
        <f>IFERROR(INDEX(都市マスタ[],MATCH(E23,都市マスタ['#],0),MATCH(F20,都市マスタ[#Headers],0)),"")</f>
        <v>東京</v>
      </c>
      <c r="G23" s="5">
        <f>IFERROR(INDEX(生データ表[],MATCH(E23,生データ表['#],0),MATCH(C20,生データ表[#Headers],0)),"")</f>
        <v>9748492</v>
      </c>
      <c r="H23" s="236">
        <f>IFERROR(INDEX(スコア表[],MATCH(E23,スコア表['#],0),MATCH(C20,スコア表[#Headers],0)),"")</f>
        <v>38.654901132900001</v>
      </c>
    </row>
    <row r="24" spans="2:8">
      <c r="E24" s="11">
        <v>4</v>
      </c>
      <c r="F24" s="13" t="str">
        <f>IFERROR(INDEX(都市マスタ[],MATCH(E24,都市マスタ['#],0),MATCH(F20,都市マスタ[#Headers],0)),"")</f>
        <v>パリ</v>
      </c>
      <c r="G24" s="5">
        <f>IFERROR(INDEX(生データ表[],MATCH(E24,生データ表['#],0),MATCH(C20,生データ表[#Headers],0)),"")</f>
        <v>2102650</v>
      </c>
      <c r="H24" s="236">
        <f>IFERROR(INDEX(スコア表[],MATCH(E24,スコア表['#],0),MATCH(C20,スコア表[#Headers],0)),"")</f>
        <v>7.6869307604000001</v>
      </c>
    </row>
    <row r="25" spans="2:8">
      <c r="B25" s="240" t="s">
        <v>2067</v>
      </c>
      <c r="E25" s="11">
        <v>21</v>
      </c>
      <c r="F25" s="13" t="str">
        <f>IFERROR(INDEX(都市マスタ[],MATCH(E25,都市マスタ['#],0),MATCH(F20,都市マスタ[#Headers],0)),"")</f>
        <v>シンガポール</v>
      </c>
      <c r="G25" s="5">
        <f>IFERROR(INDEX(生データ表[],MATCH(E25,生データ表['#],0),MATCH(C20,生データ表[#Headers],0)),"")</f>
        <v>5637000</v>
      </c>
      <c r="H25" s="236">
        <f>IFERROR(INDEX(スコア表[],MATCH(E25,スコア表['#],0),MATCH(C20,スコア表[#Headers],0)),"")</f>
        <v>22.002116201900002</v>
      </c>
    </row>
    <row r="26" spans="2:8">
      <c r="E26" s="11">
        <v>26</v>
      </c>
      <c r="F26" s="13" t="str">
        <f>IFERROR(INDEX(都市マスタ[],MATCH(E26,都市マスタ['#],0),MATCH(F20,都市マスタ[#Headers],0)),"")</f>
        <v>ソウル</v>
      </c>
      <c r="G26" s="5">
        <f>IFERROR(INDEX(生データ表[],MATCH(E26,生データ表['#],0),MATCH(C20,生データ表[#Headers],0)),"")</f>
        <v>9667669</v>
      </c>
      <c r="H26" s="236">
        <f>IFERROR(INDEX(スコア表[],MATCH(E26,スコア表['#],0),MATCH(C20,スコア表[#Headers],0)),"")</f>
        <v>38.327543561399999</v>
      </c>
    </row>
    <row r="27" spans="2:8">
      <c r="E27" s="11">
        <v>22</v>
      </c>
      <c r="F27" s="13" t="str">
        <f>IFERROR(INDEX(都市マスタ[],MATCH(E27,都市マスタ['#],0),MATCH(F20,都市マスタ[#Headers],0)),"")</f>
        <v>香港</v>
      </c>
      <c r="G27" s="5">
        <f>IFERROR(INDEX(生データ表[],MATCH(E27,生データ表['#],0),MATCH(C20,生データ表[#Headers],0)),"")</f>
        <v>7346100</v>
      </c>
      <c r="H27" s="236">
        <f>IFERROR(INDEX(スコア表[],MATCH(E27,スコア表['#],0),MATCH(C20,スコア表[#Headers],0)),"")</f>
        <v>28.924487624600001</v>
      </c>
    </row>
    <row r="28" spans="2:8">
      <c r="E28" s="11">
        <v>23</v>
      </c>
      <c r="F28" s="13" t="str">
        <f>IFERROR(INDEX(都市マスタ[],MATCH(E28,都市マスタ['#],0),MATCH(F20,都市マスタ[#Headers],0)),"")</f>
        <v>北京</v>
      </c>
      <c r="G28" s="5">
        <f>IFERROR(INDEX(生データ表[],MATCH(E28,生データ表['#],0),MATCH(C20,生データ表[#Headers],0)),"")</f>
        <v>21886000</v>
      </c>
      <c r="H28" s="236">
        <f>IFERROR(INDEX(スコア表[],MATCH(E28,スコア表['#],0),MATCH(C20,スコア表[#Headers],0)),"")</f>
        <v>87.815476010099999</v>
      </c>
    </row>
    <row r="29" spans="2:8">
      <c r="B29" s="240" t="s">
        <v>2068</v>
      </c>
      <c r="E29" s="11">
        <v>24</v>
      </c>
      <c r="F29" s="13" t="str">
        <f>IFERROR(INDEX(都市マスタ[],MATCH(E29,都市マスタ['#],0),MATCH(F20,都市マスタ[#Headers],0)),"")</f>
        <v>上海</v>
      </c>
      <c r="G29" s="5">
        <f>IFERROR(INDEX(生データ表[],MATCH(E29,生データ表['#],0),MATCH(C20,生データ表[#Headers],0)),"")</f>
        <v>24894300</v>
      </c>
      <c r="H29" s="236">
        <f>IFERROR(INDEX(スコア表[],MATCH(E29,スコア表['#],0),MATCH(C20,スコア表[#Headers],0)),"")</f>
        <v>100</v>
      </c>
    </row>
    <row r="30" spans="2:8">
      <c r="B30" t="s">
        <v>2070</v>
      </c>
      <c r="E30" s="11"/>
      <c r="F30" s="13" t="str">
        <f>IFERROR(INDEX(都市マスタ[],MATCH(E30,都市マスタ['#],0),MATCH(F20,都市マスタ[#Headers],0)),"")</f>
        <v/>
      </c>
      <c r="G30" s="231" t="str">
        <f>IFERROR(INDEX(生データ表[],MATCH(E30,生データ表['#],0),MATCH(C20,生データ表[#Headers],0)),"")</f>
        <v/>
      </c>
      <c r="H30" s="236" t="str">
        <f>IFERROR(INDEX(スコア表[],MATCH(E30,スコア表['#],0),MATCH(C20,スコア表[#Headers],0)),"")</f>
        <v/>
      </c>
    </row>
    <row r="31" spans="2:8">
      <c r="B31" t="s">
        <v>2071</v>
      </c>
      <c r="E31" s="11"/>
      <c r="F31" s="13" t="str">
        <f>IFERROR(INDEX(都市マスタ[],MATCH(E31,都市マスタ['#],0),MATCH(F20,都市マスタ[#Headers],0)),"")</f>
        <v/>
      </c>
      <c r="G31" s="231" t="str">
        <f>IFERROR(INDEX(生データ表[],MATCH(E31,生データ表['#],0),MATCH(C20,生データ表[#Headers],0)),"")</f>
        <v/>
      </c>
      <c r="H31" s="236" t="str">
        <f>IFERROR(INDEX(スコア表[],MATCH(E31,スコア表['#],0),MATCH(C20,スコア表[#Headers],0)),"")</f>
        <v/>
      </c>
    </row>
    <row r="32" spans="2:8">
      <c r="B32" t="s">
        <v>2069</v>
      </c>
      <c r="E32" s="11"/>
      <c r="F32" s="13" t="str">
        <f>IFERROR(INDEX(都市マスタ[],MATCH(E32,都市マスタ['#],0),MATCH(F20,都市マスタ[#Headers],0)),"")</f>
        <v/>
      </c>
      <c r="G32" s="231" t="str">
        <f>IFERROR(INDEX(生データ表[],MATCH(E32,生データ表['#],0),MATCH(C20,生データ表[#Headers],0)),"")</f>
        <v/>
      </c>
      <c r="H32" s="236" t="str">
        <f>IFERROR(INDEX(スコア表[],MATCH(E32,スコア表['#],0),MATCH(C20,スコア表[#Headers],0)),"")</f>
        <v/>
      </c>
    </row>
    <row r="33" spans="2:8">
      <c r="E33" s="11"/>
      <c r="F33" s="13" t="str">
        <f>IFERROR(INDEX(都市マスタ[],MATCH(E33,都市マスタ['#],0),MATCH(F20,都市マスタ[#Headers],0)),"")</f>
        <v/>
      </c>
      <c r="G33" s="231" t="str">
        <f>IFERROR(INDEX(生データ表[],MATCH(E33,生データ表['#],0),MATCH(C20,生データ表[#Headers],0)),"")</f>
        <v/>
      </c>
      <c r="H33" s="236" t="str">
        <f>IFERROR(INDEX(スコア表[],MATCH(E33,スコア表['#],0),MATCH(C20,スコア表[#Headers],0)),"")</f>
        <v/>
      </c>
    </row>
    <row r="35" spans="2:8">
      <c r="B35" s="36" t="s">
        <v>208</v>
      </c>
      <c r="C35" s="37" t="s">
        <v>1089</v>
      </c>
      <c r="E35" s="35" t="s">
        <v>208</v>
      </c>
      <c r="F35" s="36" t="str">
        <f>IF(JPEN!$C$2="EN",都市!$C$2,都市!$D$2)</f>
        <v>都市名</v>
      </c>
      <c r="G35" s="36" t="s">
        <v>644</v>
      </c>
      <c r="H35" s="36" t="s">
        <v>645</v>
      </c>
    </row>
    <row r="36" spans="2:8">
      <c r="B36" s="36" t="str">
        <f>IF(JPEN!$C$2="EN",指標!$I$2,指標!$H$2)</f>
        <v>指標</v>
      </c>
      <c r="C36" s="13" t="str">
        <f ca="1">INDEX(INDIRECT("指標マスタ["&amp;B36&amp;"]"),MATCH(C35,指標マスタ['#],0))</f>
        <v>面積</v>
      </c>
      <c r="E36" s="11">
        <v>3</v>
      </c>
      <c r="F36" s="13" t="str">
        <f>IFERROR(INDEX(都市マスタ[],MATCH(E36,都市マスタ['#],0),MATCH(F35,都市マスタ[#Headers],0)),"")</f>
        <v>ロンドン</v>
      </c>
      <c r="G36" s="5">
        <f>IFERROR(INDEX(生データ表[],MATCH(E36,生データ表['#],0),MATCH(C35,生データ表[#Headers],0)),"")</f>
        <v>1572.14714599999</v>
      </c>
      <c r="H36" s="236">
        <f>IFERROR(INDEX(スコア表[],MATCH(E36,スコア表['#],0),MATCH(C35,スコア表[#Headers],0)),"")</f>
        <v>9.4950058116000005</v>
      </c>
    </row>
    <row r="37" spans="2:8">
      <c r="B37" s="36" t="str">
        <f>IF(JPEN!$C$2="EN",指標!$L$2,指標!$K$2)</f>
        <v>単位</v>
      </c>
      <c r="C37" s="13" t="str">
        <f>INDEX(指標マスタ[],MATCH(C35,指標マスタ['#],0),MATCH(B37,指標マスタ[#Headers],0))</f>
        <v>k㎡</v>
      </c>
      <c r="E37" s="11">
        <v>38</v>
      </c>
      <c r="F37" s="13" t="str">
        <f>IFERROR(INDEX(都市マスタ[],MATCH(E37,都市マスタ['#],0),MATCH(F35,都市マスタ[#Headers],0)),"")</f>
        <v>ニューヨーク</v>
      </c>
      <c r="G37" s="5">
        <f>IFERROR(INDEX(生データ表[],MATCH(E37,生データ表['#],0),MATCH(C35,生データ表[#Headers],0)),"")</f>
        <v>778.16249549999895</v>
      </c>
      <c r="H37" s="236">
        <f>IFERROR(INDEX(スコア表[],MATCH(E37,スコア表['#],0),MATCH(C35,スコア表[#Headers],0)),"")</f>
        <v>4.6507621143</v>
      </c>
    </row>
    <row r="38" spans="2:8">
      <c r="B38" s="36" t="s">
        <v>646</v>
      </c>
      <c r="C38" s="13" t="str">
        <f>INDEX(生データ表2[],MATCH(B38,生データ表2[maxmin],0),MATCH(C35,生データ表2[#Headers],0))</f>
        <v>プラス</v>
      </c>
      <c r="E38" s="11">
        <v>29</v>
      </c>
      <c r="F38" s="13" t="str">
        <f>IFERROR(INDEX(都市マスタ[],MATCH(E38,都市マスタ['#],0),MATCH(F35,都市マスタ[#Headers],0)),"")</f>
        <v>東京</v>
      </c>
      <c r="G38" s="5">
        <f>IFERROR(INDEX(生データ表[],MATCH(E38,生データ表['#],0),MATCH(C35,生データ表[#Headers],0)),"")</f>
        <v>627.53</v>
      </c>
      <c r="H38" s="236">
        <f>IFERROR(INDEX(スコア表[],MATCH(E38,スコア表['#],0),MATCH(C35,スコア表[#Headers],0)),"")</f>
        <v>3.7317260644000001</v>
      </c>
    </row>
    <row r="39" spans="2:8">
      <c r="E39" s="11">
        <v>4</v>
      </c>
      <c r="F39" s="13" t="str">
        <f>IFERROR(INDEX(都市マスタ[],MATCH(E39,都市マスタ['#],0),MATCH(F35,都市マスタ[#Headers],0)),"")</f>
        <v>パリ</v>
      </c>
      <c r="G39" s="5">
        <f>IFERROR(INDEX(生データ表[],MATCH(E39,生データ表['#],0),MATCH(C35,生データ表[#Headers],0)),"")</f>
        <v>105.4</v>
      </c>
      <c r="H39" s="236">
        <f>IFERROR(INDEX(スコア表[],MATCH(E39,スコア表['#],0),MATCH(C35,スコア表[#Headers],0)),"")</f>
        <v>0.54611666999999997</v>
      </c>
    </row>
    <row r="40" spans="2:8">
      <c r="B40" s="240" t="s">
        <v>2067</v>
      </c>
      <c r="E40" s="11">
        <v>21</v>
      </c>
      <c r="F40" s="13" t="str">
        <f>IFERROR(INDEX(都市マスタ[],MATCH(E40,都市マスタ['#],0),MATCH(F35,都市マスタ[#Headers],0)),"")</f>
        <v>シンガポール</v>
      </c>
      <c r="G40" s="5">
        <f>IFERROR(INDEX(生データ表[],MATCH(E40,生データ表['#],0),MATCH(C35,生データ表[#Headers],0)),"")</f>
        <v>734.3</v>
      </c>
      <c r="H40" s="236">
        <f>IFERROR(INDEX(スコア表[],MATCH(E40,スコア表['#],0),MATCH(C35,スコア表[#Headers],0)),"")</f>
        <v>4.3831491103999998</v>
      </c>
    </row>
    <row r="41" spans="2:8">
      <c r="E41" s="11">
        <v>26</v>
      </c>
      <c r="F41" s="13" t="str">
        <f>IFERROR(INDEX(都市マスタ[],MATCH(E41,都市マスタ['#],0),MATCH(F35,都市マスタ[#Headers],0)),"")</f>
        <v>ソウル</v>
      </c>
      <c r="G41" s="5">
        <f>IFERROR(INDEX(生データ表[],MATCH(E41,生データ表['#],0),MATCH(C35,生データ表[#Headers],0)),"")</f>
        <v>605.24</v>
      </c>
      <c r="H41" s="236">
        <f>IFERROR(INDEX(スコア表[],MATCH(E41,スコア表['#],0),MATCH(C35,スコア表[#Headers],0)),"")</f>
        <v>3.5957307502</v>
      </c>
    </row>
    <row r="42" spans="2:8">
      <c r="E42" s="11">
        <v>22</v>
      </c>
      <c r="F42" s="13" t="str">
        <f>IFERROR(INDEX(都市マスタ[],MATCH(E42,都市マスタ['#],0),MATCH(F35,都市マスタ[#Headers],0)),"")</f>
        <v>香港</v>
      </c>
      <c r="G42" s="5">
        <f>IFERROR(INDEX(生データ表[],MATCH(E42,生データ表['#],0),MATCH(C35,生データ表[#Headers],0)),"")</f>
        <v>1114.4000000000001</v>
      </c>
      <c r="H42" s="236">
        <f>IFERROR(INDEX(スコア表[],MATCH(E42,スコア表['#],0),MATCH(C35,スコア表[#Headers],0)),"")</f>
        <v>6.7022078330000001</v>
      </c>
    </row>
    <row r="43" spans="2:8">
      <c r="E43" s="11">
        <v>23</v>
      </c>
      <c r="F43" s="13" t="str">
        <f>IFERROR(INDEX(都市マスタ[],MATCH(E43,都市マスタ['#],0),MATCH(F35,都市マスタ[#Headers],0)),"")</f>
        <v>北京</v>
      </c>
      <c r="G43" s="5">
        <f>IFERROR(INDEX(生データ表[],MATCH(E43,生データ表['#],0),MATCH(C35,生データ表[#Headers],0)),"")</f>
        <v>16406.160599999999</v>
      </c>
      <c r="H43" s="236">
        <f>IFERROR(INDEX(スコア表[],MATCH(E43,スコア表['#],0),MATCH(C35,スコア表[#Headers],0)),"")</f>
        <v>100</v>
      </c>
    </row>
    <row r="44" spans="2:8">
      <c r="B44" s="240" t="s">
        <v>2068</v>
      </c>
      <c r="E44" s="11">
        <v>24</v>
      </c>
      <c r="F44" s="13" t="str">
        <f>IFERROR(INDEX(都市マスタ[],MATCH(E44,都市マスタ['#],0),MATCH(F35,都市マスタ[#Headers],0)),"")</f>
        <v>上海</v>
      </c>
      <c r="G44" s="5">
        <f>IFERROR(INDEX(生データ表[],MATCH(E44,生データ表['#],0),MATCH(C35,生データ表[#Headers],0)),"")</f>
        <v>6340.5</v>
      </c>
      <c r="H44" s="236">
        <f>IFERROR(INDEX(スコア表[],MATCH(E44,スコア表['#],0),MATCH(C35,スコア表[#Headers],0)),"")</f>
        <v>38.587587443499999</v>
      </c>
    </row>
    <row r="45" spans="2:8">
      <c r="B45" t="s">
        <v>2070</v>
      </c>
      <c r="E45" s="11"/>
      <c r="F45" s="13" t="str">
        <f>IFERROR(INDEX(都市マスタ[],MATCH(E45,都市マスタ['#],0),MATCH(F35,都市マスタ[#Headers],0)),"")</f>
        <v/>
      </c>
      <c r="G45" s="231" t="str">
        <f>IFERROR(INDEX(生データ表[],MATCH(E45,生データ表['#],0),MATCH(C35,生データ表[#Headers],0)),"")</f>
        <v/>
      </c>
      <c r="H45" s="236" t="str">
        <f>IFERROR(INDEX(スコア表[],MATCH(E45,スコア表['#],0),MATCH(C35,スコア表[#Headers],0)),"")</f>
        <v/>
      </c>
    </row>
    <row r="46" spans="2:8">
      <c r="B46" t="s">
        <v>2071</v>
      </c>
      <c r="E46" s="11"/>
      <c r="F46" s="13" t="str">
        <f>IFERROR(INDEX(都市マスタ[],MATCH(E46,都市マスタ['#],0),MATCH(F35,都市マスタ[#Headers],0)),"")</f>
        <v/>
      </c>
      <c r="G46" s="231" t="str">
        <f>IFERROR(INDEX(生データ表[],MATCH(E46,生データ表['#],0),MATCH(C35,生データ表[#Headers],0)),"")</f>
        <v/>
      </c>
      <c r="H46" s="236" t="str">
        <f>IFERROR(INDEX(スコア表[],MATCH(E46,スコア表['#],0),MATCH(C35,スコア表[#Headers],0)),"")</f>
        <v/>
      </c>
    </row>
    <row r="47" spans="2:8">
      <c r="B47" t="s">
        <v>2069</v>
      </c>
      <c r="E47" s="11"/>
      <c r="F47" s="13" t="str">
        <f>IFERROR(INDEX(都市マスタ[],MATCH(E47,都市マスタ['#],0),MATCH(F35,都市マスタ[#Headers],0)),"")</f>
        <v/>
      </c>
      <c r="G47" s="231" t="str">
        <f>IFERROR(INDEX(生データ表[],MATCH(E47,生データ表['#],0),MATCH(C35,生データ表[#Headers],0)),"")</f>
        <v/>
      </c>
      <c r="H47" s="236" t="str">
        <f>IFERROR(INDEX(スコア表[],MATCH(E47,スコア表['#],0),MATCH(C35,スコア表[#Headers],0)),"")</f>
        <v/>
      </c>
    </row>
    <row r="48" spans="2:8">
      <c r="E48" s="11"/>
      <c r="F48" s="13" t="str">
        <f>IFERROR(INDEX(都市マスタ[],MATCH(E48,都市マスタ['#],0),MATCH(F35,都市マスタ[#Headers],0)),"")</f>
        <v/>
      </c>
      <c r="G48" s="231" t="str">
        <f>IFERROR(INDEX(生データ表[],MATCH(E48,生データ表['#],0),MATCH(C35,生データ表[#Headers],0)),"")</f>
        <v/>
      </c>
      <c r="H48" s="236" t="str">
        <f>IFERROR(INDEX(スコア表[],MATCH(E48,スコア表['#],0),MATCH(C35,スコア表[#Headers],0)),"")</f>
        <v/>
      </c>
    </row>
    <row r="50" spans="2:8">
      <c r="B50" s="36" t="s">
        <v>208</v>
      </c>
      <c r="C50" s="37" t="s">
        <v>1090</v>
      </c>
      <c r="E50" s="35" t="s">
        <v>208</v>
      </c>
      <c r="F50" s="36" t="str">
        <f>IF(JPEN!$C$2="EN",都市!$C$2,都市!$D$2)</f>
        <v>都市名</v>
      </c>
      <c r="G50" s="36" t="s">
        <v>644</v>
      </c>
      <c r="H50" s="36" t="s">
        <v>645</v>
      </c>
    </row>
    <row r="51" spans="2:8">
      <c r="B51" s="36" t="str">
        <f>IF(JPEN!$C$2="EN",指標!$I$2,指標!$H$2)</f>
        <v>指標</v>
      </c>
      <c r="C51" s="13" t="str">
        <f ca="1">INDEX(INDIRECT("指標マスタ["&amp;B51&amp;"]"),MATCH(C50,指標マスタ['#],0))</f>
        <v>為替</v>
      </c>
      <c r="E51" s="11">
        <v>3</v>
      </c>
      <c r="F51" s="13" t="str">
        <f>IFERROR(INDEX(都市マスタ[],MATCH(E51,都市マスタ['#],0),MATCH(F50,都市マスタ[#Headers],0)),"")</f>
        <v>ロンドン</v>
      </c>
      <c r="G51" s="5">
        <f>IFERROR(INDEX(生データ表[],MATCH(E51,生データ表['#],0),MATCH(C50,生データ表[#Headers],0)),"")</f>
        <v>0.81100000000000005</v>
      </c>
      <c r="H51" s="236">
        <f>IFERROR(INDEX(スコア表[],MATCH(E51,スコア表['#],0),MATCH(C50,スコア表[#Headers],0)),"")</f>
        <v>0</v>
      </c>
    </row>
    <row r="52" spans="2:8">
      <c r="B52" s="36" t="str">
        <f>IF(JPEN!$C$2="EN",指標!$L$2,指標!$K$2)</f>
        <v>単位</v>
      </c>
      <c r="C52" s="13" t="str">
        <f>INDEX(指標マスタ[],MATCH(C50,指標マスタ['#],0),MATCH(B52,指標マスタ[#Headers],0))</f>
        <v>/USD</v>
      </c>
      <c r="E52" s="11">
        <v>38</v>
      </c>
      <c r="F52" s="13" t="str">
        <f>IFERROR(INDEX(都市マスタ[],MATCH(E52,都市マスタ['#],0),MATCH(F50,都市マスタ[#Headers],0)),"")</f>
        <v>ニューヨーク</v>
      </c>
      <c r="G52" s="5">
        <f>IFERROR(INDEX(生データ表[],MATCH(E52,生データ表['#],0),MATCH(C50,生データ表[#Headers],0)),"")</f>
        <v>1</v>
      </c>
      <c r="H52" s="236">
        <f>IFERROR(INDEX(スコア表[],MATCH(E52,スコア表['#],0),MATCH(C50,スコア表[#Headers],0)),"")</f>
        <v>1.2728978000000001E-3</v>
      </c>
    </row>
    <row r="53" spans="2:8">
      <c r="B53" s="36" t="s">
        <v>646</v>
      </c>
      <c r="C53" s="13" t="str">
        <f>INDEX(生データ表2[],MATCH(B53,生データ表2[maxmin],0),MATCH(C50,生データ表2[#Headers],0))</f>
        <v>プラス</v>
      </c>
      <c r="E53" s="11">
        <v>29</v>
      </c>
      <c r="F53" s="13" t="str">
        <f>IFERROR(INDEX(都市マスタ[],MATCH(E53,都市マスタ['#],0),MATCH(F50,都市マスタ[#Headers],0)),"")</f>
        <v>東京</v>
      </c>
      <c r="G53" s="5">
        <f>IFERROR(INDEX(生データ表[],MATCH(E53,生データ表['#],0),MATCH(C50,生データ表[#Headers],0)),"")</f>
        <v>131.45400000000001</v>
      </c>
      <c r="H53" s="236">
        <f>IFERROR(INDEX(スコア表[],MATCH(E53,スコア表['#],0),MATCH(C50,スコア表[#Headers],0)),"")</f>
        <v>0.8798687382</v>
      </c>
    </row>
    <row r="54" spans="2:8">
      <c r="E54" s="11">
        <v>4</v>
      </c>
      <c r="F54" s="13" t="str">
        <f>IFERROR(INDEX(都市マスタ[],MATCH(E54,都市マスタ['#],0),MATCH(F50,都市マスタ[#Headers],0)),"")</f>
        <v>パリ</v>
      </c>
      <c r="G54" s="5">
        <f>IFERROR(INDEX(生データ表[],MATCH(E54,生データ表['#],0),MATCH(C50,生データ表[#Headers],0)),"")</f>
        <v>0.95099999999999996</v>
      </c>
      <c r="H54" s="236">
        <f>IFERROR(INDEX(スコア表[],MATCH(E54,スコア表['#],0),MATCH(C50,スコア表[#Headers],0)),"")</f>
        <v>9.4288729999999999E-4</v>
      </c>
    </row>
    <row r="55" spans="2:8">
      <c r="B55" s="240" t="s">
        <v>2067</v>
      </c>
      <c r="E55" s="11">
        <v>21</v>
      </c>
      <c r="F55" s="13" t="str">
        <f>IFERROR(INDEX(都市マスタ[],MATCH(E55,都市マスタ['#],0),MATCH(F50,都市マスタ[#Headers],0)),"")</f>
        <v>シンガポール</v>
      </c>
      <c r="G55" s="5">
        <f>IFERROR(INDEX(生データ表[],MATCH(E55,生データ表['#],0),MATCH(C50,生データ表[#Headers],0)),"")</f>
        <v>1.379</v>
      </c>
      <c r="H55" s="236">
        <f>IFERROR(INDEX(スコア表[],MATCH(E55,スコア表['#],0),MATCH(C50,スコア表[#Headers],0)),"")</f>
        <v>3.8254284000000002E-3</v>
      </c>
    </row>
    <row r="56" spans="2:8">
      <c r="E56" s="11">
        <v>26</v>
      </c>
      <c r="F56" s="13" t="str">
        <f>IFERROR(INDEX(都市マスタ[],MATCH(E56,都市マスタ['#],0),MATCH(F50,都市マスタ[#Headers],0)),"")</f>
        <v>ソウル</v>
      </c>
      <c r="G56" s="5">
        <f>IFERROR(INDEX(生データ表[],MATCH(E56,生データ表['#],0),MATCH(C50,生データ表[#Headers],0)),"")</f>
        <v>1291.729</v>
      </c>
      <c r="H56" s="236">
        <f>IFERROR(INDEX(スコア表[],MATCH(E56,スコア表['#],0),MATCH(C50,スコア表[#Headers],0)),"")</f>
        <v>8.6942154713999997</v>
      </c>
    </row>
    <row r="57" spans="2:8">
      <c r="E57" s="11">
        <v>22</v>
      </c>
      <c r="F57" s="13" t="str">
        <f>IFERROR(INDEX(都市マスタ[],MATCH(E57,都市マスタ['#],0),MATCH(F50,都市マスタ[#Headers],0)),"")</f>
        <v>香港</v>
      </c>
      <c r="G57" s="5">
        <f>IFERROR(INDEX(生データ表[],MATCH(E57,生データ表['#],0),MATCH(C50,生データ表[#Headers],0)),"")</f>
        <v>7.8310000000000004</v>
      </c>
      <c r="H57" s="236">
        <f>IFERROR(INDEX(スコア表[],MATCH(E57,スコア表['#],0),MATCH(C50,スコア表[#Headers],0)),"")</f>
        <v>4.7279062300000001E-2</v>
      </c>
    </row>
    <row r="58" spans="2:8">
      <c r="E58" s="11">
        <v>23</v>
      </c>
      <c r="F58" s="13" t="str">
        <f>IFERROR(INDEX(都市マスタ[],MATCH(E58,都市マスタ['#],0),MATCH(F50,都市マスタ[#Headers],0)),"")</f>
        <v>北京</v>
      </c>
      <c r="G58" s="5">
        <f>IFERROR(INDEX(生データ表[],MATCH(E58,生データ表['#],0),MATCH(C50,生データ表[#Headers],0)),"")</f>
        <v>6.73</v>
      </c>
      <c r="H58" s="236">
        <f>IFERROR(INDEX(スコア表[],MATCH(E58,スコア表['#],0),MATCH(C50,スコア表[#Headers],0)),"")</f>
        <v>3.9863927399999999E-2</v>
      </c>
    </row>
    <row r="59" spans="2:8">
      <c r="B59" s="240" t="s">
        <v>2068</v>
      </c>
      <c r="E59" s="11">
        <v>24</v>
      </c>
      <c r="F59" s="13" t="str">
        <f>IFERROR(INDEX(都市マスタ[],MATCH(E59,都市マスタ['#],0),MATCH(F50,都市マスタ[#Headers],0)),"")</f>
        <v>上海</v>
      </c>
      <c r="G59" s="5">
        <f>IFERROR(INDEX(生データ表[],MATCH(E59,生データ表['#],0),MATCH(C50,生データ表[#Headers],0)),"")</f>
        <v>6.73</v>
      </c>
      <c r="H59" s="236">
        <f>IFERROR(INDEX(スコア表[],MATCH(E59,スコア表['#],0),MATCH(C50,スコア表[#Headers],0)),"")</f>
        <v>3.9863927399999999E-2</v>
      </c>
    </row>
    <row r="60" spans="2:8">
      <c r="B60" t="s">
        <v>2070</v>
      </c>
      <c r="E60" s="11"/>
      <c r="F60" s="13" t="str">
        <f>IFERROR(INDEX(都市マスタ[],MATCH(E60,都市マスタ['#],0),MATCH(F50,都市マスタ[#Headers],0)),"")</f>
        <v/>
      </c>
      <c r="G60" s="231" t="str">
        <f>IFERROR(INDEX(生データ表[],MATCH(E60,生データ表['#],0),MATCH(C50,生データ表[#Headers],0)),"")</f>
        <v/>
      </c>
      <c r="H60" s="236" t="str">
        <f>IFERROR(INDEX(スコア表[],MATCH(E60,スコア表['#],0),MATCH(C50,スコア表[#Headers],0)),"")</f>
        <v/>
      </c>
    </row>
    <row r="61" spans="2:8">
      <c r="B61" t="s">
        <v>2071</v>
      </c>
      <c r="E61" s="11"/>
      <c r="F61" s="13" t="str">
        <f>IFERROR(INDEX(都市マスタ[],MATCH(E61,都市マスタ['#],0),MATCH(F50,都市マスタ[#Headers],0)),"")</f>
        <v/>
      </c>
      <c r="G61" s="231" t="str">
        <f>IFERROR(INDEX(生データ表[],MATCH(E61,生データ表['#],0),MATCH(C50,生データ表[#Headers],0)),"")</f>
        <v/>
      </c>
      <c r="H61" s="236" t="str">
        <f>IFERROR(INDEX(スコア表[],MATCH(E61,スコア表['#],0),MATCH(C50,スコア表[#Headers],0)),"")</f>
        <v/>
      </c>
    </row>
    <row r="62" spans="2:8">
      <c r="B62" t="s">
        <v>2069</v>
      </c>
      <c r="E62" s="11"/>
      <c r="F62" s="13" t="str">
        <f>IFERROR(INDEX(都市マスタ[],MATCH(E62,都市マスタ['#],0),MATCH(F50,都市マスタ[#Headers],0)),"")</f>
        <v/>
      </c>
      <c r="G62" s="231" t="str">
        <f>IFERROR(INDEX(生データ表[],MATCH(E62,生データ表['#],0),MATCH(C50,生データ表[#Headers],0)),"")</f>
        <v/>
      </c>
      <c r="H62" s="236" t="str">
        <f>IFERROR(INDEX(スコア表[],MATCH(E62,スコア表['#],0),MATCH(C50,スコア表[#Headers],0)),"")</f>
        <v/>
      </c>
    </row>
    <row r="63" spans="2:8">
      <c r="E63" s="11"/>
      <c r="F63" s="13" t="str">
        <f>IFERROR(INDEX(都市マスタ[],MATCH(E63,都市マスタ['#],0),MATCH(F50,都市マスタ[#Headers],0)),"")</f>
        <v/>
      </c>
      <c r="G63" s="231" t="str">
        <f>IFERROR(INDEX(生データ表[],MATCH(E63,生データ表['#],0),MATCH(C50,生データ表[#Headers],0)),"")</f>
        <v/>
      </c>
      <c r="H63" s="236" t="str">
        <f>IFERROR(INDEX(スコア表[],MATCH(E63,スコア表['#],0),MATCH(C50,スコア表[#Headers],0)),"")</f>
        <v/>
      </c>
    </row>
    <row r="65" spans="2:8">
      <c r="B65" s="36" t="s">
        <v>208</v>
      </c>
      <c r="C65" s="37" t="s">
        <v>659</v>
      </c>
      <c r="E65" s="35" t="s">
        <v>208</v>
      </c>
      <c r="F65" s="36" t="str">
        <f>IF(JPEN!$C$2="EN",都市!$C$2,都市!$D$2)</f>
        <v>都市名</v>
      </c>
      <c r="G65" s="36" t="s">
        <v>644</v>
      </c>
      <c r="H65" s="36" t="s">
        <v>645</v>
      </c>
    </row>
    <row r="66" spans="2:8">
      <c r="B66" s="36" t="str">
        <f>IF(JPEN!$C$2="EN",指標!$I$2,指標!$H$2)</f>
        <v>指標</v>
      </c>
      <c r="C66" s="13" t="str">
        <f ca="1">INDEX(INDIRECT("指標マスタ["&amp;B66&amp;"]"),MATCH(C65,指標マスタ['#],0))</f>
        <v>GDP</v>
      </c>
      <c r="E66" s="11">
        <v>3</v>
      </c>
      <c r="F66" s="13" t="str">
        <f>IFERROR(INDEX(都市マスタ[],MATCH(E66,都市マスタ['#],0),MATCH(F65,都市マスタ[#Headers],0)),"")</f>
        <v>ロンドン</v>
      </c>
      <c r="G66" s="5">
        <f>IFERROR(INDEX(生データ表[],MATCH(E66,生データ表['#],0),MATCH(C65,生データ表[#Headers],0)),"")</f>
        <v>725531.99808908603</v>
      </c>
      <c r="H66" s="236">
        <f>IFERROR(INDEX(スコア表[],MATCH(E66,スコア表['#],0),MATCH(C65,スコア表[#Headers],0)),"")</f>
        <v>79.614559965300003</v>
      </c>
    </row>
    <row r="67" spans="2:8">
      <c r="B67" s="36" t="str">
        <f>IF(JPEN!$C$2="EN",指標!$L$2,指標!$K$2)</f>
        <v>単位</v>
      </c>
      <c r="C67" s="13" t="str">
        <f>INDEX(指標マスタ[],MATCH(C65,指標マスタ['#],0),MATCH(B67,指標マスタ[#Headers],0))</f>
        <v>百万ドル</v>
      </c>
      <c r="E67" s="11">
        <v>38</v>
      </c>
      <c r="F67" s="13" t="str">
        <f>IFERROR(INDEX(都市マスタ[],MATCH(E67,都市マスタ['#],0),MATCH(F65,都市マスタ[#Headers],0)),"")</f>
        <v>ニューヨーク</v>
      </c>
      <c r="G67" s="5">
        <f>IFERROR(INDEX(生データ表[],MATCH(E67,生データ表['#],0),MATCH(C65,生データ表[#Headers],0)),"")</f>
        <v>905077.36801702098</v>
      </c>
      <c r="H67" s="236">
        <f>IFERROR(INDEX(スコア表[],MATCH(E67,スコア表['#],0),MATCH(C65,スコア表[#Headers],0)),"")</f>
        <v>100</v>
      </c>
    </row>
    <row r="68" spans="2:8">
      <c r="B68" s="36" t="s">
        <v>646</v>
      </c>
      <c r="C68" s="13" t="str">
        <f>INDEX(生データ表2[],MATCH(B68,生データ表2[maxmin],0),MATCH(C65,生データ表2[#Headers],0))</f>
        <v>プラス</v>
      </c>
      <c r="E68" s="11">
        <v>29</v>
      </c>
      <c r="F68" s="13" t="str">
        <f>IFERROR(INDEX(都市マスタ[],MATCH(E68,都市マスタ['#],0),MATCH(F65,都市マスタ[#Headers],0)),"")</f>
        <v>東京</v>
      </c>
      <c r="G68" s="5">
        <f>IFERROR(INDEX(生データ表[],MATCH(E68,生データ表['#],0),MATCH(C65,生データ表[#Headers],0)),"")</f>
        <v>822428.10811323498</v>
      </c>
      <c r="H68" s="236">
        <f>IFERROR(INDEX(スコア表[],MATCH(E68,スコア表['#],0),MATCH(C65,スコア表[#Headers],0)),"")</f>
        <v>90.616068059300005</v>
      </c>
    </row>
    <row r="69" spans="2:8">
      <c r="E69" s="11">
        <v>4</v>
      </c>
      <c r="F69" s="13" t="str">
        <f>IFERROR(INDEX(都市マスタ[],MATCH(E69,都市マスタ['#],0),MATCH(F65,都市マスタ[#Headers],0)),"")</f>
        <v>パリ</v>
      </c>
      <c r="G69" s="5">
        <f>IFERROR(INDEX(生データ表[],MATCH(E69,生データ表['#],0),MATCH(C65,生データ表[#Headers],0)),"")</f>
        <v>288843.09538589697</v>
      </c>
      <c r="H69" s="236">
        <f>IFERROR(INDEX(スコア表[],MATCH(E69,スコア表['#],0),MATCH(C65,スコア表[#Headers],0)),"")</f>
        <v>30.033245540799999</v>
      </c>
    </row>
    <row r="70" spans="2:8">
      <c r="B70" s="240" t="s">
        <v>2067</v>
      </c>
      <c r="E70" s="11">
        <v>21</v>
      </c>
      <c r="F70" s="13" t="str">
        <f>IFERROR(INDEX(都市マスタ[],MATCH(E70,都市マスタ['#],0),MATCH(F65,都市マスタ[#Headers],0)),"")</f>
        <v>シンガポール</v>
      </c>
      <c r="G70" s="5">
        <f>IFERROR(INDEX(生データ表[],MATCH(E70,生データ表['#],0),MATCH(C65,生データ表[#Headers],0)),"")</f>
        <v>423634.07738095202</v>
      </c>
      <c r="H70" s="236">
        <f>IFERROR(INDEX(スコア表[],MATCH(E70,スコア表['#],0),MATCH(C65,スコア表[#Headers],0)),"")</f>
        <v>45.337307582500003</v>
      </c>
    </row>
    <row r="71" spans="2:8">
      <c r="E71" s="11">
        <v>26</v>
      </c>
      <c r="F71" s="13" t="str">
        <f>IFERROR(INDEX(都市マスタ[],MATCH(E71,都市マスタ['#],0),MATCH(F65,都市マスタ[#Headers],0)),"")</f>
        <v>ソウル</v>
      </c>
      <c r="G71" s="5">
        <f>IFERROR(INDEX(生データ表[],MATCH(E71,生データ表['#],0),MATCH(C65,生データ表[#Headers],0)),"")</f>
        <v>412034.05762859603</v>
      </c>
      <c r="H71" s="236">
        <f>IFERROR(INDEX(スコア表[],MATCH(E71,スコア表['#],0),MATCH(C65,スコア表[#Headers],0)),"")</f>
        <v>44.020250466699999</v>
      </c>
    </row>
    <row r="72" spans="2:8">
      <c r="E72" s="11">
        <v>22</v>
      </c>
      <c r="F72" s="13" t="str">
        <f>IFERROR(INDEX(都市マスタ[],MATCH(E72,都市マスタ['#],0),MATCH(F65,都市マスタ[#Headers],0)),"")</f>
        <v>香港</v>
      </c>
      <c r="G72" s="5">
        <f>IFERROR(INDEX(生データ表[],MATCH(E72,生データ表['#],0),MATCH(C65,生データ表[#Headers],0)),"")</f>
        <v>368936.06072301499</v>
      </c>
      <c r="H72" s="236">
        <f>IFERROR(INDEX(スコア表[],MATCH(E72,スコア表['#],0),MATCH(C65,スコア表[#Headers],0)),"")</f>
        <v>39.126937807700003</v>
      </c>
    </row>
    <row r="73" spans="2:8">
      <c r="E73" s="11">
        <v>23</v>
      </c>
      <c r="F73" s="13" t="str">
        <f>IFERROR(INDEX(都市マスタ[],MATCH(E73,都市マスタ['#],0),MATCH(F65,都市マスタ[#Headers],0)),"")</f>
        <v>北京</v>
      </c>
      <c r="G73" s="5">
        <f>IFERROR(INDEX(生データ表[],MATCH(E73,生データ表['#],0),MATCH(C65,生データ表[#Headers],0)),"")</f>
        <v>624141.35151890805</v>
      </c>
      <c r="H73" s="236">
        <f>IFERROR(INDEX(スコア表[],MATCH(E73,スコア表['#],0),MATCH(C65,スコア表[#Headers],0)),"")</f>
        <v>68.102745728299993</v>
      </c>
    </row>
    <row r="74" spans="2:8">
      <c r="B74" s="240" t="s">
        <v>2068</v>
      </c>
      <c r="E74" s="11">
        <v>24</v>
      </c>
      <c r="F74" s="13" t="str">
        <f>IFERROR(INDEX(都市マスタ[],MATCH(E74,都市マスタ['#],0),MATCH(F65,都市マスタ[#Headers],0)),"")</f>
        <v>上海</v>
      </c>
      <c r="G74" s="5">
        <f>IFERROR(INDEX(生データ表[],MATCH(E74,生データ表['#],0),MATCH(C65,生データ表[#Headers],0)),"")</f>
        <v>669789.987600744</v>
      </c>
      <c r="H74" s="236">
        <f>IFERROR(INDEX(スコア表[],MATCH(E74,スコア表['#],0),MATCH(C65,スコア表[#Headers],0)),"")</f>
        <v>73.285655952499994</v>
      </c>
    </row>
    <row r="75" spans="2:8">
      <c r="B75" t="s">
        <v>2070</v>
      </c>
      <c r="E75" s="11"/>
      <c r="F75" s="13" t="str">
        <f>IFERROR(INDEX(都市マスタ[],MATCH(E75,都市マスタ['#],0),MATCH(F65,都市マスタ[#Headers],0)),"")</f>
        <v/>
      </c>
      <c r="G75" s="231" t="str">
        <f>IFERROR(INDEX(生データ表[],MATCH(E75,生データ表['#],0),MATCH(C65,生データ表[#Headers],0)),"")</f>
        <v/>
      </c>
      <c r="H75" s="236" t="str">
        <f>IFERROR(INDEX(スコア表[],MATCH(E75,スコア表['#],0),MATCH(C65,スコア表[#Headers],0)),"")</f>
        <v/>
      </c>
    </row>
    <row r="76" spans="2:8">
      <c r="B76" t="s">
        <v>2071</v>
      </c>
      <c r="E76" s="11"/>
      <c r="F76" s="13" t="str">
        <f>IFERROR(INDEX(都市マスタ[],MATCH(E76,都市マスタ['#],0),MATCH(F65,都市マスタ[#Headers],0)),"")</f>
        <v/>
      </c>
      <c r="G76" s="231" t="str">
        <f>IFERROR(INDEX(生データ表[],MATCH(E76,生データ表['#],0),MATCH(C65,生データ表[#Headers],0)),"")</f>
        <v/>
      </c>
      <c r="H76" s="236" t="str">
        <f>IFERROR(INDEX(スコア表[],MATCH(E76,スコア表['#],0),MATCH(C65,スコア表[#Headers],0)),"")</f>
        <v/>
      </c>
    </row>
    <row r="77" spans="2:8">
      <c r="B77" t="s">
        <v>2069</v>
      </c>
      <c r="E77" s="11"/>
      <c r="F77" s="13" t="str">
        <f>IFERROR(INDEX(都市マスタ[],MATCH(E77,都市マスタ['#],0),MATCH(F65,都市マスタ[#Headers],0)),"")</f>
        <v/>
      </c>
      <c r="G77" s="231" t="str">
        <f>IFERROR(INDEX(生データ表[],MATCH(E77,生データ表['#],0),MATCH(C65,生データ表[#Headers],0)),"")</f>
        <v/>
      </c>
      <c r="H77" s="236" t="str">
        <f>IFERROR(INDEX(スコア表[],MATCH(E77,スコア表['#],0),MATCH(C65,スコア表[#Headers],0)),"")</f>
        <v/>
      </c>
    </row>
    <row r="78" spans="2:8">
      <c r="E78" s="11"/>
      <c r="F78" s="13" t="str">
        <f>IFERROR(INDEX(都市マスタ[],MATCH(E78,都市マスタ['#],0),MATCH(F65,都市マスタ[#Headers],0)),"")</f>
        <v/>
      </c>
      <c r="G78" s="231" t="str">
        <f>IFERROR(INDEX(生データ表[],MATCH(E78,生データ表['#],0),MATCH(C65,生データ表[#Headers],0)),"")</f>
        <v/>
      </c>
      <c r="H78" s="236" t="str">
        <f>IFERROR(INDEX(スコア表[],MATCH(E78,スコア表['#],0),MATCH(C65,スコア表[#Headers],0)),"")</f>
        <v/>
      </c>
    </row>
    <row r="80" spans="2:8">
      <c r="B80" s="36" t="s">
        <v>208</v>
      </c>
      <c r="C80" s="37" t="s">
        <v>660</v>
      </c>
      <c r="E80" s="35" t="s">
        <v>208</v>
      </c>
      <c r="F80" s="36" t="str">
        <f>IF(JPEN!$C$2="EN",都市!$C$2,都市!$D$2)</f>
        <v>都市名</v>
      </c>
      <c r="G80" s="36" t="s">
        <v>644</v>
      </c>
      <c r="H80" s="36" t="s">
        <v>645</v>
      </c>
    </row>
    <row r="81" spans="2:8">
      <c r="B81" s="36" t="str">
        <f>IF(JPEN!$C$2="EN",指標!$I$2,指標!$H$2)</f>
        <v>指標</v>
      </c>
      <c r="C81" s="13" t="str">
        <f ca="1">INDEX(INDIRECT("指標マスタ["&amp;B81&amp;"]"),MATCH(C80,指標マスタ['#],0))</f>
        <v>1人あたりGDP</v>
      </c>
      <c r="E81" s="11">
        <v>3</v>
      </c>
      <c r="F81" s="13" t="str">
        <f>IFERROR(INDEX(都市マスタ[],MATCH(E81,都市マスタ['#],0),MATCH(F80,都市マスタ[#Headers],0)),"")</f>
        <v>ロンドン</v>
      </c>
      <c r="G81" s="5">
        <f>IFERROR(INDEX(生データ表[],MATCH(E81,生データ表['#],0),MATCH(C80,生データ表[#Headers],0)),"")</f>
        <v>82478.422196446903</v>
      </c>
      <c r="H81" s="236">
        <f>IFERROR(INDEX(スコア表[],MATCH(E81,スコア表['#],0),MATCH(C80,スコア表[#Headers],0)),"")</f>
        <v>35.3150378618</v>
      </c>
    </row>
    <row r="82" spans="2:8">
      <c r="B82" s="36" t="str">
        <f>IF(JPEN!$C$2="EN",指標!$L$2,指標!$K$2)</f>
        <v>単位</v>
      </c>
      <c r="C82" s="13" t="str">
        <f>INDEX(指標マスタ[],MATCH(C80,指標マスタ['#],0),MATCH(B82,指標マスタ[#Headers],0))</f>
        <v>ドル/人</v>
      </c>
      <c r="E82" s="11">
        <v>38</v>
      </c>
      <c r="F82" s="13" t="str">
        <f>IFERROR(INDEX(都市マスタ[],MATCH(E82,都市マスタ['#],0),MATCH(F80,都市マスタ[#Headers],0)),"")</f>
        <v>ニューヨーク</v>
      </c>
      <c r="G82" s="5">
        <f>IFERROR(INDEX(生データ表[],MATCH(E82,生データ表['#],0),MATCH(C80,生データ表[#Headers],0)),"")</f>
        <v>106888.217120776</v>
      </c>
      <c r="H82" s="236">
        <f>IFERROR(INDEX(スコア表[],MATCH(E82,スコア表['#],0),MATCH(C80,スコア表[#Headers],0)),"")</f>
        <v>46.066160791900003</v>
      </c>
    </row>
    <row r="83" spans="2:8">
      <c r="B83" s="36" t="s">
        <v>646</v>
      </c>
      <c r="C83" s="13" t="str">
        <f>INDEX(生データ表2[],MATCH(B83,生データ表2[maxmin],0),MATCH(C80,生データ表2[#Headers],0))</f>
        <v>プラス</v>
      </c>
      <c r="E83" s="11">
        <v>29</v>
      </c>
      <c r="F83" s="13" t="str">
        <f>IFERROR(INDEX(都市マスタ[],MATCH(E83,都市マスタ['#],0),MATCH(F80,都市マスタ[#Headers],0)),"")</f>
        <v>東京</v>
      </c>
      <c r="G83" s="5">
        <f>IFERROR(INDEX(生データ表[],MATCH(E83,生データ表['#],0),MATCH(C80,生データ表[#Headers],0)),"")</f>
        <v>85208.783717600803</v>
      </c>
      <c r="H83" s="236">
        <f>IFERROR(INDEX(スコア表[],MATCH(E83,スコア表['#],0),MATCH(C80,スコア表[#Headers],0)),"")</f>
        <v>36.517606439200001</v>
      </c>
    </row>
    <row r="84" spans="2:8">
      <c r="E84" s="11">
        <v>4</v>
      </c>
      <c r="F84" s="13" t="str">
        <f>IFERROR(INDEX(都市マスタ[],MATCH(E84,都市マスタ['#],0),MATCH(F80,都市マスタ[#Headers],0)),"")</f>
        <v>パリ</v>
      </c>
      <c r="G84" s="5">
        <f>IFERROR(INDEX(生データ表[],MATCH(E84,生データ表['#],0),MATCH(C80,生データ表[#Headers],0)),"")</f>
        <v>134824.34625358001</v>
      </c>
      <c r="H84" s="236">
        <f>IFERROR(INDEX(スコア表[],MATCH(E84,スコア表['#],0),MATCH(C80,スコア表[#Headers],0)),"")</f>
        <v>58.370432885600003</v>
      </c>
    </row>
    <row r="85" spans="2:8">
      <c r="B85" s="240" t="s">
        <v>2067</v>
      </c>
      <c r="E85" s="11">
        <v>21</v>
      </c>
      <c r="F85" s="13" t="str">
        <f>IFERROR(INDEX(都市マスタ[],MATCH(E85,都市マスタ['#],0),MATCH(F80,都市マスタ[#Headers],0)),"")</f>
        <v>シンガポール</v>
      </c>
      <c r="G85" s="5">
        <f>IFERROR(INDEX(生データ表[],MATCH(E85,生データ表['#],0),MATCH(C80,生データ表[#Headers],0)),"")</f>
        <v>72766.468261244605</v>
      </c>
      <c r="H85" s="236">
        <f>IFERROR(INDEX(スコア表[],MATCH(E85,スコア表['#],0),MATCH(C80,スコア表[#Headers],0)),"")</f>
        <v>31.037475884199999</v>
      </c>
    </row>
    <row r="86" spans="2:8">
      <c r="E86" s="11">
        <v>26</v>
      </c>
      <c r="F86" s="13" t="str">
        <f>IFERROR(INDEX(都市マスタ[],MATCH(E86,都市マスタ['#],0),MATCH(F80,都市マスタ[#Headers],0)),"")</f>
        <v>ソウル</v>
      </c>
      <c r="G86" s="5">
        <f>IFERROR(INDEX(生データ表[],MATCH(E86,生データ表['#],0),MATCH(C80,生データ表[#Headers],0)),"")</f>
        <v>42320.554126297699</v>
      </c>
      <c r="H86" s="236">
        <f>IFERROR(INDEX(スコア表[],MATCH(E86,スコア表['#],0),MATCH(C80,スコア表[#Headers],0)),"")</f>
        <v>17.6277865934</v>
      </c>
    </row>
    <row r="87" spans="2:8">
      <c r="E87" s="11">
        <v>22</v>
      </c>
      <c r="F87" s="13" t="str">
        <f>IFERROR(INDEX(都市マスタ[],MATCH(E87,都市マスタ['#],0),MATCH(F80,都市マスタ[#Headers],0)),"")</f>
        <v>香港</v>
      </c>
      <c r="G87" s="5">
        <f>IFERROR(INDEX(生データ表[],MATCH(E87,生データ表['#],0),MATCH(C80,生データ表[#Headers],0)),"")</f>
        <v>49766.113469702803</v>
      </c>
      <c r="H87" s="236">
        <f>IFERROR(INDEX(スコア表[],MATCH(E87,スコア表['#],0),MATCH(C80,スコア表[#Headers],0)),"")</f>
        <v>20.907130972699999</v>
      </c>
    </row>
    <row r="88" spans="2:8">
      <c r="E88" s="11">
        <v>23</v>
      </c>
      <c r="F88" s="13" t="str">
        <f>IFERROR(INDEX(都市マスタ[],MATCH(E88,都市マスタ['#],0),MATCH(F80,都市マスタ[#Headers],0)),"")</f>
        <v>北京</v>
      </c>
      <c r="G88" s="5">
        <f>IFERROR(INDEX(生データ表[],MATCH(E88,生データ表['#],0),MATCH(C80,生データ表[#Headers],0)),"")</f>
        <v>28517.835672069301</v>
      </c>
      <c r="H88" s="236">
        <f>IFERROR(INDEX(スコア表[],MATCH(E88,スコア表['#],0),MATCH(C80,スコア表[#Headers],0)),"")</f>
        <v>11.548476081700001</v>
      </c>
    </row>
    <row r="89" spans="2:8">
      <c r="B89" s="240" t="s">
        <v>2068</v>
      </c>
      <c r="E89" s="11">
        <v>24</v>
      </c>
      <c r="F89" s="13" t="str">
        <f>IFERROR(INDEX(都市マスタ[],MATCH(E89,都市マスタ['#],0),MATCH(F80,都市マスタ[#Headers],0)),"")</f>
        <v>上海</v>
      </c>
      <c r="G89" s="5">
        <f>IFERROR(INDEX(生データ表[],MATCH(E89,生データ表['#],0),MATCH(C80,生データ表[#Headers],0)),"")</f>
        <v>26905.3553464344</v>
      </c>
      <c r="H89" s="236">
        <f>IFERROR(INDEX(スコア表[],MATCH(E89,スコア表['#],0),MATCH(C80,スコア表[#Headers],0)),"")</f>
        <v>10.8382704345</v>
      </c>
    </row>
    <row r="90" spans="2:8">
      <c r="B90" t="s">
        <v>2070</v>
      </c>
      <c r="E90" s="11"/>
      <c r="F90" s="13" t="str">
        <f>IFERROR(INDEX(都市マスタ[],MATCH(E90,都市マスタ['#],0),MATCH(F80,都市マスタ[#Headers],0)),"")</f>
        <v/>
      </c>
      <c r="G90" s="231" t="str">
        <f>IFERROR(INDEX(生データ表[],MATCH(E90,生データ表['#],0),MATCH(C80,生データ表[#Headers],0)),"")</f>
        <v/>
      </c>
      <c r="H90" s="236" t="str">
        <f>IFERROR(INDEX(スコア表[],MATCH(E90,スコア表['#],0),MATCH(C80,スコア表[#Headers],0)),"")</f>
        <v/>
      </c>
    </row>
    <row r="91" spans="2:8">
      <c r="B91" t="s">
        <v>2071</v>
      </c>
      <c r="E91" s="11"/>
      <c r="F91" s="13" t="str">
        <f>IFERROR(INDEX(都市マスタ[],MATCH(E91,都市マスタ['#],0),MATCH(F80,都市マスタ[#Headers],0)),"")</f>
        <v/>
      </c>
      <c r="G91" s="231" t="str">
        <f>IFERROR(INDEX(生データ表[],MATCH(E91,生データ表['#],0),MATCH(C80,生データ表[#Headers],0)),"")</f>
        <v/>
      </c>
      <c r="H91" s="236" t="str">
        <f>IFERROR(INDEX(スコア表[],MATCH(E91,スコア表['#],0),MATCH(C80,スコア表[#Headers],0)),"")</f>
        <v/>
      </c>
    </row>
    <row r="92" spans="2:8">
      <c r="B92" t="s">
        <v>2069</v>
      </c>
      <c r="E92" s="11"/>
      <c r="F92" s="13" t="str">
        <f>IFERROR(INDEX(都市マスタ[],MATCH(E92,都市マスタ['#],0),MATCH(F80,都市マスタ[#Headers],0)),"")</f>
        <v/>
      </c>
      <c r="G92" s="231" t="str">
        <f>IFERROR(INDEX(生データ表[],MATCH(E92,生データ表['#],0),MATCH(C80,生データ表[#Headers],0)),"")</f>
        <v/>
      </c>
      <c r="H92" s="236" t="str">
        <f>IFERROR(INDEX(スコア表[],MATCH(E92,スコア表['#],0),MATCH(C80,スコア表[#Headers],0)),"")</f>
        <v/>
      </c>
    </row>
    <row r="93" spans="2:8">
      <c r="E93" s="11"/>
      <c r="F93" s="13" t="str">
        <f>IFERROR(INDEX(都市マスタ[],MATCH(E93,都市マスタ['#],0),MATCH(F80,都市マスタ[#Headers],0)),"")</f>
        <v/>
      </c>
      <c r="G93" s="231" t="str">
        <f>IFERROR(INDEX(生データ表[],MATCH(E93,生データ表['#],0),MATCH(C80,生データ表[#Headers],0)),"")</f>
        <v/>
      </c>
      <c r="H93" s="236" t="str">
        <f>IFERROR(INDEX(スコア表[],MATCH(E93,スコア表['#],0),MATCH(C80,スコア表[#Headers],0)),"")</f>
        <v/>
      </c>
    </row>
    <row r="95" spans="2:8">
      <c r="B95" s="36" t="s">
        <v>208</v>
      </c>
      <c r="C95" s="37" t="s">
        <v>661</v>
      </c>
      <c r="E95" s="35" t="s">
        <v>208</v>
      </c>
      <c r="F95" s="36" t="str">
        <f>IF(JPEN!$C$2="EN",都市!$C$2,都市!$D$2)</f>
        <v>都市名</v>
      </c>
      <c r="G95" s="36" t="s">
        <v>644</v>
      </c>
      <c r="H95" s="36" t="s">
        <v>645</v>
      </c>
    </row>
    <row r="96" spans="2:8">
      <c r="B96" s="36" t="str">
        <f>IF(JPEN!$C$2="EN",指標!$I$2,指標!$H$2)</f>
        <v>指標</v>
      </c>
      <c r="C96" s="13" t="str">
        <f ca="1">INDEX(INDIRECT("指標マスタ["&amp;B96&amp;"]"),MATCH(C95,指標マスタ['#],0))</f>
        <v>GDP成長率</v>
      </c>
      <c r="E96" s="11">
        <v>3</v>
      </c>
      <c r="F96" s="13" t="str">
        <f>IFERROR(INDEX(都市マスタ[],MATCH(E96,都市マスタ['#],0),MATCH(F95,都市マスタ[#Headers],0)),"")</f>
        <v>ロンドン</v>
      </c>
      <c r="G96" s="9">
        <f>IFERROR(INDEX(生データ表[],MATCH(E96,生データ表['#],0),MATCH(C95,生データ表[#Headers],0)),"")</f>
        <v>2.6222699073008299E-2</v>
      </c>
      <c r="H96" s="236">
        <f>IFERROR(INDEX(スコア表[],MATCH(E96,スコア表['#],0),MATCH(C95,スコア表[#Headers],0)),"")</f>
        <v>37.6568433443</v>
      </c>
    </row>
    <row r="97" spans="2:8">
      <c r="B97" s="36" t="str">
        <f>IF(JPEN!$C$2="EN",指標!$L$2,指標!$K$2)</f>
        <v>単位</v>
      </c>
      <c r="C97" s="13" t="str">
        <f>INDEX(指標マスタ[],MATCH(C95,指標マスタ['#],0),MATCH(B97,指標マスタ[#Headers],0))</f>
        <v>%</v>
      </c>
      <c r="E97" s="11">
        <v>38</v>
      </c>
      <c r="F97" s="13" t="str">
        <f>IFERROR(INDEX(都市マスタ[],MATCH(E97,都市マスタ['#],0),MATCH(F95,都市マスタ[#Headers],0)),"")</f>
        <v>ニューヨーク</v>
      </c>
      <c r="G97" s="9">
        <f>IFERROR(INDEX(生データ表[],MATCH(E97,生データ表['#],0),MATCH(C95,生データ表[#Headers],0)),"")</f>
        <v>3.0302904506341401E-2</v>
      </c>
      <c r="H97" s="236">
        <f>IFERROR(INDEX(スコア表[],MATCH(E97,スコア表['#],0),MATCH(C95,スコア表[#Headers],0)),"")</f>
        <v>40.5176864345</v>
      </c>
    </row>
    <row r="98" spans="2:8">
      <c r="B98" s="36" t="s">
        <v>646</v>
      </c>
      <c r="C98" s="13" t="str">
        <f>INDEX(生データ表2[],MATCH(B98,生データ表2[maxmin],0),MATCH(C95,生データ表2[#Headers],0))</f>
        <v>プラス</v>
      </c>
      <c r="E98" s="11">
        <v>29</v>
      </c>
      <c r="F98" s="13" t="str">
        <f>IFERROR(INDEX(都市マスタ[],MATCH(E98,都市マスタ['#],0),MATCH(F95,都市マスタ[#Headers],0)),"")</f>
        <v>東京</v>
      </c>
      <c r="G98" s="9">
        <f>IFERROR(INDEX(生データ表[],MATCH(E98,生データ表['#],0),MATCH(C95,生データ表[#Headers],0)),"")</f>
        <v>-2.69856239340804E-2</v>
      </c>
      <c r="H98" s="236">
        <f>IFERROR(INDEX(スコア表[],MATCH(E98,スコア表['#],0),MATCH(C95,スコア表[#Headers],0)),"")</f>
        <v>0.34973572330000002</v>
      </c>
    </row>
    <row r="99" spans="2:8">
      <c r="E99" s="11">
        <v>4</v>
      </c>
      <c r="F99" s="13" t="str">
        <f>IFERROR(INDEX(都市マスタ[],MATCH(E99,都市マスタ['#],0),MATCH(F95,都市マスタ[#Headers],0)),"")</f>
        <v>パリ</v>
      </c>
      <c r="G99" s="9">
        <f>IFERROR(INDEX(生データ表[],MATCH(E99,生データ表['#],0),MATCH(C95,生データ表[#Headers],0)),"")</f>
        <v>1.13511376841199E-2</v>
      </c>
      <c r="H99" s="236">
        <f>IFERROR(INDEX(スコア表[],MATCH(E99,スコア表['#],0),MATCH(C95,スコア表[#Headers],0)),"")</f>
        <v>27.229622378199998</v>
      </c>
    </row>
    <row r="100" spans="2:8">
      <c r="B100" s="240" t="s">
        <v>2067</v>
      </c>
      <c r="E100" s="11">
        <v>21</v>
      </c>
      <c r="F100" s="13" t="str">
        <f>IFERROR(INDEX(都市マスタ[],MATCH(E100,都市マスタ['#],0),MATCH(F95,都市マスタ[#Headers],0)),"")</f>
        <v>シンガポール</v>
      </c>
      <c r="G100" s="9">
        <f>IFERROR(INDEX(生データ表[],MATCH(E100,生データ表['#],0),MATCH(C95,生データ表[#Headers],0)),"")</f>
        <v>2.8006106205105501E-2</v>
      </c>
      <c r="H100" s="236">
        <f>IFERROR(INDEX(スコア表[],MATCH(E100,スコア表['#],0),MATCH(C95,スコア表[#Headers],0)),"")</f>
        <v>38.9072823367</v>
      </c>
    </row>
    <row r="101" spans="2:8">
      <c r="E101" s="11">
        <v>26</v>
      </c>
      <c r="F101" s="13" t="str">
        <f>IFERROR(INDEX(都市マスタ[],MATCH(E101,都市マスタ['#],0),MATCH(F95,都市マスタ[#Headers],0)),"")</f>
        <v>ソウル</v>
      </c>
      <c r="G101" s="9">
        <f>IFERROR(INDEX(生データ表[],MATCH(E101,生データ表['#],0),MATCH(C95,生データ表[#Headers],0)),"")</f>
        <v>3.5283824424346702E-2</v>
      </c>
      <c r="H101" s="236">
        <f>IFERROR(INDEX(スコア表[],MATCH(E101,スコア表['#],0),MATCH(C95,スコア表[#Headers],0)),"")</f>
        <v>44.010067042099998</v>
      </c>
    </row>
    <row r="102" spans="2:8">
      <c r="E102" s="11">
        <v>22</v>
      </c>
      <c r="F102" s="13" t="str">
        <f>IFERROR(INDEX(都市マスタ[],MATCH(E102,都市マスタ['#],0),MATCH(F95,都市マスタ[#Headers],0)),"")</f>
        <v>香港</v>
      </c>
      <c r="G102" s="9">
        <f>IFERROR(INDEX(生データ表[],MATCH(E102,生データ表['#],0),MATCH(C95,生データ表[#Headers],0)),"")</f>
        <v>8.9999999999999993E-3</v>
      </c>
      <c r="H102" s="236">
        <f>IFERROR(INDEX(スコア表[],MATCH(E102,スコア表['#],0),MATCH(C95,スコア表[#Headers],0)),"")</f>
        <v>25.5811181282</v>
      </c>
    </row>
    <row r="103" spans="2:8">
      <c r="E103" s="11">
        <v>23</v>
      </c>
      <c r="F103" s="13" t="str">
        <f>IFERROR(INDEX(都市マスタ[],MATCH(E103,都市マスタ['#],0),MATCH(F95,都市マスタ[#Headers],0)),"")</f>
        <v>北京</v>
      </c>
      <c r="G103" s="9">
        <f>IFERROR(INDEX(生データ表[],MATCH(E103,生データ表['#],0),MATCH(C95,生データ表[#Headers],0)),"")</f>
        <v>5.81274755558975E-2</v>
      </c>
      <c r="H103" s="236">
        <f>IFERROR(INDEX(スコア表[],MATCH(E103,スコア表['#],0),MATCH(C95,スコア表[#Headers],0)),"")</f>
        <v>60.0269325071</v>
      </c>
    </row>
    <row r="104" spans="2:8">
      <c r="B104" s="240" t="s">
        <v>2068</v>
      </c>
      <c r="E104" s="11">
        <v>24</v>
      </c>
      <c r="F104" s="13" t="str">
        <f>IFERROR(INDEX(都市マスタ[],MATCH(E104,都市マスタ['#],0),MATCH(F95,都市マスタ[#Headers],0)),"")</f>
        <v>上海</v>
      </c>
      <c r="G104" s="9">
        <f>IFERROR(INDEX(生データ表[],MATCH(E104,生データ表['#],0),MATCH(C95,生データ表[#Headers],0)),"")</f>
        <v>5.8964761252097098E-2</v>
      </c>
      <c r="H104" s="236">
        <f>IFERROR(INDEX(スコア表[],MATCH(E104,スコア表['#],0),MATCH(C95,スコア表[#Headers],0)),"")</f>
        <v>60.613996819800001</v>
      </c>
    </row>
    <row r="105" spans="2:8">
      <c r="B105" t="s">
        <v>2070</v>
      </c>
      <c r="E105" s="11"/>
      <c r="F105" s="13" t="str">
        <f>IFERROR(INDEX(都市マスタ[],MATCH(E105,都市マスタ['#],0),MATCH(F95,都市マスタ[#Headers],0)),"")</f>
        <v/>
      </c>
      <c r="G105" s="231" t="str">
        <f>IFERROR(INDEX(生データ表[],MATCH(E105,生データ表['#],0),MATCH(C95,生データ表[#Headers],0)),"")</f>
        <v/>
      </c>
      <c r="H105" s="236" t="str">
        <f>IFERROR(INDEX(スコア表[],MATCH(E105,スコア表['#],0),MATCH(C95,スコア表[#Headers],0)),"")</f>
        <v/>
      </c>
    </row>
    <row r="106" spans="2:8">
      <c r="B106" t="s">
        <v>2071</v>
      </c>
      <c r="E106" s="11"/>
      <c r="F106" s="13" t="str">
        <f>IFERROR(INDEX(都市マスタ[],MATCH(E106,都市マスタ['#],0),MATCH(F95,都市マスタ[#Headers],0)),"")</f>
        <v/>
      </c>
      <c r="G106" s="231" t="str">
        <f>IFERROR(INDEX(生データ表[],MATCH(E106,生データ表['#],0),MATCH(C95,生データ表[#Headers],0)),"")</f>
        <v/>
      </c>
      <c r="H106" s="236" t="str">
        <f>IFERROR(INDEX(スコア表[],MATCH(E106,スコア表['#],0),MATCH(C95,スコア表[#Headers],0)),"")</f>
        <v/>
      </c>
    </row>
    <row r="107" spans="2:8">
      <c r="B107" t="s">
        <v>2069</v>
      </c>
      <c r="E107" s="11"/>
      <c r="F107" s="13" t="str">
        <f>IFERROR(INDEX(都市マスタ[],MATCH(E107,都市マスタ['#],0),MATCH(F95,都市マスタ[#Headers],0)),"")</f>
        <v/>
      </c>
      <c r="G107" s="231" t="str">
        <f>IFERROR(INDEX(生データ表[],MATCH(E107,生データ表['#],0),MATCH(C95,生データ表[#Headers],0)),"")</f>
        <v/>
      </c>
      <c r="H107" s="236" t="str">
        <f>IFERROR(INDEX(スコア表[],MATCH(E107,スコア表['#],0),MATCH(C95,スコア表[#Headers],0)),"")</f>
        <v/>
      </c>
    </row>
    <row r="108" spans="2:8">
      <c r="E108" s="11"/>
      <c r="F108" s="13" t="str">
        <f>IFERROR(INDEX(都市マスタ[],MATCH(E108,都市マスタ['#],0),MATCH(F95,都市マスタ[#Headers],0)),"")</f>
        <v/>
      </c>
      <c r="G108" s="231" t="str">
        <f>IFERROR(INDEX(生データ表[],MATCH(E108,生データ表['#],0),MATCH(C95,生データ表[#Headers],0)),"")</f>
        <v/>
      </c>
      <c r="H108" s="236" t="str">
        <f>IFERROR(INDEX(スコア表[],MATCH(E108,スコア表['#],0),MATCH(C95,スコア表[#Headers],0)),"")</f>
        <v/>
      </c>
    </row>
    <row r="110" spans="2:8">
      <c r="B110" s="36" t="s">
        <v>208</v>
      </c>
      <c r="C110" s="37" t="s">
        <v>662</v>
      </c>
      <c r="E110" s="35" t="s">
        <v>208</v>
      </c>
      <c r="F110" s="36" t="str">
        <f>IF(JPEN!$C$2="EN",都市!$C$2,都市!$D$2)</f>
        <v>都市名</v>
      </c>
      <c r="G110" s="36" t="s">
        <v>644</v>
      </c>
      <c r="H110" s="36" t="s">
        <v>645</v>
      </c>
    </row>
    <row r="111" spans="2:8">
      <c r="B111" s="36" t="str">
        <f>IF(JPEN!$C$2="EN",指標!$I$2,指標!$H$2)</f>
        <v>指標</v>
      </c>
      <c r="C111" s="13" t="str">
        <f ca="1">INDEX(INDIRECT("指標マスタ["&amp;B111&amp;"]"),MATCH(C110,指標マスタ['#],0))</f>
        <v>経済自由度</v>
      </c>
      <c r="E111" s="11">
        <v>3</v>
      </c>
      <c r="F111" s="13" t="str">
        <f>IFERROR(INDEX(都市マスタ[],MATCH(E111,都市マスタ['#],0),MATCH(F110,都市マスタ[#Headers],0)),"")</f>
        <v>ロンドン</v>
      </c>
      <c r="G111" s="5">
        <f>IFERROR(INDEX(生データ表[],MATCH(E111,生データ表['#],0),MATCH(C110,生データ表[#Headers],0)),"")</f>
        <v>69.941666666666606</v>
      </c>
      <c r="H111" s="236">
        <f>IFERROR(INDEX(スコア表[],MATCH(E111,スコア表['#],0),MATCH(C110,スコア表[#Headers],0)),"")</f>
        <v>60.743511807300003</v>
      </c>
    </row>
    <row r="112" spans="2:8">
      <c r="B112" s="36" t="str">
        <f>IF(JPEN!$C$2="EN",指標!$L$2,指標!$K$2)</f>
        <v>単位</v>
      </c>
      <c r="C112" s="13" t="str">
        <f>INDEX(指標マスタ[],MATCH(C110,指標マスタ['#],0),MATCH(B112,指標マスタ[#Headers],0))</f>
        <v>pt</v>
      </c>
      <c r="E112" s="11">
        <v>38</v>
      </c>
      <c r="F112" s="13" t="str">
        <f>IFERROR(INDEX(都市マスタ[],MATCH(E112,都市マスタ['#],0),MATCH(F110,都市マスタ[#Headers],0)),"")</f>
        <v>ニューヨーク</v>
      </c>
      <c r="G112" s="5">
        <f>IFERROR(INDEX(生データ表[],MATCH(E112,生データ表['#],0),MATCH(C110,生データ表[#Headers],0)),"")</f>
        <v>70.616666666666603</v>
      </c>
      <c r="H112" s="236">
        <f>IFERROR(INDEX(スコア表[],MATCH(E112,スコア表['#],0),MATCH(C110,スコア表[#Headers],0)),"")</f>
        <v>62.637362637400003</v>
      </c>
    </row>
    <row r="113" spans="2:8">
      <c r="B113" s="36" t="s">
        <v>646</v>
      </c>
      <c r="C113" s="13" t="str">
        <f>INDEX(生データ表2[],MATCH(B113,生データ表2[maxmin],0),MATCH(C110,生データ表2[#Headers],0))</f>
        <v>プラス</v>
      </c>
      <c r="E113" s="11">
        <v>29</v>
      </c>
      <c r="F113" s="13" t="str">
        <f>IFERROR(INDEX(都市マスタ[],MATCH(E113,都市マスタ['#],0),MATCH(F110,都市マスタ[#Headers],0)),"")</f>
        <v>東京</v>
      </c>
      <c r="G113" s="5">
        <f>IFERROR(INDEX(生データ表[],MATCH(E113,生データ表['#],0),MATCH(C110,生データ表[#Headers],0)),"")</f>
        <v>69.2916666666666</v>
      </c>
      <c r="H113" s="236">
        <f>IFERROR(INDEX(スコア表[],MATCH(E113,スコア表['#],0),MATCH(C110,スコア表[#Headers],0)),"")</f>
        <v>58.9198036007</v>
      </c>
    </row>
    <row r="114" spans="2:8">
      <c r="E114" s="11">
        <v>4</v>
      </c>
      <c r="F114" s="13" t="str">
        <f>IFERROR(INDEX(都市マスタ[],MATCH(E114,都市マスタ['#],0),MATCH(F110,都市マスタ[#Headers],0)),"")</f>
        <v>パリ</v>
      </c>
      <c r="G114" s="5">
        <f>IFERROR(INDEX(生データ表[],MATCH(E114,生データ表['#],0),MATCH(C110,生データ表[#Headers],0)),"")</f>
        <v>63.6</v>
      </c>
      <c r="H114" s="236">
        <f>IFERROR(INDEX(スコア表[],MATCH(E114,スコア表['#],0),MATCH(C110,スコア表[#Headers],0)),"")</f>
        <v>42.950666354900001</v>
      </c>
    </row>
    <row r="115" spans="2:8">
      <c r="B115" s="240" t="s">
        <v>2067</v>
      </c>
      <c r="E115" s="11">
        <v>21</v>
      </c>
      <c r="F115" s="13" t="str">
        <f>IFERROR(INDEX(都市マスタ[],MATCH(E115,都市マスタ['#],0),MATCH(F110,都市マスタ[#Headers],0)),"")</f>
        <v>シンガポール</v>
      </c>
      <c r="G115" s="5">
        <f>IFERROR(INDEX(生データ表[],MATCH(E115,生データ表['#],0),MATCH(C110,生データ表[#Headers],0)),"")</f>
        <v>83.933333333333294</v>
      </c>
      <c r="H115" s="236">
        <f>IFERROR(INDEX(スコア表[],MATCH(E115,スコア表['#],0),MATCH(C110,スコア表[#Headers],0)),"")</f>
        <v>100</v>
      </c>
    </row>
    <row r="116" spans="2:8">
      <c r="E116" s="11">
        <v>26</v>
      </c>
      <c r="F116" s="13" t="str">
        <f>IFERROR(INDEX(都市マスタ[],MATCH(E116,都市マスタ['#],0),MATCH(F110,都市マスタ[#Headers],0)),"")</f>
        <v>ソウル</v>
      </c>
      <c r="G116" s="5">
        <f>IFERROR(INDEX(生データ表[],MATCH(E116,生データ表['#],0),MATCH(C110,生データ表[#Headers],0)),"")</f>
        <v>73.733333333333306</v>
      </c>
      <c r="H116" s="236">
        <f>IFERROR(INDEX(スコア表[],MATCH(E116,スコア表['#],0),MATCH(C110,スコア表[#Headers],0)),"")</f>
        <v>71.381809679699998</v>
      </c>
    </row>
    <row r="117" spans="2:8">
      <c r="E117" s="11">
        <v>22</v>
      </c>
      <c r="F117" s="13" t="str">
        <f>IFERROR(INDEX(都市マスタ[],MATCH(E117,都市マスタ['#],0),MATCH(F110,都市マスタ[#Headers],0)),"")</f>
        <v>香港</v>
      </c>
      <c r="G117" s="5">
        <f>IFERROR(INDEX(生データ表[],MATCH(E117,生データ表['#],0),MATCH(C110,生データ表[#Headers],0)),"")</f>
        <v>48.2916666666666</v>
      </c>
      <c r="H117" s="236">
        <f>IFERROR(INDEX(スコア表[],MATCH(E117,スコア表['#],0),MATCH(C110,スコア表[#Headers],0)),"")</f>
        <v>0</v>
      </c>
    </row>
    <row r="118" spans="2:8">
      <c r="E118" s="11">
        <v>23</v>
      </c>
      <c r="F118" s="13" t="str">
        <f>IFERROR(INDEX(都市マスタ[],MATCH(E118,都市マスタ['#],0),MATCH(F110,都市マスタ[#Headers],0)),"")</f>
        <v>北京</v>
      </c>
      <c r="G118" s="5">
        <f>IFERROR(INDEX(生データ表[],MATCH(E118,生データ表['#],0),MATCH(C110,生データ表[#Headers],0)),"")</f>
        <v>48.2916666666666</v>
      </c>
      <c r="H118" s="236">
        <f>IFERROR(INDEX(スコア表[],MATCH(E118,スコア表['#],0),MATCH(C110,スコア表[#Headers],0)),"")</f>
        <v>0</v>
      </c>
    </row>
    <row r="119" spans="2:8">
      <c r="B119" s="240" t="s">
        <v>2068</v>
      </c>
      <c r="E119" s="11">
        <v>24</v>
      </c>
      <c r="F119" s="13" t="str">
        <f>IFERROR(INDEX(都市マスタ[],MATCH(E119,都市マスタ['#],0),MATCH(F110,都市マスタ[#Headers],0)),"")</f>
        <v>上海</v>
      </c>
      <c r="G119" s="5">
        <f>IFERROR(INDEX(生データ表[],MATCH(E119,生データ表['#],0),MATCH(C110,生データ表[#Headers],0)),"")</f>
        <v>48.2916666666666</v>
      </c>
      <c r="H119" s="236">
        <f>IFERROR(INDEX(スコア表[],MATCH(E119,スコア表['#],0),MATCH(C110,スコア表[#Headers],0)),"")</f>
        <v>0</v>
      </c>
    </row>
    <row r="120" spans="2:8">
      <c r="B120" t="s">
        <v>2070</v>
      </c>
      <c r="E120" s="11"/>
      <c r="F120" s="13" t="str">
        <f>IFERROR(INDEX(都市マスタ[],MATCH(E120,都市マスタ['#],0),MATCH(F110,都市マスタ[#Headers],0)),"")</f>
        <v/>
      </c>
      <c r="G120" s="231" t="str">
        <f>IFERROR(INDEX(生データ表[],MATCH(E120,生データ表['#],0),MATCH(C110,生データ表[#Headers],0)),"")</f>
        <v/>
      </c>
      <c r="H120" s="236" t="str">
        <f>IFERROR(INDEX(スコア表[],MATCH(E120,スコア表['#],0),MATCH(C110,スコア表[#Headers],0)),"")</f>
        <v/>
      </c>
    </row>
    <row r="121" spans="2:8">
      <c r="B121" t="s">
        <v>2071</v>
      </c>
      <c r="E121" s="11"/>
      <c r="F121" s="13" t="str">
        <f>IFERROR(INDEX(都市マスタ[],MATCH(E121,都市マスタ['#],0),MATCH(F110,都市マスタ[#Headers],0)),"")</f>
        <v/>
      </c>
      <c r="G121" s="231" t="str">
        <f>IFERROR(INDEX(生データ表[],MATCH(E121,生データ表['#],0),MATCH(C110,生データ表[#Headers],0)),"")</f>
        <v/>
      </c>
      <c r="H121" s="236" t="str">
        <f>IFERROR(INDEX(スコア表[],MATCH(E121,スコア表['#],0),MATCH(C110,スコア表[#Headers],0)),"")</f>
        <v/>
      </c>
    </row>
    <row r="122" spans="2:8">
      <c r="B122" t="s">
        <v>2069</v>
      </c>
      <c r="E122" s="11"/>
      <c r="F122" s="13" t="str">
        <f>IFERROR(INDEX(都市マスタ[],MATCH(E122,都市マスタ['#],0),MATCH(F110,都市マスタ[#Headers],0)),"")</f>
        <v/>
      </c>
      <c r="G122" s="231" t="str">
        <f>IFERROR(INDEX(生データ表[],MATCH(E122,生データ表['#],0),MATCH(C110,生データ表[#Headers],0)),"")</f>
        <v/>
      </c>
      <c r="H122" s="236" t="str">
        <f>IFERROR(INDEX(スコア表[],MATCH(E122,スコア表['#],0),MATCH(C110,スコア表[#Headers],0)),"")</f>
        <v/>
      </c>
    </row>
    <row r="123" spans="2:8">
      <c r="E123" s="11"/>
      <c r="F123" s="13" t="str">
        <f>IFERROR(INDEX(都市マスタ[],MATCH(E123,都市マスタ['#],0),MATCH(F110,都市マスタ[#Headers],0)),"")</f>
        <v/>
      </c>
      <c r="G123" s="231" t="str">
        <f>IFERROR(INDEX(生データ表[],MATCH(E123,生データ表['#],0),MATCH(C110,生データ表[#Headers],0)),"")</f>
        <v/>
      </c>
      <c r="H123" s="236" t="str">
        <f>IFERROR(INDEX(スコア表[],MATCH(E123,スコア表['#],0),MATCH(C110,スコア表[#Headers],0)),"")</f>
        <v/>
      </c>
    </row>
    <row r="125" spans="2:8">
      <c r="B125" s="36" t="s">
        <v>208</v>
      </c>
      <c r="C125" s="37" t="s">
        <v>663</v>
      </c>
      <c r="E125" s="35" t="s">
        <v>208</v>
      </c>
      <c r="F125" s="36" t="str">
        <f>IF(JPEN!$C$2="EN",都市!$C$2,都市!$D$2)</f>
        <v>都市名</v>
      </c>
      <c r="G125" s="36" t="s">
        <v>644</v>
      </c>
      <c r="H125" s="36" t="s">
        <v>645</v>
      </c>
    </row>
    <row r="126" spans="2:8">
      <c r="B126" s="36" t="str">
        <f>IF(JPEN!$C$2="EN",指標!$I$2,指標!$H$2)</f>
        <v>指標</v>
      </c>
      <c r="C126" s="13" t="str">
        <f ca="1">INDEX(INDIRECT("指標マスタ["&amp;B126&amp;"]"),MATCH(C125,指標マスタ['#],0))</f>
        <v>上場株式時価総額</v>
      </c>
      <c r="E126" s="11">
        <v>3</v>
      </c>
      <c r="F126" s="13" t="str">
        <f>IFERROR(INDEX(都市マスタ[],MATCH(E126,都市マスタ['#],0),MATCH(F125,都市マスタ[#Headers],0)),"")</f>
        <v>ロンドン</v>
      </c>
      <c r="G126" s="5">
        <f>IFERROR(INDEX(生データ表[],MATCH(E126,生データ表['#],0),MATCH(C125,生データ表[#Headers],0)),"")</f>
        <v>3095983.43</v>
      </c>
      <c r="H126" s="236">
        <f>IFERROR(INDEX(スコア表[],MATCH(E126,スコア表['#],0),MATCH(C125,スコア表[#Headers],0)),"")</f>
        <v>7.6827260459</v>
      </c>
    </row>
    <row r="127" spans="2:8">
      <c r="B127" s="36" t="str">
        <f>IF(JPEN!$C$2="EN",指標!$L$2,指標!$K$2)</f>
        <v>単位</v>
      </c>
      <c r="C127" s="13" t="str">
        <f>INDEX(指標マスタ[],MATCH(C125,指標マスタ['#],0),MATCH(B127,指標マスタ[#Headers],0))</f>
        <v>百万ドル</v>
      </c>
      <c r="E127" s="11">
        <v>38</v>
      </c>
      <c r="F127" s="13" t="str">
        <f>IFERROR(INDEX(都市マスタ[],MATCH(E127,都市マスタ['#],0),MATCH(F125,都市マスタ[#Headers],0)),"")</f>
        <v>ニューヨーク</v>
      </c>
      <c r="G127" s="5">
        <f>IFERROR(INDEX(生データ表[],MATCH(E127,生データ表['#],0),MATCH(C125,生データ表[#Headers],0)),"")</f>
        <v>40297980.32</v>
      </c>
      <c r="H127" s="236">
        <f>IFERROR(INDEX(スコア表[],MATCH(E127,スコア表['#],0),MATCH(C125,スコア表[#Headers],0)),"")</f>
        <v>100</v>
      </c>
    </row>
    <row r="128" spans="2:8">
      <c r="B128" s="36" t="s">
        <v>646</v>
      </c>
      <c r="C128" s="13" t="str">
        <f>INDEX(生データ表2[],MATCH(B128,生データ表2[maxmin],0),MATCH(C125,生データ表2[#Headers],0))</f>
        <v>プラス</v>
      </c>
      <c r="E128" s="11">
        <v>29</v>
      </c>
      <c r="F128" s="13" t="str">
        <f>IFERROR(INDEX(都市マスタ[],MATCH(E128,都市マスタ['#],0),MATCH(F125,都市マスタ[#Headers],0)),"")</f>
        <v>東京</v>
      </c>
      <c r="G128" s="5">
        <f>IFERROR(INDEX(生データ表[],MATCH(E128,生データ表['#],0),MATCH(C125,生データ表[#Headers],0)),"")</f>
        <v>5380475.46</v>
      </c>
      <c r="H128" s="236">
        <f>IFERROR(INDEX(スコア表[],MATCH(E128,スコア表['#],0),MATCH(C125,スコア表[#Headers],0)),"")</f>
        <v>13.3517248688</v>
      </c>
    </row>
    <row r="129" spans="2:8">
      <c r="E129" s="11">
        <v>4</v>
      </c>
      <c r="F129" s="13" t="str">
        <f>IFERROR(INDEX(都市マスタ[],MATCH(E129,都市マスタ['#],0),MATCH(F125,都市マスタ[#Headers],0)),"")</f>
        <v>パリ</v>
      </c>
      <c r="G129" s="5">
        <f>IFERROR(INDEX(生データ表[],MATCH(E129,生データ表['#],0),MATCH(C125,生データ表[#Headers],0)),"")</f>
        <v>2967238.1958727399</v>
      </c>
      <c r="H129" s="236">
        <f>IFERROR(INDEX(スコア表[],MATCH(E129,スコア表['#],0),MATCH(C125,スコア表[#Headers],0)),"")</f>
        <v>7.3632429524000003</v>
      </c>
    </row>
    <row r="130" spans="2:8">
      <c r="B130" s="240" t="s">
        <v>2067</v>
      </c>
      <c r="E130" s="11">
        <v>21</v>
      </c>
      <c r="F130" s="13" t="str">
        <f>IFERROR(INDEX(都市マスタ[],MATCH(E130,都市マスタ['#],0),MATCH(F125,都市マスタ[#Headers],0)),"")</f>
        <v>シンガポール</v>
      </c>
      <c r="G130" s="5">
        <f>IFERROR(INDEX(生データ表[],MATCH(E130,生データ表['#],0),MATCH(C125,生データ表[#Headers],0)),"")</f>
        <v>619361.68000000005</v>
      </c>
      <c r="H130" s="236">
        <f>IFERROR(INDEX(スコア表[],MATCH(E130,スコア表['#],0),MATCH(C125,スコア表[#Headers],0)),"")</f>
        <v>1.5369546440999999</v>
      </c>
    </row>
    <row r="131" spans="2:8">
      <c r="E131" s="11">
        <v>26</v>
      </c>
      <c r="F131" s="13" t="str">
        <f>IFERROR(INDEX(都市マスタ[],MATCH(E131,都市マスタ['#],0),MATCH(F125,都市マスタ[#Headers],0)),"")</f>
        <v>ソウル</v>
      </c>
      <c r="G131" s="5">
        <f>IFERROR(INDEX(生データ表[],MATCH(E131,生データ表['#],0),MATCH(C125,生データ表[#Headers],0)),"")</f>
        <v>1644507.58</v>
      </c>
      <c r="H131" s="236">
        <f>IFERROR(INDEX(スコア表[],MATCH(E131,スコア表['#],0),MATCH(C125,スコア表[#Headers],0)),"")</f>
        <v>4.0808684876000001</v>
      </c>
    </row>
    <row r="132" spans="2:8">
      <c r="E132" s="11">
        <v>22</v>
      </c>
      <c r="F132" s="13" t="str">
        <f>IFERROR(INDEX(都市マスタ[],MATCH(E132,都市マスタ['#],0),MATCH(F125,都市マスタ[#Headers],0)),"")</f>
        <v>香港</v>
      </c>
      <c r="G132" s="5">
        <f>IFERROR(INDEX(生データ表[],MATCH(E132,生データ表['#],0),MATCH(C125,生データ表[#Headers],0)),"")</f>
        <v>4566809.0599999996</v>
      </c>
      <c r="H132" s="236">
        <f>IFERROR(INDEX(スコア表[],MATCH(E132,スコア表['#],0),MATCH(C125,スコア表[#Headers],0)),"")</f>
        <v>11.332600353</v>
      </c>
    </row>
    <row r="133" spans="2:8">
      <c r="E133" s="11">
        <v>23</v>
      </c>
      <c r="F133" s="13" t="str">
        <f>IFERROR(INDEX(都市マスタ[],MATCH(E133,都市マスタ['#],0),MATCH(F125,都市マスタ[#Headers],0)),"")</f>
        <v>北京</v>
      </c>
      <c r="G133" s="5">
        <f>IFERROR(INDEX(生データ表[],MATCH(E133,生データ表['#],0),MATCH(C125,生データ表[#Headers],0)),"")</f>
        <v>44003.11</v>
      </c>
      <c r="H133" s="236">
        <f>IFERROR(INDEX(スコア表[],MATCH(E133,スコア表['#],0),MATCH(C125,スコア表[#Headers],0)),"")</f>
        <v>0.10919433100000001</v>
      </c>
    </row>
    <row r="134" spans="2:8">
      <c r="B134" s="240" t="s">
        <v>2068</v>
      </c>
      <c r="E134" s="11">
        <v>24</v>
      </c>
      <c r="F134" s="13" t="str">
        <f>IFERROR(INDEX(都市マスタ[],MATCH(E134,都市マスタ['#],0),MATCH(F125,都市マスタ[#Headers],0)),"")</f>
        <v>上海</v>
      </c>
      <c r="G134" s="5">
        <f>IFERROR(INDEX(生データ表[],MATCH(E134,生データ表['#],0),MATCH(C125,生データ表[#Headers],0)),"")</f>
        <v>6724470.8899999997</v>
      </c>
      <c r="H134" s="236">
        <f>IFERROR(INDEX(スコア表[],MATCH(E134,スコア表['#],0),MATCH(C125,スコア表[#Headers],0)),"")</f>
        <v>16.686868266400001</v>
      </c>
    </row>
    <row r="135" spans="2:8">
      <c r="B135" t="s">
        <v>2070</v>
      </c>
      <c r="E135" s="11"/>
      <c r="F135" s="13" t="str">
        <f>IFERROR(INDEX(都市マスタ[],MATCH(E135,都市マスタ['#],0),MATCH(F125,都市マスタ[#Headers],0)),"")</f>
        <v/>
      </c>
      <c r="G135" s="231" t="str">
        <f>IFERROR(INDEX(生データ表[],MATCH(E135,生データ表['#],0),MATCH(C125,生データ表[#Headers],0)),"")</f>
        <v/>
      </c>
      <c r="H135" s="236" t="str">
        <f>IFERROR(INDEX(スコア表[],MATCH(E135,スコア表['#],0),MATCH(C125,スコア表[#Headers],0)),"")</f>
        <v/>
      </c>
    </row>
    <row r="136" spans="2:8">
      <c r="B136" t="s">
        <v>2071</v>
      </c>
      <c r="E136" s="11"/>
      <c r="F136" s="13" t="str">
        <f>IFERROR(INDEX(都市マスタ[],MATCH(E136,都市マスタ['#],0),MATCH(F125,都市マスタ[#Headers],0)),"")</f>
        <v/>
      </c>
      <c r="G136" s="231" t="str">
        <f>IFERROR(INDEX(生データ表[],MATCH(E136,生データ表['#],0),MATCH(C125,生データ表[#Headers],0)),"")</f>
        <v/>
      </c>
      <c r="H136" s="236" t="str">
        <f>IFERROR(INDEX(スコア表[],MATCH(E136,スコア表['#],0),MATCH(C125,スコア表[#Headers],0)),"")</f>
        <v/>
      </c>
    </row>
    <row r="137" spans="2:8">
      <c r="B137" t="s">
        <v>2069</v>
      </c>
      <c r="E137" s="11"/>
      <c r="F137" s="13" t="str">
        <f>IFERROR(INDEX(都市マスタ[],MATCH(E137,都市マスタ['#],0),MATCH(F125,都市マスタ[#Headers],0)),"")</f>
        <v/>
      </c>
      <c r="G137" s="231" t="str">
        <f>IFERROR(INDEX(生データ表[],MATCH(E137,生データ表['#],0),MATCH(C125,生データ表[#Headers],0)),"")</f>
        <v/>
      </c>
      <c r="H137" s="236" t="str">
        <f>IFERROR(INDEX(スコア表[],MATCH(E137,スコア表['#],0),MATCH(C125,スコア表[#Headers],0)),"")</f>
        <v/>
      </c>
    </row>
    <row r="138" spans="2:8">
      <c r="E138" s="11"/>
      <c r="F138" s="13" t="str">
        <f>IFERROR(INDEX(都市マスタ[],MATCH(E138,都市マスタ['#],0),MATCH(F125,都市マスタ[#Headers],0)),"")</f>
        <v/>
      </c>
      <c r="G138" s="231" t="str">
        <f>IFERROR(INDEX(生データ表[],MATCH(E138,生データ表['#],0),MATCH(C125,生データ表[#Headers],0)),"")</f>
        <v/>
      </c>
      <c r="H138" s="236" t="str">
        <f>IFERROR(INDEX(スコア表[],MATCH(E138,スコア表['#],0),MATCH(C125,スコア表[#Headers],0)),"")</f>
        <v/>
      </c>
    </row>
    <row r="140" spans="2:8">
      <c r="B140" s="36" t="s">
        <v>208</v>
      </c>
      <c r="C140" s="37" t="s">
        <v>664</v>
      </c>
      <c r="E140" s="35" t="s">
        <v>208</v>
      </c>
      <c r="F140" s="36" t="str">
        <f>IF(JPEN!$C$2="EN",都市!$C$2,都市!$D$2)</f>
        <v>都市名</v>
      </c>
      <c r="G140" s="36" t="s">
        <v>644</v>
      </c>
      <c r="H140" s="36" t="s">
        <v>645</v>
      </c>
    </row>
    <row r="141" spans="2:8">
      <c r="B141" s="36" t="str">
        <f>IF(JPEN!$C$2="EN",指標!$I$2,指標!$H$2)</f>
        <v>指標</v>
      </c>
      <c r="C141" s="13" t="str">
        <f ca="1">INDEX(INDIRECT("指標マスタ["&amp;B141&amp;"]"),MATCH(C140,指標マスタ['#],0))</f>
        <v>世界トップ500企業</v>
      </c>
      <c r="E141" s="11">
        <v>3</v>
      </c>
      <c r="F141" s="13" t="str">
        <f>IFERROR(INDEX(都市マスタ[],MATCH(E141,都市マスタ['#],0),MATCH(F140,都市マスタ[#Headers],0)),"")</f>
        <v>ロンドン</v>
      </c>
      <c r="G141" s="5">
        <f>IFERROR(INDEX(生データ表[],MATCH(E141,生データ表['#],0),MATCH(C140,生データ表[#Headers],0)),"")</f>
        <v>1036817.3</v>
      </c>
      <c r="H141" s="236">
        <f>IFERROR(INDEX(スコア表[],MATCH(E141,スコア表['#],0),MATCH(C140,スコア表[#Headers],0)),"")</f>
        <v>19.718486782799999</v>
      </c>
    </row>
    <row r="142" spans="2:8">
      <c r="B142" s="36" t="str">
        <f>IF(JPEN!$C$2="EN",指標!$L$2,指標!$K$2)</f>
        <v>単位</v>
      </c>
      <c r="C142" s="13" t="str">
        <f>INDEX(指標マスタ[],MATCH(C140,指標マスタ['#],0),MATCH(B142,指標マスタ[#Headers],0))</f>
        <v>百万ドル</v>
      </c>
      <c r="E142" s="11">
        <v>38</v>
      </c>
      <c r="F142" s="13" t="str">
        <f>IFERROR(INDEX(都市マスタ[],MATCH(E142,都市マスタ['#],0),MATCH(F140,都市マスタ[#Headers],0)),"")</f>
        <v>ニューヨーク</v>
      </c>
      <c r="G142" s="5">
        <f>IFERROR(INDEX(生データ表[],MATCH(E142,生データ表['#],0),MATCH(C140,生データ表[#Headers],0)),"")</f>
        <v>1183274.8</v>
      </c>
      <c r="H142" s="236">
        <f>IFERROR(INDEX(スコア表[],MATCH(E142,スコア表['#],0),MATCH(C140,スコア表[#Headers],0)),"")</f>
        <v>22.503857240999999</v>
      </c>
    </row>
    <row r="143" spans="2:8">
      <c r="B143" s="36" t="s">
        <v>646</v>
      </c>
      <c r="C143" s="13" t="str">
        <f>INDEX(生データ表2[],MATCH(B143,生データ表2[maxmin],0),MATCH(C140,生データ表2[#Headers],0))</f>
        <v>プラス</v>
      </c>
      <c r="E143" s="11">
        <v>29</v>
      </c>
      <c r="F143" s="13" t="str">
        <f>IFERROR(INDEX(都市マスタ[],MATCH(E143,都市マスタ['#],0),MATCH(F140,都市マスタ[#Headers],0)),"")</f>
        <v>東京</v>
      </c>
      <c r="G143" s="5">
        <f>IFERROR(INDEX(生データ表[],MATCH(E143,生データ表['#],0),MATCH(C140,生データ表[#Headers],0)),"")</f>
        <v>1862563</v>
      </c>
      <c r="H143" s="236">
        <f>IFERROR(INDEX(スコア表[],MATCH(E143,スコア表['#],0),MATCH(C140,スコア表[#Headers],0)),"")</f>
        <v>35.4227537461</v>
      </c>
    </row>
    <row r="144" spans="2:8">
      <c r="E144" s="11">
        <v>4</v>
      </c>
      <c r="F144" s="13" t="str">
        <f>IFERROR(INDEX(都市マスタ[],MATCH(E144,都市マスタ['#],0),MATCH(F140,都市マスタ[#Headers],0)),"")</f>
        <v>パリ</v>
      </c>
      <c r="G144" s="5">
        <f>IFERROR(INDEX(生データ表[],MATCH(E144,生データ表['#],0),MATCH(C140,生データ表[#Headers],0)),"")</f>
        <v>1672092.2</v>
      </c>
      <c r="H144" s="236">
        <f>IFERROR(INDEX(スコア表[],MATCH(E144,スコア表['#],0),MATCH(C140,スコア表[#Headers],0)),"")</f>
        <v>31.8003258098</v>
      </c>
    </row>
    <row r="145" spans="2:8">
      <c r="B145" s="240" t="s">
        <v>2067</v>
      </c>
      <c r="E145" s="11">
        <v>21</v>
      </c>
      <c r="F145" s="13" t="str">
        <f>IFERROR(INDEX(都市マスタ[],MATCH(E145,都市マスタ['#],0),MATCH(F140,都市マスタ[#Headers],0)),"")</f>
        <v>シンガポール</v>
      </c>
      <c r="G145" s="5">
        <f>IFERROR(INDEX(生データ表[],MATCH(E145,生データ表['#],0),MATCH(C140,生データ表[#Headers],0)),"")</f>
        <v>431710.9</v>
      </c>
      <c r="H145" s="236">
        <f>IFERROR(INDEX(スコア表[],MATCH(E145,スコア表['#],0),MATCH(C140,スコア表[#Headers],0)),"")</f>
        <v>8.2104008832000002</v>
      </c>
    </row>
    <row r="146" spans="2:8">
      <c r="E146" s="11">
        <v>26</v>
      </c>
      <c r="F146" s="13" t="str">
        <f>IFERROR(INDEX(都市マスタ[],MATCH(E146,都市マスタ['#],0),MATCH(F140,都市マスタ[#Headers],0)),"")</f>
        <v>ソウル</v>
      </c>
      <c r="G146" s="5">
        <f>IFERROR(INDEX(生データ表[],MATCH(E146,生データ表['#],0),MATCH(C140,生データ表[#Headers],0)),"")</f>
        <v>728271.39999999898</v>
      </c>
      <c r="H146" s="236">
        <f>IFERROR(INDEX(スコア表[],MATCH(E146,スコア表['#],0),MATCH(C140,スコア表[#Headers],0)),"")</f>
        <v>13.850472957199999</v>
      </c>
    </row>
    <row r="147" spans="2:8">
      <c r="E147" s="11">
        <v>22</v>
      </c>
      <c r="F147" s="13" t="str">
        <f>IFERROR(INDEX(都市マスタ[],MATCH(E147,都市マスタ['#],0),MATCH(F140,都市マスタ[#Headers],0)),"")</f>
        <v>香港</v>
      </c>
      <c r="G147" s="5">
        <f>IFERROR(INDEX(生データ表[],MATCH(E147,生データ表['#],0),MATCH(C140,生データ表[#Headers],0)),"")</f>
        <v>366825.2</v>
      </c>
      <c r="H147" s="236">
        <f>IFERROR(INDEX(スコア表[],MATCH(E147,スコア表['#],0),MATCH(C140,スコア表[#Headers],0)),"")</f>
        <v>6.9763861558000002</v>
      </c>
    </row>
    <row r="148" spans="2:8">
      <c r="E148" s="11">
        <v>23</v>
      </c>
      <c r="F148" s="13" t="str">
        <f>IFERROR(INDEX(都市マスタ[],MATCH(E148,都市マスタ['#],0),MATCH(F140,都市マスタ[#Headers],0)),"")</f>
        <v>北京</v>
      </c>
      <c r="G148" s="5">
        <f>IFERROR(INDEX(生データ表[],MATCH(E148,生データ表['#],0),MATCH(C140,生データ表[#Headers],0)),"")</f>
        <v>5258097.7</v>
      </c>
      <c r="H148" s="236">
        <f>IFERROR(INDEX(スコア表[],MATCH(E148,スコア表['#],0),MATCH(C140,スコア表[#Headers],0)),"")</f>
        <v>100</v>
      </c>
    </row>
    <row r="149" spans="2:8">
      <c r="B149" s="240" t="s">
        <v>2068</v>
      </c>
      <c r="E149" s="11">
        <v>24</v>
      </c>
      <c r="F149" s="13" t="str">
        <f>IFERROR(INDEX(都市マスタ[],MATCH(E149,都市マスタ['#],0),MATCH(F140,都市マスタ[#Headers],0)),"")</f>
        <v>上海</v>
      </c>
      <c r="G149" s="5">
        <f>IFERROR(INDEX(生データ表[],MATCH(E149,生データ表['#],0),MATCH(C140,生データ表[#Headers],0)),"")</f>
        <v>481887.6</v>
      </c>
      <c r="H149" s="236">
        <f>IFERROR(INDEX(スコア表[],MATCH(E149,スコア表['#],0),MATCH(C140,スコア表[#Headers],0)),"")</f>
        <v>9.1646756583000002</v>
      </c>
    </row>
    <row r="150" spans="2:8">
      <c r="B150" t="s">
        <v>2070</v>
      </c>
      <c r="E150" s="11"/>
      <c r="F150" s="13" t="str">
        <f>IFERROR(INDEX(都市マスタ[],MATCH(E150,都市マスタ['#],0),MATCH(F140,都市マスタ[#Headers],0)),"")</f>
        <v/>
      </c>
      <c r="G150" s="231" t="str">
        <f>IFERROR(INDEX(生データ表[],MATCH(E150,生データ表['#],0),MATCH(C140,生データ表[#Headers],0)),"")</f>
        <v/>
      </c>
      <c r="H150" s="236" t="str">
        <f>IFERROR(INDEX(スコア表[],MATCH(E150,スコア表['#],0),MATCH(C140,スコア表[#Headers],0)),"")</f>
        <v/>
      </c>
    </row>
    <row r="151" spans="2:8">
      <c r="B151" t="s">
        <v>2071</v>
      </c>
      <c r="E151" s="11"/>
      <c r="F151" s="13" t="str">
        <f>IFERROR(INDEX(都市マスタ[],MATCH(E151,都市マスタ['#],0),MATCH(F140,都市マスタ[#Headers],0)),"")</f>
        <v/>
      </c>
      <c r="G151" s="231" t="str">
        <f>IFERROR(INDEX(生データ表[],MATCH(E151,生データ表['#],0),MATCH(C140,生データ表[#Headers],0)),"")</f>
        <v/>
      </c>
      <c r="H151" s="236" t="str">
        <f>IFERROR(INDEX(スコア表[],MATCH(E151,スコア表['#],0),MATCH(C140,スコア表[#Headers],0)),"")</f>
        <v/>
      </c>
    </row>
    <row r="152" spans="2:8">
      <c r="B152" t="s">
        <v>2069</v>
      </c>
      <c r="E152" s="11"/>
      <c r="F152" s="13" t="str">
        <f>IFERROR(INDEX(都市マスタ[],MATCH(E152,都市マスタ['#],0),MATCH(F140,都市マスタ[#Headers],0)),"")</f>
        <v/>
      </c>
      <c r="G152" s="231" t="str">
        <f>IFERROR(INDEX(生データ表[],MATCH(E152,生データ表['#],0),MATCH(C140,生データ表[#Headers],0)),"")</f>
        <v/>
      </c>
      <c r="H152" s="236" t="str">
        <f>IFERROR(INDEX(スコア表[],MATCH(E152,スコア表['#],0),MATCH(C140,スコア表[#Headers],0)),"")</f>
        <v/>
      </c>
    </row>
    <row r="153" spans="2:8">
      <c r="E153" s="11"/>
      <c r="F153" s="13" t="str">
        <f>IFERROR(INDEX(都市マスタ[],MATCH(E153,都市マスタ['#],0),MATCH(F140,都市マスタ[#Headers],0)),"")</f>
        <v/>
      </c>
      <c r="G153" s="231" t="str">
        <f>IFERROR(INDEX(生データ表[],MATCH(E153,生データ表['#],0),MATCH(C140,生データ表[#Headers],0)),"")</f>
        <v/>
      </c>
      <c r="H153" s="236" t="str">
        <f>IFERROR(INDEX(スコア表[],MATCH(E153,スコア表['#],0),MATCH(C140,スコア表[#Headers],0)),"")</f>
        <v/>
      </c>
    </row>
    <row r="155" spans="2:8">
      <c r="B155" s="36" t="s">
        <v>208</v>
      </c>
      <c r="C155" s="37" t="s">
        <v>665</v>
      </c>
      <c r="E155" s="35" t="s">
        <v>208</v>
      </c>
      <c r="F155" s="36" t="str">
        <f>IF(JPEN!$C$2="EN",都市!$C$2,都市!$D$2)</f>
        <v>都市名</v>
      </c>
      <c r="G155" s="36" t="s">
        <v>644</v>
      </c>
      <c r="H155" s="36" t="s">
        <v>645</v>
      </c>
    </row>
    <row r="156" spans="2:8">
      <c r="B156" s="36" t="str">
        <f>IF(JPEN!$C$2="EN",指標!$I$2,指標!$H$2)</f>
        <v>指標</v>
      </c>
      <c r="C156" s="13" t="str">
        <f ca="1">INDEX(INDIRECT("指標マスタ["&amp;B156&amp;"]"),MATCH(C155,指標マスタ['#],0))</f>
        <v>従業者数</v>
      </c>
      <c r="E156" s="11">
        <v>3</v>
      </c>
      <c r="F156" s="13" t="str">
        <f>IFERROR(INDEX(都市マスタ[],MATCH(E156,都市マスタ['#],0),MATCH(F155,都市マスタ[#Headers],0)),"")</f>
        <v>ロンドン</v>
      </c>
      <c r="G156" s="5">
        <f>IFERROR(INDEX(生データ表[],MATCH(E156,生データ表['#],0),MATCH(C155,生データ表[#Headers],0)),"")</f>
        <v>6344000</v>
      </c>
      <c r="H156" s="236">
        <f>IFERROR(INDEX(スコア表[],MATCH(E156,スコア表['#],0),MATCH(C155,スコア表[#Headers],0)),"")</f>
        <v>45.432782136299998</v>
      </c>
    </row>
    <row r="157" spans="2:8">
      <c r="B157" s="36" t="str">
        <f>IF(JPEN!$C$2="EN",指標!$L$2,指標!$K$2)</f>
        <v>単位</v>
      </c>
      <c r="C157" s="13" t="str">
        <f>INDEX(指標マスタ[],MATCH(C155,指標マスタ['#],0),MATCH(B157,指標マスタ[#Headers],0))</f>
        <v>人</v>
      </c>
      <c r="E157" s="11">
        <v>38</v>
      </c>
      <c r="F157" s="13" t="str">
        <f>IFERROR(INDEX(都市マスタ[],MATCH(E157,都市マスタ['#],0),MATCH(F155,都市マスタ[#Headers],0)),"")</f>
        <v>ニューヨーク</v>
      </c>
      <c r="G157" s="5">
        <f>IFERROR(INDEX(生データ表[],MATCH(E157,生データ表['#],0),MATCH(C155,生データ表[#Headers],0)),"")</f>
        <v>5751282</v>
      </c>
      <c r="H157" s="236">
        <f>IFERROR(INDEX(スコア表[],MATCH(E157,スコア表['#],0),MATCH(C155,スコア表[#Headers],0)),"")</f>
        <v>41.072715779100001</v>
      </c>
    </row>
    <row r="158" spans="2:8">
      <c r="B158" s="36" t="s">
        <v>646</v>
      </c>
      <c r="C158" s="13" t="str">
        <f>INDEX(生データ表2[],MATCH(B158,生データ表2[maxmin],0),MATCH(C155,生データ表2[#Headers],0))</f>
        <v>プラス</v>
      </c>
      <c r="E158" s="11">
        <v>29</v>
      </c>
      <c r="F158" s="13" t="str">
        <f>IFERROR(INDEX(都市マスタ[],MATCH(E158,都市マスタ['#],0),MATCH(F155,都市マスタ[#Headers],0)),"")</f>
        <v>東京</v>
      </c>
      <c r="G158" s="5">
        <f>IFERROR(INDEX(生データ表[],MATCH(E158,生データ表['#],0),MATCH(C155,生データ表[#Headers],0)),"")</f>
        <v>8365553</v>
      </c>
      <c r="H158" s="236">
        <f>IFERROR(INDEX(スコア表[],MATCH(E158,スコア表['#],0),MATCH(C155,スコア表[#Headers],0)),"")</f>
        <v>60.303437700300002</v>
      </c>
    </row>
    <row r="159" spans="2:8">
      <c r="E159" s="11">
        <v>4</v>
      </c>
      <c r="F159" s="13" t="str">
        <f>IFERROR(INDEX(都市マスタ[],MATCH(E159,都市マスタ['#],0),MATCH(F155,都市マスタ[#Headers],0)),"")</f>
        <v>パリ</v>
      </c>
      <c r="G159" s="5">
        <f>IFERROR(INDEX(生データ表[],MATCH(E159,生データ表['#],0),MATCH(C155,生データ表[#Headers],0)),"")</f>
        <v>2105368</v>
      </c>
      <c r="H159" s="236">
        <f>IFERROR(INDEX(スコア表[],MATCH(E159,スコア表['#],0),MATCH(C155,スコア表[#Headers],0)),"")</f>
        <v>14.253170948899999</v>
      </c>
    </row>
    <row r="160" spans="2:8">
      <c r="B160" s="240" t="s">
        <v>2067</v>
      </c>
      <c r="E160" s="11">
        <v>21</v>
      </c>
      <c r="F160" s="13" t="str">
        <f>IFERROR(INDEX(都市マスタ[],MATCH(E160,都市マスタ['#],0),MATCH(F155,都市マスタ[#Headers],0)),"")</f>
        <v>シンガポール</v>
      </c>
      <c r="G160" s="5">
        <f>IFERROR(INDEX(生データ表[],MATCH(E160,生データ表['#],0),MATCH(C155,生データ表[#Headers],0)),"")</f>
        <v>3656200</v>
      </c>
      <c r="H160" s="236">
        <f>IFERROR(INDEX(スコア表[],MATCH(E160,スコア表['#],0),MATCH(C155,スコア表[#Headers],0)),"")</f>
        <v>25.661176828399999</v>
      </c>
    </row>
    <row r="161" spans="2:8">
      <c r="E161" s="11">
        <v>26</v>
      </c>
      <c r="F161" s="13" t="str">
        <f>IFERROR(INDEX(都市マスタ[],MATCH(E161,都市マスタ['#],0),MATCH(F155,都市マスタ[#Headers],0)),"")</f>
        <v>ソウル</v>
      </c>
      <c r="G161" s="5">
        <f>IFERROR(INDEX(生データ表[],MATCH(E161,生データ表['#],0),MATCH(C155,生データ表[#Headers],0)),"")</f>
        <v>5147000</v>
      </c>
      <c r="H161" s="236">
        <f>IFERROR(INDEX(スコア表[],MATCH(E161,スコア表['#],0),MATCH(C155,スコア表[#Headers],0)),"")</f>
        <v>36.6275839989</v>
      </c>
    </row>
    <row r="162" spans="2:8">
      <c r="E162" s="11">
        <v>22</v>
      </c>
      <c r="F162" s="13" t="str">
        <f>IFERROR(INDEX(都市マスタ[],MATCH(E162,都市マスタ['#],0),MATCH(F155,都市マスタ[#Headers],0)),"")</f>
        <v>香港</v>
      </c>
      <c r="G162" s="5">
        <f>IFERROR(INDEX(生データ表[],MATCH(E162,生データ表['#],0),MATCH(C155,生データ表[#Headers],0)),"")</f>
        <v>3654100</v>
      </c>
      <c r="H162" s="236">
        <f>IFERROR(INDEX(スコア表[],MATCH(E162,スコア表['#],0),MATCH(C155,スコア表[#Headers],0)),"")</f>
        <v>25.6457291123</v>
      </c>
    </row>
    <row r="163" spans="2:8">
      <c r="E163" s="11">
        <v>23</v>
      </c>
      <c r="F163" s="13" t="str">
        <f>IFERROR(INDEX(都市マスタ[],MATCH(E163,都市マスタ['#],0),MATCH(F155,都市マスタ[#Headers],0)),"")</f>
        <v>北京</v>
      </c>
      <c r="G163" s="5">
        <f>IFERROR(INDEX(生データ表[],MATCH(E163,生データ表['#],0),MATCH(C155,生データ表[#Headers],0)),"")</f>
        <v>11580000</v>
      </c>
      <c r="H163" s="236">
        <f>IFERROR(INDEX(スコア表[],MATCH(E163,スコア表['#],0),MATCH(C155,スコア表[#Headers],0)),"")</f>
        <v>83.949087438800007</v>
      </c>
    </row>
    <row r="164" spans="2:8">
      <c r="B164" s="240" t="s">
        <v>2068</v>
      </c>
      <c r="E164" s="11">
        <v>24</v>
      </c>
      <c r="F164" s="13" t="str">
        <f>IFERROR(INDEX(都市マスタ[],MATCH(E164,都市マスタ['#],0),MATCH(F155,都市マスタ[#Headers],0)),"")</f>
        <v>上海</v>
      </c>
      <c r="G164" s="5">
        <f>IFERROR(INDEX(生データ表[],MATCH(E164,生データ表['#],0),MATCH(C155,生データ表[#Headers],0)),"")</f>
        <v>13762000</v>
      </c>
      <c r="H164" s="236">
        <f>IFERROR(INDEX(スコア表[],MATCH(E164,スコア表['#],0),MATCH(C155,スコア表[#Headers],0)),"")</f>
        <v>100</v>
      </c>
    </row>
    <row r="165" spans="2:8">
      <c r="B165" t="s">
        <v>2070</v>
      </c>
      <c r="E165" s="11"/>
      <c r="F165" s="13" t="str">
        <f>IFERROR(INDEX(都市マスタ[],MATCH(E165,都市マスタ['#],0),MATCH(F155,都市マスタ[#Headers],0)),"")</f>
        <v/>
      </c>
      <c r="G165" s="231" t="str">
        <f>IFERROR(INDEX(生データ表[],MATCH(E165,生データ表['#],0),MATCH(C155,生データ表[#Headers],0)),"")</f>
        <v/>
      </c>
      <c r="H165" s="236" t="str">
        <f>IFERROR(INDEX(スコア表[],MATCH(E165,スコア表['#],0),MATCH(C155,スコア表[#Headers],0)),"")</f>
        <v/>
      </c>
    </row>
    <row r="166" spans="2:8">
      <c r="B166" t="s">
        <v>2071</v>
      </c>
      <c r="E166" s="11"/>
      <c r="F166" s="13" t="str">
        <f>IFERROR(INDEX(都市マスタ[],MATCH(E166,都市マスタ['#],0),MATCH(F155,都市マスタ[#Headers],0)),"")</f>
        <v/>
      </c>
      <c r="G166" s="231" t="str">
        <f>IFERROR(INDEX(生データ表[],MATCH(E166,生データ表['#],0),MATCH(C155,生データ表[#Headers],0)),"")</f>
        <v/>
      </c>
      <c r="H166" s="236" t="str">
        <f>IFERROR(INDEX(スコア表[],MATCH(E166,スコア表['#],0),MATCH(C155,スコア表[#Headers],0)),"")</f>
        <v/>
      </c>
    </row>
    <row r="167" spans="2:8">
      <c r="B167" t="s">
        <v>2069</v>
      </c>
      <c r="E167" s="11"/>
      <c r="F167" s="13" t="str">
        <f>IFERROR(INDEX(都市マスタ[],MATCH(E167,都市マスタ['#],0),MATCH(F155,都市マスタ[#Headers],0)),"")</f>
        <v/>
      </c>
      <c r="G167" s="231" t="str">
        <f>IFERROR(INDEX(生データ表[],MATCH(E167,生データ表['#],0),MATCH(C155,生データ表[#Headers],0)),"")</f>
        <v/>
      </c>
      <c r="H167" s="236" t="str">
        <f>IFERROR(INDEX(スコア表[],MATCH(E167,スコア表['#],0),MATCH(C155,スコア表[#Headers],0)),"")</f>
        <v/>
      </c>
    </row>
    <row r="168" spans="2:8">
      <c r="E168" s="11"/>
      <c r="F168" s="13" t="str">
        <f>IFERROR(INDEX(都市マスタ[],MATCH(E168,都市マスタ['#],0),MATCH(F155,都市マスタ[#Headers],0)),"")</f>
        <v/>
      </c>
      <c r="G168" s="231" t="str">
        <f>IFERROR(INDEX(生データ表[],MATCH(E168,生データ表['#],0),MATCH(C155,生データ表[#Headers],0)),"")</f>
        <v/>
      </c>
      <c r="H168" s="236" t="str">
        <f>IFERROR(INDEX(スコア表[],MATCH(E168,スコア表['#],0),MATCH(C155,スコア表[#Headers],0)),"")</f>
        <v/>
      </c>
    </row>
    <row r="170" spans="2:8">
      <c r="B170" s="36" t="s">
        <v>208</v>
      </c>
      <c r="C170" s="37" t="s">
        <v>666</v>
      </c>
      <c r="E170" s="35" t="s">
        <v>208</v>
      </c>
      <c r="F170" s="36" t="str">
        <f>IF(JPEN!$C$2="EN",都市!$C$2,都市!$D$2)</f>
        <v>都市名</v>
      </c>
      <c r="G170" s="36" t="s">
        <v>644</v>
      </c>
      <c r="H170" s="36" t="s">
        <v>645</v>
      </c>
    </row>
    <row r="171" spans="2:8">
      <c r="B171" s="36" t="str">
        <f>IF(JPEN!$C$2="EN",指標!$I$2,指標!$H$2)</f>
        <v>指標</v>
      </c>
      <c r="C171" s="13" t="str">
        <f ca="1">INDEX(INDIRECT("指標マスタ["&amp;B171&amp;"]"),MATCH(C170,指標マスタ['#],0))</f>
        <v>ビジネスサポート人材の多さ</v>
      </c>
      <c r="E171" s="11">
        <v>3</v>
      </c>
      <c r="F171" s="13" t="str">
        <f>IFERROR(INDEX(都市マスタ[],MATCH(E171,都市マスタ['#],0),MATCH(F170,都市マスタ[#Headers],0)),"")</f>
        <v>ロンドン</v>
      </c>
      <c r="G171" s="9">
        <f>IFERROR(INDEX(生データ表[],MATCH(E171,生データ表['#],0),MATCH(C170,生データ表[#Headers],0)),"")</f>
        <v>0.34252837326607799</v>
      </c>
      <c r="H171" s="236">
        <f>IFERROR(INDEX(スコア表[],MATCH(E171,スコア表['#],0),MATCH(C170,スコア表[#Headers],0)),"")</f>
        <v>93.550885234500001</v>
      </c>
    </row>
    <row r="172" spans="2:8">
      <c r="B172" s="36" t="str">
        <f>IF(JPEN!$C$2="EN",指標!$L$2,指標!$K$2)</f>
        <v>単位</v>
      </c>
      <c r="C172" s="13" t="str">
        <f>INDEX(指標マスタ[],MATCH(C170,指標マスタ['#],0),MATCH(B172,指標マスタ[#Headers],0))</f>
        <v>%</v>
      </c>
      <c r="E172" s="11">
        <v>38</v>
      </c>
      <c r="F172" s="13" t="str">
        <f>IFERROR(INDEX(都市マスタ[],MATCH(E172,都市マスタ['#],0),MATCH(F170,都市マスタ[#Headers],0)),"")</f>
        <v>ニューヨーク</v>
      </c>
      <c r="G172" s="9">
        <f>IFERROR(INDEX(生データ表[],MATCH(E172,生データ表['#],0),MATCH(C170,生データ表[#Headers],0)),"")</f>
        <v>0.17147550754770799</v>
      </c>
      <c r="H172" s="236">
        <f>IFERROR(INDEX(スコア表[],MATCH(E172,スコア表['#],0),MATCH(C170,スコア表[#Headers],0)),"")</f>
        <v>43.237304028399997</v>
      </c>
    </row>
    <row r="173" spans="2:8">
      <c r="B173" s="36" t="s">
        <v>646</v>
      </c>
      <c r="C173" s="13" t="str">
        <f>INDEX(生データ表2[],MATCH(B173,生データ表2[maxmin],0),MATCH(C170,生データ表2[#Headers],0))</f>
        <v>プラス</v>
      </c>
      <c r="E173" s="11">
        <v>29</v>
      </c>
      <c r="F173" s="13" t="str">
        <f>IFERROR(INDEX(都市マスタ[],MATCH(E173,都市マスタ['#],0),MATCH(F170,都市マスタ[#Headers],0)),"")</f>
        <v>東京</v>
      </c>
      <c r="G173" s="9">
        <f>IFERROR(INDEX(生データ表[],MATCH(E173,生データ表['#],0),MATCH(C170,生データ表[#Headers],0)),"")</f>
        <v>0.27474776622657199</v>
      </c>
      <c r="H173" s="236">
        <f>IFERROR(INDEX(スコア表[],MATCH(E173,スコア表['#],0),MATCH(C170,スコア表[#Headers],0)),"")</f>
        <v>73.613861308200001</v>
      </c>
    </row>
    <row r="174" spans="2:8">
      <c r="E174" s="11">
        <v>4</v>
      </c>
      <c r="F174" s="13" t="str">
        <f>IFERROR(INDEX(都市マスタ[],MATCH(E174,都市マスタ['#],0),MATCH(F170,都市マスタ[#Headers],0)),"")</f>
        <v>パリ</v>
      </c>
      <c r="G174" s="9">
        <f>IFERROR(INDEX(生データ表[],MATCH(E174,生データ表['#],0),MATCH(C170,生データ表[#Headers],0)),"")</f>
        <v>0.28116082319100499</v>
      </c>
      <c r="H174" s="236">
        <f>IFERROR(INDEX(スコア表[],MATCH(E174,スコア表['#],0),MATCH(C170,スコア表[#Headers],0)),"")</f>
        <v>75.500201306099996</v>
      </c>
    </row>
    <row r="175" spans="2:8">
      <c r="B175" s="240" t="s">
        <v>2067</v>
      </c>
      <c r="E175" s="11">
        <v>21</v>
      </c>
      <c r="F175" s="13" t="str">
        <f>IFERROR(INDEX(都市マスタ[],MATCH(E175,都市マスタ['#],0),MATCH(F170,都市マスタ[#Headers],0)),"")</f>
        <v>シンガポール</v>
      </c>
      <c r="G175" s="9">
        <f>IFERROR(INDEX(生データ表[],MATCH(E175,生データ表['#],0),MATCH(C170,生データ表[#Headers],0)),"")</f>
        <v>0.16776981565559801</v>
      </c>
      <c r="H175" s="236">
        <f>IFERROR(INDEX(スコア表[],MATCH(E175,スコア表['#],0),MATCH(C170,スコア表[#Headers],0)),"")</f>
        <v>42.147309837599998</v>
      </c>
    </row>
    <row r="176" spans="2:8">
      <c r="E176" s="11">
        <v>26</v>
      </c>
      <c r="F176" s="13" t="str">
        <f>IFERROR(INDEX(都市マスタ[],MATCH(E176,都市マスタ['#],0),MATCH(F170,都市マスタ[#Headers],0)),"")</f>
        <v>ソウル</v>
      </c>
      <c r="G176" s="9">
        <f>IFERROR(INDEX(生データ表[],MATCH(E176,生データ表['#],0),MATCH(C170,生データ表[#Headers],0)),"")</f>
        <v>0.216423788893265</v>
      </c>
      <c r="H176" s="236">
        <f>IFERROR(INDEX(スコア表[],MATCH(E176,スコア表['#],0),MATCH(C170,スコア表[#Headers],0)),"")</f>
        <v>56.458415490299998</v>
      </c>
    </row>
    <row r="177" spans="2:8">
      <c r="E177" s="11">
        <v>22</v>
      </c>
      <c r="F177" s="13" t="str">
        <f>IFERROR(INDEX(都市マスタ[],MATCH(E177,都市マスタ['#],0),MATCH(F170,都市マスタ[#Headers],0)),"")</f>
        <v>香港</v>
      </c>
      <c r="G177" s="9">
        <f>IFERROR(INDEX(生データ表[],MATCH(E177,生データ表['#],0),MATCH(C170,生データ表[#Headers],0)),"")</f>
        <v>0.22600000000000001</v>
      </c>
      <c r="H177" s="236">
        <f>IFERROR(INDEX(スコア表[],MATCH(E177,スコア表['#],0),MATCH(C170,スコア表[#Headers],0)),"")</f>
        <v>59.275167335699997</v>
      </c>
    </row>
    <row r="178" spans="2:8">
      <c r="E178" s="11">
        <v>23</v>
      </c>
      <c r="F178" s="13" t="str">
        <f>IFERROR(INDEX(都市マスタ[],MATCH(E178,都市マスタ['#],0),MATCH(F170,都市マスタ[#Headers],0)),"")</f>
        <v>北京</v>
      </c>
      <c r="G178" s="9">
        <f>IFERROR(INDEX(生データ表[],MATCH(E178,生データ表['#],0),MATCH(C170,生データ表[#Headers],0)),"")</f>
        <v>0.31312607944732201</v>
      </c>
      <c r="H178" s="236">
        <f>IFERROR(INDEX(スコア表[],MATCH(E178,スコア表['#],0),MATCH(C170,スコア表[#Headers],0)),"")</f>
        <v>84.902478839799997</v>
      </c>
    </row>
    <row r="179" spans="2:8">
      <c r="B179" s="240" t="s">
        <v>2068</v>
      </c>
      <c r="E179" s="11">
        <v>24</v>
      </c>
      <c r="F179" s="13" t="str">
        <f>IFERROR(INDEX(都市マスタ[],MATCH(E179,都市マスタ['#],0),MATCH(F170,都市マスタ[#Headers],0)),"")</f>
        <v>上海</v>
      </c>
      <c r="G179" s="9">
        <f>IFERROR(INDEX(生データ表[],MATCH(E179,生データ表['#],0),MATCH(C170,生データ表[#Headers],0)),"")</f>
        <v>0.230126435111175</v>
      </c>
      <c r="H179" s="236">
        <f>IFERROR(INDEX(スコア表[],MATCH(E179,スコア表['#],0),MATCH(C170,スコア表[#Headers],0)),"")</f>
        <v>60.488919161399998</v>
      </c>
    </row>
    <row r="180" spans="2:8">
      <c r="B180" t="s">
        <v>2070</v>
      </c>
      <c r="E180" s="11"/>
      <c r="F180" s="13" t="str">
        <f>IFERROR(INDEX(都市マスタ[],MATCH(E180,都市マスタ['#],0),MATCH(F170,都市マスタ[#Headers],0)),"")</f>
        <v/>
      </c>
      <c r="G180" s="231" t="str">
        <f>IFERROR(INDEX(生データ表[],MATCH(E180,生データ表['#],0),MATCH(C170,生データ表[#Headers],0)),"")</f>
        <v/>
      </c>
      <c r="H180" s="236" t="str">
        <f>IFERROR(INDEX(スコア表[],MATCH(E180,スコア表['#],0),MATCH(C170,スコア表[#Headers],0)),"")</f>
        <v/>
      </c>
    </row>
    <row r="181" spans="2:8">
      <c r="B181" t="s">
        <v>2071</v>
      </c>
      <c r="E181" s="11"/>
      <c r="F181" s="13" t="str">
        <f>IFERROR(INDEX(都市マスタ[],MATCH(E181,都市マスタ['#],0),MATCH(F170,都市マスタ[#Headers],0)),"")</f>
        <v/>
      </c>
      <c r="G181" s="231" t="str">
        <f>IFERROR(INDEX(生データ表[],MATCH(E181,生データ表['#],0),MATCH(C170,生データ表[#Headers],0)),"")</f>
        <v/>
      </c>
      <c r="H181" s="236" t="str">
        <f>IFERROR(INDEX(スコア表[],MATCH(E181,スコア表['#],0),MATCH(C170,スコア表[#Headers],0)),"")</f>
        <v/>
      </c>
    </row>
    <row r="182" spans="2:8">
      <c r="B182" t="s">
        <v>2069</v>
      </c>
      <c r="E182" s="11"/>
      <c r="F182" s="13" t="str">
        <f>IFERROR(INDEX(都市マスタ[],MATCH(E182,都市マスタ['#],0),MATCH(F170,都市マスタ[#Headers],0)),"")</f>
        <v/>
      </c>
      <c r="G182" s="231" t="str">
        <f>IFERROR(INDEX(生データ表[],MATCH(E182,生データ表['#],0),MATCH(C170,生データ表[#Headers],0)),"")</f>
        <v/>
      </c>
      <c r="H182" s="236" t="str">
        <f>IFERROR(INDEX(スコア表[],MATCH(E182,スコア表['#],0),MATCH(C170,スコア表[#Headers],0)),"")</f>
        <v/>
      </c>
    </row>
    <row r="183" spans="2:8">
      <c r="E183" s="11"/>
      <c r="F183" s="13" t="str">
        <f>IFERROR(INDEX(都市マスタ[],MATCH(E183,都市マスタ['#],0),MATCH(F170,都市マスタ[#Headers],0)),"")</f>
        <v/>
      </c>
      <c r="G183" s="231" t="str">
        <f>IFERROR(INDEX(生データ表[],MATCH(E183,生データ表['#],0),MATCH(C170,生データ表[#Headers],0)),"")</f>
        <v/>
      </c>
      <c r="H183" s="236" t="str">
        <f>IFERROR(INDEX(スコア表[],MATCH(E183,スコア表['#],0),MATCH(C170,スコア表[#Headers],0)),"")</f>
        <v/>
      </c>
    </row>
    <row r="185" spans="2:8">
      <c r="B185" s="36" t="s">
        <v>208</v>
      </c>
      <c r="C185" s="37" t="s">
        <v>667</v>
      </c>
      <c r="E185" s="35" t="s">
        <v>208</v>
      </c>
      <c r="F185" s="36" t="str">
        <f>IF(JPEN!$C$2="EN",都市!$C$2,都市!$D$2)</f>
        <v>都市名</v>
      </c>
      <c r="G185" s="36" t="s">
        <v>644</v>
      </c>
      <c r="H185" s="36" t="s">
        <v>645</v>
      </c>
    </row>
    <row r="186" spans="2:8">
      <c r="B186" s="36" t="str">
        <f>IF(JPEN!$C$2="EN",指標!$I$2,指標!$H$2)</f>
        <v>指標</v>
      </c>
      <c r="C186" s="13" t="str">
        <f ca="1">INDEX(INDIRECT("指標マスタ["&amp;B186&amp;"]"),MATCH(C185,指標マスタ['#],0))</f>
        <v>賃金水準の高さ</v>
      </c>
      <c r="E186" s="11">
        <v>3</v>
      </c>
      <c r="F186" s="13" t="str">
        <f>IFERROR(INDEX(都市マスタ[],MATCH(E186,都市マスタ['#],0),MATCH(F185,都市マスタ[#Headers],0)),"")</f>
        <v>ロンドン</v>
      </c>
      <c r="G186" s="5">
        <f>IFERROR(INDEX(生データ表[],MATCH(E186,生データ表['#],0),MATCH(C185,生データ表[#Headers],0)),"")</f>
        <v>60.506179016820496</v>
      </c>
      <c r="H186" s="236">
        <f>IFERROR(INDEX(スコア表[],MATCH(E186,スコア表['#],0),MATCH(C185,スコア表[#Headers],0)),"")</f>
        <v>60.506179016799997</v>
      </c>
    </row>
    <row r="187" spans="2:8">
      <c r="B187" s="36" t="str">
        <f>IF(JPEN!$C$2="EN",指標!$L$2,指標!$K$2)</f>
        <v>単位</v>
      </c>
      <c r="C187" s="13" t="str">
        <f>INDEX(指標マスタ[],MATCH(C185,指標マスタ['#],0),MATCH(B187,指標マスタ[#Headers],0))</f>
        <v>ドル/月</v>
      </c>
      <c r="E187" s="11">
        <v>38</v>
      </c>
      <c r="F187" s="13" t="str">
        <f>IFERROR(INDEX(都市マスタ[],MATCH(E187,都市マスタ['#],0),MATCH(F185,都市マスタ[#Headers],0)),"")</f>
        <v>ニューヨーク</v>
      </c>
      <c r="G187" s="5">
        <f>IFERROR(INDEX(生データ表[],MATCH(E187,生データ表['#],0),MATCH(C185,生データ表[#Headers],0)),"")</f>
        <v>100</v>
      </c>
      <c r="H187" s="236">
        <f>IFERROR(INDEX(スコア表[],MATCH(E187,スコア表['#],0),MATCH(C185,スコア表[#Headers],0)),"")</f>
        <v>100</v>
      </c>
    </row>
    <row r="188" spans="2:8">
      <c r="B188" s="36" t="s">
        <v>646</v>
      </c>
      <c r="C188" s="13" t="str">
        <f>INDEX(生データ表2[],MATCH(B188,生データ表2[maxmin],0),MATCH(C185,生データ表2[#Headers],0))</f>
        <v>プラス</v>
      </c>
      <c r="E188" s="11">
        <v>29</v>
      </c>
      <c r="F188" s="13" t="str">
        <f>IFERROR(INDEX(都市マスタ[],MATCH(E188,都市マスタ['#],0),MATCH(F185,都市マスタ[#Headers],0)),"")</f>
        <v>東京</v>
      </c>
      <c r="G188" s="5">
        <f>IFERROR(INDEX(生データ表[],MATCH(E188,生データ表['#],0),MATCH(C185,生データ表[#Headers],0)),"")</f>
        <v>38.991109100708002</v>
      </c>
      <c r="H188" s="236">
        <f>IFERROR(INDEX(スコア表[],MATCH(E188,スコア表['#],0),MATCH(C185,スコア表[#Headers],0)),"")</f>
        <v>38.991109100700001</v>
      </c>
    </row>
    <row r="189" spans="2:8">
      <c r="E189" s="11">
        <v>4</v>
      </c>
      <c r="F189" s="13" t="str">
        <f>IFERROR(INDEX(都市マスタ[],MATCH(E189,都市マスタ['#],0),MATCH(F185,都市マスタ[#Headers],0)),"")</f>
        <v>パリ</v>
      </c>
      <c r="G189" s="5">
        <f>IFERROR(INDEX(生データ表[],MATCH(E189,生データ表['#],0),MATCH(C185,生データ表[#Headers],0)),"")</f>
        <v>39.833036151406198</v>
      </c>
      <c r="H189" s="236">
        <f>IFERROR(INDEX(スコア表[],MATCH(E189,スコア表['#],0),MATCH(C185,スコア表[#Headers],0)),"")</f>
        <v>39.833036151400002</v>
      </c>
    </row>
    <row r="190" spans="2:8">
      <c r="B190" s="240" t="s">
        <v>2067</v>
      </c>
      <c r="E190" s="11">
        <v>21</v>
      </c>
      <c r="F190" s="13" t="str">
        <f>IFERROR(INDEX(都市マスタ[],MATCH(E190,都市マスタ['#],0),MATCH(F185,都市マスタ[#Headers],0)),"")</f>
        <v>シンガポール</v>
      </c>
      <c r="G190" s="5">
        <f>IFERROR(INDEX(生データ表[],MATCH(E190,生データ表['#],0),MATCH(C185,生データ表[#Headers],0)),"")</f>
        <v>74.082364861677902</v>
      </c>
      <c r="H190" s="236">
        <f>IFERROR(INDEX(スコア表[],MATCH(E190,スコア表['#],0),MATCH(C185,スコア表[#Headers],0)),"")</f>
        <v>74.0823648617</v>
      </c>
    </row>
    <row r="191" spans="2:8">
      <c r="E191" s="11">
        <v>26</v>
      </c>
      <c r="F191" s="13" t="str">
        <f>IFERROR(INDEX(都市マスタ[],MATCH(E191,都市マスタ['#],0),MATCH(F185,都市マスタ[#Headers],0)),"")</f>
        <v>ソウル</v>
      </c>
      <c r="G191" s="5">
        <f>IFERROR(INDEX(生データ表[],MATCH(E191,生データ表['#],0),MATCH(C185,生データ表[#Headers],0)),"")</f>
        <v>42.177120890399003</v>
      </c>
      <c r="H191" s="236">
        <f>IFERROR(INDEX(スコア表[],MATCH(E191,スコア表['#],0),MATCH(C185,スコア表[#Headers],0)),"")</f>
        <v>42.177120890399998</v>
      </c>
    </row>
    <row r="192" spans="2:8">
      <c r="E192" s="11">
        <v>22</v>
      </c>
      <c r="F192" s="13" t="str">
        <f>IFERROR(INDEX(都市マスタ[],MATCH(E192,都市マスタ['#],0),MATCH(F185,都市マスタ[#Headers],0)),"")</f>
        <v>香港</v>
      </c>
      <c r="G192" s="5">
        <f>IFERROR(INDEX(生データ表[],MATCH(E192,生データ表['#],0),MATCH(C185,生データ表[#Headers],0)),"")</f>
        <v>41.995066685185499</v>
      </c>
      <c r="H192" s="236">
        <f>IFERROR(INDEX(スコア表[],MATCH(E192,スコア表['#],0),MATCH(C185,スコア表[#Headers],0)),"")</f>
        <v>41.995066685200001</v>
      </c>
    </row>
    <row r="193" spans="2:8">
      <c r="E193" s="11">
        <v>23</v>
      </c>
      <c r="F193" s="13" t="str">
        <f>IFERROR(INDEX(都市マスタ[],MATCH(E193,都市マスタ['#],0),MATCH(F185,都市マスタ[#Headers],0)),"")</f>
        <v>北京</v>
      </c>
      <c r="G193" s="5">
        <f>IFERROR(INDEX(生データ表[],MATCH(E193,生データ表['#],0),MATCH(C185,生データ表[#Headers],0)),"")</f>
        <v>23.7623006873606</v>
      </c>
      <c r="H193" s="236">
        <f>IFERROR(INDEX(スコア表[],MATCH(E193,スコア表['#],0),MATCH(C185,スコア表[#Headers],0)),"")</f>
        <v>23.7623006874</v>
      </c>
    </row>
    <row r="194" spans="2:8">
      <c r="B194" s="240" t="s">
        <v>2068</v>
      </c>
      <c r="E194" s="11">
        <v>24</v>
      </c>
      <c r="F194" s="13" t="str">
        <f>IFERROR(INDEX(都市マスタ[],MATCH(E194,都市マスタ['#],0),MATCH(F185,都市マスタ[#Headers],0)),"")</f>
        <v>上海</v>
      </c>
      <c r="G194" s="5">
        <f>IFERROR(INDEX(生データ表[],MATCH(E194,生データ表['#],0),MATCH(C185,生データ表[#Headers],0)),"")</f>
        <v>18.8417360171028</v>
      </c>
      <c r="H194" s="236">
        <f>IFERROR(INDEX(スコア表[],MATCH(E194,スコア表['#],0),MATCH(C185,スコア表[#Headers],0)),"")</f>
        <v>18.841736017100001</v>
      </c>
    </row>
    <row r="195" spans="2:8">
      <c r="B195" t="s">
        <v>2070</v>
      </c>
      <c r="E195" s="11"/>
      <c r="F195" s="13" t="str">
        <f>IFERROR(INDEX(都市マスタ[],MATCH(E195,都市マスタ['#],0),MATCH(F185,都市マスタ[#Headers],0)),"")</f>
        <v/>
      </c>
      <c r="G195" s="231" t="str">
        <f>IFERROR(INDEX(生データ表[],MATCH(E195,生データ表['#],0),MATCH(C185,生データ表[#Headers],0)),"")</f>
        <v/>
      </c>
      <c r="H195" s="236" t="str">
        <f>IFERROR(INDEX(スコア表[],MATCH(E195,スコア表['#],0),MATCH(C185,スコア表[#Headers],0)),"")</f>
        <v/>
      </c>
    </row>
    <row r="196" spans="2:8">
      <c r="B196" t="s">
        <v>2071</v>
      </c>
      <c r="E196" s="11"/>
      <c r="F196" s="13" t="str">
        <f>IFERROR(INDEX(都市マスタ[],MATCH(E196,都市マスタ['#],0),MATCH(F185,都市マスタ[#Headers],0)),"")</f>
        <v/>
      </c>
      <c r="G196" s="231" t="str">
        <f>IFERROR(INDEX(生データ表[],MATCH(E196,生データ表['#],0),MATCH(C185,生データ表[#Headers],0)),"")</f>
        <v/>
      </c>
      <c r="H196" s="236" t="str">
        <f>IFERROR(INDEX(スコア表[],MATCH(E196,スコア表['#],0),MATCH(C185,スコア表[#Headers],0)),"")</f>
        <v/>
      </c>
    </row>
    <row r="197" spans="2:8">
      <c r="B197" t="s">
        <v>2069</v>
      </c>
      <c r="E197" s="11"/>
      <c r="F197" s="13" t="str">
        <f>IFERROR(INDEX(都市マスタ[],MATCH(E197,都市マスタ['#],0),MATCH(F185,都市マスタ[#Headers],0)),"")</f>
        <v/>
      </c>
      <c r="G197" s="231" t="str">
        <f>IFERROR(INDEX(生データ表[],MATCH(E197,生データ表['#],0),MATCH(C185,生データ表[#Headers],0)),"")</f>
        <v/>
      </c>
      <c r="H197" s="236" t="str">
        <f>IFERROR(INDEX(スコア表[],MATCH(E197,スコア表['#],0),MATCH(C185,スコア表[#Headers],0)),"")</f>
        <v/>
      </c>
    </row>
    <row r="198" spans="2:8">
      <c r="E198" s="11"/>
      <c r="F198" s="13" t="str">
        <f>IFERROR(INDEX(都市マスタ[],MATCH(E198,都市マスタ['#],0),MATCH(F185,都市マスタ[#Headers],0)),"")</f>
        <v/>
      </c>
      <c r="G198" s="231" t="str">
        <f>IFERROR(INDEX(生データ表[],MATCH(E198,生データ表['#],0),MATCH(C185,生データ表[#Headers],0)),"")</f>
        <v/>
      </c>
      <c r="H198" s="236" t="str">
        <f>IFERROR(INDEX(スコア表[],MATCH(E198,スコア表['#],0),MATCH(C185,スコア表[#Headers],0)),"")</f>
        <v/>
      </c>
    </row>
    <row r="200" spans="2:8">
      <c r="B200" s="36" t="s">
        <v>208</v>
      </c>
      <c r="C200" s="37" t="s">
        <v>546</v>
      </c>
      <c r="E200" s="35" t="s">
        <v>208</v>
      </c>
      <c r="F200" s="36" t="str">
        <f>IF(JPEN!$C$2="EN",都市!$C$2,都市!$D$2)</f>
        <v>都市名</v>
      </c>
      <c r="G200" s="36" t="s">
        <v>644</v>
      </c>
      <c r="H200" s="36" t="s">
        <v>645</v>
      </c>
    </row>
    <row r="201" spans="2:8">
      <c r="B201" s="36" t="str">
        <f>IF(JPEN!$C$2="EN",指標!$I$2,指標!$H$2)</f>
        <v>指標</v>
      </c>
      <c r="C201" s="13" t="str">
        <f ca="1">INDEX(INDIRECT("指標マスタ["&amp;B201&amp;"]"),MATCH(C200,指標マスタ['#],0))</f>
        <v>優秀な人材確保の容易性</v>
      </c>
      <c r="E201" s="11">
        <v>3</v>
      </c>
      <c r="F201" s="13" t="str">
        <f>IFERROR(INDEX(都市マスタ[],MATCH(E201,都市マスタ['#],0),MATCH(F200,都市マスタ[#Headers],0)),"")</f>
        <v>ロンドン</v>
      </c>
      <c r="G201" s="5">
        <f>IFERROR(INDEX(生データ表[],MATCH(E201,生データ表['#],0),MATCH(C200,生データ表[#Headers],0)),"")</f>
        <v>79.7525403737978</v>
      </c>
      <c r="H201" s="236">
        <f>IFERROR(INDEX(スコア表[],MATCH(E201,スコア表['#],0),MATCH(C200,スコア表[#Headers],0)),"")</f>
        <v>78.519667488600007</v>
      </c>
    </row>
    <row r="202" spans="2:8">
      <c r="B202" s="36" t="str">
        <f>IF(JPEN!$C$2="EN",指標!$L$2,指標!$K$2)</f>
        <v>単位</v>
      </c>
      <c r="C202" s="13" t="str">
        <f>INDEX(指標マスタ[],MATCH(C200,指標マスタ['#],0),MATCH(B202,指標マスタ[#Headers],0))</f>
        <v>（合算）</v>
      </c>
      <c r="E202" s="11">
        <v>38</v>
      </c>
      <c r="F202" s="13" t="str">
        <f>IFERROR(INDEX(都市マスタ[],MATCH(E202,都市マスタ['#],0),MATCH(F200,都市マスタ[#Headers],0)),"")</f>
        <v>ニューヨーク</v>
      </c>
      <c r="G202" s="5">
        <f>IFERROR(INDEX(生データ表[],MATCH(E202,生データ表['#],0),MATCH(C200,生データ表[#Headers],0)),"")</f>
        <v>87.099567099567096</v>
      </c>
      <c r="H202" s="236">
        <f>IFERROR(INDEX(スコア表[],MATCH(E202,スコア表['#],0),MATCH(C200,スコア表[#Headers],0)),"")</f>
        <v>86.314056510900002</v>
      </c>
    </row>
    <row r="203" spans="2:8">
      <c r="B203" s="36" t="s">
        <v>646</v>
      </c>
      <c r="C203" s="13" t="str">
        <f>INDEX(生データ表2[],MATCH(B203,生データ表2[maxmin],0),MATCH(C200,生データ表2[#Headers],0))</f>
        <v>プラス</v>
      </c>
      <c r="E203" s="11">
        <v>29</v>
      </c>
      <c r="F203" s="13" t="str">
        <f>IFERROR(INDEX(都市マスタ[],MATCH(E203,都市マスタ['#],0),MATCH(F200,都市マスタ[#Headers],0)),"")</f>
        <v>東京</v>
      </c>
      <c r="G203" s="5">
        <f>IFERROR(INDEX(生データ表[],MATCH(E203,生データ表['#],0),MATCH(C200,生データ表[#Headers],0)),"")</f>
        <v>25.060752754331101</v>
      </c>
      <c r="H203" s="236">
        <f>IFERROR(INDEX(スコア表[],MATCH(E203,スコア表['#],0),MATCH(C200,スコア表[#Headers],0)),"")</f>
        <v>20.497683230100002</v>
      </c>
    </row>
    <row r="204" spans="2:8">
      <c r="E204" s="11">
        <v>4</v>
      </c>
      <c r="F204" s="13" t="str">
        <f>IFERROR(INDEX(都市マスタ[],MATCH(E204,都市マスタ['#],0),MATCH(F200,都市マスタ[#Headers],0)),"")</f>
        <v>パリ</v>
      </c>
      <c r="G204" s="5">
        <f>IFERROR(INDEX(生データ表[],MATCH(E204,生データ表['#],0),MATCH(C200,生データ表[#Headers],0)),"")</f>
        <v>52.1726486570075</v>
      </c>
      <c r="H204" s="236">
        <f>IFERROR(INDEX(スコア表[],MATCH(E204,スコア表['#],0),MATCH(C200,スコア表[#Headers],0)),"")</f>
        <v>49.260429261200002</v>
      </c>
    </row>
    <row r="205" spans="2:8">
      <c r="B205" s="240" t="s">
        <v>2067</v>
      </c>
      <c r="E205" s="11">
        <v>21</v>
      </c>
      <c r="F205" s="13" t="str">
        <f>IFERROR(INDEX(都市マスタ[],MATCH(E205,都市マスタ['#],0),MATCH(F200,都市マスタ[#Headers],0)),"")</f>
        <v>シンガポール</v>
      </c>
      <c r="G205" s="5">
        <f>IFERROR(INDEX(生データ表[],MATCH(E205,生データ表['#],0),MATCH(C200,生データ表[#Headers],0)),"")</f>
        <v>74.627741084482693</v>
      </c>
      <c r="H205" s="236">
        <f>IFERROR(INDEX(スコア表[],MATCH(E205,スコア表['#],0),MATCH(C200,スコア表[#Headers],0)),"")</f>
        <v>73.082817887700003</v>
      </c>
    </row>
    <row r="206" spans="2:8">
      <c r="E206" s="11">
        <v>26</v>
      </c>
      <c r="F206" s="13" t="str">
        <f>IFERROR(INDEX(都市マスタ[],MATCH(E206,都市マスタ['#],0),MATCH(F200,都市マスタ[#Headers],0)),"")</f>
        <v>ソウル</v>
      </c>
      <c r="G206" s="5">
        <f>IFERROR(INDEX(生データ表[],MATCH(E206,生データ表['#],0),MATCH(C200,生データ表[#Headers],0)),"")</f>
        <v>48.033983781454303</v>
      </c>
      <c r="H206" s="236">
        <f>IFERROR(INDEX(スコア表[],MATCH(E206,スコア表['#],0),MATCH(C200,スコア表[#Headers],0)),"")</f>
        <v>44.869760045299998</v>
      </c>
    </row>
    <row r="207" spans="2:8">
      <c r="E207" s="11">
        <v>22</v>
      </c>
      <c r="F207" s="13" t="str">
        <f>IFERROR(INDEX(都市マスタ[],MATCH(E207,都市マスタ['#],0),MATCH(F200,都市マスタ[#Headers],0)),"")</f>
        <v>香港</v>
      </c>
      <c r="G207" s="5">
        <f>IFERROR(INDEX(生データ表[],MATCH(E207,生データ表['#],0),MATCH(C200,生データ表[#Headers],0)),"")</f>
        <v>41.437801777811401</v>
      </c>
      <c r="H207" s="236">
        <f>IFERROR(INDEX(スコア表[],MATCH(E207,スコア表['#],0),MATCH(C200,スコア表[#Headers],0)),"")</f>
        <v>37.8719348682</v>
      </c>
    </row>
    <row r="208" spans="2:8">
      <c r="E208" s="11">
        <v>23</v>
      </c>
      <c r="F208" s="13" t="str">
        <f>IFERROR(INDEX(都市マスタ[],MATCH(E208,都市マスタ['#],0),MATCH(F200,都市マスタ[#Headers],0)),"")</f>
        <v>北京</v>
      </c>
      <c r="G208" s="5">
        <f>IFERROR(INDEX(生データ表[],MATCH(E208,生データ表['#],0),MATCH(C200,生データ表[#Headers],0)),"")</f>
        <v>32.757401718101001</v>
      </c>
      <c r="H208" s="236">
        <f>IFERROR(INDEX(スコア表[],MATCH(E208,スコア表['#],0),MATCH(C200,スコア表[#Headers],0)),"")</f>
        <v>28.662983075900001</v>
      </c>
    </row>
    <row r="209" spans="2:8">
      <c r="B209" s="240" t="s">
        <v>2068</v>
      </c>
      <c r="E209" s="11">
        <v>24</v>
      </c>
      <c r="F209" s="13" t="str">
        <f>IFERROR(INDEX(都市マスタ[],MATCH(E209,都市マスタ['#],0),MATCH(F200,都市マスタ[#Headers],0)),"")</f>
        <v>上海</v>
      </c>
      <c r="G209" s="5">
        <f>IFERROR(INDEX(生データ表[],MATCH(E209,生データ表['#],0),MATCH(C200,生データ表[#Headers],0)),"")</f>
        <v>38.471687432386702</v>
      </c>
      <c r="H209" s="236">
        <f>IFERROR(INDEX(スコア表[],MATCH(E209,スコア表['#],0),MATCH(C200,スコア表[#Headers],0)),"")</f>
        <v>34.725213077799999</v>
      </c>
    </row>
    <row r="210" spans="2:8">
      <c r="B210" t="s">
        <v>2070</v>
      </c>
      <c r="E210" s="11"/>
      <c r="F210" s="13" t="str">
        <f>IFERROR(INDEX(都市マスタ[],MATCH(E210,都市マスタ['#],0),MATCH(F200,都市マスタ[#Headers],0)),"")</f>
        <v/>
      </c>
      <c r="G210" s="231" t="str">
        <f>IFERROR(INDEX(生データ表[],MATCH(E210,生データ表['#],0),MATCH(C200,生データ表[#Headers],0)),"")</f>
        <v/>
      </c>
      <c r="H210" s="236" t="str">
        <f>IFERROR(INDEX(スコア表[],MATCH(E210,スコア表['#],0),MATCH(C200,スコア表[#Headers],0)),"")</f>
        <v/>
      </c>
    </row>
    <row r="211" spans="2:8">
      <c r="B211" t="s">
        <v>2071</v>
      </c>
      <c r="E211" s="11"/>
      <c r="F211" s="13" t="str">
        <f>IFERROR(INDEX(都市マスタ[],MATCH(E211,都市マスタ['#],0),MATCH(F200,都市マスタ[#Headers],0)),"")</f>
        <v/>
      </c>
      <c r="G211" s="231" t="str">
        <f>IFERROR(INDEX(生データ表[],MATCH(E211,生データ表['#],0),MATCH(C200,生データ表[#Headers],0)),"")</f>
        <v/>
      </c>
      <c r="H211" s="236" t="str">
        <f>IFERROR(INDEX(スコア表[],MATCH(E211,スコア表['#],0),MATCH(C200,スコア表[#Headers],0)),"")</f>
        <v/>
      </c>
    </row>
    <row r="212" spans="2:8">
      <c r="B212" t="s">
        <v>2069</v>
      </c>
      <c r="E212" s="11"/>
      <c r="F212" s="13" t="str">
        <f>IFERROR(INDEX(都市マスタ[],MATCH(E212,都市マスタ['#],0),MATCH(F200,都市マスタ[#Headers],0)),"")</f>
        <v/>
      </c>
      <c r="G212" s="231" t="str">
        <f>IFERROR(INDEX(生データ表[],MATCH(E212,生データ表['#],0),MATCH(C200,生データ表[#Headers],0)),"")</f>
        <v/>
      </c>
      <c r="H212" s="236" t="str">
        <f>IFERROR(INDEX(スコア表[],MATCH(E212,スコア表['#],0),MATCH(C200,スコア表[#Headers],0)),"")</f>
        <v/>
      </c>
    </row>
    <row r="213" spans="2:8">
      <c r="E213" s="11"/>
      <c r="F213" s="13" t="str">
        <f>IFERROR(INDEX(都市マスタ[],MATCH(E213,都市マスタ['#],0),MATCH(F200,都市マスタ[#Headers],0)),"")</f>
        <v/>
      </c>
      <c r="G213" s="231" t="str">
        <f>IFERROR(INDEX(生データ表[],MATCH(E213,生データ表['#],0),MATCH(C200,生データ表[#Headers],0)),"")</f>
        <v/>
      </c>
      <c r="H213" s="236" t="str">
        <f>IFERROR(INDEX(スコア表[],MATCH(E213,スコア表['#],0),MATCH(C200,スコア表[#Headers],0)),"")</f>
        <v/>
      </c>
    </row>
    <row r="215" spans="2:8">
      <c r="B215" s="36" t="s">
        <v>208</v>
      </c>
      <c r="C215" s="37" t="s">
        <v>547</v>
      </c>
      <c r="E215" s="35" t="s">
        <v>208</v>
      </c>
      <c r="F215" s="36" t="str">
        <f>IF(JPEN!$C$2="EN",都市!$C$2,都市!$D$2)</f>
        <v>都市名</v>
      </c>
      <c r="G215" s="36" t="s">
        <v>644</v>
      </c>
      <c r="H215" s="36" t="s">
        <v>645</v>
      </c>
    </row>
    <row r="216" spans="2:8">
      <c r="B216" s="36" t="str">
        <f>IF(JPEN!$C$2="EN",指標!$I$2,指標!$H$2)</f>
        <v>指標</v>
      </c>
      <c r="C216" s="13" t="str">
        <f ca="1">INDEX(INDIRECT("指標マスタ["&amp;B216&amp;"]"),MATCH(C215,指標マスタ['#],0))</f>
        <v>ワークプレイス充実度</v>
      </c>
      <c r="E216" s="11">
        <v>3</v>
      </c>
      <c r="F216" s="13" t="str">
        <f>IFERROR(INDEX(都市マスタ[],MATCH(E216,都市マスタ['#],0),MATCH(F215,都市マスタ[#Headers],0)),"")</f>
        <v>ロンドン</v>
      </c>
      <c r="G216" s="5">
        <f>IFERROR(INDEX(生データ表[],MATCH(E216,生データ表['#],0),MATCH(C215,生データ表[#Headers],0)),"")</f>
        <v>63.815508249978599</v>
      </c>
      <c r="H216" s="236">
        <f>IFERROR(INDEX(スコア表[],MATCH(E216,スコア表['#],0),MATCH(C215,スコア表[#Headers],0)),"")</f>
        <v>100</v>
      </c>
    </row>
    <row r="217" spans="2:8">
      <c r="B217" s="36" t="str">
        <f>IF(JPEN!$C$2="EN",指標!$L$2,指標!$K$2)</f>
        <v>単位</v>
      </c>
      <c r="C217" s="13" t="str">
        <f>INDEX(指標マスタ[],MATCH(C215,指標マスタ['#],0),MATCH(B217,指標マスタ[#Headers],0))</f>
        <v>（合算）</v>
      </c>
      <c r="E217" s="11">
        <v>38</v>
      </c>
      <c r="F217" s="13" t="str">
        <f>IFERROR(INDEX(都市マスタ[],MATCH(E217,都市マスタ['#],0),MATCH(F215,都市マスタ[#Headers],0)),"")</f>
        <v>ニューヨーク</v>
      </c>
      <c r="G217" s="5">
        <f>IFERROR(INDEX(生データ表[],MATCH(E217,生データ表['#],0),MATCH(C215,生データ表[#Headers],0)),"")</f>
        <v>57.9965730256488</v>
      </c>
      <c r="H217" s="236">
        <f>IFERROR(INDEX(スコア表[],MATCH(E217,スコア表['#],0),MATCH(C215,スコア表[#Headers],0)),"")</f>
        <v>90.450290137400003</v>
      </c>
    </row>
    <row r="218" spans="2:8">
      <c r="B218" s="36" t="s">
        <v>646</v>
      </c>
      <c r="C218" s="13" t="str">
        <f>INDEX(生データ表2[],MATCH(B218,生データ表2[maxmin],0),MATCH(C215,生データ表2[#Headers],0))</f>
        <v>プラス</v>
      </c>
      <c r="E218" s="11">
        <v>29</v>
      </c>
      <c r="F218" s="13" t="str">
        <f>IFERROR(INDEX(都市マスタ[],MATCH(E218,都市マスタ['#],0),MATCH(F215,都市マスタ[#Headers],0)),"")</f>
        <v>東京</v>
      </c>
      <c r="G218" s="5">
        <f>IFERROR(INDEX(生データ表[],MATCH(E218,生データ表['#],0),MATCH(C215,生データ表[#Headers],0)),"")</f>
        <v>31.081361513759099</v>
      </c>
      <c r="H218" s="236">
        <f>IFERROR(INDEX(スコア表[],MATCH(E218,スコア表['#],0),MATCH(C215,スコア表[#Headers],0)),"")</f>
        <v>46.278555804299998</v>
      </c>
    </row>
    <row r="219" spans="2:8">
      <c r="E219" s="11">
        <v>4</v>
      </c>
      <c r="F219" s="13" t="str">
        <f>IFERROR(INDEX(都市マスタ[],MATCH(E219,都市マスタ['#],0),MATCH(F215,都市マスタ[#Headers],0)),"")</f>
        <v>パリ</v>
      </c>
      <c r="G219" s="5">
        <f>IFERROR(INDEX(生データ表[],MATCH(E219,生データ表['#],0),MATCH(C215,生データ表[#Headers],0)),"")</f>
        <v>38.417214725626799</v>
      </c>
      <c r="H219" s="236">
        <f>IFERROR(INDEX(スコア表[],MATCH(E219,スコア表['#],0),MATCH(C215,スコア表[#Headers],0)),"")</f>
        <v>58.317746320700003</v>
      </c>
    </row>
    <row r="220" spans="2:8">
      <c r="B220" s="240" t="s">
        <v>2067</v>
      </c>
      <c r="E220" s="11">
        <v>21</v>
      </c>
      <c r="F220" s="13" t="str">
        <f>IFERROR(INDEX(都市マスタ[],MATCH(E220,都市マスタ['#],0),MATCH(F215,都市マスタ[#Headers],0)),"")</f>
        <v>シンガポール</v>
      </c>
      <c r="G220" s="5">
        <f>IFERROR(INDEX(生データ表[],MATCH(E220,生データ表['#],0),MATCH(C215,生データ表[#Headers],0)),"")</f>
        <v>54.535975213757901</v>
      </c>
      <c r="H220" s="236">
        <f>IFERROR(INDEX(スコア表[],MATCH(E220,スコア表['#],0),MATCH(C215,スコア表[#Headers],0)),"")</f>
        <v>84.7709512582</v>
      </c>
    </row>
    <row r="221" spans="2:8">
      <c r="E221" s="11">
        <v>26</v>
      </c>
      <c r="F221" s="13" t="str">
        <f>IFERROR(INDEX(都市マスタ[],MATCH(E221,都市マスタ['#],0),MATCH(F215,都市マスタ[#Headers],0)),"")</f>
        <v>ソウル</v>
      </c>
      <c r="G221" s="5">
        <f>IFERROR(INDEX(生データ表[],MATCH(E221,生データ表['#],0),MATCH(C215,生データ表[#Headers],0)),"")</f>
        <v>26.111806787802401</v>
      </c>
      <c r="H221" s="236">
        <f>IFERROR(INDEX(スコア表[],MATCH(E221,スコア表['#],0),MATCH(C215,スコア表[#Headers],0)),"")</f>
        <v>38.122801538300003</v>
      </c>
    </row>
    <row r="222" spans="2:8">
      <c r="E222" s="11">
        <v>22</v>
      </c>
      <c r="F222" s="13" t="str">
        <f>IFERROR(INDEX(都市マスタ[],MATCH(E222,都市マスタ['#],0),MATCH(F215,都市マスタ[#Headers],0)),"")</f>
        <v>香港</v>
      </c>
      <c r="G222" s="5">
        <f>IFERROR(INDEX(生データ表[],MATCH(E222,生データ表['#],0),MATCH(C215,生データ表[#Headers],0)),"")</f>
        <v>52.656437393664802</v>
      </c>
      <c r="H222" s="236">
        <f>IFERROR(INDEX(スコア表[],MATCH(E222,スコア表['#],0),MATCH(C215,スコア表[#Headers],0)),"")</f>
        <v>81.686359289799995</v>
      </c>
    </row>
    <row r="223" spans="2:8">
      <c r="E223" s="11">
        <v>23</v>
      </c>
      <c r="F223" s="13" t="str">
        <f>IFERROR(INDEX(都市マスタ[],MATCH(E223,都市マスタ['#],0),MATCH(F215,都市マスタ[#Headers],0)),"")</f>
        <v>北京</v>
      </c>
      <c r="G223" s="5">
        <f>IFERROR(INDEX(生データ表[],MATCH(E223,生データ表['#],0),MATCH(C215,生データ表[#Headers],0)),"")</f>
        <v>54.150653343581801</v>
      </c>
      <c r="H223" s="236">
        <f>IFERROR(INDEX(スコア表[],MATCH(E223,スコア表['#],0),MATCH(C215,スコア表[#Headers],0)),"")</f>
        <v>84.138582633699997</v>
      </c>
    </row>
    <row r="224" spans="2:8">
      <c r="B224" s="240" t="s">
        <v>2068</v>
      </c>
      <c r="E224" s="11">
        <v>24</v>
      </c>
      <c r="F224" s="13" t="str">
        <f>IFERROR(INDEX(都市マスタ[],MATCH(E224,都市マスタ['#],0),MATCH(F215,都市マスタ[#Headers],0)),"")</f>
        <v>上海</v>
      </c>
      <c r="G224" s="5">
        <f>IFERROR(INDEX(生データ表[],MATCH(E224,生データ表['#],0),MATCH(C215,生データ表[#Headers],0)),"")</f>
        <v>50.886136804164202</v>
      </c>
      <c r="H224" s="236">
        <f>IFERROR(INDEX(スコア表[],MATCH(E224,スコア表['#],0),MATCH(C215,スコア表[#Headers],0)),"")</f>
        <v>78.781041332499996</v>
      </c>
    </row>
    <row r="225" spans="2:8">
      <c r="B225" t="s">
        <v>2070</v>
      </c>
      <c r="E225" s="11"/>
      <c r="F225" s="13" t="str">
        <f>IFERROR(INDEX(都市マスタ[],MATCH(E225,都市マスタ['#],0),MATCH(F215,都市マスタ[#Headers],0)),"")</f>
        <v/>
      </c>
      <c r="G225" s="231" t="str">
        <f>IFERROR(INDEX(生データ表[],MATCH(E225,生データ表['#],0),MATCH(C215,生データ表[#Headers],0)),"")</f>
        <v/>
      </c>
      <c r="H225" s="236" t="str">
        <f>IFERROR(INDEX(スコア表[],MATCH(E225,スコア表['#],0),MATCH(C215,スコア表[#Headers],0)),"")</f>
        <v/>
      </c>
    </row>
    <row r="226" spans="2:8">
      <c r="B226" t="s">
        <v>2071</v>
      </c>
      <c r="E226" s="11"/>
      <c r="F226" s="13" t="str">
        <f>IFERROR(INDEX(都市マスタ[],MATCH(E226,都市マスタ['#],0),MATCH(F215,都市マスタ[#Headers],0)),"")</f>
        <v/>
      </c>
      <c r="G226" s="231" t="str">
        <f>IFERROR(INDEX(生データ表[],MATCH(E226,生データ表['#],0),MATCH(C215,生データ表[#Headers],0)),"")</f>
        <v/>
      </c>
      <c r="H226" s="236" t="str">
        <f>IFERROR(INDEX(スコア表[],MATCH(E226,スコア表['#],0),MATCH(C215,スコア表[#Headers],0)),"")</f>
        <v/>
      </c>
    </row>
    <row r="227" spans="2:8">
      <c r="B227" t="s">
        <v>2069</v>
      </c>
      <c r="E227" s="11"/>
      <c r="F227" s="13" t="str">
        <f>IFERROR(INDEX(都市マスタ[],MATCH(E227,都市マスタ['#],0),MATCH(F215,都市マスタ[#Headers],0)),"")</f>
        <v/>
      </c>
      <c r="G227" s="231" t="str">
        <f>IFERROR(INDEX(生データ表[],MATCH(E227,生データ表['#],0),MATCH(C215,生データ表[#Headers],0)),"")</f>
        <v/>
      </c>
      <c r="H227" s="236" t="str">
        <f>IFERROR(INDEX(スコア表[],MATCH(E227,スコア表['#],0),MATCH(C215,スコア表[#Headers],0)),"")</f>
        <v/>
      </c>
    </row>
    <row r="228" spans="2:8">
      <c r="E228" s="11"/>
      <c r="F228" s="13" t="str">
        <f>IFERROR(INDEX(都市マスタ[],MATCH(E228,都市マスタ['#],0),MATCH(F215,都市マスタ[#Headers],0)),"")</f>
        <v/>
      </c>
      <c r="G228" s="231" t="str">
        <f>IFERROR(INDEX(生データ表[],MATCH(E228,生データ表['#],0),MATCH(C215,生データ表[#Headers],0)),"")</f>
        <v/>
      </c>
      <c r="H228" s="236" t="str">
        <f>IFERROR(INDEX(スコア表[],MATCH(E228,スコア表['#],0),MATCH(C215,スコア表[#Headers],0)),"")</f>
        <v/>
      </c>
    </row>
    <row r="230" spans="2:8">
      <c r="B230" s="36" t="s">
        <v>208</v>
      </c>
      <c r="C230" s="37" t="s">
        <v>548</v>
      </c>
      <c r="E230" s="35" t="s">
        <v>208</v>
      </c>
      <c r="F230" s="36" t="str">
        <f>IF(JPEN!$C$2="EN",都市!$C$2,都市!$D$2)</f>
        <v>都市名</v>
      </c>
      <c r="G230" s="36" t="s">
        <v>644</v>
      </c>
      <c r="H230" s="36" t="s">
        <v>645</v>
      </c>
    </row>
    <row r="231" spans="2:8">
      <c r="B231" s="36" t="str">
        <f>IF(JPEN!$C$2="EN",指標!$I$2,指標!$H$2)</f>
        <v>指標</v>
      </c>
      <c r="C231" s="13" t="str">
        <f ca="1">INDEX(INDIRECT("指標マスタ["&amp;B231&amp;"]"),MATCH(C230,指標マスタ['#],0))</f>
        <v>法人税率の低さ</v>
      </c>
      <c r="E231" s="11">
        <v>3</v>
      </c>
      <c r="F231" s="13" t="str">
        <f>IFERROR(INDEX(都市マスタ[],MATCH(E231,都市マスタ['#],0),MATCH(F230,都市マスタ[#Headers],0)),"")</f>
        <v>ロンドン</v>
      </c>
      <c r="G231" s="9">
        <f>IFERROR(INDEX(生データ表[],MATCH(E231,生データ表['#],0),MATCH(C230,生データ表[#Headers],0)),"")</f>
        <v>0.25</v>
      </c>
      <c r="H231" s="236">
        <f>IFERROR(INDEX(スコア表[],MATCH(E231,スコア表['#],0),MATCH(C230,スコア表[#Headers],0)),"")</f>
        <v>38.461538461499998</v>
      </c>
    </row>
    <row r="232" spans="2:8">
      <c r="B232" s="36" t="str">
        <f>IF(JPEN!$C$2="EN",指標!$L$2,指標!$K$2)</f>
        <v>単位</v>
      </c>
      <c r="C232" s="13" t="str">
        <f>INDEX(指標マスタ[],MATCH(C230,指標マスタ['#],0),MATCH(B232,指標マスタ[#Headers],0))</f>
        <v>%</v>
      </c>
      <c r="E232" s="11">
        <v>38</v>
      </c>
      <c r="F232" s="13" t="str">
        <f>IFERROR(INDEX(都市マスタ[],MATCH(E232,都市マスタ['#],0),MATCH(F230,都市マスタ[#Headers],0)),"")</f>
        <v>ニューヨーク</v>
      </c>
      <c r="G232" s="9">
        <f>IFERROR(INDEX(生データ表[],MATCH(E232,生データ表['#],0),MATCH(C230,生データ表[#Headers],0)),"")</f>
        <v>0.34076218250000001</v>
      </c>
      <c r="H232" s="236">
        <f>IFERROR(INDEX(スコア表[],MATCH(E232,スコア表['#],0),MATCH(C230,スコア表[#Headers],0)),"")</f>
        <v>3.5530067308</v>
      </c>
    </row>
    <row r="233" spans="2:8">
      <c r="B233" s="36" t="s">
        <v>646</v>
      </c>
      <c r="C233" s="13" t="str">
        <f>INDEX(生データ表2[],MATCH(B233,生データ表2[maxmin],0),MATCH(C230,生データ表2[#Headers],0))</f>
        <v>マイナス</v>
      </c>
      <c r="E233" s="11">
        <v>29</v>
      </c>
      <c r="F233" s="13" t="str">
        <f>IFERROR(INDEX(都市マスタ[],MATCH(E233,都市マスタ['#],0),MATCH(F230,都市マスタ[#Headers],0)),"")</f>
        <v>東京</v>
      </c>
      <c r="G233" s="9">
        <f>IFERROR(INDEX(生データ表[],MATCH(E233,生データ表['#],0),MATCH(C230,生データ表[#Headers],0)),"")</f>
        <v>0.30624783195220601</v>
      </c>
      <c r="H233" s="236">
        <f>IFERROR(INDEX(スコア表[],MATCH(E233,スコア表['#],0),MATCH(C230,スコア表[#Headers],0)),"")</f>
        <v>16.827756941499999</v>
      </c>
    </row>
    <row r="234" spans="2:8">
      <c r="E234" s="11">
        <v>4</v>
      </c>
      <c r="F234" s="13" t="str">
        <f>IFERROR(INDEX(都市マスタ[],MATCH(E234,都市マスタ['#],0),MATCH(F230,都市マスタ[#Headers],0)),"")</f>
        <v>パリ</v>
      </c>
      <c r="G234" s="9">
        <f>IFERROR(INDEX(生データ表[],MATCH(E234,生データ表['#],0),MATCH(C230,生データ表[#Headers],0)),"")</f>
        <v>0.25</v>
      </c>
      <c r="H234" s="236">
        <f>IFERROR(INDEX(スコア表[],MATCH(E234,スコア表['#],0),MATCH(C230,スコア表[#Headers],0)),"")</f>
        <v>38.461538461499998</v>
      </c>
    </row>
    <row r="235" spans="2:8">
      <c r="B235" s="240" t="s">
        <v>2067</v>
      </c>
      <c r="E235" s="11">
        <v>21</v>
      </c>
      <c r="F235" s="13" t="str">
        <f>IFERROR(INDEX(都市マスタ[],MATCH(E235,都市マスタ['#],0),MATCH(F230,都市マスタ[#Headers],0)),"")</f>
        <v>シンガポール</v>
      </c>
      <c r="G235" s="9">
        <f>IFERROR(INDEX(生データ表[],MATCH(E235,生データ表['#],0),MATCH(C230,生データ表[#Headers],0)),"")</f>
        <v>0.17</v>
      </c>
      <c r="H235" s="236">
        <f>IFERROR(INDEX(スコア表[],MATCH(E235,スコア表['#],0),MATCH(C230,スコア表[#Headers],0)),"")</f>
        <v>69.230769230800007</v>
      </c>
    </row>
    <row r="236" spans="2:8">
      <c r="E236" s="11">
        <v>26</v>
      </c>
      <c r="F236" s="13" t="str">
        <f>IFERROR(INDEX(都市マスタ[],MATCH(E236,都市マスタ['#],0),MATCH(F230,都市マスタ[#Headers],0)),"")</f>
        <v>ソウル</v>
      </c>
      <c r="G236" s="9">
        <f>IFERROR(INDEX(生データ表[],MATCH(E236,生データ表['#],0),MATCH(C230,生データ表[#Headers],0)),"")</f>
        <v>0.24</v>
      </c>
      <c r="H236" s="236">
        <f>IFERROR(INDEX(スコア表[],MATCH(E236,スコア表['#],0),MATCH(C230,スコア表[#Headers],0)),"")</f>
        <v>42.307692307700002</v>
      </c>
    </row>
    <row r="237" spans="2:8">
      <c r="E237" s="11">
        <v>22</v>
      </c>
      <c r="F237" s="13" t="str">
        <f>IFERROR(INDEX(都市マスタ[],MATCH(E237,都市マスタ['#],0),MATCH(F230,都市マスタ[#Headers],0)),"")</f>
        <v>香港</v>
      </c>
      <c r="G237" s="9">
        <f>IFERROR(INDEX(生データ表[],MATCH(E237,生データ表['#],0),MATCH(C230,生データ表[#Headers],0)),"")</f>
        <v>0.16500000000000001</v>
      </c>
      <c r="H237" s="236">
        <f>IFERROR(INDEX(スコア表[],MATCH(E237,スコア表['#],0),MATCH(C230,スコア表[#Headers],0)),"")</f>
        <v>71.153846153800004</v>
      </c>
    </row>
    <row r="238" spans="2:8">
      <c r="E238" s="11">
        <v>23</v>
      </c>
      <c r="F238" s="13" t="str">
        <f>IFERROR(INDEX(都市マスタ[],MATCH(E238,都市マスタ['#],0),MATCH(F230,都市マスタ[#Headers],0)),"")</f>
        <v>北京</v>
      </c>
      <c r="G238" s="9">
        <f>IFERROR(INDEX(生データ表[],MATCH(E238,生データ表['#],0),MATCH(C230,生データ表[#Headers],0)),"")</f>
        <v>0.25</v>
      </c>
      <c r="H238" s="236">
        <f>IFERROR(INDEX(スコア表[],MATCH(E238,スコア表['#],0),MATCH(C230,スコア表[#Headers],0)),"")</f>
        <v>38.461538461499998</v>
      </c>
    </row>
    <row r="239" spans="2:8">
      <c r="B239" s="240" t="s">
        <v>2068</v>
      </c>
      <c r="E239" s="11">
        <v>24</v>
      </c>
      <c r="F239" s="13" t="str">
        <f>IFERROR(INDEX(都市マスタ[],MATCH(E239,都市マスタ['#],0),MATCH(F230,都市マスタ[#Headers],0)),"")</f>
        <v>上海</v>
      </c>
      <c r="G239" s="9">
        <f>IFERROR(INDEX(生データ表[],MATCH(E239,生データ表['#],0),MATCH(C230,生データ表[#Headers],0)),"")</f>
        <v>0.25</v>
      </c>
      <c r="H239" s="236">
        <f>IFERROR(INDEX(スコア表[],MATCH(E239,スコア表['#],0),MATCH(C230,スコア表[#Headers],0)),"")</f>
        <v>38.461538461499998</v>
      </c>
    </row>
    <row r="240" spans="2:8">
      <c r="B240" t="s">
        <v>2070</v>
      </c>
      <c r="E240" s="11"/>
      <c r="F240" s="13" t="str">
        <f>IFERROR(INDEX(都市マスタ[],MATCH(E240,都市マスタ['#],0),MATCH(F230,都市マスタ[#Headers],0)),"")</f>
        <v/>
      </c>
      <c r="G240" s="231" t="str">
        <f>IFERROR(INDEX(生データ表[],MATCH(E240,生データ表['#],0),MATCH(C230,生データ表[#Headers],0)),"")</f>
        <v/>
      </c>
      <c r="H240" s="236" t="str">
        <f>IFERROR(INDEX(スコア表[],MATCH(E240,スコア表['#],0),MATCH(C230,スコア表[#Headers],0)),"")</f>
        <v/>
      </c>
    </row>
    <row r="241" spans="2:8">
      <c r="B241" t="s">
        <v>2071</v>
      </c>
      <c r="E241" s="11"/>
      <c r="F241" s="13" t="str">
        <f>IFERROR(INDEX(都市マスタ[],MATCH(E241,都市マスタ['#],0),MATCH(F230,都市マスタ[#Headers],0)),"")</f>
        <v/>
      </c>
      <c r="G241" s="231" t="str">
        <f>IFERROR(INDEX(生データ表[],MATCH(E241,生データ表['#],0),MATCH(C230,生データ表[#Headers],0)),"")</f>
        <v/>
      </c>
      <c r="H241" s="236" t="str">
        <f>IFERROR(INDEX(スコア表[],MATCH(E241,スコア表['#],0),MATCH(C230,スコア表[#Headers],0)),"")</f>
        <v/>
      </c>
    </row>
    <row r="242" spans="2:8">
      <c r="B242" t="s">
        <v>2069</v>
      </c>
      <c r="E242" s="11"/>
      <c r="F242" s="13" t="str">
        <f>IFERROR(INDEX(都市マスタ[],MATCH(E242,都市マスタ['#],0),MATCH(F230,都市マスタ[#Headers],0)),"")</f>
        <v/>
      </c>
      <c r="G242" s="231" t="str">
        <f>IFERROR(INDEX(生データ表[],MATCH(E242,生データ表['#],0),MATCH(C230,生データ表[#Headers],0)),"")</f>
        <v/>
      </c>
      <c r="H242" s="236" t="str">
        <f>IFERROR(INDEX(スコア表[],MATCH(E242,スコア表['#],0),MATCH(C230,スコア表[#Headers],0)),"")</f>
        <v/>
      </c>
    </row>
    <row r="243" spans="2:8">
      <c r="E243" s="11"/>
      <c r="F243" s="13" t="str">
        <f>IFERROR(INDEX(都市マスタ[],MATCH(E243,都市マスタ['#],0),MATCH(F230,都市マスタ[#Headers],0)),"")</f>
        <v/>
      </c>
      <c r="G243" s="231" t="str">
        <f>IFERROR(INDEX(生データ表[],MATCH(E243,生データ表['#],0),MATCH(C230,生データ表[#Headers],0)),"")</f>
        <v/>
      </c>
      <c r="H243" s="236" t="str">
        <f>IFERROR(INDEX(スコア表[],MATCH(E243,スコア表['#],0),MATCH(C230,スコア表[#Headers],0)),"")</f>
        <v/>
      </c>
    </row>
    <row r="245" spans="2:8">
      <c r="B245" s="36" t="s">
        <v>208</v>
      </c>
      <c r="C245" s="37" t="s">
        <v>549</v>
      </c>
      <c r="E245" s="35" t="s">
        <v>208</v>
      </c>
      <c r="F245" s="36" t="str">
        <f>IF(JPEN!$C$2="EN",都市!$C$2,都市!$D$2)</f>
        <v>都市名</v>
      </c>
      <c r="G245" s="36" t="s">
        <v>644</v>
      </c>
      <c r="H245" s="36" t="s">
        <v>645</v>
      </c>
    </row>
    <row r="246" spans="2:8">
      <c r="B246" s="36" t="str">
        <f>IF(JPEN!$C$2="EN",指標!$I$2,指標!$H$2)</f>
        <v>指標</v>
      </c>
      <c r="C246" s="13" t="str">
        <f ca="1">INDEX(INDIRECT("指標マスタ["&amp;B246&amp;"]"),MATCH(C245,指標マスタ['#],0))</f>
        <v>政治・経済・商機のリスクの低さ</v>
      </c>
      <c r="E246" s="11">
        <v>3</v>
      </c>
      <c r="F246" s="13" t="str">
        <f>IFERROR(INDEX(都市マスタ[],MATCH(E246,都市マスタ['#],0),MATCH(F245,都市マスタ[#Headers],0)),"")</f>
        <v>ロンドン</v>
      </c>
      <c r="G246" s="5">
        <f>IFERROR(INDEX(生データ表[],MATCH(E246,生データ表['#],0),MATCH(C245,生データ表[#Headers],0)),"")</f>
        <v>95.159862172720494</v>
      </c>
      <c r="H246" s="236">
        <f>IFERROR(INDEX(スコア表[],MATCH(E246,スコア表['#],0),MATCH(C245,スコア表[#Headers],0)),"")</f>
        <v>94.893104138799998</v>
      </c>
    </row>
    <row r="247" spans="2:8">
      <c r="B247" s="36" t="str">
        <f>IF(JPEN!$C$2="EN",指標!$L$2,指標!$K$2)</f>
        <v>単位</v>
      </c>
      <c r="C247" s="13" t="str">
        <f>INDEX(指標マスタ[],MATCH(C245,指標マスタ['#],0),MATCH(B247,指標マスタ[#Headers],0))</f>
        <v>（合算）</v>
      </c>
      <c r="E247" s="11">
        <v>38</v>
      </c>
      <c r="F247" s="13" t="str">
        <f>IFERROR(INDEX(都市マスタ[],MATCH(E247,都市マスタ['#],0),MATCH(F245,都市マスタ[#Headers],0)),"")</f>
        <v>ニューヨーク</v>
      </c>
      <c r="G247" s="5">
        <f>IFERROR(INDEX(生データ表[],MATCH(E247,生データ表['#],0),MATCH(C245,生データ表[#Headers],0)),"")</f>
        <v>98.194403425871201</v>
      </c>
      <c r="H247" s="236">
        <f>IFERROR(INDEX(スコア表[],MATCH(E247,スコア表['#],0),MATCH(C245,スコア表[#Headers],0)),"")</f>
        <v>98.0948902696</v>
      </c>
    </row>
    <row r="248" spans="2:8">
      <c r="B248" s="36" t="s">
        <v>646</v>
      </c>
      <c r="C248" s="13" t="str">
        <f>INDEX(生データ表2[],MATCH(B248,生データ表2[maxmin],0),MATCH(C245,生データ表2[#Headers],0))</f>
        <v>プラス</v>
      </c>
      <c r="E248" s="11">
        <v>29</v>
      </c>
      <c r="F248" s="13" t="str">
        <f>IFERROR(INDEX(都市マスタ[],MATCH(E248,都市マスタ['#],0),MATCH(F245,都市マスタ[#Headers],0)),"")</f>
        <v>東京</v>
      </c>
      <c r="G248" s="5">
        <f>IFERROR(INDEX(生データ表[],MATCH(E248,生データ表['#],0),MATCH(C245,生データ表[#Headers],0)),"")</f>
        <v>84.580785105238206</v>
      </c>
      <c r="H248" s="236">
        <f>IFERROR(INDEX(スコア表[],MATCH(E248,スコア表['#],0),MATCH(C245,スコア表[#Headers],0)),"")</f>
        <v>83.730974708000005</v>
      </c>
    </row>
    <row r="249" spans="2:8">
      <c r="E249" s="11">
        <v>4</v>
      </c>
      <c r="F249" s="13" t="str">
        <f>IFERROR(INDEX(都市マスタ[],MATCH(E249,都市マスタ['#],0),MATCH(F245,都市マスタ[#Headers],0)),"")</f>
        <v>パリ</v>
      </c>
      <c r="G249" s="5">
        <f>IFERROR(INDEX(生データ表[],MATCH(E249,生データ表['#],0),MATCH(C245,生データ表[#Headers],0)),"")</f>
        <v>82.832899226868903</v>
      </c>
      <c r="H249" s="236">
        <f>IFERROR(INDEX(スコア表[],MATCH(E249,スコア表['#],0),MATCH(C245,スコア表[#Headers],0)),"")</f>
        <v>81.886756324800004</v>
      </c>
    </row>
    <row r="250" spans="2:8">
      <c r="B250" s="240" t="s">
        <v>2067</v>
      </c>
      <c r="E250" s="11">
        <v>21</v>
      </c>
      <c r="F250" s="13" t="str">
        <f>IFERROR(INDEX(都市マスタ[],MATCH(E250,都市マスタ['#],0),MATCH(F245,都市マスタ[#Headers],0)),"")</f>
        <v>シンガポール</v>
      </c>
      <c r="G250" s="5">
        <f>IFERROR(INDEX(生データ表[],MATCH(E250,生データ表['#],0),MATCH(C245,生データ表[#Headers],0)),"")</f>
        <v>100</v>
      </c>
      <c r="H250" s="236">
        <f>IFERROR(INDEX(スコア表[],MATCH(E250,スコア表['#],0),MATCH(C245,スコア表[#Headers],0)),"")</f>
        <v>100</v>
      </c>
    </row>
    <row r="251" spans="2:8">
      <c r="E251" s="11">
        <v>26</v>
      </c>
      <c r="F251" s="13" t="str">
        <f>IFERROR(INDEX(都市マスタ[],MATCH(E251,都市マスタ['#],0),MATCH(F245,都市マスタ[#Headers],0)),"")</f>
        <v>ソウル</v>
      </c>
      <c r="G251" s="5">
        <f>IFERROR(INDEX(生データ表[],MATCH(E251,生データ表['#],0),MATCH(C245,生データ表[#Headers],0)),"")</f>
        <v>95.984362298456702</v>
      </c>
      <c r="H251" s="236">
        <f>IFERROR(INDEX(スコア表[],MATCH(E251,スコア表['#],0),MATCH(C245,スコア表[#Headers],0)),"")</f>
        <v>95.763045539199993</v>
      </c>
    </row>
    <row r="252" spans="2:8">
      <c r="E252" s="11">
        <v>22</v>
      </c>
      <c r="F252" s="13" t="str">
        <f>IFERROR(INDEX(都市マスタ[],MATCH(E252,都市マスタ['#],0),MATCH(F245,都市マスタ[#Headers],0)),"")</f>
        <v>香港</v>
      </c>
      <c r="G252" s="5">
        <f>IFERROR(INDEX(生データ表[],MATCH(E252,生データ表['#],0),MATCH(C245,生データ表[#Headers],0)),"")</f>
        <v>98.3868053078196</v>
      </c>
      <c r="H252" s="236">
        <f>IFERROR(INDEX(スコア表[],MATCH(E252,スコア表['#],0),MATCH(C245,スコア表[#Headers],0)),"")</f>
        <v>98.297896136299997</v>
      </c>
    </row>
    <row r="253" spans="2:8">
      <c r="E253" s="11">
        <v>23</v>
      </c>
      <c r="F253" s="13" t="str">
        <f>IFERROR(INDEX(都市マスタ[],MATCH(E253,都市マスタ['#],0),MATCH(F245,都市マスタ[#Headers],0)),"")</f>
        <v>北京</v>
      </c>
      <c r="G253" s="5">
        <f>IFERROR(INDEX(生データ表[],MATCH(E253,生データ表['#],0),MATCH(C245,生データ表[#Headers],0)),"")</f>
        <v>81.758518623569302</v>
      </c>
      <c r="H253" s="236">
        <f>IFERROR(INDEX(スコア表[],MATCH(E253,スコア表['#],0),MATCH(C245,スコア表[#Headers],0)),"")</f>
        <v>80.753162602399996</v>
      </c>
    </row>
    <row r="254" spans="2:8">
      <c r="B254" s="240" t="s">
        <v>2068</v>
      </c>
      <c r="E254" s="11">
        <v>24</v>
      </c>
      <c r="F254" s="13" t="str">
        <f>IFERROR(INDEX(都市マスタ[],MATCH(E254,都市マスタ['#],0),MATCH(F245,都市マスタ[#Headers],0)),"")</f>
        <v>上海</v>
      </c>
      <c r="G254" s="5">
        <f>IFERROR(INDEX(生データ表[],MATCH(E254,生データ表['#],0),MATCH(C245,生データ表[#Headers],0)),"")</f>
        <v>80.760100559671997</v>
      </c>
      <c r="H254" s="236">
        <f>IFERROR(INDEX(スコア表[],MATCH(E254,スコア表['#],0),MATCH(C245,スコア表[#Headers],0)),"")</f>
        <v>79.699717998099999</v>
      </c>
    </row>
    <row r="255" spans="2:8">
      <c r="B255" t="s">
        <v>2070</v>
      </c>
      <c r="E255" s="11"/>
      <c r="F255" s="13" t="str">
        <f>IFERROR(INDEX(都市マスタ[],MATCH(E255,都市マスタ['#],0),MATCH(F245,都市マスタ[#Headers],0)),"")</f>
        <v/>
      </c>
      <c r="G255" s="231" t="str">
        <f>IFERROR(INDEX(生データ表[],MATCH(E255,生データ表['#],0),MATCH(C245,生データ表[#Headers],0)),"")</f>
        <v/>
      </c>
      <c r="H255" s="236" t="str">
        <f>IFERROR(INDEX(スコア表[],MATCH(E255,スコア表['#],0),MATCH(C245,スコア表[#Headers],0)),"")</f>
        <v/>
      </c>
    </row>
    <row r="256" spans="2:8">
      <c r="B256" t="s">
        <v>2071</v>
      </c>
      <c r="E256" s="11"/>
      <c r="F256" s="13" t="str">
        <f>IFERROR(INDEX(都市マスタ[],MATCH(E256,都市マスタ['#],0),MATCH(F245,都市マスタ[#Headers],0)),"")</f>
        <v/>
      </c>
      <c r="G256" s="231" t="str">
        <f>IFERROR(INDEX(生データ表[],MATCH(E256,生データ表['#],0),MATCH(C245,生データ表[#Headers],0)),"")</f>
        <v/>
      </c>
      <c r="H256" s="236" t="str">
        <f>IFERROR(INDEX(スコア表[],MATCH(E256,スコア表['#],0),MATCH(C245,スコア表[#Headers],0)),"")</f>
        <v/>
      </c>
    </row>
    <row r="257" spans="2:8">
      <c r="B257" t="s">
        <v>2069</v>
      </c>
      <c r="E257" s="11"/>
      <c r="F257" s="13" t="str">
        <f>IFERROR(INDEX(都市マスタ[],MATCH(E257,都市マスタ['#],0),MATCH(F245,都市マスタ[#Headers],0)),"")</f>
        <v/>
      </c>
      <c r="G257" s="231" t="str">
        <f>IFERROR(INDEX(生データ表[],MATCH(E257,生データ表['#],0),MATCH(C245,生データ表[#Headers],0)),"")</f>
        <v/>
      </c>
      <c r="H257" s="236" t="str">
        <f>IFERROR(INDEX(スコア表[],MATCH(E257,スコア表['#],0),MATCH(C245,スコア表[#Headers],0)),"")</f>
        <v/>
      </c>
    </row>
    <row r="258" spans="2:8">
      <c r="E258" s="11"/>
      <c r="F258" s="13" t="str">
        <f>IFERROR(INDEX(都市マスタ[],MATCH(E258,都市マスタ['#],0),MATCH(F245,都市マスタ[#Headers],0)),"")</f>
        <v/>
      </c>
      <c r="G258" s="231" t="str">
        <f>IFERROR(INDEX(生データ表[],MATCH(E258,生データ表['#],0),MATCH(C245,生データ表[#Headers],0)),"")</f>
        <v/>
      </c>
      <c r="H258" s="236" t="str">
        <f>IFERROR(INDEX(スコア表[],MATCH(E258,スコア表['#],0),MATCH(C245,スコア表[#Headers],0)),"")</f>
        <v/>
      </c>
    </row>
    <row r="260" spans="2:8">
      <c r="B260" s="36" t="s">
        <v>208</v>
      </c>
      <c r="C260" s="37" t="s">
        <v>550</v>
      </c>
      <c r="E260" s="35" t="s">
        <v>208</v>
      </c>
      <c r="F260" s="36" t="str">
        <f>IF(JPEN!$C$2="EN",都市!$C$2,都市!$D$2)</f>
        <v>都市名</v>
      </c>
      <c r="G260" s="36" t="s">
        <v>644</v>
      </c>
      <c r="H260" s="36" t="s">
        <v>645</v>
      </c>
    </row>
    <row r="261" spans="2:8">
      <c r="B261" s="36" t="str">
        <f>IF(JPEN!$C$2="EN",指標!$I$2,指標!$H$2)</f>
        <v>指標</v>
      </c>
      <c r="C261" s="13" t="str">
        <f ca="1">INDEX(INDIRECT("指標マスタ["&amp;B261&amp;"]"),MATCH(C260,指標マスタ['#],0))</f>
        <v>研究者数</v>
      </c>
      <c r="E261" s="11">
        <v>3</v>
      </c>
      <c r="F261" s="13" t="str">
        <f>IFERROR(INDEX(都市マスタ[],MATCH(E261,都市マスタ['#],0),MATCH(F260,都市マスタ[#Headers],0)),"")</f>
        <v>ロンドン</v>
      </c>
      <c r="G261" s="5">
        <f>IFERROR(INDEX(生データ表[],MATCH(E261,生データ表['#],0),MATCH(C260,生データ表[#Headers],0)),"")</f>
        <v>53586.924894415097</v>
      </c>
      <c r="H261" s="236">
        <f>IFERROR(INDEX(スコア表[],MATCH(E261,スコア表['#],0),MATCH(C260,スコア表[#Headers],0)),"")</f>
        <v>51.694765022399999</v>
      </c>
    </row>
    <row r="262" spans="2:8">
      <c r="B262" s="36" t="str">
        <f>IF(JPEN!$C$2="EN",指標!$L$2,指標!$K$2)</f>
        <v>単位</v>
      </c>
      <c r="C262" s="13" t="str">
        <f>INDEX(指標マスタ[],MATCH(C260,指標マスタ['#],0),MATCH(B262,指標マスタ[#Headers],0))</f>
        <v>人</v>
      </c>
      <c r="E262" s="11">
        <v>38</v>
      </c>
      <c r="F262" s="13" t="str">
        <f>IFERROR(INDEX(都市マスタ[],MATCH(E262,都市マスタ['#],0),MATCH(F260,都市マスタ[#Headers],0)),"")</f>
        <v>ニューヨーク</v>
      </c>
      <c r="G262" s="5">
        <f>IFERROR(INDEX(生データ表[],MATCH(E262,生データ表['#],0),MATCH(C260,生データ表[#Headers],0)),"")</f>
        <v>102333.390527417</v>
      </c>
      <c r="H262" s="236">
        <f>IFERROR(INDEX(スコア表[],MATCH(E262,スコア表['#],0),MATCH(C260,スコア表[#Headers],0)),"")</f>
        <v>100</v>
      </c>
    </row>
    <row r="263" spans="2:8">
      <c r="B263" s="36" t="s">
        <v>646</v>
      </c>
      <c r="C263" s="13" t="str">
        <f>INDEX(生データ表2[],MATCH(B263,生データ表2[maxmin],0),MATCH(C260,生データ表2[#Headers],0))</f>
        <v>プラス</v>
      </c>
      <c r="E263" s="11">
        <v>29</v>
      </c>
      <c r="F263" s="13" t="str">
        <f>IFERROR(INDEX(都市マスタ[],MATCH(E263,都市マスタ['#],0),MATCH(F260,都市マスタ[#Headers],0)),"")</f>
        <v>東京</v>
      </c>
      <c r="G263" s="5">
        <f>IFERROR(INDEX(生データ表[],MATCH(E263,生データ表['#],0),MATCH(C260,生データ表[#Headers],0)),"")</f>
        <v>92806.5999147439</v>
      </c>
      <c r="H263" s="236">
        <f>IFERROR(INDEX(スコア表[],MATCH(E263,スコア表['#],0),MATCH(C260,スコア表[#Headers],0)),"")</f>
        <v>90.559441527700002</v>
      </c>
    </row>
    <row r="264" spans="2:8">
      <c r="E264" s="11">
        <v>4</v>
      </c>
      <c r="F264" s="13" t="str">
        <f>IFERROR(INDEX(都市マスタ[],MATCH(E264,都市マスタ['#],0),MATCH(F260,都市マスタ[#Headers],0)),"")</f>
        <v>パリ</v>
      </c>
      <c r="G264" s="5">
        <f>IFERROR(INDEX(生データ表[],MATCH(E264,生データ表['#],0),MATCH(C260,生データ表[#Headers],0)),"")</f>
        <v>22750.284511998099</v>
      </c>
      <c r="H264" s="236">
        <f>IFERROR(INDEX(スコア表[],MATCH(E264,スコア表['#],0),MATCH(C260,スコア表[#Headers],0)),"")</f>
        <v>21.137243769400001</v>
      </c>
    </row>
    <row r="265" spans="2:8">
      <c r="B265" s="240" t="s">
        <v>2067</v>
      </c>
      <c r="E265" s="11">
        <v>21</v>
      </c>
      <c r="F265" s="13" t="str">
        <f>IFERROR(INDEX(都市マスタ[],MATCH(E265,都市マスタ['#],0),MATCH(F260,都市マスタ[#Headers],0)),"")</f>
        <v>シンガポール</v>
      </c>
      <c r="G265" s="5">
        <f>IFERROR(INDEX(生データ表[],MATCH(E265,生データ表['#],0),MATCH(C260,生データ表[#Headers],0)),"")</f>
        <v>42292.974326800002</v>
      </c>
      <c r="H265" s="236">
        <f>IFERROR(INDEX(スコア表[],MATCH(E265,スコア表['#],0),MATCH(C260,スコア表[#Headers],0)),"")</f>
        <v>40.503042116800003</v>
      </c>
    </row>
    <row r="266" spans="2:8">
      <c r="E266" s="11">
        <v>26</v>
      </c>
      <c r="F266" s="13" t="str">
        <f>IFERROR(INDEX(都市マスタ[],MATCH(E266,都市マスタ['#],0),MATCH(F260,都市マスタ[#Headers],0)),"")</f>
        <v>ソウル</v>
      </c>
      <c r="G266" s="5">
        <f>IFERROR(INDEX(生データ表[],MATCH(E266,生データ表['#],0),MATCH(C260,生データ表[#Headers],0)),"")</f>
        <v>85071.343785637902</v>
      </c>
      <c r="H266" s="236">
        <f>IFERROR(INDEX(スコア表[],MATCH(E266,スコア表['#],0),MATCH(C260,スコア表[#Headers],0)),"")</f>
        <v>82.894201390199996</v>
      </c>
    </row>
    <row r="267" spans="2:8">
      <c r="E267" s="11">
        <v>22</v>
      </c>
      <c r="F267" s="13" t="str">
        <f>IFERROR(INDEX(都市マスタ[],MATCH(E267,都市マスタ['#],0),MATCH(F260,都市マスタ[#Headers],0)),"")</f>
        <v>香港</v>
      </c>
      <c r="G267" s="5">
        <f>IFERROR(INDEX(生データ表[],MATCH(E267,生データ表['#],0),MATCH(C260,生データ表[#Headers],0)),"")</f>
        <v>34150.534724999998</v>
      </c>
      <c r="H267" s="236">
        <f>IFERROR(INDEX(スコア表[],MATCH(E267,スコア表['#],0),MATCH(C260,スコア表[#Headers],0)),"")</f>
        <v>32.4343041447</v>
      </c>
    </row>
    <row r="268" spans="2:8">
      <c r="E268" s="11">
        <v>23</v>
      </c>
      <c r="F268" s="13" t="str">
        <f>IFERROR(INDEX(都市マスタ[],MATCH(E268,都市マスタ['#],0),MATCH(F260,都市マスタ[#Headers],0)),"")</f>
        <v>北京</v>
      </c>
      <c r="G268" s="5">
        <f>IFERROR(INDEX(生データ表[],MATCH(E268,生データ表['#],0),MATCH(C260,生データ表[#Headers],0)),"")</f>
        <v>37289.927824581799</v>
      </c>
      <c r="H268" s="236">
        <f>IFERROR(INDEX(スコア表[],MATCH(E268,スコア表['#],0),MATCH(C260,スコア表[#Headers],0)),"")</f>
        <v>35.5452808975</v>
      </c>
    </row>
    <row r="269" spans="2:8">
      <c r="B269" s="240" t="s">
        <v>2068</v>
      </c>
      <c r="E269" s="11">
        <v>24</v>
      </c>
      <c r="F269" s="13" t="str">
        <f>IFERROR(INDEX(都市マスタ[],MATCH(E269,都市マスタ['#],0),MATCH(F260,都市マスタ[#Headers],0)),"")</f>
        <v>上海</v>
      </c>
      <c r="G269" s="5">
        <f>IFERROR(INDEX(生データ表[],MATCH(E269,生データ表['#],0),MATCH(C260,生データ表[#Headers],0)),"")</f>
        <v>40541.436696483703</v>
      </c>
      <c r="H269" s="236">
        <f>IFERROR(INDEX(スコア表[],MATCH(E269,スコア表['#],0),MATCH(C260,スコア表[#Headers],0)),"")</f>
        <v>38.767358602000002</v>
      </c>
    </row>
    <row r="270" spans="2:8">
      <c r="B270" t="s">
        <v>2070</v>
      </c>
      <c r="E270" s="11"/>
      <c r="F270" s="13" t="str">
        <f>IFERROR(INDEX(都市マスタ[],MATCH(E270,都市マスタ['#],0),MATCH(F260,都市マスタ[#Headers],0)),"")</f>
        <v/>
      </c>
      <c r="G270" s="231" t="str">
        <f>IFERROR(INDEX(生データ表[],MATCH(E270,生データ表['#],0),MATCH(C260,生データ表[#Headers],0)),"")</f>
        <v/>
      </c>
      <c r="H270" s="236" t="str">
        <f>IFERROR(INDEX(スコア表[],MATCH(E270,スコア表['#],0),MATCH(C260,スコア表[#Headers],0)),"")</f>
        <v/>
      </c>
    </row>
    <row r="271" spans="2:8">
      <c r="B271" t="s">
        <v>2071</v>
      </c>
      <c r="E271" s="11"/>
      <c r="F271" s="13" t="str">
        <f>IFERROR(INDEX(都市マスタ[],MATCH(E271,都市マスタ['#],0),MATCH(F260,都市マスタ[#Headers],0)),"")</f>
        <v/>
      </c>
      <c r="G271" s="231" t="str">
        <f>IFERROR(INDEX(生データ表[],MATCH(E271,生データ表['#],0),MATCH(C260,生データ表[#Headers],0)),"")</f>
        <v/>
      </c>
      <c r="H271" s="236" t="str">
        <f>IFERROR(INDEX(スコア表[],MATCH(E271,スコア表['#],0),MATCH(C260,スコア表[#Headers],0)),"")</f>
        <v/>
      </c>
    </row>
    <row r="272" spans="2:8">
      <c r="B272" t="s">
        <v>2069</v>
      </c>
      <c r="E272" s="11"/>
      <c r="F272" s="13" t="str">
        <f>IFERROR(INDEX(都市マスタ[],MATCH(E272,都市マスタ['#],0),MATCH(F260,都市マスタ[#Headers],0)),"")</f>
        <v/>
      </c>
      <c r="G272" s="231" t="str">
        <f>IFERROR(INDEX(生データ表[],MATCH(E272,生データ表['#],0),MATCH(C260,生データ表[#Headers],0)),"")</f>
        <v/>
      </c>
      <c r="H272" s="236" t="str">
        <f>IFERROR(INDEX(スコア表[],MATCH(E272,スコア表['#],0),MATCH(C260,スコア表[#Headers],0)),"")</f>
        <v/>
      </c>
    </row>
    <row r="273" spans="2:8">
      <c r="E273" s="11"/>
      <c r="F273" s="13" t="str">
        <f>IFERROR(INDEX(都市マスタ[],MATCH(E273,都市マスタ['#],0),MATCH(F260,都市マスタ[#Headers],0)),"")</f>
        <v/>
      </c>
      <c r="G273" s="231" t="str">
        <f>IFERROR(INDEX(生データ表[],MATCH(E273,生データ表['#],0),MATCH(C260,生データ表[#Headers],0)),"")</f>
        <v/>
      </c>
      <c r="H273" s="236" t="str">
        <f>IFERROR(INDEX(スコア表[],MATCH(E273,スコア表['#],0),MATCH(C260,スコア表[#Headers],0)),"")</f>
        <v/>
      </c>
    </row>
    <row r="275" spans="2:8">
      <c r="B275" s="36" t="s">
        <v>208</v>
      </c>
      <c r="C275" s="37" t="s">
        <v>551</v>
      </c>
      <c r="E275" s="35" t="s">
        <v>208</v>
      </c>
      <c r="F275" s="36" t="str">
        <f>IF(JPEN!$C$2="EN",都市!$C$2,都市!$D$2)</f>
        <v>都市名</v>
      </c>
      <c r="G275" s="36" t="s">
        <v>644</v>
      </c>
      <c r="H275" s="36" t="s">
        <v>645</v>
      </c>
    </row>
    <row r="276" spans="2:8">
      <c r="B276" s="36" t="str">
        <f>IF(JPEN!$C$2="EN",指標!$I$2,指標!$H$2)</f>
        <v>指標</v>
      </c>
      <c r="C276" s="13" t="str">
        <f ca="1">INDEX(INDIRECT("指標マスタ["&amp;B276&amp;"]"),MATCH(C275,指標マスタ['#],0))</f>
        <v>世界トップ大学</v>
      </c>
      <c r="E276" s="11">
        <v>3</v>
      </c>
      <c r="F276" s="13" t="str">
        <f>IFERROR(INDEX(都市マスタ[],MATCH(E276,都市マスタ['#],0),MATCH(F275,都市マスタ[#Headers],0)),"")</f>
        <v>ロンドン</v>
      </c>
      <c r="G276" s="5">
        <f>IFERROR(INDEX(生データ表[],MATCH(E276,生データ表['#],0),MATCH(C275,生データ表[#Headers],0)),"")</f>
        <v>793</v>
      </c>
      <c r="H276" s="236">
        <f>IFERROR(INDEX(スコア表[],MATCH(E276,スコア表['#],0),MATCH(C275,スコア表[#Headers],0)),"")</f>
        <v>100</v>
      </c>
    </row>
    <row r="277" spans="2:8">
      <c r="B277" s="36" t="str">
        <f>IF(JPEN!$C$2="EN",指標!$L$2,指標!$K$2)</f>
        <v>単位</v>
      </c>
      <c r="C277" s="13" t="str">
        <f>INDEX(指標マスタ[],MATCH(C275,指標マスタ['#],0),MATCH(B277,指標マスタ[#Headers],0))</f>
        <v>pt</v>
      </c>
      <c r="E277" s="11">
        <v>38</v>
      </c>
      <c r="F277" s="13" t="str">
        <f>IFERROR(INDEX(都市マスタ[],MATCH(E277,都市マスタ['#],0),MATCH(F275,都市マスタ[#Headers],0)),"")</f>
        <v>ニューヨーク</v>
      </c>
      <c r="G277" s="5">
        <f>IFERROR(INDEX(生データ表[],MATCH(E277,生データ表['#],0),MATCH(C275,生データ表[#Headers],0)),"")</f>
        <v>371</v>
      </c>
      <c r="H277" s="236">
        <f>IFERROR(INDEX(スコア表[],MATCH(E277,スコア表['#],0),MATCH(C275,スコア表[#Headers],0)),"")</f>
        <v>46.784363177800003</v>
      </c>
    </row>
    <row r="278" spans="2:8">
      <c r="B278" s="36" t="s">
        <v>646</v>
      </c>
      <c r="C278" s="13" t="str">
        <f>INDEX(生データ表2[],MATCH(B278,生データ表2[maxmin],0),MATCH(C275,生データ表2[#Headers],0))</f>
        <v>プラス</v>
      </c>
      <c r="E278" s="11">
        <v>29</v>
      </c>
      <c r="F278" s="13" t="str">
        <f>IFERROR(INDEX(都市マスタ[],MATCH(E278,都市マスタ['#],0),MATCH(F275,都市マスタ[#Headers],0)),"")</f>
        <v>東京</v>
      </c>
      <c r="G278" s="5">
        <f>IFERROR(INDEX(生データ表[],MATCH(E278,生データ表['#],0),MATCH(C275,生データ表[#Headers],0)),"")</f>
        <v>167</v>
      </c>
      <c r="H278" s="236">
        <f>IFERROR(INDEX(スコア表[],MATCH(E278,スコア表['#],0),MATCH(C275,スコア表[#Headers],0)),"")</f>
        <v>21.059268600300001</v>
      </c>
    </row>
    <row r="279" spans="2:8">
      <c r="E279" s="11">
        <v>4</v>
      </c>
      <c r="F279" s="13" t="str">
        <f>IFERROR(INDEX(都市マスタ[],MATCH(E279,都市マスタ['#],0),MATCH(F275,都市マスタ[#Headers],0)),"")</f>
        <v>パリ</v>
      </c>
      <c r="G279" s="5">
        <f>IFERROR(INDEX(生データ表[],MATCH(E279,生データ表['#],0),MATCH(C275,生データ表[#Headers],0)),"")</f>
        <v>571</v>
      </c>
      <c r="H279" s="236">
        <f>IFERROR(INDEX(スコア表[],MATCH(E279,スコア表['#],0),MATCH(C275,スコア表[#Headers],0)),"")</f>
        <v>72.005044136199999</v>
      </c>
    </row>
    <row r="280" spans="2:8">
      <c r="B280" s="240" t="s">
        <v>2067</v>
      </c>
      <c r="E280" s="11">
        <v>21</v>
      </c>
      <c r="F280" s="13" t="str">
        <f>IFERROR(INDEX(都市マスタ[],MATCH(E280,都市マスタ['#],0),MATCH(F275,都市マスタ[#Headers],0)),"")</f>
        <v>シンガポール</v>
      </c>
      <c r="G280" s="5">
        <f>IFERROR(INDEX(生データ表[],MATCH(E280,生データ表['#],0),MATCH(C275,生データ表[#Headers],0)),"")</f>
        <v>347</v>
      </c>
      <c r="H280" s="236">
        <f>IFERROR(INDEX(スコア表[],MATCH(E280,スコア表['#],0),MATCH(C275,スコア表[#Headers],0)),"")</f>
        <v>43.7578814628</v>
      </c>
    </row>
    <row r="281" spans="2:8">
      <c r="E281" s="11">
        <v>26</v>
      </c>
      <c r="F281" s="13" t="str">
        <f>IFERROR(INDEX(都市マスタ[],MATCH(E281,都市マスタ['#],0),MATCH(F275,都市マスタ[#Headers],0)),"")</f>
        <v>ソウル</v>
      </c>
      <c r="G281" s="5">
        <f>IFERROR(INDEX(生データ表[],MATCH(E281,生データ表['#],0),MATCH(C275,生データ表[#Headers],0)),"")</f>
        <v>307</v>
      </c>
      <c r="H281" s="236">
        <f>IFERROR(INDEX(スコア表[],MATCH(E281,スコア表['#],0),MATCH(C275,スコア表[#Headers],0)),"")</f>
        <v>38.713745271100002</v>
      </c>
    </row>
    <row r="282" spans="2:8">
      <c r="E282" s="11">
        <v>22</v>
      </c>
      <c r="F282" s="13" t="str">
        <f>IFERROR(INDEX(都市マスタ[],MATCH(E282,都市マスタ['#],0),MATCH(F275,都市マスタ[#Headers],0)),"")</f>
        <v>香港</v>
      </c>
      <c r="G282" s="5">
        <f>IFERROR(INDEX(生データ表[],MATCH(E282,生データ表['#],0),MATCH(C275,生データ表[#Headers],0)),"")</f>
        <v>694</v>
      </c>
      <c r="H282" s="236">
        <f>IFERROR(INDEX(スコア表[],MATCH(E282,スコア表['#],0),MATCH(C275,スコア表[#Headers],0)),"")</f>
        <v>87.515762925600001</v>
      </c>
    </row>
    <row r="283" spans="2:8">
      <c r="E283" s="11">
        <v>23</v>
      </c>
      <c r="F283" s="13" t="str">
        <f>IFERROR(INDEX(都市マスタ[],MATCH(E283,都市マスタ['#],0),MATCH(F275,都市マスタ[#Headers],0)),"")</f>
        <v>北京</v>
      </c>
      <c r="G283" s="5">
        <f>IFERROR(INDEX(生データ表[],MATCH(E283,生データ表['#],0),MATCH(C275,生データ表[#Headers],0)),"")</f>
        <v>376</v>
      </c>
      <c r="H283" s="236">
        <f>IFERROR(INDEX(スコア表[],MATCH(E283,スコア表['#],0),MATCH(C275,スコア表[#Headers],0)),"")</f>
        <v>47.414880201800003</v>
      </c>
    </row>
    <row r="284" spans="2:8">
      <c r="B284" s="240" t="s">
        <v>2068</v>
      </c>
      <c r="E284" s="11">
        <v>24</v>
      </c>
      <c r="F284" s="13" t="str">
        <f>IFERROR(INDEX(都市マスタ[],MATCH(E284,都市マスタ['#],0),MATCH(F275,都市マスタ[#Headers],0)),"")</f>
        <v>上海</v>
      </c>
      <c r="G284" s="5">
        <f>IFERROR(INDEX(生データ表[],MATCH(E284,生データ表['#],0),MATCH(C275,生データ表[#Headers],0)),"")</f>
        <v>303</v>
      </c>
      <c r="H284" s="236">
        <f>IFERROR(INDEX(スコア表[],MATCH(E284,スコア表['#],0),MATCH(C275,スコア表[#Headers],0)),"")</f>
        <v>38.209331652000003</v>
      </c>
    </row>
    <row r="285" spans="2:8">
      <c r="B285" t="s">
        <v>2070</v>
      </c>
      <c r="E285" s="11"/>
      <c r="F285" s="13" t="str">
        <f>IFERROR(INDEX(都市マスタ[],MATCH(E285,都市マスタ['#],0),MATCH(F275,都市マスタ[#Headers],0)),"")</f>
        <v/>
      </c>
      <c r="G285" s="231" t="str">
        <f>IFERROR(INDEX(生データ表[],MATCH(E285,生データ表['#],0),MATCH(C275,生データ表[#Headers],0)),"")</f>
        <v/>
      </c>
      <c r="H285" s="236" t="str">
        <f>IFERROR(INDEX(スコア表[],MATCH(E285,スコア表['#],0),MATCH(C275,スコア表[#Headers],0)),"")</f>
        <v/>
      </c>
    </row>
    <row r="286" spans="2:8">
      <c r="B286" t="s">
        <v>2071</v>
      </c>
      <c r="E286" s="11"/>
      <c r="F286" s="13" t="str">
        <f>IFERROR(INDEX(都市マスタ[],MATCH(E286,都市マスタ['#],0),MATCH(F275,都市マスタ[#Headers],0)),"")</f>
        <v/>
      </c>
      <c r="G286" s="231" t="str">
        <f>IFERROR(INDEX(生データ表[],MATCH(E286,生データ表['#],0),MATCH(C275,生データ表[#Headers],0)),"")</f>
        <v/>
      </c>
      <c r="H286" s="236" t="str">
        <f>IFERROR(INDEX(スコア表[],MATCH(E286,スコア表['#],0),MATCH(C275,スコア表[#Headers],0)),"")</f>
        <v/>
      </c>
    </row>
    <row r="287" spans="2:8">
      <c r="B287" t="s">
        <v>2069</v>
      </c>
      <c r="E287" s="11"/>
      <c r="F287" s="13" t="str">
        <f>IFERROR(INDEX(都市マスタ[],MATCH(E287,都市マスタ['#],0),MATCH(F275,都市マスタ[#Headers],0)),"")</f>
        <v/>
      </c>
      <c r="G287" s="231" t="str">
        <f>IFERROR(INDEX(生データ表[],MATCH(E287,生データ表['#],0),MATCH(C275,生データ表[#Headers],0)),"")</f>
        <v/>
      </c>
      <c r="H287" s="236" t="str">
        <f>IFERROR(INDEX(スコア表[],MATCH(E287,スコア表['#],0),MATCH(C275,スコア表[#Headers],0)),"")</f>
        <v/>
      </c>
    </row>
    <row r="288" spans="2:8">
      <c r="E288" s="11"/>
      <c r="F288" s="13" t="str">
        <f>IFERROR(INDEX(都市マスタ[],MATCH(E288,都市マスタ['#],0),MATCH(F275,都市マスタ[#Headers],0)),"")</f>
        <v/>
      </c>
      <c r="G288" s="231" t="str">
        <f>IFERROR(INDEX(生データ表[],MATCH(E288,生データ表['#],0),MATCH(C275,生データ表[#Headers],0)),"")</f>
        <v/>
      </c>
      <c r="H288" s="236" t="str">
        <f>IFERROR(INDEX(スコア表[],MATCH(E288,スコア表['#],0),MATCH(C275,スコア表[#Headers],0)),"")</f>
        <v/>
      </c>
    </row>
    <row r="290" spans="2:8">
      <c r="B290" s="36" t="s">
        <v>208</v>
      </c>
      <c r="C290" s="37" t="s">
        <v>552</v>
      </c>
      <c r="E290" s="35" t="s">
        <v>208</v>
      </c>
      <c r="F290" s="36" t="str">
        <f>IF(JPEN!$C$2="EN",都市!$C$2,都市!$D$2)</f>
        <v>都市名</v>
      </c>
      <c r="G290" s="36" t="s">
        <v>644</v>
      </c>
      <c r="H290" s="36" t="s">
        <v>645</v>
      </c>
    </row>
    <row r="291" spans="2:8">
      <c r="B291" s="36" t="str">
        <f>IF(JPEN!$C$2="EN",指標!$I$2,指標!$H$2)</f>
        <v>指標</v>
      </c>
      <c r="C291" s="13" t="str">
        <f ca="1">INDEX(INDIRECT("指標マスタ["&amp;B291&amp;"]"),MATCH(C290,指標マスタ['#],0))</f>
        <v>研究開発費</v>
      </c>
      <c r="E291" s="11">
        <v>3</v>
      </c>
      <c r="F291" s="13" t="str">
        <f>IFERROR(INDEX(都市マスタ[],MATCH(E291,都市マスタ['#],0),MATCH(F290,都市マスタ[#Headers],0)),"")</f>
        <v>ロンドン</v>
      </c>
      <c r="G291" s="5">
        <f>IFERROR(INDEX(生データ表[],MATCH(E291,生データ表['#],0),MATCH(C290,生データ表[#Headers],0)),"")</f>
        <v>8416.8563320928697</v>
      </c>
      <c r="H291" s="236">
        <f>IFERROR(INDEX(スコア表[],MATCH(E291,スコア表['#],0),MATCH(C290,スコア表[#Headers],0)),"")</f>
        <v>18.619502324399999</v>
      </c>
    </row>
    <row r="292" spans="2:8">
      <c r="B292" s="36" t="str">
        <f>IF(JPEN!$C$2="EN",指標!$L$2,指標!$K$2)</f>
        <v>単位</v>
      </c>
      <c r="C292" s="13" t="str">
        <f>INDEX(指標マスタ[],MATCH(C290,指標マスタ['#],0),MATCH(B292,指標マスタ[#Headers],0))</f>
        <v>百万ドル</v>
      </c>
      <c r="E292" s="11">
        <v>38</v>
      </c>
      <c r="F292" s="13" t="str">
        <f>IFERROR(INDEX(都市マスタ[],MATCH(E292,都市マスタ['#],0),MATCH(F290,都市マスタ[#Headers],0)),"")</f>
        <v>ニューヨーク</v>
      </c>
      <c r="G292" s="5">
        <f>IFERROR(INDEX(生データ表[],MATCH(E292,生データ表['#],0),MATCH(C290,生データ表[#Headers],0)),"")</f>
        <v>44733.281477682802</v>
      </c>
      <c r="H292" s="236">
        <f>IFERROR(INDEX(スコア表[],MATCH(E292,スコア表['#],0),MATCH(C290,スコア表[#Headers],0)),"")</f>
        <v>100</v>
      </c>
    </row>
    <row r="293" spans="2:8">
      <c r="B293" s="36" t="s">
        <v>646</v>
      </c>
      <c r="C293" s="13" t="str">
        <f>INDEX(生データ表2[],MATCH(B293,生データ表2[maxmin],0),MATCH(C290,生データ表2[#Headers],0))</f>
        <v>プラス</v>
      </c>
      <c r="E293" s="11">
        <v>29</v>
      </c>
      <c r="F293" s="13" t="str">
        <f>IFERROR(INDEX(都市マスタ[],MATCH(E293,都市マスタ['#],0),MATCH(F290,都市マスタ[#Headers],0)),"")</f>
        <v>東京</v>
      </c>
      <c r="G293" s="5">
        <f>IFERROR(INDEX(生データ表[],MATCH(E293,生データ表['#],0),MATCH(C290,生データ表[#Headers],0)),"")</f>
        <v>22292.082354643298</v>
      </c>
      <c r="H293" s="236">
        <f>IFERROR(INDEX(スコア表[],MATCH(E293,スコア表['#],0),MATCH(C290,スコア表[#Headers],0)),"")</f>
        <v>49.712122111399999</v>
      </c>
    </row>
    <row r="294" spans="2:8">
      <c r="E294" s="11">
        <v>4</v>
      </c>
      <c r="F294" s="13" t="str">
        <f>IFERROR(INDEX(都市マスタ[],MATCH(E294,都市マスタ['#],0),MATCH(F290,都市マスタ[#Headers],0)),"")</f>
        <v>パリ</v>
      </c>
      <c r="G294" s="5">
        <f>IFERROR(INDEX(生データ表[],MATCH(E294,生データ表['#],0),MATCH(C290,生データ表[#Headers],0)),"")</f>
        <v>7622.4017538625303</v>
      </c>
      <c r="H294" s="236">
        <f>IFERROR(INDEX(スコア表[],MATCH(E294,スコア表['#],0),MATCH(C290,スコア表[#Headers],0)),"")</f>
        <v>16.839230486000002</v>
      </c>
    </row>
    <row r="295" spans="2:8">
      <c r="B295" s="240" t="s">
        <v>2067</v>
      </c>
      <c r="E295" s="11">
        <v>21</v>
      </c>
      <c r="F295" s="13" t="str">
        <f>IFERROR(INDEX(都市マスタ[],MATCH(E295,都市マスタ['#],0),MATCH(F290,都市マスタ[#Headers],0)),"")</f>
        <v>シンガポール</v>
      </c>
      <c r="G295" s="5">
        <f>IFERROR(INDEX(生データ表[],MATCH(E295,生データ表['#],0),MATCH(C290,生データ表[#Headers],0)),"")</f>
        <v>7078.2992881029104</v>
      </c>
      <c r="H295" s="236">
        <f>IFERROR(INDEX(スコア表[],MATCH(E295,スコア表['#],0),MATCH(C290,スコア表[#Headers],0)),"")</f>
        <v>15.619965944600001</v>
      </c>
    </row>
    <row r="296" spans="2:8">
      <c r="E296" s="11">
        <v>26</v>
      </c>
      <c r="F296" s="13" t="str">
        <f>IFERROR(INDEX(都市マスタ[],MATCH(E296,都市マスタ['#],0),MATCH(F290,都市マスタ[#Headers],0)),"")</f>
        <v>ソウル</v>
      </c>
      <c r="G296" s="5">
        <f>IFERROR(INDEX(生データ表[],MATCH(E296,生データ表['#],0),MATCH(C290,生データ表[#Headers],0)),"")</f>
        <v>14868.0121247895</v>
      </c>
      <c r="H296" s="236">
        <f>IFERROR(INDEX(スコア表[],MATCH(E296,スコア表['#],0),MATCH(C290,スコア表[#Headers],0)),"")</f>
        <v>33.075723356300003</v>
      </c>
    </row>
    <row r="297" spans="2:8">
      <c r="E297" s="11">
        <v>22</v>
      </c>
      <c r="F297" s="13" t="str">
        <f>IFERROR(INDEX(都市マスタ[],MATCH(E297,都市マスタ['#],0),MATCH(F290,都市マスタ[#Headers],0)),"")</f>
        <v>香港</v>
      </c>
      <c r="G297" s="5">
        <f>IFERROR(INDEX(生データ表[],MATCH(E297,生データ表['#],0),MATCH(C290,生データ表[#Headers],0)),"")</f>
        <v>3579.8666425410302</v>
      </c>
      <c r="H297" s="236">
        <f>IFERROR(INDEX(スコア表[],MATCH(E297,スコア表['#],0),MATCH(C290,スコア表[#Headers],0)),"")</f>
        <v>7.7804225798999997</v>
      </c>
    </row>
    <row r="298" spans="2:8">
      <c r="E298" s="11">
        <v>23</v>
      </c>
      <c r="F298" s="13" t="str">
        <f>IFERROR(INDEX(都市マスタ[],MATCH(E298,都市マスタ['#],0),MATCH(F290,都市マスタ[#Headers],0)),"")</f>
        <v>北京</v>
      </c>
      <c r="G298" s="5">
        <f>IFERROR(INDEX(生データ表[],MATCH(E298,生データ表['#],0),MATCH(C290,生データ表[#Headers],0)),"")</f>
        <v>5930.6152075514201</v>
      </c>
      <c r="H298" s="236">
        <f>IFERROR(INDEX(スコア表[],MATCH(E298,スコア表['#],0),MATCH(C290,スコア表[#Headers],0)),"")</f>
        <v>13.0481516409</v>
      </c>
    </row>
    <row r="299" spans="2:8">
      <c r="B299" s="240" t="s">
        <v>2068</v>
      </c>
      <c r="E299" s="11">
        <v>24</v>
      </c>
      <c r="F299" s="13" t="str">
        <f>IFERROR(INDEX(都市マスタ[],MATCH(E299,都市マスタ['#],0),MATCH(F290,都市マスタ[#Headers],0)),"")</f>
        <v>上海</v>
      </c>
      <c r="G299" s="5">
        <f>IFERROR(INDEX(生データ表[],MATCH(E299,生データ表['#],0),MATCH(C290,生データ表[#Headers],0)),"")</f>
        <v>6447.7373659503801</v>
      </c>
      <c r="H299" s="236">
        <f>IFERROR(INDEX(スコア表[],MATCH(E299,スコア表['#],0),MATCH(C290,スコア表[#Headers],0)),"")</f>
        <v>14.206956739200001</v>
      </c>
    </row>
    <row r="300" spans="2:8">
      <c r="B300" t="s">
        <v>2070</v>
      </c>
      <c r="E300" s="11"/>
      <c r="F300" s="13" t="str">
        <f>IFERROR(INDEX(都市マスタ[],MATCH(E300,都市マスタ['#],0),MATCH(F290,都市マスタ[#Headers],0)),"")</f>
        <v/>
      </c>
      <c r="G300" s="231" t="str">
        <f>IFERROR(INDEX(生データ表[],MATCH(E300,生データ表['#],0),MATCH(C290,生データ表[#Headers],0)),"")</f>
        <v/>
      </c>
      <c r="H300" s="236" t="str">
        <f>IFERROR(INDEX(スコア表[],MATCH(E300,スコア表['#],0),MATCH(C290,スコア表[#Headers],0)),"")</f>
        <v/>
      </c>
    </row>
    <row r="301" spans="2:8">
      <c r="B301" t="s">
        <v>2071</v>
      </c>
      <c r="E301" s="11"/>
      <c r="F301" s="13" t="str">
        <f>IFERROR(INDEX(都市マスタ[],MATCH(E301,都市マスタ['#],0),MATCH(F290,都市マスタ[#Headers],0)),"")</f>
        <v/>
      </c>
      <c r="G301" s="231" t="str">
        <f>IFERROR(INDEX(生データ表[],MATCH(E301,生データ表['#],0),MATCH(C290,生データ表[#Headers],0)),"")</f>
        <v/>
      </c>
      <c r="H301" s="236" t="str">
        <f>IFERROR(INDEX(スコア表[],MATCH(E301,スコア表['#],0),MATCH(C290,スコア表[#Headers],0)),"")</f>
        <v/>
      </c>
    </row>
    <row r="302" spans="2:8">
      <c r="B302" t="s">
        <v>2069</v>
      </c>
      <c r="E302" s="11"/>
      <c r="F302" s="13" t="str">
        <f>IFERROR(INDEX(都市マスタ[],MATCH(E302,都市マスタ['#],0),MATCH(F290,都市マスタ[#Headers],0)),"")</f>
        <v/>
      </c>
      <c r="G302" s="231" t="str">
        <f>IFERROR(INDEX(生データ表[],MATCH(E302,生データ表['#],0),MATCH(C290,生データ表[#Headers],0)),"")</f>
        <v/>
      </c>
      <c r="H302" s="236" t="str">
        <f>IFERROR(INDEX(スコア表[],MATCH(E302,スコア表['#],0),MATCH(C290,スコア表[#Headers],0)),"")</f>
        <v/>
      </c>
    </row>
    <row r="303" spans="2:8">
      <c r="E303" s="11"/>
      <c r="F303" s="13" t="str">
        <f>IFERROR(INDEX(都市マスタ[],MATCH(E303,都市マスタ['#],0),MATCH(F290,都市マスタ[#Headers],0)),"")</f>
        <v/>
      </c>
      <c r="G303" s="231" t="str">
        <f>IFERROR(INDEX(生データ表[],MATCH(E303,生データ表['#],0),MATCH(C290,生データ表[#Headers],0)),"")</f>
        <v/>
      </c>
      <c r="H303" s="236" t="str">
        <f>IFERROR(INDEX(スコア表[],MATCH(E303,スコア表['#],0),MATCH(C290,スコア表[#Headers],0)),"")</f>
        <v/>
      </c>
    </row>
    <row r="305" spans="2:8">
      <c r="B305" s="36" t="s">
        <v>208</v>
      </c>
      <c r="C305" s="37" t="s">
        <v>553</v>
      </c>
      <c r="E305" s="35" t="s">
        <v>208</v>
      </c>
      <c r="F305" s="36" t="str">
        <f>IF(JPEN!$C$2="EN",都市!$C$2,都市!$D$2)</f>
        <v>都市名</v>
      </c>
      <c r="G305" s="36" t="s">
        <v>644</v>
      </c>
      <c r="H305" s="36" t="s">
        <v>645</v>
      </c>
    </row>
    <row r="306" spans="2:8">
      <c r="B306" s="36" t="str">
        <f>IF(JPEN!$C$2="EN",指標!$I$2,指標!$H$2)</f>
        <v>指標</v>
      </c>
      <c r="C306" s="13" t="str">
        <f ca="1">INDEX(INDIRECT("指標マスタ["&amp;B306&amp;"]"),MATCH(C305,指標マスタ['#],0))</f>
        <v>留学生数</v>
      </c>
      <c r="E306" s="11">
        <v>3</v>
      </c>
      <c r="F306" s="13" t="str">
        <f>IFERROR(INDEX(都市マスタ[],MATCH(E306,都市マスタ['#],0),MATCH(F305,都市マスタ[#Headers],0)),"")</f>
        <v>ロンドン</v>
      </c>
      <c r="G306" s="5">
        <f>IFERROR(INDEX(生データ表[],MATCH(E306,生データ表['#],0),MATCH(C305,生データ表[#Headers],0)),"")</f>
        <v>141792.04999999999</v>
      </c>
      <c r="H306" s="236">
        <f>IFERROR(INDEX(スコア表[],MATCH(E306,スコア表['#],0),MATCH(C305,スコア表[#Headers],0)),"")</f>
        <v>100</v>
      </c>
    </row>
    <row r="307" spans="2:8">
      <c r="B307" s="36" t="str">
        <f>IF(JPEN!$C$2="EN",指標!$L$2,指標!$K$2)</f>
        <v>単位</v>
      </c>
      <c r="C307" s="13" t="str">
        <f>INDEX(指標マスタ[],MATCH(C305,指標マスタ['#],0),MATCH(B307,指標マスタ[#Headers],0))</f>
        <v>人</v>
      </c>
      <c r="E307" s="11">
        <v>38</v>
      </c>
      <c r="F307" s="13" t="str">
        <f>IFERROR(INDEX(都市マスタ[],MATCH(E307,都市マスタ['#],0),MATCH(F305,都市マスタ[#Headers],0)),"")</f>
        <v>ニューヨーク</v>
      </c>
      <c r="G307" s="5">
        <f>IFERROR(INDEX(生データ表[],MATCH(E307,生データ表['#],0),MATCH(C305,生データ表[#Headers],0)),"")</f>
        <v>39437.46</v>
      </c>
      <c r="H307" s="236">
        <f>IFERROR(INDEX(スコア表[],MATCH(E307,スコア表['#],0),MATCH(C305,スコア表[#Headers],0)),"")</f>
        <v>27.813590395199999</v>
      </c>
    </row>
    <row r="308" spans="2:8">
      <c r="B308" s="36" t="s">
        <v>646</v>
      </c>
      <c r="C308" s="13" t="str">
        <f>INDEX(生データ表2[],MATCH(B308,生データ表2[maxmin],0),MATCH(C305,生データ表2[#Headers],0))</f>
        <v>プラス</v>
      </c>
      <c r="E308" s="11">
        <v>29</v>
      </c>
      <c r="F308" s="13" t="str">
        <f>IFERROR(INDEX(都市マスタ[],MATCH(E308,都市マスタ['#],0),MATCH(F305,都市マスタ[#Headers],0)),"")</f>
        <v>東京</v>
      </c>
      <c r="G308" s="5">
        <f>IFERROR(INDEX(生データ表[],MATCH(E308,生データ表['#],0),MATCH(C305,生データ表[#Headers],0)),"")</f>
        <v>8797.4399999999896</v>
      </c>
      <c r="H308" s="236">
        <f>IFERROR(INDEX(スコア表[],MATCH(E308,スコア表['#],0),MATCH(C305,スコア表[#Headers],0)),"")</f>
        <v>6.2044663293999998</v>
      </c>
    </row>
    <row r="309" spans="2:8">
      <c r="E309" s="11">
        <v>4</v>
      </c>
      <c r="F309" s="13" t="str">
        <f>IFERROR(INDEX(都市マスタ[],MATCH(E309,都市マスタ['#],0),MATCH(F305,都市マスタ[#Headers],0)),"")</f>
        <v>パリ</v>
      </c>
      <c r="G309" s="5">
        <f>IFERROR(INDEX(生データ表[],MATCH(E309,生データ表['#],0),MATCH(C305,生データ表[#Headers],0)),"")</f>
        <v>51486.999999999898</v>
      </c>
      <c r="H309" s="236">
        <f>IFERROR(INDEX(スコア表[],MATCH(E309,スコア表['#],0),MATCH(C305,スコア表[#Headers],0)),"")</f>
        <v>36.311626780200001</v>
      </c>
    </row>
    <row r="310" spans="2:8">
      <c r="B310" s="240" t="s">
        <v>2067</v>
      </c>
      <c r="E310" s="11">
        <v>21</v>
      </c>
      <c r="F310" s="13" t="str">
        <f>IFERROR(INDEX(都市マスタ[],MATCH(E310,都市マスタ['#],0),MATCH(F305,都市マスタ[#Headers],0)),"")</f>
        <v>シンガポール</v>
      </c>
      <c r="G310" s="5">
        <f>IFERROR(INDEX(生データ表[],MATCH(E310,生データ表['#],0),MATCH(C305,生データ表[#Headers],0)),"")</f>
        <v>14247</v>
      </c>
      <c r="H310" s="236">
        <f>IFERROR(INDEX(スコア表[],MATCH(E310,スコア表['#],0),MATCH(C305,スコア表[#Headers],0)),"")</f>
        <v>10.0478129768</v>
      </c>
    </row>
    <row r="311" spans="2:8">
      <c r="E311" s="11">
        <v>26</v>
      </c>
      <c r="F311" s="13" t="str">
        <f>IFERROR(INDEX(都市マスタ[],MATCH(E311,都市マスタ['#],0),MATCH(F305,都市マスタ[#Headers],0)),"")</f>
        <v>ソウル</v>
      </c>
      <c r="G311" s="5">
        <f>IFERROR(INDEX(生データ表[],MATCH(E311,生データ表['#],0),MATCH(C305,生データ表[#Headers],0)),"")</f>
        <v>36438.82</v>
      </c>
      <c r="H311" s="236">
        <f>IFERROR(INDEX(スコア表[],MATCH(E311,スコア表['#],0),MATCH(C305,スコア表[#Headers],0)),"")</f>
        <v>25.6987750724</v>
      </c>
    </row>
    <row r="312" spans="2:8">
      <c r="E312" s="11">
        <v>22</v>
      </c>
      <c r="F312" s="13" t="str">
        <f>IFERROR(INDEX(都市マスタ[],MATCH(E312,都市マスタ['#],0),MATCH(F305,都市マスタ[#Headers],0)),"")</f>
        <v>香港</v>
      </c>
      <c r="G312" s="5">
        <f>IFERROR(INDEX(生データ表[],MATCH(E312,生データ表['#],0),MATCH(C305,生データ表[#Headers],0)),"")</f>
        <v>31349.31</v>
      </c>
      <c r="H312" s="236">
        <f>IFERROR(INDEX(スコア表[],MATCH(E312,スコア表['#],0),MATCH(C305,スコア表[#Headers],0)),"")</f>
        <v>22.109356624699998</v>
      </c>
    </row>
    <row r="313" spans="2:8">
      <c r="E313" s="11">
        <v>23</v>
      </c>
      <c r="F313" s="13" t="str">
        <f>IFERROR(INDEX(都市マスタ[],MATCH(E313,都市マスタ['#],0),MATCH(F305,都市マスタ[#Headers],0)),"")</f>
        <v>北京</v>
      </c>
      <c r="G313" s="5">
        <f>IFERROR(INDEX(生データ表[],MATCH(E313,生データ表['#],0),MATCH(C305,生データ表[#Headers],0)),"")</f>
        <v>20757.47</v>
      </c>
      <c r="H313" s="236">
        <f>IFERROR(INDEX(スコア表[],MATCH(E313,スコア表['#],0),MATCH(C305,スコア表[#Headers],0)),"")</f>
        <v>14.6393750566</v>
      </c>
    </row>
    <row r="314" spans="2:8">
      <c r="B314" s="240" t="s">
        <v>2068</v>
      </c>
      <c r="E314" s="11">
        <v>24</v>
      </c>
      <c r="F314" s="13" t="str">
        <f>IFERROR(INDEX(都市マスタ[],MATCH(E314,都市マスタ['#],0),MATCH(F305,都市マスタ[#Headers],0)),"")</f>
        <v>上海</v>
      </c>
      <c r="G314" s="5">
        <f>IFERROR(INDEX(生データ表[],MATCH(E314,生データ表['#],0),MATCH(C305,生データ表[#Headers],0)),"")</f>
        <v>16942.240000000002</v>
      </c>
      <c r="H314" s="236">
        <f>IFERROR(INDEX(スコア表[],MATCH(E314,スコア表['#],0),MATCH(C305,スコア表[#Headers],0)),"")</f>
        <v>11.9486529745</v>
      </c>
    </row>
    <row r="315" spans="2:8">
      <c r="B315" t="s">
        <v>2070</v>
      </c>
      <c r="E315" s="11"/>
      <c r="F315" s="13" t="str">
        <f>IFERROR(INDEX(都市マスタ[],MATCH(E315,都市マスタ['#],0),MATCH(F305,都市マスタ[#Headers],0)),"")</f>
        <v/>
      </c>
      <c r="G315" s="231" t="str">
        <f>IFERROR(INDEX(生データ表[],MATCH(E315,生データ表['#],0),MATCH(C305,生データ表[#Headers],0)),"")</f>
        <v/>
      </c>
      <c r="H315" s="236" t="str">
        <f>IFERROR(INDEX(スコア表[],MATCH(E315,スコア表['#],0),MATCH(C305,スコア表[#Headers],0)),"")</f>
        <v/>
      </c>
    </row>
    <row r="316" spans="2:8">
      <c r="B316" t="s">
        <v>2071</v>
      </c>
      <c r="E316" s="11"/>
      <c r="F316" s="13" t="str">
        <f>IFERROR(INDEX(都市マスタ[],MATCH(E316,都市マスタ['#],0),MATCH(F305,都市マスタ[#Headers],0)),"")</f>
        <v/>
      </c>
      <c r="G316" s="231" t="str">
        <f>IFERROR(INDEX(生データ表[],MATCH(E316,生データ表['#],0),MATCH(C305,生データ表[#Headers],0)),"")</f>
        <v/>
      </c>
      <c r="H316" s="236" t="str">
        <f>IFERROR(INDEX(スコア表[],MATCH(E316,スコア表['#],0),MATCH(C305,スコア表[#Headers],0)),"")</f>
        <v/>
      </c>
    </row>
    <row r="317" spans="2:8">
      <c r="B317" t="s">
        <v>2069</v>
      </c>
      <c r="E317" s="11"/>
      <c r="F317" s="13" t="str">
        <f>IFERROR(INDEX(都市マスタ[],MATCH(E317,都市マスタ['#],0),MATCH(F305,都市マスタ[#Headers],0)),"")</f>
        <v/>
      </c>
      <c r="G317" s="231" t="str">
        <f>IFERROR(INDEX(生データ表[],MATCH(E317,生データ表['#],0),MATCH(C305,生データ表[#Headers],0)),"")</f>
        <v/>
      </c>
      <c r="H317" s="236" t="str">
        <f>IFERROR(INDEX(スコア表[],MATCH(E317,スコア表['#],0),MATCH(C305,スコア表[#Headers],0)),"")</f>
        <v/>
      </c>
    </row>
    <row r="318" spans="2:8">
      <c r="E318" s="11"/>
      <c r="F318" s="13" t="str">
        <f>IFERROR(INDEX(都市マスタ[],MATCH(E318,都市マスタ['#],0),MATCH(F305,都市マスタ[#Headers],0)),"")</f>
        <v/>
      </c>
      <c r="G318" s="231" t="str">
        <f>IFERROR(INDEX(生データ表[],MATCH(E318,生データ表['#],0),MATCH(C305,生データ表[#Headers],0)),"")</f>
        <v/>
      </c>
      <c r="H318" s="236" t="str">
        <f>IFERROR(INDEX(スコア表[],MATCH(E318,スコア表['#],0),MATCH(C305,スコア表[#Headers],0)),"")</f>
        <v/>
      </c>
    </row>
    <row r="320" spans="2:8">
      <c r="B320" s="36" t="s">
        <v>208</v>
      </c>
      <c r="C320" s="37" t="s">
        <v>554</v>
      </c>
      <c r="E320" s="35" t="s">
        <v>208</v>
      </c>
      <c r="F320" s="36" t="str">
        <f>IF(JPEN!$C$2="EN",都市!$C$2,都市!$D$2)</f>
        <v>都市名</v>
      </c>
      <c r="G320" s="36" t="s">
        <v>644</v>
      </c>
      <c r="H320" s="36" t="s">
        <v>645</v>
      </c>
    </row>
    <row r="321" spans="2:8">
      <c r="B321" s="36" t="str">
        <f>IF(JPEN!$C$2="EN",指標!$I$2,指標!$H$2)</f>
        <v>指標</v>
      </c>
      <c r="C321" s="13" t="str">
        <f ca="1">INDEX(INDIRECT("指標マスタ["&amp;B321&amp;"]"),MATCH(C320,指標マスタ['#],0))</f>
        <v>学力の高さ</v>
      </c>
      <c r="E321" s="11">
        <v>3</v>
      </c>
      <c r="F321" s="13" t="str">
        <f>IFERROR(INDEX(都市マスタ[],MATCH(E321,都市マスタ['#],0),MATCH(F320,都市マスタ[#Headers],0)),"")</f>
        <v>ロンドン</v>
      </c>
      <c r="G321" s="5">
        <f>IFERROR(INDEX(生データ表[],MATCH(E321,生データ表['#],0),MATCH(C320,生データ表[#Headers],0)),"")</f>
        <v>503.666666666666</v>
      </c>
      <c r="H321" s="236">
        <f>IFERROR(INDEX(スコア表[],MATCH(E321,スコア表['#],0),MATCH(C320,スコア表[#Headers],0)),"")</f>
        <v>68.805971321200005</v>
      </c>
    </row>
    <row r="322" spans="2:8">
      <c r="B322" s="36" t="str">
        <f>IF(JPEN!$C$2="EN",指標!$L$2,指標!$K$2)</f>
        <v>単位</v>
      </c>
      <c r="C322" s="13" t="str">
        <f>INDEX(指標マスタ[],MATCH(C320,指標マスタ['#],0),MATCH(B322,指標マスタ[#Headers],0))</f>
        <v>pt</v>
      </c>
      <c r="E322" s="11">
        <v>38</v>
      </c>
      <c r="F322" s="13" t="str">
        <f>IFERROR(INDEX(都市マスタ[],MATCH(E322,都市マスタ['#],0),MATCH(F320,都市マスタ[#Headers],0)),"")</f>
        <v>ニューヨーク</v>
      </c>
      <c r="G322" s="5">
        <f>IFERROR(INDEX(生データ表[],MATCH(E322,生データ表['#],0),MATCH(C320,生データ表[#Headers],0)),"")</f>
        <v>495</v>
      </c>
      <c r="H322" s="236">
        <f>IFERROR(INDEX(スコア表[],MATCH(E322,スコア表['#],0),MATCH(C320,スコア表[#Headers],0)),"")</f>
        <v>65.201328007200004</v>
      </c>
    </row>
    <row r="323" spans="2:8">
      <c r="B323" s="36" t="s">
        <v>646</v>
      </c>
      <c r="C323" s="13" t="str">
        <f>INDEX(生データ表2[],MATCH(B323,生データ表2[maxmin],0),MATCH(C320,生データ表2[#Headers],0))</f>
        <v>プラス</v>
      </c>
      <c r="E323" s="11">
        <v>29</v>
      </c>
      <c r="F323" s="13" t="str">
        <f>IFERROR(INDEX(都市マスタ[],MATCH(E323,都市マスタ['#],0),MATCH(F320,都市マスタ[#Headers],0)),"")</f>
        <v>東京</v>
      </c>
      <c r="G323" s="5">
        <f>IFERROR(INDEX(生データ表[],MATCH(E323,生データ表['#],0),MATCH(C320,生データ表[#Headers],0)),"")</f>
        <v>520</v>
      </c>
      <c r="H323" s="236">
        <f>IFERROR(INDEX(スコア表[],MATCH(E323,スコア表['#],0),MATCH(C320,スコア表[#Headers],0)),"")</f>
        <v>75.599337566800003</v>
      </c>
    </row>
    <row r="324" spans="2:8">
      <c r="E324" s="11">
        <v>4</v>
      </c>
      <c r="F324" s="13" t="str">
        <f>IFERROR(INDEX(都市マスタ[],MATCH(E324,都市マスタ['#],0),MATCH(F320,都市マスタ[#Headers],0)),"")</f>
        <v>パリ</v>
      </c>
      <c r="G324" s="5">
        <f>IFERROR(INDEX(生データ表[],MATCH(E324,生データ表['#],0),MATCH(C320,生データ表[#Headers],0)),"")</f>
        <v>493.666666666666</v>
      </c>
      <c r="H324" s="236">
        <f>IFERROR(INDEX(スコア表[],MATCH(E324,スコア表['#],0),MATCH(C320,スコア表[#Headers],0)),"")</f>
        <v>64.646767497400006</v>
      </c>
    </row>
    <row r="325" spans="2:8">
      <c r="B325" s="240" t="s">
        <v>2067</v>
      </c>
      <c r="E325" s="11">
        <v>21</v>
      </c>
      <c r="F325" s="13" t="str">
        <f>IFERROR(INDEX(都市マスタ[],MATCH(E325,都市マスタ['#],0),MATCH(F320,都市マスタ[#Headers],0)),"")</f>
        <v>シンガポール</v>
      </c>
      <c r="G325" s="5">
        <f>IFERROR(INDEX(生データ表[],MATCH(E325,生データ表['#],0),MATCH(C320,生データ表[#Headers],0)),"")</f>
        <v>556.33333333333303</v>
      </c>
      <c r="H325" s="236">
        <f>IFERROR(INDEX(スコア表[],MATCH(E325,スコア表['#],0),MATCH(C320,スコア表[#Headers],0)),"")</f>
        <v>90.7111114601</v>
      </c>
    </row>
    <row r="326" spans="2:8">
      <c r="E326" s="11">
        <v>26</v>
      </c>
      <c r="F326" s="13" t="str">
        <f>IFERROR(INDEX(都市マスタ[],MATCH(E326,都市マスタ['#],0),MATCH(F320,都市マスタ[#Headers],0)),"")</f>
        <v>ソウル</v>
      </c>
      <c r="G326" s="5">
        <f>IFERROR(INDEX(生データ表[],MATCH(E326,生データ表['#],0),MATCH(C320,生データ表[#Headers],0)),"")</f>
        <v>519.66666666666595</v>
      </c>
      <c r="H326" s="236">
        <f>IFERROR(INDEX(スコア表[],MATCH(E326,スコア表['#],0),MATCH(C320,スコア表[#Headers],0)),"")</f>
        <v>75.460697439399993</v>
      </c>
    </row>
    <row r="327" spans="2:8">
      <c r="E327" s="11">
        <v>22</v>
      </c>
      <c r="F327" s="13" t="str">
        <f>IFERROR(INDEX(都市マスタ[],MATCH(E327,都市マスタ['#],0),MATCH(F320,都市マスタ[#Headers],0)),"")</f>
        <v>香港</v>
      </c>
      <c r="G327" s="5">
        <f>IFERROR(INDEX(生データ表[],MATCH(E327,生データ表['#],0),MATCH(C320,生データ表[#Headers],0)),"")</f>
        <v>530.66666666666595</v>
      </c>
      <c r="H327" s="236">
        <f>IFERROR(INDEX(スコア表[],MATCH(E327,スコア表['#],0),MATCH(C320,スコア表[#Headers],0)),"")</f>
        <v>80.035821645599995</v>
      </c>
    </row>
    <row r="328" spans="2:8">
      <c r="E328" s="11">
        <v>23</v>
      </c>
      <c r="F328" s="13" t="str">
        <f>IFERROR(INDEX(都市マスタ[],MATCH(E328,都市マスタ['#],0),MATCH(F320,都市マスタ[#Headers],0)),"")</f>
        <v>北京</v>
      </c>
      <c r="G328" s="5">
        <f>IFERROR(INDEX(生データ表[],MATCH(E328,生データ表['#],0),MATCH(C320,生データ表[#Headers],0)),"")</f>
        <v>578.66666666666595</v>
      </c>
      <c r="H328" s="236">
        <f>IFERROR(INDEX(スコア表[],MATCH(E328,スコア表['#],0),MATCH(C320,スコア表[#Headers],0)),"")</f>
        <v>100</v>
      </c>
    </row>
    <row r="329" spans="2:8">
      <c r="B329" s="240" t="s">
        <v>2068</v>
      </c>
      <c r="E329" s="11">
        <v>24</v>
      </c>
      <c r="F329" s="13" t="str">
        <f>IFERROR(INDEX(都市マスタ[],MATCH(E329,都市マスタ['#],0),MATCH(F320,都市マスタ[#Headers],0)),"")</f>
        <v>上海</v>
      </c>
      <c r="G329" s="5">
        <f>IFERROR(INDEX(生データ表[],MATCH(E329,生データ表['#],0),MATCH(C320,生データ表[#Headers],0)),"")</f>
        <v>578.66666666666595</v>
      </c>
      <c r="H329" s="236">
        <f>IFERROR(INDEX(スコア表[],MATCH(E329,スコア表['#],0),MATCH(C320,スコア表[#Headers],0)),"")</f>
        <v>100</v>
      </c>
    </row>
    <row r="330" spans="2:8">
      <c r="B330" t="s">
        <v>2070</v>
      </c>
      <c r="E330" s="11"/>
      <c r="F330" s="13" t="str">
        <f>IFERROR(INDEX(都市マスタ[],MATCH(E330,都市マスタ['#],0),MATCH(F320,都市マスタ[#Headers],0)),"")</f>
        <v/>
      </c>
      <c r="G330" s="231" t="str">
        <f>IFERROR(INDEX(生データ表[],MATCH(E330,生データ表['#],0),MATCH(C320,生データ表[#Headers],0)),"")</f>
        <v/>
      </c>
      <c r="H330" s="236" t="str">
        <f>IFERROR(INDEX(スコア表[],MATCH(E330,スコア表['#],0),MATCH(C320,スコア表[#Headers],0)),"")</f>
        <v/>
      </c>
    </row>
    <row r="331" spans="2:8">
      <c r="B331" t="s">
        <v>2071</v>
      </c>
      <c r="E331" s="11"/>
      <c r="F331" s="13" t="str">
        <f>IFERROR(INDEX(都市マスタ[],MATCH(E331,都市マスタ['#],0),MATCH(F320,都市マスタ[#Headers],0)),"")</f>
        <v/>
      </c>
      <c r="G331" s="231" t="str">
        <f>IFERROR(INDEX(生データ表[],MATCH(E331,生データ表['#],0),MATCH(C320,生データ表[#Headers],0)),"")</f>
        <v/>
      </c>
      <c r="H331" s="236" t="str">
        <f>IFERROR(INDEX(スコア表[],MATCH(E331,スコア表['#],0),MATCH(C320,スコア表[#Headers],0)),"")</f>
        <v/>
      </c>
    </row>
    <row r="332" spans="2:8">
      <c r="B332" t="s">
        <v>2069</v>
      </c>
      <c r="E332" s="11"/>
      <c r="F332" s="13" t="str">
        <f>IFERROR(INDEX(都市マスタ[],MATCH(E332,都市マスタ['#],0),MATCH(F320,都市マスタ[#Headers],0)),"")</f>
        <v/>
      </c>
      <c r="G332" s="231" t="str">
        <f>IFERROR(INDEX(生データ表[],MATCH(E332,生データ表['#],0),MATCH(C320,生データ表[#Headers],0)),"")</f>
        <v/>
      </c>
      <c r="H332" s="236" t="str">
        <f>IFERROR(INDEX(スコア表[],MATCH(E332,スコア表['#],0),MATCH(C320,スコア表[#Headers],0)),"")</f>
        <v/>
      </c>
    </row>
    <row r="333" spans="2:8">
      <c r="E333" s="11"/>
      <c r="F333" s="13" t="str">
        <f>IFERROR(INDEX(都市マスタ[],MATCH(E333,都市マスタ['#],0),MATCH(F320,都市マスタ[#Headers],0)),"")</f>
        <v/>
      </c>
      <c r="G333" s="231" t="str">
        <f>IFERROR(INDEX(生データ表[],MATCH(E333,生データ表['#],0),MATCH(C320,生データ表[#Headers],0)),"")</f>
        <v/>
      </c>
      <c r="H333" s="236" t="str">
        <f>IFERROR(INDEX(スコア表[],MATCH(E333,スコア表['#],0),MATCH(C320,スコア表[#Headers],0)),"")</f>
        <v/>
      </c>
    </row>
    <row r="335" spans="2:8">
      <c r="B335" s="36" t="s">
        <v>208</v>
      </c>
      <c r="C335" s="37" t="s">
        <v>555</v>
      </c>
      <c r="E335" s="35" t="s">
        <v>208</v>
      </c>
      <c r="F335" s="36" t="str">
        <f>IF(JPEN!$C$2="EN",都市!$C$2,都市!$D$2)</f>
        <v>都市名</v>
      </c>
      <c r="G335" s="36" t="s">
        <v>644</v>
      </c>
      <c r="H335" s="36" t="s">
        <v>645</v>
      </c>
    </row>
    <row r="336" spans="2:8">
      <c r="B336" s="36" t="str">
        <f>IF(JPEN!$C$2="EN",指標!$I$2,指標!$H$2)</f>
        <v>指標</v>
      </c>
      <c r="C336" s="13" t="str">
        <f ca="1">INDEX(INDIRECT("指標マスタ["&amp;B336&amp;"]"),MATCH(C335,指標マスタ['#],0))</f>
        <v>特許登録件数</v>
      </c>
      <c r="E336" s="11">
        <v>3</v>
      </c>
      <c r="F336" s="13" t="str">
        <f>IFERROR(INDEX(都市マスタ[],MATCH(E336,都市マスタ['#],0),MATCH(F335,都市マスタ[#Headers],0)),"")</f>
        <v>ロンドン</v>
      </c>
      <c r="G336" s="5">
        <f>IFERROR(INDEX(生データ表[],MATCH(E336,生データ表['#],0),MATCH(C335,生データ表[#Headers],0)),"")</f>
        <v>1138.2089386745499</v>
      </c>
      <c r="H336" s="236">
        <f>IFERROR(INDEX(スコア表[],MATCH(E336,スコア表['#],0),MATCH(C335,スコア表[#Headers],0)),"")</f>
        <v>3.9465546798000002</v>
      </c>
    </row>
    <row r="337" spans="2:8">
      <c r="B337" s="36" t="str">
        <f>IF(JPEN!$C$2="EN",指標!$L$2,指標!$K$2)</f>
        <v>単位</v>
      </c>
      <c r="C337" s="13" t="str">
        <f>INDEX(指標マスタ[],MATCH(C335,指標マスタ['#],0),MATCH(B337,指標マスタ[#Headers],0))</f>
        <v>件</v>
      </c>
      <c r="E337" s="11">
        <v>38</v>
      </c>
      <c r="F337" s="13" t="str">
        <f>IFERROR(INDEX(都市マスタ[],MATCH(E337,都市マスタ['#],0),MATCH(F335,都市マスタ[#Headers],0)),"")</f>
        <v>ニューヨーク</v>
      </c>
      <c r="G337" s="5">
        <f>IFERROR(INDEX(生データ表[],MATCH(E337,生データ表['#],0),MATCH(C335,生データ表[#Headers],0)),"")</f>
        <v>19307.480818166801</v>
      </c>
      <c r="H337" s="236">
        <f>IFERROR(INDEX(スコア表[],MATCH(E337,スコア表['#],0),MATCH(C335,スコア表[#Headers],0)),"")</f>
        <v>67.755651961799998</v>
      </c>
    </row>
    <row r="338" spans="2:8">
      <c r="B338" s="36" t="s">
        <v>646</v>
      </c>
      <c r="C338" s="13" t="str">
        <f>INDEX(生データ表2[],MATCH(B338,生データ表2[maxmin],0),MATCH(C335,生データ表2[#Headers],0))</f>
        <v>プラス</v>
      </c>
      <c r="E338" s="11">
        <v>29</v>
      </c>
      <c r="F338" s="13" t="str">
        <f>IFERROR(INDEX(都市マスタ[],MATCH(E338,都市マスタ['#],0),MATCH(F335,都市マスタ[#Headers],0)),"")</f>
        <v>東京</v>
      </c>
      <c r="G338" s="5">
        <f>IFERROR(INDEX(生データ表[],MATCH(E338,生データ表['#],0),MATCH(C335,生データ表[#Headers],0)),"")</f>
        <v>28488.872673517399</v>
      </c>
      <c r="H338" s="236">
        <f>IFERROR(INDEX(スコア表[],MATCH(E338,スコア表['#],0),MATCH(C335,スコア表[#Headers],0)),"")</f>
        <v>100</v>
      </c>
    </row>
    <row r="339" spans="2:8">
      <c r="E339" s="11">
        <v>4</v>
      </c>
      <c r="F339" s="13" t="str">
        <f>IFERROR(INDEX(都市マスタ[],MATCH(E339,都市マスタ['#],0),MATCH(F335,都市マスタ[#Headers],0)),"")</f>
        <v>パリ</v>
      </c>
      <c r="G339" s="5">
        <f>IFERROR(INDEX(生データ表[],MATCH(E339,生データ表['#],0),MATCH(C335,生データ表[#Headers],0)),"")</f>
        <v>897.77886682266103</v>
      </c>
      <c r="H339" s="236">
        <f>IFERROR(INDEX(スコア表[],MATCH(E339,スコア表['#],0),MATCH(C335,スコア表[#Headers],0)),"")</f>
        <v>3.1021826022000001</v>
      </c>
    </row>
    <row r="340" spans="2:8">
      <c r="B340" s="240" t="s">
        <v>2067</v>
      </c>
      <c r="E340" s="11">
        <v>21</v>
      </c>
      <c r="F340" s="13" t="str">
        <f>IFERROR(INDEX(都市マスタ[],MATCH(E340,都市マスタ['#],0),MATCH(F335,都市マスタ[#Headers],0)),"")</f>
        <v>シンガポール</v>
      </c>
      <c r="G340" s="5">
        <f>IFERROR(INDEX(生データ表[],MATCH(E340,生データ表['#],0),MATCH(C335,生データ表[#Headers],0)),"")</f>
        <v>5859.2</v>
      </c>
      <c r="H340" s="236">
        <f>IFERROR(INDEX(スコア表[],MATCH(E340,スコア表['#],0),MATCH(C335,スコア表[#Headers],0)),"")</f>
        <v>20.526315272200002</v>
      </c>
    </row>
    <row r="341" spans="2:8">
      <c r="E341" s="11">
        <v>26</v>
      </c>
      <c r="F341" s="13" t="str">
        <f>IFERROR(INDEX(都市マスタ[],MATCH(E341,都市マスタ['#],0),MATCH(F335,都市マスタ[#Headers],0)),"")</f>
        <v>ソウル</v>
      </c>
      <c r="G341" s="5">
        <f>IFERROR(INDEX(生データ表[],MATCH(E341,生データ表['#],0),MATCH(C335,生データ表[#Headers],0)),"")</f>
        <v>22806.3750202101</v>
      </c>
      <c r="H341" s="236">
        <f>IFERROR(INDEX(スコア表[],MATCH(E341,スコア表['#],0),MATCH(C335,スコア表[#Headers],0)),"")</f>
        <v>80.043501579500003</v>
      </c>
    </row>
    <row r="342" spans="2:8">
      <c r="E342" s="11">
        <v>22</v>
      </c>
      <c r="F342" s="13" t="str">
        <f>IFERROR(INDEX(都市マスタ[],MATCH(E342,都市マスタ['#],0),MATCH(F335,都市マスタ[#Headers],0)),"")</f>
        <v>香港</v>
      </c>
      <c r="G342" s="5">
        <f>IFERROR(INDEX(生データ表[],MATCH(E342,生データ表['#],0),MATCH(C335,生データ表[#Headers],0)),"")</f>
        <v>7461.4</v>
      </c>
      <c r="H342" s="236">
        <f>IFERROR(INDEX(スコア表[],MATCH(E342,スコア表['#],0),MATCH(C335,スコア表[#Headers],0)),"")</f>
        <v>26.153119491000002</v>
      </c>
    </row>
    <row r="343" spans="2:8">
      <c r="E343" s="11">
        <v>23</v>
      </c>
      <c r="F343" s="13" t="str">
        <f>IFERROR(INDEX(都市マスタ[],MATCH(E343,都市マスタ['#],0),MATCH(F335,都市マスタ[#Headers],0)),"")</f>
        <v>北京</v>
      </c>
      <c r="G343" s="5">
        <f>IFERROR(INDEX(生データ表[],MATCH(E343,生データ表['#],0),MATCH(C335,生データ表[#Headers],0)),"")</f>
        <v>6131.4387477897399</v>
      </c>
      <c r="H343" s="236">
        <f>IFERROR(INDEX(スコア表[],MATCH(E343,スコア表['#],0),MATCH(C335,スコア表[#Headers],0)),"")</f>
        <v>21.4823969939</v>
      </c>
    </row>
    <row r="344" spans="2:8">
      <c r="B344" s="240" t="s">
        <v>2068</v>
      </c>
      <c r="E344" s="11">
        <v>24</v>
      </c>
      <c r="F344" s="13" t="str">
        <f>IFERROR(INDEX(都市マスタ[],MATCH(E344,都市マスタ['#],0),MATCH(F335,都市マスタ[#Headers],0)),"")</f>
        <v>上海</v>
      </c>
      <c r="G344" s="5">
        <f>IFERROR(INDEX(生データ表[],MATCH(E344,生データ表['#],0),MATCH(C335,生データ表[#Headers],0)),"")</f>
        <v>7209.9932808461499</v>
      </c>
      <c r="H344" s="236">
        <f>IFERROR(INDEX(スコア表[],MATCH(E344,スコア表['#],0),MATCH(C335,スコア表[#Headers],0)),"")</f>
        <v>25.270198265200001</v>
      </c>
    </row>
    <row r="345" spans="2:8">
      <c r="B345" t="s">
        <v>2070</v>
      </c>
      <c r="E345" s="11"/>
      <c r="F345" s="13" t="str">
        <f>IFERROR(INDEX(都市マスタ[],MATCH(E345,都市マスタ['#],0),MATCH(F335,都市マスタ[#Headers],0)),"")</f>
        <v/>
      </c>
      <c r="G345" s="231" t="str">
        <f>IFERROR(INDEX(生データ表[],MATCH(E345,生データ表['#],0),MATCH(C335,生データ表[#Headers],0)),"")</f>
        <v/>
      </c>
      <c r="H345" s="236" t="str">
        <f>IFERROR(INDEX(スコア表[],MATCH(E345,スコア表['#],0),MATCH(C335,スコア表[#Headers],0)),"")</f>
        <v/>
      </c>
    </row>
    <row r="346" spans="2:8">
      <c r="B346" t="s">
        <v>2071</v>
      </c>
      <c r="E346" s="11"/>
      <c r="F346" s="13" t="str">
        <f>IFERROR(INDEX(都市マスタ[],MATCH(E346,都市マスタ['#],0),MATCH(F335,都市マスタ[#Headers],0)),"")</f>
        <v/>
      </c>
      <c r="G346" s="231" t="str">
        <f>IFERROR(INDEX(生データ表[],MATCH(E346,生データ表['#],0),MATCH(C335,生データ表[#Headers],0)),"")</f>
        <v/>
      </c>
      <c r="H346" s="236" t="str">
        <f>IFERROR(INDEX(スコア表[],MATCH(E346,スコア表['#],0),MATCH(C335,スコア表[#Headers],0)),"")</f>
        <v/>
      </c>
    </row>
    <row r="347" spans="2:8">
      <c r="B347" t="s">
        <v>2069</v>
      </c>
      <c r="E347" s="11"/>
      <c r="F347" s="13" t="str">
        <f>IFERROR(INDEX(都市マスタ[],MATCH(E347,都市マスタ['#],0),MATCH(F335,都市マスタ[#Headers],0)),"")</f>
        <v/>
      </c>
      <c r="G347" s="231" t="str">
        <f>IFERROR(INDEX(生データ表[],MATCH(E347,生データ表['#],0),MATCH(C335,生データ表[#Headers],0)),"")</f>
        <v/>
      </c>
      <c r="H347" s="236" t="str">
        <f>IFERROR(INDEX(スコア表[],MATCH(E347,スコア表['#],0),MATCH(C335,スコア表[#Headers],0)),"")</f>
        <v/>
      </c>
    </row>
    <row r="348" spans="2:8">
      <c r="E348" s="11"/>
      <c r="F348" s="13" t="str">
        <f>IFERROR(INDEX(都市マスタ[],MATCH(E348,都市マスタ['#],0),MATCH(F335,都市マスタ[#Headers],0)),"")</f>
        <v/>
      </c>
      <c r="G348" s="231" t="str">
        <f>IFERROR(INDEX(生データ表[],MATCH(E348,生データ表['#],0),MATCH(C335,生データ表[#Headers],0)),"")</f>
        <v/>
      </c>
      <c r="H348" s="236" t="str">
        <f>IFERROR(INDEX(スコア表[],MATCH(E348,スコア表['#],0),MATCH(C335,スコア表[#Headers],0)),"")</f>
        <v/>
      </c>
    </row>
    <row r="350" spans="2:8">
      <c r="B350" s="36" t="s">
        <v>208</v>
      </c>
      <c r="C350" s="37" t="s">
        <v>556</v>
      </c>
      <c r="E350" s="35" t="s">
        <v>208</v>
      </c>
      <c r="F350" s="36" t="str">
        <f>IF(JPEN!$C$2="EN",都市!$C$2,都市!$D$2)</f>
        <v>都市名</v>
      </c>
      <c r="G350" s="36" t="s">
        <v>644</v>
      </c>
      <c r="H350" s="36" t="s">
        <v>645</v>
      </c>
    </row>
    <row r="351" spans="2:8">
      <c r="B351" s="36" t="str">
        <f>IF(JPEN!$C$2="EN",指標!$I$2,指標!$H$2)</f>
        <v>指標</v>
      </c>
      <c r="C351" s="13" t="str">
        <f ca="1">INDEX(INDIRECT("指標マスタ["&amp;B351&amp;"]"),MATCH(C350,指標マスタ['#],0))</f>
        <v>主要科学技術賞受賞者数</v>
      </c>
      <c r="E351" s="11">
        <v>3</v>
      </c>
      <c r="F351" s="13" t="str">
        <f>IFERROR(INDEX(都市マスタ[],MATCH(E351,都市マスタ['#],0),MATCH(F350,都市マスタ[#Headers],0)),"")</f>
        <v>ロンドン</v>
      </c>
      <c r="G351" s="5">
        <f>IFERROR(INDEX(生データ表[],MATCH(E351,生データ表['#],0),MATCH(C350,生データ表[#Headers],0)),"")</f>
        <v>3.9</v>
      </c>
      <c r="H351" s="236">
        <f>IFERROR(INDEX(スコア表[],MATCH(E351,スコア表['#],0),MATCH(C350,スコア表[#Headers],0)),"")</f>
        <v>25.4071661238</v>
      </c>
    </row>
    <row r="352" spans="2:8">
      <c r="B352" s="36" t="str">
        <f>IF(JPEN!$C$2="EN",指標!$L$2,指標!$K$2)</f>
        <v>単位</v>
      </c>
      <c r="C352" s="13" t="str">
        <f>INDEX(指標マスタ[],MATCH(C350,指標マスタ['#],0),MATCH(B352,指標マスタ[#Headers],0))</f>
        <v>pt</v>
      </c>
      <c r="E352" s="11">
        <v>38</v>
      </c>
      <c r="F352" s="13" t="str">
        <f>IFERROR(INDEX(都市マスタ[],MATCH(E352,都市マスタ['#],0),MATCH(F350,都市マスタ[#Headers],0)),"")</f>
        <v>ニューヨーク</v>
      </c>
      <c r="G352" s="5">
        <f>IFERROR(INDEX(生データ表[],MATCH(E352,生データ表['#],0),MATCH(C350,生データ表[#Headers],0)),"")</f>
        <v>9.6</v>
      </c>
      <c r="H352" s="236">
        <f>IFERROR(INDEX(スコア表[],MATCH(E352,スコア表['#],0),MATCH(C350,スコア表[#Headers],0)),"")</f>
        <v>62.540716612399997</v>
      </c>
    </row>
    <row r="353" spans="2:8">
      <c r="B353" s="36" t="s">
        <v>646</v>
      </c>
      <c r="C353" s="13" t="str">
        <f>INDEX(生データ表2[],MATCH(B353,生データ表2[maxmin],0),MATCH(C350,生データ表2[#Headers],0))</f>
        <v>プラス</v>
      </c>
      <c r="E353" s="11">
        <v>29</v>
      </c>
      <c r="F353" s="13" t="str">
        <f>IFERROR(INDEX(都市マスタ[],MATCH(E353,都市マスタ['#],0),MATCH(F350,都市マスタ[#Headers],0)),"")</f>
        <v>東京</v>
      </c>
      <c r="G353" s="5">
        <f>IFERROR(INDEX(生データ表[],MATCH(E353,生データ表['#],0),MATCH(C350,生データ表[#Headers],0)),"")</f>
        <v>2</v>
      </c>
      <c r="H353" s="236">
        <f>IFERROR(INDEX(スコア表[],MATCH(E353,スコア表['#],0),MATCH(C350,スコア表[#Headers],0)),"")</f>
        <v>13.0293159609</v>
      </c>
    </row>
    <row r="354" spans="2:8">
      <c r="E354" s="11">
        <v>4</v>
      </c>
      <c r="F354" s="13" t="str">
        <f>IFERROR(INDEX(都市マスタ[],MATCH(E354,都市マスタ['#],0),MATCH(F350,都市マスタ[#Headers],0)),"")</f>
        <v>パリ</v>
      </c>
      <c r="G354" s="5">
        <f>IFERROR(INDEX(生データ表[],MATCH(E354,生データ表['#],0),MATCH(C350,生データ表[#Headers],0)),"")</f>
        <v>6.25</v>
      </c>
      <c r="H354" s="236">
        <f>IFERROR(INDEX(スコア表[],MATCH(E354,スコア表['#],0),MATCH(C350,スコア表[#Headers],0)),"")</f>
        <v>40.716612377899999</v>
      </c>
    </row>
    <row r="355" spans="2:8">
      <c r="B355" s="240" t="s">
        <v>2067</v>
      </c>
      <c r="E355" s="11">
        <v>21</v>
      </c>
      <c r="F355" s="13" t="str">
        <f>IFERROR(INDEX(都市マスタ[],MATCH(E355,都市マスタ['#],0),MATCH(F350,都市マスタ[#Headers],0)),"")</f>
        <v>シンガポール</v>
      </c>
      <c r="G355" s="5">
        <f>IFERROR(INDEX(生データ表[],MATCH(E355,生データ表['#],0),MATCH(C350,生データ表[#Headers],0)),"")</f>
        <v>0</v>
      </c>
      <c r="H355" s="236">
        <f>IFERROR(INDEX(スコア表[],MATCH(E355,スコア表['#],0),MATCH(C350,スコア表[#Headers],0)),"")</f>
        <v>0</v>
      </c>
    </row>
    <row r="356" spans="2:8">
      <c r="E356" s="11">
        <v>26</v>
      </c>
      <c r="F356" s="13" t="str">
        <f>IFERROR(INDEX(都市マスタ[],MATCH(E356,都市マスタ['#],0),MATCH(F350,都市マスタ[#Headers],0)),"")</f>
        <v>ソウル</v>
      </c>
      <c r="G356" s="5">
        <f>IFERROR(INDEX(生データ表[],MATCH(E356,生データ表['#],0),MATCH(C350,生データ表[#Headers],0)),"")</f>
        <v>0</v>
      </c>
      <c r="H356" s="236">
        <f>IFERROR(INDEX(スコア表[],MATCH(E356,スコア表['#],0),MATCH(C350,スコア表[#Headers],0)),"")</f>
        <v>0</v>
      </c>
    </row>
    <row r="357" spans="2:8">
      <c r="E357" s="11">
        <v>22</v>
      </c>
      <c r="F357" s="13" t="str">
        <f>IFERROR(INDEX(都市マスタ[],MATCH(E357,都市マスタ['#],0),MATCH(F350,都市マスタ[#Headers],0)),"")</f>
        <v>香港</v>
      </c>
      <c r="G357" s="5">
        <f>IFERROR(INDEX(生データ表[],MATCH(E357,生データ表['#],0),MATCH(C350,生データ表[#Headers],0)),"")</f>
        <v>0</v>
      </c>
      <c r="H357" s="236">
        <f>IFERROR(INDEX(スコア表[],MATCH(E357,スコア表['#],0),MATCH(C350,スコア表[#Headers],0)),"")</f>
        <v>0</v>
      </c>
    </row>
    <row r="358" spans="2:8">
      <c r="E358" s="11">
        <v>23</v>
      </c>
      <c r="F358" s="13" t="str">
        <f>IFERROR(INDEX(都市マスタ[],MATCH(E358,都市マスタ['#],0),MATCH(F350,都市マスタ[#Headers],0)),"")</f>
        <v>北京</v>
      </c>
      <c r="G358" s="5">
        <f>IFERROR(INDEX(生データ表[],MATCH(E358,生データ表['#],0),MATCH(C350,生データ表[#Headers],0)),"")</f>
        <v>0.65</v>
      </c>
      <c r="H358" s="236">
        <f>IFERROR(INDEX(スコア表[],MATCH(E358,スコア表['#],0),MATCH(C350,スコア表[#Headers],0)),"")</f>
        <v>4.2345276873</v>
      </c>
    </row>
    <row r="359" spans="2:8">
      <c r="B359" s="240" t="s">
        <v>2068</v>
      </c>
      <c r="E359" s="11">
        <v>24</v>
      </c>
      <c r="F359" s="13" t="str">
        <f>IFERROR(INDEX(都市マスタ[],MATCH(E359,都市マスタ['#],0),MATCH(F350,都市マスタ[#Headers],0)),"")</f>
        <v>上海</v>
      </c>
      <c r="G359" s="5">
        <f>IFERROR(INDEX(生データ表[],MATCH(E359,生データ表['#],0),MATCH(C350,生データ表[#Headers],0)),"")</f>
        <v>0</v>
      </c>
      <c r="H359" s="236">
        <f>IFERROR(INDEX(スコア表[],MATCH(E359,スコア表['#],0),MATCH(C350,スコア表[#Headers],0)),"")</f>
        <v>0</v>
      </c>
    </row>
    <row r="360" spans="2:8">
      <c r="B360" t="s">
        <v>2070</v>
      </c>
      <c r="E360" s="11"/>
      <c r="F360" s="13" t="str">
        <f>IFERROR(INDEX(都市マスタ[],MATCH(E360,都市マスタ['#],0),MATCH(F350,都市マスタ[#Headers],0)),"")</f>
        <v/>
      </c>
      <c r="G360" s="231" t="str">
        <f>IFERROR(INDEX(生データ表[],MATCH(E360,生データ表['#],0),MATCH(C350,生データ表[#Headers],0)),"")</f>
        <v/>
      </c>
      <c r="H360" s="236" t="str">
        <f>IFERROR(INDEX(スコア表[],MATCH(E360,スコア表['#],0),MATCH(C350,スコア表[#Headers],0)),"")</f>
        <v/>
      </c>
    </row>
    <row r="361" spans="2:8">
      <c r="B361" t="s">
        <v>2071</v>
      </c>
      <c r="E361" s="11"/>
      <c r="F361" s="13" t="str">
        <f>IFERROR(INDEX(都市マスタ[],MATCH(E361,都市マスタ['#],0),MATCH(F350,都市マスタ[#Headers],0)),"")</f>
        <v/>
      </c>
      <c r="G361" s="231" t="str">
        <f>IFERROR(INDEX(生データ表[],MATCH(E361,生データ表['#],0),MATCH(C350,生データ表[#Headers],0)),"")</f>
        <v/>
      </c>
      <c r="H361" s="236" t="str">
        <f>IFERROR(INDEX(スコア表[],MATCH(E361,スコア表['#],0),MATCH(C350,スコア表[#Headers],0)),"")</f>
        <v/>
      </c>
    </row>
    <row r="362" spans="2:8">
      <c r="B362" t="s">
        <v>2069</v>
      </c>
      <c r="E362" s="11"/>
      <c r="F362" s="13" t="str">
        <f>IFERROR(INDEX(都市マスタ[],MATCH(E362,都市マスタ['#],0),MATCH(F350,都市マスタ[#Headers],0)),"")</f>
        <v/>
      </c>
      <c r="G362" s="231" t="str">
        <f>IFERROR(INDEX(生データ表[],MATCH(E362,生データ表['#],0),MATCH(C350,生データ表[#Headers],0)),"")</f>
        <v/>
      </c>
      <c r="H362" s="236" t="str">
        <f>IFERROR(INDEX(スコア表[],MATCH(E362,スコア表['#],0),MATCH(C350,スコア表[#Headers],0)),"")</f>
        <v/>
      </c>
    </row>
    <row r="363" spans="2:8">
      <c r="E363" s="11"/>
      <c r="F363" s="13" t="str">
        <f>IFERROR(INDEX(都市マスタ[],MATCH(E363,都市マスタ['#],0),MATCH(F350,都市マスタ[#Headers],0)),"")</f>
        <v/>
      </c>
      <c r="G363" s="231" t="str">
        <f>IFERROR(INDEX(生データ表[],MATCH(E363,生データ表['#],0),MATCH(C350,生データ表[#Headers],0)),"")</f>
        <v/>
      </c>
      <c r="H363" s="236" t="str">
        <f>IFERROR(INDEX(スコア表[],MATCH(E363,スコア表['#],0),MATCH(C350,スコア表[#Headers],0)),"")</f>
        <v/>
      </c>
    </row>
    <row r="365" spans="2:8">
      <c r="B365" s="36" t="s">
        <v>208</v>
      </c>
      <c r="C365" s="37" t="s">
        <v>557</v>
      </c>
      <c r="E365" s="35" t="s">
        <v>208</v>
      </c>
      <c r="F365" s="36" t="str">
        <f>IF(JPEN!$C$2="EN",都市!$C$2,都市!$D$2)</f>
        <v>都市名</v>
      </c>
      <c r="G365" s="36" t="s">
        <v>644</v>
      </c>
      <c r="H365" s="36" t="s">
        <v>645</v>
      </c>
    </row>
    <row r="366" spans="2:8">
      <c r="B366" s="36" t="str">
        <f>IF(JPEN!$C$2="EN",指標!$I$2,指標!$H$2)</f>
        <v>指標</v>
      </c>
      <c r="C366" s="13" t="str">
        <f ca="1">INDEX(INDIRECT("指標マスタ["&amp;B366&amp;"]"),MATCH(C365,指標マスタ['#],0))</f>
        <v>スタートアップ数</v>
      </c>
      <c r="E366" s="11">
        <v>3</v>
      </c>
      <c r="F366" s="13" t="str">
        <f>IFERROR(INDEX(都市マスタ[],MATCH(E366,都市マスタ['#],0),MATCH(F365,都市マスタ[#Headers],0)),"")</f>
        <v>ロンドン</v>
      </c>
      <c r="G366" s="5">
        <f>IFERROR(INDEX(生データ表[],MATCH(E366,生データ表['#],0),MATCH(C365,生データ表[#Headers],0)),"")</f>
        <v>1896.3333333333301</v>
      </c>
      <c r="H366" s="236">
        <f>IFERROR(INDEX(スコア表[],MATCH(E366,スコア表['#],0),MATCH(C365,スコア表[#Headers],0)),"")</f>
        <v>100</v>
      </c>
    </row>
    <row r="367" spans="2:8">
      <c r="B367" s="36" t="str">
        <f>IF(JPEN!$C$2="EN",指標!$L$2,指標!$K$2)</f>
        <v>単位</v>
      </c>
      <c r="C367" s="13" t="str">
        <f>INDEX(指標マスタ[],MATCH(C365,指標マスタ['#],0),MATCH(B367,指標マスタ[#Headers],0))</f>
        <v>社</v>
      </c>
      <c r="E367" s="11">
        <v>38</v>
      </c>
      <c r="F367" s="13" t="str">
        <f>IFERROR(INDEX(都市マスタ[],MATCH(E367,都市マスタ['#],0),MATCH(F365,都市マスタ[#Headers],0)),"")</f>
        <v>ニューヨーク</v>
      </c>
      <c r="G367" s="5">
        <f>IFERROR(INDEX(生データ表[],MATCH(E367,生データ表['#],0),MATCH(C365,生データ表[#Headers],0)),"")</f>
        <v>1443</v>
      </c>
      <c r="H367" s="236">
        <f>IFERROR(INDEX(スコア表[],MATCH(E367,スコア表['#],0),MATCH(C365,スコア表[#Headers],0)),"")</f>
        <v>75.886524822699997</v>
      </c>
    </row>
    <row r="368" spans="2:8">
      <c r="B368" s="36" t="s">
        <v>646</v>
      </c>
      <c r="C368" s="13" t="str">
        <f>INDEX(生データ表2[],MATCH(B368,生データ表2[maxmin],0),MATCH(C365,生データ表2[#Headers],0))</f>
        <v>プラス</v>
      </c>
      <c r="E368" s="11">
        <v>29</v>
      </c>
      <c r="F368" s="13" t="str">
        <f>IFERROR(INDEX(都市マスタ[],MATCH(E368,都市マスタ['#],0),MATCH(F365,都市マスタ[#Headers],0)),"")</f>
        <v>東京</v>
      </c>
      <c r="G368" s="5">
        <f>IFERROR(INDEX(生データ表[],MATCH(E368,生データ表['#],0),MATCH(C365,生データ表[#Headers],0)),"")</f>
        <v>361.666666666666</v>
      </c>
      <c r="H368" s="236">
        <f>IFERROR(INDEX(スコア表[],MATCH(E368,スコア表['#],0),MATCH(C365,スコア表[#Headers],0)),"")</f>
        <v>18.3687943262</v>
      </c>
    </row>
    <row r="369" spans="2:8">
      <c r="E369" s="11">
        <v>4</v>
      </c>
      <c r="F369" s="13" t="str">
        <f>IFERROR(INDEX(都市マスタ[],MATCH(E369,都市マスタ['#],0),MATCH(F365,都市マスタ[#Headers],0)),"")</f>
        <v>パリ</v>
      </c>
      <c r="G369" s="5">
        <f>IFERROR(INDEX(生データ表[],MATCH(E369,生データ表['#],0),MATCH(C365,生データ表[#Headers],0)),"")</f>
        <v>458.33333333333297</v>
      </c>
      <c r="H369" s="236">
        <f>IFERROR(INDEX(スコア表[],MATCH(E369,スコア表['#],0),MATCH(C365,スコア表[#Headers],0)),"")</f>
        <v>23.510638297900002</v>
      </c>
    </row>
    <row r="370" spans="2:8">
      <c r="B370" s="240" t="s">
        <v>2067</v>
      </c>
      <c r="E370" s="11">
        <v>21</v>
      </c>
      <c r="F370" s="13" t="str">
        <f>IFERROR(INDEX(都市マスタ[],MATCH(E370,都市マスタ['#],0),MATCH(F365,都市マスタ[#Headers],0)),"")</f>
        <v>シンガポール</v>
      </c>
      <c r="G370" s="5">
        <f>IFERROR(INDEX(生データ表[],MATCH(E370,生データ表['#],0),MATCH(C365,生データ表[#Headers],0)),"")</f>
        <v>574.66666666666595</v>
      </c>
      <c r="H370" s="236">
        <f>IFERROR(INDEX(スコア表[],MATCH(E370,スコア表['#],0),MATCH(C365,スコア表[#Headers],0)),"")</f>
        <v>29.698581560299999</v>
      </c>
    </row>
    <row r="371" spans="2:8">
      <c r="E371" s="11">
        <v>26</v>
      </c>
      <c r="F371" s="13" t="str">
        <f>IFERROR(INDEX(都市マスタ[],MATCH(E371,都市マスタ['#],0),MATCH(F365,都市マスタ[#Headers],0)),"")</f>
        <v>ソウル</v>
      </c>
      <c r="G371" s="5">
        <f>IFERROR(INDEX(生データ表[],MATCH(E371,生データ表['#],0),MATCH(C365,生データ表[#Headers],0)),"")</f>
        <v>250.666666666666</v>
      </c>
      <c r="H371" s="236">
        <f>IFERROR(INDEX(スコア表[],MATCH(E371,スコア表['#],0),MATCH(C365,スコア表[#Headers],0)),"")</f>
        <v>12.464539007100001</v>
      </c>
    </row>
    <row r="372" spans="2:8">
      <c r="E372" s="11">
        <v>22</v>
      </c>
      <c r="F372" s="13" t="str">
        <f>IFERROR(INDEX(都市マスタ[],MATCH(E372,都市マスタ['#],0),MATCH(F365,都市マスタ[#Headers],0)),"")</f>
        <v>香港</v>
      </c>
      <c r="G372" s="5">
        <f>IFERROR(INDEX(生データ表[],MATCH(E372,生データ表['#],0),MATCH(C365,生データ表[#Headers],0)),"")</f>
        <v>133.333333333333</v>
      </c>
      <c r="H372" s="236">
        <f>IFERROR(INDEX(スコア表[],MATCH(E372,スコア表['#],0),MATCH(C365,スコア表[#Headers],0)),"")</f>
        <v>6.2234042553000002</v>
      </c>
    </row>
    <row r="373" spans="2:8">
      <c r="E373" s="11">
        <v>23</v>
      </c>
      <c r="F373" s="13" t="str">
        <f>IFERROR(INDEX(都市マスタ[],MATCH(E373,都市マスタ['#],0),MATCH(F365,都市マスタ[#Headers],0)),"")</f>
        <v>北京</v>
      </c>
      <c r="G373" s="5">
        <f>IFERROR(INDEX(生データ表[],MATCH(E373,生データ表['#],0),MATCH(C365,生データ表[#Headers],0)),"")</f>
        <v>49</v>
      </c>
      <c r="H373" s="236">
        <f>IFERROR(INDEX(スコア表[],MATCH(E373,スコア表['#],0),MATCH(C365,スコア表[#Headers],0)),"")</f>
        <v>1.7375886524999999</v>
      </c>
    </row>
    <row r="374" spans="2:8">
      <c r="B374" s="240" t="s">
        <v>2068</v>
      </c>
      <c r="E374" s="11">
        <v>24</v>
      </c>
      <c r="F374" s="13" t="str">
        <f>IFERROR(INDEX(都市マスタ[],MATCH(E374,都市マスタ['#],0),MATCH(F365,都市マスタ[#Headers],0)),"")</f>
        <v>上海</v>
      </c>
      <c r="G374" s="5">
        <f>IFERROR(INDEX(生データ表[],MATCH(E374,生データ表['#],0),MATCH(C365,生データ表[#Headers],0)),"")</f>
        <v>74.3333333333333</v>
      </c>
      <c r="H374" s="236">
        <f>IFERROR(INDEX(スコア表[],MATCH(E374,スコア表['#],0),MATCH(C365,スコア表[#Headers],0)),"")</f>
        <v>3.0851063829999998</v>
      </c>
    </row>
    <row r="375" spans="2:8">
      <c r="B375" t="s">
        <v>2070</v>
      </c>
      <c r="E375" s="11"/>
      <c r="F375" s="13" t="str">
        <f>IFERROR(INDEX(都市マスタ[],MATCH(E375,都市マスタ['#],0),MATCH(F365,都市マスタ[#Headers],0)),"")</f>
        <v/>
      </c>
      <c r="G375" s="231" t="str">
        <f>IFERROR(INDEX(生データ表[],MATCH(E375,生データ表['#],0),MATCH(C365,生データ表[#Headers],0)),"")</f>
        <v/>
      </c>
      <c r="H375" s="236" t="str">
        <f>IFERROR(INDEX(スコア表[],MATCH(E375,スコア表['#],0),MATCH(C365,スコア表[#Headers],0)),"")</f>
        <v/>
      </c>
    </row>
    <row r="376" spans="2:8">
      <c r="B376" t="s">
        <v>2071</v>
      </c>
      <c r="E376" s="11"/>
      <c r="F376" s="13" t="str">
        <f>IFERROR(INDEX(都市マスタ[],MATCH(E376,都市マスタ['#],0),MATCH(F365,都市マスタ[#Headers],0)),"")</f>
        <v/>
      </c>
      <c r="G376" s="231" t="str">
        <f>IFERROR(INDEX(生データ表[],MATCH(E376,生データ表['#],0),MATCH(C365,生データ表[#Headers],0)),"")</f>
        <v/>
      </c>
      <c r="H376" s="236" t="str">
        <f>IFERROR(INDEX(スコア表[],MATCH(E376,スコア表['#],0),MATCH(C365,スコア表[#Headers],0)),"")</f>
        <v/>
      </c>
    </row>
    <row r="377" spans="2:8">
      <c r="B377" t="s">
        <v>2069</v>
      </c>
      <c r="E377" s="11"/>
      <c r="F377" s="13" t="str">
        <f>IFERROR(INDEX(都市マスタ[],MATCH(E377,都市マスタ['#],0),MATCH(F365,都市マスタ[#Headers],0)),"")</f>
        <v/>
      </c>
      <c r="G377" s="231" t="str">
        <f>IFERROR(INDEX(生データ表[],MATCH(E377,生データ表['#],0),MATCH(C365,生データ表[#Headers],0)),"")</f>
        <v/>
      </c>
      <c r="H377" s="236" t="str">
        <f>IFERROR(INDEX(スコア表[],MATCH(E377,スコア表['#],0),MATCH(C365,スコア表[#Headers],0)),"")</f>
        <v/>
      </c>
    </row>
    <row r="378" spans="2:8">
      <c r="E378" s="11"/>
      <c r="F378" s="13" t="str">
        <f>IFERROR(INDEX(都市マスタ[],MATCH(E378,都市マスタ['#],0),MATCH(F365,都市マスタ[#Headers],0)),"")</f>
        <v/>
      </c>
      <c r="G378" s="231" t="str">
        <f>IFERROR(INDEX(生データ表[],MATCH(E378,生データ表['#],0),MATCH(C365,生データ表[#Headers],0)),"")</f>
        <v/>
      </c>
      <c r="H378" s="236" t="str">
        <f>IFERROR(INDEX(スコア表[],MATCH(E378,スコア表['#],0),MATCH(C365,スコア表[#Headers],0)),"")</f>
        <v/>
      </c>
    </row>
    <row r="380" spans="2:8">
      <c r="B380" s="36" t="s">
        <v>208</v>
      </c>
      <c r="C380" s="37" t="s">
        <v>558</v>
      </c>
      <c r="E380" s="35" t="s">
        <v>208</v>
      </c>
      <c r="F380" s="36" t="str">
        <f>IF(JPEN!$C$2="EN",都市!$C$2,都市!$D$2)</f>
        <v>都市名</v>
      </c>
      <c r="G380" s="36" t="s">
        <v>644</v>
      </c>
      <c r="H380" s="36" t="s">
        <v>645</v>
      </c>
    </row>
    <row r="381" spans="2:8">
      <c r="B381" s="36" t="str">
        <f>IF(JPEN!$C$2="EN",指標!$I$2,指標!$H$2)</f>
        <v>指標</v>
      </c>
      <c r="C381" s="13" t="str">
        <f ca="1">INDEX(INDIRECT("指標マスタ["&amp;B381&amp;"]"),MATCH(C380,指標マスタ['#],0))</f>
        <v>国際コンベンション件数</v>
      </c>
      <c r="E381" s="11">
        <v>3</v>
      </c>
      <c r="F381" s="13" t="str">
        <f>IFERROR(INDEX(都市マスタ[],MATCH(E381,都市マスタ['#],0),MATCH(F380,都市マスタ[#Headers],0)),"")</f>
        <v>ロンドン</v>
      </c>
      <c r="G381" s="5">
        <f>IFERROR(INDEX(生データ表[],MATCH(E381,生データ表['#],0),MATCH(C380,生データ表[#Headers],0)),"")</f>
        <v>102</v>
      </c>
      <c r="H381" s="236">
        <f>IFERROR(INDEX(スコア表[],MATCH(E381,スコア表['#],0),MATCH(C380,スコア表[#Headers],0)),"")</f>
        <v>31.5457413249</v>
      </c>
    </row>
    <row r="382" spans="2:8">
      <c r="B382" s="36" t="str">
        <f>IF(JPEN!$C$2="EN",指標!$L$2,指標!$K$2)</f>
        <v>単位</v>
      </c>
      <c r="C382" s="13" t="str">
        <f>INDEX(指標マスタ[],MATCH(C380,指標マスタ['#],0),MATCH(B382,指標マスタ[#Headers],0))</f>
        <v>件</v>
      </c>
      <c r="E382" s="11">
        <v>38</v>
      </c>
      <c r="F382" s="13" t="str">
        <f>IFERROR(INDEX(都市マスタ[],MATCH(E382,都市マスタ['#],0),MATCH(F380,都市マスタ[#Headers],0)),"")</f>
        <v>ニューヨーク</v>
      </c>
      <c r="G382" s="5">
        <f>IFERROR(INDEX(生データ表[],MATCH(E382,生データ表['#],0),MATCH(C380,生データ表[#Headers],0)),"")</f>
        <v>39</v>
      </c>
      <c r="H382" s="236">
        <f>IFERROR(INDEX(スコア表[],MATCH(E382,スコア表['#],0),MATCH(C380,スコア表[#Headers],0)),"")</f>
        <v>11.6719242902</v>
      </c>
    </row>
    <row r="383" spans="2:8">
      <c r="B383" s="36" t="s">
        <v>646</v>
      </c>
      <c r="C383" s="13" t="str">
        <f>INDEX(生データ表2[],MATCH(B383,生データ表2[maxmin],0),MATCH(C380,生データ表2[#Headers],0))</f>
        <v>プラス</v>
      </c>
      <c r="E383" s="11">
        <v>29</v>
      </c>
      <c r="F383" s="13" t="str">
        <f>IFERROR(INDEX(都市マスタ[],MATCH(E383,都市マスタ['#],0),MATCH(F380,都市マスタ[#Headers],0)),"")</f>
        <v>東京</v>
      </c>
      <c r="G383" s="5">
        <f>IFERROR(INDEX(生データ表[],MATCH(E383,生データ表['#],0),MATCH(C380,生データ表[#Headers],0)),"")</f>
        <v>258</v>
      </c>
      <c r="H383" s="236">
        <f>IFERROR(INDEX(スコア表[],MATCH(E383,スコア表['#],0),MATCH(C380,スコア表[#Headers],0)),"")</f>
        <v>80.757097791800007</v>
      </c>
    </row>
    <row r="384" spans="2:8">
      <c r="E384" s="11">
        <v>4</v>
      </c>
      <c r="F384" s="13" t="str">
        <f>IFERROR(INDEX(都市マスタ[],MATCH(E384,都市マスタ['#],0),MATCH(F380,都市マスタ[#Headers],0)),"")</f>
        <v>パリ</v>
      </c>
      <c r="G384" s="5">
        <f>IFERROR(INDEX(生データ表[],MATCH(E384,生データ表['#],0),MATCH(C380,生データ表[#Headers],0)),"")</f>
        <v>153</v>
      </c>
      <c r="H384" s="236">
        <f>IFERROR(INDEX(スコア表[],MATCH(E384,スコア表['#],0),MATCH(C380,スコア表[#Headers],0)),"")</f>
        <v>47.634069400599998</v>
      </c>
    </row>
    <row r="385" spans="2:8">
      <c r="B385" s="240" t="s">
        <v>2067</v>
      </c>
      <c r="E385" s="11">
        <v>21</v>
      </c>
      <c r="F385" s="13" t="str">
        <f>IFERROR(INDEX(都市マスタ[],MATCH(E385,都市マスタ['#],0),MATCH(F380,都市マスタ[#Headers],0)),"")</f>
        <v>シンガポール</v>
      </c>
      <c r="G385" s="5">
        <f>IFERROR(INDEX(生データ表[],MATCH(E385,生データ表['#],0),MATCH(C380,生データ表[#Headers],0)),"")</f>
        <v>140</v>
      </c>
      <c r="H385" s="236">
        <f>IFERROR(INDEX(スコア表[],MATCH(E385,スコア表['#],0),MATCH(C380,スコア表[#Headers],0)),"")</f>
        <v>43.533123028399999</v>
      </c>
    </row>
    <row r="386" spans="2:8">
      <c r="E386" s="11">
        <v>26</v>
      </c>
      <c r="F386" s="13" t="str">
        <f>IFERROR(INDEX(都市マスタ[],MATCH(E386,都市マスタ['#],0),MATCH(F380,都市マスタ[#Headers],0)),"")</f>
        <v>ソウル</v>
      </c>
      <c r="G386" s="5">
        <f>IFERROR(INDEX(生データ表[],MATCH(E386,生データ表['#],0),MATCH(C380,生データ表[#Headers],0)),"")</f>
        <v>265</v>
      </c>
      <c r="H386" s="236">
        <f>IFERROR(INDEX(スコア表[],MATCH(E386,スコア表['#],0),MATCH(C380,スコア表[#Headers],0)),"")</f>
        <v>82.965299684499996</v>
      </c>
    </row>
    <row r="387" spans="2:8">
      <c r="E387" s="11">
        <v>22</v>
      </c>
      <c r="F387" s="13" t="str">
        <f>IFERROR(INDEX(都市マスタ[],MATCH(E387,都市マスタ['#],0),MATCH(F380,都市マスタ[#Headers],0)),"")</f>
        <v>香港</v>
      </c>
      <c r="G387" s="5">
        <f>IFERROR(INDEX(生データ表[],MATCH(E387,生データ表['#],0),MATCH(C380,生データ表[#Headers],0)),"")</f>
        <v>16</v>
      </c>
      <c r="H387" s="236">
        <f>IFERROR(INDEX(スコア表[],MATCH(E387,スコア表['#],0),MATCH(C380,スコア表[#Headers],0)),"")</f>
        <v>4.4164037855</v>
      </c>
    </row>
    <row r="388" spans="2:8">
      <c r="E388" s="11">
        <v>23</v>
      </c>
      <c r="F388" s="13" t="str">
        <f>IFERROR(INDEX(都市マスタ[],MATCH(E388,都市マスタ['#],0),MATCH(F380,都市マスタ[#Headers],0)),"")</f>
        <v>北京</v>
      </c>
      <c r="G388" s="5">
        <f>IFERROR(INDEX(生データ表[],MATCH(E388,生データ表['#],0),MATCH(C380,生データ表[#Headers],0)),"")</f>
        <v>19</v>
      </c>
      <c r="H388" s="236">
        <f>IFERROR(INDEX(スコア表[],MATCH(E388,スコア表['#],0),MATCH(C380,スコア表[#Headers],0)),"")</f>
        <v>5.3627760251999996</v>
      </c>
    </row>
    <row r="389" spans="2:8">
      <c r="B389" s="240" t="s">
        <v>2068</v>
      </c>
      <c r="E389" s="11">
        <v>24</v>
      </c>
      <c r="F389" s="13" t="str">
        <f>IFERROR(INDEX(都市マスタ[],MATCH(E389,都市マスタ['#],0),MATCH(F380,都市マスタ[#Headers],0)),"")</f>
        <v>上海</v>
      </c>
      <c r="G389" s="5">
        <f>IFERROR(INDEX(生データ表[],MATCH(E389,生データ表['#],0),MATCH(C380,生データ表[#Headers],0)),"")</f>
        <v>17</v>
      </c>
      <c r="H389" s="236">
        <f>IFERROR(INDEX(スコア表[],MATCH(E389,スコア表['#],0),MATCH(C380,スコア表[#Headers],0)),"")</f>
        <v>4.7318611986999999</v>
      </c>
    </row>
    <row r="390" spans="2:8">
      <c r="B390" t="s">
        <v>2070</v>
      </c>
      <c r="E390" s="11"/>
      <c r="F390" s="13" t="str">
        <f>IFERROR(INDEX(都市マスタ[],MATCH(E390,都市マスタ['#],0),MATCH(F380,都市マスタ[#Headers],0)),"")</f>
        <v/>
      </c>
      <c r="G390" s="231" t="str">
        <f>IFERROR(INDEX(生データ表[],MATCH(E390,生データ表['#],0),MATCH(C380,生データ表[#Headers],0)),"")</f>
        <v/>
      </c>
      <c r="H390" s="236" t="str">
        <f>IFERROR(INDEX(スコア表[],MATCH(E390,スコア表['#],0),MATCH(C380,スコア表[#Headers],0)),"")</f>
        <v/>
      </c>
    </row>
    <row r="391" spans="2:8">
      <c r="B391" t="s">
        <v>2071</v>
      </c>
      <c r="E391" s="11"/>
      <c r="F391" s="13" t="str">
        <f>IFERROR(INDEX(都市マスタ[],MATCH(E391,都市マスタ['#],0),MATCH(F380,都市マスタ[#Headers],0)),"")</f>
        <v/>
      </c>
      <c r="G391" s="231" t="str">
        <f>IFERROR(INDEX(生データ表[],MATCH(E391,生データ表['#],0),MATCH(C380,生データ表[#Headers],0)),"")</f>
        <v/>
      </c>
      <c r="H391" s="236" t="str">
        <f>IFERROR(INDEX(スコア表[],MATCH(E391,スコア表['#],0),MATCH(C380,スコア表[#Headers],0)),"")</f>
        <v/>
      </c>
    </row>
    <row r="392" spans="2:8">
      <c r="B392" t="s">
        <v>2069</v>
      </c>
      <c r="E392" s="11"/>
      <c r="F392" s="13" t="str">
        <f>IFERROR(INDEX(都市マスタ[],MATCH(E392,都市マスタ['#],0),MATCH(F380,都市マスタ[#Headers],0)),"")</f>
        <v/>
      </c>
      <c r="G392" s="231" t="str">
        <f>IFERROR(INDEX(生データ表[],MATCH(E392,生データ表['#],0),MATCH(C380,生データ表[#Headers],0)),"")</f>
        <v/>
      </c>
      <c r="H392" s="236" t="str">
        <f>IFERROR(INDEX(スコア表[],MATCH(E392,スコア表['#],0),MATCH(C380,スコア表[#Headers],0)),"")</f>
        <v/>
      </c>
    </row>
    <row r="393" spans="2:8">
      <c r="E393" s="11"/>
      <c r="F393" s="13" t="str">
        <f>IFERROR(INDEX(都市マスタ[],MATCH(E393,都市マスタ['#],0),MATCH(F380,都市マスタ[#Headers],0)),"")</f>
        <v/>
      </c>
      <c r="G393" s="231" t="str">
        <f>IFERROR(INDEX(生データ表[],MATCH(E393,生データ表['#],0),MATCH(C380,生データ表[#Headers],0)),"")</f>
        <v/>
      </c>
      <c r="H393" s="236" t="str">
        <f>IFERROR(INDEX(スコア表[],MATCH(E393,スコア表['#],0),MATCH(C380,スコア表[#Headers],0)),"")</f>
        <v/>
      </c>
    </row>
    <row r="395" spans="2:8">
      <c r="B395" s="36" t="s">
        <v>208</v>
      </c>
      <c r="C395" s="37" t="s">
        <v>559</v>
      </c>
      <c r="E395" s="35" t="s">
        <v>208</v>
      </c>
      <c r="F395" s="36" t="str">
        <f>IF(JPEN!$C$2="EN",都市!$C$2,都市!$D$2)</f>
        <v>都市名</v>
      </c>
      <c r="G395" s="36" t="s">
        <v>644</v>
      </c>
      <c r="H395" s="36" t="s">
        <v>645</v>
      </c>
    </row>
    <row r="396" spans="2:8">
      <c r="B396" s="36" t="str">
        <f>IF(JPEN!$C$2="EN",指標!$I$2,指標!$H$2)</f>
        <v>指標</v>
      </c>
      <c r="C396" s="13" t="str">
        <f ca="1">INDEX(INDIRECT("指標マスタ["&amp;B396&amp;"]"),MATCH(C395,指標マスタ['#],0))</f>
        <v>文化イベント開催件数</v>
      </c>
      <c r="E396" s="11">
        <v>3</v>
      </c>
      <c r="F396" s="13" t="str">
        <f>IFERROR(INDEX(都市マスタ[],MATCH(E396,都市マスタ['#],0),MATCH(F395,都市マスタ[#Headers],0)),"")</f>
        <v>ロンドン</v>
      </c>
      <c r="G396" s="5">
        <f>IFERROR(INDEX(生データ表[],MATCH(E396,生データ表['#],0),MATCH(C395,生データ表[#Headers],0)),"")</f>
        <v>37.5</v>
      </c>
      <c r="H396" s="236">
        <f>IFERROR(INDEX(スコア表[],MATCH(E396,スコア表['#],0),MATCH(C395,スコア表[#Headers],0)),"")</f>
        <v>43.636363636399999</v>
      </c>
    </row>
    <row r="397" spans="2:8">
      <c r="B397" s="36" t="str">
        <f>IF(JPEN!$C$2="EN",指標!$L$2,指標!$K$2)</f>
        <v>単位</v>
      </c>
      <c r="C397" s="13" t="str">
        <f>INDEX(指標マスタ[],MATCH(C395,指標マスタ['#],0),MATCH(B397,指標マスタ[#Headers],0))</f>
        <v>（合算）</v>
      </c>
      <c r="E397" s="11">
        <v>38</v>
      </c>
      <c r="F397" s="13" t="str">
        <f>IFERROR(INDEX(都市マスタ[],MATCH(E397,都市マスタ['#],0),MATCH(F395,都市マスタ[#Headers],0)),"")</f>
        <v>ニューヨーク</v>
      </c>
      <c r="G397" s="5">
        <f>IFERROR(INDEX(生データ表[],MATCH(E397,生データ表['#],0),MATCH(C395,生データ表[#Headers],0)),"")</f>
        <v>31.25</v>
      </c>
      <c r="H397" s="236">
        <f>IFERROR(INDEX(スコア表[],MATCH(E397,スコア表['#],0),MATCH(C395,スコア表[#Headers],0)),"")</f>
        <v>36.363636363600001</v>
      </c>
    </row>
    <row r="398" spans="2:8">
      <c r="B398" s="36" t="s">
        <v>646</v>
      </c>
      <c r="C398" s="13" t="str">
        <f>INDEX(生データ表2[],MATCH(B398,生データ表2[maxmin],0),MATCH(C395,生データ表2[#Headers],0))</f>
        <v>プラス</v>
      </c>
      <c r="E398" s="11">
        <v>29</v>
      </c>
      <c r="F398" s="13" t="str">
        <f>IFERROR(INDEX(都市マスタ[],MATCH(E398,都市マスタ['#],0),MATCH(F395,都市マスタ[#Headers],0)),"")</f>
        <v>東京</v>
      </c>
      <c r="G398" s="5">
        <f>IFERROR(INDEX(生データ表[],MATCH(E398,生データ表['#],0),MATCH(C395,生データ表[#Headers],0)),"")</f>
        <v>85.9375</v>
      </c>
      <c r="H398" s="236">
        <f>IFERROR(INDEX(スコア表[],MATCH(E398,スコア表['#],0),MATCH(C395,スコア表[#Headers],0)),"")</f>
        <v>100</v>
      </c>
    </row>
    <row r="399" spans="2:8">
      <c r="E399" s="11">
        <v>4</v>
      </c>
      <c r="F399" s="13" t="str">
        <f>IFERROR(INDEX(都市マスタ[],MATCH(E399,都市マスタ['#],0),MATCH(F395,都市マスタ[#Headers],0)),"")</f>
        <v>パリ</v>
      </c>
      <c r="G399" s="5">
        <f>IFERROR(INDEX(生データ表[],MATCH(E399,生データ表['#],0),MATCH(C395,生データ表[#Headers],0)),"")</f>
        <v>12.5</v>
      </c>
      <c r="H399" s="236">
        <f>IFERROR(INDEX(スコア表[],MATCH(E399,スコア表['#],0),MATCH(C395,スコア表[#Headers],0)),"")</f>
        <v>14.5454545455</v>
      </c>
    </row>
    <row r="400" spans="2:8">
      <c r="B400" s="240" t="s">
        <v>2067</v>
      </c>
      <c r="E400" s="11">
        <v>21</v>
      </c>
      <c r="F400" s="13" t="str">
        <f>IFERROR(INDEX(都市マスタ[],MATCH(E400,都市マスタ['#],0),MATCH(F395,都市マスタ[#Headers],0)),"")</f>
        <v>シンガポール</v>
      </c>
      <c r="G400" s="5">
        <f>IFERROR(INDEX(生データ表[],MATCH(E400,生データ表['#],0),MATCH(C395,生データ表[#Headers],0)),"")</f>
        <v>34.375</v>
      </c>
      <c r="H400" s="236">
        <f>IFERROR(INDEX(スコア表[],MATCH(E400,スコア表['#],0),MATCH(C395,スコア表[#Headers],0)),"")</f>
        <v>40</v>
      </c>
    </row>
    <row r="401" spans="2:8">
      <c r="E401" s="11">
        <v>26</v>
      </c>
      <c r="F401" s="13" t="str">
        <f>IFERROR(INDEX(都市マスタ[],MATCH(E401,都市マスタ['#],0),MATCH(F395,都市マスタ[#Headers],0)),"")</f>
        <v>ソウル</v>
      </c>
      <c r="G401" s="5">
        <f>IFERROR(INDEX(生データ表[],MATCH(E401,生データ表['#],0),MATCH(C395,生データ表[#Headers],0)),"")</f>
        <v>17.1875</v>
      </c>
      <c r="H401" s="236">
        <f>IFERROR(INDEX(スコア表[],MATCH(E401,スコア表['#],0),MATCH(C395,スコア表[#Headers],0)),"")</f>
        <v>20</v>
      </c>
    </row>
    <row r="402" spans="2:8">
      <c r="E402" s="11">
        <v>22</v>
      </c>
      <c r="F402" s="13" t="str">
        <f>IFERROR(INDEX(都市マスタ[],MATCH(E402,都市マスタ['#],0),MATCH(F395,都市マスタ[#Headers],0)),"")</f>
        <v>香港</v>
      </c>
      <c r="G402" s="5">
        <f>IFERROR(INDEX(生データ表[],MATCH(E402,生データ表['#],0),MATCH(C395,生データ表[#Headers],0)),"")</f>
        <v>21.875</v>
      </c>
      <c r="H402" s="236">
        <f>IFERROR(INDEX(スコア表[],MATCH(E402,スコア表['#],0),MATCH(C395,スコア表[#Headers],0)),"")</f>
        <v>25.4545454545</v>
      </c>
    </row>
    <row r="403" spans="2:8">
      <c r="E403" s="11">
        <v>23</v>
      </c>
      <c r="F403" s="13" t="str">
        <f>IFERROR(INDEX(都市マスタ[],MATCH(E403,都市マスタ['#],0),MATCH(F395,都市マスタ[#Headers],0)),"")</f>
        <v>北京</v>
      </c>
      <c r="G403" s="5">
        <f>IFERROR(INDEX(生データ表[],MATCH(E403,生データ表['#],0),MATCH(C395,生データ表[#Headers],0)),"")</f>
        <v>66.8402777777777</v>
      </c>
      <c r="H403" s="236">
        <f>IFERROR(INDEX(スコア表[],MATCH(E403,スコア表['#],0),MATCH(C395,スコア表[#Headers],0)),"")</f>
        <v>77.777777777799997</v>
      </c>
    </row>
    <row r="404" spans="2:8">
      <c r="B404" s="240" t="s">
        <v>2068</v>
      </c>
      <c r="E404" s="11">
        <v>24</v>
      </c>
      <c r="F404" s="13" t="str">
        <f>IFERROR(INDEX(都市マスタ[],MATCH(E404,都市マスタ['#],0),MATCH(F395,都市マスタ[#Headers],0)),"")</f>
        <v>上海</v>
      </c>
      <c r="G404" s="5">
        <f>IFERROR(INDEX(生データ表[],MATCH(E404,生データ表['#],0),MATCH(C395,生データ表[#Headers],0)),"")</f>
        <v>25.231481481481399</v>
      </c>
      <c r="H404" s="236">
        <f>IFERROR(INDEX(スコア表[],MATCH(E404,スコア表['#],0),MATCH(C395,スコア表[#Headers],0)),"")</f>
        <v>29.360269360299998</v>
      </c>
    </row>
    <row r="405" spans="2:8">
      <c r="B405" t="s">
        <v>2070</v>
      </c>
      <c r="E405" s="11"/>
      <c r="F405" s="13" t="str">
        <f>IFERROR(INDEX(都市マスタ[],MATCH(E405,都市マスタ['#],0),MATCH(F395,都市マスタ[#Headers],0)),"")</f>
        <v/>
      </c>
      <c r="G405" s="231" t="str">
        <f>IFERROR(INDEX(生データ表[],MATCH(E405,生データ表['#],0),MATCH(C395,生データ表[#Headers],0)),"")</f>
        <v/>
      </c>
      <c r="H405" s="236" t="str">
        <f>IFERROR(INDEX(スコア表[],MATCH(E405,スコア表['#],0),MATCH(C395,スコア表[#Headers],0)),"")</f>
        <v/>
      </c>
    </row>
    <row r="406" spans="2:8">
      <c r="B406" t="s">
        <v>2071</v>
      </c>
      <c r="E406" s="11"/>
      <c r="F406" s="13" t="str">
        <f>IFERROR(INDEX(都市マスタ[],MATCH(E406,都市マスタ['#],0),MATCH(F395,都市マスタ[#Headers],0)),"")</f>
        <v/>
      </c>
      <c r="G406" s="231" t="str">
        <f>IFERROR(INDEX(生データ表[],MATCH(E406,生データ表['#],0),MATCH(C395,生データ表[#Headers],0)),"")</f>
        <v/>
      </c>
      <c r="H406" s="236" t="str">
        <f>IFERROR(INDEX(スコア表[],MATCH(E406,スコア表['#],0),MATCH(C395,スコア表[#Headers],0)),"")</f>
        <v/>
      </c>
    </row>
    <row r="407" spans="2:8">
      <c r="B407" t="s">
        <v>2069</v>
      </c>
      <c r="E407" s="11"/>
      <c r="F407" s="13" t="str">
        <f>IFERROR(INDEX(都市マスタ[],MATCH(E407,都市マスタ['#],0),MATCH(F395,都市マスタ[#Headers],0)),"")</f>
        <v/>
      </c>
      <c r="G407" s="231" t="str">
        <f>IFERROR(INDEX(生データ表[],MATCH(E407,生データ表['#],0),MATCH(C395,生データ表[#Headers],0)),"")</f>
        <v/>
      </c>
      <c r="H407" s="236" t="str">
        <f>IFERROR(INDEX(スコア表[],MATCH(E407,スコア表['#],0),MATCH(C395,スコア表[#Headers],0)),"")</f>
        <v/>
      </c>
    </row>
    <row r="408" spans="2:8">
      <c r="E408" s="11"/>
      <c r="F408" s="13" t="str">
        <f>IFERROR(INDEX(都市マスタ[],MATCH(E408,都市マスタ['#],0),MATCH(F395,都市マスタ[#Headers],0)),"")</f>
        <v/>
      </c>
      <c r="G408" s="231" t="str">
        <f>IFERROR(INDEX(生データ表[],MATCH(E408,生データ表['#],0),MATCH(C395,生データ表[#Headers],0)),"")</f>
        <v/>
      </c>
      <c r="H408" s="236" t="str">
        <f>IFERROR(INDEX(スコア表[],MATCH(E408,スコア表['#],0),MATCH(C395,スコア表[#Headers],0)),"")</f>
        <v/>
      </c>
    </row>
    <row r="410" spans="2:8">
      <c r="B410" s="36" t="s">
        <v>208</v>
      </c>
      <c r="C410" s="37" t="s">
        <v>560</v>
      </c>
      <c r="E410" s="35" t="s">
        <v>208</v>
      </c>
      <c r="F410" s="36" t="str">
        <f>IF(JPEN!$C$2="EN",都市!$C$2,都市!$D$2)</f>
        <v>都市名</v>
      </c>
      <c r="G410" s="36" t="s">
        <v>644</v>
      </c>
      <c r="H410" s="36" t="s">
        <v>645</v>
      </c>
    </row>
    <row r="411" spans="2:8">
      <c r="B411" s="36" t="str">
        <f>IF(JPEN!$C$2="EN",指標!$I$2,指標!$H$2)</f>
        <v>指標</v>
      </c>
      <c r="C411" s="13" t="str">
        <f ca="1">INDEX(INDIRECT("指標マスタ["&amp;B411&amp;"]"),MATCH(C410,指標マスタ['#],0))</f>
        <v>コンテンツ輸出額</v>
      </c>
      <c r="E411" s="11">
        <v>3</v>
      </c>
      <c r="F411" s="13" t="str">
        <f>IFERROR(INDEX(都市マスタ[],MATCH(E411,都市マスタ['#],0),MATCH(F410,都市マスタ[#Headers],0)),"")</f>
        <v>ロンドン</v>
      </c>
      <c r="G411" s="5">
        <f>IFERROR(INDEX(生データ表[],MATCH(E411,生データ表['#],0),MATCH(C410,生データ表[#Headers],0)),"")</f>
        <v>121.53314323874299</v>
      </c>
      <c r="H411" s="236">
        <f>IFERROR(INDEX(スコア表[],MATCH(E411,スコア表['#],0),MATCH(C410,スコア表[#Headers],0)),"")</f>
        <v>100</v>
      </c>
    </row>
    <row r="412" spans="2:8">
      <c r="B412" s="36" t="str">
        <f>IF(JPEN!$C$2="EN",指標!$L$2,指標!$K$2)</f>
        <v>単位</v>
      </c>
      <c r="C412" s="13" t="str">
        <f>INDEX(指標マスタ[],MATCH(C410,指標マスタ['#],0),MATCH(B412,指標マスタ[#Headers],0))</f>
        <v>（合算）</v>
      </c>
      <c r="E412" s="11">
        <v>38</v>
      </c>
      <c r="F412" s="13" t="str">
        <f>IFERROR(INDEX(都市マスタ[],MATCH(E412,都市マスタ['#],0),MATCH(F410,都市マスタ[#Headers],0)),"")</f>
        <v>ニューヨーク</v>
      </c>
      <c r="G412" s="5">
        <f>IFERROR(INDEX(生データ表[],MATCH(E412,生データ表['#],0),MATCH(C410,生データ表[#Headers],0)),"")</f>
        <v>110.281243433163</v>
      </c>
      <c r="H412" s="236">
        <f>IFERROR(INDEX(スコア表[],MATCH(E412,スコア表['#],0),MATCH(C410,スコア表[#Headers],0)),"")</f>
        <v>90.724935490600004</v>
      </c>
    </row>
    <row r="413" spans="2:8">
      <c r="B413" s="36" t="s">
        <v>646</v>
      </c>
      <c r="C413" s="13" t="str">
        <f>INDEX(生データ表2[],MATCH(B413,生データ表2[maxmin],0),MATCH(C410,生データ表2[#Headers],0))</f>
        <v>プラス</v>
      </c>
      <c r="E413" s="11">
        <v>29</v>
      </c>
      <c r="F413" s="13" t="str">
        <f>IFERROR(INDEX(都市マスタ[],MATCH(E413,都市マスタ['#],0),MATCH(F410,都市マスタ[#Headers],0)),"")</f>
        <v>東京</v>
      </c>
      <c r="G413" s="5">
        <f>IFERROR(INDEX(生データ表[],MATCH(E413,生データ表['#],0),MATCH(C410,生データ表[#Headers],0)),"")</f>
        <v>15.621390643401501</v>
      </c>
      <c r="H413" s="236">
        <f>IFERROR(INDEX(スコア表[],MATCH(E413,スコア表['#],0),MATCH(C410,スコア表[#Headers],0)),"")</f>
        <v>12.6957798593</v>
      </c>
    </row>
    <row r="414" spans="2:8">
      <c r="E414" s="11">
        <v>4</v>
      </c>
      <c r="F414" s="13" t="str">
        <f>IFERROR(INDEX(都市マスタ[],MATCH(E414,都市マスタ['#],0),MATCH(F410,都市マスタ[#Headers],0)),"")</f>
        <v>パリ</v>
      </c>
      <c r="G414" s="5">
        <f>IFERROR(INDEX(生データ表[],MATCH(E414,生データ表['#],0),MATCH(C410,生データ表[#Headers],0)),"")</f>
        <v>17.974988366573999</v>
      </c>
      <c r="H414" s="236">
        <f>IFERROR(INDEX(スコア表[],MATCH(E414,スコア表['#],0),MATCH(C410,スコア表[#Headers],0)),"")</f>
        <v>14.635876295299999</v>
      </c>
    </row>
    <row r="415" spans="2:8">
      <c r="B415" s="240" t="s">
        <v>2067</v>
      </c>
      <c r="E415" s="11">
        <v>21</v>
      </c>
      <c r="F415" s="13" t="str">
        <f>IFERROR(INDEX(都市マスタ[],MATCH(E415,都市マスタ['#],0),MATCH(F410,都市マスタ[#Headers],0)),"")</f>
        <v>シンガポール</v>
      </c>
      <c r="G415" s="5">
        <f>IFERROR(INDEX(生データ表[],MATCH(E415,生データ表['#],0),MATCH(C410,生データ表[#Headers],0)),"")</f>
        <v>77.794452382560095</v>
      </c>
      <c r="H415" s="236">
        <f>IFERROR(INDEX(スコア表[],MATCH(E415,スコア表['#],0),MATCH(C410,スコア表[#Headers],0)),"")</f>
        <v>63.945717055899998</v>
      </c>
    </row>
    <row r="416" spans="2:8">
      <c r="E416" s="11">
        <v>26</v>
      </c>
      <c r="F416" s="13" t="str">
        <f>IFERROR(INDEX(都市マスタ[],MATCH(E416,都市マスタ['#],0),MATCH(F410,都市マスタ[#Headers],0)),"")</f>
        <v>ソウル</v>
      </c>
      <c r="G416" s="5">
        <f>IFERROR(INDEX(生データ表[],MATCH(E416,生データ表['#],0),MATCH(C410,生データ表[#Headers],0)),"")</f>
        <v>26.269192469221199</v>
      </c>
      <c r="H416" s="236">
        <f>IFERROR(INDEX(スコア表[],MATCH(E416,スコア表['#],0),MATCH(C410,スコア表[#Headers],0)),"")</f>
        <v>21.472879773500001</v>
      </c>
    </row>
    <row r="417" spans="2:8">
      <c r="E417" s="11">
        <v>22</v>
      </c>
      <c r="F417" s="13" t="str">
        <f>IFERROR(INDEX(都市マスタ[],MATCH(E417,都市マスタ['#],0),MATCH(F410,都市マスタ[#Headers],0)),"")</f>
        <v>香港</v>
      </c>
      <c r="G417" s="5">
        <f>IFERROR(INDEX(生データ表[],MATCH(E417,生データ表['#],0),MATCH(C410,生データ表[#Headers],0)),"")</f>
        <v>52.374485959221502</v>
      </c>
      <c r="H417" s="236">
        <f>IFERROR(INDEX(スコア表[],MATCH(E417,スコア表['#],0),MATCH(C410,スコア表[#Headers],0)),"")</f>
        <v>42.991759726200002</v>
      </c>
    </row>
    <row r="418" spans="2:8">
      <c r="E418" s="11">
        <v>23</v>
      </c>
      <c r="F418" s="13" t="str">
        <f>IFERROR(INDEX(都市マスタ[],MATCH(E418,都市マスタ['#],0),MATCH(F410,都市マスタ[#Headers],0)),"")</f>
        <v>北京</v>
      </c>
      <c r="G418" s="5">
        <f>IFERROR(INDEX(生データ表[],MATCH(E418,生データ表['#],0),MATCH(C410,生データ表[#Headers],0)),"")</f>
        <v>8.3969197254130403</v>
      </c>
      <c r="H418" s="236">
        <f>IFERROR(INDEX(スコア表[],MATCH(E418,スコア表['#],0),MATCH(C410,スコア表[#Headers],0)),"")</f>
        <v>6.7405691865000001</v>
      </c>
    </row>
    <row r="419" spans="2:8">
      <c r="B419" s="240" t="s">
        <v>2068</v>
      </c>
      <c r="E419" s="11">
        <v>24</v>
      </c>
      <c r="F419" s="13" t="str">
        <f>IFERROR(INDEX(都市マスタ[],MATCH(E419,都市マスタ['#],0),MATCH(F410,都市マスタ[#Headers],0)),"")</f>
        <v>上海</v>
      </c>
      <c r="G419" s="5">
        <f>IFERROR(INDEX(生データ表[],MATCH(E419,生データ表['#],0),MATCH(C410,生データ表[#Headers],0)),"")</f>
        <v>9.0257436876416595</v>
      </c>
      <c r="H419" s="236">
        <f>IFERROR(INDEX(スコア表[],MATCH(E419,スコア表['#],0),MATCH(C410,スコア表[#Headers],0)),"")</f>
        <v>7.2589156805000004</v>
      </c>
    </row>
    <row r="420" spans="2:8">
      <c r="B420" t="s">
        <v>2070</v>
      </c>
      <c r="E420" s="11"/>
      <c r="F420" s="13" t="str">
        <f>IFERROR(INDEX(都市マスタ[],MATCH(E420,都市マスタ['#],0),MATCH(F410,都市マスタ[#Headers],0)),"")</f>
        <v/>
      </c>
      <c r="G420" s="231" t="str">
        <f>IFERROR(INDEX(生データ表[],MATCH(E420,生データ表['#],0),MATCH(C410,生データ表[#Headers],0)),"")</f>
        <v/>
      </c>
      <c r="H420" s="236" t="str">
        <f>IFERROR(INDEX(スコア表[],MATCH(E420,スコア表['#],0),MATCH(C410,スコア表[#Headers],0)),"")</f>
        <v/>
      </c>
    </row>
    <row r="421" spans="2:8">
      <c r="B421" t="s">
        <v>2071</v>
      </c>
      <c r="E421" s="11"/>
      <c r="F421" s="13" t="str">
        <f>IFERROR(INDEX(都市マスタ[],MATCH(E421,都市マスタ['#],0),MATCH(F410,都市マスタ[#Headers],0)),"")</f>
        <v/>
      </c>
      <c r="G421" s="231" t="str">
        <f>IFERROR(INDEX(生データ表[],MATCH(E421,生データ表['#],0),MATCH(C410,生データ表[#Headers],0)),"")</f>
        <v/>
      </c>
      <c r="H421" s="236" t="str">
        <f>IFERROR(INDEX(スコア表[],MATCH(E421,スコア表['#],0),MATCH(C410,スコア表[#Headers],0)),"")</f>
        <v/>
      </c>
    </row>
    <row r="422" spans="2:8">
      <c r="B422" t="s">
        <v>2069</v>
      </c>
      <c r="E422" s="11"/>
      <c r="F422" s="13" t="str">
        <f>IFERROR(INDEX(都市マスタ[],MATCH(E422,都市マスタ['#],0),MATCH(F410,都市マスタ[#Headers],0)),"")</f>
        <v/>
      </c>
      <c r="G422" s="231" t="str">
        <f>IFERROR(INDEX(生データ表[],MATCH(E422,生データ表['#],0),MATCH(C410,生データ表[#Headers],0)),"")</f>
        <v/>
      </c>
      <c r="H422" s="236" t="str">
        <f>IFERROR(INDEX(スコア表[],MATCH(E422,スコア表['#],0),MATCH(C410,スコア表[#Headers],0)),"")</f>
        <v/>
      </c>
    </row>
    <row r="423" spans="2:8">
      <c r="E423" s="11"/>
      <c r="F423" s="13" t="str">
        <f>IFERROR(INDEX(都市マスタ[],MATCH(E423,都市マスタ['#],0),MATCH(F410,都市マスタ[#Headers],0)),"")</f>
        <v/>
      </c>
      <c r="G423" s="231" t="str">
        <f>IFERROR(INDEX(生データ表[],MATCH(E423,生データ表['#],0),MATCH(C410,生データ表[#Headers],0)),"")</f>
        <v/>
      </c>
      <c r="H423" s="236" t="str">
        <f>IFERROR(INDEX(スコア表[],MATCH(E423,スコア表['#],0),MATCH(C410,スコア表[#Headers],0)),"")</f>
        <v/>
      </c>
    </row>
    <row r="425" spans="2:8">
      <c r="B425" s="36" t="s">
        <v>208</v>
      </c>
      <c r="C425" s="37" t="s">
        <v>561</v>
      </c>
      <c r="E425" s="35" t="s">
        <v>208</v>
      </c>
      <c r="F425" s="36" t="str">
        <f>IF(JPEN!$C$2="EN",都市!$C$2,都市!$D$2)</f>
        <v>都市名</v>
      </c>
      <c r="G425" s="36" t="s">
        <v>644</v>
      </c>
      <c r="H425" s="36" t="s">
        <v>645</v>
      </c>
    </row>
    <row r="426" spans="2:8">
      <c r="B426" s="36" t="str">
        <f>IF(JPEN!$C$2="EN",指標!$I$2,指標!$H$2)</f>
        <v>指標</v>
      </c>
      <c r="C426" s="13" t="str">
        <f ca="1">INDEX(INDIRECT("指標マスタ["&amp;B426&amp;"]"),MATCH(C425,指標マスタ['#],0))</f>
        <v>アート市場環境</v>
      </c>
      <c r="E426" s="11">
        <v>3</v>
      </c>
      <c r="F426" s="13" t="str">
        <f>IFERROR(INDEX(都市マスタ[],MATCH(E426,都市マスタ['#],0),MATCH(F425,都市マスタ[#Headers],0)),"")</f>
        <v>ロンドン</v>
      </c>
      <c r="G426" s="5">
        <f>IFERROR(INDEX(生データ表[],MATCH(E426,生データ表['#],0),MATCH(C425,生データ表[#Headers],0)),"")</f>
        <v>46.157388409121602</v>
      </c>
      <c r="H426" s="236">
        <f>IFERROR(INDEX(スコア表[],MATCH(E426,スコア表['#],0),MATCH(C425,スコア表[#Headers],0)),"")</f>
        <v>46.157388409100001</v>
      </c>
    </row>
    <row r="427" spans="2:8">
      <c r="B427" s="36" t="str">
        <f>IF(JPEN!$C$2="EN",指標!$L$2,指標!$K$2)</f>
        <v>単位</v>
      </c>
      <c r="C427" s="13" t="str">
        <f>INDEX(指標マスタ[],MATCH(C425,指標マスタ['#],0),MATCH(B427,指標マスタ[#Headers],0))</f>
        <v>（合算）</v>
      </c>
      <c r="E427" s="11">
        <v>38</v>
      </c>
      <c r="F427" s="13" t="str">
        <f>IFERROR(INDEX(都市マスタ[],MATCH(E427,都市マスタ['#],0),MATCH(F425,都市マスタ[#Headers],0)),"")</f>
        <v>ニューヨーク</v>
      </c>
      <c r="G427" s="5">
        <f>IFERROR(INDEX(生データ表[],MATCH(E427,生データ表['#],0),MATCH(C425,生データ表[#Headers],0)),"")</f>
        <v>100</v>
      </c>
      <c r="H427" s="236">
        <f>IFERROR(INDEX(スコア表[],MATCH(E427,スコア表['#],0),MATCH(C425,スコア表[#Headers],0)),"")</f>
        <v>100</v>
      </c>
    </row>
    <row r="428" spans="2:8">
      <c r="B428" s="36" t="s">
        <v>646</v>
      </c>
      <c r="C428" s="13" t="str">
        <f>INDEX(生データ表2[],MATCH(B428,生データ表2[maxmin],0),MATCH(C425,生データ表2[#Headers],0))</f>
        <v>プラス</v>
      </c>
      <c r="E428" s="11">
        <v>29</v>
      </c>
      <c r="F428" s="13" t="str">
        <f>IFERROR(INDEX(都市マスタ[],MATCH(E428,都市マスタ['#],0),MATCH(F425,都市マスタ[#Headers],0)),"")</f>
        <v>東京</v>
      </c>
      <c r="G428" s="5">
        <f>IFERROR(INDEX(生データ表[],MATCH(E428,生データ表['#],0),MATCH(C425,生データ表[#Headers],0)),"")</f>
        <v>10.519673043932</v>
      </c>
      <c r="H428" s="236">
        <f>IFERROR(INDEX(スコア表[],MATCH(E428,スコア表['#],0),MATCH(C425,スコア表[#Headers],0)),"")</f>
        <v>10.519673043899999</v>
      </c>
    </row>
    <row r="429" spans="2:8">
      <c r="E429" s="11">
        <v>4</v>
      </c>
      <c r="F429" s="13" t="str">
        <f>IFERROR(INDEX(都市マスタ[],MATCH(E429,都市マスタ['#],0),MATCH(F425,都市マスタ[#Headers],0)),"")</f>
        <v>パリ</v>
      </c>
      <c r="G429" s="5">
        <f>IFERROR(INDEX(生データ表[],MATCH(E429,生データ表['#],0),MATCH(C425,生データ表[#Headers],0)),"")</f>
        <v>30.099998961973501</v>
      </c>
      <c r="H429" s="236">
        <f>IFERROR(INDEX(スコア表[],MATCH(E429,スコア表['#],0),MATCH(C425,スコア表[#Headers],0)),"")</f>
        <v>30.099998962000001</v>
      </c>
    </row>
    <row r="430" spans="2:8">
      <c r="B430" s="240" t="s">
        <v>2067</v>
      </c>
      <c r="E430" s="11">
        <v>21</v>
      </c>
      <c r="F430" s="13" t="str">
        <f>IFERROR(INDEX(都市マスタ[],MATCH(E430,都市マスタ['#],0),MATCH(F425,都市マスタ[#Headers],0)),"")</f>
        <v>シンガポール</v>
      </c>
      <c r="G430" s="5">
        <f>IFERROR(INDEX(生データ表[],MATCH(E430,生データ表['#],0),MATCH(C425,生データ表[#Headers],0)),"")</f>
        <v>2.6071535001399502</v>
      </c>
      <c r="H430" s="236">
        <f>IFERROR(INDEX(スコア表[],MATCH(E430,スコア表['#],0),MATCH(C425,スコア表[#Headers],0)),"")</f>
        <v>2.6071535000999999</v>
      </c>
    </row>
    <row r="431" spans="2:8">
      <c r="E431" s="11">
        <v>26</v>
      </c>
      <c r="F431" s="13" t="str">
        <f>IFERROR(INDEX(都市マスタ[],MATCH(E431,都市マスタ['#],0),MATCH(F425,都市マスタ[#Headers],0)),"")</f>
        <v>ソウル</v>
      </c>
      <c r="G431" s="5">
        <f>IFERROR(INDEX(生データ表[],MATCH(E431,生データ表['#],0),MATCH(C425,生データ表[#Headers],0)),"")</f>
        <v>9.2697022472311801</v>
      </c>
      <c r="H431" s="236">
        <f>IFERROR(INDEX(スコア表[],MATCH(E431,スコア表['#],0),MATCH(C425,スコア表[#Headers],0)),"")</f>
        <v>9.2697022471999997</v>
      </c>
    </row>
    <row r="432" spans="2:8">
      <c r="E432" s="11">
        <v>22</v>
      </c>
      <c r="F432" s="13" t="str">
        <f>IFERROR(INDEX(都市マスタ[],MATCH(E432,都市マスタ['#],0),MATCH(F425,都市マスタ[#Headers],0)),"")</f>
        <v>香港</v>
      </c>
      <c r="G432" s="5">
        <f>IFERROR(INDEX(生データ表[],MATCH(E432,生データ表['#],0),MATCH(C425,生データ表[#Headers],0)),"")</f>
        <v>5.1303445051081402</v>
      </c>
      <c r="H432" s="236">
        <f>IFERROR(INDEX(スコア表[],MATCH(E432,スコア表['#],0),MATCH(C425,スコア表[#Headers],0)),"")</f>
        <v>5.1303445051000001</v>
      </c>
    </row>
    <row r="433" spans="2:8">
      <c r="E433" s="11">
        <v>23</v>
      </c>
      <c r="F433" s="13" t="str">
        <f>IFERROR(INDEX(都市マスタ[],MATCH(E433,都市マスタ['#],0),MATCH(F425,都市マスタ[#Headers],0)),"")</f>
        <v>北京</v>
      </c>
      <c r="G433" s="5">
        <f>IFERROR(INDEX(生データ表[],MATCH(E433,生データ表['#],0),MATCH(C425,生データ表[#Headers],0)),"")</f>
        <v>13.4024186929216</v>
      </c>
      <c r="H433" s="236">
        <f>IFERROR(INDEX(スコア表[],MATCH(E433,スコア表['#],0),MATCH(C425,スコア表[#Headers],0)),"")</f>
        <v>13.4024186929</v>
      </c>
    </row>
    <row r="434" spans="2:8">
      <c r="B434" s="240" t="s">
        <v>2068</v>
      </c>
      <c r="E434" s="11">
        <v>24</v>
      </c>
      <c r="F434" s="13" t="str">
        <f>IFERROR(INDEX(都市マスタ[],MATCH(E434,都市マスタ['#],0),MATCH(F425,都市マスタ[#Headers],0)),"")</f>
        <v>上海</v>
      </c>
      <c r="G434" s="5">
        <f>IFERROR(INDEX(生データ表[],MATCH(E434,生データ表['#],0),MATCH(C425,生データ表[#Headers],0)),"")</f>
        <v>2.8674898695475401</v>
      </c>
      <c r="H434" s="236">
        <f>IFERROR(INDEX(スコア表[],MATCH(E434,スコア表['#],0),MATCH(C425,スコア表[#Headers],0)),"")</f>
        <v>2.8674898695</v>
      </c>
    </row>
    <row r="435" spans="2:8">
      <c r="B435" t="s">
        <v>2070</v>
      </c>
      <c r="E435" s="11"/>
      <c r="F435" s="13" t="str">
        <f>IFERROR(INDEX(都市マスタ[],MATCH(E435,都市マスタ['#],0),MATCH(F425,都市マスタ[#Headers],0)),"")</f>
        <v/>
      </c>
      <c r="G435" s="231" t="str">
        <f>IFERROR(INDEX(生データ表[],MATCH(E435,生データ表['#],0),MATCH(C425,生データ表[#Headers],0)),"")</f>
        <v/>
      </c>
      <c r="H435" s="236" t="str">
        <f>IFERROR(INDEX(スコア表[],MATCH(E435,スコア表['#],0),MATCH(C425,スコア表[#Headers],0)),"")</f>
        <v/>
      </c>
    </row>
    <row r="436" spans="2:8">
      <c r="B436" t="s">
        <v>2071</v>
      </c>
      <c r="E436" s="11"/>
      <c r="F436" s="13" t="str">
        <f>IFERROR(INDEX(都市マスタ[],MATCH(E436,都市マスタ['#],0),MATCH(F425,都市マスタ[#Headers],0)),"")</f>
        <v/>
      </c>
      <c r="G436" s="231" t="str">
        <f>IFERROR(INDEX(生データ表[],MATCH(E436,生データ表['#],0),MATCH(C425,生データ表[#Headers],0)),"")</f>
        <v/>
      </c>
      <c r="H436" s="236" t="str">
        <f>IFERROR(INDEX(スコア表[],MATCH(E436,スコア表['#],0),MATCH(C425,スコア表[#Headers],0)),"")</f>
        <v/>
      </c>
    </row>
    <row r="437" spans="2:8">
      <c r="B437" t="s">
        <v>2069</v>
      </c>
      <c r="E437" s="11"/>
      <c r="F437" s="13" t="str">
        <f>IFERROR(INDEX(都市マスタ[],MATCH(E437,都市マスタ['#],0),MATCH(F425,都市マスタ[#Headers],0)),"")</f>
        <v/>
      </c>
      <c r="G437" s="231" t="str">
        <f>IFERROR(INDEX(生データ表[],MATCH(E437,生データ表['#],0),MATCH(C425,生データ表[#Headers],0)),"")</f>
        <v/>
      </c>
      <c r="H437" s="236" t="str">
        <f>IFERROR(INDEX(スコア表[],MATCH(E437,スコア表['#],0),MATCH(C425,スコア表[#Headers],0)),"")</f>
        <v/>
      </c>
    </row>
    <row r="438" spans="2:8">
      <c r="E438" s="11"/>
      <c r="F438" s="13" t="str">
        <f>IFERROR(INDEX(都市マスタ[],MATCH(E438,都市マスタ['#],0),MATCH(F425,都市マスタ[#Headers],0)),"")</f>
        <v/>
      </c>
      <c r="G438" s="231" t="str">
        <f>IFERROR(INDEX(生データ表[],MATCH(E438,生データ表['#],0),MATCH(C425,生データ表[#Headers],0)),"")</f>
        <v/>
      </c>
      <c r="H438" s="236" t="str">
        <f>IFERROR(INDEX(スコア表[],MATCH(E438,スコア表['#],0),MATCH(C425,スコア表[#Headers],0)),"")</f>
        <v/>
      </c>
    </row>
    <row r="440" spans="2:8">
      <c r="B440" s="36" t="s">
        <v>208</v>
      </c>
      <c r="C440" s="37" t="s">
        <v>562</v>
      </c>
      <c r="E440" s="35" t="s">
        <v>208</v>
      </c>
      <c r="F440" s="36" t="str">
        <f>IF(JPEN!$C$2="EN",都市!$C$2,都市!$D$2)</f>
        <v>都市名</v>
      </c>
      <c r="G440" s="36" t="s">
        <v>644</v>
      </c>
      <c r="H440" s="36" t="s">
        <v>645</v>
      </c>
    </row>
    <row r="441" spans="2:8">
      <c r="B441" s="36" t="str">
        <f>IF(JPEN!$C$2="EN",指標!$I$2,指標!$H$2)</f>
        <v>指標</v>
      </c>
      <c r="C441" s="13" t="str">
        <f ca="1">INDEX(INDIRECT("指標マスタ["&amp;B441&amp;"]"),MATCH(C440,指標マスタ['#],0))</f>
        <v>観光地の充実度</v>
      </c>
      <c r="E441" s="11">
        <v>3</v>
      </c>
      <c r="F441" s="13" t="str">
        <f>IFERROR(INDEX(都市マスタ[],MATCH(E441,都市マスタ['#],0),MATCH(F440,都市マスタ[#Headers],0)),"")</f>
        <v>ロンドン</v>
      </c>
      <c r="G441" s="5">
        <f>IFERROR(INDEX(生データ表[],MATCH(E441,生データ表['#],0),MATCH(C440,生データ表[#Headers],0)),"")</f>
        <v>85.563728072485901</v>
      </c>
      <c r="H441" s="236">
        <f>IFERROR(INDEX(スコア表[],MATCH(E441,スコア表['#],0),MATCH(C440,スコア表[#Headers],0)),"")</f>
        <v>100</v>
      </c>
    </row>
    <row r="442" spans="2:8">
      <c r="B442" s="36" t="str">
        <f>IF(JPEN!$C$2="EN",指標!$L$2,指標!$K$2)</f>
        <v>単位</v>
      </c>
      <c r="C442" s="13" t="str">
        <f>INDEX(指標マスタ[],MATCH(C440,指標マスタ['#],0),MATCH(B442,指標マスタ[#Headers],0))</f>
        <v>（合算）</v>
      </c>
      <c r="E442" s="11">
        <v>38</v>
      </c>
      <c r="F442" s="13" t="str">
        <f>IFERROR(INDEX(都市マスタ[],MATCH(E442,都市マスタ['#],0),MATCH(F440,都市マスタ[#Headers],0)),"")</f>
        <v>ニューヨーク</v>
      </c>
      <c r="G442" s="5">
        <f>IFERROR(INDEX(生データ表[],MATCH(E442,生データ表['#],0),MATCH(C440,生データ表[#Headers],0)),"")</f>
        <v>69.068737813450895</v>
      </c>
      <c r="H442" s="236">
        <f>IFERROR(INDEX(スコア表[],MATCH(E442,スコア表['#],0),MATCH(C440,スコア表[#Headers],0)),"")</f>
        <v>80.721982748299993</v>
      </c>
    </row>
    <row r="443" spans="2:8">
      <c r="B443" s="36" t="s">
        <v>646</v>
      </c>
      <c r="C443" s="13" t="str">
        <f>INDEX(生データ表2[],MATCH(B443,生データ表2[maxmin],0),MATCH(C440,生データ表2[#Headers],0))</f>
        <v>プラス</v>
      </c>
      <c r="E443" s="11">
        <v>29</v>
      </c>
      <c r="F443" s="13" t="str">
        <f>IFERROR(INDEX(都市マスタ[],MATCH(E443,都市マスタ['#],0),MATCH(F440,都市マスタ[#Headers],0)),"")</f>
        <v>東京</v>
      </c>
      <c r="G443" s="5">
        <f>IFERROR(INDEX(生データ表[],MATCH(E443,生データ表['#],0),MATCH(C440,生データ表[#Headers],0)),"")</f>
        <v>43.0474756739873</v>
      </c>
      <c r="H443" s="236">
        <f>IFERROR(INDEX(スコア表[],MATCH(E443,スコア表['#],0),MATCH(C440,スコア表[#Headers],0)),"")</f>
        <v>50.310425508199998</v>
      </c>
    </row>
    <row r="444" spans="2:8">
      <c r="E444" s="11">
        <v>4</v>
      </c>
      <c r="F444" s="13" t="str">
        <f>IFERROR(INDEX(都市マスタ[],MATCH(E444,都市マスタ['#],0),MATCH(F440,都市マスタ[#Headers],0)),"")</f>
        <v>パリ</v>
      </c>
      <c r="G444" s="5">
        <f>IFERROR(INDEX(生データ表[],MATCH(E444,生データ表['#],0),MATCH(C440,生データ表[#Headers],0)),"")</f>
        <v>70.414481822125794</v>
      </c>
      <c r="H444" s="236">
        <f>IFERROR(INDEX(スコア表[],MATCH(E444,スコア表['#],0),MATCH(C440,スコア表[#Headers],0)),"")</f>
        <v>82.294780052700006</v>
      </c>
    </row>
    <row r="445" spans="2:8">
      <c r="B445" s="240" t="s">
        <v>2067</v>
      </c>
      <c r="E445" s="11">
        <v>21</v>
      </c>
      <c r="F445" s="13" t="str">
        <f>IFERROR(INDEX(都市マスタ[],MATCH(E445,都市マスタ['#],0),MATCH(F440,都市マスタ[#Headers],0)),"")</f>
        <v>シンガポール</v>
      </c>
      <c r="G445" s="5">
        <f>IFERROR(INDEX(生データ表[],MATCH(E445,生データ表['#],0),MATCH(C440,生データ表[#Headers],0)),"")</f>
        <v>43.452461992248097</v>
      </c>
      <c r="H445" s="236">
        <f>IFERROR(INDEX(スコア表[],MATCH(E445,スコア表['#],0),MATCH(C440,スコア表[#Headers],0)),"")</f>
        <v>50.783740927499998</v>
      </c>
    </row>
    <row r="446" spans="2:8">
      <c r="E446" s="11">
        <v>26</v>
      </c>
      <c r="F446" s="13" t="str">
        <f>IFERROR(INDEX(都市マスタ[],MATCH(E446,都市マスタ['#],0),MATCH(F440,都市マスタ[#Headers],0)),"")</f>
        <v>ソウル</v>
      </c>
      <c r="G446" s="5">
        <f>IFERROR(INDEX(生データ表[],MATCH(E446,生データ表['#],0),MATCH(C440,生データ表[#Headers],0)),"")</f>
        <v>30.4197543162507</v>
      </c>
      <c r="H446" s="236">
        <f>IFERROR(INDEX(スコア表[],MATCH(E446,スコア表['#],0),MATCH(C440,スコア表[#Headers],0)),"")</f>
        <v>35.552160946599997</v>
      </c>
    </row>
    <row r="447" spans="2:8">
      <c r="E447" s="11">
        <v>22</v>
      </c>
      <c r="F447" s="13" t="str">
        <f>IFERROR(INDEX(都市マスタ[],MATCH(E447,都市マスタ['#],0),MATCH(F440,都市マスタ[#Headers],0)),"")</f>
        <v>香港</v>
      </c>
      <c r="G447" s="5">
        <f>IFERROR(INDEX(生データ表[],MATCH(E447,生データ表['#],0),MATCH(C440,生データ表[#Headers],0)),"")</f>
        <v>31.701265236024099</v>
      </c>
      <c r="H447" s="236">
        <f>IFERROR(INDEX(スコア表[],MATCH(E447,スコア表['#],0),MATCH(C440,スコア表[#Headers],0)),"")</f>
        <v>37.049887785599999</v>
      </c>
    </row>
    <row r="448" spans="2:8">
      <c r="E448" s="11">
        <v>23</v>
      </c>
      <c r="F448" s="13" t="str">
        <f>IFERROR(INDEX(都市マスタ[],MATCH(E448,都市マスタ['#],0),MATCH(F440,都市マスタ[#Headers],0)),"")</f>
        <v>北京</v>
      </c>
      <c r="G448" s="5">
        <f>IFERROR(INDEX(生データ表[],MATCH(E448,生データ表['#],0),MATCH(C440,生データ表[#Headers],0)),"")</f>
        <v>47.7537275358006</v>
      </c>
      <c r="H448" s="236">
        <f>IFERROR(INDEX(スコア表[],MATCH(E448,スコア表['#],0),MATCH(C440,スコア表[#Headers],0)),"")</f>
        <v>55.8107139691</v>
      </c>
    </row>
    <row r="449" spans="2:8">
      <c r="B449" s="240" t="s">
        <v>2068</v>
      </c>
      <c r="E449" s="11">
        <v>24</v>
      </c>
      <c r="F449" s="13" t="str">
        <f>IFERROR(INDEX(都市マスタ[],MATCH(E449,都市マスタ['#],0),MATCH(F440,都市マスタ[#Headers],0)),"")</f>
        <v>上海</v>
      </c>
      <c r="G449" s="5">
        <f>IFERROR(INDEX(生データ表[],MATCH(E449,生データ表['#],0),MATCH(C440,生データ表[#Headers],0)),"")</f>
        <v>37.486428667166201</v>
      </c>
      <c r="H449" s="236">
        <f>IFERROR(INDEX(スコア表[],MATCH(E449,スコア表['#],0),MATCH(C440,スコア表[#Headers],0)),"")</f>
        <v>43.811121267899999</v>
      </c>
    </row>
    <row r="450" spans="2:8">
      <c r="B450" t="s">
        <v>2070</v>
      </c>
      <c r="E450" s="11"/>
      <c r="F450" s="13" t="str">
        <f>IFERROR(INDEX(都市マスタ[],MATCH(E450,都市マスタ['#],0),MATCH(F440,都市マスタ[#Headers],0)),"")</f>
        <v/>
      </c>
      <c r="G450" s="231" t="str">
        <f>IFERROR(INDEX(生データ表[],MATCH(E450,生データ表['#],0),MATCH(C440,生データ表[#Headers],0)),"")</f>
        <v/>
      </c>
      <c r="H450" s="236" t="str">
        <f>IFERROR(INDEX(スコア表[],MATCH(E450,スコア表['#],0),MATCH(C440,スコア表[#Headers],0)),"")</f>
        <v/>
      </c>
    </row>
    <row r="451" spans="2:8">
      <c r="B451" t="s">
        <v>2071</v>
      </c>
      <c r="E451" s="11"/>
      <c r="F451" s="13" t="str">
        <f>IFERROR(INDEX(都市マスタ[],MATCH(E451,都市マスタ['#],0),MATCH(F440,都市マスタ[#Headers],0)),"")</f>
        <v/>
      </c>
      <c r="G451" s="231" t="str">
        <f>IFERROR(INDEX(生データ表[],MATCH(E451,生データ表['#],0),MATCH(C440,生データ表[#Headers],0)),"")</f>
        <v/>
      </c>
      <c r="H451" s="236" t="str">
        <f>IFERROR(INDEX(スコア表[],MATCH(E451,スコア表['#],0),MATCH(C440,スコア表[#Headers],0)),"")</f>
        <v/>
      </c>
    </row>
    <row r="452" spans="2:8">
      <c r="B452" t="s">
        <v>2069</v>
      </c>
      <c r="E452" s="11"/>
      <c r="F452" s="13" t="str">
        <f>IFERROR(INDEX(都市マスタ[],MATCH(E452,都市マスタ['#],0),MATCH(F440,都市マスタ[#Headers],0)),"")</f>
        <v/>
      </c>
      <c r="G452" s="231" t="str">
        <f>IFERROR(INDEX(生データ表[],MATCH(E452,生データ表['#],0),MATCH(C440,生データ表[#Headers],0)),"")</f>
        <v/>
      </c>
      <c r="H452" s="236" t="str">
        <f>IFERROR(INDEX(スコア表[],MATCH(E452,スコア表['#],0),MATCH(C440,スコア表[#Headers],0)),"")</f>
        <v/>
      </c>
    </row>
    <row r="453" spans="2:8">
      <c r="E453" s="11"/>
      <c r="F453" s="13" t="str">
        <f>IFERROR(INDEX(都市マスタ[],MATCH(E453,都市マスタ['#],0),MATCH(F440,都市マスタ[#Headers],0)),"")</f>
        <v/>
      </c>
      <c r="G453" s="231" t="str">
        <f>IFERROR(INDEX(生データ表[],MATCH(E453,生データ表['#],0),MATCH(C440,生データ表[#Headers],0)),"")</f>
        <v/>
      </c>
      <c r="H453" s="236" t="str">
        <f>IFERROR(INDEX(スコア表[],MATCH(E453,スコア表['#],0),MATCH(C440,スコア表[#Headers],0)),"")</f>
        <v/>
      </c>
    </row>
    <row r="455" spans="2:8">
      <c r="B455" s="36" t="s">
        <v>208</v>
      </c>
      <c r="C455" s="37" t="s">
        <v>563</v>
      </c>
      <c r="E455" s="35" t="s">
        <v>208</v>
      </c>
      <c r="F455" s="36" t="str">
        <f>IF(JPEN!$C$2="EN",都市!$C$2,都市!$D$2)</f>
        <v>都市名</v>
      </c>
      <c r="G455" s="36" t="s">
        <v>644</v>
      </c>
      <c r="H455" s="36" t="s">
        <v>645</v>
      </c>
    </row>
    <row r="456" spans="2:8">
      <c r="B456" s="36" t="str">
        <f>IF(JPEN!$C$2="EN",指標!$I$2,指標!$H$2)</f>
        <v>指標</v>
      </c>
      <c r="C456" s="13" t="str">
        <f ca="1">INDEX(INDIRECT("指標マスタ["&amp;B456&amp;"]"),MATCH(C455,指標マスタ['#],0))</f>
        <v>世界遺産への近接性</v>
      </c>
      <c r="E456" s="11">
        <v>3</v>
      </c>
      <c r="F456" s="13" t="str">
        <f>IFERROR(INDEX(都市マスタ[],MATCH(E456,都市マスタ['#],0),MATCH(F455,都市マスタ[#Headers],0)),"")</f>
        <v>ロンドン</v>
      </c>
      <c r="G456" s="5">
        <f>IFERROR(INDEX(生データ表[],MATCH(E456,生データ表['#],0),MATCH(C455,生データ表[#Headers],0)),"")</f>
        <v>6</v>
      </c>
      <c r="H456" s="236">
        <f>IFERROR(INDEX(スコア表[],MATCH(E456,スコア表['#],0),MATCH(C455,スコア表[#Headers],0)),"")</f>
        <v>30</v>
      </c>
    </row>
    <row r="457" spans="2:8">
      <c r="B457" s="36" t="str">
        <f>IF(JPEN!$C$2="EN",指標!$L$2,指標!$K$2)</f>
        <v>単位</v>
      </c>
      <c r="C457" s="13" t="str">
        <f>INDEX(指標マスタ[],MATCH(C455,指標マスタ['#],0),MATCH(B457,指標マスタ[#Headers],0))</f>
        <v>pt</v>
      </c>
      <c r="E457" s="11">
        <v>38</v>
      </c>
      <c r="F457" s="13" t="str">
        <f>IFERROR(INDEX(都市マスタ[],MATCH(E457,都市マスタ['#],0),MATCH(F455,都市マスタ[#Headers],0)),"")</f>
        <v>ニューヨーク</v>
      </c>
      <c r="G457" s="5">
        <f>IFERROR(INDEX(生データ表[],MATCH(E457,生データ表['#],0),MATCH(C455,生データ表[#Headers],0)),"")</f>
        <v>1.25</v>
      </c>
      <c r="H457" s="236">
        <f>IFERROR(INDEX(スコア表[],MATCH(E457,スコア表['#],0),MATCH(C455,スコア表[#Headers],0)),"")</f>
        <v>6.25</v>
      </c>
    </row>
    <row r="458" spans="2:8">
      <c r="B458" s="36" t="s">
        <v>646</v>
      </c>
      <c r="C458" s="13" t="str">
        <f>INDEX(生データ表2[],MATCH(B458,生データ表2[maxmin],0),MATCH(C455,生データ表2[#Headers],0))</f>
        <v>プラス</v>
      </c>
      <c r="E458" s="11">
        <v>29</v>
      </c>
      <c r="F458" s="13" t="str">
        <f>IFERROR(INDEX(都市マスタ[],MATCH(E458,都市マスタ['#],0),MATCH(F455,都市マスタ[#Headers],0)),"")</f>
        <v>東京</v>
      </c>
      <c r="G458" s="5">
        <f>IFERROR(INDEX(生データ表[],MATCH(E458,生データ表['#],0),MATCH(C455,生データ表[#Headers],0)),"")</f>
        <v>4.125</v>
      </c>
      <c r="H458" s="236">
        <f>IFERROR(INDEX(スコア表[],MATCH(E458,スコア表['#],0),MATCH(C455,スコア表[#Headers],0)),"")</f>
        <v>20.625</v>
      </c>
    </row>
    <row r="459" spans="2:8">
      <c r="E459" s="11">
        <v>4</v>
      </c>
      <c r="F459" s="13" t="str">
        <f>IFERROR(INDEX(都市マスタ[],MATCH(E459,都市マスタ['#],0),MATCH(F455,都市マスタ[#Headers],0)),"")</f>
        <v>パリ</v>
      </c>
      <c r="G459" s="5">
        <f>IFERROR(INDEX(生データ表[],MATCH(E459,生データ表['#],0),MATCH(C455,生データ表[#Headers],0)),"")</f>
        <v>8.375</v>
      </c>
      <c r="H459" s="236">
        <f>IFERROR(INDEX(スコア表[],MATCH(E459,スコア表['#],0),MATCH(C455,スコア表[#Headers],0)),"")</f>
        <v>41.875</v>
      </c>
    </row>
    <row r="460" spans="2:8">
      <c r="B460" s="240" t="s">
        <v>2067</v>
      </c>
      <c r="E460" s="11">
        <v>21</v>
      </c>
      <c r="F460" s="13" t="str">
        <f>IFERROR(INDEX(都市マスタ[],MATCH(E460,都市マスタ['#],0),MATCH(F455,都市マスタ[#Headers],0)),"")</f>
        <v>シンガポール</v>
      </c>
      <c r="G460" s="5">
        <f>IFERROR(INDEX(生データ表[],MATCH(E460,生データ表['#],0),MATCH(C455,生データ表[#Headers],0)),"")</f>
        <v>1</v>
      </c>
      <c r="H460" s="236">
        <f>IFERROR(INDEX(スコア表[],MATCH(E460,スコア表['#],0),MATCH(C455,スコア表[#Headers],0)),"")</f>
        <v>5</v>
      </c>
    </row>
    <row r="461" spans="2:8">
      <c r="E461" s="11">
        <v>26</v>
      </c>
      <c r="F461" s="13" t="str">
        <f>IFERROR(INDEX(都市マスタ[],MATCH(E461,都市マスタ['#],0),MATCH(F455,都市マスタ[#Headers],0)),"")</f>
        <v>ソウル</v>
      </c>
      <c r="G461" s="5">
        <f>IFERROR(INDEX(生データ表[],MATCH(E461,生データ表['#],0),MATCH(C455,生データ表[#Headers],0)),"")</f>
        <v>7</v>
      </c>
      <c r="H461" s="236">
        <f>IFERROR(INDEX(スコア表[],MATCH(E461,スコア表['#],0),MATCH(C455,スコア表[#Headers],0)),"")</f>
        <v>35</v>
      </c>
    </row>
    <row r="462" spans="2:8">
      <c r="E462" s="11">
        <v>22</v>
      </c>
      <c r="F462" s="13" t="str">
        <f>IFERROR(INDEX(都市マスタ[],MATCH(E462,都市マスタ['#],0),MATCH(F455,都市マスタ[#Headers],0)),"")</f>
        <v>香港</v>
      </c>
      <c r="G462" s="5">
        <f>IFERROR(INDEX(生データ表[],MATCH(E462,生データ表['#],0),MATCH(C455,生データ表[#Headers],0)),"")</f>
        <v>1</v>
      </c>
      <c r="H462" s="236">
        <f>IFERROR(INDEX(スコア表[],MATCH(E462,スコア表['#],0),MATCH(C455,スコア表[#Headers],0)),"")</f>
        <v>5</v>
      </c>
    </row>
    <row r="463" spans="2:8">
      <c r="E463" s="11">
        <v>23</v>
      </c>
      <c r="F463" s="13" t="str">
        <f>IFERROR(INDEX(都市マスタ[],MATCH(E463,都市マスタ['#],0),MATCH(F455,都市マスタ[#Headers],0)),"")</f>
        <v>北京</v>
      </c>
      <c r="G463" s="5">
        <f>IFERROR(INDEX(生データ表[],MATCH(E463,生データ表['#],0),MATCH(C455,生データ表[#Headers],0)),"")</f>
        <v>7</v>
      </c>
      <c r="H463" s="236">
        <f>IFERROR(INDEX(スコア表[],MATCH(E463,スコア表['#],0),MATCH(C455,スコア表[#Headers],0)),"")</f>
        <v>35</v>
      </c>
    </row>
    <row r="464" spans="2:8">
      <c r="B464" s="240" t="s">
        <v>2068</v>
      </c>
      <c r="E464" s="11">
        <v>24</v>
      </c>
      <c r="F464" s="13" t="str">
        <f>IFERROR(INDEX(都市マスタ[],MATCH(E464,都市マスタ['#],0),MATCH(F455,都市マスタ[#Headers],0)),"")</f>
        <v>上海</v>
      </c>
      <c r="G464" s="5">
        <f>IFERROR(INDEX(生データ表[],MATCH(E464,生データ表['#],0),MATCH(C455,生データ表[#Headers],0)),"")</f>
        <v>1</v>
      </c>
      <c r="H464" s="236">
        <f>IFERROR(INDEX(スコア表[],MATCH(E464,スコア表['#],0),MATCH(C455,スコア表[#Headers],0)),"")</f>
        <v>5</v>
      </c>
    </row>
    <row r="465" spans="2:8">
      <c r="B465" t="s">
        <v>2070</v>
      </c>
      <c r="E465" s="11"/>
      <c r="F465" s="13" t="str">
        <f>IFERROR(INDEX(都市マスタ[],MATCH(E465,都市マスタ['#],0),MATCH(F455,都市マスタ[#Headers],0)),"")</f>
        <v/>
      </c>
      <c r="G465" s="231" t="str">
        <f>IFERROR(INDEX(生データ表[],MATCH(E465,生データ表['#],0),MATCH(C455,生データ表[#Headers],0)),"")</f>
        <v/>
      </c>
      <c r="H465" s="236" t="str">
        <f>IFERROR(INDEX(スコア表[],MATCH(E465,スコア表['#],0),MATCH(C455,スコア表[#Headers],0)),"")</f>
        <v/>
      </c>
    </row>
    <row r="466" spans="2:8">
      <c r="B466" t="s">
        <v>2071</v>
      </c>
      <c r="E466" s="11"/>
      <c r="F466" s="13" t="str">
        <f>IFERROR(INDEX(都市マスタ[],MATCH(E466,都市マスタ['#],0),MATCH(F455,都市マスタ[#Headers],0)),"")</f>
        <v/>
      </c>
      <c r="G466" s="231" t="str">
        <f>IFERROR(INDEX(生データ表[],MATCH(E466,生データ表['#],0),MATCH(C455,生データ表[#Headers],0)),"")</f>
        <v/>
      </c>
      <c r="H466" s="236" t="str">
        <f>IFERROR(INDEX(スコア表[],MATCH(E466,スコア表['#],0),MATCH(C455,スコア表[#Headers],0)),"")</f>
        <v/>
      </c>
    </row>
    <row r="467" spans="2:8">
      <c r="B467" t="s">
        <v>2069</v>
      </c>
      <c r="E467" s="11"/>
      <c r="F467" s="13" t="str">
        <f>IFERROR(INDEX(都市マスタ[],MATCH(E467,都市マスタ['#],0),MATCH(F455,都市マスタ[#Headers],0)),"")</f>
        <v/>
      </c>
      <c r="G467" s="231" t="str">
        <f>IFERROR(INDEX(生データ表[],MATCH(E467,生データ表['#],0),MATCH(C455,生データ表[#Headers],0)),"")</f>
        <v/>
      </c>
      <c r="H467" s="236" t="str">
        <f>IFERROR(INDEX(スコア表[],MATCH(E467,スコア表['#],0),MATCH(C455,スコア表[#Headers],0)),"")</f>
        <v/>
      </c>
    </row>
    <row r="468" spans="2:8">
      <c r="E468" s="11"/>
      <c r="F468" s="13" t="str">
        <f>IFERROR(INDEX(都市マスタ[],MATCH(E468,都市マスタ['#],0),MATCH(F455,都市マスタ[#Headers],0)),"")</f>
        <v/>
      </c>
      <c r="G468" s="231" t="str">
        <f>IFERROR(INDEX(生データ表[],MATCH(E468,生データ表['#],0),MATCH(C455,生データ表[#Headers],0)),"")</f>
        <v/>
      </c>
      <c r="H468" s="236" t="str">
        <f>IFERROR(INDEX(スコア表[],MATCH(E468,スコア表['#],0),MATCH(C455,スコア表[#Headers],0)),"")</f>
        <v/>
      </c>
    </row>
    <row r="470" spans="2:8">
      <c r="B470" s="36" t="s">
        <v>208</v>
      </c>
      <c r="C470" s="37" t="s">
        <v>564</v>
      </c>
      <c r="E470" s="35" t="s">
        <v>208</v>
      </c>
      <c r="F470" s="36" t="str">
        <f>IF(JPEN!$C$2="EN",都市!$C$2,都市!$D$2)</f>
        <v>都市名</v>
      </c>
      <c r="G470" s="36" t="s">
        <v>644</v>
      </c>
      <c r="H470" s="36" t="s">
        <v>645</v>
      </c>
    </row>
    <row r="471" spans="2:8">
      <c r="B471" s="36" t="str">
        <f>IF(JPEN!$C$2="EN",指標!$I$2,指標!$H$2)</f>
        <v>指標</v>
      </c>
      <c r="C471" s="13" t="str">
        <f ca="1">INDEX(INDIRECT("指標マスタ["&amp;B471&amp;"]"),MATCH(C470,指標マスタ['#],0))</f>
        <v>ナイトライフ充実度</v>
      </c>
      <c r="E471" s="11">
        <v>3</v>
      </c>
      <c r="F471" s="13" t="str">
        <f>IFERROR(INDEX(都市マスタ[],MATCH(E471,都市マスタ['#],0),MATCH(F470,都市マスタ[#Headers],0)),"")</f>
        <v>ロンドン</v>
      </c>
      <c r="G471" s="5">
        <f>IFERROR(INDEX(生データ表[],MATCH(E471,生データ表['#],0),MATCH(C470,生データ表[#Headers],0)),"")</f>
        <v>70.635688953785404</v>
      </c>
      <c r="H471" s="236">
        <f>IFERROR(INDEX(スコア表[],MATCH(E471,スコア表['#],0),MATCH(C470,スコア表[#Headers],0)),"")</f>
        <v>100</v>
      </c>
    </row>
    <row r="472" spans="2:8">
      <c r="B472" s="36" t="str">
        <f>IF(JPEN!$C$2="EN",指標!$L$2,指標!$K$2)</f>
        <v>単位</v>
      </c>
      <c r="C472" s="13" t="str">
        <f>INDEX(指標マスタ[],MATCH(C470,指標マスタ['#],0),MATCH(B472,指標マスタ[#Headers],0))</f>
        <v>（合算）</v>
      </c>
      <c r="E472" s="11">
        <v>38</v>
      </c>
      <c r="F472" s="13" t="str">
        <f>IFERROR(INDEX(都市マスタ[],MATCH(E472,都市マスタ['#],0),MATCH(F470,都市マスタ[#Headers],0)),"")</f>
        <v>ニューヨーク</v>
      </c>
      <c r="G472" s="5">
        <f>IFERROR(INDEX(生データ表[],MATCH(E472,生データ表['#],0),MATCH(C470,生データ表[#Headers],0)),"")</f>
        <v>54.358945524244298</v>
      </c>
      <c r="H472" s="236">
        <f>IFERROR(INDEX(スコア表[],MATCH(E472,スコア表['#],0),MATCH(C470,スコア表[#Headers],0)),"")</f>
        <v>76.292597223900003</v>
      </c>
    </row>
    <row r="473" spans="2:8">
      <c r="B473" s="36" t="s">
        <v>646</v>
      </c>
      <c r="C473" s="13" t="str">
        <f>INDEX(生データ表2[],MATCH(B473,生データ表2[maxmin],0),MATCH(C470,生データ表2[#Headers],0))</f>
        <v>プラス</v>
      </c>
      <c r="E473" s="11">
        <v>29</v>
      </c>
      <c r="F473" s="13" t="str">
        <f>IFERROR(INDEX(都市マスタ[],MATCH(E473,都市マスタ['#],0),MATCH(F470,都市マスタ[#Headers],0)),"")</f>
        <v>東京</v>
      </c>
      <c r="G473" s="5">
        <f>IFERROR(INDEX(生データ表[],MATCH(E473,生データ表['#],0),MATCH(C470,生データ表[#Headers],0)),"")</f>
        <v>26.131010001680899</v>
      </c>
      <c r="H473" s="236">
        <f>IFERROR(INDEX(スコア表[],MATCH(E473,スコア表['#],0),MATCH(C470,スコア表[#Headers],0)),"")</f>
        <v>35.178043820299997</v>
      </c>
    </row>
    <row r="474" spans="2:8">
      <c r="E474" s="11">
        <v>4</v>
      </c>
      <c r="F474" s="13" t="str">
        <f>IFERROR(INDEX(都市マスタ[],MATCH(E474,都市マスタ['#],0),MATCH(F470,都市マスタ[#Headers],0)),"")</f>
        <v>パリ</v>
      </c>
      <c r="G474" s="5">
        <f>IFERROR(INDEX(生データ表[],MATCH(E474,生データ表['#],0),MATCH(C470,生データ表[#Headers],0)),"")</f>
        <v>43.944377219870603</v>
      </c>
      <c r="H474" s="236">
        <f>IFERROR(INDEX(スコア表[],MATCH(E474,スコア表['#],0),MATCH(C470,スコア表[#Headers],0)),"")</f>
        <v>61.123569918199998</v>
      </c>
    </row>
    <row r="475" spans="2:8">
      <c r="B475" s="240" t="s">
        <v>2067</v>
      </c>
      <c r="E475" s="11">
        <v>21</v>
      </c>
      <c r="F475" s="13" t="str">
        <f>IFERROR(INDEX(都市マスタ[],MATCH(E475,都市マスタ['#],0),MATCH(F470,都市マスタ[#Headers],0)),"")</f>
        <v>シンガポール</v>
      </c>
      <c r="G475" s="5">
        <f>IFERROR(INDEX(生データ表[],MATCH(E475,生データ表['#],0),MATCH(C470,生データ表[#Headers],0)),"")</f>
        <v>21.869623828590999</v>
      </c>
      <c r="H475" s="236">
        <f>IFERROR(INDEX(スコア表[],MATCH(E475,スコア表['#],0),MATCH(C470,スコア表[#Headers],0)),"")</f>
        <v>28.9712495172</v>
      </c>
    </row>
    <row r="476" spans="2:8">
      <c r="E476" s="11">
        <v>26</v>
      </c>
      <c r="F476" s="13" t="str">
        <f>IFERROR(INDEX(都市マスタ[],MATCH(E476,都市マスタ['#],0),MATCH(F470,都市マスタ[#Headers],0)),"")</f>
        <v>ソウル</v>
      </c>
      <c r="G476" s="5">
        <f>IFERROR(INDEX(生データ表[],MATCH(E476,生データ表['#],0),MATCH(C470,生データ表[#Headers],0)),"")</f>
        <v>40.648796298708398</v>
      </c>
      <c r="H476" s="236">
        <f>IFERROR(INDEX(スコア表[],MATCH(E476,スコア表['#],0),MATCH(C470,スコア表[#Headers],0)),"")</f>
        <v>56.3234903066</v>
      </c>
    </row>
    <row r="477" spans="2:8">
      <c r="E477" s="11">
        <v>22</v>
      </c>
      <c r="F477" s="13" t="str">
        <f>IFERROR(INDEX(都市マスタ[],MATCH(E477,都市マスタ['#],0),MATCH(F470,都市マスタ[#Headers],0)),"")</f>
        <v>香港</v>
      </c>
      <c r="G477" s="5">
        <f>IFERROR(INDEX(生データ表[],MATCH(E477,生データ表['#],0),MATCH(C470,生データ表[#Headers],0)),"")</f>
        <v>22.680396116546699</v>
      </c>
      <c r="H477" s="236">
        <f>IFERROR(INDEX(スコア表[],MATCH(E477,スコア表['#],0),MATCH(C470,スコア表[#Headers],0)),"")</f>
        <v>30.1521555918</v>
      </c>
    </row>
    <row r="478" spans="2:8">
      <c r="E478" s="11">
        <v>23</v>
      </c>
      <c r="F478" s="13" t="str">
        <f>IFERROR(INDEX(都市マスタ[],MATCH(E478,都市マスタ['#],0),MATCH(F470,都市マスタ[#Headers],0)),"")</f>
        <v>北京</v>
      </c>
      <c r="G478" s="5">
        <f>IFERROR(INDEX(生データ表[],MATCH(E478,生データ表['#],0),MATCH(C470,生データ表[#Headers],0)),"")</f>
        <v>27.3509564582458</v>
      </c>
      <c r="H478" s="236">
        <f>IFERROR(INDEX(スコア表[],MATCH(E478,スコア表['#],0),MATCH(C470,スコア表[#Headers],0)),"")</f>
        <v>36.9549202659</v>
      </c>
    </row>
    <row r="479" spans="2:8">
      <c r="B479" s="240" t="s">
        <v>2068</v>
      </c>
      <c r="E479" s="11">
        <v>24</v>
      </c>
      <c r="F479" s="13" t="str">
        <f>IFERROR(INDEX(都市マスタ[],MATCH(E479,都市マスタ['#],0),MATCH(F470,都市マスタ[#Headers],0)),"")</f>
        <v>上海</v>
      </c>
      <c r="G479" s="5">
        <f>IFERROR(INDEX(生データ表[],MATCH(E479,生データ表['#],0),MATCH(C470,生データ表[#Headers],0)),"")</f>
        <v>39.5444169431278</v>
      </c>
      <c r="H479" s="236">
        <f>IFERROR(INDEX(スコア表[],MATCH(E479,スコア表['#],0),MATCH(C470,スコア表[#Headers],0)),"")</f>
        <v>54.714939657999999</v>
      </c>
    </row>
    <row r="480" spans="2:8">
      <c r="B480" t="s">
        <v>2070</v>
      </c>
      <c r="E480" s="11"/>
      <c r="F480" s="13" t="str">
        <f>IFERROR(INDEX(都市マスタ[],MATCH(E480,都市マスタ['#],0),MATCH(F470,都市マスタ[#Headers],0)),"")</f>
        <v/>
      </c>
      <c r="G480" s="231" t="str">
        <f>IFERROR(INDEX(生データ表[],MATCH(E480,生データ表['#],0),MATCH(C470,生データ表[#Headers],0)),"")</f>
        <v/>
      </c>
      <c r="H480" s="236" t="str">
        <f>IFERROR(INDEX(スコア表[],MATCH(E480,スコア表['#],0),MATCH(C470,スコア表[#Headers],0)),"")</f>
        <v/>
      </c>
    </row>
    <row r="481" spans="2:8">
      <c r="B481" t="s">
        <v>2071</v>
      </c>
      <c r="E481" s="11"/>
      <c r="F481" s="13" t="str">
        <f>IFERROR(INDEX(都市マスタ[],MATCH(E481,都市マスタ['#],0),MATCH(F470,都市マスタ[#Headers],0)),"")</f>
        <v/>
      </c>
      <c r="G481" s="231" t="str">
        <f>IFERROR(INDEX(生データ表[],MATCH(E481,生データ表['#],0),MATCH(C470,生データ表[#Headers],0)),"")</f>
        <v/>
      </c>
      <c r="H481" s="236" t="str">
        <f>IFERROR(INDEX(スコア表[],MATCH(E481,スコア表['#],0),MATCH(C470,スコア表[#Headers],0)),"")</f>
        <v/>
      </c>
    </row>
    <row r="482" spans="2:8">
      <c r="B482" t="s">
        <v>2069</v>
      </c>
      <c r="E482" s="11"/>
      <c r="F482" s="13" t="str">
        <f>IFERROR(INDEX(都市マスタ[],MATCH(E482,都市マスタ['#],0),MATCH(F470,都市マスタ[#Headers],0)),"")</f>
        <v/>
      </c>
      <c r="G482" s="231" t="str">
        <f>IFERROR(INDEX(生データ表[],MATCH(E482,生データ表['#],0),MATCH(C470,生データ表[#Headers],0)),"")</f>
        <v/>
      </c>
      <c r="H482" s="236" t="str">
        <f>IFERROR(INDEX(スコア表[],MATCH(E482,スコア表['#],0),MATCH(C470,スコア表[#Headers],0)),"")</f>
        <v/>
      </c>
    </row>
    <row r="483" spans="2:8">
      <c r="E483" s="11"/>
      <c r="F483" s="13" t="str">
        <f>IFERROR(INDEX(都市マスタ[],MATCH(E483,都市マスタ['#],0),MATCH(F470,都市マスタ[#Headers],0)),"")</f>
        <v/>
      </c>
      <c r="G483" s="231" t="str">
        <f>IFERROR(INDEX(生データ表[],MATCH(E483,生データ表['#],0),MATCH(C470,生データ表[#Headers],0)),"")</f>
        <v/>
      </c>
      <c r="H483" s="236" t="str">
        <f>IFERROR(INDEX(スコア表[],MATCH(E483,スコア表['#],0),MATCH(C470,スコア表[#Headers],0)),"")</f>
        <v/>
      </c>
    </row>
    <row r="485" spans="2:8">
      <c r="B485" s="36" t="s">
        <v>208</v>
      </c>
      <c r="C485" s="37" t="s">
        <v>565</v>
      </c>
      <c r="E485" s="35" t="s">
        <v>208</v>
      </c>
      <c r="F485" s="36" t="str">
        <f>IF(JPEN!$C$2="EN",都市!$C$2,都市!$D$2)</f>
        <v>都市名</v>
      </c>
      <c r="G485" s="36" t="s">
        <v>644</v>
      </c>
      <c r="H485" s="36" t="s">
        <v>645</v>
      </c>
    </row>
    <row r="486" spans="2:8">
      <c r="B486" s="36" t="str">
        <f>IF(JPEN!$C$2="EN",指標!$I$2,指標!$H$2)</f>
        <v>指標</v>
      </c>
      <c r="C486" s="13" t="str">
        <f ca="1">INDEX(INDIRECT("指標マスタ["&amp;B486&amp;"]"),MATCH(C485,指標マスタ['#],0))</f>
        <v>劇場・コンサートホール数</v>
      </c>
      <c r="E486" s="11">
        <v>3</v>
      </c>
      <c r="F486" s="13" t="str">
        <f>IFERROR(INDEX(都市マスタ[],MATCH(E486,都市マスタ['#],0),MATCH(F485,都市マスタ[#Headers],0)),"")</f>
        <v>ロンドン</v>
      </c>
      <c r="G486" s="5">
        <f>IFERROR(INDEX(生データ表[],MATCH(E486,生データ表['#],0),MATCH(C485,生データ表[#Headers],0)),"")</f>
        <v>199</v>
      </c>
      <c r="H486" s="236">
        <f>IFERROR(INDEX(スコア表[],MATCH(E486,スコア表['#],0),MATCH(C485,スコア表[#Headers],0)),"")</f>
        <v>79.460580912899999</v>
      </c>
    </row>
    <row r="487" spans="2:8">
      <c r="B487" s="36" t="str">
        <f>IF(JPEN!$C$2="EN",指標!$L$2,指標!$K$2)</f>
        <v>単位</v>
      </c>
      <c r="C487" s="13" t="str">
        <f>INDEX(指標マスタ[],MATCH(C485,指標マスタ['#],0),MATCH(B487,指標マスタ[#Headers],0))</f>
        <v>施設（平均）</v>
      </c>
      <c r="E487" s="11">
        <v>38</v>
      </c>
      <c r="F487" s="13" t="str">
        <f>IFERROR(INDEX(都市マスタ[],MATCH(E487,都市マスタ['#],0),MATCH(F485,都市マスタ[#Headers],0)),"")</f>
        <v>ニューヨーク</v>
      </c>
      <c r="G487" s="5">
        <f>IFERROR(INDEX(生データ表[],MATCH(E487,生データ表['#],0),MATCH(C485,生データ表[#Headers],0)),"")</f>
        <v>197.5</v>
      </c>
      <c r="H487" s="236">
        <f>IFERROR(INDEX(スコア表[],MATCH(E487,スコア表['#],0),MATCH(C485,スコア表[#Headers],0)),"")</f>
        <v>78.838174273899995</v>
      </c>
    </row>
    <row r="488" spans="2:8">
      <c r="B488" s="36" t="s">
        <v>646</v>
      </c>
      <c r="C488" s="13" t="str">
        <f>INDEX(生データ表2[],MATCH(B488,生データ表2[maxmin],0),MATCH(C485,生データ表2[#Headers],0))</f>
        <v>プラス</v>
      </c>
      <c r="E488" s="11">
        <v>29</v>
      </c>
      <c r="F488" s="13" t="str">
        <f>IFERROR(INDEX(都市マスタ[],MATCH(E488,都市マスタ['#],0),MATCH(F485,都市マスタ[#Headers],0)),"")</f>
        <v>東京</v>
      </c>
      <c r="G488" s="5">
        <f>IFERROR(INDEX(生データ表[],MATCH(E488,生データ表['#],0),MATCH(C485,生データ表[#Headers],0)),"")</f>
        <v>159</v>
      </c>
      <c r="H488" s="236">
        <f>IFERROR(INDEX(スコア表[],MATCH(E488,スコア表['#],0),MATCH(C485,スコア表[#Headers],0)),"")</f>
        <v>62.863070539399999</v>
      </c>
    </row>
    <row r="489" spans="2:8">
      <c r="E489" s="11">
        <v>4</v>
      </c>
      <c r="F489" s="13" t="str">
        <f>IFERROR(INDEX(都市マスタ[],MATCH(E489,都市マスタ['#],0),MATCH(F485,都市マスタ[#Headers],0)),"")</f>
        <v>パリ</v>
      </c>
      <c r="G489" s="5">
        <f>IFERROR(INDEX(生データ表[],MATCH(E489,生データ表['#],0),MATCH(C485,生データ表[#Headers],0)),"")</f>
        <v>248.5</v>
      </c>
      <c r="H489" s="236">
        <f>IFERROR(INDEX(スコア表[],MATCH(E489,スコア表['#],0),MATCH(C485,スコア表[#Headers],0)),"")</f>
        <v>100</v>
      </c>
    </row>
    <row r="490" spans="2:8">
      <c r="B490" s="240" t="s">
        <v>2067</v>
      </c>
      <c r="E490" s="11">
        <v>21</v>
      </c>
      <c r="F490" s="13" t="str">
        <f>IFERROR(INDEX(都市マスタ[],MATCH(E490,都市マスタ['#],0),MATCH(F485,都市マスタ[#Headers],0)),"")</f>
        <v>シンガポール</v>
      </c>
      <c r="G490" s="5">
        <f>IFERROR(INDEX(生データ表[],MATCH(E490,生データ表['#],0),MATCH(C485,生データ表[#Headers],0)),"")</f>
        <v>32</v>
      </c>
      <c r="H490" s="236">
        <f>IFERROR(INDEX(スコア表[],MATCH(E490,スコア表['#],0),MATCH(C485,スコア表[#Headers],0)),"")</f>
        <v>10.165975103699999</v>
      </c>
    </row>
    <row r="491" spans="2:8">
      <c r="E491" s="11">
        <v>26</v>
      </c>
      <c r="F491" s="13" t="str">
        <f>IFERROR(INDEX(都市マスタ[],MATCH(E491,都市マスタ['#],0),MATCH(F485,都市マスタ[#Headers],0)),"")</f>
        <v>ソウル</v>
      </c>
      <c r="G491" s="5">
        <f>IFERROR(INDEX(生データ表[],MATCH(E491,生データ表['#],0),MATCH(C485,生データ表[#Headers],0)),"")</f>
        <v>54.5</v>
      </c>
      <c r="H491" s="236">
        <f>IFERROR(INDEX(スコア表[],MATCH(E491,スコア表['#],0),MATCH(C485,スコア表[#Headers],0)),"")</f>
        <v>19.502074688800001</v>
      </c>
    </row>
    <row r="492" spans="2:8">
      <c r="E492" s="11">
        <v>22</v>
      </c>
      <c r="F492" s="13" t="str">
        <f>IFERROR(INDEX(都市マスタ[],MATCH(E492,都市マスタ['#],0),MATCH(F485,都市マスタ[#Headers],0)),"")</f>
        <v>香港</v>
      </c>
      <c r="G492" s="5">
        <f>IFERROR(INDEX(生データ表[],MATCH(E492,生データ表['#],0),MATCH(C485,生データ表[#Headers],0)),"")</f>
        <v>17</v>
      </c>
      <c r="H492" s="236">
        <f>IFERROR(INDEX(スコア表[],MATCH(E492,スコア表['#],0),MATCH(C485,スコア表[#Headers],0)),"")</f>
        <v>3.9419087137000002</v>
      </c>
    </row>
    <row r="493" spans="2:8">
      <c r="E493" s="11">
        <v>23</v>
      </c>
      <c r="F493" s="13" t="str">
        <f>IFERROR(INDEX(都市マスタ[],MATCH(E493,都市マスタ['#],0),MATCH(F485,都市マスタ[#Headers],0)),"")</f>
        <v>北京</v>
      </c>
      <c r="G493" s="5">
        <f>IFERROR(INDEX(生データ表[],MATCH(E493,生データ表['#],0),MATCH(C485,生データ表[#Headers],0)),"")</f>
        <v>33</v>
      </c>
      <c r="H493" s="236">
        <f>IFERROR(INDEX(スコア表[],MATCH(E493,スコア表['#],0),MATCH(C485,スコア表[#Headers],0)),"")</f>
        <v>10.5809128631</v>
      </c>
    </row>
    <row r="494" spans="2:8">
      <c r="B494" s="240" t="s">
        <v>2068</v>
      </c>
      <c r="E494" s="11">
        <v>24</v>
      </c>
      <c r="F494" s="13" t="str">
        <f>IFERROR(INDEX(都市マスタ[],MATCH(E494,都市マスタ['#],0),MATCH(F485,都市マスタ[#Headers],0)),"")</f>
        <v>上海</v>
      </c>
      <c r="G494" s="5">
        <f>IFERROR(INDEX(生データ表[],MATCH(E494,生データ表['#],0),MATCH(C485,生データ表[#Headers],0)),"")</f>
        <v>21</v>
      </c>
      <c r="H494" s="236">
        <f>IFERROR(INDEX(スコア表[],MATCH(E494,スコア表['#],0),MATCH(C485,スコア表[#Headers],0)),"")</f>
        <v>5.6016597509999997</v>
      </c>
    </row>
    <row r="495" spans="2:8">
      <c r="B495" t="s">
        <v>2070</v>
      </c>
      <c r="E495" s="11"/>
      <c r="F495" s="13" t="str">
        <f>IFERROR(INDEX(都市マスタ[],MATCH(E495,都市マスタ['#],0),MATCH(F485,都市マスタ[#Headers],0)),"")</f>
        <v/>
      </c>
      <c r="G495" s="231" t="str">
        <f>IFERROR(INDEX(生データ表[],MATCH(E495,生データ表['#],0),MATCH(C485,生データ表[#Headers],0)),"")</f>
        <v/>
      </c>
      <c r="H495" s="236" t="str">
        <f>IFERROR(INDEX(スコア表[],MATCH(E495,スコア表['#],0),MATCH(C485,スコア表[#Headers],0)),"")</f>
        <v/>
      </c>
    </row>
    <row r="496" spans="2:8">
      <c r="B496" t="s">
        <v>2071</v>
      </c>
      <c r="E496" s="11"/>
      <c r="F496" s="13" t="str">
        <f>IFERROR(INDEX(都市マスタ[],MATCH(E496,都市マスタ['#],0),MATCH(F485,都市マスタ[#Headers],0)),"")</f>
        <v/>
      </c>
      <c r="G496" s="231" t="str">
        <f>IFERROR(INDEX(生データ表[],MATCH(E496,生データ表['#],0),MATCH(C485,生データ表[#Headers],0)),"")</f>
        <v/>
      </c>
      <c r="H496" s="236" t="str">
        <f>IFERROR(INDEX(スコア表[],MATCH(E496,スコア表['#],0),MATCH(C485,スコア表[#Headers],0)),"")</f>
        <v/>
      </c>
    </row>
    <row r="497" spans="2:8">
      <c r="B497" t="s">
        <v>2069</v>
      </c>
      <c r="E497" s="11"/>
      <c r="F497" s="13" t="str">
        <f>IFERROR(INDEX(都市マスタ[],MATCH(E497,都市マスタ['#],0),MATCH(F485,都市マスタ[#Headers],0)),"")</f>
        <v/>
      </c>
      <c r="G497" s="231" t="str">
        <f>IFERROR(INDEX(生データ表[],MATCH(E497,生データ表['#],0),MATCH(C485,生データ表[#Headers],0)),"")</f>
        <v/>
      </c>
      <c r="H497" s="236" t="str">
        <f>IFERROR(INDEX(スコア表[],MATCH(E497,スコア表['#],0),MATCH(C485,スコア表[#Headers],0)),"")</f>
        <v/>
      </c>
    </row>
    <row r="498" spans="2:8">
      <c r="E498" s="11"/>
      <c r="F498" s="13" t="str">
        <f>IFERROR(INDEX(都市マスタ[],MATCH(E498,都市マスタ['#],0),MATCH(F485,都市マスタ[#Headers],0)),"")</f>
        <v/>
      </c>
      <c r="G498" s="231" t="str">
        <f>IFERROR(INDEX(生データ表[],MATCH(E498,生データ表['#],0),MATCH(C485,生データ表[#Headers],0)),"")</f>
        <v/>
      </c>
      <c r="H498" s="236" t="str">
        <f>IFERROR(INDEX(スコア表[],MATCH(E498,スコア表['#],0),MATCH(C485,スコア表[#Headers],0)),"")</f>
        <v/>
      </c>
    </row>
    <row r="500" spans="2:8">
      <c r="B500" s="36" t="s">
        <v>208</v>
      </c>
      <c r="C500" s="37" t="s">
        <v>566</v>
      </c>
      <c r="E500" s="35" t="s">
        <v>208</v>
      </c>
      <c r="F500" s="36" t="str">
        <f>IF(JPEN!$C$2="EN",都市!$C$2,都市!$D$2)</f>
        <v>都市名</v>
      </c>
      <c r="G500" s="36" t="s">
        <v>644</v>
      </c>
      <c r="H500" s="36" t="s">
        <v>645</v>
      </c>
    </row>
    <row r="501" spans="2:8">
      <c r="B501" s="36" t="str">
        <f>IF(JPEN!$C$2="EN",指標!$I$2,指標!$H$2)</f>
        <v>指標</v>
      </c>
      <c r="C501" s="13" t="str">
        <f ca="1">INDEX(INDIRECT("指標マスタ["&amp;B501&amp;"]"),MATCH(C500,指標マスタ['#],0))</f>
        <v>美術館・博物館数</v>
      </c>
      <c r="E501" s="11">
        <v>3</v>
      </c>
      <c r="F501" s="13" t="str">
        <f>IFERROR(INDEX(都市マスタ[],MATCH(E501,都市マスタ['#],0),MATCH(F500,都市マスタ[#Headers],0)),"")</f>
        <v>ロンドン</v>
      </c>
      <c r="G501" s="5">
        <f>IFERROR(INDEX(生データ表[],MATCH(E501,生データ表['#],0),MATCH(C500,生データ表[#Headers],0)),"")</f>
        <v>292</v>
      </c>
      <c r="H501" s="236">
        <f>IFERROR(INDEX(スコア表[],MATCH(E501,スコア表['#],0),MATCH(C500,スコア表[#Headers],0)),"")</f>
        <v>98.972602739699994</v>
      </c>
    </row>
    <row r="502" spans="2:8">
      <c r="B502" s="36" t="str">
        <f>IF(JPEN!$C$2="EN",指標!$L$2,指標!$K$2)</f>
        <v>単位</v>
      </c>
      <c r="C502" s="13" t="str">
        <f>INDEX(指標マスタ[],MATCH(C500,指標マスタ['#],0),MATCH(B502,指標マスタ[#Headers],0))</f>
        <v>施設</v>
      </c>
      <c r="E502" s="11">
        <v>38</v>
      </c>
      <c r="F502" s="13" t="str">
        <f>IFERROR(INDEX(都市マスタ[],MATCH(E502,都市マスタ['#],0),MATCH(F500,都市マスタ[#Headers],0)),"")</f>
        <v>ニューヨーク</v>
      </c>
      <c r="G502" s="5">
        <f>IFERROR(INDEX(生データ表[],MATCH(E502,生データ表['#],0),MATCH(C500,生データ表[#Headers],0)),"")</f>
        <v>167</v>
      </c>
      <c r="H502" s="236">
        <f>IFERROR(INDEX(スコア表[],MATCH(E502,スコア表['#],0),MATCH(C500,スコア表[#Headers],0)),"")</f>
        <v>56.164383561599998</v>
      </c>
    </row>
    <row r="503" spans="2:8">
      <c r="B503" s="36" t="s">
        <v>646</v>
      </c>
      <c r="C503" s="13" t="str">
        <f>INDEX(生データ表2[],MATCH(B503,生データ表2[maxmin],0),MATCH(C500,生データ表2[#Headers],0))</f>
        <v>プラス</v>
      </c>
      <c r="E503" s="11">
        <v>29</v>
      </c>
      <c r="F503" s="13" t="str">
        <f>IFERROR(INDEX(都市マスタ[],MATCH(E503,都市マスタ['#],0),MATCH(F500,都市マスタ[#Headers],0)),"")</f>
        <v>東京</v>
      </c>
      <c r="G503" s="5">
        <f>IFERROR(INDEX(生データ表[],MATCH(E503,生データ表['#],0),MATCH(C500,生データ表[#Headers],0)),"")</f>
        <v>144</v>
      </c>
      <c r="H503" s="236">
        <f>IFERROR(INDEX(スコア表[],MATCH(E503,スコア表['#],0),MATCH(C500,スコア表[#Headers],0)),"")</f>
        <v>48.287671232900003</v>
      </c>
    </row>
    <row r="504" spans="2:8">
      <c r="E504" s="11">
        <v>4</v>
      </c>
      <c r="F504" s="13" t="str">
        <f>IFERROR(INDEX(都市マスタ[],MATCH(E504,都市マスタ['#],0),MATCH(F500,都市マスタ[#Headers],0)),"")</f>
        <v>パリ</v>
      </c>
      <c r="G504" s="5">
        <f>IFERROR(INDEX(生データ表[],MATCH(E504,生データ表['#],0),MATCH(C500,生データ表[#Headers],0)),"")</f>
        <v>200</v>
      </c>
      <c r="H504" s="236">
        <f>IFERROR(INDEX(スコア表[],MATCH(E504,スコア表['#],0),MATCH(C500,スコア表[#Headers],0)),"")</f>
        <v>67.465753424699997</v>
      </c>
    </row>
    <row r="505" spans="2:8">
      <c r="B505" s="240" t="s">
        <v>2067</v>
      </c>
      <c r="E505" s="11">
        <v>21</v>
      </c>
      <c r="F505" s="13" t="str">
        <f>IFERROR(INDEX(都市マスタ[],MATCH(E505,都市マスタ['#],0),MATCH(F500,都市マスタ[#Headers],0)),"")</f>
        <v>シンガポール</v>
      </c>
      <c r="G505" s="5">
        <f>IFERROR(INDEX(生データ表[],MATCH(E505,生データ表['#],0),MATCH(C500,生データ表[#Headers],0)),"")</f>
        <v>13</v>
      </c>
      <c r="H505" s="236">
        <f>IFERROR(INDEX(スコア表[],MATCH(E505,スコア表['#],0),MATCH(C500,スコア表[#Headers],0)),"")</f>
        <v>3.4246575342000001</v>
      </c>
    </row>
    <row r="506" spans="2:8">
      <c r="E506" s="11">
        <v>26</v>
      </c>
      <c r="F506" s="13" t="str">
        <f>IFERROR(INDEX(都市マスタ[],MATCH(E506,都市マスタ['#],0),MATCH(F500,都市マスタ[#Headers],0)),"")</f>
        <v>ソウル</v>
      </c>
      <c r="G506" s="5">
        <f>IFERROR(INDEX(生データ表[],MATCH(E506,生データ表['#],0),MATCH(C500,生データ表[#Headers],0)),"")</f>
        <v>75</v>
      </c>
      <c r="H506" s="236">
        <f>IFERROR(INDEX(スコア表[],MATCH(E506,スコア表['#],0),MATCH(C500,スコア表[#Headers],0)),"")</f>
        <v>24.657534246600001</v>
      </c>
    </row>
    <row r="507" spans="2:8">
      <c r="E507" s="11">
        <v>22</v>
      </c>
      <c r="F507" s="13" t="str">
        <f>IFERROR(INDEX(都市マスタ[],MATCH(E507,都市マスタ['#],0),MATCH(F500,都市マスタ[#Headers],0)),"")</f>
        <v>香港</v>
      </c>
      <c r="G507" s="5">
        <f>IFERROR(INDEX(生データ表[],MATCH(E507,生データ表['#],0),MATCH(C500,生データ表[#Headers],0)),"")</f>
        <v>27</v>
      </c>
      <c r="H507" s="236">
        <f>IFERROR(INDEX(スコア表[],MATCH(E507,スコア表['#],0),MATCH(C500,スコア表[#Headers],0)),"")</f>
        <v>8.2191780821999991</v>
      </c>
    </row>
    <row r="508" spans="2:8">
      <c r="E508" s="11">
        <v>23</v>
      </c>
      <c r="F508" s="13" t="str">
        <f>IFERROR(INDEX(都市マスタ[],MATCH(E508,都市マスタ['#],0),MATCH(F500,都市マスタ[#Headers],0)),"")</f>
        <v>北京</v>
      </c>
      <c r="G508" s="5">
        <f>IFERROR(INDEX(生データ表[],MATCH(E508,生データ表['#],0),MATCH(C500,生データ表[#Headers],0)),"")</f>
        <v>77</v>
      </c>
      <c r="H508" s="236">
        <f>IFERROR(INDEX(スコア表[],MATCH(E508,スコア表['#],0),MATCH(C500,スコア表[#Headers],0)),"")</f>
        <v>25.342465753399999</v>
      </c>
    </row>
    <row r="509" spans="2:8">
      <c r="B509" s="240" t="s">
        <v>2068</v>
      </c>
      <c r="E509" s="11">
        <v>24</v>
      </c>
      <c r="F509" s="13" t="str">
        <f>IFERROR(INDEX(都市マスタ[],MATCH(E509,都市マスタ['#],0),MATCH(F500,都市マスタ[#Headers],0)),"")</f>
        <v>上海</v>
      </c>
      <c r="G509" s="5">
        <f>IFERROR(INDEX(生データ表[],MATCH(E509,生データ表['#],0),MATCH(C500,生データ表[#Headers],0)),"")</f>
        <v>42</v>
      </c>
      <c r="H509" s="236">
        <f>IFERROR(INDEX(スコア表[],MATCH(E509,スコア表['#],0),MATCH(C500,スコア表[#Headers],0)),"")</f>
        <v>13.356164383599999</v>
      </c>
    </row>
    <row r="510" spans="2:8">
      <c r="B510" t="s">
        <v>2070</v>
      </c>
      <c r="E510" s="11"/>
      <c r="F510" s="13" t="str">
        <f>IFERROR(INDEX(都市マスタ[],MATCH(E510,都市マスタ['#],0),MATCH(F500,都市マスタ[#Headers],0)),"")</f>
        <v/>
      </c>
      <c r="G510" s="231" t="str">
        <f>IFERROR(INDEX(生データ表[],MATCH(E510,生データ表['#],0),MATCH(C500,生データ表[#Headers],0)),"")</f>
        <v/>
      </c>
      <c r="H510" s="236" t="str">
        <f>IFERROR(INDEX(スコア表[],MATCH(E510,スコア表['#],0),MATCH(C500,スコア表[#Headers],0)),"")</f>
        <v/>
      </c>
    </row>
    <row r="511" spans="2:8">
      <c r="B511" t="s">
        <v>2071</v>
      </c>
      <c r="E511" s="11"/>
      <c r="F511" s="13" t="str">
        <f>IFERROR(INDEX(都市マスタ[],MATCH(E511,都市マスタ['#],0),MATCH(F500,都市マスタ[#Headers],0)),"")</f>
        <v/>
      </c>
      <c r="G511" s="231" t="str">
        <f>IFERROR(INDEX(生データ表[],MATCH(E511,生データ表['#],0),MATCH(C500,生データ表[#Headers],0)),"")</f>
        <v/>
      </c>
      <c r="H511" s="236" t="str">
        <f>IFERROR(INDEX(スコア表[],MATCH(E511,スコア表['#],0),MATCH(C500,スコア表[#Headers],0)),"")</f>
        <v/>
      </c>
    </row>
    <row r="512" spans="2:8">
      <c r="B512" t="s">
        <v>2069</v>
      </c>
      <c r="E512" s="11"/>
      <c r="F512" s="13" t="str">
        <f>IFERROR(INDEX(都市マスタ[],MATCH(E512,都市マスタ['#],0),MATCH(F500,都市マスタ[#Headers],0)),"")</f>
        <v/>
      </c>
      <c r="G512" s="231" t="str">
        <f>IFERROR(INDEX(生データ表[],MATCH(E512,生データ表['#],0),MATCH(C500,生データ表[#Headers],0)),"")</f>
        <v/>
      </c>
      <c r="H512" s="236" t="str">
        <f>IFERROR(INDEX(スコア表[],MATCH(E512,スコア表['#],0),MATCH(C500,スコア表[#Headers],0)),"")</f>
        <v/>
      </c>
    </row>
    <row r="513" spans="2:8">
      <c r="E513" s="11"/>
      <c r="F513" s="13" t="str">
        <f>IFERROR(INDEX(都市マスタ[],MATCH(E513,都市マスタ['#],0),MATCH(F500,都市マスタ[#Headers],0)),"")</f>
        <v/>
      </c>
      <c r="G513" s="231" t="str">
        <f>IFERROR(INDEX(生データ表[],MATCH(E513,生データ表['#],0),MATCH(C500,生データ表[#Headers],0)),"")</f>
        <v/>
      </c>
      <c r="H513" s="236" t="str">
        <f>IFERROR(INDEX(スコア表[],MATCH(E513,スコア表['#],0),MATCH(C500,スコア表[#Headers],0)),"")</f>
        <v/>
      </c>
    </row>
    <row r="515" spans="2:8">
      <c r="B515" s="36" t="s">
        <v>208</v>
      </c>
      <c r="C515" s="37" t="s">
        <v>567</v>
      </c>
      <c r="E515" s="35" t="s">
        <v>208</v>
      </c>
      <c r="F515" s="36" t="str">
        <f>IF(JPEN!$C$2="EN",都市!$C$2,都市!$D$2)</f>
        <v>都市名</v>
      </c>
      <c r="G515" s="36" t="s">
        <v>644</v>
      </c>
      <c r="H515" s="36" t="s">
        <v>645</v>
      </c>
    </row>
    <row r="516" spans="2:8">
      <c r="B516" s="36" t="str">
        <f>IF(JPEN!$C$2="EN",指標!$I$2,指標!$H$2)</f>
        <v>指標</v>
      </c>
      <c r="C516" s="13" t="str">
        <f ca="1">INDEX(INDIRECT("指標マスタ["&amp;B516&amp;"]"),MATCH(C515,指標マスタ['#],0))</f>
        <v>スタジアム数</v>
      </c>
      <c r="E516" s="11">
        <v>3</v>
      </c>
      <c r="F516" s="13" t="str">
        <f>IFERROR(INDEX(都市マスタ[],MATCH(E516,都市マスタ['#],0),MATCH(F515,都市マスタ[#Headers],0)),"")</f>
        <v>ロンドン</v>
      </c>
      <c r="G516" s="5">
        <f>IFERROR(INDEX(生データ表[],MATCH(E516,生データ表['#],0),MATCH(C515,生データ表[#Headers],0)),"")</f>
        <v>20</v>
      </c>
      <c r="H516" s="236">
        <f>IFERROR(INDEX(スコア表[],MATCH(E516,スコア表['#],0),MATCH(C515,スコア表[#Headers],0)),"")</f>
        <v>100</v>
      </c>
    </row>
    <row r="517" spans="2:8">
      <c r="B517" s="36" t="str">
        <f>IF(JPEN!$C$2="EN",指標!$L$2,指標!$K$2)</f>
        <v>単位</v>
      </c>
      <c r="C517" s="13" t="str">
        <f>INDEX(指標マスタ[],MATCH(C515,指標マスタ['#],0),MATCH(B517,指標マスタ[#Headers],0))</f>
        <v>施設</v>
      </c>
      <c r="E517" s="11">
        <v>38</v>
      </c>
      <c r="F517" s="13" t="str">
        <f>IFERROR(INDEX(都市マスタ[],MATCH(E517,都市マスタ['#],0),MATCH(F515,都市マスタ[#Headers],0)),"")</f>
        <v>ニューヨーク</v>
      </c>
      <c r="G517" s="5">
        <f>IFERROR(INDEX(生データ表[],MATCH(E517,生データ表['#],0),MATCH(C515,生データ表[#Headers],0)),"")</f>
        <v>6</v>
      </c>
      <c r="H517" s="236">
        <f>IFERROR(INDEX(スコア表[],MATCH(E517,スコア表['#],0),MATCH(C515,スコア表[#Headers],0)),"")</f>
        <v>26.315789473700001</v>
      </c>
    </row>
    <row r="518" spans="2:8">
      <c r="B518" s="36" t="s">
        <v>646</v>
      </c>
      <c r="C518" s="13" t="str">
        <f>INDEX(生データ表2[],MATCH(B518,生データ表2[maxmin],0),MATCH(C515,生データ表2[#Headers],0))</f>
        <v>プラス</v>
      </c>
      <c r="E518" s="11">
        <v>29</v>
      </c>
      <c r="F518" s="13" t="str">
        <f>IFERROR(INDEX(都市マスタ[],MATCH(E518,都市マスタ['#],0),MATCH(F515,都市マスタ[#Headers],0)),"")</f>
        <v>東京</v>
      </c>
      <c r="G518" s="5">
        <f>IFERROR(INDEX(生データ表[],MATCH(E518,生データ表['#],0),MATCH(C515,生データ表[#Headers],0)),"")</f>
        <v>11</v>
      </c>
      <c r="H518" s="236">
        <f>IFERROR(INDEX(スコア表[],MATCH(E518,スコア表['#],0),MATCH(C515,スコア表[#Headers],0)),"")</f>
        <v>52.631578947400001</v>
      </c>
    </row>
    <row r="519" spans="2:8">
      <c r="E519" s="11">
        <v>4</v>
      </c>
      <c r="F519" s="13" t="str">
        <f>IFERROR(INDEX(都市マスタ[],MATCH(E519,都市マスタ['#],0),MATCH(F515,都市マスタ[#Headers],0)),"")</f>
        <v>パリ</v>
      </c>
      <c r="G519" s="5">
        <f>IFERROR(INDEX(生データ表[],MATCH(E519,生データ表['#],0),MATCH(C515,生データ表[#Headers],0)),"")</f>
        <v>10</v>
      </c>
      <c r="H519" s="236">
        <f>IFERROR(INDEX(スコア表[],MATCH(E519,スコア表['#],0),MATCH(C515,スコア表[#Headers],0)),"")</f>
        <v>47.368421052599999</v>
      </c>
    </row>
    <row r="520" spans="2:8">
      <c r="B520" s="240" t="s">
        <v>2067</v>
      </c>
      <c r="E520" s="11">
        <v>21</v>
      </c>
      <c r="F520" s="13" t="str">
        <f>IFERROR(INDEX(都市マスタ[],MATCH(E520,都市マスタ['#],0),MATCH(F515,都市マスタ[#Headers],0)),"")</f>
        <v>シンガポール</v>
      </c>
      <c r="G520" s="5">
        <f>IFERROR(INDEX(生データ表[],MATCH(E520,生データ表['#],0),MATCH(C515,生データ表[#Headers],0)),"")</f>
        <v>3</v>
      </c>
      <c r="H520" s="236">
        <f>IFERROR(INDEX(スコア表[],MATCH(E520,スコア表['#],0),MATCH(C515,スコア表[#Headers],0)),"")</f>
        <v>10.5263157895</v>
      </c>
    </row>
    <row r="521" spans="2:8">
      <c r="E521" s="11">
        <v>26</v>
      </c>
      <c r="F521" s="13" t="str">
        <f>IFERROR(INDEX(都市マスタ[],MATCH(E521,都市マスタ['#],0),MATCH(F515,都市マスタ[#Headers],0)),"")</f>
        <v>ソウル</v>
      </c>
      <c r="G521" s="5">
        <f>IFERROR(INDEX(生データ表[],MATCH(E521,生データ表['#],0),MATCH(C515,生データ表[#Headers],0)),"")</f>
        <v>10</v>
      </c>
      <c r="H521" s="236">
        <f>IFERROR(INDEX(スコア表[],MATCH(E521,スコア表['#],0),MATCH(C515,スコア表[#Headers],0)),"")</f>
        <v>47.368421052599999</v>
      </c>
    </row>
    <row r="522" spans="2:8">
      <c r="E522" s="11">
        <v>22</v>
      </c>
      <c r="F522" s="13" t="str">
        <f>IFERROR(INDEX(都市マスタ[],MATCH(E522,都市マスタ['#],0),MATCH(F515,都市マスタ[#Headers],0)),"")</f>
        <v>香港</v>
      </c>
      <c r="G522" s="5">
        <f>IFERROR(INDEX(生データ表[],MATCH(E522,生データ表['#],0),MATCH(C515,生データ表[#Headers],0)),"")</f>
        <v>6</v>
      </c>
      <c r="H522" s="236">
        <f>IFERROR(INDEX(スコア表[],MATCH(E522,スコア表['#],0),MATCH(C515,スコア表[#Headers],0)),"")</f>
        <v>26.315789473700001</v>
      </c>
    </row>
    <row r="523" spans="2:8">
      <c r="E523" s="11">
        <v>23</v>
      </c>
      <c r="F523" s="13" t="str">
        <f>IFERROR(INDEX(都市マスタ[],MATCH(E523,都市マスタ['#],0),MATCH(F515,都市マスタ[#Headers],0)),"")</f>
        <v>北京</v>
      </c>
      <c r="G523" s="5">
        <f>IFERROR(INDEX(生データ表[],MATCH(E523,生データ表['#],0),MATCH(C515,生データ表[#Headers],0)),"")</f>
        <v>13</v>
      </c>
      <c r="H523" s="236">
        <f>IFERROR(INDEX(スコア表[],MATCH(E523,スコア表['#],0),MATCH(C515,スコア表[#Headers],0)),"")</f>
        <v>63.157894736800003</v>
      </c>
    </row>
    <row r="524" spans="2:8">
      <c r="B524" s="240" t="s">
        <v>2068</v>
      </c>
      <c r="E524" s="11">
        <v>24</v>
      </c>
      <c r="F524" s="13" t="str">
        <f>IFERROR(INDEX(都市マスタ[],MATCH(E524,都市マスタ['#],0),MATCH(F515,都市マスタ[#Headers],0)),"")</f>
        <v>上海</v>
      </c>
      <c r="G524" s="5">
        <f>IFERROR(INDEX(生データ表[],MATCH(E524,生データ表['#],0),MATCH(C515,生データ表[#Headers],0)),"")</f>
        <v>11</v>
      </c>
      <c r="H524" s="236">
        <f>IFERROR(INDEX(スコア表[],MATCH(E524,スコア表['#],0),MATCH(C515,スコア表[#Headers],0)),"")</f>
        <v>52.631578947400001</v>
      </c>
    </row>
    <row r="525" spans="2:8">
      <c r="B525" t="s">
        <v>2070</v>
      </c>
      <c r="E525" s="11"/>
      <c r="F525" s="13" t="str">
        <f>IFERROR(INDEX(都市マスタ[],MATCH(E525,都市マスタ['#],0),MATCH(F515,都市マスタ[#Headers],0)),"")</f>
        <v/>
      </c>
      <c r="G525" s="231" t="str">
        <f>IFERROR(INDEX(生データ表[],MATCH(E525,生データ表['#],0),MATCH(C515,生データ表[#Headers],0)),"")</f>
        <v/>
      </c>
      <c r="H525" s="236" t="str">
        <f>IFERROR(INDEX(スコア表[],MATCH(E525,スコア表['#],0),MATCH(C515,スコア表[#Headers],0)),"")</f>
        <v/>
      </c>
    </row>
    <row r="526" spans="2:8">
      <c r="B526" t="s">
        <v>2071</v>
      </c>
      <c r="E526" s="11"/>
      <c r="F526" s="13" t="str">
        <f>IFERROR(INDEX(都市マスタ[],MATCH(E526,都市マスタ['#],0),MATCH(F515,都市マスタ[#Headers],0)),"")</f>
        <v/>
      </c>
      <c r="G526" s="231" t="str">
        <f>IFERROR(INDEX(生データ表[],MATCH(E526,生データ表['#],0),MATCH(C515,生データ表[#Headers],0)),"")</f>
        <v/>
      </c>
      <c r="H526" s="236" t="str">
        <f>IFERROR(INDEX(スコア表[],MATCH(E526,スコア表['#],0),MATCH(C515,スコア表[#Headers],0)),"")</f>
        <v/>
      </c>
    </row>
    <row r="527" spans="2:8">
      <c r="B527" t="s">
        <v>2069</v>
      </c>
      <c r="E527" s="11"/>
      <c r="F527" s="13" t="str">
        <f>IFERROR(INDEX(都市マスタ[],MATCH(E527,都市マスタ['#],0),MATCH(F515,都市マスタ[#Headers],0)),"")</f>
        <v/>
      </c>
      <c r="G527" s="231" t="str">
        <f>IFERROR(INDEX(生データ表[],MATCH(E527,生データ表['#],0),MATCH(C515,生データ表[#Headers],0)),"")</f>
        <v/>
      </c>
      <c r="H527" s="236" t="str">
        <f>IFERROR(INDEX(スコア表[],MATCH(E527,スコア表['#],0),MATCH(C515,スコア表[#Headers],0)),"")</f>
        <v/>
      </c>
    </row>
    <row r="528" spans="2:8">
      <c r="E528" s="11"/>
      <c r="F528" s="13" t="str">
        <f>IFERROR(INDEX(都市マスタ[],MATCH(E528,都市マスタ['#],0),MATCH(F515,都市マスタ[#Headers],0)),"")</f>
        <v/>
      </c>
      <c r="G528" s="231" t="str">
        <f>IFERROR(INDEX(生データ表[],MATCH(E528,生データ表['#],0),MATCH(C515,生データ表[#Headers],0)),"")</f>
        <v/>
      </c>
      <c r="H528" s="236" t="str">
        <f>IFERROR(INDEX(スコア表[],MATCH(E528,スコア表['#],0),MATCH(C515,スコア表[#Headers],0)),"")</f>
        <v/>
      </c>
    </row>
    <row r="530" spans="2:8">
      <c r="B530" s="36" t="s">
        <v>208</v>
      </c>
      <c r="C530" s="37" t="s">
        <v>568</v>
      </c>
      <c r="E530" s="35" t="s">
        <v>208</v>
      </c>
      <c r="F530" s="36" t="str">
        <f>IF(JPEN!$C$2="EN",都市!$C$2,都市!$D$2)</f>
        <v>都市名</v>
      </c>
      <c r="G530" s="36" t="s">
        <v>644</v>
      </c>
      <c r="H530" s="36" t="s">
        <v>645</v>
      </c>
    </row>
    <row r="531" spans="2:8">
      <c r="B531" s="36" t="str">
        <f>IF(JPEN!$C$2="EN",指標!$I$2,指標!$H$2)</f>
        <v>指標</v>
      </c>
      <c r="C531" s="13" t="str">
        <f ca="1">INDEX(INDIRECT("指標マスタ["&amp;B531&amp;"]"),MATCH(C530,指標マスタ['#],0))</f>
        <v>ホテル客室数</v>
      </c>
      <c r="E531" s="11">
        <v>3</v>
      </c>
      <c r="F531" s="13" t="str">
        <f>IFERROR(INDEX(都市マスタ[],MATCH(E531,都市マスタ['#],0),MATCH(F530,都市マスタ[#Headers],0)),"")</f>
        <v>ロンドン</v>
      </c>
      <c r="G531" s="5">
        <f>IFERROR(INDEX(生データ表[],MATCH(E531,生データ表['#],0),MATCH(C530,生データ表[#Headers],0)),"")</f>
        <v>131717</v>
      </c>
      <c r="H531" s="236">
        <f>IFERROR(INDEX(スコア表[],MATCH(E531,スコア表['#],0),MATCH(C530,スコア表[#Headers],0)),"")</f>
        <v>74.508680974200004</v>
      </c>
    </row>
    <row r="532" spans="2:8">
      <c r="B532" s="36" t="str">
        <f>IF(JPEN!$C$2="EN",指標!$L$2,指標!$K$2)</f>
        <v>単位</v>
      </c>
      <c r="C532" s="13" t="str">
        <f>INDEX(指標マスタ[],MATCH(C530,指標マスタ['#],0),MATCH(B532,指標マスタ[#Headers],0))</f>
        <v>室</v>
      </c>
      <c r="E532" s="11">
        <v>38</v>
      </c>
      <c r="F532" s="13" t="str">
        <f>IFERROR(INDEX(都市マスタ[],MATCH(E532,都市マスタ['#],0),MATCH(F530,都市マスタ[#Headers],0)),"")</f>
        <v>ニューヨーク</v>
      </c>
      <c r="G532" s="5">
        <f>IFERROR(INDEX(生データ表[],MATCH(E532,生データ表['#],0),MATCH(C530,生データ表[#Headers],0)),"")</f>
        <v>128561</v>
      </c>
      <c r="H532" s="236">
        <f>IFERROR(INDEX(スコア表[],MATCH(E532,スコア表['#],0),MATCH(C530,スコア表[#Headers],0)),"")</f>
        <v>72.606100795800003</v>
      </c>
    </row>
    <row r="533" spans="2:8">
      <c r="B533" s="36" t="s">
        <v>646</v>
      </c>
      <c r="C533" s="13" t="str">
        <f>INDEX(生データ表2[],MATCH(B533,生データ表2[maxmin],0),MATCH(C530,生データ表2[#Headers],0))</f>
        <v>プラス</v>
      </c>
      <c r="E533" s="11">
        <v>29</v>
      </c>
      <c r="F533" s="13" t="str">
        <f>IFERROR(INDEX(都市マスタ[],MATCH(E533,都市マスタ['#],0),MATCH(F530,都市マスタ[#Headers],0)),"")</f>
        <v>東京</v>
      </c>
      <c r="G533" s="5">
        <f>IFERROR(INDEX(生データ表[],MATCH(E533,生データ表['#],0),MATCH(C530,生データ表[#Headers],0)),"")</f>
        <v>174002</v>
      </c>
      <c r="H533" s="236">
        <f>IFERROR(INDEX(スコア表[],MATCH(E533,スコア表['#],0),MATCH(C530,スコア表[#Headers],0)),"")</f>
        <v>100</v>
      </c>
    </row>
    <row r="534" spans="2:8">
      <c r="E534" s="11">
        <v>4</v>
      </c>
      <c r="F534" s="13" t="str">
        <f>IFERROR(INDEX(都市マスタ[],MATCH(E534,都市マスタ['#],0),MATCH(F530,都市マスタ[#Headers],0)),"")</f>
        <v>パリ</v>
      </c>
      <c r="G534" s="5">
        <f>IFERROR(INDEX(生データ表[],MATCH(E534,生データ表['#],0),MATCH(C530,生データ表[#Headers],0)),"")</f>
        <v>126961</v>
      </c>
      <c r="H534" s="236">
        <f>IFERROR(INDEX(スコア表[],MATCH(E534,スコア表['#],0),MATCH(C530,スコア表[#Headers],0)),"")</f>
        <v>71.641548107099993</v>
      </c>
    </row>
    <row r="535" spans="2:8">
      <c r="B535" s="240" t="s">
        <v>2067</v>
      </c>
      <c r="E535" s="11">
        <v>21</v>
      </c>
      <c r="F535" s="13" t="str">
        <f>IFERROR(INDEX(都市マスタ[],MATCH(E535,都市マスタ['#],0),MATCH(F530,都市マスタ[#Headers],0)),"")</f>
        <v>シンガポール</v>
      </c>
      <c r="G535" s="5">
        <f>IFERROR(INDEX(生データ表[],MATCH(E535,生データ表['#],0),MATCH(C530,生データ表[#Headers],0)),"")</f>
        <v>71727</v>
      </c>
      <c r="H535" s="236">
        <f>IFERROR(INDEX(スコア表[],MATCH(E535,スコア表['#],0),MATCH(C530,スコア表[#Headers],0)),"")</f>
        <v>38.343983602599998</v>
      </c>
    </row>
    <row r="536" spans="2:8">
      <c r="E536" s="11">
        <v>26</v>
      </c>
      <c r="F536" s="13" t="str">
        <f>IFERROR(INDEX(都市マスタ[],MATCH(E536,都市マスタ['#],0),MATCH(F530,都市マスタ[#Headers],0)),"")</f>
        <v>ソウル</v>
      </c>
      <c r="G536" s="5">
        <f>IFERROR(INDEX(生データ表[],MATCH(E536,生データ表['#],0),MATCH(C530,生データ表[#Headers],0)),"")</f>
        <v>77744</v>
      </c>
      <c r="H536" s="236">
        <f>IFERROR(INDEX(スコア表[],MATCH(E536,スコア表['#],0),MATCH(C530,スコア表[#Headers],0)),"")</f>
        <v>41.971304557499998</v>
      </c>
    </row>
    <row r="537" spans="2:8">
      <c r="E537" s="11">
        <v>22</v>
      </c>
      <c r="F537" s="13" t="str">
        <f>IFERROR(INDEX(都市マスタ[],MATCH(E537,都市マスタ['#],0),MATCH(F530,都市マスタ[#Headers],0)),"")</f>
        <v>香港</v>
      </c>
      <c r="G537" s="5">
        <f>IFERROR(INDEX(生データ表[],MATCH(E537,生データ表['#],0),MATCH(C530,生データ表[#Headers],0)),"")</f>
        <v>66813</v>
      </c>
      <c r="H537" s="236">
        <f>IFERROR(INDEX(スコア表[],MATCH(E537,スコア表['#],0),MATCH(C530,スコア表[#Headers],0)),"")</f>
        <v>35.3816011575</v>
      </c>
    </row>
    <row r="538" spans="2:8">
      <c r="E538" s="11">
        <v>23</v>
      </c>
      <c r="F538" s="13" t="str">
        <f>IFERROR(INDEX(都市マスタ[],MATCH(E538,都市マスタ['#],0),MATCH(F530,都市マスタ[#Headers],0)),"")</f>
        <v>北京</v>
      </c>
      <c r="G538" s="5">
        <f>IFERROR(INDEX(生データ表[],MATCH(E538,生データ表['#],0),MATCH(C530,生データ表[#Headers],0)),"")</f>
        <v>69625</v>
      </c>
      <c r="H538" s="236">
        <f>IFERROR(INDEX(スコア表[],MATCH(E538,スコア表['#],0),MATCH(C530,スコア表[#Headers],0)),"")</f>
        <v>37.076802507799997</v>
      </c>
    </row>
    <row r="539" spans="2:8">
      <c r="B539" s="240" t="s">
        <v>2068</v>
      </c>
      <c r="E539" s="11">
        <v>24</v>
      </c>
      <c r="F539" s="13" t="str">
        <f>IFERROR(INDEX(都市マスタ[],MATCH(E539,都市マスタ['#],0),MATCH(F530,都市マスタ[#Headers],0)),"")</f>
        <v>上海</v>
      </c>
      <c r="G539" s="5">
        <f>IFERROR(INDEX(生データ表[],MATCH(E539,生データ表['#],0),MATCH(C530,生データ表[#Headers],0)),"")</f>
        <v>86840</v>
      </c>
      <c r="H539" s="236">
        <f>IFERROR(INDEX(スコア表[],MATCH(E539,スコア表['#],0),MATCH(C530,スコア表[#Headers],0)),"")</f>
        <v>47.454786592700003</v>
      </c>
    </row>
    <row r="540" spans="2:8">
      <c r="B540" t="s">
        <v>2070</v>
      </c>
      <c r="E540" s="11"/>
      <c r="F540" s="13" t="str">
        <f>IFERROR(INDEX(都市マスタ[],MATCH(E540,都市マスタ['#],0),MATCH(F530,都市マスタ[#Headers],0)),"")</f>
        <v/>
      </c>
      <c r="G540" s="231" t="str">
        <f>IFERROR(INDEX(生データ表[],MATCH(E540,生データ表['#],0),MATCH(C530,生データ表[#Headers],0)),"")</f>
        <v/>
      </c>
      <c r="H540" s="236" t="str">
        <f>IFERROR(INDEX(スコア表[],MATCH(E540,スコア表['#],0),MATCH(C530,スコア表[#Headers],0)),"")</f>
        <v/>
      </c>
    </row>
    <row r="541" spans="2:8">
      <c r="B541" t="s">
        <v>2071</v>
      </c>
      <c r="E541" s="11"/>
      <c r="F541" s="13" t="str">
        <f>IFERROR(INDEX(都市マスタ[],MATCH(E541,都市マスタ['#],0),MATCH(F530,都市マスタ[#Headers],0)),"")</f>
        <v/>
      </c>
      <c r="G541" s="231" t="str">
        <f>IFERROR(INDEX(生データ表[],MATCH(E541,生データ表['#],0),MATCH(C530,生データ表[#Headers],0)),"")</f>
        <v/>
      </c>
      <c r="H541" s="236" t="str">
        <f>IFERROR(INDEX(スコア表[],MATCH(E541,スコア表['#],0),MATCH(C530,スコア表[#Headers],0)),"")</f>
        <v/>
      </c>
    </row>
    <row r="542" spans="2:8">
      <c r="B542" t="s">
        <v>2069</v>
      </c>
      <c r="E542" s="11"/>
      <c r="F542" s="13" t="str">
        <f>IFERROR(INDEX(都市マスタ[],MATCH(E542,都市マスタ['#],0),MATCH(F530,都市マスタ[#Headers],0)),"")</f>
        <v/>
      </c>
      <c r="G542" s="231" t="str">
        <f>IFERROR(INDEX(生データ表[],MATCH(E542,生データ表['#],0),MATCH(C530,生データ表[#Headers],0)),"")</f>
        <v/>
      </c>
      <c r="H542" s="236" t="str">
        <f>IFERROR(INDEX(スコア表[],MATCH(E542,スコア表['#],0),MATCH(C530,スコア表[#Headers],0)),"")</f>
        <v/>
      </c>
    </row>
    <row r="543" spans="2:8">
      <c r="E543" s="11"/>
      <c r="F543" s="13" t="str">
        <f>IFERROR(INDEX(都市マスタ[],MATCH(E543,都市マスタ['#],0),MATCH(F530,都市マスタ[#Headers],0)),"")</f>
        <v/>
      </c>
      <c r="G543" s="231" t="str">
        <f>IFERROR(INDEX(生データ表[],MATCH(E543,生データ表['#],0),MATCH(C530,生データ表[#Headers],0)),"")</f>
        <v/>
      </c>
      <c r="H543" s="236" t="str">
        <f>IFERROR(INDEX(スコア表[],MATCH(E543,スコア表['#],0),MATCH(C530,スコア表[#Headers],0)),"")</f>
        <v/>
      </c>
    </row>
    <row r="545" spans="2:8">
      <c r="B545" s="36" t="s">
        <v>208</v>
      </c>
      <c r="C545" s="37" t="s">
        <v>569</v>
      </c>
      <c r="E545" s="35" t="s">
        <v>208</v>
      </c>
      <c r="F545" s="36" t="str">
        <f>IF(JPEN!$C$2="EN",都市!$C$2,都市!$D$2)</f>
        <v>都市名</v>
      </c>
      <c r="G545" s="36" t="s">
        <v>644</v>
      </c>
      <c r="H545" s="36" t="s">
        <v>645</v>
      </c>
    </row>
    <row r="546" spans="2:8">
      <c r="B546" s="36" t="str">
        <f>IF(JPEN!$C$2="EN",指標!$I$2,指標!$H$2)</f>
        <v>指標</v>
      </c>
      <c r="C546" s="13" t="str">
        <f ca="1">INDEX(INDIRECT("指標マスタ["&amp;B546&amp;"]"),MATCH(C545,指標マスタ['#],0))</f>
        <v>ハイクラスホテル客室数</v>
      </c>
      <c r="E546" s="11">
        <v>3</v>
      </c>
      <c r="F546" s="13" t="str">
        <f>IFERROR(INDEX(都市マスタ[],MATCH(E546,都市マスタ['#],0),MATCH(F545,都市マスタ[#Headers],0)),"")</f>
        <v>ロンドン</v>
      </c>
      <c r="G546" s="5">
        <f>IFERROR(INDEX(生データ表[],MATCH(E546,生データ表['#],0),MATCH(C545,生データ表[#Headers],0)),"")</f>
        <v>21113</v>
      </c>
      <c r="H546" s="236">
        <f>IFERROR(INDEX(スコア表[],MATCH(E546,スコア表['#],0),MATCH(C545,スコア表[#Headers],0)),"")</f>
        <v>63.494152941899998</v>
      </c>
    </row>
    <row r="547" spans="2:8">
      <c r="B547" s="36" t="str">
        <f>IF(JPEN!$C$2="EN",指標!$L$2,指標!$K$2)</f>
        <v>単位</v>
      </c>
      <c r="C547" s="13" t="str">
        <f>INDEX(指標マスタ[],MATCH(C545,指標マスタ['#],0),MATCH(B547,指標マスタ[#Headers],0))</f>
        <v>室</v>
      </c>
      <c r="E547" s="11">
        <v>38</v>
      </c>
      <c r="F547" s="13" t="str">
        <f>IFERROR(INDEX(都市マスタ[],MATCH(E547,都市マスタ['#],0),MATCH(F545,都市マスタ[#Headers],0)),"")</f>
        <v>ニューヨーク</v>
      </c>
      <c r="G547" s="5">
        <f>IFERROR(INDEX(生データ表[],MATCH(E547,生データ表['#],0),MATCH(C545,生データ表[#Headers],0)),"")</f>
        <v>12444</v>
      </c>
      <c r="H547" s="236">
        <f>IFERROR(INDEX(スコア表[],MATCH(E547,スコア表['#],0),MATCH(C545,スコア表[#Headers],0)),"")</f>
        <v>36.955856242000003</v>
      </c>
    </row>
    <row r="548" spans="2:8">
      <c r="B548" s="36" t="s">
        <v>646</v>
      </c>
      <c r="C548" s="13" t="str">
        <f>INDEX(生データ表2[],MATCH(B548,生データ表2[maxmin],0),MATCH(C545,生データ表2[#Headers],0))</f>
        <v>プラス</v>
      </c>
      <c r="E548" s="11">
        <v>29</v>
      </c>
      <c r="F548" s="13" t="str">
        <f>IFERROR(INDEX(都市マスタ[],MATCH(E548,都市マスタ['#],0),MATCH(F545,都市マスタ[#Headers],0)),"")</f>
        <v>東京</v>
      </c>
      <c r="G548" s="5">
        <f>IFERROR(INDEX(生データ表[],MATCH(E548,生データ表['#],0),MATCH(C545,生データ表[#Headers],0)),"")</f>
        <v>6029</v>
      </c>
      <c r="H548" s="236">
        <f>IFERROR(INDEX(スコア表[],MATCH(E548,スコア表['#],0),MATCH(C545,スコア表[#Headers],0)),"")</f>
        <v>17.3177003612</v>
      </c>
    </row>
    <row r="549" spans="2:8">
      <c r="E549" s="11">
        <v>4</v>
      </c>
      <c r="F549" s="13" t="str">
        <f>IFERROR(INDEX(都市マスタ[],MATCH(E549,都市マスタ['#],0),MATCH(F545,都市マスタ[#Headers],0)),"")</f>
        <v>パリ</v>
      </c>
      <c r="G549" s="5">
        <f>IFERROR(INDEX(生データ表[],MATCH(E549,生データ表['#],0),MATCH(C545,生データ表[#Headers],0)),"")</f>
        <v>9448</v>
      </c>
      <c r="H549" s="236">
        <f>IFERROR(INDEX(スコア表[],MATCH(E549,スコア表['#],0),MATCH(C545,スコア表[#Headers],0)),"")</f>
        <v>27.784240494700001</v>
      </c>
    </row>
    <row r="550" spans="2:8">
      <c r="B550" s="240" t="s">
        <v>2067</v>
      </c>
      <c r="E550" s="11">
        <v>21</v>
      </c>
      <c r="F550" s="13" t="str">
        <f>IFERROR(INDEX(都市マスタ[],MATCH(E550,都市マスタ['#],0),MATCH(F545,都市マスタ[#Headers],0)),"")</f>
        <v>シンガポール</v>
      </c>
      <c r="G550" s="5">
        <f>IFERROR(INDEX(生データ表[],MATCH(E550,生データ表['#],0),MATCH(C545,生データ表[#Headers],0)),"")</f>
        <v>18846</v>
      </c>
      <c r="H550" s="236">
        <f>IFERROR(INDEX(スコア表[],MATCH(E550,スコア表['#],0),MATCH(C545,スコア表[#Headers],0)),"")</f>
        <v>56.5542153922</v>
      </c>
    </row>
    <row r="551" spans="2:8">
      <c r="E551" s="11">
        <v>26</v>
      </c>
      <c r="F551" s="13" t="str">
        <f>IFERROR(INDEX(都市マスタ[],MATCH(E551,都市マスタ['#],0),MATCH(F545,都市マスタ[#Headers],0)),"")</f>
        <v>ソウル</v>
      </c>
      <c r="G551" s="5">
        <f>IFERROR(INDEX(生データ表[],MATCH(E551,生データ表['#],0),MATCH(C545,生データ表[#Headers],0)),"")</f>
        <v>9792</v>
      </c>
      <c r="H551" s="236">
        <f>IFERROR(INDEX(スコア表[],MATCH(E551,スコア表['#],0),MATCH(C545,スコア表[#Headers],0)),"")</f>
        <v>28.837323210699999</v>
      </c>
    </row>
    <row r="552" spans="2:8">
      <c r="E552" s="11">
        <v>22</v>
      </c>
      <c r="F552" s="13" t="str">
        <f>IFERROR(INDEX(都市マスタ[],MATCH(E552,都市マスタ['#],0),MATCH(F545,都市マスタ[#Headers],0)),"")</f>
        <v>香港</v>
      </c>
      <c r="G552" s="5">
        <f>IFERROR(INDEX(生データ表[],MATCH(E552,生データ表['#],0),MATCH(C545,生データ表[#Headers],0)),"")</f>
        <v>15164</v>
      </c>
      <c r="H552" s="236">
        <f>IFERROR(INDEX(スコア表[],MATCH(E552,スコア表['#],0),MATCH(C545,スコア表[#Headers],0)),"")</f>
        <v>45.282556786900003</v>
      </c>
    </row>
    <row r="553" spans="2:8">
      <c r="E553" s="11">
        <v>23</v>
      </c>
      <c r="F553" s="13" t="str">
        <f>IFERROR(INDEX(都市マスタ[],MATCH(E553,都市マスタ['#],0),MATCH(F545,都市マスタ[#Headers],0)),"")</f>
        <v>北京</v>
      </c>
      <c r="G553" s="5">
        <f>IFERROR(INDEX(生データ表[],MATCH(E553,生データ表['#],0),MATCH(C545,生データ表[#Headers],0)),"")</f>
        <v>17651</v>
      </c>
      <c r="H553" s="236">
        <f>IFERROR(INDEX(スコア表[],MATCH(E553,スコア表['#],0),MATCH(C545,スコア表[#Headers],0)),"")</f>
        <v>52.8959774689</v>
      </c>
    </row>
    <row r="554" spans="2:8">
      <c r="B554" s="240" t="s">
        <v>2068</v>
      </c>
      <c r="E554" s="11">
        <v>24</v>
      </c>
      <c r="F554" s="13" t="str">
        <f>IFERROR(INDEX(都市マスタ[],MATCH(E554,都市マスタ['#],0),MATCH(F545,都市マスタ[#Headers],0)),"")</f>
        <v>上海</v>
      </c>
      <c r="G554" s="5">
        <f>IFERROR(INDEX(生データ表[],MATCH(E554,生データ表['#],0),MATCH(C545,生データ表[#Headers],0)),"")</f>
        <v>21633</v>
      </c>
      <c r="H554" s="236">
        <f>IFERROR(INDEX(スコア表[],MATCH(E554,スコア表['#],0),MATCH(C545,スコア表[#Headers],0)),"")</f>
        <v>65.086022163699994</v>
      </c>
    </row>
    <row r="555" spans="2:8">
      <c r="B555" t="s">
        <v>2070</v>
      </c>
      <c r="E555" s="11"/>
      <c r="F555" s="13" t="str">
        <f>IFERROR(INDEX(都市マスタ[],MATCH(E555,都市マスタ['#],0),MATCH(F545,都市マスタ[#Headers],0)),"")</f>
        <v/>
      </c>
      <c r="G555" s="231" t="str">
        <f>IFERROR(INDEX(生データ表[],MATCH(E555,生データ表['#],0),MATCH(C545,生データ表[#Headers],0)),"")</f>
        <v/>
      </c>
      <c r="H555" s="236" t="str">
        <f>IFERROR(INDEX(スコア表[],MATCH(E555,スコア表['#],0),MATCH(C545,スコア表[#Headers],0)),"")</f>
        <v/>
      </c>
    </row>
    <row r="556" spans="2:8">
      <c r="B556" t="s">
        <v>2071</v>
      </c>
      <c r="E556" s="11"/>
      <c r="F556" s="13" t="str">
        <f>IFERROR(INDEX(都市マスタ[],MATCH(E556,都市マスタ['#],0),MATCH(F545,都市マスタ[#Headers],0)),"")</f>
        <v/>
      </c>
      <c r="G556" s="231" t="str">
        <f>IFERROR(INDEX(生データ表[],MATCH(E556,生データ表['#],0),MATCH(C545,生データ表[#Headers],0)),"")</f>
        <v/>
      </c>
      <c r="H556" s="236" t="str">
        <f>IFERROR(INDEX(スコア表[],MATCH(E556,スコア表['#],0),MATCH(C545,スコア表[#Headers],0)),"")</f>
        <v/>
      </c>
    </row>
    <row r="557" spans="2:8">
      <c r="B557" t="s">
        <v>2069</v>
      </c>
      <c r="E557" s="11"/>
      <c r="F557" s="13" t="str">
        <f>IFERROR(INDEX(都市マスタ[],MATCH(E557,都市マスタ['#],0),MATCH(F545,都市マスタ[#Headers],0)),"")</f>
        <v/>
      </c>
      <c r="G557" s="231" t="str">
        <f>IFERROR(INDEX(生データ表[],MATCH(E557,生データ表['#],0),MATCH(C545,生データ表[#Headers],0)),"")</f>
        <v/>
      </c>
      <c r="H557" s="236" t="str">
        <f>IFERROR(INDEX(スコア表[],MATCH(E557,スコア表['#],0),MATCH(C545,スコア表[#Headers],0)),"")</f>
        <v/>
      </c>
    </row>
    <row r="558" spans="2:8">
      <c r="E558" s="11"/>
      <c r="F558" s="13" t="str">
        <f>IFERROR(INDEX(都市マスタ[],MATCH(E558,都市マスタ['#],0),MATCH(F545,都市マスタ[#Headers],0)),"")</f>
        <v/>
      </c>
      <c r="G558" s="231" t="str">
        <f>IFERROR(INDEX(生データ表[],MATCH(E558,生データ表['#],0),MATCH(C545,生データ表[#Headers],0)),"")</f>
        <v/>
      </c>
      <c r="H558" s="236" t="str">
        <f>IFERROR(INDEX(スコア表[],MATCH(E558,スコア表['#],0),MATCH(C545,スコア表[#Headers],0)),"")</f>
        <v/>
      </c>
    </row>
    <row r="560" spans="2:8">
      <c r="B560" s="36" t="s">
        <v>208</v>
      </c>
      <c r="C560" s="37" t="s">
        <v>570</v>
      </c>
      <c r="E560" s="35" t="s">
        <v>208</v>
      </c>
      <c r="F560" s="36" t="str">
        <f>IF(JPEN!$C$2="EN",都市!$C$2,都市!$D$2)</f>
        <v>都市名</v>
      </c>
      <c r="G560" s="36" t="s">
        <v>644</v>
      </c>
      <c r="H560" s="36" t="s">
        <v>645</v>
      </c>
    </row>
    <row r="561" spans="2:8">
      <c r="B561" s="36" t="str">
        <f>IF(JPEN!$C$2="EN",指標!$I$2,指標!$H$2)</f>
        <v>指標</v>
      </c>
      <c r="C561" s="13" t="str">
        <f ca="1">INDEX(INDIRECT("指標マスタ["&amp;B561&amp;"]"),MATCH(C560,指標マスタ['#],0))</f>
        <v>買物の魅力</v>
      </c>
      <c r="E561" s="11">
        <v>3</v>
      </c>
      <c r="F561" s="13" t="str">
        <f>IFERROR(INDEX(都市マスタ[],MATCH(E561,都市マスタ['#],0),MATCH(F560,都市マスタ[#Headers],0)),"")</f>
        <v>ロンドン</v>
      </c>
      <c r="G561" s="5">
        <f>IFERROR(INDEX(生データ表[],MATCH(E561,生データ表['#],0),MATCH(C560,生データ表[#Headers],0)),"")</f>
        <v>64.042536638367494</v>
      </c>
      <c r="H561" s="236">
        <f>IFERROR(INDEX(スコア表[],MATCH(E561,スコア表['#],0),MATCH(C560,スコア表[#Headers],0)),"")</f>
        <v>74.618484396300005</v>
      </c>
    </row>
    <row r="562" spans="2:8">
      <c r="B562" s="36" t="str">
        <f>IF(JPEN!$C$2="EN",指標!$L$2,指標!$K$2)</f>
        <v>単位</v>
      </c>
      <c r="C562" s="13" t="str">
        <f>INDEX(指標マスタ[],MATCH(C560,指標マスタ['#],0),MATCH(B562,指標マスタ[#Headers],0))</f>
        <v>（合算）</v>
      </c>
      <c r="E562" s="11">
        <v>38</v>
      </c>
      <c r="F562" s="13" t="str">
        <f>IFERROR(INDEX(都市マスタ[],MATCH(E562,都市マスタ['#],0),MATCH(F560,都市マスタ[#Headers],0)),"")</f>
        <v>ニューヨーク</v>
      </c>
      <c r="G562" s="5">
        <f>IFERROR(INDEX(生データ表[],MATCH(E562,生データ表['#],0),MATCH(C560,生データ表[#Headers],0)),"")</f>
        <v>65.063161259183403</v>
      </c>
      <c r="H562" s="236">
        <f>IFERROR(INDEX(スコア表[],MATCH(E562,スコア表['#],0),MATCH(C560,スコア表[#Headers],0)),"")</f>
        <v>75.817190731899998</v>
      </c>
    </row>
    <row r="563" spans="2:8">
      <c r="B563" s="36" t="s">
        <v>646</v>
      </c>
      <c r="C563" s="13" t="str">
        <f>INDEX(生データ表2[],MATCH(B563,生データ表2[maxmin],0),MATCH(C560,生データ表2[#Headers],0))</f>
        <v>プラス</v>
      </c>
      <c r="E563" s="11">
        <v>29</v>
      </c>
      <c r="F563" s="13" t="str">
        <f>IFERROR(INDEX(都市マスタ[],MATCH(E563,都市マスタ['#],0),MATCH(F560,都市マスタ[#Headers],0)),"")</f>
        <v>東京</v>
      </c>
      <c r="G563" s="5">
        <f>IFERROR(INDEX(生データ表[],MATCH(E563,生データ表['#],0),MATCH(C560,生データ表[#Headers],0)),"")</f>
        <v>85.653334020804607</v>
      </c>
      <c r="H563" s="236">
        <f>IFERROR(INDEX(スコア表[],MATCH(E563,スコア表['#],0),MATCH(C560,スコア表[#Headers],0)),"")</f>
        <v>100</v>
      </c>
    </row>
    <row r="564" spans="2:8">
      <c r="E564" s="11">
        <v>4</v>
      </c>
      <c r="F564" s="13" t="str">
        <f>IFERROR(INDEX(都市マスタ[],MATCH(E564,都市マスタ['#],0),MATCH(F560,都市マスタ[#Headers],0)),"")</f>
        <v>パリ</v>
      </c>
      <c r="G564" s="5">
        <f>IFERROR(INDEX(生データ表[],MATCH(E564,生データ表['#],0),MATCH(C560,生データ表[#Headers],0)),"")</f>
        <v>75.821568656218801</v>
      </c>
      <c r="H564" s="236">
        <f>IFERROR(INDEX(スコア表[],MATCH(E564,スコア表['#],0),MATCH(C560,スコア表[#Headers],0)),"")</f>
        <v>88.452758054399993</v>
      </c>
    </row>
    <row r="565" spans="2:8">
      <c r="B565" s="240" t="s">
        <v>2067</v>
      </c>
      <c r="E565" s="11">
        <v>21</v>
      </c>
      <c r="F565" s="13" t="str">
        <f>IFERROR(INDEX(都市マスタ[],MATCH(E565,都市マスタ['#],0),MATCH(F560,都市マスタ[#Headers],0)),"")</f>
        <v>シンガポール</v>
      </c>
      <c r="G565" s="5">
        <f>IFERROR(INDEX(生データ表[],MATCH(E565,生データ表['#],0),MATCH(C560,生データ表[#Headers],0)),"")</f>
        <v>48.747341475018501</v>
      </c>
      <c r="H565" s="236">
        <f>IFERROR(INDEX(スコア表[],MATCH(E565,スコア表['#],0),MATCH(C560,スコア表[#Headers],0)),"")</f>
        <v>56.6545366609</v>
      </c>
    </row>
    <row r="566" spans="2:8">
      <c r="E566" s="11">
        <v>26</v>
      </c>
      <c r="F566" s="13" t="str">
        <f>IFERROR(INDEX(都市マスタ[],MATCH(E566,都市マスタ['#],0),MATCH(F560,都市マスタ[#Headers],0)),"")</f>
        <v>ソウル</v>
      </c>
      <c r="G566" s="5">
        <f>IFERROR(INDEX(生データ表[],MATCH(E566,生データ表['#],0),MATCH(C560,生データ表[#Headers],0)),"")</f>
        <v>50.500355762034602</v>
      </c>
      <c r="H566" s="236">
        <f>IFERROR(INDEX(スコア表[],MATCH(E566,スコア表['#],0),MATCH(C560,スコア表[#Headers],0)),"")</f>
        <v>58.7134222583</v>
      </c>
    </row>
    <row r="567" spans="2:8">
      <c r="E567" s="11">
        <v>22</v>
      </c>
      <c r="F567" s="13" t="str">
        <f>IFERROR(INDEX(都市マスタ[],MATCH(E567,都市マスタ['#],0),MATCH(F560,都市マスタ[#Headers],0)),"")</f>
        <v>香港</v>
      </c>
      <c r="G567" s="5">
        <f>IFERROR(INDEX(生データ表[],MATCH(E567,生データ表['#],0),MATCH(C560,生データ表[#Headers],0)),"")</f>
        <v>39.478198068871599</v>
      </c>
      <c r="H567" s="236">
        <f>IFERROR(INDEX(スコア表[],MATCH(E567,スコア表['#],0),MATCH(C560,スコア表[#Headers],0)),"")</f>
        <v>45.768084678900003</v>
      </c>
    </row>
    <row r="568" spans="2:8">
      <c r="E568" s="11">
        <v>23</v>
      </c>
      <c r="F568" s="13" t="str">
        <f>IFERROR(INDEX(都市マスタ[],MATCH(E568,都市マスタ['#],0),MATCH(F560,都市マスタ[#Headers],0)),"")</f>
        <v>北京</v>
      </c>
      <c r="G568" s="5">
        <f>IFERROR(INDEX(生データ表[],MATCH(E568,生データ表['#],0),MATCH(C560,生データ表[#Headers],0)),"")</f>
        <v>30.490234375683201</v>
      </c>
      <c r="H568" s="236">
        <f>IFERROR(INDEX(スコア表[],MATCH(E568,スコア表['#],0),MATCH(C560,スコア表[#Headers],0)),"")</f>
        <v>35.211873508799997</v>
      </c>
    </row>
    <row r="569" spans="2:8">
      <c r="B569" s="240" t="s">
        <v>2068</v>
      </c>
      <c r="E569" s="11">
        <v>24</v>
      </c>
      <c r="F569" s="13" t="str">
        <f>IFERROR(INDEX(都市マスタ[],MATCH(E569,都市マスタ['#],0),MATCH(F560,都市マスタ[#Headers],0)),"")</f>
        <v>上海</v>
      </c>
      <c r="G569" s="5">
        <f>IFERROR(INDEX(生データ表[],MATCH(E569,生データ表['#],0),MATCH(C560,生データ表[#Headers],0)),"")</f>
        <v>42.958712928063903</v>
      </c>
      <c r="H569" s="236">
        <f>IFERROR(INDEX(スコア表[],MATCH(E569,スコア表['#],0),MATCH(C560,スコア表[#Headers],0)),"")</f>
        <v>49.855890447699998</v>
      </c>
    </row>
    <row r="570" spans="2:8">
      <c r="B570" t="s">
        <v>2070</v>
      </c>
      <c r="E570" s="11"/>
      <c r="F570" s="13" t="str">
        <f>IFERROR(INDEX(都市マスタ[],MATCH(E570,都市マスタ['#],0),MATCH(F560,都市マスタ[#Headers],0)),"")</f>
        <v/>
      </c>
      <c r="G570" s="231" t="str">
        <f>IFERROR(INDEX(生データ表[],MATCH(E570,生データ表['#],0),MATCH(C560,生データ表[#Headers],0)),"")</f>
        <v/>
      </c>
      <c r="H570" s="236" t="str">
        <f>IFERROR(INDEX(スコア表[],MATCH(E570,スコア表['#],0),MATCH(C560,スコア表[#Headers],0)),"")</f>
        <v/>
      </c>
    </row>
    <row r="571" spans="2:8">
      <c r="B571" t="s">
        <v>2071</v>
      </c>
      <c r="E571" s="11"/>
      <c r="F571" s="13" t="str">
        <f>IFERROR(INDEX(都市マスタ[],MATCH(E571,都市マスタ['#],0),MATCH(F560,都市マスタ[#Headers],0)),"")</f>
        <v/>
      </c>
      <c r="G571" s="231" t="str">
        <f>IFERROR(INDEX(生データ表[],MATCH(E571,生データ表['#],0),MATCH(C560,生データ表[#Headers],0)),"")</f>
        <v/>
      </c>
      <c r="H571" s="236" t="str">
        <f>IFERROR(INDEX(スコア表[],MATCH(E571,スコア表['#],0),MATCH(C560,スコア表[#Headers],0)),"")</f>
        <v/>
      </c>
    </row>
    <row r="572" spans="2:8">
      <c r="B572" t="s">
        <v>2069</v>
      </c>
      <c r="E572" s="11"/>
      <c r="F572" s="13" t="str">
        <f>IFERROR(INDEX(都市マスタ[],MATCH(E572,都市マスタ['#],0),MATCH(F560,都市マスタ[#Headers],0)),"")</f>
        <v/>
      </c>
      <c r="G572" s="231" t="str">
        <f>IFERROR(INDEX(生データ表[],MATCH(E572,生データ表['#],0),MATCH(C560,生データ表[#Headers],0)),"")</f>
        <v/>
      </c>
      <c r="H572" s="236" t="str">
        <f>IFERROR(INDEX(スコア表[],MATCH(E572,スコア表['#],0),MATCH(C560,スコア表[#Headers],0)),"")</f>
        <v/>
      </c>
    </row>
    <row r="573" spans="2:8">
      <c r="E573" s="11"/>
      <c r="F573" s="13" t="str">
        <f>IFERROR(INDEX(都市マスタ[],MATCH(E573,都市マスタ['#],0),MATCH(F560,都市マスタ[#Headers],0)),"")</f>
        <v/>
      </c>
      <c r="G573" s="231" t="str">
        <f>IFERROR(INDEX(生データ表[],MATCH(E573,生データ表['#],0),MATCH(C560,生データ表[#Headers],0)),"")</f>
        <v/>
      </c>
      <c r="H573" s="236" t="str">
        <f>IFERROR(INDEX(スコア表[],MATCH(E573,スコア表['#],0),MATCH(C560,スコア表[#Headers],0)),"")</f>
        <v/>
      </c>
    </row>
    <row r="575" spans="2:8">
      <c r="B575" s="36" t="s">
        <v>208</v>
      </c>
      <c r="C575" s="37" t="s">
        <v>571</v>
      </c>
      <c r="E575" s="35" t="s">
        <v>208</v>
      </c>
      <c r="F575" s="36" t="str">
        <f>IF(JPEN!$C$2="EN",都市!$C$2,都市!$D$2)</f>
        <v>都市名</v>
      </c>
      <c r="G575" s="36" t="s">
        <v>644</v>
      </c>
      <c r="H575" s="36" t="s">
        <v>645</v>
      </c>
    </row>
    <row r="576" spans="2:8">
      <c r="B576" s="36" t="str">
        <f>IF(JPEN!$C$2="EN",指標!$I$2,指標!$H$2)</f>
        <v>指標</v>
      </c>
      <c r="C576" s="13" t="str">
        <f ca="1">INDEX(INDIRECT("指標マスタ["&amp;B576&amp;"]"),MATCH(C575,指標マスタ['#],0))</f>
        <v>食事の魅力</v>
      </c>
      <c r="E576" s="11">
        <v>3</v>
      </c>
      <c r="F576" s="13" t="str">
        <f>IFERROR(INDEX(都市マスタ[],MATCH(E576,都市マスタ['#],0),MATCH(F575,都市マスタ[#Headers],0)),"")</f>
        <v>ロンドン</v>
      </c>
      <c r="G576" s="5">
        <f>IFERROR(INDEX(生データ表[],MATCH(E576,生データ表['#],0),MATCH(C575,生データ表[#Headers],0)),"")</f>
        <v>33.593806764190902</v>
      </c>
      <c r="H576" s="236">
        <f>IFERROR(INDEX(スコア表[],MATCH(E576,スコア表['#],0),MATCH(C575,スコア表[#Headers],0)),"")</f>
        <v>39.557913801700003</v>
      </c>
    </row>
    <row r="577" spans="2:8">
      <c r="B577" s="36" t="str">
        <f>IF(JPEN!$C$2="EN",指標!$L$2,指標!$K$2)</f>
        <v>単位</v>
      </c>
      <c r="C577" s="13" t="str">
        <f>INDEX(指標マスタ[],MATCH(C575,指標マスタ['#],0),MATCH(B577,指標マスタ[#Headers],0))</f>
        <v>（合算）</v>
      </c>
      <c r="E577" s="11">
        <v>38</v>
      </c>
      <c r="F577" s="13" t="str">
        <f>IFERROR(INDEX(都市マスタ[],MATCH(E577,都市マスタ['#],0),MATCH(F575,都市マスタ[#Headers],0)),"")</f>
        <v>ニューヨーク</v>
      </c>
      <c r="G577" s="5">
        <f>IFERROR(INDEX(生データ表[],MATCH(E577,生データ表['#],0),MATCH(C575,生データ表[#Headers],0)),"")</f>
        <v>56.232304794099299</v>
      </c>
      <c r="H577" s="236">
        <f>IFERROR(INDEX(スコア表[],MATCH(E577,スコア表['#],0),MATCH(C575,スコア表[#Headers],0)),"")</f>
        <v>67.273268176800002</v>
      </c>
    </row>
    <row r="578" spans="2:8">
      <c r="B578" s="36" t="s">
        <v>646</v>
      </c>
      <c r="C578" s="13" t="str">
        <f>INDEX(生データ表2[],MATCH(B578,生データ表2[maxmin],0),MATCH(C575,生データ表2[#Headers],0))</f>
        <v>プラス</v>
      </c>
      <c r="E578" s="11">
        <v>29</v>
      </c>
      <c r="F578" s="13" t="str">
        <f>IFERROR(INDEX(都市マスタ[],MATCH(E578,都市マスタ['#],0),MATCH(F575,都市マスタ[#Headers],0)),"")</f>
        <v>東京</v>
      </c>
      <c r="G578" s="5">
        <f>IFERROR(INDEX(生データ表[],MATCH(E578,生データ表['#],0),MATCH(C575,生データ表[#Headers],0)),"")</f>
        <v>82.964203794166195</v>
      </c>
      <c r="H578" s="236">
        <f>IFERROR(INDEX(スコア表[],MATCH(E578,スコア表['#],0),MATCH(C575,スコア表[#Headers],0)),"")</f>
        <v>100</v>
      </c>
    </row>
    <row r="579" spans="2:8">
      <c r="E579" s="11">
        <v>4</v>
      </c>
      <c r="F579" s="13" t="str">
        <f>IFERROR(INDEX(都市マスタ[],MATCH(E579,都市マスタ['#],0),MATCH(F575,都市マスタ[#Headers],0)),"")</f>
        <v>パリ</v>
      </c>
      <c r="G579" s="5">
        <f>IFERROR(INDEX(生データ表[],MATCH(E579,生データ表['#],0),MATCH(C575,生データ表[#Headers],0)),"")</f>
        <v>54.875665730277902</v>
      </c>
      <c r="H579" s="236">
        <f>IFERROR(INDEX(スコア表[],MATCH(E579,スコア表['#],0),MATCH(C575,スコア表[#Headers],0)),"")</f>
        <v>65.612392426</v>
      </c>
    </row>
    <row r="580" spans="2:8">
      <c r="B580" s="240" t="s">
        <v>2067</v>
      </c>
      <c r="E580" s="11">
        <v>21</v>
      </c>
      <c r="F580" s="13" t="str">
        <f>IFERROR(INDEX(都市マスタ[],MATCH(E580,都市マスタ['#],0),MATCH(F575,都市マスタ[#Headers],0)),"")</f>
        <v>シンガポール</v>
      </c>
      <c r="G580" s="5">
        <f>IFERROR(INDEX(生データ表[],MATCH(E580,生データ表['#],0),MATCH(C575,生データ表[#Headers],0)),"")</f>
        <v>40.220889430153399</v>
      </c>
      <c r="H580" s="236">
        <f>IFERROR(INDEX(スコア表[],MATCH(E580,スコア表['#],0),MATCH(C575,スコア表[#Headers],0)),"")</f>
        <v>47.6711704461</v>
      </c>
    </row>
    <row r="581" spans="2:8">
      <c r="E581" s="11">
        <v>26</v>
      </c>
      <c r="F581" s="13" t="str">
        <f>IFERROR(INDEX(都市マスタ[],MATCH(E581,都市マスタ['#],0),MATCH(F575,都市マスタ[#Headers],0)),"")</f>
        <v>ソウル</v>
      </c>
      <c r="G581" s="5">
        <f>IFERROR(INDEX(生データ表[],MATCH(E581,生データ表['#],0),MATCH(C575,生データ表[#Headers],0)),"")</f>
        <v>59.515753215364001</v>
      </c>
      <c r="H581" s="236">
        <f>IFERROR(INDEX(スコア表[],MATCH(E581,スコア表['#],0),MATCH(C575,スコア表[#Headers],0)),"")</f>
        <v>71.293055021599997</v>
      </c>
    </row>
    <row r="582" spans="2:8">
      <c r="E582" s="11">
        <v>22</v>
      </c>
      <c r="F582" s="13" t="str">
        <f>IFERROR(INDEX(都市マスタ[],MATCH(E582,都市マスタ['#],0),MATCH(F575,都市マスタ[#Headers],0)),"")</f>
        <v>香港</v>
      </c>
      <c r="G582" s="5">
        <f>IFERROR(INDEX(生データ表[],MATCH(E582,生データ表['#],0),MATCH(C575,生データ表[#Headers],0)),"")</f>
        <v>35.421262615376797</v>
      </c>
      <c r="H582" s="236">
        <f>IFERROR(INDEX(スコア表[],MATCH(E582,スコア表['#],0),MATCH(C575,スコア表[#Headers],0)),"")</f>
        <v>41.795190605800002</v>
      </c>
    </row>
    <row r="583" spans="2:8">
      <c r="E583" s="11">
        <v>23</v>
      </c>
      <c r="F583" s="13" t="str">
        <f>IFERROR(INDEX(都市マスタ[],MATCH(E583,都市マスタ['#],0),MATCH(F575,都市マスタ[#Headers],0)),"")</f>
        <v>北京</v>
      </c>
      <c r="G583" s="5">
        <f>IFERROR(INDEX(生データ表[],MATCH(E583,生データ表['#],0),MATCH(C575,生データ表[#Headers],0)),"")</f>
        <v>31.876526988448902</v>
      </c>
      <c r="H583" s="236">
        <f>IFERROR(INDEX(スコア表[],MATCH(E583,スコア表['#],0),MATCH(C575,スコア表[#Headers],0)),"")</f>
        <v>37.455520900800003</v>
      </c>
    </row>
    <row r="584" spans="2:8">
      <c r="B584" s="240" t="s">
        <v>2068</v>
      </c>
      <c r="E584" s="11">
        <v>24</v>
      </c>
      <c r="F584" s="13" t="str">
        <f>IFERROR(INDEX(都市マスタ[],MATCH(E584,都市マスタ['#],0),MATCH(F575,都市マスタ[#Headers],0)),"")</f>
        <v>上海</v>
      </c>
      <c r="G584" s="5">
        <f>IFERROR(INDEX(生データ表[],MATCH(E584,生データ表['#],0),MATCH(C575,生データ表[#Headers],0)),"")</f>
        <v>36.184031185139297</v>
      </c>
      <c r="H584" s="236">
        <f>IFERROR(INDEX(スコア表[],MATCH(E584,スコア表['#],0),MATCH(C575,スコア表[#Headers],0)),"")</f>
        <v>42.729015861699999</v>
      </c>
    </row>
    <row r="585" spans="2:8">
      <c r="B585" t="s">
        <v>2070</v>
      </c>
      <c r="E585" s="11"/>
      <c r="F585" s="13" t="str">
        <f>IFERROR(INDEX(都市マスタ[],MATCH(E585,都市マスタ['#],0),MATCH(F575,都市マスタ[#Headers],0)),"")</f>
        <v/>
      </c>
      <c r="G585" s="231" t="str">
        <f>IFERROR(INDEX(生データ表[],MATCH(E585,生データ表['#],0),MATCH(C575,生データ表[#Headers],0)),"")</f>
        <v/>
      </c>
      <c r="H585" s="236" t="str">
        <f>IFERROR(INDEX(スコア表[],MATCH(E585,スコア表['#],0),MATCH(C575,スコア表[#Headers],0)),"")</f>
        <v/>
      </c>
    </row>
    <row r="586" spans="2:8">
      <c r="B586" t="s">
        <v>2071</v>
      </c>
      <c r="E586" s="11"/>
      <c r="F586" s="13" t="str">
        <f>IFERROR(INDEX(都市マスタ[],MATCH(E586,都市マスタ['#],0),MATCH(F575,都市マスタ[#Headers],0)),"")</f>
        <v/>
      </c>
      <c r="G586" s="231" t="str">
        <f>IFERROR(INDEX(生データ表[],MATCH(E586,生データ表['#],0),MATCH(C575,生データ表[#Headers],0)),"")</f>
        <v/>
      </c>
      <c r="H586" s="236" t="str">
        <f>IFERROR(INDEX(スコア表[],MATCH(E586,スコア表['#],0),MATCH(C575,スコア表[#Headers],0)),"")</f>
        <v/>
      </c>
    </row>
    <row r="587" spans="2:8">
      <c r="B587" t="s">
        <v>2069</v>
      </c>
      <c r="E587" s="11"/>
      <c r="F587" s="13" t="str">
        <f>IFERROR(INDEX(都市マスタ[],MATCH(E587,都市マスタ['#],0),MATCH(F575,都市マスタ[#Headers],0)),"")</f>
        <v/>
      </c>
      <c r="G587" s="231" t="str">
        <f>IFERROR(INDEX(生データ表[],MATCH(E587,生データ表['#],0),MATCH(C575,生データ表[#Headers],0)),"")</f>
        <v/>
      </c>
      <c r="H587" s="236" t="str">
        <f>IFERROR(INDEX(スコア表[],MATCH(E587,スコア表['#],0),MATCH(C575,スコア表[#Headers],0)),"")</f>
        <v/>
      </c>
    </row>
    <row r="588" spans="2:8">
      <c r="E588" s="11"/>
      <c r="F588" s="13" t="str">
        <f>IFERROR(INDEX(都市マスタ[],MATCH(E588,都市マスタ['#],0),MATCH(F575,都市マスタ[#Headers],0)),"")</f>
        <v/>
      </c>
      <c r="G588" s="231" t="str">
        <f>IFERROR(INDEX(生データ表[],MATCH(E588,生データ表['#],0),MATCH(C575,生データ表[#Headers],0)),"")</f>
        <v/>
      </c>
      <c r="H588" s="236" t="str">
        <f>IFERROR(INDEX(スコア表[],MATCH(E588,スコア表['#],0),MATCH(C575,スコア表[#Headers],0)),"")</f>
        <v/>
      </c>
    </row>
    <row r="590" spans="2:8">
      <c r="B590" s="36" t="s">
        <v>208</v>
      </c>
      <c r="C590" s="37" t="s">
        <v>572</v>
      </c>
      <c r="E590" s="35" t="s">
        <v>208</v>
      </c>
      <c r="F590" s="36" t="str">
        <f>IF(JPEN!$C$2="EN",都市!$C$2,都市!$D$2)</f>
        <v>都市名</v>
      </c>
      <c r="G590" s="36" t="s">
        <v>644</v>
      </c>
      <c r="H590" s="36" t="s">
        <v>645</v>
      </c>
    </row>
    <row r="591" spans="2:8">
      <c r="B591" s="36" t="str">
        <f>IF(JPEN!$C$2="EN",指標!$I$2,指標!$H$2)</f>
        <v>指標</v>
      </c>
      <c r="C591" s="13" t="str">
        <f ca="1">INDEX(INDIRECT("指標マスタ["&amp;B591&amp;"]"),MATCH(C590,指標マスタ['#],0))</f>
        <v>外国人居住者数</v>
      </c>
      <c r="E591" s="11">
        <v>3</v>
      </c>
      <c r="F591" s="13" t="str">
        <f>IFERROR(INDEX(都市マスタ[],MATCH(E591,都市マスタ['#],0),MATCH(F590,都市マスタ[#Headers],0)),"")</f>
        <v>ロンドン</v>
      </c>
      <c r="G591" s="5">
        <f>IFERROR(INDEX(生データ表[],MATCH(E591,生データ表['#],0),MATCH(C590,生データ表[#Headers],0)),"")</f>
        <v>1944000</v>
      </c>
      <c r="H591" s="236">
        <f>IFERROR(INDEX(スコア表[],MATCH(E591,スコア表['#],0),MATCH(C590,スコア表[#Headers],0)),"")</f>
        <v>59.445033094700001</v>
      </c>
    </row>
    <row r="592" spans="2:8">
      <c r="B592" s="36" t="str">
        <f>IF(JPEN!$C$2="EN",指標!$L$2,指標!$K$2)</f>
        <v>単位</v>
      </c>
      <c r="C592" s="13" t="str">
        <f>INDEX(指標マスタ[],MATCH(C590,指標マスタ['#],0),MATCH(B592,指標マスタ[#Headers],0))</f>
        <v>人</v>
      </c>
      <c r="E592" s="11">
        <v>38</v>
      </c>
      <c r="F592" s="13" t="str">
        <f>IFERROR(INDEX(都市マスタ[],MATCH(E592,都市マスタ['#],0),MATCH(F590,都市マスタ[#Headers],0)),"")</f>
        <v>ニューヨーク</v>
      </c>
      <c r="G592" s="5">
        <f>IFERROR(INDEX(生データ表[],MATCH(E592,生データ表['#],0),MATCH(C590,生データ表[#Headers],0)),"")</f>
        <v>1257717</v>
      </c>
      <c r="H592" s="236">
        <f>IFERROR(INDEX(スコア表[],MATCH(E592,スコア表['#],0),MATCH(C590,スコア表[#Headers],0)),"")</f>
        <v>38.379992903500003</v>
      </c>
    </row>
    <row r="593" spans="2:8">
      <c r="B593" s="36" t="s">
        <v>646</v>
      </c>
      <c r="C593" s="13" t="str">
        <f>INDEX(生データ表2[],MATCH(B593,生データ表2[maxmin],0),MATCH(C590,生データ表2[#Headers],0))</f>
        <v>プラス</v>
      </c>
      <c r="E593" s="11">
        <v>29</v>
      </c>
      <c r="F593" s="13" t="str">
        <f>IFERROR(INDEX(都市マスタ[],MATCH(E593,都市マスタ['#],0),MATCH(F590,都市マスタ[#Headers],0)),"")</f>
        <v>東京</v>
      </c>
      <c r="G593" s="5">
        <f>IFERROR(INDEX(生データ表[],MATCH(E593,生データ表['#],0),MATCH(C590,生データ表[#Headers],0)),"")</f>
        <v>485444</v>
      </c>
      <c r="H593" s="236">
        <f>IFERROR(INDEX(スコア表[],MATCH(E593,スコア表['#],0),MATCH(C590,スコア表[#Headers],0)),"")</f>
        <v>14.6755418481</v>
      </c>
    </row>
    <row r="594" spans="2:8">
      <c r="E594" s="11">
        <v>4</v>
      </c>
      <c r="F594" s="13" t="str">
        <f>IFERROR(INDEX(都市マスタ[],MATCH(E594,都市マスタ['#],0),MATCH(F590,都市マスタ[#Headers],0)),"")</f>
        <v>パリ</v>
      </c>
      <c r="G594" s="5">
        <f>IFERROR(INDEX(生データ表[],MATCH(E594,生データ表['#],0),MATCH(C590,生データ表[#Headers],0)),"")</f>
        <v>309006</v>
      </c>
      <c r="H594" s="236">
        <f>IFERROR(INDEX(スコア表[],MATCH(E594,スコア表['#],0),MATCH(C590,スコア表[#Headers],0)),"")</f>
        <v>9.2598845153999996</v>
      </c>
    </row>
    <row r="595" spans="2:8">
      <c r="B595" s="240" t="s">
        <v>2067</v>
      </c>
      <c r="E595" s="11">
        <v>21</v>
      </c>
      <c r="F595" s="13" t="str">
        <f>IFERROR(INDEX(都市マスタ[],MATCH(E595,都市マスタ['#],0),MATCH(F590,都市マスタ[#Headers],0)),"")</f>
        <v>シンガポール</v>
      </c>
      <c r="G595" s="5">
        <f>IFERROR(INDEX(生データ表[],MATCH(E595,生データ表['#],0),MATCH(C590,生データ表[#Headers],0)),"")</f>
        <v>2083300</v>
      </c>
      <c r="H595" s="236">
        <f>IFERROR(INDEX(スコア表[],MATCH(E595,スコア表['#],0),MATCH(C590,スコア表[#Headers],0)),"")</f>
        <v>63.720762055800002</v>
      </c>
    </row>
    <row r="596" spans="2:8">
      <c r="E596" s="11">
        <v>26</v>
      </c>
      <c r="F596" s="13" t="str">
        <f>IFERROR(INDEX(都市マスタ[],MATCH(E596,都市マスタ['#],0),MATCH(F590,都市マスタ[#Headers],0)),"")</f>
        <v>ソウル</v>
      </c>
      <c r="G596" s="5">
        <f>IFERROR(INDEX(生データ表[],MATCH(E596,生データ表['#],0),MATCH(C590,生データ表[#Headers],0)),"")</f>
        <v>226569</v>
      </c>
      <c r="H596" s="236">
        <f>IFERROR(INDEX(スコア表[],MATCH(E596,スコア表['#],0),MATCH(C590,スコア表[#Headers],0)),"")</f>
        <v>6.7295308300999999</v>
      </c>
    </row>
    <row r="597" spans="2:8">
      <c r="E597" s="11">
        <v>22</v>
      </c>
      <c r="F597" s="13" t="str">
        <f>IFERROR(INDEX(都市マスタ[],MATCH(E597,都市マスタ['#],0),MATCH(F590,都市マスタ[#Headers],0)),"")</f>
        <v>香港</v>
      </c>
      <c r="G597" s="5">
        <f>IFERROR(INDEX(生データ表[],MATCH(E597,生データ表['#],0),MATCH(C590,生データ表[#Headers],0)),"")</f>
        <v>676218</v>
      </c>
      <c r="H597" s="236">
        <f>IFERROR(INDEX(スコア表[],MATCH(E597,スコア表['#],0),MATCH(C590,スコア表[#Headers],0)),"")</f>
        <v>20.5312340005</v>
      </c>
    </row>
    <row r="598" spans="2:8">
      <c r="E598" s="11">
        <v>23</v>
      </c>
      <c r="F598" s="13" t="str">
        <f>IFERROR(INDEX(都市マスタ[],MATCH(E598,都市マスタ['#],0),MATCH(F590,都市マスタ[#Headers],0)),"")</f>
        <v>北京</v>
      </c>
      <c r="G598" s="5">
        <f>IFERROR(INDEX(生データ表[],MATCH(E598,生データ表['#],0),MATCH(C590,生データ表[#Headers],0)),"")</f>
        <v>62812</v>
      </c>
      <c r="H598" s="236">
        <f>IFERROR(INDEX(スコア表[],MATCH(E598,スコア表['#],0),MATCH(C590,スコア表[#Headers],0)),"")</f>
        <v>1.7031090965</v>
      </c>
    </row>
    <row r="599" spans="2:8">
      <c r="B599" s="240" t="s">
        <v>2068</v>
      </c>
      <c r="E599" s="11">
        <v>24</v>
      </c>
      <c r="F599" s="13" t="str">
        <f>IFERROR(INDEX(都市マスタ[],MATCH(E599,都市マスタ['#],0),MATCH(F590,都市マスタ[#Headers],0)),"")</f>
        <v>上海</v>
      </c>
      <c r="G599" s="5">
        <f>IFERROR(INDEX(生データ表[],MATCH(E599,生データ表['#],0),MATCH(C590,生データ表[#Headers],0)),"")</f>
        <v>163954</v>
      </c>
      <c r="H599" s="236">
        <f>IFERROR(INDEX(スコア表[],MATCH(E599,スコア表['#],0),MATCH(C590,スコア表[#Headers],0)),"")</f>
        <v>4.8076014050999998</v>
      </c>
    </row>
    <row r="600" spans="2:8">
      <c r="B600" t="s">
        <v>2070</v>
      </c>
      <c r="E600" s="11"/>
      <c r="F600" s="13" t="str">
        <f>IFERROR(INDEX(都市マスタ[],MATCH(E600,都市マスタ['#],0),MATCH(F590,都市マスタ[#Headers],0)),"")</f>
        <v/>
      </c>
      <c r="G600" s="231" t="str">
        <f>IFERROR(INDEX(生データ表[],MATCH(E600,生データ表['#],0),MATCH(C590,生データ表[#Headers],0)),"")</f>
        <v/>
      </c>
      <c r="H600" s="236" t="str">
        <f>IFERROR(INDEX(スコア表[],MATCH(E600,スコア表['#],0),MATCH(C590,スコア表[#Headers],0)),"")</f>
        <v/>
      </c>
    </row>
    <row r="601" spans="2:8">
      <c r="B601" t="s">
        <v>2071</v>
      </c>
      <c r="E601" s="11"/>
      <c r="F601" s="13" t="str">
        <f>IFERROR(INDEX(都市マスタ[],MATCH(E601,都市マスタ['#],0),MATCH(F590,都市マスタ[#Headers],0)),"")</f>
        <v/>
      </c>
      <c r="G601" s="231" t="str">
        <f>IFERROR(INDEX(生データ表[],MATCH(E601,生データ表['#],0),MATCH(C590,生データ表[#Headers],0)),"")</f>
        <v/>
      </c>
      <c r="H601" s="236" t="str">
        <f>IFERROR(INDEX(スコア表[],MATCH(E601,スコア表['#],0),MATCH(C590,スコア表[#Headers],0)),"")</f>
        <v/>
      </c>
    </row>
    <row r="602" spans="2:8">
      <c r="B602" t="s">
        <v>2069</v>
      </c>
      <c r="E602" s="11"/>
      <c r="F602" s="13" t="str">
        <f>IFERROR(INDEX(都市マスタ[],MATCH(E602,都市マスタ['#],0),MATCH(F590,都市マスタ[#Headers],0)),"")</f>
        <v/>
      </c>
      <c r="G602" s="231" t="str">
        <f>IFERROR(INDEX(生データ表[],MATCH(E602,生データ表['#],0),MATCH(C590,生データ表[#Headers],0)),"")</f>
        <v/>
      </c>
      <c r="H602" s="236" t="str">
        <f>IFERROR(INDEX(スコア表[],MATCH(E602,スコア表['#],0),MATCH(C590,スコア表[#Headers],0)),"")</f>
        <v/>
      </c>
    </row>
    <row r="603" spans="2:8">
      <c r="E603" s="11"/>
      <c r="F603" s="13" t="str">
        <f>IFERROR(INDEX(都市マスタ[],MATCH(E603,都市マスタ['#],0),MATCH(F590,都市マスタ[#Headers],0)),"")</f>
        <v/>
      </c>
      <c r="G603" s="231" t="str">
        <f>IFERROR(INDEX(生データ表[],MATCH(E603,生データ表['#],0),MATCH(C590,生データ表[#Headers],0)),"")</f>
        <v/>
      </c>
      <c r="H603" s="236" t="str">
        <f>IFERROR(INDEX(スコア表[],MATCH(E603,スコア表['#],0),MATCH(C590,スコア表[#Headers],0)),"")</f>
        <v/>
      </c>
    </row>
    <row r="605" spans="2:8">
      <c r="B605" s="36" t="s">
        <v>208</v>
      </c>
      <c r="C605" s="37" t="s">
        <v>573</v>
      </c>
      <c r="E605" s="35" t="s">
        <v>208</v>
      </c>
      <c r="F605" s="36" t="str">
        <f>IF(JPEN!$C$2="EN",都市!$C$2,都市!$D$2)</f>
        <v>都市名</v>
      </c>
      <c r="G605" s="36" t="s">
        <v>644</v>
      </c>
      <c r="H605" s="36" t="s">
        <v>645</v>
      </c>
    </row>
    <row r="606" spans="2:8">
      <c r="B606" s="36" t="str">
        <f>IF(JPEN!$C$2="EN",指標!$I$2,指標!$H$2)</f>
        <v>指標</v>
      </c>
      <c r="C606" s="13" t="str">
        <f ca="1">INDEX(INDIRECT("指標マスタ["&amp;B606&amp;"]"),MATCH(C605,指標マスタ['#],0))</f>
        <v>外国人訪問者数</v>
      </c>
      <c r="E606" s="11">
        <v>3</v>
      </c>
      <c r="F606" s="13" t="str">
        <f>IFERROR(INDEX(都市マスタ[],MATCH(E606,都市マスタ['#],0),MATCH(F605,都市マスタ[#Headers],0)),"")</f>
        <v>ロンドン</v>
      </c>
      <c r="G606" s="5">
        <f>IFERROR(INDEX(生データ表[],MATCH(E606,生データ表['#],0),MATCH(C605,生データ表[#Headers],0)),"")</f>
        <v>16117938.625770301</v>
      </c>
      <c r="H606" s="236">
        <f>IFERROR(INDEX(スコア表[],MATCH(E606,スコア表['#],0),MATCH(C605,スコア表[#Headers],0)),"")</f>
        <v>100</v>
      </c>
    </row>
    <row r="607" spans="2:8">
      <c r="B607" s="36" t="str">
        <f>IF(JPEN!$C$2="EN",指標!$L$2,指標!$K$2)</f>
        <v>単位</v>
      </c>
      <c r="C607" s="13" t="str">
        <f>INDEX(指標マスタ[],MATCH(C605,指標マスタ['#],0),MATCH(B607,指標マスタ[#Headers],0))</f>
        <v>人</v>
      </c>
      <c r="E607" s="11">
        <v>38</v>
      </c>
      <c r="F607" s="13" t="str">
        <f>IFERROR(INDEX(都市マスタ[],MATCH(E607,都市マスタ['#],0),MATCH(F605,都市マスタ[#Headers],0)),"")</f>
        <v>ニューヨーク</v>
      </c>
      <c r="G607" s="5">
        <f>IFERROR(INDEX(生データ表[],MATCH(E607,生データ表['#],0),MATCH(C605,生データ表[#Headers],0)),"")</f>
        <v>3014765.5761299701</v>
      </c>
      <c r="H607" s="236">
        <f>IFERROR(INDEX(スコア表[],MATCH(E607,スコア表['#],0),MATCH(C605,スコア表[#Headers],0)),"")</f>
        <v>18.344922106599999</v>
      </c>
    </row>
    <row r="608" spans="2:8">
      <c r="B608" s="36" t="s">
        <v>646</v>
      </c>
      <c r="C608" s="13" t="str">
        <f>INDEX(生データ表2[],MATCH(B608,生データ表2[maxmin],0),MATCH(C605,生データ表2[#Headers],0))</f>
        <v>プラス</v>
      </c>
      <c r="E608" s="11">
        <v>29</v>
      </c>
      <c r="F608" s="13" t="str">
        <f>IFERROR(INDEX(都市マスタ[],MATCH(E608,都市マスタ['#],0),MATCH(F605,都市マスタ[#Headers],0)),"")</f>
        <v>東京</v>
      </c>
      <c r="G608" s="5">
        <f>IFERROR(INDEX(生データ表[],MATCH(E608,生データ表['#],0),MATCH(C605,生データ表[#Headers],0)),"")</f>
        <v>3244046.1816920899</v>
      </c>
      <c r="H608" s="236">
        <f>IFERROR(INDEX(スコア表[],MATCH(E608,スコア表['#],0),MATCH(C605,スコア表[#Headers],0)),"")</f>
        <v>19.773730658200002</v>
      </c>
    </row>
    <row r="609" spans="2:8">
      <c r="E609" s="11">
        <v>4</v>
      </c>
      <c r="F609" s="13" t="str">
        <f>IFERROR(INDEX(都市マスタ[],MATCH(E609,都市マスタ['#],0),MATCH(F605,都市マスタ[#Headers],0)),"")</f>
        <v>パリ</v>
      </c>
      <c r="G609" s="5">
        <f>IFERROR(INDEX(生データ表[],MATCH(E609,生データ表['#],0),MATCH(C605,生データ表[#Headers],0)),"")</f>
        <v>7333554.41354544</v>
      </c>
      <c r="H609" s="236">
        <f>IFERROR(INDEX(スコア表[],MATCH(E609,スコア表['#],0),MATCH(C605,スコア表[#Headers],0)),"")</f>
        <v>45.258329842899997</v>
      </c>
    </row>
    <row r="610" spans="2:8">
      <c r="B610" s="240" t="s">
        <v>2067</v>
      </c>
      <c r="E610" s="11">
        <v>21</v>
      </c>
      <c r="F610" s="13" t="str">
        <f>IFERROR(INDEX(都市マスタ[],MATCH(E610,都市マスタ['#],0),MATCH(F605,都市マスタ[#Headers],0)),"")</f>
        <v>シンガポール</v>
      </c>
      <c r="G610" s="5">
        <f>IFERROR(INDEX(生データ表[],MATCH(E610,生データ表['#],0),MATCH(C605,生データ表[#Headers],0)),"")</f>
        <v>6305744</v>
      </c>
      <c r="H610" s="236">
        <f>IFERROR(INDEX(スコア表[],MATCH(E610,スコア表['#],0),MATCH(C605,スコア表[#Headers],0)),"")</f>
        <v>38.853320990500002</v>
      </c>
    </row>
    <row r="611" spans="2:8">
      <c r="E611" s="11">
        <v>26</v>
      </c>
      <c r="F611" s="13" t="str">
        <f>IFERROR(INDEX(都市マスタ[],MATCH(E611,都市マスタ['#],0),MATCH(F605,都市マスタ[#Headers],0)),"")</f>
        <v>ソウル</v>
      </c>
      <c r="G611" s="5">
        <f>IFERROR(INDEX(生データ表[],MATCH(E611,生データ表['#],0),MATCH(C605,生データ表[#Headers],0)),"")</f>
        <v>2635166.0079999999</v>
      </c>
      <c r="H611" s="236">
        <f>IFERROR(INDEX(スコア表[],MATCH(E611,スコア表['#],0),MATCH(C605,スコア表[#Headers],0)),"")</f>
        <v>15.9793704813</v>
      </c>
    </row>
    <row r="612" spans="2:8">
      <c r="E612" s="11">
        <v>22</v>
      </c>
      <c r="F612" s="13" t="str">
        <f>IFERROR(INDEX(都市マスタ[],MATCH(E612,都市マスタ['#],0),MATCH(F605,都市マスタ[#Headers],0)),"")</f>
        <v>香港</v>
      </c>
      <c r="G612" s="5">
        <f>IFERROR(INDEX(生データ表[],MATCH(E612,生データ表['#],0),MATCH(C605,生データ表[#Headers],0)),"")</f>
        <v>196000</v>
      </c>
      <c r="H612" s="236">
        <f>IFERROR(INDEX(スコア表[],MATCH(E612,スコア表['#],0),MATCH(C605,スコア表[#Headers],0)),"")</f>
        <v>0.77921326570000005</v>
      </c>
    </row>
    <row r="613" spans="2:8">
      <c r="E613" s="11">
        <v>23</v>
      </c>
      <c r="F613" s="13" t="str">
        <f>IFERROR(INDEX(都市マスタ[],MATCH(E613,都市マスタ['#],0),MATCH(F605,都市マスタ[#Headers],0)),"")</f>
        <v>北京</v>
      </c>
      <c r="G613" s="5">
        <f>IFERROR(INDEX(生データ表[],MATCH(E613,生データ表['#],0),MATCH(C605,生データ表[#Headers],0)),"")</f>
        <v>189442</v>
      </c>
      <c r="H613" s="236">
        <f>IFERROR(INDEX(スコア表[],MATCH(E613,スコア表['#],0),MATCH(C605,スコア表[#Headers],0)),"")</f>
        <v>0.73834575989999995</v>
      </c>
    </row>
    <row r="614" spans="2:8">
      <c r="B614" s="240" t="s">
        <v>2068</v>
      </c>
      <c r="E614" s="11">
        <v>24</v>
      </c>
      <c r="F614" s="13" t="str">
        <f>IFERROR(INDEX(都市マスタ[],MATCH(E614,都市マスタ['#],0),MATCH(F605,都市マスタ[#Headers],0)),"")</f>
        <v>上海</v>
      </c>
      <c r="G614" s="5">
        <f>IFERROR(INDEX(生データ表[],MATCH(E614,生データ表['#],0),MATCH(C605,生データ表[#Headers],0)),"")</f>
        <v>929294.740398583</v>
      </c>
      <c r="H614" s="236">
        <f>IFERROR(INDEX(スコア表[],MATCH(E614,スコア表['#],0),MATCH(C605,スコア表[#Headers],0)),"")</f>
        <v>5.3488880245999999</v>
      </c>
    </row>
    <row r="615" spans="2:8">
      <c r="B615" t="s">
        <v>2070</v>
      </c>
      <c r="E615" s="11"/>
      <c r="F615" s="13" t="str">
        <f>IFERROR(INDEX(都市マスタ[],MATCH(E615,都市マスタ['#],0),MATCH(F605,都市マスタ[#Headers],0)),"")</f>
        <v/>
      </c>
      <c r="G615" s="231" t="str">
        <f>IFERROR(INDEX(生データ表[],MATCH(E615,生データ表['#],0),MATCH(C605,生データ表[#Headers],0)),"")</f>
        <v/>
      </c>
      <c r="H615" s="236" t="str">
        <f>IFERROR(INDEX(スコア表[],MATCH(E615,スコア表['#],0),MATCH(C605,スコア表[#Headers],0)),"")</f>
        <v/>
      </c>
    </row>
    <row r="616" spans="2:8">
      <c r="B616" t="s">
        <v>2071</v>
      </c>
      <c r="E616" s="11"/>
      <c r="F616" s="13" t="str">
        <f>IFERROR(INDEX(都市マスタ[],MATCH(E616,都市マスタ['#],0),MATCH(F605,都市マスタ[#Headers],0)),"")</f>
        <v/>
      </c>
      <c r="G616" s="231" t="str">
        <f>IFERROR(INDEX(生データ表[],MATCH(E616,生データ表['#],0),MATCH(C605,生データ表[#Headers],0)),"")</f>
        <v/>
      </c>
      <c r="H616" s="236" t="str">
        <f>IFERROR(INDEX(スコア表[],MATCH(E616,スコア表['#],0),MATCH(C605,スコア表[#Headers],0)),"")</f>
        <v/>
      </c>
    </row>
    <row r="617" spans="2:8">
      <c r="B617" t="s">
        <v>2069</v>
      </c>
      <c r="E617" s="11"/>
      <c r="F617" s="13" t="str">
        <f>IFERROR(INDEX(都市マスタ[],MATCH(E617,都市マスタ['#],0),MATCH(F605,都市マスタ[#Headers],0)),"")</f>
        <v/>
      </c>
      <c r="G617" s="231" t="str">
        <f>IFERROR(INDEX(生データ表[],MATCH(E617,生データ表['#],0),MATCH(C605,生データ表[#Headers],0)),"")</f>
        <v/>
      </c>
      <c r="H617" s="236" t="str">
        <f>IFERROR(INDEX(スコア表[],MATCH(E617,スコア表['#],0),MATCH(C605,スコア表[#Headers],0)),"")</f>
        <v/>
      </c>
    </row>
    <row r="618" spans="2:8">
      <c r="E618" s="11"/>
      <c r="F618" s="13" t="str">
        <f>IFERROR(INDEX(都市マスタ[],MATCH(E618,都市マスタ['#],0),MATCH(F605,都市マスタ[#Headers],0)),"")</f>
        <v/>
      </c>
      <c r="G618" s="231" t="str">
        <f>IFERROR(INDEX(生データ表[],MATCH(E618,生データ表['#],0),MATCH(C605,生データ表[#Headers],0)),"")</f>
        <v/>
      </c>
      <c r="H618" s="236" t="str">
        <f>IFERROR(INDEX(スコア表[],MATCH(E618,スコア表['#],0),MATCH(C605,スコア表[#Headers],0)),"")</f>
        <v/>
      </c>
    </row>
    <row r="620" spans="2:8">
      <c r="B620" s="36" t="s">
        <v>208</v>
      </c>
      <c r="C620" s="37" t="s">
        <v>574</v>
      </c>
      <c r="E620" s="35" t="s">
        <v>208</v>
      </c>
      <c r="F620" s="36" t="str">
        <f>IF(JPEN!$C$2="EN",都市!$C$2,都市!$D$2)</f>
        <v>都市名</v>
      </c>
      <c r="G620" s="36" t="s">
        <v>644</v>
      </c>
      <c r="H620" s="36" t="s">
        <v>645</v>
      </c>
    </row>
    <row r="621" spans="2:8">
      <c r="B621" s="36" t="str">
        <f>IF(JPEN!$C$2="EN",指標!$I$2,指標!$H$2)</f>
        <v>指標</v>
      </c>
      <c r="C621" s="13" t="str">
        <f ca="1">INDEX(INDIRECT("指標マスタ["&amp;B621&amp;"]"),MATCH(C620,指標マスタ['#],0))</f>
        <v>完全失業率の低さ</v>
      </c>
      <c r="E621" s="11">
        <v>3</v>
      </c>
      <c r="F621" s="13" t="str">
        <f>IFERROR(INDEX(都市マスタ[],MATCH(E621,都市マスタ['#],0),MATCH(F620,都市マスタ[#Headers],0)),"")</f>
        <v>ロンドン</v>
      </c>
      <c r="G621" s="9">
        <f>IFERROR(INDEX(生データ表[],MATCH(E621,生データ表['#],0),MATCH(C620,生データ表[#Headers],0)),"")</f>
        <v>4.5117101556253897E-2</v>
      </c>
      <c r="H621" s="236">
        <f>IFERROR(INDEX(スコア表[],MATCH(E621,スコア表['#],0),MATCH(C620,スコア表[#Headers],0)),"")</f>
        <v>88.238216117600004</v>
      </c>
    </row>
    <row r="622" spans="2:8">
      <c r="B622" s="36" t="str">
        <f>IF(JPEN!$C$2="EN",指標!$L$2,指標!$K$2)</f>
        <v>単位</v>
      </c>
      <c r="C622" s="13" t="str">
        <f>INDEX(指標マスタ[],MATCH(C620,指標マスタ['#],0),MATCH(B622,指標マスタ[#Headers],0))</f>
        <v>%</v>
      </c>
      <c r="E622" s="11">
        <v>38</v>
      </c>
      <c r="F622" s="13" t="str">
        <f>IFERROR(INDEX(都市マスタ[],MATCH(E622,都市マスタ['#],0),MATCH(F620,都市マスタ[#Headers],0)),"")</f>
        <v>ニューヨーク</v>
      </c>
      <c r="G622" s="9">
        <f>IFERROR(INDEX(生データ表[],MATCH(E622,生データ表['#],0),MATCH(C620,生データ表[#Headers],0)),"")</f>
        <v>5.7000000000000002E-2</v>
      </c>
      <c r="H622" s="236">
        <f>IFERROR(INDEX(スコア表[],MATCH(E622,スコア表['#],0),MATCH(C620,スコア表[#Headers],0)),"")</f>
        <v>84.790990269900007</v>
      </c>
    </row>
    <row r="623" spans="2:8">
      <c r="B623" s="36" t="s">
        <v>646</v>
      </c>
      <c r="C623" s="13" t="str">
        <f>INDEX(生データ表2[],MATCH(B623,生データ表2[maxmin],0),MATCH(C620,生データ表2[#Headers],0))</f>
        <v>マイナス</v>
      </c>
      <c r="E623" s="11">
        <v>29</v>
      </c>
      <c r="F623" s="13" t="str">
        <f>IFERROR(INDEX(都市マスタ[],MATCH(E623,都市マスタ['#],0),MATCH(F620,都市マスタ[#Headers],0)),"")</f>
        <v>東京</v>
      </c>
      <c r="G623" s="9">
        <f>IFERROR(INDEX(生データ表[],MATCH(E623,生データ表['#],0),MATCH(C620,生データ表[#Headers],0)),"")</f>
        <v>2.5999999999999999E-2</v>
      </c>
      <c r="H623" s="236">
        <f>IFERROR(INDEX(スコア表[],MATCH(E623,スコア表['#],0),MATCH(C620,スコア表[#Headers],0)),"")</f>
        <v>93.784082467399998</v>
      </c>
    </row>
    <row r="624" spans="2:8">
      <c r="E624" s="11">
        <v>4</v>
      </c>
      <c r="F624" s="13" t="str">
        <f>IFERROR(INDEX(都市マスタ[],MATCH(E624,都市マスタ['#],0),MATCH(F620,都市マスタ[#Headers],0)),"")</f>
        <v>パリ</v>
      </c>
      <c r="G624" s="9">
        <f>IFERROR(INDEX(生データ表[],MATCH(E624,生データ表['#],0),MATCH(C620,生データ表[#Headers],0)),"")</f>
        <v>5.7490410958904101E-2</v>
      </c>
      <c r="H624" s="236">
        <f>IFERROR(INDEX(スコア表[],MATCH(E624,スコア表['#],0),MATCH(C620,スコア表[#Headers],0)),"")</f>
        <v>84.648722174200003</v>
      </c>
    </row>
    <row r="625" spans="2:8">
      <c r="B625" s="240" t="s">
        <v>2067</v>
      </c>
      <c r="E625" s="11">
        <v>21</v>
      </c>
      <c r="F625" s="13" t="str">
        <f>IFERROR(INDEX(都市マスタ[],MATCH(E625,都市マスタ['#],0),MATCH(F620,都市マスタ[#Headers],0)),"")</f>
        <v>シンガポール</v>
      </c>
      <c r="G625" s="9">
        <f>IFERROR(INDEX(生データ表[],MATCH(E625,生データ表['#],0),MATCH(C620,生データ表[#Headers],0)),"")</f>
        <v>2.1000000000000001E-2</v>
      </c>
      <c r="H625" s="236">
        <f>IFERROR(INDEX(スコア表[],MATCH(E625,スコア表['#],0),MATCH(C620,スコア表[#Headers],0)),"")</f>
        <v>95.234581208899996</v>
      </c>
    </row>
    <row r="626" spans="2:8">
      <c r="E626" s="11">
        <v>26</v>
      </c>
      <c r="F626" s="13" t="str">
        <f>IFERROR(INDEX(都市マスタ[],MATCH(E626,都市マスタ['#],0),MATCH(F620,都市マスタ[#Headers],0)),"")</f>
        <v>ソウル</v>
      </c>
      <c r="G626" s="9">
        <f>IFERROR(INDEX(生データ表[],MATCH(E626,生データ表['#],0),MATCH(C620,生データ表[#Headers],0)),"")</f>
        <v>3.4000000000000002E-2</v>
      </c>
      <c r="H626" s="236">
        <f>IFERROR(INDEX(スコア表[],MATCH(E626,スコア表['#],0),MATCH(C620,スコア表[#Headers],0)),"")</f>
        <v>91.463284481000002</v>
      </c>
    </row>
    <row r="627" spans="2:8">
      <c r="E627" s="11">
        <v>22</v>
      </c>
      <c r="F627" s="13" t="str">
        <f>IFERROR(INDEX(都市マスタ[],MATCH(E627,都市マスタ['#],0),MATCH(F620,都市マスタ[#Headers],0)),"")</f>
        <v>香港</v>
      </c>
      <c r="G627" s="9">
        <f>IFERROR(INDEX(生データ表[],MATCH(E627,生データ表['#],0),MATCH(C620,生データ表[#Headers],0)),"")</f>
        <v>4.2999999999999997E-2</v>
      </c>
      <c r="H627" s="236">
        <f>IFERROR(INDEX(スコア表[],MATCH(E627,スコア表['#],0),MATCH(C620,スコア表[#Headers],0)),"")</f>
        <v>88.852386746199997</v>
      </c>
    </row>
    <row r="628" spans="2:8">
      <c r="E628" s="11">
        <v>23</v>
      </c>
      <c r="F628" s="13" t="str">
        <f>IFERROR(INDEX(都市マスタ[],MATCH(E628,都市マスタ['#],0),MATCH(F620,都市マスタ[#Headers],0)),"")</f>
        <v>北京</v>
      </c>
      <c r="G628" s="9">
        <f>IFERROR(INDEX(生データ表[],MATCH(E628,生データ表['#],0),MATCH(C620,生データ表[#Headers],0)),"")</f>
        <v>3.2300000000000002E-2</v>
      </c>
      <c r="H628" s="236">
        <f>IFERROR(INDEX(スコア表[],MATCH(E628,スコア表['#],0),MATCH(C620,スコア表[#Headers],0)),"")</f>
        <v>91.956454053100003</v>
      </c>
    </row>
    <row r="629" spans="2:8">
      <c r="B629" s="240" t="s">
        <v>2068</v>
      </c>
      <c r="E629" s="11">
        <v>24</v>
      </c>
      <c r="F629" s="13" t="str">
        <f>IFERROR(INDEX(都市マスタ[],MATCH(E629,都市マスタ['#],0),MATCH(F620,都市マスタ[#Headers],0)),"")</f>
        <v>上海</v>
      </c>
      <c r="G629" s="9">
        <f>IFERROR(INDEX(生データ表[],MATCH(E629,生データ表['#],0),MATCH(C620,生データ表[#Headers],0)),"")</f>
        <v>2.7E-2</v>
      </c>
      <c r="H629" s="236">
        <f>IFERROR(INDEX(スコア表[],MATCH(E629,スコア表['#],0),MATCH(C620,スコア表[#Headers],0)),"")</f>
        <v>93.493982719100003</v>
      </c>
    </row>
    <row r="630" spans="2:8">
      <c r="B630" t="s">
        <v>2070</v>
      </c>
      <c r="E630" s="11"/>
      <c r="F630" s="13" t="str">
        <f>IFERROR(INDEX(都市マスタ[],MATCH(E630,都市マスタ['#],0),MATCH(F620,都市マスタ[#Headers],0)),"")</f>
        <v/>
      </c>
      <c r="G630" s="231" t="str">
        <f>IFERROR(INDEX(生データ表[],MATCH(E630,生データ表['#],0),MATCH(C620,生データ表[#Headers],0)),"")</f>
        <v/>
      </c>
      <c r="H630" s="236" t="str">
        <f>IFERROR(INDEX(スコア表[],MATCH(E630,スコア表['#],0),MATCH(C620,スコア表[#Headers],0)),"")</f>
        <v/>
      </c>
    </row>
    <row r="631" spans="2:8">
      <c r="B631" t="s">
        <v>2071</v>
      </c>
      <c r="E631" s="11"/>
      <c r="F631" s="13" t="str">
        <f>IFERROR(INDEX(都市マスタ[],MATCH(E631,都市マスタ['#],0),MATCH(F620,都市マスタ[#Headers],0)),"")</f>
        <v/>
      </c>
      <c r="G631" s="231" t="str">
        <f>IFERROR(INDEX(生データ表[],MATCH(E631,生データ表['#],0),MATCH(C620,生データ表[#Headers],0)),"")</f>
        <v/>
      </c>
      <c r="H631" s="236" t="str">
        <f>IFERROR(INDEX(スコア表[],MATCH(E631,スコア表['#],0),MATCH(C620,スコア表[#Headers],0)),"")</f>
        <v/>
      </c>
    </row>
    <row r="632" spans="2:8">
      <c r="B632" t="s">
        <v>2069</v>
      </c>
      <c r="E632" s="11"/>
      <c r="F632" s="13" t="str">
        <f>IFERROR(INDEX(都市マスタ[],MATCH(E632,都市マスタ['#],0),MATCH(F620,都市マスタ[#Headers],0)),"")</f>
        <v/>
      </c>
      <c r="G632" s="231" t="str">
        <f>IFERROR(INDEX(生データ表[],MATCH(E632,生データ表['#],0),MATCH(C620,生データ表[#Headers],0)),"")</f>
        <v/>
      </c>
      <c r="H632" s="236" t="str">
        <f>IFERROR(INDEX(スコア表[],MATCH(E632,スコア表['#],0),MATCH(C620,スコア表[#Headers],0)),"")</f>
        <v/>
      </c>
    </row>
    <row r="633" spans="2:8">
      <c r="E633" s="11"/>
      <c r="F633" s="13" t="str">
        <f>IFERROR(INDEX(都市マスタ[],MATCH(E633,都市マスタ['#],0),MATCH(F620,都市マスタ[#Headers],0)),"")</f>
        <v/>
      </c>
      <c r="G633" s="231" t="str">
        <f>IFERROR(INDEX(生データ表[],MATCH(E633,生データ表['#],0),MATCH(C620,生データ表[#Headers],0)),"")</f>
        <v/>
      </c>
      <c r="H633" s="236" t="str">
        <f>IFERROR(INDEX(スコア表[],MATCH(E633,スコア表['#],0),MATCH(C620,スコア表[#Headers],0)),"")</f>
        <v/>
      </c>
    </row>
    <row r="635" spans="2:8">
      <c r="B635" s="36" t="s">
        <v>208</v>
      </c>
      <c r="C635" s="37" t="s">
        <v>575</v>
      </c>
      <c r="E635" s="35" t="s">
        <v>208</v>
      </c>
      <c r="F635" s="36" t="str">
        <f>IF(JPEN!$C$2="EN",都市!$C$2,都市!$D$2)</f>
        <v>都市名</v>
      </c>
      <c r="G635" s="36" t="s">
        <v>644</v>
      </c>
      <c r="H635" s="36" t="s">
        <v>645</v>
      </c>
    </row>
    <row r="636" spans="2:8">
      <c r="B636" s="36" t="str">
        <f>IF(JPEN!$C$2="EN",指標!$I$2,指標!$H$2)</f>
        <v>指標</v>
      </c>
      <c r="C636" s="13" t="str">
        <f ca="1">INDEX(INDIRECT("指標マスタ["&amp;B636&amp;"]"),MATCH(C635,指標マスタ['#],0))</f>
        <v>1人あたりの総労働時間の短さ</v>
      </c>
      <c r="E636" s="11">
        <v>3</v>
      </c>
      <c r="F636" s="13" t="str">
        <f>IFERROR(INDEX(都市マスタ[],MATCH(E636,都市マスタ['#],0),MATCH(F635,都市マスタ[#Headers],0)),"")</f>
        <v>ロンドン</v>
      </c>
      <c r="G636" s="5">
        <f>IFERROR(INDEX(生データ表[],MATCH(E636,生データ表['#],0),MATCH(C635,生データ表[#Headers],0)),"")</f>
        <v>1998.5959552147201</v>
      </c>
      <c r="H636" s="236">
        <f>IFERROR(INDEX(スコア表[],MATCH(E636,スコア表['#],0),MATCH(C635,スコア表[#Headers],0)),"")</f>
        <v>67.635031008799999</v>
      </c>
    </row>
    <row r="637" spans="2:8">
      <c r="B637" s="36" t="str">
        <f>IF(JPEN!$C$2="EN",指標!$L$2,指標!$K$2)</f>
        <v>単位</v>
      </c>
      <c r="C637" s="13" t="str">
        <f>INDEX(指標マスタ[],MATCH(C635,指標マスタ['#],0),MATCH(B637,指標マスタ[#Headers],0))</f>
        <v>時間/年</v>
      </c>
      <c r="E637" s="11">
        <v>38</v>
      </c>
      <c r="F637" s="13" t="str">
        <f>IFERROR(INDEX(都市マスタ[],MATCH(E637,都市マスタ['#],0),MATCH(F635,都市マスタ[#Headers],0)),"")</f>
        <v>ニューヨーク</v>
      </c>
      <c r="G637" s="5">
        <f>IFERROR(INDEX(生データ表[],MATCH(E637,生データ表['#],0),MATCH(C635,生データ表[#Headers],0)),"")</f>
        <v>2067.0377837143001</v>
      </c>
      <c r="H637" s="236">
        <f>IFERROR(INDEX(スコア表[],MATCH(E637,スコア表['#],0),MATCH(C635,スコア表[#Headers],0)),"")</f>
        <v>61.4850761179</v>
      </c>
    </row>
    <row r="638" spans="2:8">
      <c r="B638" s="36" t="s">
        <v>646</v>
      </c>
      <c r="C638" s="13" t="str">
        <f>INDEX(生データ表2[],MATCH(B638,生データ表2[maxmin],0),MATCH(C635,生データ表2[#Headers],0))</f>
        <v>マイナス</v>
      </c>
      <c r="E638" s="11">
        <v>29</v>
      </c>
      <c r="F638" s="13" t="str">
        <f>IFERROR(INDEX(都市マスタ[],MATCH(E638,都市マスタ['#],0),MATCH(F635,都市マスタ[#Headers],0)),"")</f>
        <v>東京</v>
      </c>
      <c r="G638" s="5">
        <f>IFERROR(INDEX(生データ表[],MATCH(E638,生データ表['#],0),MATCH(C635,生データ表[#Headers],0)),"")</f>
        <v>1970.80495513815</v>
      </c>
      <c r="H638" s="236">
        <f>IFERROR(INDEX(スコア表[],MATCH(E638,スコア表['#],0),MATCH(C635,スコア表[#Headers],0)),"")</f>
        <v>70.132237769499994</v>
      </c>
    </row>
    <row r="639" spans="2:8">
      <c r="E639" s="11">
        <v>4</v>
      </c>
      <c r="F639" s="13" t="str">
        <f>IFERROR(INDEX(都市マスタ[],MATCH(E639,都市マスタ['#],0),MATCH(F635,都市マスタ[#Headers],0)),"")</f>
        <v>パリ</v>
      </c>
      <c r="G639" s="5">
        <f>IFERROR(INDEX(生データ表[],MATCH(E639,生データ表['#],0),MATCH(C635,生データ表[#Headers],0)),"")</f>
        <v>1716.6064742548399</v>
      </c>
      <c r="H639" s="236">
        <f>IFERROR(INDEX(スコア表[],MATCH(E639,スコア表['#],0),MATCH(C635,スコア表[#Headers],0)),"")</f>
        <v>92.973667127200002</v>
      </c>
    </row>
    <row r="640" spans="2:8">
      <c r="B640" s="240" t="s">
        <v>2067</v>
      </c>
      <c r="E640" s="11">
        <v>21</v>
      </c>
      <c r="F640" s="13" t="str">
        <f>IFERROR(INDEX(都市マスタ[],MATCH(E640,都市マスタ['#],0),MATCH(F635,都市マスタ[#Headers],0)),"")</f>
        <v>シンガポール</v>
      </c>
      <c r="G640" s="5">
        <f>IFERROR(INDEX(生データ表[],MATCH(E640,生データ表['#],0),MATCH(C635,生データ表[#Headers],0)),"")</f>
        <v>2242.4932735426</v>
      </c>
      <c r="H640" s="236">
        <f>IFERROR(INDEX(スコア表[],MATCH(E640,スコア表['#],0),MATCH(C635,スコア表[#Headers],0)),"")</f>
        <v>45.719229829600003</v>
      </c>
    </row>
    <row r="641" spans="2:8">
      <c r="E641" s="11">
        <v>26</v>
      </c>
      <c r="F641" s="13" t="str">
        <f>IFERROR(INDEX(都市マスタ[],MATCH(E641,都市マスタ['#],0),MATCH(F635,都市マスタ[#Headers],0)),"")</f>
        <v>ソウル</v>
      </c>
      <c r="G641" s="5">
        <f>IFERROR(INDEX(生データ表[],MATCH(E641,生データ表['#],0),MATCH(C635,生データ表[#Headers],0)),"")</f>
        <v>2264.7970470093701</v>
      </c>
      <c r="H641" s="236">
        <f>IFERROR(INDEX(スコア表[],MATCH(E641,スコア表['#],0),MATCH(C635,スコア表[#Headers],0)),"")</f>
        <v>43.715086986999999</v>
      </c>
    </row>
    <row r="642" spans="2:8">
      <c r="E642" s="11">
        <v>22</v>
      </c>
      <c r="F642" s="13" t="str">
        <f>IFERROR(INDEX(都市マスタ[],MATCH(E642,都市マスタ['#],0),MATCH(F635,都市マスタ[#Headers],0)),"")</f>
        <v>香港</v>
      </c>
      <c r="G642" s="5">
        <f>IFERROR(INDEX(生データ表[],MATCH(E642,生データ表['#],0),MATCH(C635,生データ表[#Headers],0)),"")</f>
        <v>2006.44923710086</v>
      </c>
      <c r="H642" s="236">
        <f>IFERROR(INDEX(スコア表[],MATCH(E642,スコア表['#],0),MATCH(C635,スコア表[#Headers],0)),"")</f>
        <v>66.929361239299993</v>
      </c>
    </row>
    <row r="643" spans="2:8">
      <c r="E643" s="11">
        <v>23</v>
      </c>
      <c r="F643" s="13" t="str">
        <f>IFERROR(INDEX(都市マスタ[],MATCH(E643,都市マスタ['#],0),MATCH(F635,都市マスタ[#Headers],0)),"")</f>
        <v>北京</v>
      </c>
      <c r="G643" s="5">
        <f>IFERROR(INDEX(生データ表[],MATCH(E643,生データ表['#],0),MATCH(C635,生データ表[#Headers],0)),"")</f>
        <v>2054.19151064075</v>
      </c>
      <c r="H643" s="236">
        <f>IFERROR(INDEX(スコア表[],MATCH(E643,スコア表['#],0),MATCH(C635,スコア表[#Headers],0)),"")</f>
        <v>62.639399455700001</v>
      </c>
    </row>
    <row r="644" spans="2:8">
      <c r="B644" s="240" t="s">
        <v>2068</v>
      </c>
      <c r="E644" s="11">
        <v>24</v>
      </c>
      <c r="F644" s="13" t="str">
        <f>IFERROR(INDEX(都市マスタ[],MATCH(E644,都市マスタ['#],0),MATCH(F635,都市マスタ[#Headers],0)),"")</f>
        <v>上海</v>
      </c>
      <c r="G644" s="5">
        <f>IFERROR(INDEX(生データ表[],MATCH(E644,生データ表['#],0),MATCH(C635,生データ表[#Headers],0)),"")</f>
        <v>1946.9234338428</v>
      </c>
      <c r="H644" s="236">
        <f>IFERROR(INDEX(スコア表[],MATCH(E644,スコア表['#],0),MATCH(C635,スコア表[#Headers],0)),"")</f>
        <v>72.278151780200005</v>
      </c>
    </row>
    <row r="645" spans="2:8">
      <c r="B645" t="s">
        <v>2070</v>
      </c>
      <c r="E645" s="11"/>
      <c r="F645" s="13" t="str">
        <f>IFERROR(INDEX(都市マスタ[],MATCH(E645,都市マスタ['#],0),MATCH(F635,都市マスタ[#Headers],0)),"")</f>
        <v/>
      </c>
      <c r="G645" s="231" t="str">
        <f>IFERROR(INDEX(生データ表[],MATCH(E645,生データ表['#],0),MATCH(C635,生データ表[#Headers],0)),"")</f>
        <v/>
      </c>
      <c r="H645" s="236" t="str">
        <f>IFERROR(INDEX(スコア表[],MATCH(E645,スコア表['#],0),MATCH(C635,スコア表[#Headers],0)),"")</f>
        <v/>
      </c>
    </row>
    <row r="646" spans="2:8">
      <c r="B646" t="s">
        <v>2071</v>
      </c>
      <c r="E646" s="11"/>
      <c r="F646" s="13" t="str">
        <f>IFERROR(INDEX(都市マスタ[],MATCH(E646,都市マスタ['#],0),MATCH(F635,都市マスタ[#Headers],0)),"")</f>
        <v/>
      </c>
      <c r="G646" s="231" t="str">
        <f>IFERROR(INDEX(生データ表[],MATCH(E646,生データ表['#],0),MATCH(C635,生データ表[#Headers],0)),"")</f>
        <v/>
      </c>
      <c r="H646" s="236" t="str">
        <f>IFERROR(INDEX(スコア表[],MATCH(E646,スコア表['#],0),MATCH(C635,スコア表[#Headers],0)),"")</f>
        <v/>
      </c>
    </row>
    <row r="647" spans="2:8">
      <c r="B647" t="s">
        <v>2069</v>
      </c>
      <c r="E647" s="11"/>
      <c r="F647" s="13" t="str">
        <f>IFERROR(INDEX(都市マスタ[],MATCH(E647,都市マスタ['#],0),MATCH(F635,都市マスタ[#Headers],0)),"")</f>
        <v/>
      </c>
      <c r="G647" s="231" t="str">
        <f>IFERROR(INDEX(生データ表[],MATCH(E647,生データ表['#],0),MATCH(C635,生データ表[#Headers],0)),"")</f>
        <v/>
      </c>
      <c r="H647" s="236" t="str">
        <f>IFERROR(INDEX(スコア表[],MATCH(E647,スコア表['#],0),MATCH(C635,スコア表[#Headers],0)),"")</f>
        <v/>
      </c>
    </row>
    <row r="648" spans="2:8">
      <c r="E648" s="11"/>
      <c r="F648" s="13" t="str">
        <f>IFERROR(INDEX(都市マスタ[],MATCH(E648,都市マスタ['#],0),MATCH(F635,都市マスタ[#Headers],0)),"")</f>
        <v/>
      </c>
      <c r="G648" s="231" t="str">
        <f>IFERROR(INDEX(生データ表[],MATCH(E648,生データ表['#],0),MATCH(C635,生データ表[#Headers],0)),"")</f>
        <v/>
      </c>
      <c r="H648" s="236" t="str">
        <f>IFERROR(INDEX(スコア表[],MATCH(E648,スコア表['#],0),MATCH(C635,スコア表[#Headers],0)),"")</f>
        <v/>
      </c>
    </row>
    <row r="650" spans="2:8">
      <c r="B650" s="36" t="s">
        <v>208</v>
      </c>
      <c r="C650" s="37" t="s">
        <v>576</v>
      </c>
      <c r="E650" s="35" t="s">
        <v>208</v>
      </c>
      <c r="F650" s="36" t="str">
        <f>IF(JPEN!$C$2="EN",都市!$C$2,都市!$D$2)</f>
        <v>都市名</v>
      </c>
      <c r="G650" s="36" t="s">
        <v>644</v>
      </c>
      <c r="H650" s="36" t="s">
        <v>645</v>
      </c>
    </row>
    <row r="651" spans="2:8">
      <c r="B651" s="36" t="str">
        <f>IF(JPEN!$C$2="EN",指標!$I$2,指標!$H$2)</f>
        <v>指標</v>
      </c>
      <c r="C651" s="13" t="str">
        <f ca="1">INDEX(INDIRECT("指標マスタ["&amp;B651&amp;"]"),MATCH(C650,指標マスタ['#],0))</f>
        <v>働き方の柔軟性</v>
      </c>
      <c r="E651" s="11">
        <v>3</v>
      </c>
      <c r="F651" s="13" t="str">
        <f>IFERROR(INDEX(都市マスタ[],MATCH(E651,都市マスタ['#],0),MATCH(F650,都市マスタ[#Headers],0)),"")</f>
        <v>ロンドン</v>
      </c>
      <c r="G651" s="236">
        <f>IFERROR(INDEX(生データ表[],MATCH(E651,生データ表['#],0),MATCH(C650,生データ表[#Headers],0)),"")</f>
        <v>0.53529411764705803</v>
      </c>
      <c r="H651" s="236">
        <f>IFERROR(INDEX(スコア表[],MATCH(E651,スコア表['#],0),MATCH(C650,スコア表[#Headers],0)),"")</f>
        <v>68.837052062200002</v>
      </c>
    </row>
    <row r="652" spans="2:8">
      <c r="B652" s="36" t="str">
        <f>IF(JPEN!$C$2="EN",指標!$L$2,指標!$K$2)</f>
        <v>単位</v>
      </c>
      <c r="C652" s="13" t="str">
        <f>INDEX(指標マスタ[],MATCH(C650,指標マスタ['#],0),MATCH(B652,指標マスタ[#Headers],0))</f>
        <v>pt</v>
      </c>
      <c r="E652" s="11">
        <v>38</v>
      </c>
      <c r="F652" s="13" t="str">
        <f>IFERROR(INDEX(都市マスタ[],MATCH(E652,都市マスタ['#],0),MATCH(F650,都市マスタ[#Headers],0)),"")</f>
        <v>ニューヨーク</v>
      </c>
      <c r="G652" s="236">
        <f>IFERROR(INDEX(生データ表[],MATCH(E652,生データ表['#],0),MATCH(C650,生データ表[#Headers],0)),"")</f>
        <v>0.78709677419354795</v>
      </c>
      <c r="H652" s="236">
        <f>IFERROR(INDEX(スコア表[],MATCH(E652,スコア表['#],0),MATCH(C650,スコア表[#Headers],0)),"")</f>
        <v>96.622172784599996</v>
      </c>
    </row>
    <row r="653" spans="2:8">
      <c r="B653" s="36" t="s">
        <v>646</v>
      </c>
      <c r="C653" s="13" t="str">
        <f>INDEX(生データ表2[],MATCH(B653,生データ表2[maxmin],0),MATCH(C650,生データ表2[#Headers],0))</f>
        <v>プラス</v>
      </c>
      <c r="E653" s="11">
        <v>29</v>
      </c>
      <c r="F653" s="13" t="str">
        <f>IFERROR(INDEX(都市マスタ[],MATCH(E653,都市マスタ['#],0),MATCH(F650,都市マスタ[#Headers],0)),"")</f>
        <v>東京</v>
      </c>
      <c r="G653" s="236">
        <f>IFERROR(INDEX(生データ表[],MATCH(E653,生データ表['#],0),MATCH(C650,生データ表[#Headers],0)),"")</f>
        <v>0.40828402366863897</v>
      </c>
      <c r="H653" s="236">
        <f>IFERROR(INDEX(スコア表[],MATCH(E653,スコア表['#],0),MATCH(C650,スコア表[#Headers],0)),"")</f>
        <v>54.822145140400004</v>
      </c>
    </row>
    <row r="654" spans="2:8">
      <c r="E654" s="11">
        <v>4</v>
      </c>
      <c r="F654" s="13" t="str">
        <f>IFERROR(INDEX(都市マスタ[],MATCH(E654,都市マスタ['#],0),MATCH(F650,都市マスタ[#Headers],0)),"")</f>
        <v>パリ</v>
      </c>
      <c r="G654" s="236">
        <f>IFERROR(INDEX(生データ表[],MATCH(E654,生データ表['#],0),MATCH(C650,生データ表[#Headers],0)),"")</f>
        <v>0.36969696969696902</v>
      </c>
      <c r="H654" s="236">
        <f>IFERROR(INDEX(スコア表[],MATCH(E654,スコア表['#],0),MATCH(C650,スコア表[#Headers],0)),"")</f>
        <v>50.564263322899997</v>
      </c>
    </row>
    <row r="655" spans="2:8">
      <c r="B655" s="240" t="s">
        <v>2067</v>
      </c>
      <c r="E655" s="11">
        <v>21</v>
      </c>
      <c r="F655" s="13" t="str">
        <f>IFERROR(INDEX(都市マスタ[],MATCH(E655,都市マスタ['#],0),MATCH(F650,都市マスタ[#Headers],0)),"")</f>
        <v>シンガポール</v>
      </c>
      <c r="G655" s="236">
        <f>IFERROR(INDEX(生データ表[],MATCH(E655,生データ表['#],0),MATCH(C650,生データ表[#Headers],0)),"")</f>
        <v>0.66666666666666596</v>
      </c>
      <c r="H655" s="236">
        <f>IFERROR(INDEX(スコア表[],MATCH(E655,スコア表['#],0),MATCH(C650,スコア表[#Headers],0)),"")</f>
        <v>83.333333333300004</v>
      </c>
    </row>
    <row r="656" spans="2:8">
      <c r="E656" s="11">
        <v>26</v>
      </c>
      <c r="F656" s="13" t="str">
        <f>IFERROR(INDEX(都市マスタ[],MATCH(E656,都市マスタ['#],0),MATCH(F650,都市マスタ[#Headers],0)),"")</f>
        <v>ソウル</v>
      </c>
      <c r="G656" s="236">
        <f>IFERROR(INDEX(生データ表[],MATCH(E656,生データ表['#],0),MATCH(C650,生データ表[#Headers],0)),"")</f>
        <v>4.1666666666666602E-2</v>
      </c>
      <c r="H656" s="236">
        <f>IFERROR(INDEX(スコア表[],MATCH(E656,スコア表['#],0),MATCH(C650,スコア表[#Headers],0)),"")</f>
        <v>14.367816092</v>
      </c>
    </row>
    <row r="657" spans="2:8">
      <c r="E657" s="11">
        <v>22</v>
      </c>
      <c r="F657" s="13" t="str">
        <f>IFERROR(INDEX(都市マスタ[],MATCH(E657,都市マスタ['#],0),MATCH(F650,都市マスタ[#Headers],0)),"")</f>
        <v>香港</v>
      </c>
      <c r="G657" s="236">
        <f>IFERROR(INDEX(生データ表[],MATCH(E657,生データ表['#],0),MATCH(C650,生データ表[#Headers],0)),"")</f>
        <v>0.40526315789473599</v>
      </c>
      <c r="H657" s="236">
        <f>IFERROR(INDEX(スコア表[],MATCH(E657,スコア表['#],0),MATCH(C650,スコア表[#Headers],0)),"")</f>
        <v>54.488808227500002</v>
      </c>
    </row>
    <row r="658" spans="2:8">
      <c r="E658" s="11">
        <v>23</v>
      </c>
      <c r="F658" s="13" t="str">
        <f>IFERROR(INDEX(都市マスタ[],MATCH(E658,都市マスタ['#],0),MATCH(F650,都市マスタ[#Headers],0)),"")</f>
        <v>北京</v>
      </c>
      <c r="G658" s="236">
        <f>IFERROR(INDEX(生データ表[],MATCH(E658,生データ表['#],0),MATCH(C650,生データ表[#Headers],0)),"")</f>
        <v>0.61111111111111105</v>
      </c>
      <c r="H658" s="236">
        <f>IFERROR(INDEX(スコア表[],MATCH(E658,スコア表['#],0),MATCH(C650,スコア表[#Headers],0)),"")</f>
        <v>77.203065134100001</v>
      </c>
    </row>
    <row r="659" spans="2:8">
      <c r="B659" s="240" t="s">
        <v>2068</v>
      </c>
      <c r="E659" s="11">
        <v>24</v>
      </c>
      <c r="F659" s="13" t="str">
        <f>IFERROR(INDEX(都市マスタ[],MATCH(E659,都市マスタ['#],0),MATCH(F650,都市マスタ[#Headers],0)),"")</f>
        <v>上海</v>
      </c>
      <c r="G659" s="236">
        <f>IFERROR(INDEX(生データ表[],MATCH(E659,生データ表['#],0),MATCH(C650,生データ表[#Headers],0)),"")</f>
        <v>0.77319587628865905</v>
      </c>
      <c r="H659" s="236">
        <f>IFERROR(INDEX(スコア表[],MATCH(E659,スコア表['#],0),MATCH(C650,スコア表[#Headers],0)),"")</f>
        <v>95.088280601999998</v>
      </c>
    </row>
    <row r="660" spans="2:8">
      <c r="B660" t="s">
        <v>2070</v>
      </c>
      <c r="E660" s="11"/>
      <c r="F660" s="13" t="str">
        <f>IFERROR(INDEX(都市マスタ[],MATCH(E660,都市マスタ['#],0),MATCH(F650,都市マスタ[#Headers],0)),"")</f>
        <v/>
      </c>
      <c r="G660" s="231" t="str">
        <f>IFERROR(INDEX(生データ表[],MATCH(E660,生データ表['#],0),MATCH(C650,生データ表[#Headers],0)),"")</f>
        <v/>
      </c>
      <c r="H660" s="236" t="str">
        <f>IFERROR(INDEX(スコア表[],MATCH(E660,スコア表['#],0),MATCH(C650,スコア表[#Headers],0)),"")</f>
        <v/>
      </c>
    </row>
    <row r="661" spans="2:8">
      <c r="B661" t="s">
        <v>2071</v>
      </c>
      <c r="E661" s="11"/>
      <c r="F661" s="13" t="str">
        <f>IFERROR(INDEX(都市マスタ[],MATCH(E661,都市マスタ['#],0),MATCH(F650,都市マスタ[#Headers],0)),"")</f>
        <v/>
      </c>
      <c r="G661" s="231" t="str">
        <f>IFERROR(INDEX(生データ表[],MATCH(E661,生データ表['#],0),MATCH(C650,生データ表[#Headers],0)),"")</f>
        <v/>
      </c>
      <c r="H661" s="236" t="str">
        <f>IFERROR(INDEX(スコア表[],MATCH(E661,スコア表['#],0),MATCH(C650,スコア表[#Headers],0)),"")</f>
        <v/>
      </c>
    </row>
    <row r="662" spans="2:8">
      <c r="B662" t="s">
        <v>2069</v>
      </c>
      <c r="E662" s="11"/>
      <c r="F662" s="13" t="str">
        <f>IFERROR(INDEX(都市マスタ[],MATCH(E662,都市マスタ['#],0),MATCH(F650,都市マスタ[#Headers],0)),"")</f>
        <v/>
      </c>
      <c r="G662" s="231" t="str">
        <f>IFERROR(INDEX(生データ表[],MATCH(E662,生データ表['#],0),MATCH(C650,生データ表[#Headers],0)),"")</f>
        <v/>
      </c>
      <c r="H662" s="236" t="str">
        <f>IFERROR(INDEX(スコア表[],MATCH(E662,スコア表['#],0),MATCH(C650,スコア表[#Headers],0)),"")</f>
        <v/>
      </c>
    </row>
    <row r="663" spans="2:8">
      <c r="E663" s="11"/>
      <c r="F663" s="13" t="str">
        <f>IFERROR(INDEX(都市マスタ[],MATCH(E663,都市マスタ['#],0),MATCH(F650,都市マスタ[#Headers],0)),"")</f>
        <v/>
      </c>
      <c r="G663" s="231" t="str">
        <f>IFERROR(INDEX(生データ表[],MATCH(E663,生データ表['#],0),MATCH(C650,生データ表[#Headers],0)),"")</f>
        <v/>
      </c>
      <c r="H663" s="236" t="str">
        <f>IFERROR(INDEX(スコア表[],MATCH(E663,スコア表['#],0),MATCH(C650,スコア表[#Headers],0)),"")</f>
        <v/>
      </c>
    </row>
    <row r="665" spans="2:8">
      <c r="B665" s="36" t="s">
        <v>208</v>
      </c>
      <c r="C665" s="37" t="s">
        <v>577</v>
      </c>
      <c r="E665" s="35" t="s">
        <v>208</v>
      </c>
      <c r="F665" s="36" t="str">
        <f>IF(JPEN!$C$2="EN",都市!$C$2,都市!$D$2)</f>
        <v>都市名</v>
      </c>
      <c r="G665" s="36" t="s">
        <v>644</v>
      </c>
      <c r="H665" s="36" t="s">
        <v>645</v>
      </c>
    </row>
    <row r="666" spans="2:8">
      <c r="B666" s="36" t="str">
        <f>IF(JPEN!$C$2="EN",指標!$I$2,指標!$H$2)</f>
        <v>指標</v>
      </c>
      <c r="C666" s="13" t="str">
        <f ca="1">INDEX(INDIRECT("指標マスタ["&amp;B666&amp;"]"),MATCH(C665,指標マスタ['#],0))</f>
        <v>住宅賃料水準の低さ</v>
      </c>
      <c r="E666" s="11">
        <v>3</v>
      </c>
      <c r="F666" s="13" t="str">
        <f>IFERROR(INDEX(都市マスタ[],MATCH(E666,都市マスタ['#],0),MATCH(F665,都市マスタ[#Headers],0)),"")</f>
        <v>ロンドン</v>
      </c>
      <c r="G666" s="5">
        <f>IFERROR(INDEX(生データ表[],MATCH(E666,生データ表['#],0),MATCH(C665,生データ表[#Headers],0)),"")</f>
        <v>3412.26960110041</v>
      </c>
      <c r="H666" s="236">
        <f>IFERROR(INDEX(スコア表[],MATCH(E666,スコア表['#],0),MATCH(C665,スコア表[#Headers],0)),"")</f>
        <v>28.644975603799999</v>
      </c>
    </row>
    <row r="667" spans="2:8">
      <c r="B667" s="36" t="str">
        <f>IF(JPEN!$C$2="EN",指標!$L$2,指標!$K$2)</f>
        <v>単位</v>
      </c>
      <c r="C667" s="13" t="str">
        <f>INDEX(指標マスタ[],MATCH(C665,指標マスタ['#],0),MATCH(B667,指標マスタ[#Headers],0))</f>
        <v>ドル/月</v>
      </c>
      <c r="E667" s="11">
        <v>38</v>
      </c>
      <c r="F667" s="13" t="str">
        <f>IFERROR(INDEX(都市マスタ[],MATCH(E667,都市マスタ['#],0),MATCH(F665,都市マスタ[#Headers],0)),"")</f>
        <v>ニューヨーク</v>
      </c>
      <c r="G667" s="5">
        <f>IFERROR(INDEX(生データ表[],MATCH(E667,生データ表['#],0),MATCH(C665,生データ表[#Headers],0)),"")</f>
        <v>4613.7375000000002</v>
      </c>
      <c r="H667" s="236">
        <f>IFERROR(INDEX(スコア表[],MATCH(E667,スコア表['#],0),MATCH(C665,スコア表[#Headers],0)),"")</f>
        <v>0</v>
      </c>
    </row>
    <row r="668" spans="2:8">
      <c r="B668" s="36" t="s">
        <v>646</v>
      </c>
      <c r="C668" s="13" t="str">
        <f>INDEX(生データ表2[],MATCH(B668,生データ表2[maxmin],0),MATCH(C665,生データ表2[#Headers],0))</f>
        <v>マイナス</v>
      </c>
      <c r="E668" s="11">
        <v>29</v>
      </c>
      <c r="F668" s="13" t="str">
        <f>IFERROR(INDEX(都市マスタ[],MATCH(E668,都市マスタ['#],0),MATCH(F665,都市マスタ[#Headers],0)),"")</f>
        <v>東京</v>
      </c>
      <c r="G668" s="5">
        <f>IFERROR(INDEX(生データ表[],MATCH(E668,生データ表['#],0),MATCH(C665,生データ表[#Headers],0)),"")</f>
        <v>1613.1817705819601</v>
      </c>
      <c r="H668" s="236">
        <f>IFERROR(INDEX(スコア表[],MATCH(E668,スコア表['#],0),MATCH(C665,スコア表[#Headers],0)),"")</f>
        <v>71.5381956903</v>
      </c>
    </row>
    <row r="669" spans="2:8">
      <c r="E669" s="11">
        <v>4</v>
      </c>
      <c r="F669" s="13" t="str">
        <f>IFERROR(INDEX(都市マスタ[],MATCH(E669,都市マスタ['#],0),MATCH(F665,都市マスタ[#Headers],0)),"")</f>
        <v>パリ</v>
      </c>
      <c r="G669" s="5">
        <f>IFERROR(INDEX(生データ表[],MATCH(E669,生データ表['#],0),MATCH(C665,生データ表[#Headers],0)),"")</f>
        <v>2088.6111111111099</v>
      </c>
      <c r="H669" s="236">
        <f>IFERROR(INDEX(スコア表[],MATCH(E669,スコア表['#],0),MATCH(C665,スコア表[#Headers],0)),"")</f>
        <v>60.203176358299999</v>
      </c>
    </row>
    <row r="670" spans="2:8">
      <c r="B670" s="240" t="s">
        <v>2067</v>
      </c>
      <c r="E670" s="11">
        <v>21</v>
      </c>
      <c r="F670" s="13" t="str">
        <f>IFERROR(INDEX(都市マスタ[],MATCH(E670,都市マスタ['#],0),MATCH(F665,都市マスタ[#Headers],0)),"")</f>
        <v>シンガポール</v>
      </c>
      <c r="G670" s="5">
        <f>IFERROR(INDEX(生データ表[],MATCH(E670,生データ表['#],0),MATCH(C665,生データ表[#Headers],0)),"")</f>
        <v>4138.4133184523798</v>
      </c>
      <c r="H670" s="236">
        <f>IFERROR(INDEX(スコア表[],MATCH(E670,スコア表['#],0),MATCH(C665,スコア表[#Headers],0)),"")</f>
        <v>11.332512168499999</v>
      </c>
    </row>
    <row r="671" spans="2:8">
      <c r="E671" s="11">
        <v>26</v>
      </c>
      <c r="F671" s="13" t="str">
        <f>IFERROR(INDEX(都市マスタ[],MATCH(E671,都市マスタ['#],0),MATCH(F665,都市マスタ[#Headers],0)),"")</f>
        <v>ソウル</v>
      </c>
      <c r="G671" s="5">
        <f>IFERROR(INDEX(生データ表[],MATCH(E671,生データ表['#],0),MATCH(C665,生データ表[#Headers],0)),"")</f>
        <v>1639.2893094752901</v>
      </c>
      <c r="H671" s="236">
        <f>IFERROR(INDEX(スコア表[],MATCH(E671,スコア表['#],0),MATCH(C665,スコア表[#Headers],0)),"")</f>
        <v>70.915748918899993</v>
      </c>
    </row>
    <row r="672" spans="2:8">
      <c r="E672" s="11">
        <v>22</v>
      </c>
      <c r="F672" s="13" t="str">
        <f>IFERROR(INDEX(都市マスタ[],MATCH(E672,都市マスタ['#],0),MATCH(F665,都市マスタ[#Headers],0)),"")</f>
        <v>香港</v>
      </c>
      <c r="G672" s="5">
        <f>IFERROR(INDEX(生データ表[],MATCH(E672,生データ表['#],0),MATCH(C665,生データ表[#Headers],0)),"")</f>
        <v>2773.58580985462</v>
      </c>
      <c r="H672" s="236">
        <f>IFERROR(INDEX(スコア表[],MATCH(E672,スコア表['#],0),MATCH(C665,スコア表[#Headers],0)),"")</f>
        <v>43.872250203100002</v>
      </c>
    </row>
    <row r="673" spans="2:8">
      <c r="E673" s="11">
        <v>23</v>
      </c>
      <c r="F673" s="13" t="str">
        <f>IFERROR(INDEX(都市マスタ[],MATCH(E673,都市マスタ['#],0),MATCH(F665,都市マスタ[#Headers],0)),"")</f>
        <v>北京</v>
      </c>
      <c r="G673" s="5">
        <f>IFERROR(INDEX(生データ表[],MATCH(E673,生データ表['#],0),MATCH(C665,生データ表[#Headers],0)),"")</f>
        <v>1478.8705052696801</v>
      </c>
      <c r="H673" s="236">
        <f>IFERROR(INDEX(スコア表[],MATCH(E673,スコア表['#],0),MATCH(C665,スコア表[#Headers],0)),"")</f>
        <v>74.740397698099997</v>
      </c>
    </row>
    <row r="674" spans="2:8">
      <c r="B674" s="240" t="s">
        <v>2068</v>
      </c>
      <c r="E674" s="11">
        <v>24</v>
      </c>
      <c r="F674" s="13" t="str">
        <f>IFERROR(INDEX(都市マスタ[],MATCH(E674,都市マスタ['#],0),MATCH(F665,都市マスタ[#Headers],0)),"")</f>
        <v>上海</v>
      </c>
      <c r="G674" s="5">
        <f>IFERROR(INDEX(生データ表[],MATCH(E674,生データ表['#],0),MATCH(C665,生データ表[#Headers],0)),"")</f>
        <v>1633.4857408555399</v>
      </c>
      <c r="H674" s="236">
        <f>IFERROR(INDEX(スコア表[],MATCH(E674,スコア表['#],0),MATCH(C665,スコア表[#Headers],0)),"")</f>
        <v>71.054115563300002</v>
      </c>
    </row>
    <row r="675" spans="2:8">
      <c r="B675" t="s">
        <v>2070</v>
      </c>
      <c r="E675" s="11"/>
      <c r="F675" s="13" t="str">
        <f>IFERROR(INDEX(都市マスタ[],MATCH(E675,都市マスタ['#],0),MATCH(F665,都市マスタ[#Headers],0)),"")</f>
        <v/>
      </c>
      <c r="G675" s="231" t="str">
        <f>IFERROR(INDEX(生データ表[],MATCH(E675,生データ表['#],0),MATCH(C665,生データ表[#Headers],0)),"")</f>
        <v/>
      </c>
      <c r="H675" s="236" t="str">
        <f>IFERROR(INDEX(スコア表[],MATCH(E675,スコア表['#],0),MATCH(C665,スコア表[#Headers],0)),"")</f>
        <v/>
      </c>
    </row>
    <row r="676" spans="2:8">
      <c r="B676" t="s">
        <v>2071</v>
      </c>
      <c r="E676" s="11"/>
      <c r="F676" s="13" t="str">
        <f>IFERROR(INDEX(都市マスタ[],MATCH(E676,都市マスタ['#],0),MATCH(F665,都市マスタ[#Headers],0)),"")</f>
        <v/>
      </c>
      <c r="G676" s="231" t="str">
        <f>IFERROR(INDEX(生データ表[],MATCH(E676,生データ表['#],0),MATCH(C665,生データ表[#Headers],0)),"")</f>
        <v/>
      </c>
      <c r="H676" s="236" t="str">
        <f>IFERROR(INDEX(スコア表[],MATCH(E676,スコア表['#],0),MATCH(C665,スコア表[#Headers],0)),"")</f>
        <v/>
      </c>
    </row>
    <row r="677" spans="2:8">
      <c r="B677" t="s">
        <v>2069</v>
      </c>
      <c r="E677" s="11"/>
      <c r="F677" s="13" t="str">
        <f>IFERROR(INDEX(都市マスタ[],MATCH(E677,都市マスタ['#],0),MATCH(F665,都市マスタ[#Headers],0)),"")</f>
        <v/>
      </c>
      <c r="G677" s="231" t="str">
        <f>IFERROR(INDEX(生データ表[],MATCH(E677,生データ表['#],0),MATCH(C665,生データ表[#Headers],0)),"")</f>
        <v/>
      </c>
      <c r="H677" s="236" t="str">
        <f>IFERROR(INDEX(スコア表[],MATCH(E677,スコア表['#],0),MATCH(C665,スコア表[#Headers],0)),"")</f>
        <v/>
      </c>
    </row>
    <row r="678" spans="2:8">
      <c r="E678" s="11"/>
      <c r="F678" s="13" t="str">
        <f>IFERROR(INDEX(都市マスタ[],MATCH(E678,都市マスタ['#],0),MATCH(F665,都市マスタ[#Headers],0)),"")</f>
        <v/>
      </c>
      <c r="G678" s="231" t="str">
        <f>IFERROR(INDEX(生データ表[],MATCH(E678,生データ表['#],0),MATCH(C665,生データ表[#Headers],0)),"")</f>
        <v/>
      </c>
      <c r="H678" s="236" t="str">
        <f>IFERROR(INDEX(スコア表[],MATCH(E678,スコア表['#],0),MATCH(C665,スコア表[#Headers],0)),"")</f>
        <v/>
      </c>
    </row>
    <row r="680" spans="2:8">
      <c r="B680" s="36" t="s">
        <v>208</v>
      </c>
      <c r="C680" s="37" t="s">
        <v>578</v>
      </c>
      <c r="E680" s="35" t="s">
        <v>208</v>
      </c>
      <c r="F680" s="36" t="str">
        <f>IF(JPEN!$C$2="EN",都市!$C$2,都市!$D$2)</f>
        <v>都市名</v>
      </c>
      <c r="G680" s="36" t="s">
        <v>644</v>
      </c>
      <c r="H680" s="36" t="s">
        <v>645</v>
      </c>
    </row>
    <row r="681" spans="2:8">
      <c r="B681" s="36" t="str">
        <f>IF(JPEN!$C$2="EN",指標!$I$2,指標!$H$2)</f>
        <v>指標</v>
      </c>
      <c r="C681" s="13" t="str">
        <f ca="1">INDEX(INDIRECT("指標マスタ["&amp;B681&amp;"]"),MATCH(C680,指標マスタ['#],0))</f>
        <v>物価水準の低さ</v>
      </c>
      <c r="E681" s="11">
        <v>3</v>
      </c>
      <c r="F681" s="13" t="str">
        <f>IFERROR(INDEX(都市マスタ[],MATCH(E681,都市マスタ['#],0),MATCH(F680,都市マスタ[#Headers],0)),"")</f>
        <v>ロンドン</v>
      </c>
      <c r="G681" s="5">
        <f>IFERROR(INDEX(生データ表[],MATCH(E681,生データ表['#],0),MATCH(C680,生データ表[#Headers],0)),"")</f>
        <v>44.514340420953197</v>
      </c>
      <c r="H681" s="236">
        <f>IFERROR(INDEX(スコア表[],MATCH(E681,スコア表['#],0),MATCH(C680,スコア表[#Headers],0)),"")</f>
        <v>47.397611096399999</v>
      </c>
    </row>
    <row r="682" spans="2:8">
      <c r="B682" s="36" t="str">
        <f>IF(JPEN!$C$2="EN",指標!$L$2,指標!$K$2)</f>
        <v>単位</v>
      </c>
      <c r="C682" s="13" t="str">
        <f>INDEX(指標マスタ[],MATCH(C680,指標マスタ['#],0),MATCH(B682,指標マスタ[#Headers],0))</f>
        <v>pt</v>
      </c>
      <c r="E682" s="11">
        <v>38</v>
      </c>
      <c r="F682" s="13" t="str">
        <f>IFERROR(INDEX(都市マスタ[],MATCH(E682,都市マスタ['#],0),MATCH(F680,都市マスタ[#Headers],0)),"")</f>
        <v>ニューヨーク</v>
      </c>
      <c r="G682" s="5">
        <f>IFERROR(INDEX(生データ表[],MATCH(E682,生データ表['#],0),MATCH(C680,生データ表[#Headers],0)),"")</f>
        <v>64.006438354829498</v>
      </c>
      <c r="H682" s="236">
        <f>IFERROR(INDEX(スコア表[],MATCH(E682,スコア表['#],0),MATCH(C680,スコア表[#Headers],0)),"")</f>
        <v>24.363889685</v>
      </c>
    </row>
    <row r="683" spans="2:8">
      <c r="B683" s="36" t="s">
        <v>646</v>
      </c>
      <c r="C683" s="13" t="str">
        <f>INDEX(生データ表2[],MATCH(B683,生データ表2[maxmin],0),MATCH(C680,生データ表2[#Headers],0))</f>
        <v>マイナス</v>
      </c>
      <c r="E683" s="11">
        <v>29</v>
      </c>
      <c r="F683" s="13" t="str">
        <f>IFERROR(INDEX(都市マスタ[],MATCH(E683,都市マスタ['#],0),MATCH(F680,都市マスタ[#Headers],0)),"")</f>
        <v>東京</v>
      </c>
      <c r="G683" s="5">
        <f>IFERROR(INDEX(生データ表[],MATCH(E683,生データ表['#],0),MATCH(C680,生データ表[#Headers],0)),"")</f>
        <v>37.266823728009101</v>
      </c>
      <c r="H683" s="236">
        <f>IFERROR(INDEX(スコア表[],MATCH(E683,スコア表['#],0),MATCH(C680,スコア表[#Headers],0)),"")</f>
        <v>55.961967842100002</v>
      </c>
    </row>
    <row r="684" spans="2:8">
      <c r="E684" s="11">
        <v>4</v>
      </c>
      <c r="F684" s="13" t="str">
        <f>IFERROR(INDEX(都市マスタ[],MATCH(E684,都市マスタ['#],0),MATCH(F680,都市マスタ[#Headers],0)),"")</f>
        <v>パリ</v>
      </c>
      <c r="G684" s="5">
        <f>IFERROR(INDEX(生データ表[],MATCH(E684,生データ表['#],0),MATCH(C680,生データ表[#Headers],0)),"")</f>
        <v>39.638502618539697</v>
      </c>
      <c r="H684" s="236">
        <f>IFERROR(INDEX(スコア表[],MATCH(E684,スコア表['#],0),MATCH(C680,スコア表[#Headers],0)),"")</f>
        <v>53.159365935099999</v>
      </c>
    </row>
    <row r="685" spans="2:8">
      <c r="B685" s="240" t="s">
        <v>2067</v>
      </c>
      <c r="E685" s="11">
        <v>21</v>
      </c>
      <c r="F685" s="13" t="str">
        <f>IFERROR(INDEX(都市マスタ[],MATCH(E685,都市マスタ['#],0),MATCH(F680,都市マスタ[#Headers],0)),"")</f>
        <v>シンガポール</v>
      </c>
      <c r="G685" s="5">
        <f>IFERROR(INDEX(生データ表[],MATCH(E685,生データ表['#],0),MATCH(C680,生データ表[#Headers],0)),"")</f>
        <v>63.442139880606703</v>
      </c>
      <c r="H685" s="236">
        <f>IFERROR(INDEX(スコア表[],MATCH(E685,スコア表['#],0),MATCH(C680,スコア表[#Headers],0)),"")</f>
        <v>25.030718565800001</v>
      </c>
    </row>
    <row r="686" spans="2:8">
      <c r="E686" s="11">
        <v>26</v>
      </c>
      <c r="F686" s="13" t="str">
        <f>IFERROR(INDEX(都市マスタ[],MATCH(E686,都市マスタ['#],0),MATCH(F680,都市マスタ[#Headers],0)),"")</f>
        <v>ソウル</v>
      </c>
      <c r="G686" s="5">
        <f>IFERROR(INDEX(生データ表[],MATCH(E686,生データ表['#],0),MATCH(C680,生データ表[#Headers],0)),"")</f>
        <v>33.182298983300903</v>
      </c>
      <c r="H686" s="236">
        <f>IFERROR(INDEX(スコア表[],MATCH(E686,スコア表['#],0),MATCH(C680,スコア表[#Headers],0)),"")</f>
        <v>60.788631723400002</v>
      </c>
    </row>
    <row r="687" spans="2:8">
      <c r="E687" s="11">
        <v>22</v>
      </c>
      <c r="F687" s="13" t="str">
        <f>IFERROR(INDEX(都市マスタ[],MATCH(E687,都市マスタ['#],0),MATCH(F680,都市マスタ[#Headers],0)),"")</f>
        <v>香港</v>
      </c>
      <c r="G687" s="5">
        <f>IFERROR(INDEX(生データ表[],MATCH(E687,生データ表['#],0),MATCH(C680,生データ表[#Headers],0)),"")</f>
        <v>42.339354228944998</v>
      </c>
      <c r="H687" s="236">
        <f>IFERROR(INDEX(スコア表[],MATCH(E687,スコア表['#],0),MATCH(C680,スコア表[#Headers],0)),"")</f>
        <v>49.967782157000002</v>
      </c>
    </row>
    <row r="688" spans="2:8">
      <c r="E688" s="11">
        <v>23</v>
      </c>
      <c r="F688" s="13" t="str">
        <f>IFERROR(INDEX(都市マスタ[],MATCH(E688,都市マスタ['#],0),MATCH(F680,都市マスタ[#Headers],0)),"")</f>
        <v>北京</v>
      </c>
      <c r="G688" s="5">
        <f>IFERROR(INDEX(生データ表[],MATCH(E688,生データ表['#],0),MATCH(C680,生データ表[#Headers],0)),"")</f>
        <v>16.150124641789599</v>
      </c>
      <c r="H688" s="236">
        <f>IFERROR(INDEX(スコア表[],MATCH(E688,スコア表['#],0),MATCH(C680,スコア表[#Headers],0)),"")</f>
        <v>80.915472874200006</v>
      </c>
    </row>
    <row r="689" spans="2:8">
      <c r="B689" s="240" t="s">
        <v>2068</v>
      </c>
      <c r="E689" s="11">
        <v>24</v>
      </c>
      <c r="F689" s="13" t="str">
        <f>IFERROR(INDEX(都市マスタ[],MATCH(E689,都市マスタ['#],0),MATCH(F680,都市マスタ[#Headers],0)),"")</f>
        <v>上海</v>
      </c>
      <c r="G689" s="5">
        <f>IFERROR(INDEX(生データ表[],MATCH(E689,生データ表['#],0),MATCH(C680,生データ表[#Headers],0)),"")</f>
        <v>25.8459253249212</v>
      </c>
      <c r="H689" s="236">
        <f>IFERROR(INDEX(スコア表[],MATCH(E689,スコア表['#],0),MATCH(C680,スコア表[#Headers],0)),"")</f>
        <v>69.457990331700003</v>
      </c>
    </row>
    <row r="690" spans="2:8">
      <c r="B690" t="s">
        <v>2070</v>
      </c>
      <c r="E690" s="11"/>
      <c r="F690" s="13" t="str">
        <f>IFERROR(INDEX(都市マスタ[],MATCH(E690,都市マスタ['#],0),MATCH(F680,都市マスタ[#Headers],0)),"")</f>
        <v/>
      </c>
      <c r="G690" s="231" t="str">
        <f>IFERROR(INDEX(生データ表[],MATCH(E690,生データ表['#],0),MATCH(C680,生データ表[#Headers],0)),"")</f>
        <v/>
      </c>
      <c r="H690" s="236" t="str">
        <f>IFERROR(INDEX(スコア表[],MATCH(E690,スコア表['#],0),MATCH(C680,スコア表[#Headers],0)),"")</f>
        <v/>
      </c>
    </row>
    <row r="691" spans="2:8">
      <c r="B691" t="s">
        <v>2071</v>
      </c>
      <c r="E691" s="11"/>
      <c r="F691" s="13" t="str">
        <f>IFERROR(INDEX(都市マスタ[],MATCH(E691,都市マスタ['#],0),MATCH(F680,都市マスタ[#Headers],0)),"")</f>
        <v/>
      </c>
      <c r="G691" s="231" t="str">
        <f>IFERROR(INDEX(生データ表[],MATCH(E691,生データ表['#],0),MATCH(C680,生データ表[#Headers],0)),"")</f>
        <v/>
      </c>
      <c r="H691" s="236" t="str">
        <f>IFERROR(INDEX(スコア表[],MATCH(E691,スコア表['#],0),MATCH(C680,スコア表[#Headers],0)),"")</f>
        <v/>
      </c>
    </row>
    <row r="692" spans="2:8">
      <c r="B692" t="s">
        <v>2069</v>
      </c>
      <c r="E692" s="11"/>
      <c r="F692" s="13" t="str">
        <f>IFERROR(INDEX(都市マスタ[],MATCH(E692,都市マスタ['#],0),MATCH(F680,都市マスタ[#Headers],0)),"")</f>
        <v/>
      </c>
      <c r="G692" s="231" t="str">
        <f>IFERROR(INDEX(生データ表[],MATCH(E692,生データ表['#],0),MATCH(C680,生データ表[#Headers],0)),"")</f>
        <v/>
      </c>
      <c r="H692" s="236" t="str">
        <f>IFERROR(INDEX(スコア表[],MATCH(E692,スコア表['#],0),MATCH(C680,スコア表[#Headers],0)),"")</f>
        <v/>
      </c>
    </row>
    <row r="693" spans="2:8">
      <c r="E693" s="11"/>
      <c r="F693" s="13" t="str">
        <f>IFERROR(INDEX(都市マスタ[],MATCH(E693,都市マスタ['#],0),MATCH(F680,都市マスタ[#Headers],0)),"")</f>
        <v/>
      </c>
      <c r="G693" s="231" t="str">
        <f>IFERROR(INDEX(生データ表[],MATCH(E693,生データ表['#],0),MATCH(C680,生データ表[#Headers],0)),"")</f>
        <v/>
      </c>
      <c r="H693" s="236" t="str">
        <f>IFERROR(INDEX(スコア表[],MATCH(E693,スコア表['#],0),MATCH(C680,スコア表[#Headers],0)),"")</f>
        <v/>
      </c>
    </row>
    <row r="695" spans="2:8">
      <c r="B695" s="36" t="s">
        <v>208</v>
      </c>
      <c r="C695" s="37" t="s">
        <v>579</v>
      </c>
      <c r="E695" s="35" t="s">
        <v>208</v>
      </c>
      <c r="F695" s="36" t="str">
        <f>IF(JPEN!$C$2="EN",都市!$C$2,都市!$D$2)</f>
        <v>都市名</v>
      </c>
      <c r="G695" s="36" t="s">
        <v>644</v>
      </c>
      <c r="H695" s="36" t="s">
        <v>645</v>
      </c>
    </row>
    <row r="696" spans="2:8">
      <c r="B696" s="36" t="str">
        <f>IF(JPEN!$C$2="EN",指標!$I$2,指標!$H$2)</f>
        <v>指標</v>
      </c>
      <c r="C696" s="13" t="str">
        <f ca="1">INDEX(INDIRECT("指標マスタ["&amp;B696&amp;"]"),MATCH(C695,指標マスタ['#],0))</f>
        <v>殺人件数の少なさ</v>
      </c>
      <c r="E696" s="11">
        <v>3</v>
      </c>
      <c r="F696" s="13" t="str">
        <f>IFERROR(INDEX(都市マスタ[],MATCH(E696,都市マスタ['#],0),MATCH(F695,都市マスタ[#Headers],0)),"")</f>
        <v>ロンドン</v>
      </c>
      <c r="G696" s="5">
        <f>IFERROR(INDEX(生データ表[],MATCH(E696,生データ表['#],0),MATCH(C695,生データ表[#Headers],0)),"")</f>
        <v>12.732151456217</v>
      </c>
      <c r="H696" s="236">
        <f>IFERROR(INDEX(スコア表[],MATCH(E696,スコア表['#],0),MATCH(C695,スコア表[#Headers],0)),"")</f>
        <v>97.029199372400001</v>
      </c>
    </row>
    <row r="697" spans="2:8">
      <c r="B697" s="36" t="str">
        <f>IF(JPEN!$C$2="EN",指標!$L$2,指標!$K$2)</f>
        <v>単位</v>
      </c>
      <c r="C697" s="13" t="str">
        <f>INDEX(指標マスタ[],MATCH(C695,指標マスタ['#],0),MATCH(B697,指標マスタ[#Headers],0))</f>
        <v>件/百万人</v>
      </c>
      <c r="E697" s="11">
        <v>38</v>
      </c>
      <c r="F697" s="13" t="str">
        <f>IFERROR(INDEX(都市マスタ[],MATCH(E697,都市マスタ['#],0),MATCH(F695,都市マスタ[#Headers],0)),"")</f>
        <v>ニューヨーク</v>
      </c>
      <c r="G697" s="5">
        <f>IFERROR(INDEX(生データ表[],MATCH(E697,生データ表['#],0),MATCH(C695,生データ表[#Headers],0)),"")</f>
        <v>56.382981158566601</v>
      </c>
      <c r="H697" s="236">
        <f>IFERROR(INDEX(スコア表[],MATCH(E697,スコア表['#],0),MATCH(C695,スコア表[#Headers],0)),"")</f>
        <v>85.926181984699994</v>
      </c>
    </row>
    <row r="698" spans="2:8">
      <c r="B698" s="36" t="s">
        <v>646</v>
      </c>
      <c r="C698" s="13" t="str">
        <f>INDEX(生データ表2[],MATCH(B698,生データ表2[maxmin],0),MATCH(C695,生データ表2[#Headers],0))</f>
        <v>マイナス</v>
      </c>
      <c r="E698" s="11">
        <v>29</v>
      </c>
      <c r="F698" s="13" t="str">
        <f>IFERROR(INDEX(都市マスタ[],MATCH(E698,都市マスタ['#],0),MATCH(F695,都市マスタ[#Headers],0)),"")</f>
        <v>東京</v>
      </c>
      <c r="G698" s="5">
        <f>IFERROR(INDEX(生データ表[],MATCH(E698,生データ表['#],0),MATCH(C695,生データ表[#Headers],0)),"")</f>
        <v>6.2163816783753898</v>
      </c>
      <c r="H698" s="236">
        <f>IFERROR(INDEX(スコア表[],MATCH(E698,スコア表['#],0),MATCH(C695,スコア表[#Headers],0)),"")</f>
        <v>98.686549430300005</v>
      </c>
    </row>
    <row r="699" spans="2:8">
      <c r="E699" s="11">
        <v>4</v>
      </c>
      <c r="F699" s="13" t="str">
        <f>IFERROR(INDEX(都市マスタ[],MATCH(E699,都市マスタ['#],0),MATCH(F695,都市マスタ[#Headers],0)),"")</f>
        <v>パリ</v>
      </c>
      <c r="G699" s="5">
        <f>IFERROR(INDEX(生データ表[],MATCH(E699,生データ表['#],0),MATCH(C695,生データ表[#Headers],0)),"")</f>
        <v>8.4019257213753296</v>
      </c>
      <c r="H699" s="236">
        <f>IFERROR(INDEX(スコア表[],MATCH(E699,スコア表['#],0),MATCH(C695,スコア表[#Headers],0)),"")</f>
        <v>98.130634830800005</v>
      </c>
    </row>
    <row r="700" spans="2:8">
      <c r="B700" s="240" t="s">
        <v>2067</v>
      </c>
      <c r="E700" s="11">
        <v>21</v>
      </c>
      <c r="F700" s="13" t="str">
        <f>IFERROR(INDEX(都市マスタ[],MATCH(E700,都市マスタ['#],0),MATCH(F695,都市マスタ[#Headers],0)),"")</f>
        <v>シンガポール</v>
      </c>
      <c r="G700" s="5">
        <f>IFERROR(INDEX(生データ表[],MATCH(E700,生データ表['#],0),MATCH(C695,生データ表[#Headers],0)),"")</f>
        <v>1.0526315789473599</v>
      </c>
      <c r="H700" s="236">
        <f>IFERROR(INDEX(スコア表[],MATCH(E700,スコア表['#],0),MATCH(C695,スコア表[#Headers],0)),"")</f>
        <v>100</v>
      </c>
    </row>
    <row r="701" spans="2:8">
      <c r="E701" s="11">
        <v>26</v>
      </c>
      <c r="F701" s="13" t="str">
        <f>IFERROR(INDEX(都市マスタ[],MATCH(E701,都市マスタ['#],0),MATCH(F695,都市マスタ[#Headers],0)),"")</f>
        <v>ソウル</v>
      </c>
      <c r="G701" s="5">
        <f>IFERROR(INDEX(生データ表[],MATCH(E701,生データ表['#],0),MATCH(C695,生データ表[#Headers],0)),"")</f>
        <v>4.9301424492762802</v>
      </c>
      <c r="H701" s="236">
        <f>IFERROR(INDEX(スコア表[],MATCH(E701,スコア表['#],0),MATCH(C695,スコア表[#Headers],0)),"")</f>
        <v>99.013717015099999</v>
      </c>
    </row>
    <row r="702" spans="2:8">
      <c r="E702" s="11">
        <v>22</v>
      </c>
      <c r="F702" s="13" t="str">
        <f>IFERROR(INDEX(都市マスタ[],MATCH(E702,都市マスタ['#],0),MATCH(F695,都市マスタ[#Headers],0)),"")</f>
        <v>香港</v>
      </c>
      <c r="G702" s="5">
        <f>IFERROR(INDEX(生データ表[],MATCH(E702,生データ表['#],0),MATCH(C695,生データ表[#Headers],0)),"")</f>
        <v>4.0540540540540499</v>
      </c>
      <c r="H702" s="236">
        <f>IFERROR(INDEX(スコア表[],MATCH(E702,スコア表['#],0),MATCH(C695,スコア表[#Headers],0)),"")</f>
        <v>99.236558705600004</v>
      </c>
    </row>
    <row r="703" spans="2:8">
      <c r="E703" s="11">
        <v>23</v>
      </c>
      <c r="F703" s="13" t="str">
        <f>IFERROR(INDEX(都市マスタ[],MATCH(E703,都市マスタ['#],0),MATCH(F695,都市マスタ[#Headers],0)),"")</f>
        <v>北京</v>
      </c>
      <c r="G703" s="5">
        <f>IFERROR(INDEX(生データ表[],MATCH(E703,生データ表['#],0),MATCH(C695,生データ表[#Headers],0)),"")</f>
        <v>4.61799900870919</v>
      </c>
      <c r="H703" s="236">
        <f>IFERROR(INDEX(スコア表[],MATCH(E703,スコア表['#],0),MATCH(C695,スコア表[#Headers],0)),"")</f>
        <v>99.0931137659</v>
      </c>
    </row>
    <row r="704" spans="2:8">
      <c r="B704" s="240" t="s">
        <v>2068</v>
      </c>
      <c r="E704" s="11">
        <v>24</v>
      </c>
      <c r="F704" s="13" t="str">
        <f>IFERROR(INDEX(都市マスタ[],MATCH(E704,都市マスタ['#],0),MATCH(F695,都市マスタ[#Headers],0)),"")</f>
        <v>上海</v>
      </c>
      <c r="G704" s="5">
        <f>IFERROR(INDEX(生データ表[],MATCH(E704,生データ表['#],0),MATCH(C695,生データ表[#Headers],0)),"")</f>
        <v>5.2220789497997497</v>
      </c>
      <c r="H704" s="236">
        <f>IFERROR(INDEX(スコア表[],MATCH(E704,スコア表['#],0),MATCH(C695,スコア表[#Headers],0)),"")</f>
        <v>98.939460097999998</v>
      </c>
    </row>
    <row r="705" spans="2:8">
      <c r="B705" t="s">
        <v>2070</v>
      </c>
      <c r="E705" s="11"/>
      <c r="F705" s="13" t="str">
        <f>IFERROR(INDEX(都市マスタ[],MATCH(E705,都市マスタ['#],0),MATCH(F695,都市マスタ[#Headers],0)),"")</f>
        <v/>
      </c>
      <c r="G705" s="231" t="str">
        <f>IFERROR(INDEX(生データ表[],MATCH(E705,生データ表['#],0),MATCH(C695,生データ表[#Headers],0)),"")</f>
        <v/>
      </c>
      <c r="H705" s="236" t="str">
        <f>IFERROR(INDEX(スコア表[],MATCH(E705,スコア表['#],0),MATCH(C695,スコア表[#Headers],0)),"")</f>
        <v/>
      </c>
    </row>
    <row r="706" spans="2:8">
      <c r="B706" t="s">
        <v>2071</v>
      </c>
      <c r="E706" s="11"/>
      <c r="F706" s="13" t="str">
        <f>IFERROR(INDEX(都市マスタ[],MATCH(E706,都市マスタ['#],0),MATCH(F695,都市マスタ[#Headers],0)),"")</f>
        <v/>
      </c>
      <c r="G706" s="231" t="str">
        <f>IFERROR(INDEX(生データ表[],MATCH(E706,生データ表['#],0),MATCH(C695,生データ表[#Headers],0)),"")</f>
        <v/>
      </c>
      <c r="H706" s="236" t="str">
        <f>IFERROR(INDEX(スコア表[],MATCH(E706,スコア表['#],0),MATCH(C695,スコア表[#Headers],0)),"")</f>
        <v/>
      </c>
    </row>
    <row r="707" spans="2:8">
      <c r="B707" t="s">
        <v>2069</v>
      </c>
      <c r="E707" s="11"/>
      <c r="F707" s="13" t="str">
        <f>IFERROR(INDEX(都市マスタ[],MATCH(E707,都市マスタ['#],0),MATCH(F695,都市マスタ[#Headers],0)),"")</f>
        <v/>
      </c>
      <c r="G707" s="231" t="str">
        <f>IFERROR(INDEX(生データ表[],MATCH(E707,生データ表['#],0),MATCH(C695,生データ表[#Headers],0)),"")</f>
        <v/>
      </c>
      <c r="H707" s="236" t="str">
        <f>IFERROR(INDEX(スコア表[],MATCH(E707,スコア表['#],0),MATCH(C695,スコア表[#Headers],0)),"")</f>
        <v/>
      </c>
    </row>
    <row r="708" spans="2:8">
      <c r="E708" s="11"/>
      <c r="F708" s="13" t="str">
        <f>IFERROR(INDEX(都市マスタ[],MATCH(E708,都市マスタ['#],0),MATCH(F695,都市マスタ[#Headers],0)),"")</f>
        <v/>
      </c>
      <c r="G708" s="231" t="str">
        <f>IFERROR(INDEX(生データ表[],MATCH(E708,生データ表['#],0),MATCH(C695,生データ表[#Headers],0)),"")</f>
        <v/>
      </c>
      <c r="H708" s="236" t="str">
        <f>IFERROR(INDEX(スコア表[],MATCH(E708,スコア表['#],0),MATCH(C695,スコア表[#Headers],0)),"")</f>
        <v/>
      </c>
    </row>
    <row r="710" spans="2:8">
      <c r="B710" s="36" t="s">
        <v>208</v>
      </c>
      <c r="C710" s="37" t="s">
        <v>580</v>
      </c>
      <c r="E710" s="35" t="s">
        <v>208</v>
      </c>
      <c r="F710" s="36" t="str">
        <f>IF(JPEN!$C$2="EN",都市!$C$2,都市!$D$2)</f>
        <v>都市名</v>
      </c>
      <c r="G710" s="36" t="s">
        <v>644</v>
      </c>
      <c r="H710" s="36" t="s">
        <v>645</v>
      </c>
    </row>
    <row r="711" spans="2:8">
      <c r="B711" s="36" t="str">
        <f>IF(JPEN!$C$2="EN",指標!$I$2,指標!$H$2)</f>
        <v>指標</v>
      </c>
      <c r="C711" s="13" t="str">
        <f ca="1">INDEX(INDIRECT("指標マスタ["&amp;B711&amp;"]"),MATCH(C710,指標マスタ['#],0))</f>
        <v>自然災害の経済的リスクの少なさ</v>
      </c>
      <c r="E711" s="11">
        <v>3</v>
      </c>
      <c r="F711" s="13" t="str">
        <f>IFERROR(INDEX(都市マスタ[],MATCH(E711,都市マスタ['#],0),MATCH(F710,都市マスタ[#Headers],0)),"")</f>
        <v>ロンドン</v>
      </c>
      <c r="G711" s="6">
        <f>IFERROR(INDEX(生データ表[],MATCH(E711,生データ表['#],0),MATCH(C710,生データ表[#Headers],0)),"")</f>
        <v>2.5000000000000001E-3</v>
      </c>
      <c r="H711" s="236">
        <f>IFERROR(INDEX(スコア表[],MATCH(E711,スコア表['#],0),MATCH(C710,スコア表[#Headers],0)),"")</f>
        <v>96.795952782499995</v>
      </c>
    </row>
    <row r="712" spans="2:8">
      <c r="B712" s="36" t="str">
        <f>IF(JPEN!$C$2="EN",指標!$L$2,指標!$K$2)</f>
        <v>単位</v>
      </c>
      <c r="C712" s="13" t="str">
        <f>INDEX(指標マスタ[],MATCH(C710,指標マスタ['#],0),MATCH(B712,指標マスタ[#Headers],0))</f>
        <v>%</v>
      </c>
      <c r="E712" s="11">
        <v>38</v>
      </c>
      <c r="F712" s="13" t="str">
        <f>IFERROR(INDEX(都市マスタ[],MATCH(E712,都市マスタ['#],0),MATCH(F710,都市マスタ[#Headers],0)),"")</f>
        <v>ニューヨーク</v>
      </c>
      <c r="G712" s="6">
        <f>IFERROR(INDEX(生データ表[],MATCH(E712,生データ表['#],0),MATCH(C710,生データ表[#Headers],0)),"")</f>
        <v>2.0999999999999999E-3</v>
      </c>
      <c r="H712" s="236">
        <f>IFERROR(INDEX(スコア表[],MATCH(E712,スコア表['#],0),MATCH(C710,スコア表[#Headers],0)),"")</f>
        <v>97.470489038799997</v>
      </c>
    </row>
    <row r="713" spans="2:8">
      <c r="B713" s="36" t="s">
        <v>646</v>
      </c>
      <c r="C713" s="13" t="str">
        <f>INDEX(生データ表2[],MATCH(B713,生データ表2[maxmin],0),MATCH(C710,生データ表2[#Headers],0))</f>
        <v>マイナス</v>
      </c>
      <c r="E713" s="11">
        <v>29</v>
      </c>
      <c r="F713" s="13" t="str">
        <f>IFERROR(INDEX(都市マスタ[],MATCH(E713,都市マスタ['#],0),MATCH(F710,都市マスタ[#Headers],0)),"")</f>
        <v>東京</v>
      </c>
      <c r="G713" s="6">
        <f>IFERROR(INDEX(生データ表[],MATCH(E713,生データ表['#],0),MATCH(C710,生データ表[#Headers],0)),"")</f>
        <v>6.0000000000000001E-3</v>
      </c>
      <c r="H713" s="236">
        <f>IFERROR(INDEX(スコア表[],MATCH(E713,スコア表['#],0),MATCH(C710,スコア表[#Headers],0)),"")</f>
        <v>90.893760539599995</v>
      </c>
    </row>
    <row r="714" spans="2:8">
      <c r="E714" s="11">
        <v>4</v>
      </c>
      <c r="F714" s="13" t="str">
        <f>IFERROR(INDEX(都市マスタ[],MATCH(E714,都市マスタ['#],0),MATCH(F710,都市マスタ[#Headers],0)),"")</f>
        <v>パリ</v>
      </c>
      <c r="G714" s="6">
        <f>IFERROR(INDEX(生データ表[],MATCH(E714,生データ表['#],0),MATCH(C710,生データ表[#Headers],0)),"")</f>
        <v>1.8E-3</v>
      </c>
      <c r="H714" s="236">
        <f>IFERROR(INDEX(スコア表[],MATCH(E714,スコア表['#],0),MATCH(C710,スコア表[#Headers],0)),"")</f>
        <v>97.976391230999994</v>
      </c>
    </row>
    <row r="715" spans="2:8">
      <c r="B715" s="240" t="s">
        <v>2067</v>
      </c>
      <c r="E715" s="11">
        <v>21</v>
      </c>
      <c r="F715" s="13" t="str">
        <f>IFERROR(INDEX(都市マスタ[],MATCH(E715,都市マスタ['#],0),MATCH(F710,都市マスタ[#Headers],0)),"")</f>
        <v>シンガポール</v>
      </c>
      <c r="G715" s="6">
        <f>IFERROR(INDEX(生データ表[],MATCH(E715,生データ表['#],0),MATCH(C710,生データ表[#Headers],0)),"")</f>
        <v>2.3999999999999998E-3</v>
      </c>
      <c r="H715" s="236">
        <f>IFERROR(INDEX(スコア表[],MATCH(E715,スコア表['#],0),MATCH(C710,スコア表[#Headers],0)),"")</f>
        <v>96.964586846499998</v>
      </c>
    </row>
    <row r="716" spans="2:8">
      <c r="E716" s="11">
        <v>26</v>
      </c>
      <c r="F716" s="13" t="str">
        <f>IFERROR(INDEX(都市マスタ[],MATCH(E716,都市マスタ['#],0),MATCH(F710,都市マスタ[#Headers],0)),"")</f>
        <v>ソウル</v>
      </c>
      <c r="G716" s="6">
        <f>IFERROR(INDEX(生データ表[],MATCH(E716,生データ表['#],0),MATCH(C710,生データ表[#Headers],0)),"")</f>
        <v>1.0699999999999999E-2</v>
      </c>
      <c r="H716" s="236">
        <f>IFERROR(INDEX(スコア表[],MATCH(E716,スコア表['#],0),MATCH(C710,スコア表[#Headers],0)),"")</f>
        <v>82.967959527800005</v>
      </c>
    </row>
    <row r="717" spans="2:8">
      <c r="E717" s="11">
        <v>22</v>
      </c>
      <c r="F717" s="13" t="str">
        <f>IFERROR(INDEX(都市マスタ[],MATCH(E717,都市マスタ['#],0),MATCH(F710,都市マスタ[#Headers],0)),"")</f>
        <v>香港</v>
      </c>
      <c r="G717" s="6">
        <f>IFERROR(INDEX(生データ表[],MATCH(E717,生データ表['#],0),MATCH(C710,生データ表[#Headers],0)),"")</f>
        <v>2.8E-3</v>
      </c>
      <c r="H717" s="236">
        <f>IFERROR(INDEX(スコア表[],MATCH(E717,スコア表['#],0),MATCH(C710,スコア表[#Headers],0)),"")</f>
        <v>96.290050590199996</v>
      </c>
    </row>
    <row r="718" spans="2:8">
      <c r="E718" s="11">
        <v>23</v>
      </c>
      <c r="F718" s="13" t="str">
        <f>IFERROR(INDEX(都市マスタ[],MATCH(E718,都市マスタ['#],0),MATCH(F710,都市マスタ[#Headers],0)),"")</f>
        <v>北京</v>
      </c>
      <c r="G718" s="6">
        <f>IFERROR(INDEX(生データ表[],MATCH(E718,生データ表['#],0),MATCH(C710,生データ表[#Headers],0)),"")</f>
        <v>3.2000000000000002E-3</v>
      </c>
      <c r="H718" s="236">
        <f>IFERROR(INDEX(スコア表[],MATCH(E718,スコア表['#],0),MATCH(C710,スコア表[#Headers],0)),"")</f>
        <v>95.615514333899995</v>
      </c>
    </row>
    <row r="719" spans="2:8">
      <c r="B719" s="240" t="s">
        <v>2068</v>
      </c>
      <c r="E719" s="11">
        <v>24</v>
      </c>
      <c r="F719" s="13" t="str">
        <f>IFERROR(INDEX(都市マスタ[],MATCH(E719,都市マスタ['#],0),MATCH(F710,都市マスタ[#Headers],0)),"")</f>
        <v>上海</v>
      </c>
      <c r="G719" s="6">
        <f>IFERROR(INDEX(生データ表[],MATCH(E719,生データ表['#],0),MATCH(C710,生データ表[#Headers],0)),"")</f>
        <v>6.7000000000000002E-3</v>
      </c>
      <c r="H719" s="236">
        <f>IFERROR(INDEX(スコア表[],MATCH(E719,スコア表['#],0),MATCH(C710,スコア表[#Headers],0)),"")</f>
        <v>89.713322091099997</v>
      </c>
    </row>
    <row r="720" spans="2:8">
      <c r="B720" t="s">
        <v>2070</v>
      </c>
      <c r="E720" s="11"/>
      <c r="F720" s="13" t="str">
        <f>IFERROR(INDEX(都市マスタ[],MATCH(E720,都市マスタ['#],0),MATCH(F710,都市マスタ[#Headers],0)),"")</f>
        <v/>
      </c>
      <c r="G720" s="231" t="str">
        <f>IFERROR(INDEX(生データ表[],MATCH(E720,生データ表['#],0),MATCH(C710,生データ表[#Headers],0)),"")</f>
        <v/>
      </c>
      <c r="H720" s="236" t="str">
        <f>IFERROR(INDEX(スコア表[],MATCH(E720,スコア表['#],0),MATCH(C710,スコア表[#Headers],0)),"")</f>
        <v/>
      </c>
    </row>
    <row r="721" spans="2:8">
      <c r="B721" t="s">
        <v>2071</v>
      </c>
      <c r="E721" s="11"/>
      <c r="F721" s="13" t="str">
        <f>IFERROR(INDEX(都市マスタ[],MATCH(E721,都市マスタ['#],0),MATCH(F710,都市マスタ[#Headers],0)),"")</f>
        <v/>
      </c>
      <c r="G721" s="231" t="str">
        <f>IFERROR(INDEX(生データ表[],MATCH(E721,生データ表['#],0),MATCH(C710,生データ表[#Headers],0)),"")</f>
        <v/>
      </c>
      <c r="H721" s="236" t="str">
        <f>IFERROR(INDEX(スコア表[],MATCH(E721,スコア表['#],0),MATCH(C710,スコア表[#Headers],0)),"")</f>
        <v/>
      </c>
    </row>
    <row r="722" spans="2:8">
      <c r="B722" t="s">
        <v>2069</v>
      </c>
      <c r="E722" s="11"/>
      <c r="F722" s="13" t="str">
        <f>IFERROR(INDEX(都市マスタ[],MATCH(E722,都市マスタ['#],0),MATCH(F710,都市マスタ[#Headers],0)),"")</f>
        <v/>
      </c>
      <c r="G722" s="231" t="str">
        <f>IFERROR(INDEX(生データ表[],MATCH(E722,生データ表['#],0),MATCH(C710,生データ表[#Headers],0)),"")</f>
        <v/>
      </c>
      <c r="H722" s="236" t="str">
        <f>IFERROR(INDEX(スコア表[],MATCH(E722,スコア表['#],0),MATCH(C710,スコア表[#Headers],0)),"")</f>
        <v/>
      </c>
    </row>
    <row r="723" spans="2:8">
      <c r="E723" s="11"/>
      <c r="F723" s="13" t="str">
        <f>IFERROR(INDEX(都市マスタ[],MATCH(E723,都市マスタ['#],0),MATCH(F710,都市マスタ[#Headers],0)),"")</f>
        <v/>
      </c>
      <c r="G723" s="231" t="str">
        <f>IFERROR(INDEX(生データ表[],MATCH(E723,生データ表['#],0),MATCH(C710,生データ表[#Headers],0)),"")</f>
        <v/>
      </c>
      <c r="H723" s="236" t="str">
        <f>IFERROR(INDEX(スコア表[],MATCH(E723,スコア表['#],0),MATCH(C710,スコア表[#Headers],0)),"")</f>
        <v/>
      </c>
    </row>
    <row r="725" spans="2:8">
      <c r="B725" s="36" t="s">
        <v>208</v>
      </c>
      <c r="C725" s="37" t="s">
        <v>581</v>
      </c>
      <c r="E725" s="35" t="s">
        <v>208</v>
      </c>
      <c r="F725" s="36" t="str">
        <f>IF(JPEN!$C$2="EN",都市!$C$2,都市!$D$2)</f>
        <v>都市名</v>
      </c>
      <c r="G725" s="36" t="s">
        <v>644</v>
      </c>
      <c r="H725" s="36" t="s">
        <v>645</v>
      </c>
    </row>
    <row r="726" spans="2:8">
      <c r="B726" s="36" t="str">
        <f>IF(JPEN!$C$2="EN",指標!$I$2,指標!$H$2)</f>
        <v>指標</v>
      </c>
      <c r="C726" s="13" t="str">
        <f ca="1">INDEX(INDIRECT("指標マスタ["&amp;B726&amp;"]"),MATCH(C725,指標マスタ['#],0))</f>
        <v>平均寿命</v>
      </c>
      <c r="E726" s="11">
        <v>3</v>
      </c>
      <c r="F726" s="13" t="str">
        <f>IFERROR(INDEX(都市マスタ[],MATCH(E726,都市マスタ['#],0),MATCH(F725,都市マスタ[#Headers],0)),"")</f>
        <v>ロンドン</v>
      </c>
      <c r="G726" s="5">
        <f>IFERROR(INDEX(生データ表[],MATCH(E726,生データ表['#],0),MATCH(C725,生データ表[#Headers],0)),"")</f>
        <v>81.400000000000006</v>
      </c>
      <c r="H726" s="236">
        <f>IFERROR(INDEX(スコア表[],MATCH(E726,スコア表['#],0),MATCH(C725,スコア表[#Headers],0)),"")</f>
        <v>79.731851672900007</v>
      </c>
    </row>
    <row r="727" spans="2:8">
      <c r="B727" s="36" t="str">
        <f>IF(JPEN!$C$2="EN",指標!$L$2,指標!$K$2)</f>
        <v>単位</v>
      </c>
      <c r="C727" s="13" t="str">
        <f>INDEX(指標マスタ[],MATCH(C725,指標マスタ['#],0),MATCH(B727,指標マスタ[#Headers],0))</f>
        <v>歳</v>
      </c>
      <c r="E727" s="11">
        <v>38</v>
      </c>
      <c r="F727" s="13" t="str">
        <f>IFERROR(INDEX(都市マスタ[],MATCH(E727,都市マスタ['#],0),MATCH(F725,都市マスタ[#Headers],0)),"")</f>
        <v>ニューヨーク</v>
      </c>
      <c r="G727" s="5">
        <f>IFERROR(INDEX(生データ表[],MATCH(E727,生データ表['#],0),MATCH(C725,生データ表[#Headers],0)),"")</f>
        <v>78.5</v>
      </c>
      <c r="H727" s="236">
        <f>IFERROR(INDEX(スコア表[],MATCH(E727,スコア表['#],0),MATCH(C725,スコア表[#Headers],0)),"")</f>
        <v>65.370213793900007</v>
      </c>
    </row>
    <row r="728" spans="2:8">
      <c r="B728" s="36" t="s">
        <v>646</v>
      </c>
      <c r="C728" s="13" t="str">
        <f>INDEX(生データ表2[],MATCH(B728,生データ表2[maxmin],0),MATCH(C725,生データ表2[#Headers],0))</f>
        <v>プラス</v>
      </c>
      <c r="E728" s="11">
        <v>29</v>
      </c>
      <c r="F728" s="13" t="str">
        <f>IFERROR(INDEX(都市マスタ[],MATCH(E728,都市マスタ['#],0),MATCH(F725,都市マスタ[#Headers],0)),"")</f>
        <v>東京</v>
      </c>
      <c r="G728" s="5">
        <f>IFERROR(INDEX(生データ表[],MATCH(E728,生データ表['#],0),MATCH(C725,生データ表[#Headers],0)),"")</f>
        <v>84.3</v>
      </c>
      <c r="H728" s="236">
        <f>IFERROR(INDEX(スコア表[],MATCH(E728,スコア表['#],0),MATCH(C725,スコア表[#Headers],0)),"")</f>
        <v>94.093489551900007</v>
      </c>
    </row>
    <row r="729" spans="2:8">
      <c r="E729" s="11">
        <v>4</v>
      </c>
      <c r="F729" s="13" t="str">
        <f>IFERROR(INDEX(都市マスタ[],MATCH(E729,都市マスタ['#],0),MATCH(F725,都市マスタ[#Headers],0)),"")</f>
        <v>パリ</v>
      </c>
      <c r="G729" s="5">
        <f>IFERROR(INDEX(生データ表[],MATCH(E729,生データ表['#],0),MATCH(C725,生データ表[#Headers],0)),"")</f>
        <v>82.5</v>
      </c>
      <c r="H729" s="236">
        <f>IFERROR(INDEX(スコア表[],MATCH(E729,スコア表['#],0),MATCH(C725,スコア表[#Headers],0)),"")</f>
        <v>85.179369489099997</v>
      </c>
    </row>
    <row r="730" spans="2:8">
      <c r="B730" s="240" t="s">
        <v>2067</v>
      </c>
      <c r="E730" s="11">
        <v>21</v>
      </c>
      <c r="F730" s="13" t="str">
        <f>IFERROR(INDEX(都市マスタ[],MATCH(E730,都市マスタ['#],0),MATCH(F725,都市マスタ[#Headers],0)),"")</f>
        <v>シンガポール</v>
      </c>
      <c r="G730" s="5">
        <f>IFERROR(INDEX(生データ表[],MATCH(E730,生データ表['#],0),MATCH(C725,生データ表[#Headers],0)),"")</f>
        <v>83.2</v>
      </c>
      <c r="H730" s="236">
        <f>IFERROR(INDEX(スコア表[],MATCH(E730,スコア表['#],0),MATCH(C725,スコア表[#Headers],0)),"")</f>
        <v>88.645971735700002</v>
      </c>
    </row>
    <row r="731" spans="2:8">
      <c r="E731" s="11">
        <v>26</v>
      </c>
      <c r="F731" s="13" t="str">
        <f>IFERROR(INDEX(都市マスタ[],MATCH(E731,都市マスタ['#],0),MATCH(F725,都市マスタ[#Headers],0)),"")</f>
        <v>ソウル</v>
      </c>
      <c r="G731" s="5">
        <f>IFERROR(INDEX(生データ表[],MATCH(E731,生データ表['#],0),MATCH(C725,生データ表[#Headers],0)),"")</f>
        <v>83.3</v>
      </c>
      <c r="H731" s="236">
        <f>IFERROR(INDEX(スコア表[],MATCH(E731,スコア表['#],0),MATCH(C725,スコア表[#Headers],0)),"")</f>
        <v>89.141200628099995</v>
      </c>
    </row>
    <row r="732" spans="2:8">
      <c r="E732" s="11">
        <v>22</v>
      </c>
      <c r="F732" s="13" t="str">
        <f>IFERROR(INDEX(都市マスタ[],MATCH(E732,都市マスタ['#],0),MATCH(F725,都市マスタ[#Headers],0)),"")</f>
        <v>香港</v>
      </c>
      <c r="G732" s="5">
        <f>IFERROR(INDEX(生データ表[],MATCH(E732,生データ表['#],0),MATCH(C725,生データ表[#Headers],0)),"")</f>
        <v>85.492682926829204</v>
      </c>
      <c r="H732" s="236">
        <f>IFERROR(INDEX(スコア表[],MATCH(E732,スコア表['#],0),MATCH(C725,スコア表[#Headers],0)),"")</f>
        <v>100</v>
      </c>
    </row>
    <row r="733" spans="2:8">
      <c r="E733" s="11">
        <v>23</v>
      </c>
      <c r="F733" s="13" t="str">
        <f>IFERROR(INDEX(都市マスタ[],MATCH(E733,都市マスタ['#],0),MATCH(F725,都市マスタ[#Headers],0)),"")</f>
        <v>北京</v>
      </c>
      <c r="G733" s="5">
        <f>IFERROR(INDEX(生データ表[],MATCH(E733,生データ表['#],0),MATCH(C725,生データ表[#Headers],0)),"")</f>
        <v>77.400000000000006</v>
      </c>
      <c r="H733" s="236">
        <f>IFERROR(INDEX(スコア表[],MATCH(E733,スコア表['#],0),MATCH(C725,スコア表[#Headers],0)),"")</f>
        <v>59.922695977799997</v>
      </c>
    </row>
    <row r="734" spans="2:8">
      <c r="B734" s="240" t="s">
        <v>2068</v>
      </c>
      <c r="E734" s="11">
        <v>24</v>
      </c>
      <c r="F734" s="13" t="str">
        <f>IFERROR(INDEX(都市マスタ[],MATCH(E734,都市マスタ['#],0),MATCH(F725,都市マスタ[#Headers],0)),"")</f>
        <v>上海</v>
      </c>
      <c r="G734" s="5">
        <f>IFERROR(INDEX(生データ表[],MATCH(E734,生データ表['#],0),MATCH(C725,生データ表[#Headers],0)),"")</f>
        <v>77.400000000000006</v>
      </c>
      <c r="H734" s="236">
        <f>IFERROR(INDEX(スコア表[],MATCH(E734,スコア表['#],0),MATCH(C725,スコア表[#Headers],0)),"")</f>
        <v>59.922695977799997</v>
      </c>
    </row>
    <row r="735" spans="2:8">
      <c r="B735" t="s">
        <v>2070</v>
      </c>
      <c r="E735" s="11"/>
      <c r="F735" s="13" t="str">
        <f>IFERROR(INDEX(都市マスタ[],MATCH(E735,都市マスタ['#],0),MATCH(F725,都市マスタ[#Headers],0)),"")</f>
        <v/>
      </c>
      <c r="G735" s="231" t="str">
        <f>IFERROR(INDEX(生データ表[],MATCH(E735,生データ表['#],0),MATCH(C725,生データ表[#Headers],0)),"")</f>
        <v/>
      </c>
      <c r="H735" s="236" t="str">
        <f>IFERROR(INDEX(スコア表[],MATCH(E735,スコア表['#],0),MATCH(C725,スコア表[#Headers],0)),"")</f>
        <v/>
      </c>
    </row>
    <row r="736" spans="2:8">
      <c r="B736" t="s">
        <v>2071</v>
      </c>
      <c r="E736" s="11"/>
      <c r="F736" s="13" t="str">
        <f>IFERROR(INDEX(都市マスタ[],MATCH(E736,都市マスタ['#],0),MATCH(F725,都市マスタ[#Headers],0)),"")</f>
        <v/>
      </c>
      <c r="G736" s="231" t="str">
        <f>IFERROR(INDEX(生データ表[],MATCH(E736,生データ表['#],0),MATCH(C725,生データ表[#Headers],0)),"")</f>
        <v/>
      </c>
      <c r="H736" s="236" t="str">
        <f>IFERROR(INDEX(スコア表[],MATCH(E736,スコア表['#],0),MATCH(C725,スコア表[#Headers],0)),"")</f>
        <v/>
      </c>
    </row>
    <row r="737" spans="2:8">
      <c r="B737" t="s">
        <v>2069</v>
      </c>
      <c r="E737" s="11"/>
      <c r="F737" s="13" t="str">
        <f>IFERROR(INDEX(都市マスタ[],MATCH(E737,都市マスタ['#],0),MATCH(F725,都市マスタ[#Headers],0)),"")</f>
        <v/>
      </c>
      <c r="G737" s="231" t="str">
        <f>IFERROR(INDEX(生データ表[],MATCH(E737,生データ表['#],0),MATCH(C725,生データ表[#Headers],0)),"")</f>
        <v/>
      </c>
      <c r="H737" s="236" t="str">
        <f>IFERROR(INDEX(スコア表[],MATCH(E737,スコア表['#],0),MATCH(C725,スコア表[#Headers],0)),"")</f>
        <v/>
      </c>
    </row>
    <row r="738" spans="2:8">
      <c r="E738" s="11"/>
      <c r="F738" s="13" t="str">
        <f>IFERROR(INDEX(都市マスタ[],MATCH(E738,都市マスタ['#],0),MATCH(F725,都市マスタ[#Headers],0)),"")</f>
        <v/>
      </c>
      <c r="G738" s="231" t="str">
        <f>IFERROR(INDEX(生データ表[],MATCH(E738,生データ表['#],0),MATCH(C725,生データ表[#Headers],0)),"")</f>
        <v/>
      </c>
      <c r="H738" s="236" t="str">
        <f>IFERROR(INDEX(スコア表[],MATCH(E738,スコア表['#],0),MATCH(C725,スコア表[#Headers],0)),"")</f>
        <v/>
      </c>
    </row>
    <row r="740" spans="2:8">
      <c r="B740" s="36" t="s">
        <v>208</v>
      </c>
      <c r="C740" s="37" t="s">
        <v>582</v>
      </c>
      <c r="E740" s="35" t="s">
        <v>208</v>
      </c>
      <c r="F740" s="36" t="str">
        <f>IF(JPEN!$C$2="EN",都市!$C$2,都市!$D$2)</f>
        <v>都市名</v>
      </c>
      <c r="G740" s="36" t="s">
        <v>644</v>
      </c>
      <c r="H740" s="36" t="s">
        <v>645</v>
      </c>
    </row>
    <row r="741" spans="2:8">
      <c r="B741" s="36" t="str">
        <f>IF(JPEN!$C$2="EN",指標!$I$2,指標!$H$2)</f>
        <v>指標</v>
      </c>
      <c r="C741" s="13" t="str">
        <f ca="1">INDEX(INDIRECT("指標マスタ["&amp;B741&amp;"]"),MATCH(C740,指標マスタ['#],0))</f>
        <v>社会の自由度・平等さ</v>
      </c>
      <c r="E741" s="11">
        <v>3</v>
      </c>
      <c r="F741" s="13" t="str">
        <f>IFERROR(INDEX(都市マスタ[],MATCH(E741,都市マスタ['#],0),MATCH(F740,都市マスタ[#Headers],0)),"")</f>
        <v>ロンドン</v>
      </c>
      <c r="G741" s="5">
        <f>IFERROR(INDEX(生データ表[],MATCH(E741,生データ表['#],0),MATCH(C740,生データ表[#Headers],0)),"")</f>
        <v>79.475088821136595</v>
      </c>
      <c r="H741" s="236">
        <f>IFERROR(INDEX(スコア表[],MATCH(E741,スコア表['#],0),MATCH(C740,スコア表[#Headers],0)),"")</f>
        <v>79.558602101000005</v>
      </c>
    </row>
    <row r="742" spans="2:8">
      <c r="B742" s="36" t="str">
        <f>IF(JPEN!$C$2="EN",指標!$L$2,指標!$K$2)</f>
        <v>単位</v>
      </c>
      <c r="C742" s="13" t="str">
        <f>INDEX(指標マスタ[],MATCH(C740,指標マスタ['#],0),MATCH(B742,指標マスタ[#Headers],0))</f>
        <v>（合算）</v>
      </c>
      <c r="E742" s="11">
        <v>38</v>
      </c>
      <c r="F742" s="13" t="str">
        <f>IFERROR(INDEX(都市マスタ[],MATCH(E742,都市マスタ['#],0),MATCH(F740,都市マスタ[#Headers],0)),"")</f>
        <v>ニューヨーク</v>
      </c>
      <c r="G742" s="5">
        <f>IFERROR(INDEX(生データ表[],MATCH(E742,生データ表['#],0),MATCH(C740,生データ表[#Headers],0)),"")</f>
        <v>67.750995245412895</v>
      </c>
      <c r="H742" s="236">
        <f>IFERROR(INDEX(スコア表[],MATCH(E742,スコア表['#],0),MATCH(C740,スコア表[#Headers],0)),"")</f>
        <v>66.659608137500001</v>
      </c>
    </row>
    <row r="743" spans="2:8">
      <c r="B743" s="36" t="s">
        <v>646</v>
      </c>
      <c r="C743" s="13" t="str">
        <f>INDEX(生データ表2[],MATCH(B743,生データ表2[maxmin],0),MATCH(C740,生データ表2[#Headers],0))</f>
        <v>プラス</v>
      </c>
      <c r="E743" s="11">
        <v>29</v>
      </c>
      <c r="F743" s="13" t="str">
        <f>IFERROR(INDEX(都市マスタ[],MATCH(E743,都市マスタ['#],0),MATCH(F740,都市マスタ[#Headers],0)),"")</f>
        <v>東京</v>
      </c>
      <c r="G743" s="5">
        <f>IFERROR(INDEX(生データ表[],MATCH(E743,生データ表['#],0),MATCH(C740,生データ表[#Headers],0)),"")</f>
        <v>59.566200587695498</v>
      </c>
      <c r="H743" s="236">
        <f>IFERROR(INDEX(スコア表[],MATCH(E743,スコア表['#],0),MATCH(C740,スコア表[#Headers],0)),"")</f>
        <v>57.654594982299997</v>
      </c>
    </row>
    <row r="744" spans="2:8">
      <c r="E744" s="11">
        <v>4</v>
      </c>
      <c r="F744" s="13" t="str">
        <f>IFERROR(INDEX(都市マスタ[],MATCH(E744,都市マスタ['#],0),MATCH(F740,都市マスタ[#Headers],0)),"")</f>
        <v>パリ</v>
      </c>
      <c r="G744" s="5">
        <f>IFERROR(INDEX(生データ表[],MATCH(E744,生データ表['#],0),MATCH(C740,生データ表[#Headers],0)),"")</f>
        <v>74.2539220047356</v>
      </c>
      <c r="H744" s="236">
        <f>IFERROR(INDEX(スコア表[],MATCH(E744,スコア表['#],0),MATCH(C740,スコア表[#Headers],0)),"")</f>
        <v>73.814209256300003</v>
      </c>
    </row>
    <row r="745" spans="2:8">
      <c r="B745" s="240" t="s">
        <v>2067</v>
      </c>
      <c r="E745" s="11">
        <v>21</v>
      </c>
      <c r="F745" s="13" t="str">
        <f>IFERROR(INDEX(都市マスタ[],MATCH(E745,都市マスタ['#],0),MATCH(F740,都市マスタ[#Headers],0)),"")</f>
        <v>シンガポール</v>
      </c>
      <c r="G745" s="5">
        <f>IFERROR(INDEX(生データ表[],MATCH(E745,生データ表['#],0),MATCH(C740,生データ表[#Headers],0)),"")</f>
        <v>53.839918278260797</v>
      </c>
      <c r="H745" s="236">
        <f>IFERROR(INDEX(スコア表[],MATCH(E745,スコア表['#],0),MATCH(C740,スコア表[#Headers],0)),"")</f>
        <v>51.3544677728</v>
      </c>
    </row>
    <row r="746" spans="2:8">
      <c r="E746" s="11">
        <v>26</v>
      </c>
      <c r="F746" s="13" t="str">
        <f>IFERROR(INDEX(都市マスタ[],MATCH(E746,都市マスタ['#],0),MATCH(F740,都市マスタ[#Headers],0)),"")</f>
        <v>ソウル</v>
      </c>
      <c r="G746" s="5">
        <f>IFERROR(INDEX(生データ表[],MATCH(E746,生データ表['#],0),MATCH(C740,生データ表[#Headers],0)),"")</f>
        <v>58.012991802688497</v>
      </c>
      <c r="H746" s="236">
        <f>IFERROR(INDEX(スコア表[],MATCH(E746,スコア表['#],0),MATCH(C740,スコア表[#Headers],0)),"")</f>
        <v>55.945735306899998</v>
      </c>
    </row>
    <row r="747" spans="2:8">
      <c r="E747" s="11">
        <v>22</v>
      </c>
      <c r="F747" s="13" t="str">
        <f>IFERROR(INDEX(都市マスタ[],MATCH(E747,都市マスタ['#],0),MATCH(F740,都市マスタ[#Headers],0)),"")</f>
        <v>香港</v>
      </c>
      <c r="G747" s="5">
        <f>IFERROR(INDEX(生データ表[],MATCH(E747,生データ表['#],0),MATCH(C740,生データ表[#Headers],0)),"")</f>
        <v>42.081236393764399</v>
      </c>
      <c r="H747" s="236">
        <f>IFERROR(INDEX(スコア表[],MATCH(E747,スコア表['#],0),MATCH(C740,スコア表[#Headers],0)),"")</f>
        <v>38.417419320699999</v>
      </c>
    </row>
    <row r="748" spans="2:8">
      <c r="E748" s="11">
        <v>23</v>
      </c>
      <c r="F748" s="13" t="str">
        <f>IFERROR(INDEX(都市マスタ[],MATCH(E748,都市マスタ['#],0),MATCH(F740,都市マスタ[#Headers],0)),"")</f>
        <v>北京</v>
      </c>
      <c r="G748" s="5">
        <f>IFERROR(INDEX(生データ表[],MATCH(E748,生データ表['#],0),MATCH(C740,生データ表[#Headers],0)),"")</f>
        <v>12.762011705458001</v>
      </c>
      <c r="H748" s="236">
        <f>IFERROR(INDEX(スコア表[],MATCH(E748,スコア表['#],0),MATCH(C740,スコア表[#Headers],0)),"")</f>
        <v>6.1600426777999999</v>
      </c>
    </row>
    <row r="749" spans="2:8">
      <c r="B749" s="240" t="s">
        <v>2068</v>
      </c>
      <c r="E749" s="11">
        <v>24</v>
      </c>
      <c r="F749" s="13" t="str">
        <f>IFERROR(INDEX(都市マスタ[],MATCH(E749,都市マスタ['#],0),MATCH(F740,都市マスタ[#Headers],0)),"")</f>
        <v>上海</v>
      </c>
      <c r="G749" s="5">
        <f>IFERROR(INDEX(生データ表[],MATCH(E749,生データ表['#],0),MATCH(C740,生データ表[#Headers],0)),"")</f>
        <v>12.762011705458001</v>
      </c>
      <c r="H749" s="236">
        <f>IFERROR(INDEX(スコア表[],MATCH(E749,スコア表['#],0),MATCH(C740,スコア表[#Headers],0)),"")</f>
        <v>6.1600426777999999</v>
      </c>
    </row>
    <row r="750" spans="2:8">
      <c r="B750" t="s">
        <v>2070</v>
      </c>
      <c r="E750" s="11"/>
      <c r="F750" s="13" t="str">
        <f>IFERROR(INDEX(都市マスタ[],MATCH(E750,都市マスタ['#],0),MATCH(F740,都市マスタ[#Headers],0)),"")</f>
        <v/>
      </c>
      <c r="G750" s="231" t="str">
        <f>IFERROR(INDEX(生データ表[],MATCH(E750,生データ表['#],0),MATCH(C740,生データ表[#Headers],0)),"")</f>
        <v/>
      </c>
      <c r="H750" s="236" t="str">
        <f>IFERROR(INDEX(スコア表[],MATCH(E750,スコア表['#],0),MATCH(C740,スコア表[#Headers],0)),"")</f>
        <v/>
      </c>
    </row>
    <row r="751" spans="2:8">
      <c r="B751" t="s">
        <v>2071</v>
      </c>
      <c r="E751" s="11"/>
      <c r="F751" s="13" t="str">
        <f>IFERROR(INDEX(都市マスタ[],MATCH(E751,都市マスタ['#],0),MATCH(F740,都市マスタ[#Headers],0)),"")</f>
        <v/>
      </c>
      <c r="G751" s="231" t="str">
        <f>IFERROR(INDEX(生データ表[],MATCH(E751,生データ表['#],0),MATCH(C740,生データ表[#Headers],0)),"")</f>
        <v/>
      </c>
      <c r="H751" s="236" t="str">
        <f>IFERROR(INDEX(スコア表[],MATCH(E751,スコア表['#],0),MATCH(C740,スコア表[#Headers],0)),"")</f>
        <v/>
      </c>
    </row>
    <row r="752" spans="2:8">
      <c r="B752" t="s">
        <v>2069</v>
      </c>
      <c r="E752" s="11"/>
      <c r="F752" s="13" t="str">
        <f>IFERROR(INDEX(都市マスタ[],MATCH(E752,都市マスタ['#],0),MATCH(F740,都市マスタ[#Headers],0)),"")</f>
        <v/>
      </c>
      <c r="G752" s="231" t="str">
        <f>IFERROR(INDEX(生データ表[],MATCH(E752,生データ表['#],0),MATCH(C740,生データ表[#Headers],0)),"")</f>
        <v/>
      </c>
      <c r="H752" s="236" t="str">
        <f>IFERROR(INDEX(スコア表[],MATCH(E752,スコア表['#],0),MATCH(C740,スコア表[#Headers],0)),"")</f>
        <v/>
      </c>
    </row>
    <row r="753" spans="2:8">
      <c r="E753" s="11"/>
      <c r="F753" s="13" t="str">
        <f>IFERROR(INDEX(都市マスタ[],MATCH(E753,都市マスタ['#],0),MATCH(F740,都市マスタ[#Headers],0)),"")</f>
        <v/>
      </c>
      <c r="G753" s="231" t="str">
        <f>IFERROR(INDEX(生データ表[],MATCH(E753,生データ表['#],0),MATCH(C740,生データ表[#Headers],0)),"")</f>
        <v/>
      </c>
      <c r="H753" s="236" t="str">
        <f>IFERROR(INDEX(スコア表[],MATCH(E753,スコア表['#],0),MATCH(C740,スコア表[#Headers],0)),"")</f>
        <v/>
      </c>
    </row>
    <row r="755" spans="2:8">
      <c r="B755" s="36" t="s">
        <v>208</v>
      </c>
      <c r="C755" s="37" t="s">
        <v>583</v>
      </c>
      <c r="E755" s="35" t="s">
        <v>208</v>
      </c>
      <c r="F755" s="36" t="str">
        <f>IF(JPEN!$C$2="EN",都市!$C$2,都市!$D$2)</f>
        <v>都市名</v>
      </c>
      <c r="G755" s="36" t="s">
        <v>644</v>
      </c>
      <c r="H755" s="36" t="s">
        <v>645</v>
      </c>
    </row>
    <row r="756" spans="2:8">
      <c r="B756" s="36" t="str">
        <f>IF(JPEN!$C$2="EN",指標!$I$2,指標!$H$2)</f>
        <v>指標</v>
      </c>
      <c r="C756" s="13" t="str">
        <f ca="1">INDEX(INDIRECT("指標マスタ["&amp;B756&amp;"]"),MATCH(C755,指標マスタ['#],0))</f>
        <v>メンタルヘルス水準</v>
      </c>
      <c r="E756" s="11">
        <v>3</v>
      </c>
      <c r="F756" s="13" t="str">
        <f>IFERROR(INDEX(都市マスタ[],MATCH(E756,都市マスタ['#],0),MATCH(F755,都市マスタ[#Headers],0)),"")</f>
        <v>ロンドン</v>
      </c>
      <c r="G756" s="5">
        <f>IFERROR(INDEX(生データ表[],MATCH(E756,生データ表['#],0),MATCH(C755,生データ表[#Headers],0)),"")</f>
        <v>14.5932110497432</v>
      </c>
      <c r="H756" s="236">
        <f>IFERROR(INDEX(スコア表[],MATCH(E756,スコア表['#],0),MATCH(C755,スコア表[#Headers],0)),"")</f>
        <v>83.276426823999998</v>
      </c>
    </row>
    <row r="757" spans="2:8">
      <c r="B757" s="36" t="str">
        <f>IF(JPEN!$C$2="EN",指標!$L$2,指標!$K$2)</f>
        <v>単位</v>
      </c>
      <c r="C757" s="13" t="str">
        <f>INDEX(指標マスタ[],MATCH(C755,指標マスタ['#],0),MATCH(B757,指標マスタ[#Headers],0))</f>
        <v>（合算）</v>
      </c>
      <c r="E757" s="11">
        <v>38</v>
      </c>
      <c r="F757" s="13" t="str">
        <f>IFERROR(INDEX(都市マスタ[],MATCH(E757,都市マスタ['#],0),MATCH(F755,都市マスタ[#Headers],0)),"")</f>
        <v>ニューヨーク</v>
      </c>
      <c r="G757" s="5">
        <f>IFERROR(INDEX(生データ表[],MATCH(E757,生データ表['#],0),MATCH(C755,生データ表[#Headers],0)),"")</f>
        <v>52.542387828333801</v>
      </c>
      <c r="H757" s="236">
        <f>IFERROR(INDEX(スコア表[],MATCH(E757,スコア表['#],0),MATCH(C755,スコア表[#Headers],0)),"")</f>
        <v>26.423458706000002</v>
      </c>
    </row>
    <row r="758" spans="2:8">
      <c r="B758" s="36" t="s">
        <v>646</v>
      </c>
      <c r="C758" s="13" t="str">
        <f>INDEX(生データ表2[],MATCH(B758,生データ表2[maxmin],0),MATCH(C755,生データ表2[#Headers],0))</f>
        <v>マイナス</v>
      </c>
      <c r="E758" s="11">
        <v>29</v>
      </c>
      <c r="F758" s="13" t="str">
        <f>IFERROR(INDEX(都市マスタ[],MATCH(E758,都市マスタ['#],0),MATCH(F755,都市マスタ[#Headers],0)),"")</f>
        <v>東京</v>
      </c>
      <c r="G758" s="5">
        <f>IFERROR(INDEX(生データ表[],MATCH(E758,生データ表['#],0),MATCH(C755,生データ表[#Headers],0)),"")</f>
        <v>27.111998667526102</v>
      </c>
      <c r="H758" s="236">
        <f>IFERROR(INDEX(スコア表[],MATCH(E758,スコア表['#],0),MATCH(C755,スコア表[#Headers],0)),"")</f>
        <v>64.521600139300006</v>
      </c>
    </row>
    <row r="759" spans="2:8">
      <c r="E759" s="11">
        <v>4</v>
      </c>
      <c r="F759" s="13" t="str">
        <f>IFERROR(INDEX(都市マスタ[],MATCH(E759,都市マスタ['#],0),MATCH(F755,都市マスタ[#Headers],0)),"")</f>
        <v>パリ</v>
      </c>
      <c r="G759" s="5">
        <f>IFERROR(INDEX(生データ表[],MATCH(E759,生データ表['#],0),MATCH(C755,生データ表[#Headers],0)),"")</f>
        <v>20.701695668115299</v>
      </c>
      <c r="H759" s="236">
        <f>IFERROR(INDEX(スコア表[],MATCH(E759,スコア表['#],0),MATCH(C755,スコア表[#Headers],0)),"")</f>
        <v>74.125095735000002</v>
      </c>
    </row>
    <row r="760" spans="2:8">
      <c r="B760" s="240" t="s">
        <v>2067</v>
      </c>
      <c r="E760" s="11">
        <v>21</v>
      </c>
      <c r="F760" s="13" t="str">
        <f>IFERROR(INDEX(都市マスタ[],MATCH(E760,都市マスタ['#],0),MATCH(F755,都市マスタ[#Headers],0)),"")</f>
        <v>シンガポール</v>
      </c>
      <c r="G760" s="5">
        <f>IFERROR(INDEX(生データ表[],MATCH(E760,生データ表['#],0),MATCH(C755,生データ表[#Headers],0)),"")</f>
        <v>17.423644347563201</v>
      </c>
      <c r="H760" s="236">
        <f>IFERROR(INDEX(スコア表[],MATCH(E760,スコア表['#],0),MATCH(C755,スコア表[#Headers],0)),"")</f>
        <v>79.036057263999993</v>
      </c>
    </row>
    <row r="761" spans="2:8">
      <c r="E761" s="11">
        <v>26</v>
      </c>
      <c r="F761" s="13" t="str">
        <f>IFERROR(INDEX(都市マスタ[],MATCH(E761,都市マスタ['#],0),MATCH(F755,都市マスタ[#Headers],0)),"")</f>
        <v>ソウル</v>
      </c>
      <c r="G761" s="5">
        <f>IFERROR(INDEX(生データ表[],MATCH(E761,生データ表['#],0),MATCH(C755,生データ表[#Headers],0)),"")</f>
        <v>46.433226005326702</v>
      </c>
      <c r="H761" s="236">
        <f>IFERROR(INDEX(スコア表[],MATCH(E761,スコア表['#],0),MATCH(C755,スコア表[#Headers],0)),"")</f>
        <v>35.575804338600001</v>
      </c>
    </row>
    <row r="762" spans="2:8">
      <c r="E762" s="11">
        <v>22</v>
      </c>
      <c r="F762" s="13" t="str">
        <f>IFERROR(INDEX(都市マスタ[],MATCH(E762,都市マスタ['#],0),MATCH(F755,都市マスタ[#Headers],0)),"")</f>
        <v>香港</v>
      </c>
      <c r="G762" s="5">
        <f>IFERROR(INDEX(生データ表[],MATCH(E762,生データ表['#],0),MATCH(C755,生データ表[#Headers],0)),"")</f>
        <v>23.073286052009401</v>
      </c>
      <c r="H762" s="236">
        <f>IFERROR(INDEX(スコア表[],MATCH(E762,スコア表['#],0),MATCH(C755,スコア表[#Headers],0)),"")</f>
        <v>70.572134539800004</v>
      </c>
    </row>
    <row r="763" spans="2:8">
      <c r="E763" s="11">
        <v>23</v>
      </c>
      <c r="F763" s="13" t="str">
        <f>IFERROR(INDEX(都市マスタ[],MATCH(E763,都市マスタ['#],0),MATCH(F755,都市マスタ[#Headers],0)),"")</f>
        <v>北京</v>
      </c>
      <c r="G763" s="5">
        <f>IFERROR(INDEX(生データ表[],MATCH(E763,生データ表['#],0),MATCH(C755,生データ表[#Headers],0)),"")</f>
        <v>60.236406619385299</v>
      </c>
      <c r="H763" s="236">
        <f>IFERROR(INDEX(スコア表[],MATCH(E763,スコア表['#],0),MATCH(C755,スコア表[#Headers],0)),"")</f>
        <v>14.896784291399999</v>
      </c>
    </row>
    <row r="764" spans="2:8">
      <c r="B764" s="240" t="s">
        <v>2068</v>
      </c>
      <c r="E764" s="11">
        <v>24</v>
      </c>
      <c r="F764" s="13" t="str">
        <f>IFERROR(INDEX(都市マスタ[],MATCH(E764,都市マスタ['#],0),MATCH(F755,都市マスタ[#Headers],0)),"")</f>
        <v>上海</v>
      </c>
      <c r="G764" s="5">
        <f>IFERROR(INDEX(生データ表[],MATCH(E764,生データ表['#],0),MATCH(C755,生データ表[#Headers],0)),"")</f>
        <v>60.236406619385299</v>
      </c>
      <c r="H764" s="236">
        <f>IFERROR(INDEX(スコア表[],MATCH(E764,スコア表['#],0),MATCH(C755,スコア表[#Headers],0)),"")</f>
        <v>14.896784291399999</v>
      </c>
    </row>
    <row r="765" spans="2:8">
      <c r="B765" t="s">
        <v>2070</v>
      </c>
      <c r="E765" s="11"/>
      <c r="F765" s="13" t="str">
        <f>IFERROR(INDEX(都市マスタ[],MATCH(E765,都市マスタ['#],0),MATCH(F755,都市マスタ[#Headers],0)),"")</f>
        <v/>
      </c>
      <c r="G765" s="231" t="str">
        <f>IFERROR(INDEX(生データ表[],MATCH(E765,生データ表['#],0),MATCH(C755,生データ表[#Headers],0)),"")</f>
        <v/>
      </c>
      <c r="H765" s="236" t="str">
        <f>IFERROR(INDEX(スコア表[],MATCH(E765,スコア表['#],0),MATCH(C755,スコア表[#Headers],0)),"")</f>
        <v/>
      </c>
    </row>
    <row r="766" spans="2:8">
      <c r="B766" t="s">
        <v>2071</v>
      </c>
      <c r="E766" s="11"/>
      <c r="F766" s="13" t="str">
        <f>IFERROR(INDEX(都市マスタ[],MATCH(E766,都市マスタ['#],0),MATCH(F755,都市マスタ[#Headers],0)),"")</f>
        <v/>
      </c>
      <c r="G766" s="231" t="str">
        <f>IFERROR(INDEX(生データ表[],MATCH(E766,生データ表['#],0),MATCH(C755,生データ表[#Headers],0)),"")</f>
        <v/>
      </c>
      <c r="H766" s="236" t="str">
        <f>IFERROR(INDEX(スコア表[],MATCH(E766,スコア表['#],0),MATCH(C755,スコア表[#Headers],0)),"")</f>
        <v/>
      </c>
    </row>
    <row r="767" spans="2:8">
      <c r="B767" t="s">
        <v>2069</v>
      </c>
      <c r="E767" s="11"/>
      <c r="F767" s="13" t="str">
        <f>IFERROR(INDEX(都市マスタ[],MATCH(E767,都市マスタ['#],0),MATCH(F755,都市マスタ[#Headers],0)),"")</f>
        <v/>
      </c>
      <c r="G767" s="231" t="str">
        <f>IFERROR(INDEX(生データ表[],MATCH(E767,生データ表['#],0),MATCH(C755,生データ表[#Headers],0)),"")</f>
        <v/>
      </c>
      <c r="H767" s="236" t="str">
        <f>IFERROR(INDEX(スコア表[],MATCH(E767,スコア表['#],0),MATCH(C755,スコア表[#Headers],0)),"")</f>
        <v/>
      </c>
    </row>
    <row r="768" spans="2:8">
      <c r="E768" s="11"/>
      <c r="F768" s="13" t="str">
        <f>IFERROR(INDEX(都市マスタ[],MATCH(E768,都市マスタ['#],0),MATCH(F755,都市マスタ[#Headers],0)),"")</f>
        <v/>
      </c>
      <c r="G768" s="231" t="str">
        <f>IFERROR(INDEX(生データ表[],MATCH(E768,生データ表['#],0),MATCH(C755,生データ表[#Headers],0)),"")</f>
        <v/>
      </c>
      <c r="H768" s="236" t="str">
        <f>IFERROR(INDEX(スコア表[],MATCH(E768,スコア表['#],0),MATCH(C755,スコア表[#Headers],0)),"")</f>
        <v/>
      </c>
    </row>
    <row r="770" spans="2:8">
      <c r="B770" s="36" t="s">
        <v>208</v>
      </c>
      <c r="C770" s="37" t="s">
        <v>584</v>
      </c>
      <c r="E770" s="35" t="s">
        <v>208</v>
      </c>
      <c r="F770" s="36" t="str">
        <f>IF(JPEN!$C$2="EN",都市!$C$2,都市!$D$2)</f>
        <v>都市名</v>
      </c>
      <c r="G770" s="36" t="s">
        <v>644</v>
      </c>
      <c r="H770" s="36" t="s">
        <v>645</v>
      </c>
    </row>
    <row r="771" spans="2:8">
      <c r="B771" s="36" t="str">
        <f>IF(JPEN!$C$2="EN",指標!$I$2,指標!$H$2)</f>
        <v>指標</v>
      </c>
      <c r="C771" s="13" t="str">
        <f ca="1">INDEX(INDIRECT("指標マスタ["&amp;B771&amp;"]"),MATCH(C770,指標マスタ['#],0))</f>
        <v>医師数</v>
      </c>
      <c r="E771" s="11">
        <v>3</v>
      </c>
      <c r="F771" s="13" t="str">
        <f>IFERROR(INDEX(都市マスタ[],MATCH(E771,都市マスタ['#],0),MATCH(F770,都市マスタ[#Headers],0)),"")</f>
        <v>ロンドン</v>
      </c>
      <c r="G771" s="5">
        <f>IFERROR(INDEX(生データ表[],MATCH(E771,生データ表['#],0),MATCH(C770,生データ表[#Headers],0)),"")</f>
        <v>4132.4473515467198</v>
      </c>
      <c r="H771" s="236">
        <f>IFERROR(INDEX(スコア表[],MATCH(E771,スコア表['#],0),MATCH(C770,スコア表[#Headers],0)),"")</f>
        <v>42.771112084899997</v>
      </c>
    </row>
    <row r="772" spans="2:8">
      <c r="B772" s="36" t="str">
        <f>IF(JPEN!$C$2="EN",指標!$L$2,指標!$K$2)</f>
        <v>単位</v>
      </c>
      <c r="C772" s="13" t="str">
        <f>INDEX(指標マスタ[],MATCH(C770,指標マスタ['#],0),MATCH(B772,指標マスタ[#Headers],0))</f>
        <v>人/百万人</v>
      </c>
      <c r="E772" s="11">
        <v>38</v>
      </c>
      <c r="F772" s="13" t="str">
        <f>IFERROR(INDEX(都市マスタ[],MATCH(E772,都市マスタ['#],0),MATCH(F770,都市マスタ[#Headers],0)),"")</f>
        <v>ニューヨーク</v>
      </c>
      <c r="G772" s="5">
        <f>IFERROR(INDEX(生データ表[],MATCH(E772,生データ表['#],0),MATCH(C770,生データ表[#Headers],0)),"")</f>
        <v>3602.2271099729201</v>
      </c>
      <c r="H772" s="236">
        <f>IFERROR(INDEX(スコア表[],MATCH(E772,スコア表['#],0),MATCH(C770,スコア表[#Headers],0)),"")</f>
        <v>36.258090682999999</v>
      </c>
    </row>
    <row r="773" spans="2:8">
      <c r="B773" s="36" t="s">
        <v>646</v>
      </c>
      <c r="C773" s="13" t="str">
        <f>INDEX(生データ表2[],MATCH(B773,生データ表2[maxmin],0),MATCH(C770,生データ表2[#Headers],0))</f>
        <v>プラス</v>
      </c>
      <c r="E773" s="11">
        <v>29</v>
      </c>
      <c r="F773" s="13" t="str">
        <f>IFERROR(INDEX(都市マスタ[],MATCH(E773,都市マスタ['#],0),MATCH(F770,都市マスタ[#Headers],0)),"")</f>
        <v>東京</v>
      </c>
      <c r="G773" s="5">
        <f>IFERROR(INDEX(生データ表[],MATCH(E773,生データ表['#],0),MATCH(C770,生データ表[#Headers],0)),"")</f>
        <v>4579.5698702601403</v>
      </c>
      <c r="H773" s="236">
        <f>IFERROR(INDEX(スコア表[],MATCH(E773,スコア表['#],0),MATCH(C770,スコア表[#Headers],0)),"")</f>
        <v>48.2633930378</v>
      </c>
    </row>
    <row r="774" spans="2:8">
      <c r="E774" s="11">
        <v>4</v>
      </c>
      <c r="F774" s="13" t="str">
        <f>IFERROR(INDEX(都市マスタ[],MATCH(E774,都市マスタ['#],0),MATCH(F770,都市マスタ[#Headers],0)),"")</f>
        <v>パリ</v>
      </c>
      <c r="G774" s="5">
        <f>IFERROR(INDEX(生データ表[],MATCH(E774,生データ表['#],0),MATCH(C770,生データ表[#Headers],0)),"")</f>
        <v>7117.8734278973498</v>
      </c>
      <c r="H774" s="236">
        <f>IFERROR(INDEX(スコア表[],MATCH(E774,スコア表['#],0),MATCH(C770,スコア表[#Headers],0)),"")</f>
        <v>79.442937119899995</v>
      </c>
    </row>
    <row r="775" spans="2:8">
      <c r="B775" s="240" t="s">
        <v>2067</v>
      </c>
      <c r="E775" s="11">
        <v>21</v>
      </c>
      <c r="F775" s="13" t="str">
        <f>IFERROR(INDEX(都市マスタ[],MATCH(E775,都市マスタ['#],0),MATCH(F770,都市マスタ[#Headers],0)),"")</f>
        <v>シンガポール</v>
      </c>
      <c r="G775" s="5">
        <f>IFERROR(INDEX(生データ表[],MATCH(E775,生データ表['#],0),MATCH(C770,生データ表[#Headers],0)),"")</f>
        <v>2503.5065572620802</v>
      </c>
      <c r="H775" s="236">
        <f>IFERROR(INDEX(スコア表[],MATCH(E775,スコア表['#],0),MATCH(C770,スコア表[#Headers],0)),"")</f>
        <v>22.7618302361</v>
      </c>
    </row>
    <row r="776" spans="2:8">
      <c r="E776" s="11">
        <v>26</v>
      </c>
      <c r="F776" s="13" t="str">
        <f>IFERROR(INDEX(都市マスタ[],MATCH(E776,都市マスタ['#],0),MATCH(F770,都市マスタ[#Headers],0)),"")</f>
        <v>ソウル</v>
      </c>
      <c r="G776" s="5">
        <f>IFERROR(INDEX(生データ表[],MATCH(E776,生データ表['#],0),MATCH(C770,生データ表[#Headers],0)),"")</f>
        <v>2496.78959621178</v>
      </c>
      <c r="H776" s="236">
        <f>IFERROR(INDEX(スコア表[],MATCH(E776,スコア表['#],0),MATCH(C770,スコア表[#Headers],0)),"")</f>
        <v>22.679321671499999</v>
      </c>
    </row>
    <row r="777" spans="2:8">
      <c r="E777" s="11">
        <v>22</v>
      </c>
      <c r="F777" s="13" t="str">
        <f>IFERROR(INDEX(都市マスタ[],MATCH(E777,都市マスタ['#],0),MATCH(F770,都市マスタ[#Headers],0)),"")</f>
        <v>香港</v>
      </c>
      <c r="G777" s="5">
        <f>IFERROR(INDEX(生データ表[],MATCH(E777,生データ表['#],0),MATCH(C770,生データ表[#Headers],0)),"")</f>
        <v>3157.7962522387602</v>
      </c>
      <c r="H777" s="236">
        <f>IFERROR(INDEX(スコア表[],MATCH(E777,スコア表['#],0),MATCH(C770,スコア表[#Headers],0)),"")</f>
        <v>30.7988730577</v>
      </c>
    </row>
    <row r="778" spans="2:8">
      <c r="E778" s="11">
        <v>23</v>
      </c>
      <c r="F778" s="13" t="str">
        <f>IFERROR(INDEX(都市マスタ[],MATCH(E778,都市マスタ['#],0),MATCH(F770,都市マスタ[#Headers],0)),"")</f>
        <v>北京</v>
      </c>
      <c r="G778" s="5">
        <f>IFERROR(INDEX(生データ表[],MATCH(E778,生データ表['#],0),MATCH(C770,生データ表[#Headers],0)),"")</f>
        <v>2679.7224915962602</v>
      </c>
      <c r="H778" s="236">
        <f>IFERROR(INDEX(スコア表[],MATCH(E778,スコア表['#],0),MATCH(C770,スコア表[#Headers],0)),"")</f>
        <v>24.92639896</v>
      </c>
    </row>
    <row r="779" spans="2:8">
      <c r="B779" s="240" t="s">
        <v>2068</v>
      </c>
      <c r="E779" s="11">
        <v>24</v>
      </c>
      <c r="F779" s="13" t="str">
        <f>IFERROR(INDEX(都市マスタ[],MATCH(E779,都市マスタ['#],0),MATCH(F770,都市マスタ[#Headers],0)),"")</f>
        <v>上海</v>
      </c>
      <c r="G779" s="5">
        <f>IFERROR(INDEX(生データ表[],MATCH(E779,生データ表['#],0),MATCH(C770,生データ表[#Headers],0)),"")</f>
        <v>2562.8899834701601</v>
      </c>
      <c r="H779" s="236">
        <f>IFERROR(INDEX(スコア表[],MATCH(E779,スコア表['#],0),MATCH(C770,スコア表[#Headers],0)),"")</f>
        <v>23.491273391</v>
      </c>
    </row>
    <row r="780" spans="2:8">
      <c r="B780" t="s">
        <v>2070</v>
      </c>
      <c r="E780" s="11"/>
      <c r="F780" s="13" t="str">
        <f>IFERROR(INDEX(都市マスタ[],MATCH(E780,都市マスタ['#],0),MATCH(F770,都市マスタ[#Headers],0)),"")</f>
        <v/>
      </c>
      <c r="G780" s="231" t="str">
        <f>IFERROR(INDEX(生データ表[],MATCH(E780,生データ表['#],0),MATCH(C770,生データ表[#Headers],0)),"")</f>
        <v/>
      </c>
      <c r="H780" s="236" t="str">
        <f>IFERROR(INDEX(スコア表[],MATCH(E780,スコア表['#],0),MATCH(C770,スコア表[#Headers],0)),"")</f>
        <v/>
      </c>
    </row>
    <row r="781" spans="2:8">
      <c r="B781" t="s">
        <v>2071</v>
      </c>
      <c r="E781" s="11"/>
      <c r="F781" s="13" t="str">
        <f>IFERROR(INDEX(都市マスタ[],MATCH(E781,都市マスタ['#],0),MATCH(F770,都市マスタ[#Headers],0)),"")</f>
        <v/>
      </c>
      <c r="G781" s="231" t="str">
        <f>IFERROR(INDEX(生データ表[],MATCH(E781,生データ表['#],0),MATCH(C770,生データ表[#Headers],0)),"")</f>
        <v/>
      </c>
      <c r="H781" s="236" t="str">
        <f>IFERROR(INDEX(スコア表[],MATCH(E781,スコア表['#],0),MATCH(C770,スコア表[#Headers],0)),"")</f>
        <v/>
      </c>
    </row>
    <row r="782" spans="2:8">
      <c r="B782" t="s">
        <v>2069</v>
      </c>
      <c r="E782" s="11"/>
      <c r="F782" s="13" t="str">
        <f>IFERROR(INDEX(都市マスタ[],MATCH(E782,都市マスタ['#],0),MATCH(F770,都市マスタ[#Headers],0)),"")</f>
        <v/>
      </c>
      <c r="G782" s="231" t="str">
        <f>IFERROR(INDEX(生データ表[],MATCH(E782,生データ表['#],0),MATCH(C770,生データ表[#Headers],0)),"")</f>
        <v/>
      </c>
      <c r="H782" s="236" t="str">
        <f>IFERROR(INDEX(スコア表[],MATCH(E782,スコア表['#],0),MATCH(C770,スコア表[#Headers],0)),"")</f>
        <v/>
      </c>
    </row>
    <row r="783" spans="2:8">
      <c r="E783" s="11"/>
      <c r="F783" s="13" t="str">
        <f>IFERROR(INDEX(都市マスタ[],MATCH(E783,都市マスタ['#],0),MATCH(F770,都市マスタ[#Headers],0)),"")</f>
        <v/>
      </c>
      <c r="G783" s="231" t="str">
        <f>IFERROR(INDEX(生データ表[],MATCH(E783,生データ表['#],0),MATCH(C770,生データ表[#Headers],0)),"")</f>
        <v/>
      </c>
      <c r="H783" s="236" t="str">
        <f>IFERROR(INDEX(スコア表[],MATCH(E783,スコア表['#],0),MATCH(C770,スコア表[#Headers],0)),"")</f>
        <v/>
      </c>
    </row>
    <row r="785" spans="2:8">
      <c r="B785" s="36" t="s">
        <v>208</v>
      </c>
      <c r="C785" s="37" t="s">
        <v>585</v>
      </c>
      <c r="E785" s="35" t="s">
        <v>208</v>
      </c>
      <c r="F785" s="36" t="str">
        <f>IF(JPEN!$C$2="EN",都市!$C$2,都市!$D$2)</f>
        <v>都市名</v>
      </c>
      <c r="G785" s="36" t="s">
        <v>644</v>
      </c>
      <c r="H785" s="36" t="s">
        <v>645</v>
      </c>
    </row>
    <row r="786" spans="2:8">
      <c r="B786" s="36" t="str">
        <f>IF(JPEN!$C$2="EN",指標!$I$2,指標!$H$2)</f>
        <v>指標</v>
      </c>
      <c r="C786" s="13" t="str">
        <f ca="1">INDEX(INDIRECT("指標マスタ["&amp;B786&amp;"]"),MATCH(C785,指標マスタ['#],0))</f>
        <v>ICT環境の充実度</v>
      </c>
      <c r="E786" s="11">
        <v>3</v>
      </c>
      <c r="F786" s="13" t="str">
        <f>IFERROR(INDEX(都市マスタ[],MATCH(E786,都市マスタ['#],0),MATCH(F785,都市マスタ[#Headers],0)),"")</f>
        <v>ロンドン</v>
      </c>
      <c r="G786" s="5">
        <f>IFERROR(INDEX(生データ表[],MATCH(E786,生データ表['#],0),MATCH(C785,生データ表[#Headers],0)),"")</f>
        <v>82.082491616209495</v>
      </c>
      <c r="H786" s="236">
        <f>IFERROR(INDEX(スコア表[],MATCH(E786,スコア表['#],0),MATCH(C785,スコア表[#Headers],0)),"")</f>
        <v>84.858753760200003</v>
      </c>
    </row>
    <row r="787" spans="2:8">
      <c r="B787" s="36" t="str">
        <f>IF(JPEN!$C$2="EN",指標!$L$2,指標!$K$2)</f>
        <v>単位</v>
      </c>
      <c r="C787" s="13" t="str">
        <f>INDEX(指標マスタ[],MATCH(C785,指標マスタ['#],0),MATCH(B787,指標マスタ[#Headers],0))</f>
        <v>pt</v>
      </c>
      <c r="E787" s="11">
        <v>38</v>
      </c>
      <c r="F787" s="13" t="str">
        <f>IFERROR(INDEX(都市マスタ[],MATCH(E787,都市マスタ['#],0),MATCH(F785,都市マスタ[#Headers],0)),"")</f>
        <v>ニューヨーク</v>
      </c>
      <c r="G787" s="5">
        <f>IFERROR(INDEX(生データ表[],MATCH(E787,生データ表['#],0),MATCH(C785,生データ表[#Headers],0)),"")</f>
        <v>88.068681249780397</v>
      </c>
      <c r="H787" s="236">
        <f>IFERROR(INDEX(スコア表[],MATCH(E787,スコア表['#],0),MATCH(C785,スコア表[#Headers],0)),"")</f>
        <v>100</v>
      </c>
    </row>
    <row r="788" spans="2:8">
      <c r="B788" s="36" t="s">
        <v>646</v>
      </c>
      <c r="C788" s="13" t="str">
        <f>INDEX(生データ表2[],MATCH(B788,生データ表2[maxmin],0),MATCH(C785,生データ表2[#Headers],0))</f>
        <v>プラス</v>
      </c>
      <c r="E788" s="11">
        <v>29</v>
      </c>
      <c r="F788" s="13" t="str">
        <f>IFERROR(INDEX(都市マスタ[],MATCH(E788,都市マスタ['#],0),MATCH(F785,都市マスタ[#Headers],0)),"")</f>
        <v>東京</v>
      </c>
      <c r="G788" s="5">
        <f>IFERROR(INDEX(生データ表[],MATCH(E788,生データ表['#],0),MATCH(C785,生データ表[#Headers],0)),"")</f>
        <v>70.539136108090403</v>
      </c>
      <c r="H788" s="236">
        <f>IFERROR(INDEX(スコア表[],MATCH(E788,スコア表['#],0),MATCH(C785,スコア表[#Headers],0)),"")</f>
        <v>55.661418079000001</v>
      </c>
    </row>
    <row r="789" spans="2:8">
      <c r="E789" s="11">
        <v>4</v>
      </c>
      <c r="F789" s="13" t="str">
        <f>IFERROR(INDEX(都市マスタ[],MATCH(E789,都市マスタ['#],0),MATCH(F785,都市マスタ[#Headers],0)),"")</f>
        <v>パリ</v>
      </c>
      <c r="G789" s="5">
        <f>IFERROR(INDEX(生データ表[],MATCH(E789,生データ表['#],0),MATCH(C785,生データ表[#Headers],0)),"")</f>
        <v>73.069888299046099</v>
      </c>
      <c r="H789" s="236">
        <f>IFERROR(INDEX(スコア表[],MATCH(E789,スコア表['#],0),MATCH(C785,スコア表[#Headers],0)),"")</f>
        <v>62.062608893300002</v>
      </c>
    </row>
    <row r="790" spans="2:8">
      <c r="B790" s="240" t="s">
        <v>2067</v>
      </c>
      <c r="E790" s="11">
        <v>21</v>
      </c>
      <c r="F790" s="13" t="str">
        <f>IFERROR(INDEX(都市マスタ[],MATCH(E790,都市マスタ['#],0),MATCH(F785,都市マスタ[#Headers],0)),"")</f>
        <v>シンガポール</v>
      </c>
      <c r="G790" s="5">
        <f>IFERROR(INDEX(生データ表[],MATCH(E790,生データ表['#],0),MATCH(C785,生データ表[#Headers],0)),"")</f>
        <v>80.081562182254203</v>
      </c>
      <c r="H790" s="236">
        <f>IFERROR(INDEX(スコア表[],MATCH(E790,スコア表['#],0),MATCH(C785,スコア表[#Headers],0)),"")</f>
        <v>79.797676994699998</v>
      </c>
    </row>
    <row r="791" spans="2:8">
      <c r="E791" s="11">
        <v>26</v>
      </c>
      <c r="F791" s="13" t="str">
        <f>IFERROR(INDEX(都市マスタ[],MATCH(E791,都市マスタ['#],0),MATCH(F785,都市マスタ[#Headers],0)),"")</f>
        <v>ソウル</v>
      </c>
      <c r="G791" s="5">
        <f>IFERROR(INDEX(生データ表[],MATCH(E791,生データ表['#],0),MATCH(C785,生データ表[#Headers],0)),"")</f>
        <v>77.814796457521993</v>
      </c>
      <c r="H791" s="236">
        <f>IFERROR(INDEX(スコア表[],MATCH(E791,スコア表['#],0),MATCH(C785,スコア表[#Headers],0)),"")</f>
        <v>74.064203766000006</v>
      </c>
    </row>
    <row r="792" spans="2:8">
      <c r="E792" s="11">
        <v>22</v>
      </c>
      <c r="F792" s="13" t="str">
        <f>IFERROR(INDEX(都市マスタ[],MATCH(E792,都市マスタ['#],0),MATCH(F785,都市マスタ[#Headers],0)),"")</f>
        <v>香港</v>
      </c>
      <c r="G792" s="5">
        <f>IFERROR(INDEX(生データ表[],MATCH(E792,生データ表['#],0),MATCH(C785,生データ表[#Headers],0)),"")</f>
        <v>68.748585650552201</v>
      </c>
      <c r="H792" s="236">
        <f>IFERROR(INDEX(スコア表[],MATCH(E792,スコア表['#],0),MATCH(C785,スコア表[#Headers],0)),"")</f>
        <v>51.132466100899997</v>
      </c>
    </row>
    <row r="793" spans="2:8">
      <c r="E793" s="11">
        <v>23</v>
      </c>
      <c r="F793" s="13" t="str">
        <f>IFERROR(INDEX(都市マスタ[],MATCH(E793,都市マスタ['#],0),MATCH(F785,都市マスタ[#Headers],0)),"")</f>
        <v>北京</v>
      </c>
      <c r="G793" s="5">
        <f>IFERROR(INDEX(生データ表[],MATCH(E793,生データ表['#],0),MATCH(C785,生データ表[#Headers],0)),"")</f>
        <v>77.985444348579605</v>
      </c>
      <c r="H793" s="236">
        <f>IFERROR(INDEX(スコア表[],MATCH(E793,スコア表['#],0),MATCH(C785,スコア表[#Headers],0)),"")</f>
        <v>74.495834218200002</v>
      </c>
    </row>
    <row r="794" spans="2:8">
      <c r="B794" s="240" t="s">
        <v>2068</v>
      </c>
      <c r="E794" s="11">
        <v>24</v>
      </c>
      <c r="F794" s="13" t="str">
        <f>IFERROR(INDEX(都市マスタ[],MATCH(E794,都市マスタ['#],0),MATCH(F785,都市マスタ[#Headers],0)),"")</f>
        <v>上海</v>
      </c>
      <c r="G794" s="5">
        <f>IFERROR(INDEX(生データ表[],MATCH(E794,生データ表['#],0),MATCH(C785,生データ表[#Headers],0)),"")</f>
        <v>77.985444348579605</v>
      </c>
      <c r="H794" s="236">
        <f>IFERROR(INDEX(スコア表[],MATCH(E794,スコア表['#],0),MATCH(C785,スコア表[#Headers],0)),"")</f>
        <v>74.495834218200002</v>
      </c>
    </row>
    <row r="795" spans="2:8">
      <c r="B795" t="s">
        <v>2070</v>
      </c>
      <c r="E795" s="11"/>
      <c r="F795" s="13" t="str">
        <f>IFERROR(INDEX(都市マスタ[],MATCH(E795,都市マスタ['#],0),MATCH(F785,都市マスタ[#Headers],0)),"")</f>
        <v/>
      </c>
      <c r="G795" s="231" t="str">
        <f>IFERROR(INDEX(生データ表[],MATCH(E795,生データ表['#],0),MATCH(C785,生データ表[#Headers],0)),"")</f>
        <v/>
      </c>
      <c r="H795" s="236" t="str">
        <f>IFERROR(INDEX(スコア表[],MATCH(E795,スコア表['#],0),MATCH(C785,スコア表[#Headers],0)),"")</f>
        <v/>
      </c>
    </row>
    <row r="796" spans="2:8">
      <c r="B796" t="s">
        <v>2071</v>
      </c>
      <c r="E796" s="11"/>
      <c r="F796" s="13" t="str">
        <f>IFERROR(INDEX(都市マスタ[],MATCH(E796,都市マスタ['#],0),MATCH(F785,都市マスタ[#Headers],0)),"")</f>
        <v/>
      </c>
      <c r="G796" s="231" t="str">
        <f>IFERROR(INDEX(生データ表[],MATCH(E796,生データ表['#],0),MATCH(C785,生データ表[#Headers],0)),"")</f>
        <v/>
      </c>
      <c r="H796" s="236" t="str">
        <f>IFERROR(INDEX(スコア表[],MATCH(E796,スコア表['#],0),MATCH(C785,スコア表[#Headers],0)),"")</f>
        <v/>
      </c>
    </row>
    <row r="797" spans="2:8">
      <c r="B797" t="s">
        <v>2069</v>
      </c>
      <c r="E797" s="11"/>
      <c r="F797" s="13" t="str">
        <f>IFERROR(INDEX(都市マスタ[],MATCH(E797,都市マスタ['#],0),MATCH(F785,都市マスタ[#Headers],0)),"")</f>
        <v/>
      </c>
      <c r="G797" s="231" t="str">
        <f>IFERROR(INDEX(生データ表[],MATCH(E797,生データ表['#],0),MATCH(C785,生データ表[#Headers],0)),"")</f>
        <v/>
      </c>
      <c r="H797" s="236" t="str">
        <f>IFERROR(INDEX(スコア表[],MATCH(E797,スコア表['#],0),MATCH(C785,スコア表[#Headers],0)),"")</f>
        <v/>
      </c>
    </row>
    <row r="798" spans="2:8">
      <c r="E798" s="11"/>
      <c r="F798" s="13" t="str">
        <f>IFERROR(INDEX(都市マスタ[],MATCH(E798,都市マスタ['#],0),MATCH(F785,都市マスタ[#Headers],0)),"")</f>
        <v/>
      </c>
      <c r="G798" s="231" t="str">
        <f>IFERROR(INDEX(生データ表[],MATCH(E798,生データ表['#],0),MATCH(C785,生データ表[#Headers],0)),"")</f>
        <v/>
      </c>
      <c r="H798" s="236" t="str">
        <f>IFERROR(INDEX(スコア表[],MATCH(E798,スコア表['#],0),MATCH(C785,スコア表[#Headers],0)),"")</f>
        <v/>
      </c>
    </row>
    <row r="800" spans="2:8">
      <c r="B800" s="36" t="s">
        <v>208</v>
      </c>
      <c r="C800" s="37" t="s">
        <v>586</v>
      </c>
      <c r="E800" s="35" t="s">
        <v>208</v>
      </c>
      <c r="F800" s="36" t="str">
        <f>IF(JPEN!$C$2="EN",都市!$C$2,都市!$D$2)</f>
        <v>都市名</v>
      </c>
      <c r="G800" s="36" t="s">
        <v>644</v>
      </c>
      <c r="H800" s="36" t="s">
        <v>645</v>
      </c>
    </row>
    <row r="801" spans="2:8">
      <c r="B801" s="36" t="str">
        <f>IF(JPEN!$C$2="EN",指標!$I$2,指標!$H$2)</f>
        <v>指標</v>
      </c>
      <c r="C801" s="13" t="str">
        <f ca="1">INDEX(INDIRECT("指標マスタ["&amp;B801&amp;"]"),MATCH(C800,指標マスタ['#],0))</f>
        <v>小売店舗の多さ</v>
      </c>
      <c r="E801" s="11">
        <v>3</v>
      </c>
      <c r="F801" s="13" t="str">
        <f>IFERROR(INDEX(都市マスタ[],MATCH(E801,都市マスタ['#],0),MATCH(F800,都市マスタ[#Headers],0)),"")</f>
        <v>ロンドン</v>
      </c>
      <c r="G801" s="5">
        <f>IFERROR(INDEX(生データ表[],MATCH(E801,生データ表['#],0),MATCH(C800,生データ表[#Headers],0)),"")</f>
        <v>60.0452053823253</v>
      </c>
      <c r="H801" s="236">
        <f>IFERROR(INDEX(スコア表[],MATCH(E801,スコア表['#],0),MATCH(C800,スコア表[#Headers],0)),"")</f>
        <v>71.881787993399996</v>
      </c>
    </row>
    <row r="802" spans="2:8">
      <c r="B802" s="36" t="str">
        <f>IF(JPEN!$C$2="EN",指標!$L$2,指標!$K$2)</f>
        <v>単位</v>
      </c>
      <c r="C802" s="13" t="str">
        <f>INDEX(指標マスタ[],MATCH(C800,指標マスタ['#],0),MATCH(B802,指標マスタ[#Headers],0))</f>
        <v>（合算）</v>
      </c>
      <c r="E802" s="11">
        <v>38</v>
      </c>
      <c r="F802" s="13" t="str">
        <f>IFERROR(INDEX(都市マスタ[],MATCH(E802,都市マスタ['#],0),MATCH(F800,都市マスタ[#Headers],0)),"")</f>
        <v>ニューヨーク</v>
      </c>
      <c r="G802" s="5">
        <f>IFERROR(INDEX(生データ表[],MATCH(E802,生データ表['#],0),MATCH(C800,生データ表[#Headers],0)),"")</f>
        <v>51.713073430742099</v>
      </c>
      <c r="H802" s="236">
        <f>IFERROR(INDEX(スコア表[],MATCH(E802,スコア表['#],0),MATCH(C800,スコア表[#Headers],0)),"")</f>
        <v>61.143767423699998</v>
      </c>
    </row>
    <row r="803" spans="2:8">
      <c r="B803" s="36" t="s">
        <v>646</v>
      </c>
      <c r="C803" s="13" t="str">
        <f>INDEX(生データ表2[],MATCH(B803,生データ表2[maxmin],0),MATCH(C800,生データ表2[#Headers],0))</f>
        <v>プラス</v>
      </c>
      <c r="E803" s="11">
        <v>29</v>
      </c>
      <c r="F803" s="13" t="str">
        <f>IFERROR(INDEX(都市マスタ[],MATCH(E803,都市マスタ['#],0),MATCH(F800,都市マスタ[#Headers],0)),"")</f>
        <v>東京</v>
      </c>
      <c r="G803" s="5">
        <f>IFERROR(INDEX(生データ表[],MATCH(E803,生データ表['#],0),MATCH(C800,生データ表[#Headers],0)),"")</f>
        <v>66.118194167269706</v>
      </c>
      <c r="H803" s="236">
        <f>IFERROR(INDEX(スコア表[],MATCH(E803,スコア表['#],0),MATCH(C800,スコア表[#Headers],0)),"")</f>
        <v>79.708341734000001</v>
      </c>
    </row>
    <row r="804" spans="2:8">
      <c r="E804" s="11">
        <v>4</v>
      </c>
      <c r="F804" s="13" t="str">
        <f>IFERROR(INDEX(都市マスタ[],MATCH(E804,都市マスタ['#],0),MATCH(F800,都市マスタ[#Headers],0)),"")</f>
        <v>パリ</v>
      </c>
      <c r="G804" s="5">
        <f>IFERROR(INDEX(生データ表[],MATCH(E804,生データ表['#],0),MATCH(C800,生データ表[#Headers],0)),"")</f>
        <v>81.863440052274697</v>
      </c>
      <c r="H804" s="236">
        <f>IFERROR(INDEX(スコア表[],MATCH(E804,スコア表['#],0),MATCH(C800,スコア表[#Headers],0)),"")</f>
        <v>100</v>
      </c>
    </row>
    <row r="805" spans="2:8">
      <c r="B805" s="240" t="s">
        <v>2067</v>
      </c>
      <c r="E805" s="11">
        <v>21</v>
      </c>
      <c r="F805" s="13" t="str">
        <f>IFERROR(INDEX(都市マスタ[],MATCH(E805,都市マスタ['#],0),MATCH(F800,都市マスタ[#Headers],0)),"")</f>
        <v>シンガポール</v>
      </c>
      <c r="G805" s="5">
        <f>IFERROR(INDEX(生データ表[],MATCH(E805,生データ表['#],0),MATCH(C800,生データ表[#Headers],0)),"")</f>
        <v>55.274360298370901</v>
      </c>
      <c r="H805" s="236">
        <f>IFERROR(INDEX(スコア表[],MATCH(E805,スコア表['#],0),MATCH(C800,スコア表[#Headers],0)),"")</f>
        <v>65.733369684099998</v>
      </c>
    </row>
    <row r="806" spans="2:8">
      <c r="E806" s="11">
        <v>26</v>
      </c>
      <c r="F806" s="13" t="str">
        <f>IFERROR(INDEX(都市マスタ[],MATCH(E806,都市マスタ['#],0),MATCH(F800,都市マスタ[#Headers],0)),"")</f>
        <v>ソウル</v>
      </c>
      <c r="G806" s="5">
        <f>IFERROR(INDEX(生データ表[],MATCH(E806,生データ表['#],0),MATCH(C800,生データ表[#Headers],0)),"")</f>
        <v>45.638207392734202</v>
      </c>
      <c r="H806" s="236">
        <f>IFERROR(INDEX(スコア表[],MATCH(E806,スコア表['#],0),MATCH(C800,スコア表[#Headers],0)),"")</f>
        <v>53.314794376499997</v>
      </c>
    </row>
    <row r="807" spans="2:8">
      <c r="E807" s="11">
        <v>22</v>
      </c>
      <c r="F807" s="13" t="str">
        <f>IFERROR(INDEX(都市マスタ[],MATCH(E807,都市マスタ['#],0),MATCH(F800,都市マスタ[#Headers],0)),"")</f>
        <v>香港</v>
      </c>
      <c r="G807" s="5">
        <f>IFERROR(INDEX(生データ表[],MATCH(E807,生データ表['#],0),MATCH(C800,生データ表[#Headers],0)),"")</f>
        <v>40.852235152933901</v>
      </c>
      <c r="H807" s="236">
        <f>IFERROR(INDEX(スコア表[],MATCH(E807,スコア表['#],0),MATCH(C800,スコア表[#Headers],0)),"")</f>
        <v>47.146880971400002</v>
      </c>
    </row>
    <row r="808" spans="2:8">
      <c r="E808" s="11">
        <v>23</v>
      </c>
      <c r="F808" s="13" t="str">
        <f>IFERROR(INDEX(都市マスタ[],MATCH(E808,都市マスタ['#],0),MATCH(F800,都市マスタ[#Headers],0)),"")</f>
        <v>北京</v>
      </c>
      <c r="G808" s="5">
        <f>IFERROR(INDEX(生データ表[],MATCH(E808,生データ表['#],0),MATCH(C800,生データ表[#Headers],0)),"")</f>
        <v>35.035061735802898</v>
      </c>
      <c r="H808" s="236">
        <f>IFERROR(INDEX(スコア表[],MATCH(E808,スコア表['#],0),MATCH(C800,スコア表[#Headers],0)),"")</f>
        <v>39.650008841400002</v>
      </c>
    </row>
    <row r="809" spans="2:8">
      <c r="B809" s="240" t="s">
        <v>2068</v>
      </c>
      <c r="E809" s="11">
        <v>24</v>
      </c>
      <c r="F809" s="13" t="str">
        <f>IFERROR(INDEX(都市マスタ[],MATCH(E809,都市マスタ['#],0),MATCH(F800,都市マスタ[#Headers],0)),"")</f>
        <v>上海</v>
      </c>
      <c r="G809" s="5">
        <f>IFERROR(INDEX(生データ表[],MATCH(E809,生データ表['#],0),MATCH(C800,生データ表[#Headers],0)),"")</f>
        <v>37.196740187162199</v>
      </c>
      <c r="H809" s="236">
        <f>IFERROR(INDEX(スコア表[],MATCH(E809,スコア表['#],0),MATCH(C800,スコア表[#Headers],0)),"")</f>
        <v>42.435868188199997</v>
      </c>
    </row>
    <row r="810" spans="2:8">
      <c r="B810" t="s">
        <v>2070</v>
      </c>
      <c r="E810" s="11"/>
      <c r="F810" s="13" t="str">
        <f>IFERROR(INDEX(都市マスタ[],MATCH(E810,都市マスタ['#],0),MATCH(F800,都市マスタ[#Headers],0)),"")</f>
        <v/>
      </c>
      <c r="G810" s="231" t="str">
        <f>IFERROR(INDEX(生データ表[],MATCH(E810,生データ表['#],0),MATCH(C800,生データ表[#Headers],0)),"")</f>
        <v/>
      </c>
      <c r="H810" s="236" t="str">
        <f>IFERROR(INDEX(スコア表[],MATCH(E810,スコア表['#],0),MATCH(C800,スコア表[#Headers],0)),"")</f>
        <v/>
      </c>
    </row>
    <row r="811" spans="2:8">
      <c r="B811" t="s">
        <v>2071</v>
      </c>
      <c r="E811" s="11"/>
      <c r="F811" s="13" t="str">
        <f>IFERROR(INDEX(都市マスタ[],MATCH(E811,都市マスタ['#],0),MATCH(F800,都市マスタ[#Headers],0)),"")</f>
        <v/>
      </c>
      <c r="G811" s="231" t="str">
        <f>IFERROR(INDEX(生データ表[],MATCH(E811,生データ表['#],0),MATCH(C800,生データ表[#Headers],0)),"")</f>
        <v/>
      </c>
      <c r="H811" s="236" t="str">
        <f>IFERROR(INDEX(スコア表[],MATCH(E811,スコア表['#],0),MATCH(C800,スコア表[#Headers],0)),"")</f>
        <v/>
      </c>
    </row>
    <row r="812" spans="2:8">
      <c r="B812" t="s">
        <v>2069</v>
      </c>
      <c r="E812" s="11"/>
      <c r="F812" s="13" t="str">
        <f>IFERROR(INDEX(都市マスタ[],MATCH(E812,都市マスタ['#],0),MATCH(F800,都市マスタ[#Headers],0)),"")</f>
        <v/>
      </c>
      <c r="G812" s="231" t="str">
        <f>IFERROR(INDEX(生データ表[],MATCH(E812,生データ表['#],0),MATCH(C800,生データ表[#Headers],0)),"")</f>
        <v/>
      </c>
      <c r="H812" s="236" t="str">
        <f>IFERROR(INDEX(スコア表[],MATCH(E812,スコア表['#],0),MATCH(C800,スコア表[#Headers],0)),"")</f>
        <v/>
      </c>
    </row>
    <row r="813" spans="2:8">
      <c r="E813" s="11"/>
      <c r="F813" s="13" t="str">
        <f>IFERROR(INDEX(都市マスタ[],MATCH(E813,都市マスタ['#],0),MATCH(F800,都市マスタ[#Headers],0)),"")</f>
        <v/>
      </c>
      <c r="G813" s="231" t="str">
        <f>IFERROR(INDEX(生データ表[],MATCH(E813,生データ表['#],0),MATCH(C800,生データ表[#Headers],0)),"")</f>
        <v/>
      </c>
      <c r="H813" s="236" t="str">
        <f>IFERROR(INDEX(スコア表[],MATCH(E813,スコア表['#],0),MATCH(C800,スコア表[#Headers],0)),"")</f>
        <v/>
      </c>
    </row>
    <row r="815" spans="2:8">
      <c r="B815" s="36" t="s">
        <v>208</v>
      </c>
      <c r="C815" s="37" t="s">
        <v>587</v>
      </c>
      <c r="E815" s="35" t="s">
        <v>208</v>
      </c>
      <c r="F815" s="36" t="str">
        <f>IF(JPEN!$C$2="EN",都市!$C$2,都市!$D$2)</f>
        <v>都市名</v>
      </c>
      <c r="G815" s="36" t="s">
        <v>644</v>
      </c>
      <c r="H815" s="36" t="s">
        <v>645</v>
      </c>
    </row>
    <row r="816" spans="2:8">
      <c r="B816" s="36" t="str">
        <f>IF(JPEN!$C$2="EN",指標!$I$2,指標!$H$2)</f>
        <v>指標</v>
      </c>
      <c r="C816" s="13" t="str">
        <f ca="1">INDEX(INDIRECT("指標マスタ["&amp;B816&amp;"]"),MATCH(C815,指標マスタ['#],0))</f>
        <v>飲食店の多さ</v>
      </c>
      <c r="E816" s="11">
        <v>3</v>
      </c>
      <c r="F816" s="13" t="str">
        <f>IFERROR(INDEX(都市マスタ[],MATCH(E816,都市マスタ['#],0),MATCH(F815,都市マスタ[#Headers],0)),"")</f>
        <v>ロンドン</v>
      </c>
      <c r="G816" s="5">
        <f>IFERROR(INDEX(生データ表[],MATCH(E816,生データ表['#],0),MATCH(C815,生データ表[#Headers],0)),"")</f>
        <v>59.981622404390897</v>
      </c>
      <c r="H816" s="236">
        <f>IFERROR(INDEX(スコア表[],MATCH(E816,スコア表['#],0),MATCH(C815,スコア表[#Headers],0)),"")</f>
        <v>69.208493243000007</v>
      </c>
    </row>
    <row r="817" spans="2:8">
      <c r="B817" s="36" t="str">
        <f>IF(JPEN!$C$2="EN",指標!$L$2,指標!$K$2)</f>
        <v>単位</v>
      </c>
      <c r="C817" s="13" t="str">
        <f>INDEX(指標マスタ[],MATCH(C815,指標マスタ['#],0),MATCH(B817,指標マスタ[#Headers],0))</f>
        <v>（合算）</v>
      </c>
      <c r="E817" s="11">
        <v>38</v>
      </c>
      <c r="F817" s="13" t="str">
        <f>IFERROR(INDEX(都市マスタ[],MATCH(E817,都市マスタ['#],0),MATCH(F815,都市マスタ[#Headers],0)),"")</f>
        <v>ニューヨーク</v>
      </c>
      <c r="G817" s="5">
        <f>IFERROR(INDEX(生データ表[],MATCH(E817,生データ表['#],0),MATCH(C815,生データ表[#Headers],0)),"")</f>
        <v>54.606881729240399</v>
      </c>
      <c r="H817" s="236">
        <f>IFERROR(INDEX(スコア表[],MATCH(E817,スコア表['#],0),MATCH(C815,スコア表[#Headers],0)),"")</f>
        <v>62.087673152199997</v>
      </c>
    </row>
    <row r="818" spans="2:8">
      <c r="B818" s="36" t="s">
        <v>646</v>
      </c>
      <c r="C818" s="13" t="str">
        <f>INDEX(生データ表2[],MATCH(B818,生データ表2[maxmin],0),MATCH(C815,生データ表2[#Headers],0))</f>
        <v>プラス</v>
      </c>
      <c r="E818" s="11">
        <v>29</v>
      </c>
      <c r="F818" s="13" t="str">
        <f>IFERROR(INDEX(都市マスタ[],MATCH(E818,都市マスタ['#],0),MATCH(F815,都市マスタ[#Headers],0)),"")</f>
        <v>東京</v>
      </c>
      <c r="G818" s="5">
        <f>IFERROR(INDEX(生データ表[],MATCH(E818,生データ表['#],0),MATCH(C815,生データ表[#Headers],0)),"")</f>
        <v>62.810728774059797</v>
      </c>
      <c r="H818" s="236">
        <f>IFERROR(INDEX(スコア表[],MATCH(E818,スコア表['#],0),MATCH(C815,スコア表[#Headers],0)),"")</f>
        <v>72.956684773399999</v>
      </c>
    </row>
    <row r="819" spans="2:8">
      <c r="E819" s="11">
        <v>4</v>
      </c>
      <c r="F819" s="13" t="str">
        <f>IFERROR(INDEX(都市マスタ[],MATCH(E819,都市マスタ['#],0),MATCH(F815,都市マスタ[#Headers],0)),"")</f>
        <v>パリ</v>
      </c>
      <c r="G819" s="5">
        <f>IFERROR(INDEX(生データ表[],MATCH(E819,生データ表['#],0),MATCH(C815,生データ表[#Headers],0)),"")</f>
        <v>71.467155376470004</v>
      </c>
      <c r="H819" s="236">
        <f>IFERROR(INDEX(スコア表[],MATCH(E819,スコア表['#],0),MATCH(C815,スコア表[#Headers],0)),"")</f>
        <v>84.425304413099994</v>
      </c>
    </row>
    <row r="820" spans="2:8">
      <c r="B820" s="240" t="s">
        <v>2067</v>
      </c>
      <c r="E820" s="11">
        <v>21</v>
      </c>
      <c r="F820" s="13" t="str">
        <f>IFERROR(INDEX(都市マスタ[],MATCH(E820,都市マスタ['#],0),MATCH(F815,都市マスタ[#Headers],0)),"")</f>
        <v>シンガポール</v>
      </c>
      <c r="G820" s="5">
        <f>IFERROR(INDEX(生データ表[],MATCH(E820,生データ表['#],0),MATCH(C815,生データ表[#Headers],0)),"")</f>
        <v>45.693000810484897</v>
      </c>
      <c r="H820" s="236">
        <f>IFERROR(INDEX(スコア表[],MATCH(E820,スコア表['#],0),MATCH(C815,スコア表[#Headers],0)),"")</f>
        <v>50.277960615300003</v>
      </c>
    </row>
    <row r="821" spans="2:8">
      <c r="E821" s="11">
        <v>26</v>
      </c>
      <c r="F821" s="13" t="str">
        <f>IFERROR(INDEX(都市マスタ[],MATCH(E821,都市マスタ['#],0),MATCH(F815,都市マスタ[#Headers],0)),"")</f>
        <v>ソウル</v>
      </c>
      <c r="G821" s="5">
        <f>IFERROR(INDEX(生データ表[],MATCH(E821,生データ表['#],0),MATCH(C815,生データ表[#Headers],0)),"")</f>
        <v>50.731763362750598</v>
      </c>
      <c r="H821" s="236">
        <f>IFERROR(INDEX(スコア表[],MATCH(E821,スコア表['#],0),MATCH(C815,スコア表[#Headers],0)),"")</f>
        <v>56.953654157400003</v>
      </c>
    </row>
    <row r="822" spans="2:8">
      <c r="E822" s="11">
        <v>22</v>
      </c>
      <c r="F822" s="13" t="str">
        <f>IFERROR(INDEX(都市マスタ[],MATCH(E822,都市マスタ['#],0),MATCH(F815,都市マスタ[#Headers],0)),"")</f>
        <v>香港</v>
      </c>
      <c r="G822" s="5">
        <f>IFERROR(INDEX(生データ表[],MATCH(E822,生データ表['#],0),MATCH(C815,生データ表[#Headers],0)),"")</f>
        <v>53.789951868440603</v>
      </c>
      <c r="H822" s="236">
        <f>IFERROR(INDEX(スコア表[],MATCH(E822,スコア表['#],0),MATCH(C815,スコア表[#Headers],0)),"")</f>
        <v>61.005349200700003</v>
      </c>
    </row>
    <row r="823" spans="2:8">
      <c r="E823" s="11">
        <v>23</v>
      </c>
      <c r="F823" s="13" t="str">
        <f>IFERROR(INDEX(都市マスタ[],MATCH(E823,都市マスタ['#],0),MATCH(F815,都市マスタ[#Headers],0)),"")</f>
        <v>北京</v>
      </c>
      <c r="G823" s="5">
        <f>IFERROR(INDEX(生データ表[],MATCH(E823,生データ表['#],0),MATCH(C815,生データ表[#Headers],0)),"")</f>
        <v>50.5927315915457</v>
      </c>
      <c r="H823" s="236">
        <f>IFERROR(INDEX(スコア表[],MATCH(E823,スコア表['#],0),MATCH(C815,スコア表[#Headers],0)),"")</f>
        <v>56.769455460300001</v>
      </c>
    </row>
    <row r="824" spans="2:8">
      <c r="B824" s="240" t="s">
        <v>2068</v>
      </c>
      <c r="E824" s="11">
        <v>24</v>
      </c>
      <c r="F824" s="13" t="str">
        <f>IFERROR(INDEX(都市マスタ[],MATCH(E824,都市マスタ['#],0),MATCH(F815,都市マスタ[#Headers],0)),"")</f>
        <v>上海</v>
      </c>
      <c r="G824" s="5">
        <f>IFERROR(INDEX(生データ表[],MATCH(E824,生データ表['#],0),MATCH(C815,生データ表[#Headers],0)),"")</f>
        <v>53.9322998998475</v>
      </c>
      <c r="H824" s="236">
        <f>IFERROR(INDEX(スコア表[],MATCH(E824,スコア表['#],0),MATCH(C815,スコア表[#Headers],0)),"")</f>
        <v>61.193941503700003</v>
      </c>
    </row>
    <row r="825" spans="2:8">
      <c r="B825" t="s">
        <v>2070</v>
      </c>
      <c r="E825" s="11"/>
      <c r="F825" s="13" t="str">
        <f>IFERROR(INDEX(都市マスタ[],MATCH(E825,都市マスタ['#],0),MATCH(F815,都市マスタ[#Headers],0)),"")</f>
        <v/>
      </c>
      <c r="G825" s="231" t="str">
        <f>IFERROR(INDEX(生データ表[],MATCH(E825,生データ表['#],0),MATCH(C815,生データ表[#Headers],0)),"")</f>
        <v/>
      </c>
      <c r="H825" s="236" t="str">
        <f>IFERROR(INDEX(スコア表[],MATCH(E825,スコア表['#],0),MATCH(C815,スコア表[#Headers],0)),"")</f>
        <v/>
      </c>
    </row>
    <row r="826" spans="2:8">
      <c r="B826" t="s">
        <v>2071</v>
      </c>
      <c r="E826" s="11"/>
      <c r="F826" s="13" t="str">
        <f>IFERROR(INDEX(都市マスタ[],MATCH(E826,都市マスタ['#],0),MATCH(F815,都市マスタ[#Headers],0)),"")</f>
        <v/>
      </c>
      <c r="G826" s="231" t="str">
        <f>IFERROR(INDEX(生データ表[],MATCH(E826,生データ表['#],0),MATCH(C815,生データ表[#Headers],0)),"")</f>
        <v/>
      </c>
      <c r="H826" s="236" t="str">
        <f>IFERROR(INDEX(スコア表[],MATCH(E826,スコア表['#],0),MATCH(C815,スコア表[#Headers],0)),"")</f>
        <v/>
      </c>
    </row>
    <row r="827" spans="2:8">
      <c r="B827" t="s">
        <v>2069</v>
      </c>
      <c r="E827" s="11"/>
      <c r="F827" s="13" t="str">
        <f>IFERROR(INDEX(都市マスタ[],MATCH(E827,都市マスタ['#],0),MATCH(F815,都市マスタ[#Headers],0)),"")</f>
        <v/>
      </c>
      <c r="G827" s="231" t="str">
        <f>IFERROR(INDEX(生データ表[],MATCH(E827,生データ表['#],0),MATCH(C815,生データ表[#Headers],0)),"")</f>
        <v/>
      </c>
      <c r="H827" s="236" t="str">
        <f>IFERROR(INDEX(スコア表[],MATCH(E827,スコア表['#],0),MATCH(C815,スコア表[#Headers],0)),"")</f>
        <v/>
      </c>
    </row>
    <row r="828" spans="2:8">
      <c r="E828" s="11"/>
      <c r="F828" s="13" t="str">
        <f>IFERROR(INDEX(都市マスタ[],MATCH(E828,都市マスタ['#],0),MATCH(F815,都市マスタ[#Headers],0)),"")</f>
        <v/>
      </c>
      <c r="G828" s="231" t="str">
        <f>IFERROR(INDEX(生データ表[],MATCH(E828,生データ表['#],0),MATCH(C815,生データ表[#Headers],0)),"")</f>
        <v/>
      </c>
      <c r="H828" s="236" t="str">
        <f>IFERROR(INDEX(スコア表[],MATCH(E828,スコア表['#],0),MATCH(C815,スコア表[#Headers],0)),"")</f>
        <v/>
      </c>
    </row>
    <row r="830" spans="2:8">
      <c r="B830" s="36" t="s">
        <v>208</v>
      </c>
      <c r="C830" s="37" t="s">
        <v>588</v>
      </c>
      <c r="E830" s="35" t="s">
        <v>208</v>
      </c>
      <c r="F830" s="36" t="str">
        <f>IF(JPEN!$C$2="EN",都市!$C$2,都市!$D$2)</f>
        <v>都市名</v>
      </c>
      <c r="G830" s="36" t="s">
        <v>644</v>
      </c>
      <c r="H830" s="36" t="s">
        <v>645</v>
      </c>
    </row>
    <row r="831" spans="2:8">
      <c r="B831" s="36" t="str">
        <f>IF(JPEN!$C$2="EN",指標!$I$2,指標!$H$2)</f>
        <v>指標</v>
      </c>
      <c r="C831" s="13" t="str">
        <f ca="1">INDEX(INDIRECT("指標マスタ["&amp;B831&amp;"]"),MATCH(C830,指標マスタ['#],0))</f>
        <v>環境への取り組み</v>
      </c>
      <c r="E831" s="11">
        <v>3</v>
      </c>
      <c r="F831" s="13" t="str">
        <f>IFERROR(INDEX(都市マスタ[],MATCH(E831,都市マスタ['#],0),MATCH(F830,都市マスタ[#Headers],0)),"")</f>
        <v>ロンドン</v>
      </c>
      <c r="G831" s="5">
        <f>IFERROR(INDEX(生データ表[],MATCH(E831,生データ表['#],0),MATCH(C830,生データ表[#Headers],0)),"")</f>
        <v>54.393939393939299</v>
      </c>
      <c r="H831" s="236">
        <f>IFERROR(INDEX(スコア表[],MATCH(E831,スコア表['#],0),MATCH(C830,スコア表[#Headers],0)),"")</f>
        <v>73.777229757499995</v>
      </c>
    </row>
    <row r="832" spans="2:8">
      <c r="B832" s="36" t="str">
        <f>IF(JPEN!$C$2="EN",指標!$L$2,指標!$K$2)</f>
        <v>単位</v>
      </c>
      <c r="C832" s="13" t="str">
        <f>INDEX(指標マスタ[],MATCH(C830,指標マスタ['#],0),MATCH(B832,指標マスタ[#Headers],0))</f>
        <v>（合算）</v>
      </c>
      <c r="E832" s="11">
        <v>38</v>
      </c>
      <c r="F832" s="13" t="str">
        <f>IFERROR(INDEX(都市マスタ[],MATCH(E832,都市マスタ['#],0),MATCH(F830,都市マスタ[#Headers],0)),"")</f>
        <v>ニューヨーク</v>
      </c>
      <c r="G832" s="5">
        <f>IFERROR(INDEX(生データ表[],MATCH(E832,生データ表['#],0),MATCH(C830,生データ表[#Headers],0)),"")</f>
        <v>47.894545454545401</v>
      </c>
      <c r="H832" s="236">
        <f>IFERROR(INDEX(スコア表[],MATCH(E832,スコア表['#],0),MATCH(C830,スコア表[#Headers],0)),"")</f>
        <v>64.961775585699996</v>
      </c>
    </row>
    <row r="833" spans="2:8">
      <c r="B833" s="36" t="s">
        <v>646</v>
      </c>
      <c r="C833" s="13" t="str">
        <f>INDEX(生データ表2[],MATCH(B833,生データ表2[maxmin],0),MATCH(C830,生データ表2[#Headers],0))</f>
        <v>プラス</v>
      </c>
      <c r="E833" s="11">
        <v>29</v>
      </c>
      <c r="F833" s="13" t="str">
        <f>IFERROR(INDEX(都市マスタ[],MATCH(E833,都市マスタ['#],0),MATCH(F830,都市マスタ[#Headers],0)),"")</f>
        <v>東京</v>
      </c>
      <c r="G833" s="5">
        <f>IFERROR(INDEX(生データ表[],MATCH(E833,生データ表['#],0),MATCH(C830,生データ表[#Headers],0)),"")</f>
        <v>43.909090909090899</v>
      </c>
      <c r="H833" s="236">
        <f>IFERROR(INDEX(スコア表[],MATCH(E833,スコア表['#],0),MATCH(C830,スコア表[#Headers],0)),"")</f>
        <v>59.556103575800002</v>
      </c>
    </row>
    <row r="834" spans="2:8">
      <c r="E834" s="11">
        <v>4</v>
      </c>
      <c r="F834" s="13" t="str">
        <f>IFERROR(INDEX(都市マスタ[],MATCH(E834,都市マスタ['#],0),MATCH(F830,都市マスタ[#Headers],0)),"")</f>
        <v>パリ</v>
      </c>
      <c r="G834" s="5">
        <f>IFERROR(INDEX(生データ表[],MATCH(E834,生データ表['#],0),MATCH(C830,生データ表[#Headers],0)),"")</f>
        <v>60.153846153846096</v>
      </c>
      <c r="H834" s="236">
        <f>IFERROR(INDEX(スコア表[],MATCH(E834,スコア表['#],0),MATCH(C830,スコア表[#Headers],0)),"")</f>
        <v>81.589680356599999</v>
      </c>
    </row>
    <row r="835" spans="2:8">
      <c r="B835" s="240" t="s">
        <v>2067</v>
      </c>
      <c r="E835" s="11">
        <v>21</v>
      </c>
      <c r="F835" s="13" t="str">
        <f>IFERROR(INDEX(都市マスタ[],MATCH(E835,都市マスタ['#],0),MATCH(F830,都市マスタ[#Headers],0)),"")</f>
        <v>シンガポール</v>
      </c>
      <c r="G835" s="5">
        <f>IFERROR(INDEX(生データ表[],MATCH(E835,生データ表['#],0),MATCH(C830,生データ表[#Headers],0)),"")</f>
        <v>7.7626666666666599</v>
      </c>
      <c r="H835" s="236">
        <f>IFERROR(INDEX(スコア表[],MATCH(E835,スコア表['#],0),MATCH(C830,スコア表[#Headers],0)),"")</f>
        <v>10.5288943691</v>
      </c>
    </row>
    <row r="836" spans="2:8">
      <c r="E836" s="11">
        <v>26</v>
      </c>
      <c r="F836" s="13" t="str">
        <f>IFERROR(INDEX(都市マスタ[],MATCH(E836,都市マスタ['#],0),MATCH(F830,都市マスタ[#Headers],0)),"")</f>
        <v>ソウル</v>
      </c>
      <c r="G836" s="5">
        <f>IFERROR(INDEX(生データ表[],MATCH(E836,生データ表['#],0),MATCH(C830,生データ表[#Headers],0)),"")</f>
        <v>34.409696969696903</v>
      </c>
      <c r="H836" s="236">
        <f>IFERROR(INDEX(スコア表[],MATCH(E836,スコア表['#],0),MATCH(C830,スコア表[#Headers],0)),"")</f>
        <v>46.671598849200002</v>
      </c>
    </row>
    <row r="837" spans="2:8">
      <c r="E837" s="11">
        <v>22</v>
      </c>
      <c r="F837" s="13" t="str">
        <f>IFERROR(INDEX(都市マスタ[],MATCH(E837,都市マスタ['#],0),MATCH(F830,都市マスタ[#Headers],0)),"")</f>
        <v>香港</v>
      </c>
      <c r="G837" s="5">
        <f>IFERROR(INDEX(生データ表[],MATCH(E837,生データ表['#],0),MATCH(C830,生データ表[#Headers],0)),"")</f>
        <v>25.424242424242401</v>
      </c>
      <c r="H837" s="236">
        <f>IFERROR(INDEX(スコア表[],MATCH(E837,スコア表['#],0),MATCH(C830,スコア表[#Headers],0)),"")</f>
        <v>34.4841759145</v>
      </c>
    </row>
    <row r="838" spans="2:8">
      <c r="E838" s="11">
        <v>23</v>
      </c>
      <c r="F838" s="13" t="str">
        <f>IFERROR(INDEX(都市マスタ[],MATCH(E838,都市マスタ['#],0),MATCH(F830,都市マスタ[#Headers],0)),"")</f>
        <v>北京</v>
      </c>
      <c r="G838" s="5">
        <f>IFERROR(INDEX(生データ表[],MATCH(E838,生データ表['#],0),MATCH(C830,生データ表[#Headers],0)),"")</f>
        <v>23.718787878787801</v>
      </c>
      <c r="H838" s="236">
        <f>IFERROR(INDEX(スコア表[],MATCH(E838,スコア表['#],0),MATCH(C830,スコア表[#Headers],0)),"")</f>
        <v>32.170982326299999</v>
      </c>
    </row>
    <row r="839" spans="2:8">
      <c r="B839" s="240" t="s">
        <v>2068</v>
      </c>
      <c r="E839" s="11">
        <v>24</v>
      </c>
      <c r="F839" s="13" t="str">
        <f>IFERROR(INDEX(都市マスタ[],MATCH(E839,都市マスタ['#],0),MATCH(F830,都市マスタ[#Headers],0)),"")</f>
        <v>上海</v>
      </c>
      <c r="G839" s="5">
        <f>IFERROR(INDEX(生データ表[],MATCH(E839,生データ表['#],0),MATCH(C830,生データ表[#Headers],0)),"")</f>
        <v>19.779393939393898</v>
      </c>
      <c r="H839" s="236">
        <f>IFERROR(INDEX(スコア表[],MATCH(E839,スコア表['#],0),MATCH(C830,スコア表[#Headers],0)),"")</f>
        <v>26.827784628</v>
      </c>
    </row>
    <row r="840" spans="2:8">
      <c r="B840" t="s">
        <v>2070</v>
      </c>
      <c r="E840" s="11"/>
      <c r="F840" s="13" t="str">
        <f>IFERROR(INDEX(都市マスタ[],MATCH(E840,都市マスタ['#],0),MATCH(F830,都市マスタ[#Headers],0)),"")</f>
        <v/>
      </c>
      <c r="G840" s="231" t="str">
        <f>IFERROR(INDEX(生データ表[],MATCH(E840,生データ表['#],0),MATCH(C830,生データ表[#Headers],0)),"")</f>
        <v/>
      </c>
      <c r="H840" s="236" t="str">
        <f>IFERROR(INDEX(スコア表[],MATCH(E840,スコア表['#],0),MATCH(C830,スコア表[#Headers],0)),"")</f>
        <v/>
      </c>
    </row>
    <row r="841" spans="2:8">
      <c r="B841" t="s">
        <v>2071</v>
      </c>
      <c r="E841" s="11"/>
      <c r="F841" s="13" t="str">
        <f>IFERROR(INDEX(都市マスタ[],MATCH(E841,都市マスタ['#],0),MATCH(F830,都市マスタ[#Headers],0)),"")</f>
        <v/>
      </c>
      <c r="G841" s="231" t="str">
        <f>IFERROR(INDEX(生データ表[],MATCH(E841,生データ表['#],0),MATCH(C830,生データ表[#Headers],0)),"")</f>
        <v/>
      </c>
      <c r="H841" s="236" t="str">
        <f>IFERROR(INDEX(スコア表[],MATCH(E841,スコア表['#],0),MATCH(C830,スコア表[#Headers],0)),"")</f>
        <v/>
      </c>
    </row>
    <row r="842" spans="2:8">
      <c r="B842" t="s">
        <v>2069</v>
      </c>
      <c r="E842" s="11"/>
      <c r="F842" s="13" t="str">
        <f>IFERROR(INDEX(都市マスタ[],MATCH(E842,都市マスタ['#],0),MATCH(F830,都市マスタ[#Headers],0)),"")</f>
        <v/>
      </c>
      <c r="G842" s="231" t="str">
        <f>IFERROR(INDEX(生データ表[],MATCH(E842,生データ表['#],0),MATCH(C830,生データ表[#Headers],0)),"")</f>
        <v/>
      </c>
      <c r="H842" s="236" t="str">
        <f>IFERROR(INDEX(スコア表[],MATCH(E842,スコア表['#],0),MATCH(C830,スコア表[#Headers],0)),"")</f>
        <v/>
      </c>
    </row>
    <row r="843" spans="2:8">
      <c r="E843" s="11"/>
      <c r="F843" s="13" t="str">
        <f>IFERROR(INDEX(都市マスタ[],MATCH(E843,都市マスタ['#],0),MATCH(F830,都市マスタ[#Headers],0)),"")</f>
        <v/>
      </c>
      <c r="G843" s="231" t="str">
        <f>IFERROR(INDEX(生データ表[],MATCH(E843,生データ表['#],0),MATCH(C830,生データ表[#Headers],0)),"")</f>
        <v/>
      </c>
      <c r="H843" s="236" t="str">
        <f>IFERROR(INDEX(スコア表[],MATCH(E843,スコア表['#],0),MATCH(C830,スコア表[#Headers],0)),"")</f>
        <v/>
      </c>
    </row>
    <row r="845" spans="2:8">
      <c r="B845" s="36" t="s">
        <v>208</v>
      </c>
      <c r="C845" s="37" t="s">
        <v>589</v>
      </c>
      <c r="E845" s="35" t="s">
        <v>208</v>
      </c>
      <c r="F845" s="36" t="str">
        <f>IF(JPEN!$C$2="EN",都市!$C$2,都市!$D$2)</f>
        <v>都市名</v>
      </c>
      <c r="G845" s="36" t="s">
        <v>644</v>
      </c>
      <c r="H845" s="36" t="s">
        <v>645</v>
      </c>
    </row>
    <row r="846" spans="2:8">
      <c r="B846" s="36" t="str">
        <f>IF(JPEN!$C$2="EN",指標!$I$2,指標!$H$2)</f>
        <v>指標</v>
      </c>
      <c r="C846" s="13" t="str">
        <f ca="1">INDEX(INDIRECT("指標マスタ["&amp;B846&amp;"]"),MATCH(C845,指標マスタ['#],0))</f>
        <v>再生可能エネルギー比率</v>
      </c>
      <c r="E846" s="11">
        <v>3</v>
      </c>
      <c r="F846" s="13" t="str">
        <f>IFERROR(INDEX(都市マスタ[],MATCH(E846,都市マスタ['#],0),MATCH(F845,都市マスタ[#Headers],0)),"")</f>
        <v>ロンドン</v>
      </c>
      <c r="G846" s="9">
        <f>IFERROR(INDEX(生データ表[],MATCH(E846,生データ表['#],0),MATCH(C845,生データ表[#Headers],0)),"")</f>
        <v>0.12590000000000001</v>
      </c>
      <c r="H846" s="236">
        <f>IFERROR(INDEX(スコア表[],MATCH(E846,スコア表['#],0),MATCH(C845,スコア表[#Headers],0)),"")</f>
        <v>26.337903582500001</v>
      </c>
    </row>
    <row r="847" spans="2:8">
      <c r="B847" s="36" t="str">
        <f>IF(JPEN!$C$2="EN",指標!$L$2,指標!$K$2)</f>
        <v>単位</v>
      </c>
      <c r="C847" s="13" t="str">
        <f>INDEX(指標マスタ[],MATCH(C845,指標マスタ['#],0),MATCH(B847,指標マスタ[#Headers],0))</f>
        <v>%</v>
      </c>
      <c r="E847" s="11">
        <v>38</v>
      </c>
      <c r="F847" s="13" t="str">
        <f>IFERROR(INDEX(都市マスタ[],MATCH(E847,都市マスタ['#],0),MATCH(F845,都市マスタ[#Headers],0)),"")</f>
        <v>ニューヨーク</v>
      </c>
      <c r="G847" s="9">
        <f>IFERROR(INDEX(生データ表[],MATCH(E847,生データ表['#],0),MATCH(C845,生データ表[#Headers],0)),"")</f>
        <v>0.08</v>
      </c>
      <c r="H847" s="236">
        <f>IFERROR(INDEX(スコア表[],MATCH(E847,スコア表['#],0),MATCH(C845,スコア表[#Headers],0)),"")</f>
        <v>16.187527642599999</v>
      </c>
    </row>
    <row r="848" spans="2:8">
      <c r="B848" s="36" t="s">
        <v>646</v>
      </c>
      <c r="C848" s="13" t="str">
        <f>INDEX(生データ表2[],MATCH(B848,生データ表2[maxmin],0),MATCH(C845,生データ表2[#Headers],0))</f>
        <v>プラス</v>
      </c>
      <c r="E848" s="11">
        <v>29</v>
      </c>
      <c r="F848" s="13" t="str">
        <f>IFERROR(INDEX(都市マスタ[],MATCH(E848,都市マスタ['#],0),MATCH(F845,都市マスタ[#Headers],0)),"")</f>
        <v>東京</v>
      </c>
      <c r="G848" s="9">
        <f>IFERROR(INDEX(生データ表[],MATCH(E848,生データ表['#],0),MATCH(C845,生データ表[#Headers],0)),"")</f>
        <v>7.0699999999999999E-2</v>
      </c>
      <c r="H848" s="236">
        <f>IFERROR(INDEX(スコア表[],MATCH(E848,スコア表['#],0),MATCH(C845,スコア表[#Headers],0)),"")</f>
        <v>14.130915524100001</v>
      </c>
    </row>
    <row r="849" spans="2:8">
      <c r="E849" s="11">
        <v>4</v>
      </c>
      <c r="F849" s="13" t="str">
        <f>IFERROR(INDEX(都市マスタ[],MATCH(E849,都市マスタ['#],0),MATCH(F845,都市マスタ[#Headers],0)),"")</f>
        <v>パリ</v>
      </c>
      <c r="G849" s="9">
        <f>IFERROR(INDEX(生データ表[],MATCH(E849,生データ表['#],0),MATCH(C845,生データ表[#Headers],0)),"")</f>
        <v>0.1164</v>
      </c>
      <c r="H849" s="236">
        <f>IFERROR(INDEX(スコア表[],MATCH(E849,スコア表['#],0),MATCH(C845,スコア表[#Headers],0)),"")</f>
        <v>24.237063246400002</v>
      </c>
    </row>
    <row r="850" spans="2:8">
      <c r="B850" s="240" t="s">
        <v>2067</v>
      </c>
      <c r="E850" s="11">
        <v>21</v>
      </c>
      <c r="F850" s="13" t="str">
        <f>IFERROR(INDEX(都市マスタ[],MATCH(E850,都市マスタ['#],0),MATCH(F845,都市マスタ[#Headers],0)),"")</f>
        <v>シンガポール</v>
      </c>
      <c r="G850" s="9">
        <f>IFERROR(INDEX(生データ表[],MATCH(E850,生データ表['#],0),MATCH(C845,生データ表[#Headers],0)),"")</f>
        <v>1.21999999999999E-2</v>
      </c>
      <c r="H850" s="236">
        <f>IFERROR(INDEX(スコア表[],MATCH(E850,スコア表['#],0),MATCH(C845,スコア表[#Headers],0)),"")</f>
        <v>1.1941618753000001</v>
      </c>
    </row>
    <row r="851" spans="2:8">
      <c r="E851" s="11">
        <v>26</v>
      </c>
      <c r="F851" s="13" t="str">
        <f>IFERROR(INDEX(都市マスタ[],MATCH(E851,都市マスタ['#],0),MATCH(F845,都市マスタ[#Headers],0)),"")</f>
        <v>ソウル</v>
      </c>
      <c r="G851" s="9">
        <f>IFERROR(INDEX(生データ表[],MATCH(E851,生データ表['#],0),MATCH(C845,生データ表[#Headers],0)),"")</f>
        <v>2.1299999999999999E-2</v>
      </c>
      <c r="H851" s="236">
        <f>IFERROR(INDEX(スコア表[],MATCH(E851,スコア表['#],0),MATCH(C845,スコア表[#Headers],0)),"")</f>
        <v>3.2065457762</v>
      </c>
    </row>
    <row r="852" spans="2:8">
      <c r="E852" s="11">
        <v>22</v>
      </c>
      <c r="F852" s="13" t="str">
        <f>IFERROR(INDEX(都市マスタ[],MATCH(E852,都市マスタ['#],0),MATCH(F845,都市マスタ[#Headers],0)),"")</f>
        <v>香港</v>
      </c>
      <c r="G852" s="9">
        <f>IFERROR(INDEX(生データ表[],MATCH(E852,生データ表['#],0),MATCH(C845,生データ表[#Headers],0)),"")</f>
        <v>7.6E-3</v>
      </c>
      <c r="H852" s="236">
        <f>IFERROR(INDEX(スコア表[],MATCH(E852,スコア表['#],0),MATCH(C845,スコア表[#Headers],0)),"")</f>
        <v>0.17691287040000001</v>
      </c>
    </row>
    <row r="853" spans="2:8">
      <c r="E853" s="11">
        <v>23</v>
      </c>
      <c r="F853" s="13" t="str">
        <f>IFERROR(INDEX(都市マスタ[],MATCH(E853,都市マスタ['#],0),MATCH(F845,都市マスタ[#Headers],0)),"")</f>
        <v>北京</v>
      </c>
      <c r="G853" s="9">
        <f>IFERROR(INDEX(生データ表[],MATCH(E853,生データ表['#],0),MATCH(C845,生データ表[#Headers],0)),"")</f>
        <v>0.10009999999999999</v>
      </c>
      <c r="H853" s="236">
        <f>IFERROR(INDEX(スコア表[],MATCH(E853,スコア表['#],0),MATCH(C845,スコア表[#Headers],0)),"")</f>
        <v>20.632463511699999</v>
      </c>
    </row>
    <row r="854" spans="2:8">
      <c r="B854" s="240" t="s">
        <v>2068</v>
      </c>
      <c r="E854" s="11">
        <v>24</v>
      </c>
      <c r="F854" s="13" t="str">
        <f>IFERROR(INDEX(都市マスタ[],MATCH(E854,都市マスタ['#],0),MATCH(F845,都市マスタ[#Headers],0)),"")</f>
        <v>上海</v>
      </c>
      <c r="G854" s="9">
        <f>IFERROR(INDEX(生データ表[],MATCH(E854,生データ表['#],0),MATCH(C845,生データ表[#Headers],0)),"")</f>
        <v>0.10009999999999999</v>
      </c>
      <c r="H854" s="236">
        <f>IFERROR(INDEX(スコア表[],MATCH(E854,スコア表['#],0),MATCH(C845,スコア表[#Headers],0)),"")</f>
        <v>20.632463511699999</v>
      </c>
    </row>
    <row r="855" spans="2:8">
      <c r="B855" t="s">
        <v>2070</v>
      </c>
      <c r="E855" s="11"/>
      <c r="F855" s="13" t="str">
        <f>IFERROR(INDEX(都市マスタ[],MATCH(E855,都市マスタ['#],0),MATCH(F845,都市マスタ[#Headers],0)),"")</f>
        <v/>
      </c>
      <c r="G855" s="231" t="str">
        <f>IFERROR(INDEX(生データ表[],MATCH(E855,生データ表['#],0),MATCH(C845,生データ表[#Headers],0)),"")</f>
        <v/>
      </c>
      <c r="H855" s="236" t="str">
        <f>IFERROR(INDEX(スコア表[],MATCH(E855,スコア表['#],0),MATCH(C845,スコア表[#Headers],0)),"")</f>
        <v/>
      </c>
    </row>
    <row r="856" spans="2:8">
      <c r="B856" t="s">
        <v>2071</v>
      </c>
      <c r="E856" s="11"/>
      <c r="F856" s="13" t="str">
        <f>IFERROR(INDEX(都市マスタ[],MATCH(E856,都市マスタ['#],0),MATCH(F845,都市マスタ[#Headers],0)),"")</f>
        <v/>
      </c>
      <c r="G856" s="231" t="str">
        <f>IFERROR(INDEX(生データ表[],MATCH(E856,生データ表['#],0),MATCH(C845,生データ表[#Headers],0)),"")</f>
        <v/>
      </c>
      <c r="H856" s="236" t="str">
        <f>IFERROR(INDEX(スコア表[],MATCH(E856,スコア表['#],0),MATCH(C845,スコア表[#Headers],0)),"")</f>
        <v/>
      </c>
    </row>
    <row r="857" spans="2:8">
      <c r="B857" t="s">
        <v>2069</v>
      </c>
      <c r="E857" s="11"/>
      <c r="F857" s="13" t="str">
        <f>IFERROR(INDEX(都市マスタ[],MATCH(E857,都市マスタ['#],0),MATCH(F845,都市マスタ[#Headers],0)),"")</f>
        <v/>
      </c>
      <c r="G857" s="231" t="str">
        <f>IFERROR(INDEX(生データ表[],MATCH(E857,生データ表['#],0),MATCH(C845,生データ表[#Headers],0)),"")</f>
        <v/>
      </c>
      <c r="H857" s="236" t="str">
        <f>IFERROR(INDEX(スコア表[],MATCH(E857,スコア表['#],0),MATCH(C845,スコア表[#Headers],0)),"")</f>
        <v/>
      </c>
    </row>
    <row r="858" spans="2:8">
      <c r="E858" s="11"/>
      <c r="F858" s="13" t="str">
        <f>IFERROR(INDEX(都市マスタ[],MATCH(E858,都市マスタ['#],0),MATCH(F845,都市マスタ[#Headers],0)),"")</f>
        <v/>
      </c>
      <c r="G858" s="231" t="str">
        <f>IFERROR(INDEX(生データ表[],MATCH(E858,生データ表['#],0),MATCH(C845,生データ表[#Headers],0)),"")</f>
        <v/>
      </c>
      <c r="H858" s="236" t="str">
        <f>IFERROR(INDEX(スコア表[],MATCH(E858,スコア表['#],0),MATCH(C845,スコア表[#Headers],0)),"")</f>
        <v/>
      </c>
    </row>
    <row r="860" spans="2:8">
      <c r="B860" s="36" t="s">
        <v>208</v>
      </c>
      <c r="C860" s="37" t="s">
        <v>590</v>
      </c>
      <c r="E860" s="35" t="s">
        <v>208</v>
      </c>
      <c r="F860" s="36" t="str">
        <f>IF(JPEN!$C$2="EN",都市!$C$2,都市!$D$2)</f>
        <v>都市名</v>
      </c>
      <c r="G860" s="36" t="s">
        <v>644</v>
      </c>
      <c r="H860" s="36" t="s">
        <v>645</v>
      </c>
    </row>
    <row r="861" spans="2:8">
      <c r="B861" s="36" t="str">
        <f>IF(JPEN!$C$2="EN",指標!$I$2,指標!$H$2)</f>
        <v>指標</v>
      </c>
      <c r="C861" s="13" t="str">
        <f ca="1">INDEX(INDIRECT("指標マスタ["&amp;B861&amp;"]"),MATCH(C860,指標マスタ['#],0))</f>
        <v>リサイクル率</v>
      </c>
      <c r="E861" s="11">
        <v>3</v>
      </c>
      <c r="F861" s="13" t="str">
        <f>IFERROR(INDEX(都市マスタ[],MATCH(E861,都市マスタ['#],0),MATCH(F860,都市マスタ[#Headers],0)),"")</f>
        <v>ロンドン</v>
      </c>
      <c r="G861" s="9">
        <f>IFERROR(INDEX(生データ表[],MATCH(E861,生データ表['#],0),MATCH(C860,生データ表[#Headers],0)),"")</f>
        <v>0.26642251848112802</v>
      </c>
      <c r="H861" s="236">
        <f>IFERROR(INDEX(スコア表[],MATCH(E861,スコア表['#],0),MATCH(C860,スコア表[#Headers],0)),"")</f>
        <v>43.117802202</v>
      </c>
    </row>
    <row r="862" spans="2:8">
      <c r="B862" s="36" t="str">
        <f>IF(JPEN!$C$2="EN",指標!$L$2,指標!$K$2)</f>
        <v>単位</v>
      </c>
      <c r="C862" s="13" t="str">
        <f>INDEX(指標マスタ[],MATCH(C860,指標マスタ['#],0),MATCH(B862,指標マスタ[#Headers],0))</f>
        <v>%</v>
      </c>
      <c r="E862" s="11">
        <v>38</v>
      </c>
      <c r="F862" s="13" t="str">
        <f>IFERROR(INDEX(都市マスタ[],MATCH(E862,都市マスタ['#],0),MATCH(F860,都市マスタ[#Headers],0)),"")</f>
        <v>ニューヨーク</v>
      </c>
      <c r="G862" s="9">
        <f>IFERROR(INDEX(生データ表[],MATCH(E862,生データ表['#],0),MATCH(C860,生データ表[#Headers],0)),"")</f>
        <v>0.23619984556450299</v>
      </c>
      <c r="H862" s="236">
        <f>IFERROR(INDEX(スコア表[],MATCH(E862,スコア表['#],0),MATCH(C860,スコア表[#Headers],0)),"")</f>
        <v>37.807407670099998</v>
      </c>
    </row>
    <row r="863" spans="2:8">
      <c r="B863" s="36" t="s">
        <v>646</v>
      </c>
      <c r="C863" s="13" t="str">
        <f>INDEX(生データ表2[],MATCH(B863,生データ表2[maxmin],0),MATCH(C860,生データ表2[#Headers],0))</f>
        <v>プラス</v>
      </c>
      <c r="E863" s="11">
        <v>29</v>
      </c>
      <c r="F863" s="13" t="str">
        <f>IFERROR(INDEX(都市マスタ[],MATCH(E863,都市マスタ['#],0),MATCH(F860,都市マスタ[#Headers],0)),"")</f>
        <v>東京</v>
      </c>
      <c r="G863" s="9">
        <f>IFERROR(INDEX(生データ表[],MATCH(E863,生データ表['#],0),MATCH(C860,生データ表[#Headers],0)),"")</f>
        <v>0.252</v>
      </c>
      <c r="H863" s="236">
        <f>IFERROR(INDEX(スコア表[],MATCH(E863,スコア表['#],0),MATCH(C860,スコア表[#Headers],0)),"")</f>
        <v>40.583636428799998</v>
      </c>
    </row>
    <row r="864" spans="2:8">
      <c r="E864" s="11">
        <v>4</v>
      </c>
      <c r="F864" s="13" t="str">
        <f>IFERROR(INDEX(都市マスタ[],MATCH(E864,都市マスタ['#],0),MATCH(F860,都市マスタ[#Headers],0)),"")</f>
        <v>パリ</v>
      </c>
      <c r="G864" s="9">
        <f>IFERROR(INDEX(生データ表[],MATCH(E864,生データ表['#],0),MATCH(C860,生データ表[#Headers],0)),"")</f>
        <v>0.24308169424999901</v>
      </c>
      <c r="H864" s="236">
        <f>IFERROR(INDEX(スコア表[],MATCH(E864,スコア表['#],0),MATCH(C860,スコア表[#Headers],0)),"")</f>
        <v>39.016610169400003</v>
      </c>
    </row>
    <row r="865" spans="2:8">
      <c r="B865" s="240" t="s">
        <v>2067</v>
      </c>
      <c r="E865" s="11">
        <v>21</v>
      </c>
      <c r="F865" s="13" t="str">
        <f>IFERROR(INDEX(都市マスタ[],MATCH(E865,都市マスタ['#],0),MATCH(F860,都市マスタ[#Headers],0)),"")</f>
        <v>シンガポール</v>
      </c>
      <c r="G865" s="9">
        <f>IFERROR(INDEX(生データ表[],MATCH(E865,生データ表['#],0),MATCH(C860,生データ表[#Headers],0)),"")</f>
        <v>0.58708874758086804</v>
      </c>
      <c r="H865" s="236">
        <f>IFERROR(INDEX(スコア表[],MATCH(E865,スコア表['#],0),MATCH(C860,スコア表[#Headers],0)),"")</f>
        <v>99.461732941899996</v>
      </c>
    </row>
    <row r="866" spans="2:8">
      <c r="E866" s="11">
        <v>26</v>
      </c>
      <c r="F866" s="13" t="str">
        <f>IFERROR(INDEX(都市マスタ[],MATCH(E866,都市マスタ['#],0),MATCH(F860,都市マスタ[#Headers],0)),"")</f>
        <v>ソウル</v>
      </c>
      <c r="G866" s="9">
        <f>IFERROR(INDEX(生データ表[],MATCH(E866,生データ表['#],0),MATCH(C860,生データ表[#Headers],0)),"")</f>
        <v>0.59015214882902201</v>
      </c>
      <c r="H866" s="236">
        <f>IFERROR(INDEX(スコア表[],MATCH(E866,スコア表['#],0),MATCH(C860,スコア表[#Headers],0)),"")</f>
        <v>100</v>
      </c>
    </row>
    <row r="867" spans="2:8">
      <c r="E867" s="11">
        <v>22</v>
      </c>
      <c r="F867" s="13" t="str">
        <f>IFERROR(INDEX(都市マスタ[],MATCH(E867,都市マスタ['#],0),MATCH(F860,都市マスタ[#Headers],0)),"")</f>
        <v>香港</v>
      </c>
      <c r="G867" s="9">
        <f>IFERROR(INDEX(生データ表[],MATCH(E867,生データ表['#],0),MATCH(C860,生データ表[#Headers],0)),"")</f>
        <v>0.35411949137780802</v>
      </c>
      <c r="H867" s="236">
        <f>IFERROR(INDEX(スコア表[],MATCH(E867,スコア表['#],0),MATCH(C860,スコア表[#Headers],0)),"")</f>
        <v>58.526946410500003</v>
      </c>
    </row>
    <row r="868" spans="2:8">
      <c r="E868" s="11">
        <v>23</v>
      </c>
      <c r="F868" s="13" t="str">
        <f>IFERROR(INDEX(都市マスタ[],MATCH(E868,都市マスタ['#],0),MATCH(F860,都市マスタ[#Headers],0)),"")</f>
        <v>北京</v>
      </c>
      <c r="G868" s="9">
        <f>IFERROR(INDEX(生データ表[],MATCH(E868,生データ表['#],0),MATCH(C860,生データ表[#Headers],0)),"")</f>
        <v>0.38500000000000001</v>
      </c>
      <c r="H868" s="236">
        <f>IFERROR(INDEX(スコア表[],MATCH(E868,スコア表['#],0),MATCH(C860,スコア表[#Headers],0)),"")</f>
        <v>63.952928572399998</v>
      </c>
    </row>
    <row r="869" spans="2:8">
      <c r="B869" s="240" t="s">
        <v>2068</v>
      </c>
      <c r="E869" s="11">
        <v>24</v>
      </c>
      <c r="F869" s="13" t="str">
        <f>IFERROR(INDEX(都市マスタ[],MATCH(E869,都市マスタ['#],0),MATCH(F860,都市マスタ[#Headers],0)),"")</f>
        <v>上海</v>
      </c>
      <c r="G869" s="9">
        <f>IFERROR(INDEX(生データ表[],MATCH(E869,生データ表['#],0),MATCH(C860,生データ表[#Headers],0)),"")</f>
        <v>0.4</v>
      </c>
      <c r="H869" s="236">
        <f>IFERROR(INDEX(スコア表[],MATCH(E869,スコア表['#],0),MATCH(C860,スコア表[#Headers],0)),"")</f>
        <v>66.588563024699994</v>
      </c>
    </row>
    <row r="870" spans="2:8">
      <c r="B870" t="s">
        <v>2070</v>
      </c>
      <c r="E870" s="11"/>
      <c r="F870" s="13" t="str">
        <f>IFERROR(INDEX(都市マスタ[],MATCH(E870,都市マスタ['#],0),MATCH(F860,都市マスタ[#Headers],0)),"")</f>
        <v/>
      </c>
      <c r="G870" s="231" t="str">
        <f>IFERROR(INDEX(生データ表[],MATCH(E870,生データ表['#],0),MATCH(C860,生データ表[#Headers],0)),"")</f>
        <v/>
      </c>
      <c r="H870" s="236" t="str">
        <f>IFERROR(INDEX(スコア表[],MATCH(E870,スコア表['#],0),MATCH(C860,スコア表[#Headers],0)),"")</f>
        <v/>
      </c>
    </row>
    <row r="871" spans="2:8">
      <c r="B871" t="s">
        <v>2071</v>
      </c>
      <c r="E871" s="11"/>
      <c r="F871" s="13" t="str">
        <f>IFERROR(INDEX(都市マスタ[],MATCH(E871,都市マスタ['#],0),MATCH(F860,都市マスタ[#Headers],0)),"")</f>
        <v/>
      </c>
      <c r="G871" s="231" t="str">
        <f>IFERROR(INDEX(生データ表[],MATCH(E871,生データ表['#],0),MATCH(C860,生データ表[#Headers],0)),"")</f>
        <v/>
      </c>
      <c r="H871" s="236" t="str">
        <f>IFERROR(INDEX(スコア表[],MATCH(E871,スコア表['#],0),MATCH(C860,スコア表[#Headers],0)),"")</f>
        <v/>
      </c>
    </row>
    <row r="872" spans="2:8">
      <c r="B872" t="s">
        <v>2069</v>
      </c>
      <c r="E872" s="11"/>
      <c r="F872" s="13" t="str">
        <f>IFERROR(INDEX(都市マスタ[],MATCH(E872,都市マスタ['#],0),MATCH(F860,都市マスタ[#Headers],0)),"")</f>
        <v/>
      </c>
      <c r="G872" s="231" t="str">
        <f>IFERROR(INDEX(生データ表[],MATCH(E872,生データ表['#],0),MATCH(C860,生データ表[#Headers],0)),"")</f>
        <v/>
      </c>
      <c r="H872" s="236" t="str">
        <f>IFERROR(INDEX(スコア表[],MATCH(E872,スコア表['#],0),MATCH(C860,スコア表[#Headers],0)),"")</f>
        <v/>
      </c>
    </row>
    <row r="873" spans="2:8">
      <c r="E873" s="11"/>
      <c r="F873" s="13" t="str">
        <f>IFERROR(INDEX(都市マスタ[],MATCH(E873,都市マスタ['#],0),MATCH(F860,都市マスタ[#Headers],0)),"")</f>
        <v/>
      </c>
      <c r="G873" s="231" t="str">
        <f>IFERROR(INDEX(生データ表[],MATCH(E873,生データ表['#],0),MATCH(C860,生データ表[#Headers],0)),"")</f>
        <v/>
      </c>
      <c r="H873" s="236" t="str">
        <f>IFERROR(INDEX(スコア表[],MATCH(E873,スコア表['#],0),MATCH(C860,スコア表[#Headers],0)),"")</f>
        <v/>
      </c>
    </row>
    <row r="875" spans="2:8">
      <c r="B875" s="36" t="s">
        <v>208</v>
      </c>
      <c r="C875" s="37" t="s">
        <v>591</v>
      </c>
      <c r="E875" s="35" t="s">
        <v>208</v>
      </c>
      <c r="F875" s="36" t="str">
        <f>IF(JPEN!$C$2="EN",都市!$C$2,都市!$D$2)</f>
        <v>都市名</v>
      </c>
      <c r="G875" s="36" t="s">
        <v>644</v>
      </c>
      <c r="H875" s="36" t="s">
        <v>645</v>
      </c>
    </row>
    <row r="876" spans="2:8">
      <c r="B876" s="36" t="str">
        <f>IF(JPEN!$C$2="EN",指標!$I$2,指標!$H$2)</f>
        <v>指標</v>
      </c>
      <c r="C876" s="13" t="str">
        <f ca="1">INDEX(INDIRECT("指標マスタ["&amp;B876&amp;"]"),MATCH(C875,指標マスタ['#],0))</f>
        <v>1人あたりのCO2排出量の少なさ</v>
      </c>
      <c r="E876" s="11">
        <v>3</v>
      </c>
      <c r="F876" s="13" t="str">
        <f>IFERROR(INDEX(都市マスタ[],MATCH(E876,都市マスタ['#],0),MATCH(F875,都市マスタ[#Headers],0)),"")</f>
        <v>ロンドン</v>
      </c>
      <c r="G876" s="5">
        <f>IFERROR(INDEX(生データ表[],MATCH(E876,生データ表['#],0),MATCH(C875,生データ表[#Headers],0)),"")</f>
        <v>3.0829560481778402</v>
      </c>
      <c r="H876" s="236">
        <f>IFERROR(INDEX(スコア表[],MATCH(E876,スコア表['#],0),MATCH(C875,スコア表[#Headers],0)),"")</f>
        <v>96.499893563399993</v>
      </c>
    </row>
    <row r="877" spans="2:8">
      <c r="B877" s="36" t="str">
        <f>IF(JPEN!$C$2="EN",指標!$L$2,指標!$K$2)</f>
        <v>単位</v>
      </c>
      <c r="C877" s="13" t="str">
        <f>INDEX(指標マスタ[],MATCH(C875,指標マスタ['#],0),MATCH(B877,指標マスタ[#Headers],0))</f>
        <v>トン/人</v>
      </c>
      <c r="E877" s="11">
        <v>38</v>
      </c>
      <c r="F877" s="13" t="str">
        <f>IFERROR(INDEX(都市マスタ[],MATCH(E877,都市マスタ['#],0),MATCH(F875,都市マスタ[#Headers],0)),"")</f>
        <v>ニューヨーク</v>
      </c>
      <c r="G877" s="5">
        <f>IFERROR(INDEX(生データ表[],MATCH(E877,生データ表['#],0),MATCH(C875,生データ表[#Headers],0)),"")</f>
        <v>6.2465535712788398</v>
      </c>
      <c r="H877" s="236">
        <f>IFERROR(INDEX(スコア表[],MATCH(E877,スコア表['#],0),MATCH(C875,スコア表[#Headers],0)),"")</f>
        <v>89.181174058099998</v>
      </c>
    </row>
    <row r="878" spans="2:8">
      <c r="B878" s="36" t="s">
        <v>646</v>
      </c>
      <c r="C878" s="13" t="str">
        <f>INDEX(生データ表2[],MATCH(B878,生データ表2[maxmin],0),MATCH(C875,生データ表2[#Headers],0))</f>
        <v>マイナス</v>
      </c>
      <c r="E878" s="11">
        <v>29</v>
      </c>
      <c r="F878" s="13" t="str">
        <f>IFERROR(INDEX(都市マスタ[],MATCH(E878,都市マスタ['#],0),MATCH(F875,都市マスタ[#Headers],0)),"")</f>
        <v>東京</v>
      </c>
      <c r="G878" s="5">
        <f>IFERROR(INDEX(生データ表[],MATCH(E878,生データ表['#],0),MATCH(C875,生データ表[#Headers],0)),"")</f>
        <v>4.3792104231040501</v>
      </c>
      <c r="H878" s="236">
        <f>IFERROR(INDEX(スコア表[],MATCH(E878,スコア表['#],0),MATCH(C875,スコア表[#Headers],0)),"")</f>
        <v>93.501116978100001</v>
      </c>
    </row>
    <row r="879" spans="2:8">
      <c r="E879" s="11">
        <v>4</v>
      </c>
      <c r="F879" s="13" t="str">
        <f>IFERROR(INDEX(都市マスタ[],MATCH(E879,都市マスタ['#],0),MATCH(F875,都市マスタ[#Headers],0)),"")</f>
        <v>パリ</v>
      </c>
      <c r="G879" s="5">
        <f>IFERROR(INDEX(生データ表[],MATCH(E879,生データ表['#],0),MATCH(C875,生データ表[#Headers],0)),"")</f>
        <v>13.369108873728401</v>
      </c>
      <c r="H879" s="236">
        <f>IFERROR(INDEX(スコア表[],MATCH(E879,スコア表['#],0),MATCH(C875,スコア表[#Headers],0)),"")</f>
        <v>72.703735307200006</v>
      </c>
    </row>
    <row r="880" spans="2:8">
      <c r="B880" s="240" t="s">
        <v>2067</v>
      </c>
      <c r="E880" s="11">
        <v>21</v>
      </c>
      <c r="F880" s="13" t="str">
        <f>IFERROR(INDEX(都市マスタ[],MATCH(E880,都市マスタ['#],0),MATCH(F875,都市マスタ[#Headers],0)),"")</f>
        <v>シンガポール</v>
      </c>
      <c r="G880" s="5">
        <f>IFERROR(INDEX(生データ表[],MATCH(E880,生データ表['#],0),MATCH(C875,生データ表[#Headers],0)),"")</f>
        <v>7.6158184949962697</v>
      </c>
      <c r="H880" s="236">
        <f>IFERROR(INDEX(スコア表[],MATCH(E880,スコア表['#],0),MATCH(C875,スコア表[#Headers],0)),"")</f>
        <v>86.013493646200004</v>
      </c>
    </row>
    <row r="881" spans="2:8">
      <c r="E881" s="11">
        <v>26</v>
      </c>
      <c r="F881" s="13" t="str">
        <f>IFERROR(INDEX(都市マスタ[],MATCH(E881,都市マスタ['#],0),MATCH(F875,都市マスタ[#Headers],0)),"")</f>
        <v>ソウル</v>
      </c>
      <c r="G881" s="5">
        <f>IFERROR(INDEX(生データ表[],MATCH(E881,生データ表['#],0),MATCH(C875,生データ表[#Headers],0)),"")</f>
        <v>4.5909577511019597</v>
      </c>
      <c r="H881" s="236">
        <f>IFERROR(INDEX(スコア表[],MATCH(E881,スコア表['#],0),MATCH(C875,スコア表[#Headers],0)),"")</f>
        <v>93.0112571624</v>
      </c>
    </row>
    <row r="882" spans="2:8">
      <c r="E882" s="11">
        <v>22</v>
      </c>
      <c r="F882" s="13" t="str">
        <f>IFERROR(INDEX(都市マスタ[],MATCH(E882,都市マスタ['#],0),MATCH(F875,都市マスタ[#Headers],0)),"")</f>
        <v>香港</v>
      </c>
      <c r="G882" s="5">
        <f>IFERROR(INDEX(生データ表[],MATCH(E882,生データ表['#],0),MATCH(C875,生データ表[#Headers],0)),"")</f>
        <v>4.6508225112062203</v>
      </c>
      <c r="H882" s="236">
        <f>IFERROR(INDEX(スコア表[],MATCH(E882,スコア表['#],0),MATCH(C875,スコア表[#Headers],0)),"")</f>
        <v>92.872765023499994</v>
      </c>
    </row>
    <row r="883" spans="2:8">
      <c r="E883" s="11">
        <v>23</v>
      </c>
      <c r="F883" s="13" t="str">
        <f>IFERROR(INDEX(都市マスタ[],MATCH(E883,都市マスタ['#],0),MATCH(F875,都市マスタ[#Headers],0)),"")</f>
        <v>北京</v>
      </c>
      <c r="G883" s="5">
        <f>IFERROR(INDEX(生データ表[],MATCH(E883,生データ表['#],0),MATCH(C875,生データ表[#Headers],0)),"")</f>
        <v>16.584104056172801</v>
      </c>
      <c r="H883" s="236">
        <f>IFERROR(INDEX(スコア表[],MATCH(E883,スコア表['#],0),MATCH(C875,スコア表[#Headers],0)),"")</f>
        <v>65.266111595799998</v>
      </c>
    </row>
    <row r="884" spans="2:8">
      <c r="B884" s="240" t="s">
        <v>2068</v>
      </c>
      <c r="E884" s="11">
        <v>24</v>
      </c>
      <c r="F884" s="13" t="str">
        <f>IFERROR(INDEX(都市マスタ[],MATCH(E884,都市マスタ['#],0),MATCH(F875,都市マスタ[#Headers],0)),"")</f>
        <v>上海</v>
      </c>
      <c r="G884" s="5">
        <f>IFERROR(INDEX(生データ表[],MATCH(E884,生データ表['#],0),MATCH(C875,生データ表[#Headers],0)),"")</f>
        <v>15.6388047771785</v>
      </c>
      <c r="H884" s="236">
        <f>IFERROR(INDEX(スコア表[],MATCH(E884,スコア表['#],0),MATCH(C875,スコア表[#Headers],0)),"")</f>
        <v>67.452982783099998</v>
      </c>
    </row>
    <row r="885" spans="2:8">
      <c r="B885" t="s">
        <v>2070</v>
      </c>
      <c r="E885" s="11"/>
      <c r="F885" s="13" t="str">
        <f>IFERROR(INDEX(都市マスタ[],MATCH(E885,都市マスタ['#],0),MATCH(F875,都市マスタ[#Headers],0)),"")</f>
        <v/>
      </c>
      <c r="G885" s="231" t="str">
        <f>IFERROR(INDEX(生データ表[],MATCH(E885,生データ表['#],0),MATCH(C875,生データ表[#Headers],0)),"")</f>
        <v/>
      </c>
      <c r="H885" s="236" t="str">
        <f>IFERROR(INDEX(スコア表[],MATCH(E885,スコア表['#],0),MATCH(C875,スコア表[#Headers],0)),"")</f>
        <v/>
      </c>
    </row>
    <row r="886" spans="2:8">
      <c r="B886" t="s">
        <v>2071</v>
      </c>
      <c r="E886" s="11"/>
      <c r="F886" s="13" t="str">
        <f>IFERROR(INDEX(都市マスタ[],MATCH(E886,都市マスタ['#],0),MATCH(F875,都市マスタ[#Headers],0)),"")</f>
        <v/>
      </c>
      <c r="G886" s="231" t="str">
        <f>IFERROR(INDEX(生データ表[],MATCH(E886,生データ表['#],0),MATCH(C875,生データ表[#Headers],0)),"")</f>
        <v/>
      </c>
      <c r="H886" s="236" t="str">
        <f>IFERROR(INDEX(スコア表[],MATCH(E886,スコア表['#],0),MATCH(C875,スコア表[#Headers],0)),"")</f>
        <v/>
      </c>
    </row>
    <row r="887" spans="2:8">
      <c r="B887" t="s">
        <v>2069</v>
      </c>
      <c r="E887" s="11"/>
      <c r="F887" s="13" t="str">
        <f>IFERROR(INDEX(都市マスタ[],MATCH(E887,都市マスタ['#],0),MATCH(F875,都市マスタ[#Headers],0)),"")</f>
        <v/>
      </c>
      <c r="G887" s="231" t="str">
        <f>IFERROR(INDEX(生データ表[],MATCH(E887,生データ表['#],0),MATCH(C875,生データ表[#Headers],0)),"")</f>
        <v/>
      </c>
      <c r="H887" s="236" t="str">
        <f>IFERROR(INDEX(スコア表[],MATCH(E887,スコア表['#],0),MATCH(C875,スコア表[#Headers],0)),"")</f>
        <v/>
      </c>
    </row>
    <row r="888" spans="2:8">
      <c r="E888" s="11"/>
      <c r="F888" s="13" t="str">
        <f>IFERROR(INDEX(都市マスタ[],MATCH(E888,都市マスタ['#],0),MATCH(F875,都市マスタ[#Headers],0)),"")</f>
        <v/>
      </c>
      <c r="G888" s="231" t="str">
        <f>IFERROR(INDEX(生データ表[],MATCH(E888,生データ表['#],0),MATCH(C875,生データ表[#Headers],0)),"")</f>
        <v/>
      </c>
      <c r="H888" s="236" t="str">
        <f>IFERROR(INDEX(スコア表[],MATCH(E888,スコア表['#],0),MATCH(C875,スコア表[#Headers],0)),"")</f>
        <v/>
      </c>
    </row>
    <row r="890" spans="2:8">
      <c r="B890" s="36" t="s">
        <v>208</v>
      </c>
      <c r="C890" s="37" t="s">
        <v>592</v>
      </c>
      <c r="E890" s="35" t="s">
        <v>208</v>
      </c>
      <c r="F890" s="36" t="str">
        <f>IF(JPEN!$C$2="EN",都市!$C$2,都市!$D$2)</f>
        <v>都市名</v>
      </c>
      <c r="G890" s="36" t="s">
        <v>644</v>
      </c>
      <c r="H890" s="36" t="s">
        <v>645</v>
      </c>
    </row>
    <row r="891" spans="2:8">
      <c r="B891" s="36" t="str">
        <f>IF(JPEN!$C$2="EN",指標!$I$2,指標!$H$2)</f>
        <v>指標</v>
      </c>
      <c r="C891" s="13" t="str">
        <f ca="1">INDEX(INDIRECT("指標マスタ["&amp;B891&amp;"]"),MATCH(C890,指標マスタ['#],0))</f>
        <v>空気のきれいさ</v>
      </c>
      <c r="E891" s="11">
        <v>3</v>
      </c>
      <c r="F891" s="13" t="str">
        <f>IFERROR(INDEX(都市マスタ[],MATCH(E891,都市マスタ['#],0),MATCH(F890,都市マスタ[#Headers],0)),"")</f>
        <v>ロンドン</v>
      </c>
      <c r="G891" s="5">
        <f>IFERROR(INDEX(生データ表[],MATCH(E891,生データ表['#],0),MATCH(C890,生データ表[#Headers],0)),"")</f>
        <v>9.6</v>
      </c>
      <c r="H891" s="236">
        <f>IFERROR(INDEX(スコア表[],MATCH(E891,スコア表['#],0),MATCH(C890,スコア表[#Headers],0)),"")</f>
        <v>85.3273137698</v>
      </c>
    </row>
    <row r="892" spans="2:8">
      <c r="B892" s="36" t="str">
        <f>IF(JPEN!$C$2="EN",指標!$L$2,指標!$K$2)</f>
        <v>単位</v>
      </c>
      <c r="C892" s="13" t="str">
        <f>INDEX(指標マスタ[],MATCH(C890,指標マスタ['#],0),MATCH(B892,指標マスタ[#Headers],0))</f>
        <v>µg /m³</v>
      </c>
      <c r="E892" s="11">
        <v>38</v>
      </c>
      <c r="F892" s="13" t="str">
        <f>IFERROR(INDEX(都市マスタ[],MATCH(E892,都市マスタ['#],0),MATCH(F890,都市マスタ[#Headers],0)),"")</f>
        <v>ニューヨーク</v>
      </c>
      <c r="G892" s="5">
        <f>IFERROR(INDEX(生データ表[],MATCH(E892,生データ表['#],0),MATCH(C890,生データ表[#Headers],0)),"")</f>
        <v>9.9</v>
      </c>
      <c r="H892" s="236">
        <f>IFERROR(INDEX(スコア表[],MATCH(E892,スコア表['#],0),MATCH(C890,スコア表[#Headers],0)),"")</f>
        <v>84.650112866800001</v>
      </c>
    </row>
    <row r="893" spans="2:8">
      <c r="B893" s="36" t="s">
        <v>646</v>
      </c>
      <c r="C893" s="13" t="str">
        <f>INDEX(生データ表2[],MATCH(B893,生データ表2[maxmin],0),MATCH(C890,生データ表2[#Headers],0))</f>
        <v>マイナス</v>
      </c>
      <c r="E893" s="11">
        <v>29</v>
      </c>
      <c r="F893" s="13" t="str">
        <f>IFERROR(INDEX(都市マスタ[],MATCH(E893,都市マスタ['#],0),MATCH(F890,都市マスタ[#Headers],0)),"")</f>
        <v>東京</v>
      </c>
      <c r="G893" s="5">
        <f>IFERROR(INDEX(生データ表[],MATCH(E893,生データ表['#],0),MATCH(C890,生データ表[#Headers],0)),"")</f>
        <v>9.1999999999999993</v>
      </c>
      <c r="H893" s="236">
        <f>IFERROR(INDEX(スコア表[],MATCH(E893,スコア表['#],0),MATCH(C890,スコア表[#Headers],0)),"")</f>
        <v>86.230248306999997</v>
      </c>
    </row>
    <row r="894" spans="2:8">
      <c r="E894" s="11">
        <v>4</v>
      </c>
      <c r="F894" s="13" t="str">
        <f>IFERROR(INDEX(都市マスタ[],MATCH(E894,都市マスタ['#],0),MATCH(F890,都市マスタ[#Headers],0)),"")</f>
        <v>パリ</v>
      </c>
      <c r="G894" s="5">
        <f>IFERROR(INDEX(生データ表[],MATCH(E894,生データ表['#],0),MATCH(C890,生データ表[#Headers],0)),"")</f>
        <v>12.7</v>
      </c>
      <c r="H894" s="236">
        <f>IFERROR(INDEX(スコア表[],MATCH(E894,スコア表['#],0),MATCH(C890,スコア表[#Headers],0)),"")</f>
        <v>78.329571106100005</v>
      </c>
    </row>
    <row r="895" spans="2:8">
      <c r="B895" s="240" t="s">
        <v>2067</v>
      </c>
      <c r="E895" s="11">
        <v>21</v>
      </c>
      <c r="F895" s="13" t="str">
        <f>IFERROR(INDEX(都市マスタ[],MATCH(E895,都市マスタ['#],0),MATCH(F890,都市マスタ[#Headers],0)),"")</f>
        <v>シンガポール</v>
      </c>
      <c r="G895" s="5">
        <f>IFERROR(INDEX(生データ表[],MATCH(E895,生データ表['#],0),MATCH(C890,生データ表[#Headers],0)),"")</f>
        <v>13.3</v>
      </c>
      <c r="H895" s="236">
        <f>IFERROR(INDEX(スコア表[],MATCH(E895,スコア表['#],0),MATCH(C890,スコア表[#Headers],0)),"")</f>
        <v>76.975169300199994</v>
      </c>
    </row>
    <row r="896" spans="2:8">
      <c r="E896" s="11">
        <v>26</v>
      </c>
      <c r="F896" s="13" t="str">
        <f>IFERROR(INDEX(都市マスタ[],MATCH(E896,都市マスタ['#],0),MATCH(F890,都市マスタ[#Headers],0)),"")</f>
        <v>ソウル</v>
      </c>
      <c r="G896" s="5">
        <f>IFERROR(INDEX(生データ表[],MATCH(E896,生データ表['#],0),MATCH(C890,生データ表[#Headers],0)),"")</f>
        <v>18.3</v>
      </c>
      <c r="H896" s="236">
        <f>IFERROR(INDEX(スコア表[],MATCH(E896,スコア表['#],0),MATCH(C890,スコア表[#Headers],0)),"")</f>
        <v>65.688487584699999</v>
      </c>
    </row>
    <row r="897" spans="2:8">
      <c r="E897" s="11">
        <v>22</v>
      </c>
      <c r="F897" s="13" t="str">
        <f>IFERROR(INDEX(都市マスタ[],MATCH(E897,都市マスタ['#],0),MATCH(F890,都市マスタ[#Headers],0)),"")</f>
        <v>香港</v>
      </c>
      <c r="G897" s="5">
        <f>IFERROR(INDEX(生データ表[],MATCH(E897,生データ表['#],0),MATCH(C890,生データ表[#Headers],0)),"")</f>
        <v>14.4</v>
      </c>
      <c r="H897" s="236">
        <f>IFERROR(INDEX(スコア表[],MATCH(E897,スコア表['#],0),MATCH(C890,スコア表[#Headers],0)),"")</f>
        <v>74.492099322800001</v>
      </c>
    </row>
    <row r="898" spans="2:8">
      <c r="E898" s="11">
        <v>23</v>
      </c>
      <c r="F898" s="13" t="str">
        <f>IFERROR(INDEX(都市マスタ[],MATCH(E898,都市マスタ['#],0),MATCH(F890,都市マスタ[#Headers],0)),"")</f>
        <v>北京</v>
      </c>
      <c r="G898" s="5">
        <f>IFERROR(INDEX(生データ表[],MATCH(E898,生データ表['#],0),MATCH(C890,生データ表[#Headers],0)),"")</f>
        <v>29.8</v>
      </c>
      <c r="H898" s="236">
        <f>IFERROR(INDEX(スコア表[],MATCH(E898,スコア表['#],0),MATCH(C890,スコア表[#Headers],0)),"")</f>
        <v>39.7291196388</v>
      </c>
    </row>
    <row r="899" spans="2:8">
      <c r="B899" s="240" t="s">
        <v>2068</v>
      </c>
      <c r="E899" s="11">
        <v>24</v>
      </c>
      <c r="F899" s="13" t="str">
        <f>IFERROR(INDEX(都市マスタ[],MATCH(E899,都市マスタ['#],0),MATCH(F890,都市マスタ[#Headers],0)),"")</f>
        <v>上海</v>
      </c>
      <c r="G899" s="5">
        <f>IFERROR(INDEX(生データ表[],MATCH(E899,生データ表['#],0),MATCH(C890,生データ表[#Headers],0)),"")</f>
        <v>25.4</v>
      </c>
      <c r="H899" s="236">
        <f>IFERROR(INDEX(スコア表[],MATCH(E899,スコア表['#],0),MATCH(C890,スコア表[#Headers],0)),"")</f>
        <v>49.6613995485</v>
      </c>
    </row>
    <row r="900" spans="2:8">
      <c r="B900" t="s">
        <v>2070</v>
      </c>
      <c r="E900" s="11"/>
      <c r="F900" s="13" t="str">
        <f>IFERROR(INDEX(都市マスタ[],MATCH(E900,都市マスタ['#],0),MATCH(F890,都市マスタ[#Headers],0)),"")</f>
        <v/>
      </c>
      <c r="G900" s="231" t="str">
        <f>IFERROR(INDEX(生データ表[],MATCH(E900,生データ表['#],0),MATCH(C890,生データ表[#Headers],0)),"")</f>
        <v/>
      </c>
      <c r="H900" s="236" t="str">
        <f>IFERROR(INDEX(スコア表[],MATCH(E900,スコア表['#],0),MATCH(C890,スコア表[#Headers],0)),"")</f>
        <v/>
      </c>
    </row>
    <row r="901" spans="2:8">
      <c r="B901" t="s">
        <v>2071</v>
      </c>
      <c r="E901" s="11"/>
      <c r="F901" s="13" t="str">
        <f>IFERROR(INDEX(都市マスタ[],MATCH(E901,都市マスタ['#],0),MATCH(F890,都市マスタ[#Headers],0)),"")</f>
        <v/>
      </c>
      <c r="G901" s="231" t="str">
        <f>IFERROR(INDEX(生データ表[],MATCH(E901,生データ表['#],0),MATCH(C890,生データ表[#Headers],0)),"")</f>
        <v/>
      </c>
      <c r="H901" s="236" t="str">
        <f>IFERROR(INDEX(スコア表[],MATCH(E901,スコア表['#],0),MATCH(C890,スコア表[#Headers],0)),"")</f>
        <v/>
      </c>
    </row>
    <row r="902" spans="2:8">
      <c r="B902" t="s">
        <v>2069</v>
      </c>
      <c r="E902" s="11"/>
      <c r="F902" s="13" t="str">
        <f>IFERROR(INDEX(都市マスタ[],MATCH(E902,都市マスタ['#],0),MATCH(F890,都市マスタ[#Headers],0)),"")</f>
        <v/>
      </c>
      <c r="G902" s="231" t="str">
        <f>IFERROR(INDEX(生データ表[],MATCH(E902,生データ表['#],0),MATCH(C890,生データ表[#Headers],0)),"")</f>
        <v/>
      </c>
      <c r="H902" s="236" t="str">
        <f>IFERROR(INDEX(スコア表[],MATCH(E902,スコア表['#],0),MATCH(C890,スコア表[#Headers],0)),"")</f>
        <v/>
      </c>
    </row>
    <row r="903" spans="2:8">
      <c r="E903" s="11"/>
      <c r="F903" s="13" t="str">
        <f>IFERROR(INDEX(都市マスタ[],MATCH(E903,都市マスタ['#],0),MATCH(F890,都市マスタ[#Headers],0)),"")</f>
        <v/>
      </c>
      <c r="G903" s="231" t="str">
        <f>IFERROR(INDEX(生データ表[],MATCH(E903,生データ表['#],0),MATCH(C890,生データ表[#Headers],0)),"")</f>
        <v/>
      </c>
      <c r="H903" s="236" t="str">
        <f>IFERROR(INDEX(スコア表[],MATCH(E903,スコア表['#],0),MATCH(C890,スコア表[#Headers],0)),"")</f>
        <v/>
      </c>
    </row>
    <row r="905" spans="2:8">
      <c r="B905" s="36" t="s">
        <v>208</v>
      </c>
      <c r="C905" s="37" t="s">
        <v>593</v>
      </c>
      <c r="E905" s="35" t="s">
        <v>208</v>
      </c>
      <c r="F905" s="36" t="str">
        <f>IF(JPEN!$C$2="EN",都市!$C$2,都市!$D$2)</f>
        <v>都市名</v>
      </c>
      <c r="G905" s="36" t="s">
        <v>644</v>
      </c>
      <c r="H905" s="36" t="s">
        <v>645</v>
      </c>
    </row>
    <row r="906" spans="2:8">
      <c r="B906" s="36" t="str">
        <f>IF(JPEN!$C$2="EN",指標!$I$2,指標!$H$2)</f>
        <v>指標</v>
      </c>
      <c r="C906" s="13" t="str">
        <f ca="1">INDEX(INDIRECT("指標マスタ["&amp;B906&amp;"]"),MATCH(C905,指標マスタ['#],0))</f>
        <v>気温の快適性</v>
      </c>
      <c r="E906" s="11">
        <v>3</v>
      </c>
      <c r="F906" s="13" t="str">
        <f>IFERROR(INDEX(都市マスタ[],MATCH(E906,都市マスタ['#],0),MATCH(F905,都市マスタ[#Headers],0)),"")</f>
        <v>ロンドン</v>
      </c>
      <c r="G906" s="236">
        <f>IFERROR(INDEX(生データ表[],MATCH(E906,生データ表['#],0),MATCH(C905,生データ表[#Headers],0)),"")</f>
        <v>0.92255107886194399</v>
      </c>
      <c r="H906" s="236">
        <f>IFERROR(INDEX(スコア表[],MATCH(E906,スコア表['#],0),MATCH(C905,スコア表[#Headers],0)),"")</f>
        <v>62.404394088499998</v>
      </c>
    </row>
    <row r="907" spans="2:8">
      <c r="B907" s="36" t="str">
        <f>IF(JPEN!$C$2="EN",指標!$L$2,指標!$K$2)</f>
        <v>単位</v>
      </c>
      <c r="C907" s="13" t="str">
        <f>INDEX(指標マスタ[],MATCH(C905,指標マスタ['#],0),MATCH(B907,指標マスタ[#Headers],0))</f>
        <v>pt</v>
      </c>
      <c r="E907" s="11">
        <v>38</v>
      </c>
      <c r="F907" s="13" t="str">
        <f>IFERROR(INDEX(都市マスタ[],MATCH(E907,都市マスタ['#],0),MATCH(F905,都市マスタ[#Headers],0)),"")</f>
        <v>ニューヨーク</v>
      </c>
      <c r="G907" s="236">
        <f>IFERROR(INDEX(生データ表[],MATCH(E907,生データ表['#],0),MATCH(C905,生データ表[#Headers],0)),"")</f>
        <v>1.01118466103629</v>
      </c>
      <c r="H907" s="236">
        <f>IFERROR(INDEX(スコア表[],MATCH(E907,スコア表['#],0),MATCH(C905,スコア表[#Headers],0)),"")</f>
        <v>56.563403910200002</v>
      </c>
    </row>
    <row r="908" spans="2:8">
      <c r="B908" s="36" t="s">
        <v>646</v>
      </c>
      <c r="C908" s="13" t="str">
        <f>INDEX(生データ表2[],MATCH(B908,生データ表2[maxmin],0),MATCH(C905,生データ表2[#Headers],0))</f>
        <v>マイナス</v>
      </c>
      <c r="E908" s="11">
        <v>29</v>
      </c>
      <c r="F908" s="13" t="str">
        <f>IFERROR(INDEX(都市マスタ[],MATCH(E908,都市マスタ['#],0),MATCH(F905,都市マスタ[#Headers],0)),"")</f>
        <v>東京</v>
      </c>
      <c r="G908" s="236">
        <f>IFERROR(INDEX(生データ表[],MATCH(E908,生データ表['#],0),MATCH(C905,生データ表[#Headers],0)),"")</f>
        <v>0.86386279533162502</v>
      </c>
      <c r="H908" s="236">
        <f>IFERROR(INDEX(スコア表[],MATCH(E908,スコア表['#],0),MATCH(C905,スコア表[#Headers],0)),"")</f>
        <v>66.2719765473</v>
      </c>
    </row>
    <row r="909" spans="2:8">
      <c r="E909" s="11">
        <v>4</v>
      </c>
      <c r="F909" s="13" t="str">
        <f>IFERROR(INDEX(都市マスタ[],MATCH(E909,都市マスタ['#],0),MATCH(F905,都市マスタ[#Headers],0)),"")</f>
        <v>パリ</v>
      </c>
      <c r="G909" s="236">
        <f>IFERROR(INDEX(生データ表[],MATCH(E909,生データ表['#],0),MATCH(C905,生データ表[#Headers],0)),"")</f>
        <v>0.91018658013674802</v>
      </c>
      <c r="H909" s="236">
        <f>IFERROR(INDEX(スコア表[],MATCH(E909,スコア表['#],0),MATCH(C905,スコア表[#Headers],0)),"")</f>
        <v>63.219219731800003</v>
      </c>
    </row>
    <row r="910" spans="2:8">
      <c r="B910" s="240" t="s">
        <v>2067</v>
      </c>
      <c r="E910" s="11">
        <v>21</v>
      </c>
      <c r="F910" s="13" t="str">
        <f>IFERROR(INDEX(都市マスタ[],MATCH(E910,都市マスタ['#],0),MATCH(F905,都市マスタ[#Headers],0)),"")</f>
        <v>シンガポール</v>
      </c>
      <c r="G910" s="236">
        <f>IFERROR(INDEX(生データ表[],MATCH(E910,生データ表['#],0),MATCH(C905,生データ表[#Headers],0)),"")</f>
        <v>1.5470576312411299</v>
      </c>
      <c r="H910" s="236">
        <f>IFERROR(INDEX(スコア表[],MATCH(E910,スコア表['#],0),MATCH(C905,スコア表[#Headers],0)),"")</f>
        <v>21.249150791000002</v>
      </c>
    </row>
    <row r="911" spans="2:8">
      <c r="E911" s="11">
        <v>26</v>
      </c>
      <c r="F911" s="13" t="str">
        <f>IFERROR(INDEX(都市マスタ[],MATCH(E911,都市マスタ['#],0),MATCH(F905,都市マスタ[#Headers],0)),"")</f>
        <v>ソウル</v>
      </c>
      <c r="G911" s="236">
        <f>IFERROR(INDEX(生データ表[],MATCH(E911,生データ表['#],0),MATCH(C905,生データ表[#Headers],0)),"")</f>
        <v>1.0604101780572299</v>
      </c>
      <c r="H911" s="236">
        <f>IFERROR(INDEX(スコア表[],MATCH(E911,スコア表['#],0),MATCH(C905,スコア表[#Headers],0)),"")</f>
        <v>53.319421726599998</v>
      </c>
    </row>
    <row r="912" spans="2:8">
      <c r="E912" s="11">
        <v>22</v>
      </c>
      <c r="F912" s="13" t="str">
        <f>IFERROR(INDEX(都市マスタ[],MATCH(E912,都市マスタ['#],0),MATCH(F905,都市マスタ[#Headers],0)),"")</f>
        <v>香港</v>
      </c>
      <c r="G912" s="236">
        <f>IFERROR(INDEX(生データ表[],MATCH(E912,生データ表['#],0),MATCH(C905,生データ表[#Headers],0)),"")</f>
        <v>0.95598690892675697</v>
      </c>
      <c r="H912" s="236">
        <f>IFERROR(INDEX(スコア表[],MATCH(E912,スコア表['#],0),MATCH(C905,スコア表[#Headers],0)),"")</f>
        <v>60.200958886800002</v>
      </c>
    </row>
    <row r="913" spans="2:8">
      <c r="E913" s="11">
        <v>23</v>
      </c>
      <c r="F913" s="13" t="str">
        <f>IFERROR(INDEX(都市マスタ[],MATCH(E913,都市マスタ['#],0),MATCH(F905,都市マスタ[#Headers],0)),"")</f>
        <v>北京</v>
      </c>
      <c r="G913" s="236">
        <f>IFERROR(INDEX(生データ表[],MATCH(E913,生データ表['#],0),MATCH(C905,生データ表[#Headers],0)),"")</f>
        <v>1.1476969708596301</v>
      </c>
      <c r="H913" s="236">
        <f>IFERROR(INDEX(スコア表[],MATCH(E913,スコア表['#],0),MATCH(C905,スコア表[#Headers],0)),"")</f>
        <v>47.567185531900002</v>
      </c>
    </row>
    <row r="914" spans="2:8">
      <c r="B914" s="240" t="s">
        <v>2068</v>
      </c>
      <c r="E914" s="11">
        <v>24</v>
      </c>
      <c r="F914" s="13" t="str">
        <f>IFERROR(INDEX(都市マスタ[],MATCH(E914,都市マスタ['#],0),MATCH(F905,都市マスタ[#Headers],0)),"")</f>
        <v>上海</v>
      </c>
      <c r="G914" s="236">
        <f>IFERROR(INDEX(生データ表[],MATCH(E914,生データ表['#],0),MATCH(C905,生データ表[#Headers],0)),"")</f>
        <v>0.98265773975099202</v>
      </c>
      <c r="H914" s="236">
        <f>IFERROR(INDEX(スコア表[],MATCH(E914,スコア表['#],0),MATCH(C905,スコア表[#Headers],0)),"")</f>
        <v>58.4433399678</v>
      </c>
    </row>
    <row r="915" spans="2:8">
      <c r="B915" t="s">
        <v>2070</v>
      </c>
      <c r="E915" s="11"/>
      <c r="F915" s="13" t="str">
        <f>IFERROR(INDEX(都市マスタ[],MATCH(E915,都市マスタ['#],0),MATCH(F905,都市マスタ[#Headers],0)),"")</f>
        <v/>
      </c>
      <c r="G915" s="231" t="str">
        <f>IFERROR(INDEX(生データ表[],MATCH(E915,生データ表['#],0),MATCH(C905,生データ表[#Headers],0)),"")</f>
        <v/>
      </c>
      <c r="H915" s="236" t="str">
        <f>IFERROR(INDEX(スコア表[],MATCH(E915,スコア表['#],0),MATCH(C905,スコア表[#Headers],0)),"")</f>
        <v/>
      </c>
    </row>
    <row r="916" spans="2:8">
      <c r="B916" t="s">
        <v>2071</v>
      </c>
      <c r="E916" s="11"/>
      <c r="F916" s="13" t="str">
        <f>IFERROR(INDEX(都市マスタ[],MATCH(E916,都市マスタ['#],0),MATCH(F905,都市マスタ[#Headers],0)),"")</f>
        <v/>
      </c>
      <c r="G916" s="231" t="str">
        <f>IFERROR(INDEX(生データ表[],MATCH(E916,生データ表['#],0),MATCH(C905,生データ表[#Headers],0)),"")</f>
        <v/>
      </c>
      <c r="H916" s="236" t="str">
        <f>IFERROR(INDEX(スコア表[],MATCH(E916,スコア表['#],0),MATCH(C905,スコア表[#Headers],0)),"")</f>
        <v/>
      </c>
    </row>
    <row r="917" spans="2:8">
      <c r="B917" t="s">
        <v>2069</v>
      </c>
      <c r="E917" s="11"/>
      <c r="F917" s="13" t="str">
        <f>IFERROR(INDEX(都市マスタ[],MATCH(E917,都市マスタ['#],0),MATCH(F905,都市マスタ[#Headers],0)),"")</f>
        <v/>
      </c>
      <c r="G917" s="231" t="str">
        <f>IFERROR(INDEX(生データ表[],MATCH(E917,生データ表['#],0),MATCH(C905,生データ表[#Headers],0)),"")</f>
        <v/>
      </c>
      <c r="H917" s="236" t="str">
        <f>IFERROR(INDEX(スコア表[],MATCH(E917,スコア表['#],0),MATCH(C905,スコア表[#Headers],0)),"")</f>
        <v/>
      </c>
    </row>
    <row r="918" spans="2:8">
      <c r="E918" s="11"/>
      <c r="F918" s="13" t="str">
        <f>IFERROR(INDEX(都市マスタ[],MATCH(E918,都市マスタ['#],0),MATCH(F905,都市マスタ[#Headers],0)),"")</f>
        <v/>
      </c>
      <c r="G918" s="231" t="str">
        <f>IFERROR(INDEX(生データ表[],MATCH(E918,生データ表['#],0),MATCH(C905,生データ表[#Headers],0)),"")</f>
        <v/>
      </c>
      <c r="H918" s="236" t="str">
        <f>IFERROR(INDEX(スコア表[],MATCH(E918,スコア表['#],0),MATCH(C905,スコア表[#Headers],0)),"")</f>
        <v/>
      </c>
    </row>
    <row r="920" spans="2:8">
      <c r="B920" s="36" t="s">
        <v>208</v>
      </c>
      <c r="C920" s="37" t="s">
        <v>594</v>
      </c>
      <c r="E920" s="35" t="s">
        <v>208</v>
      </c>
      <c r="F920" s="36" t="str">
        <f>IF(JPEN!$C$2="EN",都市!$C$2,都市!$D$2)</f>
        <v>都市名</v>
      </c>
      <c r="G920" s="36" t="s">
        <v>644</v>
      </c>
      <c r="H920" s="36" t="s">
        <v>645</v>
      </c>
    </row>
    <row r="921" spans="2:8">
      <c r="B921" s="36" t="str">
        <f>IF(JPEN!$C$2="EN",指標!$I$2,指標!$H$2)</f>
        <v>指標</v>
      </c>
      <c r="C921" s="13" t="str">
        <f ca="1">INDEX(INDIRECT("指標マスタ["&amp;B921&amp;"]"),MATCH(C920,指標マスタ['#],0))</f>
        <v>水質の良好性</v>
      </c>
      <c r="E921" s="11">
        <v>3</v>
      </c>
      <c r="F921" s="13" t="str">
        <f>IFERROR(INDEX(都市マスタ[],MATCH(E921,都市マスタ['#],0),MATCH(F920,都市マスタ[#Headers],0)),"")</f>
        <v>ロンドン</v>
      </c>
      <c r="G921" s="5">
        <f>IFERROR(INDEX(生データ表[],MATCH(E921,生データ表['#],0),MATCH(C920,生データ表[#Headers],0)),"")</f>
        <v>59.4</v>
      </c>
      <c r="H921" s="236">
        <f>IFERROR(INDEX(スコア表[],MATCH(E921,スコア表['#],0),MATCH(C920,スコア表[#Headers],0)),"")</f>
        <v>54.281567489099999</v>
      </c>
    </row>
    <row r="922" spans="2:8">
      <c r="B922" s="36" t="str">
        <f>IF(JPEN!$C$2="EN",指標!$L$2,指標!$K$2)</f>
        <v>単位</v>
      </c>
      <c r="C922" s="13" t="str">
        <f>INDEX(指標マスタ[],MATCH(C920,指標マスタ['#],0),MATCH(B922,指標マスタ[#Headers],0))</f>
        <v>pt</v>
      </c>
      <c r="E922" s="11">
        <v>38</v>
      </c>
      <c r="F922" s="13" t="str">
        <f>IFERROR(INDEX(都市マスタ[],MATCH(E922,都市マスタ['#],0),MATCH(F920,都市マスタ[#Headers],0)),"")</f>
        <v>ニューヨーク</v>
      </c>
      <c r="G922" s="5">
        <f>IFERROR(INDEX(生データ表[],MATCH(E922,生データ表['#],0),MATCH(C920,生データ表[#Headers],0)),"")</f>
        <v>50.2</v>
      </c>
      <c r="H922" s="236">
        <f>IFERROR(INDEX(スコア表[],MATCH(E922,スコア表['#],0),MATCH(C920,スコア表[#Headers],0)),"")</f>
        <v>40.928882438300001</v>
      </c>
    </row>
    <row r="923" spans="2:8">
      <c r="B923" s="36" t="s">
        <v>646</v>
      </c>
      <c r="C923" s="13" t="str">
        <f>INDEX(生データ表2[],MATCH(B923,生データ表2[maxmin],0),MATCH(C920,生データ表2[#Headers],0))</f>
        <v>プラス</v>
      </c>
      <c r="E923" s="11">
        <v>29</v>
      </c>
      <c r="F923" s="13" t="str">
        <f>IFERROR(INDEX(都市マスタ[],MATCH(E923,都市マスタ['#],0),MATCH(F920,都市マスタ[#Headers],0)),"")</f>
        <v>東京</v>
      </c>
      <c r="G923" s="5">
        <f>IFERROR(INDEX(生データ表[],MATCH(E923,生データ表['#],0),MATCH(C920,生データ表[#Headers],0)),"")</f>
        <v>62.6</v>
      </c>
      <c r="H923" s="236">
        <f>IFERROR(INDEX(スコア表[],MATCH(E923,スコア表['#],0),MATCH(C920,スコア表[#Headers],0)),"")</f>
        <v>58.925979680700003</v>
      </c>
    </row>
    <row r="924" spans="2:8">
      <c r="E924" s="11">
        <v>4</v>
      </c>
      <c r="F924" s="13" t="str">
        <f>IFERROR(INDEX(都市マスタ[],MATCH(E924,都市マスタ['#],0),MATCH(F920,都市マスタ[#Headers],0)),"")</f>
        <v>パリ</v>
      </c>
      <c r="G924" s="5">
        <f>IFERROR(INDEX(生データ表[],MATCH(E924,生データ表['#],0),MATCH(C920,生データ表[#Headers],0)),"")</f>
        <v>57.5</v>
      </c>
      <c r="H924" s="236">
        <f>IFERROR(INDEX(スコア表[],MATCH(E924,スコア表['#],0),MATCH(C920,スコア表[#Headers],0)),"")</f>
        <v>51.523947750399998</v>
      </c>
    </row>
    <row r="925" spans="2:8">
      <c r="B925" s="240" t="s">
        <v>2067</v>
      </c>
      <c r="E925" s="11">
        <v>21</v>
      </c>
      <c r="F925" s="13" t="str">
        <f>IFERROR(INDEX(都市マスタ[],MATCH(E925,都市マスタ['#],0),MATCH(F920,都市マスタ[#Headers],0)),"")</f>
        <v>シンガポール</v>
      </c>
      <c r="G925" s="5">
        <f>IFERROR(INDEX(生データ表[],MATCH(E925,生データ表['#],0),MATCH(C920,生データ表[#Headers],0)),"")</f>
        <v>75.5</v>
      </c>
      <c r="H925" s="236">
        <f>IFERROR(INDEX(スコア表[],MATCH(E925,スコア表['#],0),MATCH(C920,スコア表[#Headers],0)),"")</f>
        <v>77.648766327999994</v>
      </c>
    </row>
    <row r="926" spans="2:8">
      <c r="E926" s="11">
        <v>26</v>
      </c>
      <c r="F926" s="13" t="str">
        <f>IFERROR(INDEX(都市マスタ[],MATCH(E926,都市マスタ['#],0),MATCH(F920,都市マスタ[#Headers],0)),"")</f>
        <v>ソウル</v>
      </c>
      <c r="G926" s="5">
        <f>IFERROR(INDEX(生データ表[],MATCH(E926,生データ表['#],0),MATCH(C920,生データ表[#Headers],0)),"")</f>
        <v>63.6</v>
      </c>
      <c r="H926" s="236">
        <f>IFERROR(INDEX(スコア表[],MATCH(E926,スコア表['#],0),MATCH(C920,スコア表[#Headers],0)),"")</f>
        <v>60.377358490600002</v>
      </c>
    </row>
    <row r="927" spans="2:8">
      <c r="E927" s="11">
        <v>22</v>
      </c>
      <c r="F927" s="13" t="str">
        <f>IFERROR(INDEX(都市マスタ[],MATCH(E927,都市マスタ['#],0),MATCH(F920,都市マスタ[#Headers],0)),"")</f>
        <v>香港</v>
      </c>
      <c r="G927" s="5">
        <f>IFERROR(INDEX(生データ表[],MATCH(E927,生データ表['#],0),MATCH(C920,生データ表[#Headers],0)),"")</f>
        <v>47</v>
      </c>
      <c r="H927" s="236">
        <f>IFERROR(INDEX(スコア表[],MATCH(E927,スコア表['#],0),MATCH(C920,スコア表[#Headers],0)),"")</f>
        <v>36.284470246700003</v>
      </c>
    </row>
    <row r="928" spans="2:8">
      <c r="E928" s="11">
        <v>23</v>
      </c>
      <c r="F928" s="13" t="str">
        <f>IFERROR(INDEX(都市マスタ[],MATCH(E928,都市マスタ['#],0),MATCH(F920,都市マスタ[#Headers],0)),"")</f>
        <v>北京</v>
      </c>
      <c r="G928" s="5">
        <f>IFERROR(INDEX(生データ表[],MATCH(E928,生データ表['#],0),MATCH(C920,生データ表[#Headers],0)),"")</f>
        <v>31.6</v>
      </c>
      <c r="H928" s="236">
        <f>IFERROR(INDEX(スコア表[],MATCH(E928,スコア表['#],0),MATCH(C920,スコア表[#Headers],0)),"")</f>
        <v>13.9332365747</v>
      </c>
    </row>
    <row r="929" spans="2:8">
      <c r="B929" s="240" t="s">
        <v>2068</v>
      </c>
      <c r="E929" s="11">
        <v>24</v>
      </c>
      <c r="F929" s="13" t="str">
        <f>IFERROR(INDEX(都市マスタ[],MATCH(E929,都市マスタ['#],0),MATCH(F920,都市マスタ[#Headers],0)),"")</f>
        <v>上海</v>
      </c>
      <c r="G929" s="5">
        <f>IFERROR(INDEX(生データ表[],MATCH(E929,生データ表['#],0),MATCH(C920,生データ表[#Headers],0)),"")</f>
        <v>36.1</v>
      </c>
      <c r="H929" s="236">
        <f>IFERROR(INDEX(スコア表[],MATCH(E929,スコア表['#],0),MATCH(C920,スコア表[#Headers],0)),"")</f>
        <v>20.464441219200001</v>
      </c>
    </row>
    <row r="930" spans="2:8">
      <c r="B930" t="s">
        <v>2070</v>
      </c>
      <c r="E930" s="11"/>
      <c r="F930" s="13" t="str">
        <f>IFERROR(INDEX(都市マスタ[],MATCH(E930,都市マスタ['#],0),MATCH(F920,都市マスタ[#Headers],0)),"")</f>
        <v/>
      </c>
      <c r="G930" s="231" t="str">
        <f>IFERROR(INDEX(生データ表[],MATCH(E930,生データ表['#],0),MATCH(C920,生データ表[#Headers],0)),"")</f>
        <v/>
      </c>
      <c r="H930" s="236" t="str">
        <f>IFERROR(INDEX(スコア表[],MATCH(E930,スコア表['#],0),MATCH(C920,スコア表[#Headers],0)),"")</f>
        <v/>
      </c>
    </row>
    <row r="931" spans="2:8">
      <c r="B931" t="s">
        <v>2071</v>
      </c>
      <c r="E931" s="11"/>
      <c r="F931" s="13" t="str">
        <f>IFERROR(INDEX(都市マスタ[],MATCH(E931,都市マスタ['#],0),MATCH(F920,都市マスタ[#Headers],0)),"")</f>
        <v/>
      </c>
      <c r="G931" s="231" t="str">
        <f>IFERROR(INDEX(生データ表[],MATCH(E931,生データ表['#],0),MATCH(C920,生データ表[#Headers],0)),"")</f>
        <v/>
      </c>
      <c r="H931" s="236" t="str">
        <f>IFERROR(INDEX(スコア表[],MATCH(E931,スコア表['#],0),MATCH(C920,スコア表[#Headers],0)),"")</f>
        <v/>
      </c>
    </row>
    <row r="932" spans="2:8">
      <c r="B932" t="s">
        <v>2069</v>
      </c>
      <c r="E932" s="11"/>
      <c r="F932" s="13" t="str">
        <f>IFERROR(INDEX(都市マスタ[],MATCH(E932,都市マスタ['#],0),MATCH(F920,都市マスタ[#Headers],0)),"")</f>
        <v/>
      </c>
      <c r="G932" s="231" t="str">
        <f>IFERROR(INDEX(生データ表[],MATCH(E932,生データ表['#],0),MATCH(C920,生データ表[#Headers],0)),"")</f>
        <v/>
      </c>
      <c r="H932" s="236" t="str">
        <f>IFERROR(INDEX(スコア表[],MATCH(E932,スコア表['#],0),MATCH(C920,スコア表[#Headers],0)),"")</f>
        <v/>
      </c>
    </row>
    <row r="933" spans="2:8">
      <c r="E933" s="11"/>
      <c r="F933" s="13" t="str">
        <f>IFERROR(INDEX(都市マスタ[],MATCH(E933,都市マスタ['#],0),MATCH(F920,都市マスタ[#Headers],0)),"")</f>
        <v/>
      </c>
      <c r="G933" s="231" t="str">
        <f>IFERROR(INDEX(生データ表[],MATCH(E933,生データ表['#],0),MATCH(C920,生データ表[#Headers],0)),"")</f>
        <v/>
      </c>
      <c r="H933" s="236" t="str">
        <f>IFERROR(INDEX(スコア表[],MATCH(E933,スコア表['#],0),MATCH(C920,スコア表[#Headers],0)),"")</f>
        <v/>
      </c>
    </row>
    <row r="935" spans="2:8">
      <c r="B935" s="36" t="s">
        <v>208</v>
      </c>
      <c r="C935" s="37" t="s">
        <v>595</v>
      </c>
      <c r="E935" s="35" t="s">
        <v>208</v>
      </c>
      <c r="F935" s="36" t="str">
        <f>IF(JPEN!$C$2="EN",都市!$C$2,都市!$D$2)</f>
        <v>都市名</v>
      </c>
      <c r="G935" s="36" t="s">
        <v>644</v>
      </c>
      <c r="H935" s="36" t="s">
        <v>645</v>
      </c>
    </row>
    <row r="936" spans="2:8">
      <c r="B936" s="36" t="str">
        <f>IF(JPEN!$C$2="EN",指標!$I$2,指標!$H$2)</f>
        <v>指標</v>
      </c>
      <c r="C936" s="13" t="str">
        <f ca="1">INDEX(INDIRECT("指標マスタ["&amp;B936&amp;"]"),MATCH(C935,指標マスタ['#],0))</f>
        <v>緑地の充実度</v>
      </c>
      <c r="E936" s="11">
        <v>3</v>
      </c>
      <c r="F936" s="13" t="str">
        <f>IFERROR(INDEX(都市マスタ[],MATCH(E936,都市マスタ['#],0),MATCH(F935,都市マスタ[#Headers],0)),"")</f>
        <v>ロンドン</v>
      </c>
      <c r="G936" s="5">
        <f>IFERROR(INDEX(生データ表[],MATCH(E936,生データ表['#],0),MATCH(C935,生データ表[#Headers],0)),"")</f>
        <v>80.182762836578306</v>
      </c>
      <c r="H936" s="236">
        <f>IFERROR(INDEX(スコア表[],MATCH(E936,スコア表['#],0),MATCH(C935,スコア表[#Headers],0)),"")</f>
        <v>82.859861860300001</v>
      </c>
    </row>
    <row r="937" spans="2:8">
      <c r="B937" s="36" t="str">
        <f>IF(JPEN!$C$2="EN",指標!$L$2,指標!$K$2)</f>
        <v>単位</v>
      </c>
      <c r="C937" s="13" t="str">
        <f>INDEX(指標マスタ[],MATCH(C935,指標マスタ['#],0),MATCH(B937,指標マスタ[#Headers],0))</f>
        <v>（合算）</v>
      </c>
      <c r="E937" s="11">
        <v>38</v>
      </c>
      <c r="F937" s="13" t="str">
        <f>IFERROR(INDEX(都市マスタ[],MATCH(E937,都市マスタ['#],0),MATCH(F935,都市マスタ[#Headers],0)),"")</f>
        <v>ニューヨーク</v>
      </c>
      <c r="G937" s="5">
        <f>IFERROR(INDEX(生データ表[],MATCH(E937,生データ表['#],0),MATCH(C935,生データ表[#Headers],0)),"")</f>
        <v>50.664966497512196</v>
      </c>
      <c r="H937" s="236">
        <f>IFERROR(INDEX(スコア表[],MATCH(E937,スコア表['#],0),MATCH(C935,スコア表[#Headers],0)),"")</f>
        <v>52.311071464599998</v>
      </c>
    </row>
    <row r="938" spans="2:8">
      <c r="B938" s="36" t="s">
        <v>646</v>
      </c>
      <c r="C938" s="13" t="str">
        <f>INDEX(生データ表2[],MATCH(B938,生データ表2[maxmin],0),MATCH(C935,生データ表2[#Headers],0))</f>
        <v>プラス</v>
      </c>
      <c r="E938" s="11">
        <v>29</v>
      </c>
      <c r="F938" s="13" t="str">
        <f>IFERROR(INDEX(都市マスタ[],MATCH(E938,都市マスタ['#],0),MATCH(F935,都市マスタ[#Headers],0)),"")</f>
        <v>東京</v>
      </c>
      <c r="G938" s="5">
        <f>IFERROR(INDEX(生データ表[],MATCH(E938,生データ表['#],0),MATCH(C935,生データ表[#Headers],0)),"")</f>
        <v>35.307772598984698</v>
      </c>
      <c r="H938" s="236">
        <f>IFERROR(INDEX(スコア表[],MATCH(E938,スコア表['#],0),MATCH(C935,スコア表[#Headers],0)),"")</f>
        <v>36.417483336099998</v>
      </c>
    </row>
    <row r="939" spans="2:8">
      <c r="E939" s="11">
        <v>4</v>
      </c>
      <c r="F939" s="13" t="str">
        <f>IFERROR(INDEX(都市マスタ[],MATCH(E939,都市マスタ['#],0),MATCH(F935,都市マスタ[#Headers],0)),"")</f>
        <v>パリ</v>
      </c>
      <c r="G939" s="5">
        <f>IFERROR(INDEX(生データ表[],MATCH(E939,生データ表['#],0),MATCH(C935,生データ表[#Headers],0)),"")</f>
        <v>40.9966821797587</v>
      </c>
      <c r="H939" s="236">
        <f>IFERROR(INDEX(スコア表[],MATCH(E939,スコア表['#],0),MATCH(C935,スコア表[#Headers],0)),"")</f>
        <v>42.3050944696</v>
      </c>
    </row>
    <row r="940" spans="2:8">
      <c r="B940" s="240" t="s">
        <v>2067</v>
      </c>
      <c r="E940" s="11">
        <v>21</v>
      </c>
      <c r="F940" s="13" t="str">
        <f>IFERROR(INDEX(都市マスタ[],MATCH(E940,都市マスタ['#],0),MATCH(F935,都市マスタ[#Headers],0)),"")</f>
        <v>シンガポール</v>
      </c>
      <c r="G940" s="5">
        <f>IFERROR(INDEX(生データ表[],MATCH(E940,生データ表['#],0),MATCH(C935,生データ表[#Headers],0)),"")</f>
        <v>75.935427995319998</v>
      </c>
      <c r="H940" s="236">
        <f>IFERROR(INDEX(スコア表[],MATCH(E940,スコア表['#],0),MATCH(C935,スコア表[#Headers],0)),"")</f>
        <v>78.464176616200007</v>
      </c>
    </row>
    <row r="941" spans="2:8">
      <c r="E941" s="11">
        <v>26</v>
      </c>
      <c r="F941" s="13" t="str">
        <f>IFERROR(INDEX(都市マスタ[],MATCH(E941,都市マスタ['#],0),MATCH(F935,都市マスタ[#Headers],0)),"")</f>
        <v>ソウル</v>
      </c>
      <c r="G941" s="5">
        <f>IFERROR(INDEX(生データ表[],MATCH(E941,生データ表['#],0),MATCH(C935,生データ表[#Headers],0)),"")</f>
        <v>50.437957418086903</v>
      </c>
      <c r="H941" s="236">
        <f>IFERROR(INDEX(スコア表[],MATCH(E941,スコア表['#],0),MATCH(C935,スコア表[#Headers],0)),"")</f>
        <v>52.076133439199999</v>
      </c>
    </row>
    <row r="942" spans="2:8">
      <c r="E942" s="11">
        <v>22</v>
      </c>
      <c r="F942" s="13" t="str">
        <f>IFERROR(INDEX(都市マスタ[],MATCH(E942,都市マスタ['#],0),MATCH(F935,都市マスタ[#Headers],0)),"")</f>
        <v>香港</v>
      </c>
      <c r="G942" s="5">
        <f>IFERROR(INDEX(生データ表[],MATCH(E942,生データ表['#],0),MATCH(C935,生データ表[#Headers],0)),"")</f>
        <v>73.464915784131307</v>
      </c>
      <c r="H942" s="236">
        <f>IFERROR(INDEX(スコア表[],MATCH(E942,スコア表['#],0),MATCH(C935,スコア表[#Headers],0)),"")</f>
        <v>75.9073746503</v>
      </c>
    </row>
    <row r="943" spans="2:8">
      <c r="E943" s="11">
        <v>23</v>
      </c>
      <c r="F943" s="13" t="str">
        <f>IFERROR(INDEX(都市マスタ[],MATCH(E943,都市マスタ['#],0),MATCH(F935,都市マスタ[#Headers],0)),"")</f>
        <v>北京</v>
      </c>
      <c r="G943" s="5">
        <f>IFERROR(INDEX(生データ表[],MATCH(E943,生データ表['#],0),MATCH(C935,生データ表[#Headers],0)),"")</f>
        <v>59.996662595220599</v>
      </c>
      <c r="H943" s="236">
        <f>IFERROR(INDEX(スコア表[],MATCH(E943,スコア表['#],0),MATCH(C935,スコア表[#Headers],0)),"")</f>
        <v>61.968703926400003</v>
      </c>
    </row>
    <row r="944" spans="2:8">
      <c r="B944" s="240" t="s">
        <v>2068</v>
      </c>
      <c r="E944" s="11">
        <v>24</v>
      </c>
      <c r="F944" s="13" t="str">
        <f>IFERROR(INDEX(都市マスタ[],MATCH(E944,都市マスタ['#],0),MATCH(F935,都市マスタ[#Headers],0)),"")</f>
        <v>上海</v>
      </c>
      <c r="G944" s="5">
        <f>IFERROR(INDEX(生データ表[],MATCH(E944,生データ表['#],0),MATCH(C935,生データ表[#Headers],0)),"")</f>
        <v>46.5506067376446</v>
      </c>
      <c r="H944" s="236">
        <f>IFERROR(INDEX(スコア表[],MATCH(E944,スコア表['#],0),MATCH(C935,スコア表[#Headers],0)),"")</f>
        <v>48.053005839599997</v>
      </c>
    </row>
    <row r="945" spans="2:8">
      <c r="B945" t="s">
        <v>2070</v>
      </c>
      <c r="E945" s="11"/>
      <c r="F945" s="13" t="str">
        <f>IFERROR(INDEX(都市マスタ[],MATCH(E945,都市マスタ['#],0),MATCH(F935,都市マスタ[#Headers],0)),"")</f>
        <v/>
      </c>
      <c r="G945" s="231" t="str">
        <f>IFERROR(INDEX(生データ表[],MATCH(E945,生データ表['#],0),MATCH(C935,生データ表[#Headers],0)),"")</f>
        <v/>
      </c>
      <c r="H945" s="236" t="str">
        <f>IFERROR(INDEX(スコア表[],MATCH(E945,スコア表['#],0),MATCH(C935,スコア表[#Headers],0)),"")</f>
        <v/>
      </c>
    </row>
    <row r="946" spans="2:8">
      <c r="B946" t="s">
        <v>2071</v>
      </c>
      <c r="E946" s="11"/>
      <c r="F946" s="13" t="str">
        <f>IFERROR(INDEX(都市マスタ[],MATCH(E946,都市マスタ['#],0),MATCH(F935,都市マスタ[#Headers],0)),"")</f>
        <v/>
      </c>
      <c r="G946" s="231" t="str">
        <f>IFERROR(INDEX(生データ表[],MATCH(E946,生データ表['#],0),MATCH(C935,生データ表[#Headers],0)),"")</f>
        <v/>
      </c>
      <c r="H946" s="236" t="str">
        <f>IFERROR(INDEX(スコア表[],MATCH(E946,スコア表['#],0),MATCH(C935,スコア表[#Headers],0)),"")</f>
        <v/>
      </c>
    </row>
    <row r="947" spans="2:8">
      <c r="B947" t="s">
        <v>2069</v>
      </c>
      <c r="E947" s="11"/>
      <c r="F947" s="13" t="str">
        <f>IFERROR(INDEX(都市マスタ[],MATCH(E947,都市マスタ['#],0),MATCH(F935,都市マスタ[#Headers],0)),"")</f>
        <v/>
      </c>
      <c r="G947" s="231" t="str">
        <f>IFERROR(INDEX(生データ表[],MATCH(E947,生データ表['#],0),MATCH(C935,生データ表[#Headers],0)),"")</f>
        <v/>
      </c>
      <c r="H947" s="236" t="str">
        <f>IFERROR(INDEX(スコア表[],MATCH(E947,スコア表['#],0),MATCH(C935,スコア表[#Headers],0)),"")</f>
        <v/>
      </c>
    </row>
    <row r="948" spans="2:8">
      <c r="E948" s="11"/>
      <c r="F948" s="13" t="str">
        <f>IFERROR(INDEX(都市マスタ[],MATCH(E948,都市マスタ['#],0),MATCH(F935,都市マスタ[#Headers],0)),"")</f>
        <v/>
      </c>
      <c r="G948" s="231" t="str">
        <f>IFERROR(INDEX(生データ表[],MATCH(E948,生データ表['#],0),MATCH(C935,生データ表[#Headers],0)),"")</f>
        <v/>
      </c>
      <c r="H948" s="236" t="str">
        <f>IFERROR(INDEX(スコア表[],MATCH(E948,スコア表['#],0),MATCH(C935,スコア表[#Headers],0)),"")</f>
        <v/>
      </c>
    </row>
    <row r="950" spans="2:8">
      <c r="B950" s="36" t="s">
        <v>208</v>
      </c>
      <c r="C950" s="37" t="s">
        <v>596</v>
      </c>
      <c r="E950" s="35" t="s">
        <v>208</v>
      </c>
      <c r="F950" s="36" t="str">
        <f>IF(JPEN!$C$2="EN",都市!$C$2,都市!$D$2)</f>
        <v>都市名</v>
      </c>
      <c r="G950" s="36" t="s">
        <v>644</v>
      </c>
      <c r="H950" s="36" t="s">
        <v>645</v>
      </c>
    </row>
    <row r="951" spans="2:8">
      <c r="B951" s="36" t="str">
        <f>IF(JPEN!$C$2="EN",指標!$I$2,指標!$H$2)</f>
        <v>指標</v>
      </c>
      <c r="C951" s="13" t="str">
        <f ca="1">INDEX(INDIRECT("指標マスタ["&amp;B951&amp;"]"),MATCH(C950,指標マスタ['#],0))</f>
        <v>都市空間の清潔さ</v>
      </c>
      <c r="E951" s="11">
        <v>3</v>
      </c>
      <c r="F951" s="13" t="str">
        <f>IFERROR(INDEX(都市マスタ[],MATCH(E951,都市マスタ['#],0),MATCH(F950,都市マスタ[#Headers],0)),"")</f>
        <v>ロンドン</v>
      </c>
      <c r="G951" s="5">
        <f>IFERROR(INDEX(生データ表[],MATCH(E951,生データ表['#],0),MATCH(C950,生データ表[#Headers],0)),"")</f>
        <v>50.582134095148398</v>
      </c>
      <c r="H951" s="236">
        <f>IFERROR(INDEX(スコア表[],MATCH(E951,スコア表['#],0),MATCH(C950,スコア表[#Headers],0)),"")</f>
        <v>38.448613813599998</v>
      </c>
    </row>
    <row r="952" spans="2:8">
      <c r="B952" s="36" t="str">
        <f>IF(JPEN!$C$2="EN",指標!$L$2,指標!$K$2)</f>
        <v>単位</v>
      </c>
      <c r="C952" s="13" t="str">
        <f>INDEX(指標マスタ[],MATCH(C950,指標マスタ['#],0),MATCH(B952,指標マスタ[#Headers],0))</f>
        <v>（合算）</v>
      </c>
      <c r="E952" s="11">
        <v>38</v>
      </c>
      <c r="F952" s="13" t="str">
        <f>IFERROR(INDEX(都市マスタ[],MATCH(E952,都市マスタ['#],0),MATCH(F950,都市マスタ[#Headers],0)),"")</f>
        <v>ニューヨーク</v>
      </c>
      <c r="G952" s="5">
        <f>IFERROR(INDEX(生データ表[],MATCH(E952,生データ表['#],0),MATCH(C950,生データ表[#Headers],0)),"")</f>
        <v>27.7950641548276</v>
      </c>
      <c r="H952" s="236">
        <f>IFERROR(INDEX(スコア表[],MATCH(E952,スコア表['#],0),MATCH(C950,スコア表[#Headers],0)),"")</f>
        <v>9.7027079522000008</v>
      </c>
    </row>
    <row r="953" spans="2:8">
      <c r="B953" s="36" t="s">
        <v>646</v>
      </c>
      <c r="C953" s="13" t="str">
        <f>INDEX(生データ表2[],MATCH(B953,生データ表2[maxmin],0),MATCH(C950,生データ表2[#Headers],0))</f>
        <v>プラス</v>
      </c>
      <c r="E953" s="11">
        <v>29</v>
      </c>
      <c r="F953" s="13" t="str">
        <f>IFERROR(INDEX(都市マスタ[],MATCH(E953,都市マスタ['#],0),MATCH(F950,都市マスタ[#Headers],0)),"")</f>
        <v>東京</v>
      </c>
      <c r="G953" s="5">
        <f>IFERROR(INDEX(生データ表[],MATCH(E953,生データ表['#],0),MATCH(C950,生データ表[#Headers],0)),"")</f>
        <v>72.266232366053202</v>
      </c>
      <c r="H953" s="236">
        <f>IFERROR(INDEX(スコア表[],MATCH(E953,スコア表['#],0),MATCH(C950,スコア表[#Headers],0)),"")</f>
        <v>65.8031200848</v>
      </c>
    </row>
    <row r="954" spans="2:8">
      <c r="E954" s="11">
        <v>4</v>
      </c>
      <c r="F954" s="13" t="str">
        <f>IFERROR(INDEX(都市マスタ[],MATCH(E954,都市マスタ['#],0),MATCH(F950,都市マスタ[#Headers],0)),"")</f>
        <v>パリ</v>
      </c>
      <c r="G954" s="5">
        <f>IFERROR(INDEX(生データ表[],MATCH(E954,生データ表['#],0),MATCH(C950,生データ表[#Headers],0)),"")</f>
        <v>20.755121000098999</v>
      </c>
      <c r="H954" s="236">
        <f>IFERROR(INDEX(スコア表[],MATCH(E954,スコア表['#],0),MATCH(C950,スコア表[#Headers],0)),"")</f>
        <v>0.8218143698</v>
      </c>
    </row>
    <row r="955" spans="2:8">
      <c r="B955" s="240" t="s">
        <v>2067</v>
      </c>
      <c r="E955" s="11">
        <v>21</v>
      </c>
      <c r="F955" s="13" t="str">
        <f>IFERROR(INDEX(都市マスタ[],MATCH(E955,都市マスタ['#],0),MATCH(F950,都市マスタ[#Headers],0)),"")</f>
        <v>シンガポール</v>
      </c>
      <c r="G955" s="5">
        <f>IFERROR(INDEX(生データ表[],MATCH(E955,生データ表['#],0),MATCH(C950,生データ表[#Headers],0)),"")</f>
        <v>92.339349878833403</v>
      </c>
      <c r="H955" s="236">
        <f>IFERROR(INDEX(スコア表[],MATCH(E955,スコア表['#],0),MATCH(C950,スコア表[#Headers],0)),"")</f>
        <v>91.125372918400004</v>
      </c>
    </row>
    <row r="956" spans="2:8">
      <c r="E956" s="11">
        <v>26</v>
      </c>
      <c r="F956" s="13" t="str">
        <f>IFERROR(INDEX(都市マスタ[],MATCH(E956,都市マスタ['#],0),MATCH(F950,都市マスタ[#Headers],0)),"")</f>
        <v>ソウル</v>
      </c>
      <c r="G956" s="5">
        <f>IFERROR(INDEX(生データ表[],MATCH(E956,生データ表['#],0),MATCH(C950,生データ表[#Headers],0)),"")</f>
        <v>67.7219876857598</v>
      </c>
      <c r="H956" s="236">
        <f>IFERROR(INDEX(スコア表[],MATCH(E956,スコア表['#],0),MATCH(C950,スコア表[#Headers],0)),"")</f>
        <v>60.070552004100001</v>
      </c>
    </row>
    <row r="957" spans="2:8">
      <c r="E957" s="11">
        <v>22</v>
      </c>
      <c r="F957" s="13" t="str">
        <f>IFERROR(INDEX(都市マスタ[],MATCH(E957,都市マスタ['#],0),MATCH(F950,都市マスタ[#Headers],0)),"")</f>
        <v>香港</v>
      </c>
      <c r="G957" s="5">
        <f>IFERROR(INDEX(生データ表[],MATCH(E957,生データ表['#],0),MATCH(C950,生データ表[#Headers],0)),"")</f>
        <v>51.938792441652602</v>
      </c>
      <c r="H957" s="236">
        <f>IFERROR(INDEX(スコア表[],MATCH(E957,スコア表['#],0),MATCH(C950,スコア表[#Headers],0)),"")</f>
        <v>40.160039337699999</v>
      </c>
    </row>
    <row r="958" spans="2:8">
      <c r="E958" s="11">
        <v>23</v>
      </c>
      <c r="F958" s="13" t="str">
        <f>IFERROR(INDEX(都市マスタ[],MATCH(E958,都市マスタ['#],0),MATCH(F950,都市マスタ[#Headers],0)),"")</f>
        <v>北京</v>
      </c>
      <c r="G958" s="5">
        <f>IFERROR(INDEX(生データ表[],MATCH(E958,生データ表['#],0),MATCH(C950,生データ表[#Headers],0)),"")</f>
        <v>73.007774596416695</v>
      </c>
      <c r="H958" s="236">
        <f>IFERROR(INDEX(スコア表[],MATCH(E958,スコア表['#],0),MATCH(C950,スコア表[#Headers],0)),"")</f>
        <v>66.7385761659</v>
      </c>
    </row>
    <row r="959" spans="2:8">
      <c r="B959" s="240" t="s">
        <v>2068</v>
      </c>
      <c r="E959" s="11">
        <v>24</v>
      </c>
      <c r="F959" s="13" t="str">
        <f>IFERROR(INDEX(都市マスタ[],MATCH(E959,都市マスタ['#],0),MATCH(F950,都市マスタ[#Headers],0)),"")</f>
        <v>上海</v>
      </c>
      <c r="G959" s="5">
        <f>IFERROR(INDEX(生データ表[],MATCH(E959,生データ表['#],0),MATCH(C950,生データ表[#Headers],0)),"")</f>
        <v>75.214686111266701</v>
      </c>
      <c r="H959" s="236">
        <f>IFERROR(INDEX(スコア表[],MATCH(E959,スコア表['#],0),MATCH(C950,スコア表[#Headers],0)),"")</f>
        <v>69.522596700999998</v>
      </c>
    </row>
    <row r="960" spans="2:8">
      <c r="B960" t="s">
        <v>2070</v>
      </c>
      <c r="E960" s="11"/>
      <c r="F960" s="13" t="str">
        <f>IFERROR(INDEX(都市マスタ[],MATCH(E960,都市マスタ['#],0),MATCH(F950,都市マスタ[#Headers],0)),"")</f>
        <v/>
      </c>
      <c r="G960" s="231" t="str">
        <f>IFERROR(INDEX(生データ表[],MATCH(E960,生データ表['#],0),MATCH(C950,生データ表[#Headers],0)),"")</f>
        <v/>
      </c>
      <c r="H960" s="236" t="str">
        <f>IFERROR(INDEX(スコア表[],MATCH(E960,スコア表['#],0),MATCH(C950,スコア表[#Headers],0)),"")</f>
        <v/>
      </c>
    </row>
    <row r="961" spans="2:8">
      <c r="B961" t="s">
        <v>2071</v>
      </c>
      <c r="E961" s="11"/>
      <c r="F961" s="13" t="str">
        <f>IFERROR(INDEX(都市マスタ[],MATCH(E961,都市マスタ['#],0),MATCH(F950,都市マスタ[#Headers],0)),"")</f>
        <v/>
      </c>
      <c r="G961" s="231" t="str">
        <f>IFERROR(INDEX(生データ表[],MATCH(E961,生データ表['#],0),MATCH(C950,生データ表[#Headers],0)),"")</f>
        <v/>
      </c>
      <c r="H961" s="236" t="str">
        <f>IFERROR(INDEX(スコア表[],MATCH(E961,スコア表['#],0),MATCH(C950,スコア表[#Headers],0)),"")</f>
        <v/>
      </c>
    </row>
    <row r="962" spans="2:8">
      <c r="B962" t="s">
        <v>2069</v>
      </c>
      <c r="E962" s="11"/>
      <c r="F962" s="13" t="str">
        <f>IFERROR(INDEX(都市マスタ[],MATCH(E962,都市マスタ['#],0),MATCH(F950,都市マスタ[#Headers],0)),"")</f>
        <v/>
      </c>
      <c r="G962" s="231" t="str">
        <f>IFERROR(INDEX(生データ表[],MATCH(E962,生データ表['#],0),MATCH(C950,生データ表[#Headers],0)),"")</f>
        <v/>
      </c>
      <c r="H962" s="236" t="str">
        <f>IFERROR(INDEX(スコア表[],MATCH(E962,スコア表['#],0),MATCH(C950,スコア表[#Headers],0)),"")</f>
        <v/>
      </c>
    </row>
    <row r="963" spans="2:8">
      <c r="E963" s="11"/>
      <c r="F963" s="13" t="str">
        <f>IFERROR(INDEX(都市マスタ[],MATCH(E963,都市マスタ['#],0),MATCH(F950,都市マスタ[#Headers],0)),"")</f>
        <v/>
      </c>
      <c r="G963" s="231" t="str">
        <f>IFERROR(INDEX(生データ表[],MATCH(E963,生データ表['#],0),MATCH(C950,生データ表[#Headers],0)),"")</f>
        <v/>
      </c>
      <c r="H963" s="236" t="str">
        <f>IFERROR(INDEX(スコア表[],MATCH(E963,スコア表['#],0),MATCH(C950,スコア表[#Headers],0)),"")</f>
        <v/>
      </c>
    </row>
    <row r="965" spans="2:8">
      <c r="B965" s="36" t="s">
        <v>208</v>
      </c>
      <c r="C965" s="37" t="s">
        <v>597</v>
      </c>
      <c r="E965" s="35" t="s">
        <v>208</v>
      </c>
      <c r="F965" s="36" t="str">
        <f>IF(JPEN!$C$2="EN",都市!$C$2,都市!$D$2)</f>
        <v>都市名</v>
      </c>
      <c r="G965" s="36" t="s">
        <v>644</v>
      </c>
      <c r="H965" s="36" t="s">
        <v>645</v>
      </c>
    </row>
    <row r="966" spans="2:8">
      <c r="B966" s="36" t="str">
        <f>IF(JPEN!$C$2="EN",指標!$I$2,指標!$H$2)</f>
        <v>指標</v>
      </c>
      <c r="C966" s="13" t="str">
        <f ca="1">INDEX(INDIRECT("指標マスタ["&amp;B966&amp;"]"),MATCH(C965,指標マスタ['#],0))</f>
        <v>国際線直行便就航都市数</v>
      </c>
      <c r="E966" s="11">
        <v>3</v>
      </c>
      <c r="F966" s="13" t="str">
        <f>IFERROR(INDEX(都市マスタ[],MATCH(E966,都市マスタ['#],0),MATCH(F965,都市マスタ[#Headers],0)),"")</f>
        <v>ロンドン</v>
      </c>
      <c r="G966" s="5">
        <f>IFERROR(INDEX(生データ表[],MATCH(E966,生データ表['#],0),MATCH(C965,生データ表[#Headers],0)),"")</f>
        <v>380.00000000000301</v>
      </c>
      <c r="H966" s="236">
        <f>IFERROR(INDEX(スコア表[],MATCH(E966,スコア表['#],0),MATCH(C965,スコア表[#Headers],0)),"")</f>
        <v>100</v>
      </c>
    </row>
    <row r="967" spans="2:8">
      <c r="B967" s="36" t="str">
        <f>IF(JPEN!$C$2="EN",指標!$L$2,指標!$K$2)</f>
        <v>単位</v>
      </c>
      <c r="C967" s="13" t="str">
        <f>INDEX(指標マスタ[],MATCH(C965,指標マスタ['#],0),MATCH(B967,指標マスタ[#Headers],0))</f>
        <v>都市</v>
      </c>
      <c r="E967" s="11">
        <v>38</v>
      </c>
      <c r="F967" s="13" t="str">
        <f>IFERROR(INDEX(都市マスタ[],MATCH(E967,都市マスタ['#],0),MATCH(F965,都市マスタ[#Headers],0)),"")</f>
        <v>ニューヨーク</v>
      </c>
      <c r="G967" s="5">
        <f>IFERROR(INDEX(生データ表[],MATCH(E967,生データ表['#],0),MATCH(C965,生データ表[#Headers],0)),"")</f>
        <v>140</v>
      </c>
      <c r="H967" s="236">
        <f>IFERROR(INDEX(スコア表[],MATCH(E967,スコア表['#],0),MATCH(C965,スコア表[#Headers],0)),"")</f>
        <v>34.782608695699999</v>
      </c>
    </row>
    <row r="968" spans="2:8">
      <c r="B968" s="36" t="s">
        <v>646</v>
      </c>
      <c r="C968" s="13" t="str">
        <f>INDEX(生データ表2[],MATCH(B968,生データ表2[maxmin],0),MATCH(C965,生データ表2[#Headers],0))</f>
        <v>プラス</v>
      </c>
      <c r="E968" s="11">
        <v>29</v>
      </c>
      <c r="F968" s="13" t="str">
        <f>IFERROR(INDEX(都市マスタ[],MATCH(E968,都市マスタ['#],0),MATCH(F965,都市マスタ[#Headers],0)),"")</f>
        <v>東京</v>
      </c>
      <c r="G968" s="5">
        <f>IFERROR(INDEX(生データ表[],MATCH(E968,生データ表['#],0),MATCH(C965,生データ表[#Headers],0)),"")</f>
        <v>104</v>
      </c>
      <c r="H968" s="236">
        <f>IFERROR(INDEX(スコア表[],MATCH(E968,スコア表['#],0),MATCH(C965,スコア表[#Headers],0)),"")</f>
        <v>25</v>
      </c>
    </row>
    <row r="969" spans="2:8">
      <c r="E969" s="11">
        <v>4</v>
      </c>
      <c r="F969" s="13" t="str">
        <f>IFERROR(INDEX(都市マスタ[],MATCH(E969,都市マスタ['#],0),MATCH(F965,都市マスタ[#Headers],0)),"")</f>
        <v>パリ</v>
      </c>
      <c r="G969" s="5">
        <f>IFERROR(INDEX(生データ表[],MATCH(E969,生データ表['#],0),MATCH(C965,生データ表[#Headers],0)),"")</f>
        <v>313.00000000000102</v>
      </c>
      <c r="H969" s="236">
        <f>IFERROR(INDEX(スコア表[],MATCH(E969,スコア表['#],0),MATCH(C965,スコア表[#Headers],0)),"")</f>
        <v>81.793478260900002</v>
      </c>
    </row>
    <row r="970" spans="2:8">
      <c r="B970" s="240" t="s">
        <v>2067</v>
      </c>
      <c r="E970" s="11">
        <v>21</v>
      </c>
      <c r="F970" s="13" t="str">
        <f>IFERROR(INDEX(都市マスタ[],MATCH(E970,都市マスタ['#],0),MATCH(F965,都市マスタ[#Headers],0)),"")</f>
        <v>シンガポール</v>
      </c>
      <c r="G970" s="5">
        <f>IFERROR(INDEX(生データ表[],MATCH(E970,生データ表['#],0),MATCH(C965,生データ表[#Headers],0)),"")</f>
        <v>135.00000000000099</v>
      </c>
      <c r="H970" s="236">
        <f>IFERROR(INDEX(スコア表[],MATCH(E970,スコア表['#],0),MATCH(C965,スコア表[#Headers],0)),"")</f>
        <v>33.423913043500001</v>
      </c>
    </row>
    <row r="971" spans="2:8">
      <c r="E971" s="11">
        <v>26</v>
      </c>
      <c r="F971" s="13" t="str">
        <f>IFERROR(INDEX(都市マスタ[],MATCH(E971,都市マスタ['#],0),MATCH(F965,都市マスタ[#Headers],0)),"")</f>
        <v>ソウル</v>
      </c>
      <c r="G971" s="5">
        <f>IFERROR(INDEX(生データ表[],MATCH(E971,生データ表['#],0),MATCH(C965,生データ表[#Headers],0)),"")</f>
        <v>134.99999999999801</v>
      </c>
      <c r="H971" s="236">
        <f>IFERROR(INDEX(スコア表[],MATCH(E971,スコア表['#],0),MATCH(C965,スコア表[#Headers],0)),"")</f>
        <v>33.423913043500001</v>
      </c>
    </row>
    <row r="972" spans="2:8">
      <c r="E972" s="11">
        <v>22</v>
      </c>
      <c r="F972" s="13" t="str">
        <f>IFERROR(INDEX(都市マスタ[],MATCH(E972,都市マスタ['#],0),MATCH(F965,都市マスタ[#Headers],0)),"")</f>
        <v>香港</v>
      </c>
      <c r="G972" s="5">
        <f>IFERROR(INDEX(生データ表[],MATCH(E972,生データ表['#],0),MATCH(C965,生データ表[#Headers],0)),"")</f>
        <v>100</v>
      </c>
      <c r="H972" s="236">
        <f>IFERROR(INDEX(スコア表[],MATCH(E972,スコア表['#],0),MATCH(C965,スコア表[#Headers],0)),"")</f>
        <v>23.913043478300001</v>
      </c>
    </row>
    <row r="973" spans="2:8">
      <c r="E973" s="11">
        <v>23</v>
      </c>
      <c r="F973" s="13" t="str">
        <f>IFERROR(INDEX(都市マスタ[],MATCH(E973,都市マスタ['#],0),MATCH(F965,都市マスタ[#Headers],0)),"")</f>
        <v>北京</v>
      </c>
      <c r="G973" s="5">
        <f>IFERROR(INDEX(生データ表[],MATCH(E973,生データ表['#],0),MATCH(C965,生データ表[#Headers],0)),"")</f>
        <v>59.000000000000199</v>
      </c>
      <c r="H973" s="236">
        <f>IFERROR(INDEX(スコア表[],MATCH(E973,スコア表['#],0),MATCH(C965,スコア表[#Headers],0)),"")</f>
        <v>12.7717391304</v>
      </c>
    </row>
    <row r="974" spans="2:8">
      <c r="B974" s="240" t="s">
        <v>2068</v>
      </c>
      <c r="E974" s="11">
        <v>24</v>
      </c>
      <c r="F974" s="13" t="str">
        <f>IFERROR(INDEX(都市マスタ[],MATCH(E974,都市マスタ['#],0),MATCH(F965,都市マスタ[#Headers],0)),"")</f>
        <v>上海</v>
      </c>
      <c r="G974" s="5">
        <f>IFERROR(INDEX(生データ表[],MATCH(E974,生データ表['#],0),MATCH(C965,生データ表[#Headers],0)),"")</f>
        <v>53.999999999999901</v>
      </c>
      <c r="H974" s="236">
        <f>IFERROR(INDEX(スコア表[],MATCH(E974,スコア表['#],0),MATCH(C965,スコア表[#Headers],0)),"")</f>
        <v>11.413043478300001</v>
      </c>
    </row>
    <row r="975" spans="2:8">
      <c r="B975" t="s">
        <v>2070</v>
      </c>
      <c r="E975" s="11"/>
      <c r="F975" s="13" t="str">
        <f>IFERROR(INDEX(都市マスタ[],MATCH(E975,都市マスタ['#],0),MATCH(F965,都市マスタ[#Headers],0)),"")</f>
        <v/>
      </c>
      <c r="G975" s="231" t="str">
        <f>IFERROR(INDEX(生データ表[],MATCH(E975,生データ表['#],0),MATCH(C965,生データ表[#Headers],0)),"")</f>
        <v/>
      </c>
      <c r="H975" s="236" t="str">
        <f>IFERROR(INDEX(スコア表[],MATCH(E975,スコア表['#],0),MATCH(C965,スコア表[#Headers],0)),"")</f>
        <v/>
      </c>
    </row>
    <row r="976" spans="2:8">
      <c r="B976" t="s">
        <v>2071</v>
      </c>
      <c r="E976" s="11"/>
      <c r="F976" s="13" t="str">
        <f>IFERROR(INDEX(都市マスタ[],MATCH(E976,都市マスタ['#],0),MATCH(F965,都市マスタ[#Headers],0)),"")</f>
        <v/>
      </c>
      <c r="G976" s="231" t="str">
        <f>IFERROR(INDEX(生データ表[],MATCH(E976,生データ表['#],0),MATCH(C965,生データ表[#Headers],0)),"")</f>
        <v/>
      </c>
      <c r="H976" s="236" t="str">
        <f>IFERROR(INDEX(スコア表[],MATCH(E976,スコア表['#],0),MATCH(C965,スコア表[#Headers],0)),"")</f>
        <v/>
      </c>
    </row>
    <row r="977" spans="2:8">
      <c r="B977" t="s">
        <v>2069</v>
      </c>
      <c r="E977" s="11"/>
      <c r="F977" s="13" t="str">
        <f>IFERROR(INDEX(都市マスタ[],MATCH(E977,都市マスタ['#],0),MATCH(F965,都市マスタ[#Headers],0)),"")</f>
        <v/>
      </c>
      <c r="G977" s="231" t="str">
        <f>IFERROR(INDEX(生データ表[],MATCH(E977,生データ表['#],0),MATCH(C965,生データ表[#Headers],0)),"")</f>
        <v/>
      </c>
      <c r="H977" s="236" t="str">
        <f>IFERROR(INDEX(スコア表[],MATCH(E977,スコア表['#],0),MATCH(C965,スコア表[#Headers],0)),"")</f>
        <v/>
      </c>
    </row>
    <row r="978" spans="2:8">
      <c r="E978" s="11"/>
      <c r="F978" s="13" t="str">
        <f>IFERROR(INDEX(都市マスタ[],MATCH(E978,都市マスタ['#],0),MATCH(F965,都市マスタ[#Headers],0)),"")</f>
        <v/>
      </c>
      <c r="G978" s="231" t="str">
        <f>IFERROR(INDEX(生データ表[],MATCH(E978,生データ表['#],0),MATCH(C965,生データ表[#Headers],0)),"")</f>
        <v/>
      </c>
      <c r="H978" s="236" t="str">
        <f>IFERROR(INDEX(スコア表[],MATCH(E978,スコア表['#],0),MATCH(C965,スコア表[#Headers],0)),"")</f>
        <v/>
      </c>
    </row>
    <row r="980" spans="2:8">
      <c r="B980" s="36" t="s">
        <v>208</v>
      </c>
      <c r="C980" s="37" t="s">
        <v>598</v>
      </c>
      <c r="E980" s="35" t="s">
        <v>208</v>
      </c>
      <c r="F980" s="36" t="str">
        <f>IF(JPEN!$C$2="EN",都市!$C$2,都市!$D$2)</f>
        <v>都市名</v>
      </c>
      <c r="G980" s="36" t="s">
        <v>644</v>
      </c>
      <c r="H980" s="36" t="s">
        <v>645</v>
      </c>
    </row>
    <row r="981" spans="2:8">
      <c r="B981" s="36" t="str">
        <f>IF(JPEN!$C$2="EN",指標!$I$2,指標!$H$2)</f>
        <v>指標</v>
      </c>
      <c r="C981" s="13" t="str">
        <f ca="1">INDEX(INDIRECT("指標マスタ["&amp;B981&amp;"]"),MATCH(C980,指標マスタ['#],0))</f>
        <v>国際貨物流通規模</v>
      </c>
      <c r="E981" s="11">
        <v>3</v>
      </c>
      <c r="F981" s="13" t="str">
        <f>IFERROR(INDEX(都市マスタ[],MATCH(E981,都市マスタ['#],0),MATCH(F980,都市マスタ[#Headers],0)),"")</f>
        <v>ロンドン</v>
      </c>
      <c r="G981" s="5">
        <f>IFERROR(INDEX(生データ表[],MATCH(E981,生データ表['#],0),MATCH(C980,生データ表[#Headers],0)),"")</f>
        <v>22.045064397046701</v>
      </c>
      <c r="H981" s="236">
        <f>IFERROR(INDEX(スコア表[],MATCH(E981,スコア表['#],0),MATCH(C980,スコア表[#Headers],0)),"")</f>
        <v>27.316848119300001</v>
      </c>
    </row>
    <row r="982" spans="2:8">
      <c r="B982" s="36" t="str">
        <f>IF(JPEN!$C$2="EN",指標!$L$2,指標!$K$2)</f>
        <v>単位</v>
      </c>
      <c r="C982" s="13" t="str">
        <f>INDEX(指標マスタ[],MATCH(C980,指標マスタ['#],0),MATCH(B982,指標マスタ[#Headers],0))</f>
        <v>（合算）</v>
      </c>
      <c r="E982" s="11">
        <v>38</v>
      </c>
      <c r="F982" s="13" t="str">
        <f>IFERROR(INDEX(都市マスタ[],MATCH(E982,都市マスタ['#],0),MATCH(F980,都市マスタ[#Headers],0)),"")</f>
        <v>ニューヨーク</v>
      </c>
      <c r="G982" s="5">
        <f>IFERROR(INDEX(生データ表[],MATCH(E982,生データ表['#],0),MATCH(C980,生データ表[#Headers],0)),"")</f>
        <v>24.228704044496499</v>
      </c>
      <c r="H982" s="236">
        <f>IFERROR(INDEX(スコア表[],MATCH(E982,スコア表['#],0),MATCH(C980,スコア表[#Headers],0)),"")</f>
        <v>30.0226761234</v>
      </c>
    </row>
    <row r="983" spans="2:8">
      <c r="B983" s="36" t="s">
        <v>646</v>
      </c>
      <c r="C983" s="13" t="str">
        <f>INDEX(生データ表2[],MATCH(B983,生データ表2[maxmin],0),MATCH(C980,生データ表2[#Headers],0))</f>
        <v>プラス</v>
      </c>
      <c r="E983" s="11">
        <v>29</v>
      </c>
      <c r="F983" s="13" t="str">
        <f>IFERROR(INDEX(都市マスタ[],MATCH(E983,都市マスタ['#],0),MATCH(F980,都市マスタ[#Headers],0)),"")</f>
        <v>東京</v>
      </c>
      <c r="G983" s="5">
        <f>IFERROR(INDEX(生データ表[],MATCH(E983,生データ表['#],0),MATCH(C980,生データ表[#Headers],0)),"")</f>
        <v>37.474100852024002</v>
      </c>
      <c r="H983" s="236">
        <f>IFERROR(INDEX(スコア表[],MATCH(E983,スコア表['#],0),MATCH(C980,スコア表[#Headers],0)),"")</f>
        <v>46.435533276100003</v>
      </c>
    </row>
    <row r="984" spans="2:8">
      <c r="E984" s="11">
        <v>4</v>
      </c>
      <c r="F984" s="13" t="str">
        <f>IFERROR(INDEX(都市マスタ[],MATCH(E984,都市マスタ['#],0),MATCH(F980,都市マスタ[#Headers],0)),"")</f>
        <v>パリ</v>
      </c>
      <c r="G984" s="5">
        <f>IFERROR(INDEX(生データ表[],MATCH(E984,生データ表['#],0),MATCH(C980,生データ表[#Headers],0)),"")</f>
        <v>22.3929934257004</v>
      </c>
      <c r="H984" s="236">
        <f>IFERROR(INDEX(スコア表[],MATCH(E984,スコア表['#],0),MATCH(C980,スコア表[#Headers],0)),"")</f>
        <v>27.7479797441</v>
      </c>
    </row>
    <row r="985" spans="2:8">
      <c r="B985" s="240" t="s">
        <v>2067</v>
      </c>
      <c r="E985" s="11">
        <v>21</v>
      </c>
      <c r="F985" s="13" t="str">
        <f>IFERROR(INDEX(都市マスタ[],MATCH(E985,都市マスタ['#],0),MATCH(F980,都市マスタ[#Headers],0)),"")</f>
        <v>シンガポール</v>
      </c>
      <c r="G985" s="5">
        <f>IFERROR(INDEX(生データ表[],MATCH(E985,生データ表['#],0),MATCH(C980,生データ表[#Headers],0)),"")</f>
        <v>61.506305468198001</v>
      </c>
      <c r="H985" s="236">
        <f>IFERROR(INDEX(スコア表[],MATCH(E985,スコア表['#],0),MATCH(C980,スコア表[#Headers],0)),"")</f>
        <v>76.2147197484</v>
      </c>
    </row>
    <row r="986" spans="2:8">
      <c r="E986" s="11">
        <v>26</v>
      </c>
      <c r="F986" s="13" t="str">
        <f>IFERROR(INDEX(都市マスタ[],MATCH(E986,都市マスタ['#],0),MATCH(F980,都市マスタ[#Headers],0)),"")</f>
        <v>ソウル</v>
      </c>
      <c r="G986" s="5">
        <f>IFERROR(INDEX(生データ表[],MATCH(E986,生データ表['#],0),MATCH(C980,生データ表[#Headers],0)),"")</f>
        <v>38.177965850969997</v>
      </c>
      <c r="H986" s="236">
        <f>IFERROR(INDEX(スコア表[],MATCH(E986,スコア表['#],0),MATCH(C980,スコア表[#Headers],0)),"")</f>
        <v>47.307718220799998</v>
      </c>
    </row>
    <row r="987" spans="2:8">
      <c r="E987" s="11">
        <v>22</v>
      </c>
      <c r="F987" s="13" t="str">
        <f>IFERROR(INDEX(都市マスタ[],MATCH(E987,都市マスタ['#],0),MATCH(F980,都市マスタ[#Headers],0)),"")</f>
        <v>香港</v>
      </c>
      <c r="G987" s="5">
        <f>IFERROR(INDEX(生データ表[],MATCH(E987,生データ表['#],0),MATCH(C980,生データ表[#Headers],0)),"")</f>
        <v>67.515856236786405</v>
      </c>
      <c r="H987" s="236">
        <f>IFERROR(INDEX(スコア表[],MATCH(E987,スコア表['#],0),MATCH(C980,スコア表[#Headers],0)),"")</f>
        <v>83.661374593800005</v>
      </c>
    </row>
    <row r="988" spans="2:8">
      <c r="E988" s="11">
        <v>23</v>
      </c>
      <c r="F988" s="13" t="str">
        <f>IFERROR(INDEX(都市マスタ[],MATCH(E988,都市マスタ['#],0),MATCH(F980,都市マスタ[#Headers],0)),"")</f>
        <v>北京</v>
      </c>
      <c r="G988" s="5">
        <f>IFERROR(INDEX(生データ表[],MATCH(E988,生データ表['#],0),MATCH(C980,生データ表[#Headers],0)),"")</f>
        <v>6.3132540636674497</v>
      </c>
      <c r="H988" s="236">
        <f>IFERROR(INDEX(スコア表[],MATCH(E988,スコア表['#],0),MATCH(C980,スコア表[#Headers],0)),"")</f>
        <v>7.8229847412</v>
      </c>
    </row>
    <row r="989" spans="2:8">
      <c r="B989" s="240" t="s">
        <v>2068</v>
      </c>
      <c r="E989" s="11">
        <v>24</v>
      </c>
      <c r="F989" s="13" t="str">
        <f>IFERROR(INDEX(都市マスタ[],MATCH(E989,都市マスタ['#],0),MATCH(F980,都市マスタ[#Headers],0)),"")</f>
        <v>上海</v>
      </c>
      <c r="G989" s="5">
        <f>IFERROR(INDEX(生データ表[],MATCH(E989,生データ表['#],0),MATCH(C980,生データ表[#Headers],0)),"")</f>
        <v>80.701347024928097</v>
      </c>
      <c r="H989" s="236">
        <f>IFERROR(INDEX(スコア表[],MATCH(E989,スコア表['#],0),MATCH(C980,スコア表[#Headers],0)),"")</f>
        <v>100</v>
      </c>
    </row>
    <row r="990" spans="2:8">
      <c r="B990" t="s">
        <v>2070</v>
      </c>
      <c r="E990" s="11"/>
      <c r="F990" s="13" t="str">
        <f>IFERROR(INDEX(都市マスタ[],MATCH(E990,都市マスタ['#],0),MATCH(F980,都市マスタ[#Headers],0)),"")</f>
        <v/>
      </c>
      <c r="G990" s="231" t="str">
        <f>IFERROR(INDEX(生データ表[],MATCH(E990,生データ表['#],0),MATCH(C980,生データ表[#Headers],0)),"")</f>
        <v/>
      </c>
      <c r="H990" s="236" t="str">
        <f>IFERROR(INDEX(スコア表[],MATCH(E990,スコア表['#],0),MATCH(C980,スコア表[#Headers],0)),"")</f>
        <v/>
      </c>
    </row>
    <row r="991" spans="2:8">
      <c r="B991" t="s">
        <v>2071</v>
      </c>
      <c r="E991" s="11"/>
      <c r="F991" s="13" t="str">
        <f>IFERROR(INDEX(都市マスタ[],MATCH(E991,都市マスタ['#],0),MATCH(F980,都市マスタ[#Headers],0)),"")</f>
        <v/>
      </c>
      <c r="G991" s="231" t="str">
        <f>IFERROR(INDEX(生データ表[],MATCH(E991,生データ表['#],0),MATCH(C980,生データ表[#Headers],0)),"")</f>
        <v/>
      </c>
      <c r="H991" s="236" t="str">
        <f>IFERROR(INDEX(スコア表[],MATCH(E991,スコア表['#],0),MATCH(C980,スコア表[#Headers],0)),"")</f>
        <v/>
      </c>
    </row>
    <row r="992" spans="2:8">
      <c r="B992" t="s">
        <v>2069</v>
      </c>
      <c r="E992" s="11"/>
      <c r="F992" s="13" t="str">
        <f>IFERROR(INDEX(都市マスタ[],MATCH(E992,都市マスタ['#],0),MATCH(F980,都市マスタ[#Headers],0)),"")</f>
        <v/>
      </c>
      <c r="G992" s="231" t="str">
        <f>IFERROR(INDEX(生データ表[],MATCH(E992,生データ表['#],0),MATCH(C980,生データ表[#Headers],0)),"")</f>
        <v/>
      </c>
      <c r="H992" s="236" t="str">
        <f>IFERROR(INDEX(スコア表[],MATCH(E992,スコア表['#],0),MATCH(C980,スコア表[#Headers],0)),"")</f>
        <v/>
      </c>
    </row>
    <row r="993" spans="2:8">
      <c r="E993" s="11"/>
      <c r="F993" s="13" t="str">
        <f>IFERROR(INDEX(都市マスタ[],MATCH(E993,都市マスタ['#],0),MATCH(F980,都市マスタ[#Headers],0)),"")</f>
        <v/>
      </c>
      <c r="G993" s="231" t="str">
        <f>IFERROR(INDEX(生データ表[],MATCH(E993,生データ表['#],0),MATCH(C980,生データ表[#Headers],0)),"")</f>
        <v/>
      </c>
      <c r="H993" s="236" t="str">
        <f>IFERROR(INDEX(スコア表[],MATCH(E993,スコア表['#],0),MATCH(C980,スコア表[#Headers],0)),"")</f>
        <v/>
      </c>
    </row>
    <row r="995" spans="2:8">
      <c r="B995" s="36" t="s">
        <v>208</v>
      </c>
      <c r="C995" s="37" t="s">
        <v>599</v>
      </c>
      <c r="E995" s="35" t="s">
        <v>208</v>
      </c>
      <c r="F995" s="36" t="str">
        <f>IF(JPEN!$C$2="EN",都市!$C$2,都市!$D$2)</f>
        <v>都市名</v>
      </c>
      <c r="G995" s="36" t="s">
        <v>644</v>
      </c>
      <c r="H995" s="36" t="s">
        <v>645</v>
      </c>
    </row>
    <row r="996" spans="2:8">
      <c r="B996" s="36" t="str">
        <f>IF(JPEN!$C$2="EN",指標!$I$2,指標!$H$2)</f>
        <v>指標</v>
      </c>
      <c r="C996" s="13" t="str">
        <f ca="1">INDEX(INDIRECT("指標マスタ["&amp;B996&amp;"]"),MATCH(C995,指標マスタ['#],0))</f>
        <v>国内・国際線旅客数</v>
      </c>
      <c r="E996" s="11">
        <v>3</v>
      </c>
      <c r="F996" s="13" t="str">
        <f>IFERROR(INDEX(都市マスタ[],MATCH(E996,都市マスタ['#],0),MATCH(F995,都市マスタ[#Headers],0)),"")</f>
        <v>ロンドン</v>
      </c>
      <c r="G996" s="5">
        <f>IFERROR(INDEX(生データ表[],MATCH(E996,生データ表['#],0),MATCH(C995,生データ表[#Headers],0)),"")</f>
        <v>134004325</v>
      </c>
      <c r="H996" s="236">
        <f>IFERROR(INDEX(スコア表[],MATCH(E996,スコア表['#],0),MATCH(C995,スコア表[#Headers],0)),"")</f>
        <v>100</v>
      </c>
    </row>
    <row r="997" spans="2:8">
      <c r="B997" s="36" t="str">
        <f>IF(JPEN!$C$2="EN",指標!$L$2,指標!$K$2)</f>
        <v>単位</v>
      </c>
      <c r="C997" s="13" t="str">
        <f>INDEX(指標マスタ[],MATCH(C995,指標マスタ['#],0),MATCH(B997,指標マスタ[#Headers],0))</f>
        <v>人</v>
      </c>
      <c r="E997" s="11">
        <v>38</v>
      </c>
      <c r="F997" s="13" t="str">
        <f>IFERROR(INDEX(都市マスタ[],MATCH(E997,都市マスタ['#],0),MATCH(F995,都市マスタ[#Headers],0)),"")</f>
        <v>ニューヨーク</v>
      </c>
      <c r="G997" s="5">
        <f>IFERROR(INDEX(生データ表[],MATCH(E997,生データ表['#],0),MATCH(C995,生データ表[#Headers],0)),"")</f>
        <v>127850557</v>
      </c>
      <c r="H997" s="236">
        <f>IFERROR(INDEX(スコア表[],MATCH(E997,スコア表['#],0),MATCH(C995,スコア表[#Headers],0)),"")</f>
        <v>95.205623216600003</v>
      </c>
    </row>
    <row r="998" spans="2:8">
      <c r="B998" s="36" t="s">
        <v>646</v>
      </c>
      <c r="C998" s="13" t="str">
        <f>INDEX(生データ表2[],MATCH(B998,生データ表2[maxmin],0),MATCH(C995,生データ表2[#Headers],0))</f>
        <v>プラス</v>
      </c>
      <c r="E998" s="11">
        <v>29</v>
      </c>
      <c r="F998" s="13" t="str">
        <f>IFERROR(INDEX(都市マスタ[],MATCH(E998,都市マスタ['#],0),MATCH(F995,都市マスタ[#Headers],0)),"")</f>
        <v>東京</v>
      </c>
      <c r="G998" s="5">
        <f>IFERROR(INDEX(生データ表[],MATCH(E998,生データ表['#],0),MATCH(C995,生データ表[#Headers],0)),"")</f>
        <v>65757482</v>
      </c>
      <c r="H998" s="236">
        <f>IFERROR(INDEX(スコア表[],MATCH(E998,スコア表['#],0),MATCH(C995,スコア表[#Headers],0)),"")</f>
        <v>46.829149292399997</v>
      </c>
    </row>
    <row r="999" spans="2:8">
      <c r="E999" s="11">
        <v>4</v>
      </c>
      <c r="F999" s="13" t="str">
        <f>IFERROR(INDEX(都市マスタ[],MATCH(E999,都市マスタ['#],0),MATCH(F995,都市マスタ[#Headers],0)),"")</f>
        <v>パリ</v>
      </c>
      <c r="G999" s="5">
        <f>IFERROR(INDEX(生データ表[],MATCH(E999,生データ表['#],0),MATCH(C995,生データ表[#Headers],0)),"")</f>
        <v>91275726</v>
      </c>
      <c r="H999" s="236">
        <f>IFERROR(INDEX(スコア表[],MATCH(E999,スコア表['#],0),MATCH(C995,スコア表[#Headers],0)),"")</f>
        <v>66.710314228399994</v>
      </c>
    </row>
    <row r="1000" spans="2:8">
      <c r="B1000" s="240" t="s">
        <v>2067</v>
      </c>
      <c r="E1000" s="11">
        <v>21</v>
      </c>
      <c r="F1000" s="13" t="str">
        <f>IFERROR(INDEX(都市マスタ[],MATCH(E1000,都市マスタ['#],0),MATCH(F995,都市マスタ[#Headers],0)),"")</f>
        <v>シンガポール</v>
      </c>
      <c r="G1000" s="5">
        <f>IFERROR(INDEX(生データ表[],MATCH(E1000,生データ表['#],0),MATCH(C995,生データ表[#Headers],0)),"")</f>
        <v>32202000</v>
      </c>
      <c r="H1000" s="236">
        <f>IFERROR(INDEX(スコア表[],MATCH(E1000,スコア表['#],0),MATCH(C995,スコア表[#Headers],0)),"")</f>
        <v>20.686203400499998</v>
      </c>
    </row>
    <row r="1001" spans="2:8">
      <c r="E1001" s="11">
        <v>26</v>
      </c>
      <c r="F1001" s="13" t="str">
        <f>IFERROR(INDEX(都市マスタ[],MATCH(E1001,都市マスタ['#],0),MATCH(F995,都市マスタ[#Headers],0)),"")</f>
        <v>ソウル</v>
      </c>
      <c r="G1001" s="5">
        <f>IFERROR(INDEX(生データ表[],MATCH(E1001,生データ表['#],0),MATCH(C995,生データ表[#Headers],0)),"")</f>
        <v>42447962</v>
      </c>
      <c r="H1001" s="236">
        <f>IFERROR(INDEX(スコア表[],MATCH(E1001,スコア表['#],0),MATCH(C995,スコア表[#Headers],0)),"")</f>
        <v>28.668792659000001</v>
      </c>
    </row>
    <row r="1002" spans="2:8">
      <c r="E1002" s="11">
        <v>22</v>
      </c>
      <c r="F1002" s="13" t="str">
        <f>IFERROR(INDEX(都市マスタ[],MATCH(E1002,都市マスタ['#],0),MATCH(F995,都市マスタ[#Headers],0)),"")</f>
        <v>香港</v>
      </c>
      <c r="G1002" s="5">
        <f>IFERROR(INDEX(生データ表[],MATCH(E1002,生データ表['#],0),MATCH(C995,生データ表[#Headers],0)),"")</f>
        <v>5650458</v>
      </c>
      <c r="H1002" s="236">
        <f>IFERROR(INDEX(スコア表[],MATCH(E1002,スコア表['#],0),MATCH(C995,スコア表[#Headers],0)),"")</f>
        <v>0</v>
      </c>
    </row>
    <row r="1003" spans="2:8">
      <c r="E1003" s="11">
        <v>23</v>
      </c>
      <c r="F1003" s="13" t="str">
        <f>IFERROR(INDEX(都市マスタ[],MATCH(E1003,都市マスタ['#],0),MATCH(F995,都市マスタ[#Headers],0)),"")</f>
        <v>北京</v>
      </c>
      <c r="G1003" s="5">
        <f>IFERROR(INDEX(生データ表[],MATCH(E1003,生データ表['#],0),MATCH(C995,生データ表[#Headers],0)),"")</f>
        <v>12703342</v>
      </c>
      <c r="H1003" s="236">
        <f>IFERROR(INDEX(スコア表[],MATCH(E1003,スコア表['#],0),MATCH(C995,スコア表[#Headers],0)),"")</f>
        <v>5.4948745719999996</v>
      </c>
    </row>
    <row r="1004" spans="2:8">
      <c r="B1004" s="240" t="s">
        <v>2068</v>
      </c>
      <c r="E1004" s="11">
        <v>24</v>
      </c>
      <c r="F1004" s="13" t="str">
        <f>IFERROR(INDEX(都市マスタ[],MATCH(E1004,都市マスタ['#],0),MATCH(F995,都市マスタ[#Headers],0)),"")</f>
        <v>上海</v>
      </c>
      <c r="G1004" s="5">
        <f>IFERROR(INDEX(生データ表[],MATCH(E1004,生データ表['#],0),MATCH(C995,生データ表[#Headers],0)),"")</f>
        <v>28889974</v>
      </c>
      <c r="H1004" s="236">
        <f>IFERROR(INDEX(スコア表[],MATCH(E1004,スコア表['#],0),MATCH(C995,スコア表[#Headers],0)),"")</f>
        <v>18.1058167885</v>
      </c>
    </row>
    <row r="1005" spans="2:8">
      <c r="B1005" t="s">
        <v>2070</v>
      </c>
      <c r="E1005" s="11"/>
      <c r="F1005" s="13" t="str">
        <f>IFERROR(INDEX(都市マスタ[],MATCH(E1005,都市マスタ['#],0),MATCH(F995,都市マスタ[#Headers],0)),"")</f>
        <v/>
      </c>
      <c r="G1005" s="231" t="str">
        <f>IFERROR(INDEX(生データ表[],MATCH(E1005,生データ表['#],0),MATCH(C995,生データ表[#Headers],0)),"")</f>
        <v/>
      </c>
      <c r="H1005" s="236" t="str">
        <f>IFERROR(INDEX(スコア表[],MATCH(E1005,スコア表['#],0),MATCH(C995,スコア表[#Headers],0)),"")</f>
        <v/>
      </c>
    </row>
    <row r="1006" spans="2:8">
      <c r="B1006" t="s">
        <v>2071</v>
      </c>
      <c r="E1006" s="11"/>
      <c r="F1006" s="13" t="str">
        <f>IFERROR(INDEX(都市マスタ[],MATCH(E1006,都市マスタ['#],0),MATCH(F995,都市マスタ[#Headers],0)),"")</f>
        <v/>
      </c>
      <c r="G1006" s="231" t="str">
        <f>IFERROR(INDEX(生データ表[],MATCH(E1006,生データ表['#],0),MATCH(C995,生データ表[#Headers],0)),"")</f>
        <v/>
      </c>
      <c r="H1006" s="236" t="str">
        <f>IFERROR(INDEX(スコア表[],MATCH(E1006,スコア表['#],0),MATCH(C995,スコア表[#Headers],0)),"")</f>
        <v/>
      </c>
    </row>
    <row r="1007" spans="2:8">
      <c r="B1007" t="s">
        <v>2069</v>
      </c>
      <c r="E1007" s="11"/>
      <c r="F1007" s="13" t="str">
        <f>IFERROR(INDEX(都市マスタ[],MATCH(E1007,都市マスタ['#],0),MATCH(F995,都市マスタ[#Headers],0)),"")</f>
        <v/>
      </c>
      <c r="G1007" s="231" t="str">
        <f>IFERROR(INDEX(生データ表[],MATCH(E1007,生データ表['#],0),MATCH(C995,生データ表[#Headers],0)),"")</f>
        <v/>
      </c>
      <c r="H1007" s="236" t="str">
        <f>IFERROR(INDEX(スコア表[],MATCH(E1007,スコア表['#],0),MATCH(C995,スコア表[#Headers],0)),"")</f>
        <v/>
      </c>
    </row>
    <row r="1008" spans="2:8">
      <c r="E1008" s="11"/>
      <c r="F1008" s="13" t="str">
        <f>IFERROR(INDEX(都市マスタ[],MATCH(E1008,都市マスタ['#],0),MATCH(F995,都市マスタ[#Headers],0)),"")</f>
        <v/>
      </c>
      <c r="G1008" s="231" t="str">
        <f>IFERROR(INDEX(生データ表[],MATCH(E1008,生データ表['#],0),MATCH(C995,生データ表[#Headers],0)),"")</f>
        <v/>
      </c>
      <c r="H1008" s="236" t="str">
        <f>IFERROR(INDEX(スコア表[],MATCH(E1008,スコア表['#],0),MATCH(C995,スコア表[#Headers],0)),"")</f>
        <v/>
      </c>
    </row>
    <row r="1010" spans="2:8">
      <c r="B1010" s="36" t="s">
        <v>208</v>
      </c>
      <c r="C1010" s="37" t="s">
        <v>600</v>
      </c>
      <c r="E1010" s="35" t="s">
        <v>208</v>
      </c>
      <c r="F1010" s="36" t="str">
        <f>IF(JPEN!$C$2="EN",都市!$C$2,都市!$D$2)</f>
        <v>都市名</v>
      </c>
      <c r="G1010" s="36" t="s">
        <v>644</v>
      </c>
      <c r="H1010" s="36" t="s">
        <v>645</v>
      </c>
    </row>
    <row r="1011" spans="2:8">
      <c r="B1011" s="36" t="str">
        <f>IF(JPEN!$C$2="EN",指標!$I$2,指標!$H$2)</f>
        <v>指標</v>
      </c>
      <c r="C1011" s="13" t="str">
        <f ca="1">INDEX(INDIRECT("指標マスタ["&amp;B1011&amp;"]"),MATCH(C1010,指標マスタ['#],0))</f>
        <v>航空機の発着回数</v>
      </c>
      <c r="E1011" s="11">
        <v>3</v>
      </c>
      <c r="F1011" s="13" t="str">
        <f>IFERROR(INDEX(都市マスタ[],MATCH(E1011,都市マスタ['#],0),MATCH(F1010,都市マスタ[#Headers],0)),"")</f>
        <v>ロンドン</v>
      </c>
      <c r="G1011" s="5">
        <f>IFERROR(INDEX(生データ表[],MATCH(E1011,生データ表['#],0),MATCH(C1010,生データ表[#Headers],0)),"")</f>
        <v>955582</v>
      </c>
      <c r="H1011" s="236">
        <f>IFERROR(INDEX(スコア表[],MATCH(E1011,スコア表['#],0),MATCH(C1010,スコア表[#Headers],0)),"")</f>
        <v>79.549347002100006</v>
      </c>
    </row>
    <row r="1012" spans="2:8">
      <c r="B1012" s="36" t="str">
        <f>IF(JPEN!$C$2="EN",指標!$L$2,指標!$K$2)</f>
        <v>単位</v>
      </c>
      <c r="C1012" s="13" t="str">
        <f>INDEX(指標マスタ[],MATCH(C1010,指標マスタ['#],0),MATCH(B1012,指標マスタ[#Headers],0))</f>
        <v>回</v>
      </c>
      <c r="E1012" s="11">
        <v>38</v>
      </c>
      <c r="F1012" s="13" t="str">
        <f>IFERROR(INDEX(都市マスタ[],MATCH(E1012,都市マスタ['#],0),MATCH(F1010,都市マスタ[#Headers],0)),"")</f>
        <v>ニューヨーク</v>
      </c>
      <c r="G1012" s="5">
        <f>IFERROR(INDEX(生データ表[],MATCH(E1012,生データ表['#],0),MATCH(C1010,生データ表[#Headers],0)),"")</f>
        <v>1189262</v>
      </c>
      <c r="H1012" s="236">
        <f>IFERROR(INDEX(スコア表[],MATCH(E1012,スコア表['#],0),MATCH(C1010,スコア表[#Headers],0)),"")</f>
        <v>100</v>
      </c>
    </row>
    <row r="1013" spans="2:8">
      <c r="B1013" s="36" t="s">
        <v>646</v>
      </c>
      <c r="C1013" s="13" t="str">
        <f>INDEX(生データ表2[],MATCH(B1013,生データ表2[maxmin],0),MATCH(C1010,生データ表2[#Headers],0))</f>
        <v>プラス</v>
      </c>
      <c r="E1013" s="11">
        <v>29</v>
      </c>
      <c r="F1013" s="13" t="str">
        <f>IFERROR(INDEX(都市マスタ[],MATCH(E1013,都市マスタ['#],0),MATCH(F1010,都市マスタ[#Headers],0)),"")</f>
        <v>東京</v>
      </c>
      <c r="G1013" s="5">
        <f>IFERROR(INDEX(生データ表[],MATCH(E1013,生データ表['#],0),MATCH(C1010,生データ表[#Headers],0)),"")</f>
        <v>534295</v>
      </c>
      <c r="H1013" s="236">
        <f>IFERROR(INDEX(スコア表[],MATCH(E1013,スコア表['#],0),MATCH(C1010,スコア表[#Headers],0)),"")</f>
        <v>42.6801487416</v>
      </c>
    </row>
    <row r="1014" spans="2:8">
      <c r="E1014" s="11">
        <v>4</v>
      </c>
      <c r="F1014" s="13" t="str">
        <f>IFERROR(INDEX(都市マスタ[],MATCH(E1014,都市マスタ['#],0),MATCH(F1010,都市マスタ[#Headers],0)),"")</f>
        <v>パリ</v>
      </c>
      <c r="G1014" s="5">
        <f>IFERROR(INDEX(生データ表[],MATCH(E1014,生データ表['#],0),MATCH(C1010,生データ表[#Headers],0)),"")</f>
        <v>619429</v>
      </c>
      <c r="H1014" s="236">
        <f>IFERROR(INDEX(スコア表[],MATCH(E1014,スコア表['#],0),MATCH(C1010,スコア表[#Headers],0)),"")</f>
        <v>50.130704597099999</v>
      </c>
    </row>
    <row r="1015" spans="2:8">
      <c r="B1015" s="240" t="s">
        <v>2067</v>
      </c>
      <c r="E1015" s="11">
        <v>21</v>
      </c>
      <c r="F1015" s="13" t="str">
        <f>IFERROR(INDEX(都市マスタ[],MATCH(E1015,都市マスタ['#],0),MATCH(F1010,都市マスタ[#Headers],0)),"")</f>
        <v>シンガポール</v>
      </c>
      <c r="G1015" s="5">
        <f>IFERROR(INDEX(生データ表[],MATCH(E1015,生データ表['#],0),MATCH(C1010,生データ表[#Headers],0)),"")</f>
        <v>220215</v>
      </c>
      <c r="H1015" s="236">
        <f>IFERROR(INDEX(スコア表[],MATCH(E1015,スコア表['#],0),MATCH(C1010,スコア表[#Headers],0)),"")</f>
        <v>15.1932388923</v>
      </c>
    </row>
    <row r="1016" spans="2:8">
      <c r="E1016" s="11">
        <v>26</v>
      </c>
      <c r="F1016" s="13" t="str">
        <f>IFERROR(INDEX(都市マスタ[],MATCH(E1016,都市マスタ['#],0),MATCH(F1010,都市マスタ[#Headers],0)),"")</f>
        <v>ソウル</v>
      </c>
      <c r="G1016" s="5">
        <f>IFERROR(INDEX(生データ表[],MATCH(E1016,生データ表['#],0),MATCH(C1010,生データ表[#Headers],0)),"")</f>
        <v>264171</v>
      </c>
      <c r="H1016" s="236">
        <f>IFERROR(INDEX(スコア表[],MATCH(E1016,スコア表['#],0),MATCH(C1010,スコア表[#Headers],0)),"")</f>
        <v>19.040076033599998</v>
      </c>
    </row>
    <row r="1017" spans="2:8">
      <c r="E1017" s="11">
        <v>22</v>
      </c>
      <c r="F1017" s="13" t="str">
        <f>IFERROR(INDEX(都市マスタ[],MATCH(E1017,都市マスタ['#],0),MATCH(F1010,都市マスタ[#Headers],0)),"")</f>
        <v>香港</v>
      </c>
      <c r="G1017" s="5">
        <f>IFERROR(INDEX(生データ表[],MATCH(E1017,生データ表['#],0),MATCH(C1010,生データ表[#Headers],0)),"")</f>
        <v>79478</v>
      </c>
      <c r="H1017" s="236">
        <f>IFERROR(INDEX(スコア表[],MATCH(E1017,スコア表['#],0),MATCH(C1010,スコア表[#Headers],0)),"")</f>
        <v>2.8765513239999998</v>
      </c>
    </row>
    <row r="1018" spans="2:8">
      <c r="E1018" s="11">
        <v>23</v>
      </c>
      <c r="F1018" s="13" t="str">
        <f>IFERROR(INDEX(都市マスタ[],MATCH(E1018,都市マスタ['#],0),MATCH(F1010,都市マスタ[#Headers],0)),"")</f>
        <v>北京</v>
      </c>
      <c r="G1018" s="5">
        <f>IFERROR(INDEX(生データ表[],MATCH(E1018,生データ表['#],0),MATCH(C1010,生データ表[#Headers],0)),"")</f>
        <v>245143</v>
      </c>
      <c r="H1018" s="236">
        <f>IFERROR(INDEX(スコア表[],MATCH(E1018,スコア表['#],0),MATCH(C1010,スコア表[#Headers],0)),"")</f>
        <v>17.374828578799999</v>
      </c>
    </row>
    <row r="1019" spans="2:8">
      <c r="B1019" s="240" t="s">
        <v>2068</v>
      </c>
      <c r="E1019" s="11">
        <v>24</v>
      </c>
      <c r="F1019" s="13" t="str">
        <f>IFERROR(INDEX(都市マスタ[],MATCH(E1019,都市マスタ['#],0),MATCH(F1010,都市マスタ[#Headers],0)),"")</f>
        <v>上海</v>
      </c>
      <c r="G1019" s="5">
        <f>IFERROR(INDEX(生データ表[],MATCH(E1019,生データ表['#],0),MATCH(C1010,生データ表[#Headers],0)),"")</f>
        <v>476797</v>
      </c>
      <c r="H1019" s="236">
        <f>IFERROR(INDEX(スコア表[],MATCH(E1019,スコア表['#],0),MATCH(C1010,スコア表[#Headers],0)),"")</f>
        <v>37.648174905200001</v>
      </c>
    </row>
    <row r="1020" spans="2:8">
      <c r="B1020" t="s">
        <v>2070</v>
      </c>
      <c r="E1020" s="11"/>
      <c r="F1020" s="13" t="str">
        <f>IFERROR(INDEX(都市マスタ[],MATCH(E1020,都市マスタ['#],0),MATCH(F1010,都市マスタ[#Headers],0)),"")</f>
        <v/>
      </c>
      <c r="G1020" s="231" t="str">
        <f>IFERROR(INDEX(生データ表[],MATCH(E1020,生データ表['#],0),MATCH(C1010,生データ表[#Headers],0)),"")</f>
        <v/>
      </c>
      <c r="H1020" s="236" t="str">
        <f>IFERROR(INDEX(スコア表[],MATCH(E1020,スコア表['#],0),MATCH(C1010,スコア表[#Headers],0)),"")</f>
        <v/>
      </c>
    </row>
    <row r="1021" spans="2:8">
      <c r="B1021" t="s">
        <v>2071</v>
      </c>
      <c r="E1021" s="11"/>
      <c r="F1021" s="13" t="str">
        <f>IFERROR(INDEX(都市マスタ[],MATCH(E1021,都市マスタ['#],0),MATCH(F1010,都市マスタ[#Headers],0)),"")</f>
        <v/>
      </c>
      <c r="G1021" s="231" t="str">
        <f>IFERROR(INDEX(生データ表[],MATCH(E1021,生データ表['#],0),MATCH(C1010,生データ表[#Headers],0)),"")</f>
        <v/>
      </c>
      <c r="H1021" s="236" t="str">
        <f>IFERROR(INDEX(スコア表[],MATCH(E1021,スコア表['#],0),MATCH(C1010,スコア表[#Headers],0)),"")</f>
        <v/>
      </c>
    </row>
    <row r="1022" spans="2:8">
      <c r="B1022" t="s">
        <v>2069</v>
      </c>
      <c r="E1022" s="11"/>
      <c r="F1022" s="13" t="str">
        <f>IFERROR(INDEX(都市マスタ[],MATCH(E1022,都市マスタ['#],0),MATCH(F1010,都市マスタ[#Headers],0)),"")</f>
        <v/>
      </c>
      <c r="G1022" s="231" t="str">
        <f>IFERROR(INDEX(生データ表[],MATCH(E1022,生データ表['#],0),MATCH(C1010,生データ表[#Headers],0)),"")</f>
        <v/>
      </c>
      <c r="H1022" s="236" t="str">
        <f>IFERROR(INDEX(スコア表[],MATCH(E1022,スコア表['#],0),MATCH(C1010,スコア表[#Headers],0)),"")</f>
        <v/>
      </c>
    </row>
    <row r="1023" spans="2:8">
      <c r="E1023" s="11"/>
      <c r="F1023" s="13" t="str">
        <f>IFERROR(INDEX(都市マスタ[],MATCH(E1023,都市マスタ['#],0),MATCH(F1010,都市マスタ[#Headers],0)),"")</f>
        <v/>
      </c>
      <c r="G1023" s="231" t="str">
        <f>IFERROR(INDEX(生データ表[],MATCH(E1023,生データ表['#],0),MATCH(C1010,生データ表[#Headers],0)),"")</f>
        <v/>
      </c>
      <c r="H1023" s="236" t="str">
        <f>IFERROR(INDEX(スコア表[],MATCH(E1023,スコア表['#],0),MATCH(C1010,スコア表[#Headers],0)),"")</f>
        <v/>
      </c>
    </row>
    <row r="1025" spans="2:8">
      <c r="B1025" s="36" t="s">
        <v>208</v>
      </c>
      <c r="C1025" s="37" t="s">
        <v>601</v>
      </c>
      <c r="E1025" s="35" t="s">
        <v>208</v>
      </c>
      <c r="F1025" s="36" t="str">
        <f>IF(JPEN!$C$2="EN",都市!$C$2,都市!$D$2)</f>
        <v>都市名</v>
      </c>
      <c r="G1025" s="36" t="s">
        <v>644</v>
      </c>
      <c r="H1025" s="36" t="s">
        <v>645</v>
      </c>
    </row>
    <row r="1026" spans="2:8">
      <c r="B1026" s="36" t="str">
        <f>IF(JPEN!$C$2="EN",指標!$I$2,指標!$H$2)</f>
        <v>指標</v>
      </c>
      <c r="C1026" s="13" t="str">
        <f ca="1">INDEX(INDIRECT("指標マスタ["&amp;B1026&amp;"]"),MATCH(C1025,指標マスタ['#],0))</f>
        <v>駅密度</v>
      </c>
      <c r="E1026" s="11">
        <v>3</v>
      </c>
      <c r="F1026" s="13" t="str">
        <f>IFERROR(INDEX(都市マスタ[],MATCH(E1026,都市マスタ['#],0),MATCH(F1025,都市マスタ[#Headers],0)),"")</f>
        <v>ロンドン</v>
      </c>
      <c r="G1026" s="236">
        <f>IFERROR(INDEX(生データ表[],MATCH(E1026,生データ表['#],0),MATCH(C1025,生データ表[#Headers],0)),"")</f>
        <v>0.91354937334747899</v>
      </c>
      <c r="H1026" s="236">
        <f>IFERROR(INDEX(スコア表[],MATCH(E1026,スコア表['#],0),MATCH(C1025,スコア表[#Headers],0)),"")</f>
        <v>31.3865256381</v>
      </c>
    </row>
    <row r="1027" spans="2:8">
      <c r="B1027" s="36" t="str">
        <f>IF(JPEN!$C$2="EN",指標!$L$2,指標!$K$2)</f>
        <v>単位</v>
      </c>
      <c r="C1027" s="13" t="str">
        <f>INDEX(指標マスタ[],MATCH(C1025,指標マスタ['#],0),MATCH(B1027,指標マスタ[#Headers],0))</f>
        <v>駅/k㎡</v>
      </c>
      <c r="E1027" s="11">
        <v>38</v>
      </c>
      <c r="F1027" s="13" t="str">
        <f>IFERROR(INDEX(都市マスタ[],MATCH(E1027,都市マスタ['#],0),MATCH(F1025,都市マスタ[#Headers],0)),"")</f>
        <v>ニューヨーク</v>
      </c>
      <c r="G1027" s="236">
        <f>IFERROR(INDEX(生データ表[],MATCH(E1027,生データ表['#],0),MATCH(C1025,生データ表[#Headers],0)),"")</f>
        <v>0.97402825172239904</v>
      </c>
      <c r="H1027" s="236">
        <f>IFERROR(INDEX(スコア表[],MATCH(E1027,スコア表['#],0),MATCH(C1025,スコア表[#Headers],0)),"")</f>
        <v>33.570935847299999</v>
      </c>
    </row>
    <row r="1028" spans="2:8">
      <c r="B1028" s="36" t="s">
        <v>646</v>
      </c>
      <c r="C1028" s="13" t="str">
        <f>INDEX(生データ表2[],MATCH(B1028,生データ表2[maxmin],0),MATCH(C1025,生データ表2[#Headers],0))</f>
        <v>プラス</v>
      </c>
      <c r="E1028" s="11">
        <v>29</v>
      </c>
      <c r="F1028" s="13" t="str">
        <f>IFERROR(INDEX(都市マスタ[],MATCH(E1028,都市マスタ['#],0),MATCH(F1025,都市マスタ[#Headers],0)),"")</f>
        <v>東京</v>
      </c>
      <c r="G1028" s="236">
        <f>IFERROR(INDEX(生データ表[],MATCH(E1028,生データ表['#],0),MATCH(C1025,生データ表[#Headers],0)),"")</f>
        <v>1.4101127957941899</v>
      </c>
      <c r="H1028" s="236">
        <f>IFERROR(INDEX(スコア表[],MATCH(E1028,スコア表['#],0),MATCH(C1025,スコア表[#Headers],0)),"")</f>
        <v>49.321683145599998</v>
      </c>
    </row>
    <row r="1029" spans="2:8">
      <c r="E1029" s="11">
        <v>4</v>
      </c>
      <c r="F1029" s="13" t="str">
        <f>IFERROR(INDEX(都市マスタ[],MATCH(E1029,都市マスタ['#],0),MATCH(F1025,都市マスタ[#Headers],0)),"")</f>
        <v>パリ</v>
      </c>
      <c r="G1029" s="236">
        <f>IFERROR(INDEX(生データ表[],MATCH(E1029,生データ表['#],0),MATCH(C1025,生データ表[#Headers],0)),"")</f>
        <v>1.7220564842543</v>
      </c>
      <c r="H1029" s="236">
        <f>IFERROR(INDEX(スコア表[],MATCH(E1029,スコア表['#],0),MATCH(C1025,スコア表[#Headers],0)),"")</f>
        <v>60.588641066900003</v>
      </c>
    </row>
    <row r="1030" spans="2:8">
      <c r="B1030" s="240" t="s">
        <v>2067</v>
      </c>
      <c r="E1030" s="11">
        <v>21</v>
      </c>
      <c r="F1030" s="13" t="str">
        <f>IFERROR(INDEX(都市マスタ[],MATCH(E1030,都市マスタ['#],0),MATCH(F1025,都市マスタ[#Headers],0)),"")</f>
        <v>シンガポール</v>
      </c>
      <c r="G1030" s="236">
        <f>IFERROR(INDEX(生データ表[],MATCH(E1030,生データ表['#],0),MATCH(C1025,生データ表[#Headers],0)),"")</f>
        <v>0.346957775940331</v>
      </c>
      <c r="H1030" s="236">
        <f>IFERROR(INDEX(スコア表[],MATCH(E1030,スコア表['#],0),MATCH(C1025,スコア表[#Headers],0)),"")</f>
        <v>10.9220510462</v>
      </c>
    </row>
    <row r="1031" spans="2:8">
      <c r="E1031" s="11">
        <v>26</v>
      </c>
      <c r="F1031" s="13" t="str">
        <f>IFERROR(INDEX(都市マスタ[],MATCH(E1031,都市マスタ['#],0),MATCH(F1025,都市マスタ[#Headers],0)),"")</f>
        <v>ソウル</v>
      </c>
      <c r="G1031" s="236">
        <f>IFERROR(INDEX(生データ表[],MATCH(E1031,生データ表['#],0),MATCH(C1025,生データ表[#Headers],0)),"")</f>
        <v>0.70983104618985304</v>
      </c>
      <c r="H1031" s="236">
        <f>IFERROR(INDEX(スコア表[],MATCH(E1031,スコア表['#],0),MATCH(C1025,スコア表[#Headers],0)),"")</f>
        <v>24.028512301700001</v>
      </c>
    </row>
    <row r="1032" spans="2:8">
      <c r="E1032" s="11">
        <v>22</v>
      </c>
      <c r="F1032" s="13" t="str">
        <f>IFERROR(INDEX(都市マスタ[],MATCH(E1032,都市マスタ['#],0),MATCH(F1025,都市マスタ[#Headers],0)),"")</f>
        <v>香港</v>
      </c>
      <c r="G1032" s="236">
        <f>IFERROR(INDEX(生データ表[],MATCH(E1032,生データ表['#],0),MATCH(C1025,生データ表[#Headers],0)),"")</f>
        <v>0.528394411065092</v>
      </c>
      <c r="H1032" s="236">
        <f>IFERROR(INDEX(スコア表[],MATCH(E1032,スコア表['#],0),MATCH(C1025,スコア表[#Headers],0)),"")</f>
        <v>17.4752816739</v>
      </c>
    </row>
    <row r="1033" spans="2:8">
      <c r="E1033" s="11">
        <v>23</v>
      </c>
      <c r="F1033" s="13" t="str">
        <f>IFERROR(INDEX(都市マスタ[],MATCH(E1033,都市マスタ['#],0),MATCH(F1025,都市マスタ[#Headers],0)),"")</f>
        <v>北京</v>
      </c>
      <c r="G1033" s="236">
        <f>IFERROR(INDEX(生データ表[],MATCH(E1033,生データ表['#],0),MATCH(C1025,生データ表[#Headers],0)),"")</f>
        <v>0.58887328944001205</v>
      </c>
      <c r="H1033" s="236">
        <f>IFERROR(INDEX(スコア表[],MATCH(E1033,スコア表['#],0),MATCH(C1025,スコア表[#Headers],0)),"")</f>
        <v>19.659691883200001</v>
      </c>
    </row>
    <row r="1034" spans="2:8">
      <c r="B1034" s="240" t="s">
        <v>2068</v>
      </c>
      <c r="E1034" s="11">
        <v>24</v>
      </c>
      <c r="F1034" s="13" t="str">
        <f>IFERROR(INDEX(都市マスタ[],MATCH(E1034,都市マスタ['#],0),MATCH(F1025,都市マスタ[#Headers],0)),"")</f>
        <v>上海</v>
      </c>
      <c r="G1034" s="236">
        <f>IFERROR(INDEX(生データ表[],MATCH(E1034,生データ表['#],0),MATCH(C1025,生データ表[#Headers],0)),"")</f>
        <v>0.79577471545947598</v>
      </c>
      <c r="H1034" s="236">
        <f>IFERROR(INDEX(スコア表[],MATCH(E1034,スコア表['#],0),MATCH(C1025,スコア表[#Headers],0)),"")</f>
        <v>27.132674177999998</v>
      </c>
    </row>
    <row r="1035" spans="2:8">
      <c r="B1035" t="s">
        <v>2070</v>
      </c>
      <c r="E1035" s="11"/>
      <c r="F1035" s="13" t="str">
        <f>IFERROR(INDEX(都市マスタ[],MATCH(E1035,都市マスタ['#],0),MATCH(F1025,都市マスタ[#Headers],0)),"")</f>
        <v/>
      </c>
      <c r="G1035" s="231" t="str">
        <f>IFERROR(INDEX(生データ表[],MATCH(E1035,生データ表['#],0),MATCH(C1025,生データ表[#Headers],0)),"")</f>
        <v/>
      </c>
      <c r="H1035" s="236" t="str">
        <f>IFERROR(INDEX(スコア表[],MATCH(E1035,スコア表['#],0),MATCH(C1025,スコア表[#Headers],0)),"")</f>
        <v/>
      </c>
    </row>
    <row r="1036" spans="2:8">
      <c r="B1036" t="s">
        <v>2071</v>
      </c>
      <c r="E1036" s="11"/>
      <c r="F1036" s="13" t="str">
        <f>IFERROR(INDEX(都市マスタ[],MATCH(E1036,都市マスタ['#],0),MATCH(F1025,都市マスタ[#Headers],0)),"")</f>
        <v/>
      </c>
      <c r="G1036" s="231" t="str">
        <f>IFERROR(INDEX(生データ表[],MATCH(E1036,生データ表['#],0),MATCH(C1025,生データ表[#Headers],0)),"")</f>
        <v/>
      </c>
      <c r="H1036" s="236" t="str">
        <f>IFERROR(INDEX(スコア表[],MATCH(E1036,スコア表['#],0),MATCH(C1025,スコア表[#Headers],0)),"")</f>
        <v/>
      </c>
    </row>
    <row r="1037" spans="2:8">
      <c r="B1037" t="s">
        <v>2069</v>
      </c>
      <c r="E1037" s="11"/>
      <c r="F1037" s="13" t="str">
        <f>IFERROR(INDEX(都市マスタ[],MATCH(E1037,都市マスタ['#],0),MATCH(F1025,都市マスタ[#Headers],0)),"")</f>
        <v/>
      </c>
      <c r="G1037" s="231" t="str">
        <f>IFERROR(INDEX(生データ表[],MATCH(E1037,生データ表['#],0),MATCH(C1025,生データ表[#Headers],0)),"")</f>
        <v/>
      </c>
      <c r="H1037" s="236" t="str">
        <f>IFERROR(INDEX(スコア表[],MATCH(E1037,スコア表['#],0),MATCH(C1025,スコア表[#Headers],0)),"")</f>
        <v/>
      </c>
    </row>
    <row r="1038" spans="2:8">
      <c r="E1038" s="11"/>
      <c r="F1038" s="13" t="str">
        <f>IFERROR(INDEX(都市マスタ[],MATCH(E1038,都市マスタ['#],0),MATCH(F1025,都市マスタ[#Headers],0)),"")</f>
        <v/>
      </c>
      <c r="G1038" s="231" t="str">
        <f>IFERROR(INDEX(生データ表[],MATCH(E1038,生データ表['#],0),MATCH(C1025,生データ表[#Headers],0)),"")</f>
        <v/>
      </c>
      <c r="H1038" s="236" t="str">
        <f>IFERROR(INDEX(スコア表[],MATCH(E1038,スコア表['#],0),MATCH(C1025,スコア表[#Headers],0)),"")</f>
        <v/>
      </c>
    </row>
    <row r="1040" spans="2:8">
      <c r="B1040" s="36" t="s">
        <v>208</v>
      </c>
      <c r="C1040" s="37" t="s">
        <v>602</v>
      </c>
      <c r="E1040" s="35" t="s">
        <v>208</v>
      </c>
      <c r="F1040" s="36" t="str">
        <f>IF(JPEN!$C$2="EN",都市!$C$2,都市!$D$2)</f>
        <v>都市名</v>
      </c>
      <c r="G1040" s="36" t="s">
        <v>644</v>
      </c>
      <c r="H1040" s="36" t="s">
        <v>645</v>
      </c>
    </row>
    <row r="1041" spans="2:8">
      <c r="B1041" s="36" t="str">
        <f>IF(JPEN!$C$2="EN",指標!$I$2,指標!$H$2)</f>
        <v>指標</v>
      </c>
      <c r="C1041" s="13" t="str">
        <f ca="1">INDEX(INDIRECT("指標マスタ["&amp;B1041&amp;"]"),MATCH(C1040,指標マスタ['#],0))</f>
        <v>公共交通機関利用率</v>
      </c>
      <c r="E1041" s="11">
        <v>3</v>
      </c>
      <c r="F1041" s="13" t="str">
        <f>IFERROR(INDEX(都市マスタ[],MATCH(E1041,都市マスタ['#],0),MATCH(F1040,都市マスタ[#Headers],0)),"")</f>
        <v>ロンドン</v>
      </c>
      <c r="G1041" s="9">
        <f>IFERROR(INDEX(生データ表[],MATCH(E1041,生データ表['#],0),MATCH(C1040,生データ表[#Headers],0)),"")</f>
        <v>0.81412938525909195</v>
      </c>
      <c r="H1041" s="236">
        <f>IFERROR(INDEX(スコア表[],MATCH(E1041,スコア表['#],0),MATCH(C1040,スコア表[#Headers],0)),"")</f>
        <v>92.3532212426</v>
      </c>
    </row>
    <row r="1042" spans="2:8">
      <c r="B1042" s="36" t="str">
        <f>IF(JPEN!$C$2="EN",指標!$L$2,指標!$K$2)</f>
        <v>単位</v>
      </c>
      <c r="C1042" s="13" t="str">
        <f>INDEX(指標マスタ[],MATCH(C1040,指標マスタ['#],0),MATCH(B1042,指標マスタ[#Headers],0))</f>
        <v>%</v>
      </c>
      <c r="E1042" s="11">
        <v>38</v>
      </c>
      <c r="F1042" s="13" t="str">
        <f>IFERROR(INDEX(都市マスタ[],MATCH(E1042,都市マスタ['#],0),MATCH(F1040,都市マスタ[#Headers],0)),"")</f>
        <v>ニューヨーク</v>
      </c>
      <c r="G1042" s="9">
        <f>IFERROR(INDEX(生データ表[],MATCH(E1042,生データ表['#],0),MATCH(C1040,生データ表[#Headers],0)),"")</f>
        <v>0.68266475644699098</v>
      </c>
      <c r="H1042" s="236">
        <f>IFERROR(INDEX(スコア表[],MATCH(E1042,スコア表['#],0),MATCH(C1040,スコア表[#Headers],0)),"")</f>
        <v>77.2390649779</v>
      </c>
    </row>
    <row r="1043" spans="2:8">
      <c r="B1043" s="36" t="s">
        <v>646</v>
      </c>
      <c r="C1043" s="13" t="str">
        <f>INDEX(生データ表2[],MATCH(B1043,生データ表2[maxmin],0),MATCH(C1040,生データ表2[#Headers],0))</f>
        <v>プラス</v>
      </c>
      <c r="E1043" s="11">
        <v>29</v>
      </c>
      <c r="F1043" s="13" t="str">
        <f>IFERROR(INDEX(都市マスタ[],MATCH(E1043,都市マスタ['#],0),MATCH(F1040,都市マスタ[#Headers],0)),"")</f>
        <v>東京</v>
      </c>
      <c r="G1043" s="9">
        <f>IFERROR(INDEX(生データ表[],MATCH(E1043,生データ表['#],0),MATCH(C1040,生データ表[#Headers],0)),"")</f>
        <v>0.88064192577733102</v>
      </c>
      <c r="H1043" s="236">
        <f>IFERROR(INDEX(スコア表[],MATCH(E1043,スコア表['#],0),MATCH(C1040,スコア表[#Headers],0)),"")</f>
        <v>100</v>
      </c>
    </row>
    <row r="1044" spans="2:8">
      <c r="E1044" s="11">
        <v>4</v>
      </c>
      <c r="F1044" s="13" t="str">
        <f>IFERROR(INDEX(都市マスタ[],MATCH(E1044,都市マスタ['#],0),MATCH(F1040,都市マスタ[#Headers],0)),"")</f>
        <v>パリ</v>
      </c>
      <c r="G1044" s="9">
        <f>IFERROR(INDEX(生データ表[],MATCH(E1044,生データ表['#],0),MATCH(C1040,生データ表[#Headers],0)),"")</f>
        <v>0.70101724900486495</v>
      </c>
      <c r="H1044" s="236">
        <f>IFERROR(INDEX(スコア表[],MATCH(E1044,スコア表['#],0),MATCH(C1040,スコア表[#Headers],0)),"")</f>
        <v>79.349004684700006</v>
      </c>
    </row>
    <row r="1045" spans="2:8">
      <c r="B1045" s="240" t="s">
        <v>2067</v>
      </c>
      <c r="E1045" s="11">
        <v>21</v>
      </c>
      <c r="F1045" s="13" t="str">
        <f>IFERROR(INDEX(都市マスタ[],MATCH(E1045,都市マスタ['#],0),MATCH(F1040,都市マスタ[#Headers],0)),"")</f>
        <v>シンガポール</v>
      </c>
      <c r="G1045" s="9">
        <f>IFERROR(INDEX(生データ表[],MATCH(E1045,生データ表['#],0),MATCH(C1040,生データ表[#Headers],0)),"")</f>
        <v>0.72854932762108704</v>
      </c>
      <c r="H1045" s="236">
        <f>IFERROR(INDEX(スコア表[],MATCH(E1045,スコア表['#],0),MATCH(C1040,スコア表[#Headers],0)),"")</f>
        <v>82.514298210800007</v>
      </c>
    </row>
    <row r="1046" spans="2:8">
      <c r="E1046" s="11">
        <v>26</v>
      </c>
      <c r="F1046" s="13" t="str">
        <f>IFERROR(INDEX(都市マスタ[],MATCH(E1046,都市マスタ['#],0),MATCH(F1040,都市マスタ[#Headers],0)),"")</f>
        <v>ソウル</v>
      </c>
      <c r="G1046" s="9">
        <f>IFERROR(INDEX(生データ表[],MATCH(E1046,生データ表['#],0),MATCH(C1040,生データ表[#Headers],0)),"")</f>
        <v>0.71261430876815401</v>
      </c>
      <c r="H1046" s="236">
        <f>IFERROR(INDEX(スコア表[],MATCH(E1046,スコア表['#],0),MATCH(C1040,スコア表[#Headers],0)),"")</f>
        <v>80.682289348799998</v>
      </c>
    </row>
    <row r="1047" spans="2:8">
      <c r="E1047" s="11">
        <v>22</v>
      </c>
      <c r="F1047" s="13" t="str">
        <f>IFERROR(INDEX(都市マスタ[],MATCH(E1047,都市マスタ['#],0),MATCH(F1040,都市マスタ[#Headers],0)),"")</f>
        <v>香港</v>
      </c>
      <c r="G1047" s="9">
        <f>IFERROR(INDEX(生データ表[],MATCH(E1047,生データ表['#],0),MATCH(C1040,生データ表[#Headers],0)),"")</f>
        <v>0.83333333333333304</v>
      </c>
      <c r="H1047" s="236">
        <f>IFERROR(INDEX(スコア表[],MATCH(E1047,スコア表['#],0),MATCH(C1040,スコア表[#Headers],0)),"")</f>
        <v>94.561050639100003</v>
      </c>
    </row>
    <row r="1048" spans="2:8">
      <c r="E1048" s="11">
        <v>23</v>
      </c>
      <c r="F1048" s="13" t="str">
        <f>IFERROR(INDEX(都市マスタ[],MATCH(E1048,都市マスタ['#],0),MATCH(F1040,都市マスタ[#Headers],0)),"")</f>
        <v>北京</v>
      </c>
      <c r="G1048" s="9">
        <f>IFERROR(INDEX(生データ表[],MATCH(E1048,生データ表['#],0),MATCH(C1040,生データ表[#Headers],0)),"")</f>
        <v>0.45162601626016202</v>
      </c>
      <c r="H1048" s="236">
        <f>IFERROR(INDEX(スコア表[],MATCH(E1048,スコア表['#],0),MATCH(C1040,スコア表[#Headers],0)),"")</f>
        <v>50.677124675599998</v>
      </c>
    </row>
    <row r="1049" spans="2:8">
      <c r="B1049" s="240" t="s">
        <v>2068</v>
      </c>
      <c r="E1049" s="11">
        <v>24</v>
      </c>
      <c r="F1049" s="13" t="str">
        <f>IFERROR(INDEX(都市マスタ[],MATCH(E1049,都市マスタ['#],0),MATCH(F1040,都市マスタ[#Headers],0)),"")</f>
        <v>上海</v>
      </c>
      <c r="G1049" s="9">
        <f>IFERROR(INDEX(生データ表[],MATCH(E1049,生データ表['#],0),MATCH(C1040,生データ表[#Headers],0)),"")</f>
        <v>0.63637735849056598</v>
      </c>
      <c r="H1049" s="236">
        <f>IFERROR(INDEX(スコア表[],MATCH(E1049,スコア表['#],0),MATCH(C1040,スコア表[#Headers],0)),"")</f>
        <v>71.917519767499996</v>
      </c>
    </row>
    <row r="1050" spans="2:8">
      <c r="B1050" t="s">
        <v>2070</v>
      </c>
      <c r="E1050" s="11"/>
      <c r="F1050" s="13" t="str">
        <f>IFERROR(INDEX(都市マスタ[],MATCH(E1050,都市マスタ['#],0),MATCH(F1040,都市マスタ[#Headers],0)),"")</f>
        <v/>
      </c>
      <c r="G1050" s="231" t="str">
        <f>IFERROR(INDEX(生データ表[],MATCH(E1050,生データ表['#],0),MATCH(C1040,生データ表[#Headers],0)),"")</f>
        <v/>
      </c>
      <c r="H1050" s="236" t="str">
        <f>IFERROR(INDEX(スコア表[],MATCH(E1050,スコア表['#],0),MATCH(C1040,スコア表[#Headers],0)),"")</f>
        <v/>
      </c>
    </row>
    <row r="1051" spans="2:8">
      <c r="B1051" t="s">
        <v>2071</v>
      </c>
      <c r="E1051" s="11"/>
      <c r="F1051" s="13" t="str">
        <f>IFERROR(INDEX(都市マスタ[],MATCH(E1051,都市マスタ['#],0),MATCH(F1040,都市マスタ[#Headers],0)),"")</f>
        <v/>
      </c>
      <c r="G1051" s="231" t="str">
        <f>IFERROR(INDEX(生データ表[],MATCH(E1051,生データ表['#],0),MATCH(C1040,生データ表[#Headers],0)),"")</f>
        <v/>
      </c>
      <c r="H1051" s="236" t="str">
        <f>IFERROR(INDEX(スコア表[],MATCH(E1051,スコア表['#],0),MATCH(C1040,スコア表[#Headers],0)),"")</f>
        <v/>
      </c>
    </row>
    <row r="1052" spans="2:8">
      <c r="B1052" t="s">
        <v>2069</v>
      </c>
      <c r="E1052" s="11"/>
      <c r="F1052" s="13" t="str">
        <f>IFERROR(INDEX(都市マスタ[],MATCH(E1052,都市マスタ['#],0),MATCH(F1040,都市マスタ[#Headers],0)),"")</f>
        <v/>
      </c>
      <c r="G1052" s="231" t="str">
        <f>IFERROR(INDEX(生データ表[],MATCH(E1052,生データ表['#],0),MATCH(C1040,生データ表[#Headers],0)),"")</f>
        <v/>
      </c>
      <c r="H1052" s="236" t="str">
        <f>IFERROR(INDEX(スコア表[],MATCH(E1052,スコア表['#],0),MATCH(C1040,スコア表[#Headers],0)),"")</f>
        <v/>
      </c>
    </row>
    <row r="1053" spans="2:8">
      <c r="E1053" s="11"/>
      <c r="F1053" s="13" t="str">
        <f>IFERROR(INDEX(都市マスタ[],MATCH(E1053,都市マスタ['#],0),MATCH(F1040,都市マスタ[#Headers],0)),"")</f>
        <v/>
      </c>
      <c r="G1053" s="231" t="str">
        <f>IFERROR(INDEX(生データ表[],MATCH(E1053,生データ表['#],0),MATCH(C1040,生データ表[#Headers],0)),"")</f>
        <v/>
      </c>
      <c r="H1053" s="236" t="str">
        <f>IFERROR(INDEX(スコア表[],MATCH(E1053,スコア表['#],0),MATCH(C1040,スコア表[#Headers],0)),"")</f>
        <v/>
      </c>
    </row>
    <row r="1055" spans="2:8">
      <c r="B1055" s="36" t="s">
        <v>208</v>
      </c>
      <c r="C1055" s="37" t="s">
        <v>603</v>
      </c>
      <c r="E1055" s="35" t="s">
        <v>208</v>
      </c>
      <c r="F1055" s="36" t="str">
        <f>IF(JPEN!$C$2="EN",都市!$C$2,都市!$D$2)</f>
        <v>都市名</v>
      </c>
      <c r="G1055" s="36" t="s">
        <v>644</v>
      </c>
      <c r="H1055" s="36" t="s">
        <v>645</v>
      </c>
    </row>
    <row r="1056" spans="2:8">
      <c r="B1056" s="36" t="str">
        <f>IF(JPEN!$C$2="EN",指標!$I$2,指標!$H$2)</f>
        <v>指標</v>
      </c>
      <c r="C1056" s="13" t="str">
        <f ca="1">INDEX(INDIRECT("指標マスタ["&amp;B1056&amp;"]"),MATCH(C1055,指標マスタ['#],0))</f>
        <v>空港アクセス時間の短さ</v>
      </c>
      <c r="E1056" s="11">
        <v>3</v>
      </c>
      <c r="F1056" s="13" t="str">
        <f>IFERROR(INDEX(都市マスタ[],MATCH(E1056,都市マスタ['#],0),MATCH(F1055,都市マスタ[#Headers],0)),"")</f>
        <v>ロンドン</v>
      </c>
      <c r="G1056" s="5">
        <f>IFERROR(INDEX(生データ表[],MATCH(E1056,生データ表['#],0),MATCH(C1055,生データ表[#Headers],0)),"")</f>
        <v>45.125309530121498</v>
      </c>
      <c r="H1056" s="236">
        <f>IFERROR(INDEX(スコア表[],MATCH(E1056,スコア表['#],0),MATCH(C1055,スコア表[#Headers],0)),"")</f>
        <v>11.606405880700001</v>
      </c>
    </row>
    <row r="1057" spans="2:8">
      <c r="B1057" s="36" t="str">
        <f>IF(JPEN!$C$2="EN",指標!$L$2,指標!$K$2)</f>
        <v>単位</v>
      </c>
      <c r="C1057" s="13" t="str">
        <f>INDEX(指標マスタ[],MATCH(C1055,指標マスタ['#],0),MATCH(B1057,指標マスタ[#Headers],0))</f>
        <v>分（平均）</v>
      </c>
      <c r="E1057" s="11">
        <v>38</v>
      </c>
      <c r="F1057" s="13" t="str">
        <f>IFERROR(INDEX(都市マスタ[],MATCH(E1057,都市マスタ['#],0),MATCH(F1055,都市マスタ[#Headers],0)),"")</f>
        <v>ニューヨーク</v>
      </c>
      <c r="G1057" s="5">
        <f>IFERROR(INDEX(生データ表[],MATCH(E1057,生データ表['#],0),MATCH(C1055,生データ表[#Headers],0)),"")</f>
        <v>31.1442556405913</v>
      </c>
      <c r="H1057" s="236">
        <f>IFERROR(INDEX(スコア表[],MATCH(E1057,スコア表['#],0),MATCH(C1055,スコア表[#Headers],0)),"")</f>
        <v>44.894629427200002</v>
      </c>
    </row>
    <row r="1058" spans="2:8">
      <c r="B1058" s="36" t="s">
        <v>646</v>
      </c>
      <c r="C1058" s="13" t="str">
        <f>INDEX(生データ表2[],MATCH(B1058,生データ表2[maxmin],0),MATCH(C1055,生データ表2[#Headers],0))</f>
        <v>マイナス</v>
      </c>
      <c r="E1058" s="11">
        <v>29</v>
      </c>
      <c r="F1058" s="13" t="str">
        <f>IFERROR(INDEX(都市マスタ[],MATCH(E1058,都市マスタ['#],0),MATCH(F1055,都市マスタ[#Headers],0)),"")</f>
        <v>東京</v>
      </c>
      <c r="G1058" s="5">
        <f>IFERROR(INDEX(生データ表[],MATCH(E1058,生データ表['#],0),MATCH(C1055,生データ表[#Headers],0)),"")</f>
        <v>29.3818239573102</v>
      </c>
      <c r="H1058" s="236">
        <f>IFERROR(INDEX(スコア表[],MATCH(E1058,スコア表['#],0),MATCH(C1055,スコア表[#Headers],0)),"")</f>
        <v>49.090895339699998</v>
      </c>
    </row>
    <row r="1059" spans="2:8">
      <c r="E1059" s="11">
        <v>4</v>
      </c>
      <c r="F1059" s="13" t="str">
        <f>IFERROR(INDEX(都市マスタ[],MATCH(E1059,都市マスタ['#],0),MATCH(F1055,都市マスタ[#Headers],0)),"")</f>
        <v>パリ</v>
      </c>
      <c r="G1059" s="5">
        <f>IFERROR(INDEX(生データ表[],MATCH(E1059,生データ表['#],0),MATCH(C1055,生データ表[#Headers],0)),"")</f>
        <v>37.490339720770798</v>
      </c>
      <c r="H1059" s="236">
        <f>IFERROR(INDEX(スコア表[],MATCH(E1059,スコア表['#],0),MATCH(C1055,スコア表[#Headers],0)),"")</f>
        <v>29.7849054267</v>
      </c>
    </row>
    <row r="1060" spans="2:8">
      <c r="B1060" s="240" t="s">
        <v>2067</v>
      </c>
      <c r="E1060" s="11">
        <v>21</v>
      </c>
      <c r="F1060" s="13" t="str">
        <f>IFERROR(INDEX(都市マスタ[],MATCH(E1060,都市マスタ['#],0),MATCH(F1055,都市マスタ[#Headers],0)),"")</f>
        <v>シンガポール</v>
      </c>
      <c r="G1060" s="5">
        <f>IFERROR(INDEX(生データ表[],MATCH(E1060,生データ表['#],0),MATCH(C1055,生データ表[#Headers],0)),"")</f>
        <v>18</v>
      </c>
      <c r="H1060" s="236">
        <f>IFERROR(INDEX(スコア表[],MATCH(E1060,スコア表['#],0),MATCH(C1055,スコア表[#Headers],0)),"")</f>
        <v>76.190476190499993</v>
      </c>
    </row>
    <row r="1061" spans="2:8">
      <c r="E1061" s="11">
        <v>26</v>
      </c>
      <c r="F1061" s="13" t="str">
        <f>IFERROR(INDEX(都市マスタ[],MATCH(E1061,都市マスタ['#],0),MATCH(F1055,都市マスタ[#Headers],0)),"")</f>
        <v>ソウル</v>
      </c>
      <c r="G1061" s="5">
        <f>IFERROR(INDEX(生データ表[],MATCH(E1061,生データ表['#],0),MATCH(C1055,生データ表[#Headers],0)),"")</f>
        <v>29.978650093966799</v>
      </c>
      <c r="H1061" s="236">
        <f>IFERROR(INDEX(スコア表[],MATCH(E1061,スコア表['#],0),MATCH(C1055,スコア表[#Headers],0)),"")</f>
        <v>47.669880728700001</v>
      </c>
    </row>
    <row r="1062" spans="2:8">
      <c r="E1062" s="11">
        <v>22</v>
      </c>
      <c r="F1062" s="13" t="str">
        <f>IFERROR(INDEX(都市マスタ[],MATCH(E1062,都市マスタ['#],0),MATCH(F1055,都市マスタ[#Headers],0)),"")</f>
        <v>香港</v>
      </c>
      <c r="G1062" s="5">
        <f>IFERROR(INDEX(生データ表[],MATCH(E1062,生データ表['#],0),MATCH(C1055,生データ表[#Headers],0)),"")</f>
        <v>26</v>
      </c>
      <c r="H1062" s="236">
        <f>IFERROR(INDEX(スコア表[],MATCH(E1062,スコア表['#],0),MATCH(C1055,スコア表[#Headers],0)),"")</f>
        <v>57.142857142899999</v>
      </c>
    </row>
    <row r="1063" spans="2:8">
      <c r="E1063" s="11">
        <v>23</v>
      </c>
      <c r="F1063" s="13" t="str">
        <f>IFERROR(INDEX(都市マスタ[],MATCH(E1063,都市マスタ['#],0),MATCH(F1055,都市マスタ[#Headers],0)),"")</f>
        <v>北京</v>
      </c>
      <c r="G1063" s="5">
        <f>IFERROR(INDEX(生データ表[],MATCH(E1063,生データ表['#],0),MATCH(C1055,生データ表[#Headers],0)),"")</f>
        <v>40</v>
      </c>
      <c r="H1063" s="236">
        <f>IFERROR(INDEX(スコア表[],MATCH(E1063,スコア表['#],0),MATCH(C1055,スコア表[#Headers],0)),"")</f>
        <v>23.8095238095</v>
      </c>
    </row>
    <row r="1064" spans="2:8">
      <c r="B1064" s="240" t="s">
        <v>2068</v>
      </c>
      <c r="E1064" s="11">
        <v>24</v>
      </c>
      <c r="F1064" s="13" t="str">
        <f>IFERROR(INDEX(都市マスタ[],MATCH(E1064,都市マスタ['#],0),MATCH(F1055,都市マスタ[#Headers],0)),"")</f>
        <v>上海</v>
      </c>
      <c r="G1064" s="5">
        <f>IFERROR(INDEX(生データ表[],MATCH(E1064,生データ表['#],0),MATCH(C1055,生データ表[#Headers],0)),"")</f>
        <v>42.361577757044699</v>
      </c>
      <c r="H1064" s="236">
        <f>IFERROR(INDEX(スコア表[],MATCH(E1064,スコア表['#],0),MATCH(C1055,スコア表[#Headers],0)),"")</f>
        <v>18.1867196261</v>
      </c>
    </row>
    <row r="1065" spans="2:8">
      <c r="B1065" t="s">
        <v>2070</v>
      </c>
      <c r="E1065" s="11"/>
      <c r="F1065" s="13" t="str">
        <f>IFERROR(INDEX(都市マスタ[],MATCH(E1065,都市マスタ['#],0),MATCH(F1055,都市マスタ[#Headers],0)),"")</f>
        <v/>
      </c>
      <c r="G1065" s="231" t="str">
        <f>IFERROR(INDEX(生データ表[],MATCH(E1065,生データ表['#],0),MATCH(C1055,生データ表[#Headers],0)),"")</f>
        <v/>
      </c>
      <c r="H1065" s="236" t="str">
        <f>IFERROR(INDEX(スコア表[],MATCH(E1065,スコア表['#],0),MATCH(C1055,スコア表[#Headers],0)),"")</f>
        <v/>
      </c>
    </row>
    <row r="1066" spans="2:8">
      <c r="B1066" t="s">
        <v>2071</v>
      </c>
      <c r="E1066" s="11"/>
      <c r="F1066" s="13" t="str">
        <f>IFERROR(INDEX(都市マスタ[],MATCH(E1066,都市マスタ['#],0),MATCH(F1055,都市マスタ[#Headers],0)),"")</f>
        <v/>
      </c>
      <c r="G1066" s="231" t="str">
        <f>IFERROR(INDEX(生データ表[],MATCH(E1066,生データ表['#],0),MATCH(C1055,生データ表[#Headers],0)),"")</f>
        <v/>
      </c>
      <c r="H1066" s="236" t="str">
        <f>IFERROR(INDEX(スコア表[],MATCH(E1066,スコア表['#],0),MATCH(C1055,スコア表[#Headers],0)),"")</f>
        <v/>
      </c>
    </row>
    <row r="1067" spans="2:8">
      <c r="B1067" t="s">
        <v>2069</v>
      </c>
      <c r="E1067" s="11"/>
      <c r="F1067" s="13" t="str">
        <f>IFERROR(INDEX(都市マスタ[],MATCH(E1067,都市マスタ['#],0),MATCH(F1055,都市マスタ[#Headers],0)),"")</f>
        <v/>
      </c>
      <c r="G1067" s="231" t="str">
        <f>IFERROR(INDEX(生データ表[],MATCH(E1067,生データ表['#],0),MATCH(C1055,生データ表[#Headers],0)),"")</f>
        <v/>
      </c>
      <c r="H1067" s="236" t="str">
        <f>IFERROR(INDEX(スコア表[],MATCH(E1067,スコア表['#],0),MATCH(C1055,スコア表[#Headers],0)),"")</f>
        <v/>
      </c>
    </row>
    <row r="1068" spans="2:8">
      <c r="E1068" s="11"/>
      <c r="F1068" s="13" t="str">
        <f>IFERROR(INDEX(都市マスタ[],MATCH(E1068,都市マスタ['#],0),MATCH(F1055,都市マスタ[#Headers],0)),"")</f>
        <v/>
      </c>
      <c r="G1068" s="231" t="str">
        <f>IFERROR(INDEX(生データ表[],MATCH(E1068,生データ表['#],0),MATCH(C1055,生データ表[#Headers],0)),"")</f>
        <v/>
      </c>
      <c r="H1068" s="236" t="str">
        <f>IFERROR(INDEX(スコア表[],MATCH(E1068,スコア表['#],0),MATCH(C1055,スコア表[#Headers],0)),"")</f>
        <v/>
      </c>
    </row>
    <row r="1070" spans="2:8">
      <c r="B1070" s="36" t="s">
        <v>208</v>
      </c>
      <c r="C1070" s="37" t="s">
        <v>604</v>
      </c>
      <c r="E1070" s="35" t="s">
        <v>208</v>
      </c>
      <c r="F1070" s="36" t="str">
        <f>IF(JPEN!$C$2="EN",都市!$C$2,都市!$D$2)</f>
        <v>都市名</v>
      </c>
      <c r="G1070" s="36" t="s">
        <v>644</v>
      </c>
      <c r="H1070" s="36" t="s">
        <v>645</v>
      </c>
    </row>
    <row r="1071" spans="2:8">
      <c r="B1071" s="36" t="str">
        <f>IF(JPEN!$C$2="EN",指標!$I$2,指標!$H$2)</f>
        <v>指標</v>
      </c>
      <c r="C1071" s="13" t="str">
        <f ca="1">INDEX(INDIRECT("指標マスタ["&amp;B1071&amp;"]"),MATCH(C1070,指標マスタ['#],0))</f>
        <v>通勤・通学時間の短さ</v>
      </c>
      <c r="E1071" s="11">
        <v>3</v>
      </c>
      <c r="F1071" s="13" t="str">
        <f>IFERROR(INDEX(都市マスタ[],MATCH(E1071,都市マスタ['#],0),MATCH(F1070,都市マスタ[#Headers],0)),"")</f>
        <v>ロンドン</v>
      </c>
      <c r="G1071" s="5">
        <f>IFERROR(INDEX(生データ表[],MATCH(E1071,生データ表['#],0),MATCH(C1070,生データ表[#Headers],0)),"")</f>
        <v>36.697499999999998</v>
      </c>
      <c r="H1071" s="236">
        <f>IFERROR(INDEX(スコア表[],MATCH(E1071,スコア表['#],0),MATCH(C1070,スコア表[#Headers],0)),"")</f>
        <v>45.1192579505</v>
      </c>
    </row>
    <row r="1072" spans="2:8">
      <c r="B1072" s="36" t="str">
        <f>IF(JPEN!$C$2="EN",指標!$L$2,指標!$K$2)</f>
        <v>単位</v>
      </c>
      <c r="C1072" s="13" t="str">
        <f>INDEX(指標マスタ[],MATCH(C1070,指標マスタ['#],0),MATCH(B1072,指標マスタ[#Headers],0))</f>
        <v>分（平均）</v>
      </c>
      <c r="E1072" s="11">
        <v>38</v>
      </c>
      <c r="F1072" s="13" t="str">
        <f>IFERROR(INDEX(都市マスタ[],MATCH(E1072,都市マスタ['#],0),MATCH(F1070,都市マスタ[#Headers],0)),"")</f>
        <v>ニューヨーク</v>
      </c>
      <c r="G1072" s="5">
        <f>IFERROR(INDEX(生データ表[],MATCH(E1072,生データ表['#],0),MATCH(C1070,生データ表[#Headers],0)),"")</f>
        <v>34.472499999999997</v>
      </c>
      <c r="H1072" s="236">
        <f>IFERROR(INDEX(スコア表[],MATCH(E1072,スコア表['#],0),MATCH(C1070,スコア表[#Headers],0)),"")</f>
        <v>54.946996466400002</v>
      </c>
    </row>
    <row r="1073" spans="2:8">
      <c r="B1073" s="36" t="s">
        <v>646</v>
      </c>
      <c r="C1073" s="13" t="str">
        <f>INDEX(生データ表2[],MATCH(B1073,生データ表2[maxmin],0),MATCH(C1070,生データ表2[#Headers],0))</f>
        <v>マイナス</v>
      </c>
      <c r="E1073" s="11">
        <v>29</v>
      </c>
      <c r="F1073" s="13" t="str">
        <f>IFERROR(INDEX(都市マスタ[],MATCH(E1073,都市マスタ['#],0),MATCH(F1070,都市マスタ[#Headers],0)),"")</f>
        <v>東京</v>
      </c>
      <c r="G1073" s="5">
        <f>IFERROR(INDEX(生データ表[],MATCH(E1073,生データ表['#],0),MATCH(C1070,生データ表[#Headers],0)),"")</f>
        <v>39.597499999999997</v>
      </c>
      <c r="H1073" s="236">
        <f>IFERROR(INDEX(スコア表[],MATCH(E1073,スコア表['#],0),MATCH(C1070,スコア表[#Headers],0)),"")</f>
        <v>32.310070671399998</v>
      </c>
    </row>
    <row r="1074" spans="2:8">
      <c r="E1074" s="11">
        <v>4</v>
      </c>
      <c r="F1074" s="13" t="str">
        <f>IFERROR(INDEX(都市マスタ[],MATCH(E1074,都市マスタ['#],0),MATCH(F1070,都市マスタ[#Headers],0)),"")</f>
        <v>パリ</v>
      </c>
      <c r="G1074" s="5">
        <f>IFERROR(INDEX(生データ表[],MATCH(E1074,生データ表['#],0),MATCH(C1070,生データ表[#Headers],0)),"")</f>
        <v>35.2575</v>
      </c>
      <c r="H1074" s="236">
        <f>IFERROR(INDEX(スコア表[],MATCH(E1074,スコア表['#],0),MATCH(C1070,スコア表[#Headers],0)),"")</f>
        <v>51.479681978800002</v>
      </c>
    </row>
    <row r="1075" spans="2:8">
      <c r="B1075" s="240" t="s">
        <v>2067</v>
      </c>
      <c r="E1075" s="11">
        <v>21</v>
      </c>
      <c r="F1075" s="13" t="str">
        <f>IFERROR(INDEX(都市マスタ[],MATCH(E1075,都市マスタ['#],0),MATCH(F1070,都市マスタ[#Headers],0)),"")</f>
        <v>シンガポール</v>
      </c>
      <c r="G1075" s="5">
        <f>IFERROR(INDEX(生データ表[],MATCH(E1075,生データ表['#],0),MATCH(C1070,生データ表[#Headers],0)),"")</f>
        <v>38.862499999999997</v>
      </c>
      <c r="H1075" s="236">
        <f>IFERROR(INDEX(スコア表[],MATCH(E1075,スコア表['#],0),MATCH(C1070,スコア表[#Headers],0)),"")</f>
        <v>35.556537102500002</v>
      </c>
    </row>
    <row r="1076" spans="2:8">
      <c r="E1076" s="11">
        <v>26</v>
      </c>
      <c r="F1076" s="13" t="str">
        <f>IFERROR(INDEX(都市マスタ[],MATCH(E1076,都市マスタ['#],0),MATCH(F1070,都市マスタ[#Headers],0)),"")</f>
        <v>ソウル</v>
      </c>
      <c r="G1076" s="5">
        <f>IFERROR(INDEX(生データ表[],MATCH(E1076,生データ表['#],0),MATCH(C1070,生データ表[#Headers],0)),"")</f>
        <v>40.935000000000002</v>
      </c>
      <c r="H1076" s="236">
        <f>IFERROR(INDEX(スコア表[],MATCH(E1076,スコア表['#],0),MATCH(C1070,スコア表[#Headers],0)),"")</f>
        <v>26.402385159000001</v>
      </c>
    </row>
    <row r="1077" spans="2:8">
      <c r="E1077" s="11">
        <v>22</v>
      </c>
      <c r="F1077" s="13" t="str">
        <f>IFERROR(INDEX(都市マスタ[],MATCH(E1077,都市マスタ['#],0),MATCH(F1070,都市マスタ[#Headers],0)),"")</f>
        <v>香港</v>
      </c>
      <c r="G1077" s="5">
        <f>IFERROR(INDEX(生データ表[],MATCH(E1077,生データ表['#],0),MATCH(C1070,生データ表[#Headers],0)),"")</f>
        <v>41.427500000000002</v>
      </c>
      <c r="H1077" s="236">
        <f>IFERROR(INDEX(スコア表[],MATCH(E1077,スコア表['#],0),MATCH(C1070,スコア表[#Headers],0)),"")</f>
        <v>24.227031802100001</v>
      </c>
    </row>
    <row r="1078" spans="2:8">
      <c r="E1078" s="11">
        <v>23</v>
      </c>
      <c r="F1078" s="13" t="str">
        <f>IFERROR(INDEX(都市マスタ[],MATCH(E1078,都市マスタ['#],0),MATCH(F1070,都市マスタ[#Headers],0)),"")</f>
        <v>北京</v>
      </c>
      <c r="G1078" s="5">
        <f>IFERROR(INDEX(生データ表[],MATCH(E1078,生データ表['#],0),MATCH(C1070,生データ表[#Headers],0)),"")</f>
        <v>37.645000000000003</v>
      </c>
      <c r="H1078" s="236">
        <f>IFERROR(INDEX(スコア表[],MATCH(E1078,スコア表['#],0),MATCH(C1070,スコア表[#Headers],0)),"")</f>
        <v>40.934187279200003</v>
      </c>
    </row>
    <row r="1079" spans="2:8">
      <c r="B1079" s="240" t="s">
        <v>2068</v>
      </c>
      <c r="E1079" s="11">
        <v>24</v>
      </c>
      <c r="F1079" s="13" t="str">
        <f>IFERROR(INDEX(都市マスタ[],MATCH(E1079,都市マスタ['#],0),MATCH(F1070,都市マスタ[#Headers],0)),"")</f>
        <v>上海</v>
      </c>
      <c r="G1079" s="5">
        <f>IFERROR(INDEX(生データ表[],MATCH(E1079,生データ表['#],0),MATCH(C1070,生データ表[#Headers],0)),"")</f>
        <v>39.517499999999998</v>
      </c>
      <c r="H1079" s="236">
        <f>IFERROR(INDEX(スコア表[],MATCH(E1079,スコア表['#],0),MATCH(C1070,スコア表[#Headers],0)),"")</f>
        <v>32.663427561799999</v>
      </c>
    </row>
    <row r="1080" spans="2:8">
      <c r="B1080" t="s">
        <v>2070</v>
      </c>
      <c r="E1080" s="11"/>
      <c r="F1080" s="13" t="str">
        <f>IFERROR(INDEX(都市マスタ[],MATCH(E1080,都市マスタ['#],0),MATCH(F1070,都市マスタ[#Headers],0)),"")</f>
        <v/>
      </c>
      <c r="G1080" s="231" t="str">
        <f>IFERROR(INDEX(生データ表[],MATCH(E1080,生データ表['#],0),MATCH(C1070,生データ表[#Headers],0)),"")</f>
        <v/>
      </c>
      <c r="H1080" s="236" t="str">
        <f>IFERROR(INDEX(スコア表[],MATCH(E1080,スコア表['#],0),MATCH(C1070,スコア表[#Headers],0)),"")</f>
        <v/>
      </c>
    </row>
    <row r="1081" spans="2:8">
      <c r="B1081" t="s">
        <v>2071</v>
      </c>
      <c r="E1081" s="11"/>
      <c r="F1081" s="13" t="str">
        <f>IFERROR(INDEX(都市マスタ[],MATCH(E1081,都市マスタ['#],0),MATCH(F1070,都市マスタ[#Headers],0)),"")</f>
        <v/>
      </c>
      <c r="G1081" s="231" t="str">
        <f>IFERROR(INDEX(生データ表[],MATCH(E1081,生データ表['#],0),MATCH(C1070,生データ表[#Headers],0)),"")</f>
        <v/>
      </c>
      <c r="H1081" s="236" t="str">
        <f>IFERROR(INDEX(スコア表[],MATCH(E1081,スコア表['#],0),MATCH(C1070,スコア表[#Headers],0)),"")</f>
        <v/>
      </c>
    </row>
    <row r="1082" spans="2:8">
      <c r="B1082" t="s">
        <v>2069</v>
      </c>
      <c r="E1082" s="11"/>
      <c r="F1082" s="13" t="str">
        <f>IFERROR(INDEX(都市マスタ[],MATCH(E1082,都市マスタ['#],0),MATCH(F1070,都市マスタ[#Headers],0)),"")</f>
        <v/>
      </c>
      <c r="G1082" s="231" t="str">
        <f>IFERROR(INDEX(生データ表[],MATCH(E1082,生データ表['#],0),MATCH(C1070,生データ表[#Headers],0)),"")</f>
        <v/>
      </c>
      <c r="H1082" s="236" t="str">
        <f>IFERROR(INDEX(スコア表[],MATCH(E1082,スコア表['#],0),MATCH(C1070,スコア表[#Headers],0)),"")</f>
        <v/>
      </c>
    </row>
    <row r="1083" spans="2:8">
      <c r="E1083" s="11"/>
      <c r="F1083" s="13" t="str">
        <f>IFERROR(INDEX(都市マスタ[],MATCH(E1083,都市マスタ['#],0),MATCH(F1070,都市マスタ[#Headers],0)),"")</f>
        <v/>
      </c>
      <c r="G1083" s="231" t="str">
        <f>IFERROR(INDEX(生データ表[],MATCH(E1083,生データ表['#],0),MATCH(C1070,生データ表[#Headers],0)),"")</f>
        <v/>
      </c>
      <c r="H1083" s="236" t="str">
        <f>IFERROR(INDEX(スコア表[],MATCH(E1083,スコア表['#],0),MATCH(C1070,スコア表[#Headers],0)),"")</f>
        <v/>
      </c>
    </row>
    <row r="1085" spans="2:8">
      <c r="B1085" s="36" t="s">
        <v>208</v>
      </c>
      <c r="C1085" s="37" t="s">
        <v>605</v>
      </c>
      <c r="E1085" s="35" t="s">
        <v>208</v>
      </c>
      <c r="F1085" s="36" t="str">
        <f>IF(JPEN!$C$2="EN",都市!$C$2,都市!$D$2)</f>
        <v>都市名</v>
      </c>
      <c r="G1085" s="36" t="s">
        <v>644</v>
      </c>
      <c r="H1085" s="36" t="s">
        <v>645</v>
      </c>
    </row>
    <row r="1086" spans="2:8">
      <c r="B1086" s="36" t="str">
        <f>IF(JPEN!$C$2="EN",指標!$I$2,指標!$H$2)</f>
        <v>指標</v>
      </c>
      <c r="C1086" s="13" t="str">
        <f ca="1">INDEX(INDIRECT("指標マスタ["&amp;B1086&amp;"]"),MATCH(C1085,指標マスタ['#],0))</f>
        <v>自動車の移動速度</v>
      </c>
      <c r="E1086" s="11">
        <v>3</v>
      </c>
      <c r="F1086" s="13" t="str">
        <f>IFERROR(INDEX(都市マスタ[],MATCH(E1086,都市マスタ['#],0),MATCH(F1085,都市マスタ[#Headers],0)),"")</f>
        <v>ロンドン</v>
      </c>
      <c r="G1086" s="9">
        <f>IFERROR(INDEX(生データ表[],MATCH(E1086,生データ表['#],0),MATCH(C1085,生データ表[#Headers],0)),"")</f>
        <v>16.513761467889907</v>
      </c>
      <c r="H1086" s="236">
        <f>IFERROR(INDEX(スコア表[],MATCH(E1086,スコア表['#],0),MATCH(C1085,スコア表[#Headers],0)),"")</f>
        <v>0</v>
      </c>
    </row>
    <row r="1087" spans="2:8">
      <c r="B1087" s="36" t="str">
        <f>IF(JPEN!$C$2="EN",指標!$L$2,指標!$K$2)</f>
        <v>単位</v>
      </c>
      <c r="C1087" s="13" t="str">
        <f>INDEX(指標マスタ[],MATCH(C1085,指標マスタ['#],0),MATCH(B1087,指標マスタ[#Headers],0))</f>
        <v>km/h</v>
      </c>
      <c r="E1087" s="11">
        <v>38</v>
      </c>
      <c r="F1087" s="13" t="str">
        <f>IFERROR(INDEX(都市マスタ[],MATCH(E1087,都市マスタ['#],0),MATCH(F1085,都市マスタ[#Headers],0)),"")</f>
        <v>ニューヨーク</v>
      </c>
      <c r="G1087" s="9">
        <f>IFERROR(INDEX(生データ表[],MATCH(E1087,生データ表['#],0),MATCH(C1085,生データ表[#Headers],0)),"")</f>
        <v>24.489795918367346</v>
      </c>
      <c r="H1087" s="236">
        <f>IFERROR(INDEX(スコア表[],MATCH(E1087,スコア表['#],0),MATCH(C1085,スコア表[#Headers],0)),"")</f>
        <v>24.316209242300001</v>
      </c>
    </row>
    <row r="1088" spans="2:8">
      <c r="B1088" s="36" t="s">
        <v>646</v>
      </c>
      <c r="C1088" s="13" t="str">
        <f>INDEX(生データ表2[],MATCH(B1088,生データ表2[maxmin],0),MATCH(C1085,生データ表2[#Headers],0))</f>
        <v>プラス</v>
      </c>
      <c r="E1088" s="11">
        <v>29</v>
      </c>
      <c r="F1088" s="13" t="str">
        <f>IFERROR(INDEX(都市マスタ[],MATCH(E1088,都市マスタ['#],0),MATCH(F1085,都市マスタ[#Headers],0)),"")</f>
        <v>東京</v>
      </c>
      <c r="G1088" s="9">
        <f>IFERROR(INDEX(生データ表[],MATCH(E1088,生データ表['#],0),MATCH(C1085,生データ表[#Headers],0)),"")</f>
        <v>25.174825174825173</v>
      </c>
      <c r="H1088" s="236">
        <f>IFERROR(INDEX(スコア表[],MATCH(E1088,スコア表['#],0),MATCH(C1085,スコア表[#Headers],0)),"")</f>
        <v>26.404629852900001</v>
      </c>
    </row>
    <row r="1089" spans="2:8">
      <c r="E1089" s="11">
        <v>4</v>
      </c>
      <c r="F1089" s="13" t="str">
        <f>IFERROR(INDEX(都市マスタ[],MATCH(E1089,都市マスタ['#],0),MATCH(F1085,都市マスタ[#Headers],0)),"")</f>
        <v>パリ</v>
      </c>
      <c r="G1089" s="9">
        <f>IFERROR(INDEX(生データ表[],MATCH(E1089,生データ表['#],0),MATCH(C1085,生データ表[#Headers],0)),"")</f>
        <v>22.929936305732483</v>
      </c>
      <c r="H1089" s="236">
        <f>IFERROR(INDEX(スコア表[],MATCH(E1089,スコア表['#],0),MATCH(C1085,スコア表[#Headers],0)),"")</f>
        <v>19.560729189500002</v>
      </c>
    </row>
    <row r="1090" spans="2:8">
      <c r="B1090" s="240" t="s">
        <v>2067</v>
      </c>
      <c r="E1090" s="11">
        <v>21</v>
      </c>
      <c r="F1090" s="13" t="str">
        <f>IFERROR(INDEX(都市マスタ[],MATCH(E1090,都市マスタ['#],0),MATCH(F1085,都市マスタ[#Headers],0)),"")</f>
        <v>シンガポール</v>
      </c>
      <c r="G1090" s="9">
        <f>IFERROR(INDEX(生データ表[],MATCH(E1090,生データ表['#],0),MATCH(C1085,生データ表[#Headers],0)),"")</f>
        <v>36.363636363636367</v>
      </c>
      <c r="H1090" s="236">
        <f>IFERROR(INDEX(スコア表[],MATCH(E1090,スコア表['#],0),MATCH(C1085,スコア表[#Headers],0)),"")</f>
        <v>60.515499825799999</v>
      </c>
    </row>
    <row r="1091" spans="2:8">
      <c r="E1091" s="11">
        <v>26</v>
      </c>
      <c r="F1091" s="13" t="str">
        <f>IFERROR(INDEX(都市マスタ[],MATCH(E1091,都市マスタ['#],0),MATCH(F1085,都市マスタ[#Headers],0)),"")</f>
        <v>ソウル</v>
      </c>
      <c r="G1091" s="9">
        <f>IFERROR(INDEX(生データ表[],MATCH(E1091,生データ表['#],0),MATCH(C1085,生データ表[#Headers],0)),"")</f>
        <v>21.526014923398979</v>
      </c>
      <c r="H1091" s="236">
        <f>IFERROR(INDEX(スコア表[],MATCH(E1091,スコア表['#],0),MATCH(C1085,スコア表[#Headers],0)),"")</f>
        <v>15.280651626599999</v>
      </c>
    </row>
    <row r="1092" spans="2:8">
      <c r="E1092" s="11">
        <v>22</v>
      </c>
      <c r="F1092" s="13" t="str">
        <f>IFERROR(INDEX(都市マスタ[],MATCH(E1092,都市マスタ['#],0),MATCH(F1085,都市マスタ[#Headers],0)),"")</f>
        <v>香港</v>
      </c>
      <c r="G1092" s="9">
        <f>IFERROR(INDEX(生データ表[],MATCH(E1092,生データ表['#],0),MATCH(C1085,生データ表[#Headers],0)),"")</f>
        <v>36.363636363636367</v>
      </c>
      <c r="H1092" s="236">
        <f>IFERROR(INDEX(スコア表[],MATCH(E1092,スコア表['#],0),MATCH(C1085,スコア表[#Headers],0)),"")</f>
        <v>60.515499825799999</v>
      </c>
    </row>
    <row r="1093" spans="2:8">
      <c r="E1093" s="11">
        <v>23</v>
      </c>
      <c r="F1093" s="13" t="str">
        <f>IFERROR(INDEX(都市マスタ[],MATCH(E1093,都市マスタ['#],0),MATCH(F1085,都市マスタ[#Headers],0)),"")</f>
        <v>北京</v>
      </c>
      <c r="G1093" s="9">
        <f>IFERROR(INDEX(生データ表[],MATCH(E1093,生データ表['#],0),MATCH(C1085,生データ表[#Headers],0)),"")</f>
        <v>24.315897013615174</v>
      </c>
      <c r="H1093" s="236">
        <f>IFERROR(INDEX(スコア表[],MATCH(E1093,スコア表['#],0),MATCH(C1085,スコア表[#Headers],0)),"")</f>
        <v>23.7860507806</v>
      </c>
    </row>
    <row r="1094" spans="2:8">
      <c r="B1094" s="240" t="s">
        <v>2068</v>
      </c>
      <c r="E1094" s="11">
        <v>24</v>
      </c>
      <c r="F1094" s="13" t="str">
        <f>IFERROR(INDEX(都市マスタ[],MATCH(E1094,都市マスタ['#],0),MATCH(F1085,都市マスタ[#Headers],0)),"")</f>
        <v>上海</v>
      </c>
      <c r="G1094" s="9">
        <f>IFERROR(INDEX(生データ表[],MATCH(E1094,生データ表['#],0),MATCH(C1085,生データ表[#Headers],0)),"")</f>
        <v>32.490070131586506</v>
      </c>
      <c r="H1094" s="236">
        <f>IFERROR(INDEX(スコア表[],MATCH(E1094,スコア表['#],0),MATCH(C1085,スコア表[#Headers],0)),"")</f>
        <v>48.706317255599998</v>
      </c>
    </row>
    <row r="1095" spans="2:8">
      <c r="B1095" t="s">
        <v>2070</v>
      </c>
      <c r="E1095" s="11"/>
      <c r="F1095" s="13" t="str">
        <f>IFERROR(INDEX(都市マスタ[],MATCH(E1095,都市マスタ['#],0),MATCH(F1085,都市マスタ[#Headers],0)),"")</f>
        <v/>
      </c>
      <c r="G1095" s="231" t="str">
        <f>IFERROR(INDEX(生データ表[],MATCH(E1095,生データ表['#],0),MATCH(C1085,生データ表[#Headers],0)),"")</f>
        <v/>
      </c>
      <c r="H1095" s="236" t="str">
        <f>IFERROR(INDEX(スコア表[],MATCH(E1095,スコア表['#],0),MATCH(C1085,スコア表[#Headers],0)),"")</f>
        <v/>
      </c>
    </row>
    <row r="1096" spans="2:8">
      <c r="B1096" t="s">
        <v>2071</v>
      </c>
      <c r="E1096" s="11"/>
      <c r="F1096" s="13" t="str">
        <f>IFERROR(INDEX(都市マスタ[],MATCH(E1096,都市マスタ['#],0),MATCH(F1085,都市マスタ[#Headers],0)),"")</f>
        <v/>
      </c>
      <c r="G1096" s="231" t="str">
        <f>IFERROR(INDEX(生データ表[],MATCH(E1096,生データ表['#],0),MATCH(C1085,生データ表[#Headers],0)),"")</f>
        <v/>
      </c>
      <c r="H1096" s="236" t="str">
        <f>IFERROR(INDEX(スコア表[],MATCH(E1096,スコア表['#],0),MATCH(C1085,スコア表[#Headers],0)),"")</f>
        <v/>
      </c>
    </row>
    <row r="1097" spans="2:8">
      <c r="B1097" t="s">
        <v>2069</v>
      </c>
      <c r="E1097" s="11"/>
      <c r="F1097" s="13" t="str">
        <f>IFERROR(INDEX(都市マスタ[],MATCH(E1097,都市マスタ['#],0),MATCH(F1085,都市マスタ[#Headers],0)),"")</f>
        <v/>
      </c>
      <c r="G1097" s="231" t="str">
        <f>IFERROR(INDEX(生データ表[],MATCH(E1097,生データ表['#],0),MATCH(C1085,生データ表[#Headers],0)),"")</f>
        <v/>
      </c>
      <c r="H1097" s="236" t="str">
        <f>IFERROR(INDEX(スコア表[],MATCH(E1097,スコア表['#],0),MATCH(C1085,スコア表[#Headers],0)),"")</f>
        <v/>
      </c>
    </row>
    <row r="1098" spans="2:8">
      <c r="E1098" s="11"/>
      <c r="F1098" s="13" t="str">
        <f>IFERROR(INDEX(都市マスタ[],MATCH(E1098,都市マスタ['#],0),MATCH(F1085,都市マスタ[#Headers],0)),"")</f>
        <v/>
      </c>
      <c r="G1098" s="231" t="str">
        <f>IFERROR(INDEX(生データ表[],MATCH(E1098,生データ表['#],0),MATCH(C1085,生データ表[#Headers],0)),"")</f>
        <v/>
      </c>
      <c r="H1098" s="236" t="str">
        <f>IFERROR(INDEX(スコア表[],MATCH(E1098,スコア表['#],0),MATCH(C1085,スコア表[#Headers],0)),"")</f>
        <v/>
      </c>
    </row>
    <row r="1100" spans="2:8">
      <c r="B1100" s="36" t="s">
        <v>208</v>
      </c>
      <c r="C1100" s="37" t="s">
        <v>606</v>
      </c>
      <c r="E1100" s="35" t="s">
        <v>208</v>
      </c>
      <c r="F1100" s="36" t="str">
        <f>IF(JPEN!$C$2="EN",都市!$C$2,都市!$D$2)</f>
        <v>都市名</v>
      </c>
      <c r="G1100" s="36" t="s">
        <v>644</v>
      </c>
      <c r="H1100" s="36" t="s">
        <v>645</v>
      </c>
    </row>
    <row r="1101" spans="2:8">
      <c r="B1101" s="36" t="str">
        <f>IF(JPEN!$C$2="EN",指標!$I$2,指標!$H$2)</f>
        <v>指標</v>
      </c>
      <c r="C1101" s="13" t="str">
        <f ca="1">INDEX(INDIRECT("指標マスタ["&amp;B1101&amp;"]"),MATCH(C1100,指標マスタ['#],0))</f>
        <v>タクシー・自転車での移動のしやすさ</v>
      </c>
      <c r="E1101" s="11">
        <v>3</v>
      </c>
      <c r="F1101" s="13" t="str">
        <f>IFERROR(INDEX(都市マスタ[],MATCH(E1101,都市マスタ['#],0),MATCH(F1100,都市マスタ[#Headers],0)),"")</f>
        <v>ロンドン</v>
      </c>
      <c r="G1101" s="5">
        <f>IFERROR(INDEX(生データ表[],MATCH(E1101,生データ表['#],0),MATCH(C1100,生データ表[#Headers],0)),"")</f>
        <v>33.340412924906197</v>
      </c>
      <c r="H1101" s="236">
        <f>IFERROR(INDEX(スコア表[],MATCH(E1101,スコア表['#],0),MATCH(C1100,スコア表[#Headers],0)),"")</f>
        <v>7.0616165092000003</v>
      </c>
    </row>
    <row r="1102" spans="2:8">
      <c r="B1102" s="36" t="str">
        <f>IF(JPEN!$C$2="EN",指標!$L$2,指標!$K$2)</f>
        <v>単位</v>
      </c>
      <c r="C1102" s="13" t="str">
        <f>INDEX(指標マスタ[],MATCH(C1100,指標マスタ['#],0),MATCH(B1102,指標マスタ[#Headers],0))</f>
        <v>（合算）</v>
      </c>
      <c r="E1102" s="11">
        <v>38</v>
      </c>
      <c r="F1102" s="13" t="str">
        <f>IFERROR(INDEX(都市マスタ[],MATCH(E1102,都市マスタ['#],0),MATCH(F1100,都市マスタ[#Headers],0)),"")</f>
        <v>ニューヨーク</v>
      </c>
      <c r="G1102" s="5">
        <f>IFERROR(INDEX(生データ表[],MATCH(E1102,生データ表['#],0),MATCH(C1100,生データ表[#Headers],0)),"")</f>
        <v>40.444042789689803</v>
      </c>
      <c r="H1102" s="236">
        <f>IFERROR(INDEX(スコア表[],MATCH(E1102,スコア表['#],0),MATCH(C1100,スコア表[#Headers],0)),"")</f>
        <v>23.318191956</v>
      </c>
    </row>
    <row r="1103" spans="2:8">
      <c r="B1103" s="36" t="s">
        <v>646</v>
      </c>
      <c r="C1103" s="13" t="str">
        <f>INDEX(生データ表2[],MATCH(B1103,生データ表2[maxmin],0),MATCH(C1100,生データ表2[#Headers],0))</f>
        <v>プラス</v>
      </c>
      <c r="E1103" s="11">
        <v>29</v>
      </c>
      <c r="F1103" s="13" t="str">
        <f>IFERROR(INDEX(都市マスタ[],MATCH(E1103,都市マスタ['#],0),MATCH(F1100,都市マスタ[#Headers],0)),"")</f>
        <v>東京</v>
      </c>
      <c r="G1103" s="5">
        <f>IFERROR(INDEX(生データ表[],MATCH(E1103,生データ表['#],0),MATCH(C1100,生データ表[#Headers],0)),"")</f>
        <v>52.647247720662101</v>
      </c>
      <c r="H1103" s="236">
        <f>IFERROR(INDEX(スコア表[],MATCH(E1103,スコア表['#],0),MATCH(C1100,スコア表[#Headers],0)),"")</f>
        <v>51.245086435200001</v>
      </c>
    </row>
    <row r="1104" spans="2:8">
      <c r="E1104" s="11">
        <v>4</v>
      </c>
      <c r="F1104" s="13" t="str">
        <f>IFERROR(INDEX(都市マスタ[],MATCH(E1104,都市マスタ['#],0),MATCH(F1100,都市マスタ[#Headers],0)),"")</f>
        <v>パリ</v>
      </c>
      <c r="G1104" s="5">
        <f>IFERROR(INDEX(生データ表[],MATCH(E1104,生データ表['#],0),MATCH(C1100,生データ表[#Headers],0)),"")</f>
        <v>52.468132894439997</v>
      </c>
      <c r="H1104" s="236">
        <f>IFERROR(INDEX(スコア表[],MATCH(E1104,スコア表['#],0),MATCH(C1100,スコア表[#Headers],0)),"")</f>
        <v>50.8351842103</v>
      </c>
    </row>
    <row r="1105" spans="2:8">
      <c r="B1105" s="240" t="s">
        <v>2067</v>
      </c>
      <c r="E1105" s="11">
        <v>21</v>
      </c>
      <c r="F1105" s="13" t="str">
        <f>IFERROR(INDEX(都市マスタ[],MATCH(E1105,都市マスタ['#],0),MATCH(F1100,都市マスタ[#Headers],0)),"")</f>
        <v>シンガポール</v>
      </c>
      <c r="G1105" s="5">
        <f>IFERROR(INDEX(生データ表[],MATCH(E1105,生データ表['#],0),MATCH(C1100,生データ表[#Headers],0)),"")</f>
        <v>59.7410624454808</v>
      </c>
      <c r="H1105" s="236">
        <f>IFERROR(INDEX(スコア表[],MATCH(E1105,スコア表['#],0),MATCH(C1100,スコア表[#Headers],0)),"")</f>
        <v>67.479200046700001</v>
      </c>
    </row>
    <row r="1106" spans="2:8">
      <c r="E1106" s="11">
        <v>26</v>
      </c>
      <c r="F1106" s="13" t="str">
        <f>IFERROR(INDEX(都市マスタ[],MATCH(E1106,都市マスタ['#],0),MATCH(F1100,都市マスタ[#Headers],0)),"")</f>
        <v>ソウル</v>
      </c>
      <c r="G1106" s="5">
        <f>IFERROR(INDEX(生データ表[],MATCH(E1106,生データ表['#],0),MATCH(C1100,生データ表[#Headers],0)),"")</f>
        <v>53.0591860706555</v>
      </c>
      <c r="H1106" s="236">
        <f>IFERROR(INDEX(スコア表[],MATCH(E1106,スコア表['#],0),MATCH(C1100,スコア表[#Headers],0)),"")</f>
        <v>52.187802623000003</v>
      </c>
    </row>
    <row r="1107" spans="2:8">
      <c r="E1107" s="11">
        <v>22</v>
      </c>
      <c r="F1107" s="13" t="str">
        <f>IFERROR(INDEX(都市マスタ[],MATCH(E1107,都市マスタ['#],0),MATCH(F1100,都市マスタ[#Headers],0)),"")</f>
        <v>香港</v>
      </c>
      <c r="G1107" s="5">
        <f>IFERROR(INDEX(生データ表[],MATCH(E1107,生データ表['#],0),MATCH(C1100,生データ表[#Headers],0)),"")</f>
        <v>46.9763863517624</v>
      </c>
      <c r="H1107" s="236">
        <f>IFERROR(INDEX(スコア表[],MATCH(E1107,スコア表['#],0),MATCH(C1100,スコア表[#Headers],0)),"")</f>
        <v>38.267385253299999</v>
      </c>
    </row>
    <row r="1108" spans="2:8">
      <c r="E1108" s="11">
        <v>23</v>
      </c>
      <c r="F1108" s="13" t="str">
        <f>IFERROR(INDEX(都市マスタ[],MATCH(E1108,都市マスタ['#],0),MATCH(F1100,都市マスタ[#Headers],0)),"")</f>
        <v>北京</v>
      </c>
      <c r="G1108" s="5">
        <f>IFERROR(INDEX(生データ表[],MATCH(E1108,生データ表['#],0),MATCH(C1100,生データ表[#Headers],0)),"")</f>
        <v>68.227487568726602</v>
      </c>
      <c r="H1108" s="236">
        <f>IFERROR(INDEX(スコア表[],MATCH(E1108,スコア表['#],0),MATCH(C1100,スコア表[#Headers],0)),"")</f>
        <v>86.900286577900005</v>
      </c>
    </row>
    <row r="1109" spans="2:8">
      <c r="B1109" s="240" t="s">
        <v>2068</v>
      </c>
      <c r="E1109" s="11">
        <v>24</v>
      </c>
      <c r="F1109" s="13" t="str">
        <f>IFERROR(INDEX(都市マスタ[],MATCH(E1109,都市マスタ['#],0),MATCH(F1100,都市マスタ[#Headers],0)),"")</f>
        <v>上海</v>
      </c>
      <c r="G1109" s="5">
        <f>IFERROR(INDEX(生データ表[],MATCH(E1109,生データ表['#],0),MATCH(C1100,生データ表[#Headers],0)),"")</f>
        <v>63.974283169266101</v>
      </c>
      <c r="H1109" s="236">
        <f>IFERROR(INDEX(スコア表[],MATCH(E1109,スコア表['#],0),MATCH(C1100,スコア表[#Headers],0)),"")</f>
        <v>77.166877106100003</v>
      </c>
    </row>
    <row r="1110" spans="2:8">
      <c r="B1110" t="s">
        <v>2070</v>
      </c>
      <c r="E1110" s="11"/>
      <c r="F1110" s="13" t="str">
        <f>IFERROR(INDEX(都市マスタ[],MATCH(E1110,都市マスタ['#],0),MATCH(F1100,都市マスタ[#Headers],0)),"")</f>
        <v/>
      </c>
      <c r="G1110" s="231" t="str">
        <f>IFERROR(INDEX(生データ表[],MATCH(E1110,生データ表['#],0),MATCH(C1100,生データ表[#Headers],0)),"")</f>
        <v/>
      </c>
      <c r="H1110" s="236" t="str">
        <f>IFERROR(INDEX(スコア表[],MATCH(E1110,スコア表['#],0),MATCH(C1100,スコア表[#Headers],0)),"")</f>
        <v/>
      </c>
    </row>
    <row r="1111" spans="2:8">
      <c r="B1111" t="s">
        <v>2071</v>
      </c>
      <c r="E1111" s="11"/>
      <c r="F1111" s="13" t="str">
        <f>IFERROR(INDEX(都市マスタ[],MATCH(E1111,都市マスタ['#],0),MATCH(F1100,都市マスタ[#Headers],0)),"")</f>
        <v/>
      </c>
      <c r="G1111" s="231" t="str">
        <f>IFERROR(INDEX(生データ表[],MATCH(E1111,生データ表['#],0),MATCH(C1100,生データ表[#Headers],0)),"")</f>
        <v/>
      </c>
      <c r="H1111" s="236" t="str">
        <f>IFERROR(INDEX(スコア表[],MATCH(E1111,スコア表['#],0),MATCH(C1100,スコア表[#Headers],0)),"")</f>
        <v/>
      </c>
    </row>
    <row r="1112" spans="2:8">
      <c r="B1112" t="s">
        <v>2069</v>
      </c>
      <c r="E1112" s="11"/>
      <c r="F1112" s="13" t="str">
        <f>IFERROR(INDEX(都市マスタ[],MATCH(E1112,都市マスタ['#],0),MATCH(F1100,都市マスタ[#Headers],0)),"")</f>
        <v/>
      </c>
      <c r="G1112" s="231" t="str">
        <f>IFERROR(INDEX(生データ表[],MATCH(E1112,生データ表['#],0),MATCH(C1100,生データ表[#Headers],0)),"")</f>
        <v/>
      </c>
      <c r="H1112" s="236" t="str">
        <f>IFERROR(INDEX(スコア表[],MATCH(E1112,スコア表['#],0),MATCH(C1100,スコア表[#Headers],0)),"")</f>
        <v/>
      </c>
    </row>
    <row r="1113" spans="2:8">
      <c r="E1113" s="11"/>
      <c r="F1113" s="13" t="str">
        <f>IFERROR(INDEX(都市マスタ[],MATCH(E1113,都市マスタ['#],0),MATCH(F1100,都市マスタ[#Headers],0)),"")</f>
        <v/>
      </c>
      <c r="G1113" s="231" t="str">
        <f>IFERROR(INDEX(生データ表[],MATCH(E1113,生データ表['#],0),MATCH(C1100,生データ表[#Headers],0)),"")</f>
        <v/>
      </c>
      <c r="H1113" s="236" t="str">
        <f>IFERROR(INDEX(スコア表[],MATCH(E1113,スコア表['#],0),MATCH(C1100,スコア表[#Headers],0)),"")</f>
        <v/>
      </c>
    </row>
  </sheetData>
  <mergeCells count="1">
    <mergeCell ref="B18:H18"/>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②指標縦棒">
                <anchor moveWithCells="1" sizeWithCells="1">
                  <from>
                    <xdr:col>1</xdr:col>
                    <xdr:colOff>95250</xdr:colOff>
                    <xdr:row>8</xdr:row>
                    <xdr:rowOff>38100</xdr:rowOff>
                  </from>
                  <to>
                    <xdr:col>2</xdr:col>
                    <xdr:colOff>838200</xdr:colOff>
                    <xdr:row>9</xdr:row>
                    <xdr:rowOff>95250</xdr:rowOff>
                  </to>
                </anchor>
              </controlPr>
            </control>
          </mc:Choice>
        </mc:AlternateContent>
        <mc:AlternateContent xmlns:mc="http://schemas.openxmlformats.org/markup-compatibility/2006">
          <mc:Choice Requires="x14">
            <control shapeId="8194" r:id="rId4" name="Button 2">
              <controlPr defaultSize="0" print="0" autoFill="0" autoPict="0" macro="[0]!②指標縦棒">
                <anchor moveWithCells="1" sizeWithCells="1">
                  <from>
                    <xdr:col>1</xdr:col>
                    <xdr:colOff>95250</xdr:colOff>
                    <xdr:row>25</xdr:row>
                    <xdr:rowOff>38100</xdr:rowOff>
                  </from>
                  <to>
                    <xdr:col>2</xdr:col>
                    <xdr:colOff>838200</xdr:colOff>
                    <xdr:row>26</xdr:row>
                    <xdr:rowOff>95250</xdr:rowOff>
                  </to>
                </anchor>
              </controlPr>
            </control>
          </mc:Choice>
        </mc:AlternateContent>
        <mc:AlternateContent xmlns:mc="http://schemas.openxmlformats.org/markup-compatibility/2006">
          <mc:Choice Requires="x14">
            <control shapeId="8196" r:id="rId5" name="Button 4">
              <controlPr defaultSize="0" print="0" autoFill="0" autoPict="0" macro="[0]!②指標縦棒">
                <anchor moveWithCells="1" sizeWithCells="1">
                  <from>
                    <xdr:col>1</xdr:col>
                    <xdr:colOff>95250</xdr:colOff>
                    <xdr:row>40</xdr:row>
                    <xdr:rowOff>38100</xdr:rowOff>
                  </from>
                  <to>
                    <xdr:col>2</xdr:col>
                    <xdr:colOff>838200</xdr:colOff>
                    <xdr:row>41</xdr:row>
                    <xdr:rowOff>95250</xdr:rowOff>
                  </to>
                </anchor>
              </controlPr>
            </control>
          </mc:Choice>
        </mc:AlternateContent>
        <mc:AlternateContent xmlns:mc="http://schemas.openxmlformats.org/markup-compatibility/2006">
          <mc:Choice Requires="x14">
            <control shapeId="8197" r:id="rId6" name="Button 5">
              <controlPr defaultSize="0" print="0" autoFill="0" autoPict="0" macro="[0]!②指標縦棒">
                <anchor moveWithCells="1" sizeWithCells="1">
                  <from>
                    <xdr:col>1</xdr:col>
                    <xdr:colOff>95250</xdr:colOff>
                    <xdr:row>55</xdr:row>
                    <xdr:rowOff>38100</xdr:rowOff>
                  </from>
                  <to>
                    <xdr:col>2</xdr:col>
                    <xdr:colOff>838200</xdr:colOff>
                    <xdr:row>56</xdr:row>
                    <xdr:rowOff>95250</xdr:rowOff>
                  </to>
                </anchor>
              </controlPr>
            </control>
          </mc:Choice>
        </mc:AlternateContent>
        <mc:AlternateContent xmlns:mc="http://schemas.openxmlformats.org/markup-compatibility/2006">
          <mc:Choice Requires="x14">
            <control shapeId="8198" r:id="rId7" name="Button 6">
              <controlPr defaultSize="0" print="0" autoFill="0" autoPict="0" macro="[0]!②指標縦棒">
                <anchor moveWithCells="1" sizeWithCells="1">
                  <from>
                    <xdr:col>1</xdr:col>
                    <xdr:colOff>95250</xdr:colOff>
                    <xdr:row>70</xdr:row>
                    <xdr:rowOff>38100</xdr:rowOff>
                  </from>
                  <to>
                    <xdr:col>2</xdr:col>
                    <xdr:colOff>838200</xdr:colOff>
                    <xdr:row>71</xdr:row>
                    <xdr:rowOff>95250</xdr:rowOff>
                  </to>
                </anchor>
              </controlPr>
            </control>
          </mc:Choice>
        </mc:AlternateContent>
        <mc:AlternateContent xmlns:mc="http://schemas.openxmlformats.org/markup-compatibility/2006">
          <mc:Choice Requires="x14">
            <control shapeId="8199" r:id="rId8" name="Button 7">
              <controlPr defaultSize="0" print="0" autoFill="0" autoPict="0" macro="[0]!②指標縦棒">
                <anchor moveWithCells="1" sizeWithCells="1">
                  <from>
                    <xdr:col>1</xdr:col>
                    <xdr:colOff>95250</xdr:colOff>
                    <xdr:row>85</xdr:row>
                    <xdr:rowOff>38100</xdr:rowOff>
                  </from>
                  <to>
                    <xdr:col>2</xdr:col>
                    <xdr:colOff>838200</xdr:colOff>
                    <xdr:row>86</xdr:row>
                    <xdr:rowOff>95250</xdr:rowOff>
                  </to>
                </anchor>
              </controlPr>
            </control>
          </mc:Choice>
        </mc:AlternateContent>
        <mc:AlternateContent xmlns:mc="http://schemas.openxmlformats.org/markup-compatibility/2006">
          <mc:Choice Requires="x14">
            <control shapeId="8200" r:id="rId9" name="Button 8">
              <controlPr defaultSize="0" print="0" autoFill="0" autoPict="0" macro="[0]!②指標縦棒">
                <anchor moveWithCells="1" sizeWithCells="1">
                  <from>
                    <xdr:col>1</xdr:col>
                    <xdr:colOff>95250</xdr:colOff>
                    <xdr:row>100</xdr:row>
                    <xdr:rowOff>38100</xdr:rowOff>
                  </from>
                  <to>
                    <xdr:col>2</xdr:col>
                    <xdr:colOff>838200</xdr:colOff>
                    <xdr:row>101</xdr:row>
                    <xdr:rowOff>95250</xdr:rowOff>
                  </to>
                </anchor>
              </controlPr>
            </control>
          </mc:Choice>
        </mc:AlternateContent>
        <mc:AlternateContent xmlns:mc="http://schemas.openxmlformats.org/markup-compatibility/2006">
          <mc:Choice Requires="x14">
            <control shapeId="8201" r:id="rId10" name="Button 9">
              <controlPr defaultSize="0" print="0" autoFill="0" autoPict="0" macro="[0]!②指標縦棒">
                <anchor moveWithCells="1" sizeWithCells="1">
                  <from>
                    <xdr:col>1</xdr:col>
                    <xdr:colOff>95250</xdr:colOff>
                    <xdr:row>115</xdr:row>
                    <xdr:rowOff>38100</xdr:rowOff>
                  </from>
                  <to>
                    <xdr:col>2</xdr:col>
                    <xdr:colOff>838200</xdr:colOff>
                    <xdr:row>116</xdr:row>
                    <xdr:rowOff>95250</xdr:rowOff>
                  </to>
                </anchor>
              </controlPr>
            </control>
          </mc:Choice>
        </mc:AlternateContent>
        <mc:AlternateContent xmlns:mc="http://schemas.openxmlformats.org/markup-compatibility/2006">
          <mc:Choice Requires="x14">
            <control shapeId="8202" r:id="rId11" name="Button 10">
              <controlPr defaultSize="0" print="0" autoFill="0" autoPict="0" macro="[0]!②指標縦棒">
                <anchor moveWithCells="1" sizeWithCells="1">
                  <from>
                    <xdr:col>1</xdr:col>
                    <xdr:colOff>95250</xdr:colOff>
                    <xdr:row>130</xdr:row>
                    <xdr:rowOff>38100</xdr:rowOff>
                  </from>
                  <to>
                    <xdr:col>2</xdr:col>
                    <xdr:colOff>838200</xdr:colOff>
                    <xdr:row>131</xdr:row>
                    <xdr:rowOff>95250</xdr:rowOff>
                  </to>
                </anchor>
              </controlPr>
            </control>
          </mc:Choice>
        </mc:AlternateContent>
        <mc:AlternateContent xmlns:mc="http://schemas.openxmlformats.org/markup-compatibility/2006">
          <mc:Choice Requires="x14">
            <control shapeId="8203" r:id="rId12" name="Button 11">
              <controlPr defaultSize="0" print="0" autoFill="0" autoPict="0" macro="[0]!②指標縦棒">
                <anchor moveWithCells="1" sizeWithCells="1">
                  <from>
                    <xdr:col>1</xdr:col>
                    <xdr:colOff>95250</xdr:colOff>
                    <xdr:row>145</xdr:row>
                    <xdr:rowOff>38100</xdr:rowOff>
                  </from>
                  <to>
                    <xdr:col>2</xdr:col>
                    <xdr:colOff>838200</xdr:colOff>
                    <xdr:row>146</xdr:row>
                    <xdr:rowOff>95250</xdr:rowOff>
                  </to>
                </anchor>
              </controlPr>
            </control>
          </mc:Choice>
        </mc:AlternateContent>
        <mc:AlternateContent xmlns:mc="http://schemas.openxmlformats.org/markup-compatibility/2006">
          <mc:Choice Requires="x14">
            <control shapeId="8204" r:id="rId13" name="Button 12">
              <controlPr defaultSize="0" print="0" autoFill="0" autoPict="0" macro="[0]!②指標縦棒">
                <anchor moveWithCells="1" sizeWithCells="1">
                  <from>
                    <xdr:col>1</xdr:col>
                    <xdr:colOff>95250</xdr:colOff>
                    <xdr:row>160</xdr:row>
                    <xdr:rowOff>38100</xdr:rowOff>
                  </from>
                  <to>
                    <xdr:col>2</xdr:col>
                    <xdr:colOff>838200</xdr:colOff>
                    <xdr:row>161</xdr:row>
                    <xdr:rowOff>95250</xdr:rowOff>
                  </to>
                </anchor>
              </controlPr>
            </control>
          </mc:Choice>
        </mc:AlternateContent>
        <mc:AlternateContent xmlns:mc="http://schemas.openxmlformats.org/markup-compatibility/2006">
          <mc:Choice Requires="x14">
            <control shapeId="8205" r:id="rId14" name="Button 13">
              <controlPr defaultSize="0" print="0" autoFill="0" autoPict="0" macro="[0]!②指標縦棒">
                <anchor moveWithCells="1" sizeWithCells="1">
                  <from>
                    <xdr:col>1</xdr:col>
                    <xdr:colOff>95250</xdr:colOff>
                    <xdr:row>175</xdr:row>
                    <xdr:rowOff>38100</xdr:rowOff>
                  </from>
                  <to>
                    <xdr:col>2</xdr:col>
                    <xdr:colOff>838200</xdr:colOff>
                    <xdr:row>176</xdr:row>
                    <xdr:rowOff>95250</xdr:rowOff>
                  </to>
                </anchor>
              </controlPr>
            </control>
          </mc:Choice>
        </mc:AlternateContent>
        <mc:AlternateContent xmlns:mc="http://schemas.openxmlformats.org/markup-compatibility/2006">
          <mc:Choice Requires="x14">
            <control shapeId="8206" r:id="rId15" name="Button 14">
              <controlPr defaultSize="0" print="0" autoFill="0" autoPict="0" macro="[0]!②指標縦棒">
                <anchor moveWithCells="1" sizeWithCells="1">
                  <from>
                    <xdr:col>1</xdr:col>
                    <xdr:colOff>95250</xdr:colOff>
                    <xdr:row>190</xdr:row>
                    <xdr:rowOff>38100</xdr:rowOff>
                  </from>
                  <to>
                    <xdr:col>2</xdr:col>
                    <xdr:colOff>838200</xdr:colOff>
                    <xdr:row>191</xdr:row>
                    <xdr:rowOff>95250</xdr:rowOff>
                  </to>
                </anchor>
              </controlPr>
            </control>
          </mc:Choice>
        </mc:AlternateContent>
        <mc:AlternateContent xmlns:mc="http://schemas.openxmlformats.org/markup-compatibility/2006">
          <mc:Choice Requires="x14">
            <control shapeId="8207" r:id="rId16" name="Button 15">
              <controlPr defaultSize="0" print="0" autoFill="0" autoPict="0" macro="[0]!②指標縦棒">
                <anchor moveWithCells="1" sizeWithCells="1">
                  <from>
                    <xdr:col>1</xdr:col>
                    <xdr:colOff>95250</xdr:colOff>
                    <xdr:row>205</xdr:row>
                    <xdr:rowOff>38100</xdr:rowOff>
                  </from>
                  <to>
                    <xdr:col>2</xdr:col>
                    <xdr:colOff>838200</xdr:colOff>
                    <xdr:row>206</xdr:row>
                    <xdr:rowOff>95250</xdr:rowOff>
                  </to>
                </anchor>
              </controlPr>
            </control>
          </mc:Choice>
        </mc:AlternateContent>
        <mc:AlternateContent xmlns:mc="http://schemas.openxmlformats.org/markup-compatibility/2006">
          <mc:Choice Requires="x14">
            <control shapeId="8208" r:id="rId17" name="Button 16">
              <controlPr defaultSize="0" print="0" autoFill="0" autoPict="0" macro="[0]!②指標縦棒">
                <anchor moveWithCells="1" sizeWithCells="1">
                  <from>
                    <xdr:col>1</xdr:col>
                    <xdr:colOff>95250</xdr:colOff>
                    <xdr:row>220</xdr:row>
                    <xdr:rowOff>38100</xdr:rowOff>
                  </from>
                  <to>
                    <xdr:col>2</xdr:col>
                    <xdr:colOff>838200</xdr:colOff>
                    <xdr:row>221</xdr:row>
                    <xdr:rowOff>95250</xdr:rowOff>
                  </to>
                </anchor>
              </controlPr>
            </control>
          </mc:Choice>
        </mc:AlternateContent>
        <mc:AlternateContent xmlns:mc="http://schemas.openxmlformats.org/markup-compatibility/2006">
          <mc:Choice Requires="x14">
            <control shapeId="8209" r:id="rId18" name="Button 17">
              <controlPr defaultSize="0" print="0" autoFill="0" autoPict="0" macro="[0]!②指標縦棒">
                <anchor moveWithCells="1" sizeWithCells="1">
                  <from>
                    <xdr:col>1</xdr:col>
                    <xdr:colOff>95250</xdr:colOff>
                    <xdr:row>235</xdr:row>
                    <xdr:rowOff>38100</xdr:rowOff>
                  </from>
                  <to>
                    <xdr:col>2</xdr:col>
                    <xdr:colOff>838200</xdr:colOff>
                    <xdr:row>236</xdr:row>
                    <xdr:rowOff>95250</xdr:rowOff>
                  </to>
                </anchor>
              </controlPr>
            </control>
          </mc:Choice>
        </mc:AlternateContent>
        <mc:AlternateContent xmlns:mc="http://schemas.openxmlformats.org/markup-compatibility/2006">
          <mc:Choice Requires="x14">
            <control shapeId="8210" r:id="rId19" name="Button 18">
              <controlPr defaultSize="0" print="0" autoFill="0" autoPict="0" macro="[0]!②指標縦棒">
                <anchor moveWithCells="1" sizeWithCells="1">
                  <from>
                    <xdr:col>1</xdr:col>
                    <xdr:colOff>95250</xdr:colOff>
                    <xdr:row>250</xdr:row>
                    <xdr:rowOff>38100</xdr:rowOff>
                  </from>
                  <to>
                    <xdr:col>2</xdr:col>
                    <xdr:colOff>838200</xdr:colOff>
                    <xdr:row>251</xdr:row>
                    <xdr:rowOff>95250</xdr:rowOff>
                  </to>
                </anchor>
              </controlPr>
            </control>
          </mc:Choice>
        </mc:AlternateContent>
        <mc:AlternateContent xmlns:mc="http://schemas.openxmlformats.org/markup-compatibility/2006">
          <mc:Choice Requires="x14">
            <control shapeId="8211" r:id="rId20" name="Button 19">
              <controlPr defaultSize="0" print="0" autoFill="0" autoPict="0" macro="[0]!②指標縦棒">
                <anchor moveWithCells="1" sizeWithCells="1">
                  <from>
                    <xdr:col>1</xdr:col>
                    <xdr:colOff>95250</xdr:colOff>
                    <xdr:row>265</xdr:row>
                    <xdr:rowOff>38100</xdr:rowOff>
                  </from>
                  <to>
                    <xdr:col>2</xdr:col>
                    <xdr:colOff>838200</xdr:colOff>
                    <xdr:row>266</xdr:row>
                    <xdr:rowOff>95250</xdr:rowOff>
                  </to>
                </anchor>
              </controlPr>
            </control>
          </mc:Choice>
        </mc:AlternateContent>
        <mc:AlternateContent xmlns:mc="http://schemas.openxmlformats.org/markup-compatibility/2006">
          <mc:Choice Requires="x14">
            <control shapeId="8212" r:id="rId21" name="Button 20">
              <controlPr defaultSize="0" print="0" autoFill="0" autoPict="0" macro="[0]!②指標縦棒">
                <anchor moveWithCells="1" sizeWithCells="1">
                  <from>
                    <xdr:col>1</xdr:col>
                    <xdr:colOff>95250</xdr:colOff>
                    <xdr:row>280</xdr:row>
                    <xdr:rowOff>38100</xdr:rowOff>
                  </from>
                  <to>
                    <xdr:col>2</xdr:col>
                    <xdr:colOff>838200</xdr:colOff>
                    <xdr:row>281</xdr:row>
                    <xdr:rowOff>95250</xdr:rowOff>
                  </to>
                </anchor>
              </controlPr>
            </control>
          </mc:Choice>
        </mc:AlternateContent>
        <mc:AlternateContent xmlns:mc="http://schemas.openxmlformats.org/markup-compatibility/2006">
          <mc:Choice Requires="x14">
            <control shapeId="8213" r:id="rId22" name="Button 21">
              <controlPr defaultSize="0" print="0" autoFill="0" autoPict="0" macro="[0]!②指標縦棒">
                <anchor moveWithCells="1" sizeWithCells="1">
                  <from>
                    <xdr:col>1</xdr:col>
                    <xdr:colOff>95250</xdr:colOff>
                    <xdr:row>295</xdr:row>
                    <xdr:rowOff>38100</xdr:rowOff>
                  </from>
                  <to>
                    <xdr:col>2</xdr:col>
                    <xdr:colOff>838200</xdr:colOff>
                    <xdr:row>296</xdr:row>
                    <xdr:rowOff>95250</xdr:rowOff>
                  </to>
                </anchor>
              </controlPr>
            </control>
          </mc:Choice>
        </mc:AlternateContent>
        <mc:AlternateContent xmlns:mc="http://schemas.openxmlformats.org/markup-compatibility/2006">
          <mc:Choice Requires="x14">
            <control shapeId="8214" r:id="rId23" name="Button 22">
              <controlPr defaultSize="0" print="0" autoFill="0" autoPict="0" macro="[0]!②指標縦棒">
                <anchor moveWithCells="1" sizeWithCells="1">
                  <from>
                    <xdr:col>1</xdr:col>
                    <xdr:colOff>95250</xdr:colOff>
                    <xdr:row>310</xdr:row>
                    <xdr:rowOff>38100</xdr:rowOff>
                  </from>
                  <to>
                    <xdr:col>2</xdr:col>
                    <xdr:colOff>838200</xdr:colOff>
                    <xdr:row>311</xdr:row>
                    <xdr:rowOff>95250</xdr:rowOff>
                  </to>
                </anchor>
              </controlPr>
            </control>
          </mc:Choice>
        </mc:AlternateContent>
        <mc:AlternateContent xmlns:mc="http://schemas.openxmlformats.org/markup-compatibility/2006">
          <mc:Choice Requires="x14">
            <control shapeId="8215" r:id="rId24" name="Button 23">
              <controlPr defaultSize="0" print="0" autoFill="0" autoPict="0" macro="[0]!②指標縦棒">
                <anchor moveWithCells="1" sizeWithCells="1">
                  <from>
                    <xdr:col>1</xdr:col>
                    <xdr:colOff>95250</xdr:colOff>
                    <xdr:row>325</xdr:row>
                    <xdr:rowOff>38100</xdr:rowOff>
                  </from>
                  <to>
                    <xdr:col>2</xdr:col>
                    <xdr:colOff>838200</xdr:colOff>
                    <xdr:row>326</xdr:row>
                    <xdr:rowOff>95250</xdr:rowOff>
                  </to>
                </anchor>
              </controlPr>
            </control>
          </mc:Choice>
        </mc:AlternateContent>
        <mc:AlternateContent xmlns:mc="http://schemas.openxmlformats.org/markup-compatibility/2006">
          <mc:Choice Requires="x14">
            <control shapeId="8216" r:id="rId25" name="Button 24">
              <controlPr defaultSize="0" print="0" autoFill="0" autoPict="0" macro="[0]!②指標縦棒">
                <anchor moveWithCells="1" sizeWithCells="1">
                  <from>
                    <xdr:col>1</xdr:col>
                    <xdr:colOff>95250</xdr:colOff>
                    <xdr:row>340</xdr:row>
                    <xdr:rowOff>38100</xdr:rowOff>
                  </from>
                  <to>
                    <xdr:col>2</xdr:col>
                    <xdr:colOff>838200</xdr:colOff>
                    <xdr:row>341</xdr:row>
                    <xdr:rowOff>95250</xdr:rowOff>
                  </to>
                </anchor>
              </controlPr>
            </control>
          </mc:Choice>
        </mc:AlternateContent>
        <mc:AlternateContent xmlns:mc="http://schemas.openxmlformats.org/markup-compatibility/2006">
          <mc:Choice Requires="x14">
            <control shapeId="8217" r:id="rId26" name="Button 25">
              <controlPr defaultSize="0" print="0" autoFill="0" autoPict="0" macro="[0]!②指標縦棒">
                <anchor moveWithCells="1" sizeWithCells="1">
                  <from>
                    <xdr:col>1</xdr:col>
                    <xdr:colOff>95250</xdr:colOff>
                    <xdr:row>355</xdr:row>
                    <xdr:rowOff>38100</xdr:rowOff>
                  </from>
                  <to>
                    <xdr:col>2</xdr:col>
                    <xdr:colOff>838200</xdr:colOff>
                    <xdr:row>356</xdr:row>
                    <xdr:rowOff>95250</xdr:rowOff>
                  </to>
                </anchor>
              </controlPr>
            </control>
          </mc:Choice>
        </mc:AlternateContent>
        <mc:AlternateContent xmlns:mc="http://schemas.openxmlformats.org/markup-compatibility/2006">
          <mc:Choice Requires="x14">
            <control shapeId="8218" r:id="rId27" name="Button 26">
              <controlPr defaultSize="0" print="0" autoFill="0" autoPict="0" macro="[0]!②指標縦棒">
                <anchor moveWithCells="1" sizeWithCells="1">
                  <from>
                    <xdr:col>1</xdr:col>
                    <xdr:colOff>95250</xdr:colOff>
                    <xdr:row>370</xdr:row>
                    <xdr:rowOff>38100</xdr:rowOff>
                  </from>
                  <to>
                    <xdr:col>2</xdr:col>
                    <xdr:colOff>838200</xdr:colOff>
                    <xdr:row>371</xdr:row>
                    <xdr:rowOff>95250</xdr:rowOff>
                  </to>
                </anchor>
              </controlPr>
            </control>
          </mc:Choice>
        </mc:AlternateContent>
        <mc:AlternateContent xmlns:mc="http://schemas.openxmlformats.org/markup-compatibility/2006">
          <mc:Choice Requires="x14">
            <control shapeId="8219" r:id="rId28" name="Button 27">
              <controlPr defaultSize="0" print="0" autoFill="0" autoPict="0" macro="[0]!②指標縦棒">
                <anchor moveWithCells="1" sizeWithCells="1">
                  <from>
                    <xdr:col>1</xdr:col>
                    <xdr:colOff>95250</xdr:colOff>
                    <xdr:row>385</xdr:row>
                    <xdr:rowOff>38100</xdr:rowOff>
                  </from>
                  <to>
                    <xdr:col>2</xdr:col>
                    <xdr:colOff>838200</xdr:colOff>
                    <xdr:row>386</xdr:row>
                    <xdr:rowOff>95250</xdr:rowOff>
                  </to>
                </anchor>
              </controlPr>
            </control>
          </mc:Choice>
        </mc:AlternateContent>
        <mc:AlternateContent xmlns:mc="http://schemas.openxmlformats.org/markup-compatibility/2006">
          <mc:Choice Requires="x14">
            <control shapeId="8220" r:id="rId29" name="Button 28">
              <controlPr defaultSize="0" print="0" autoFill="0" autoPict="0" macro="[0]!②指標縦棒">
                <anchor moveWithCells="1" sizeWithCells="1">
                  <from>
                    <xdr:col>1</xdr:col>
                    <xdr:colOff>95250</xdr:colOff>
                    <xdr:row>400</xdr:row>
                    <xdr:rowOff>38100</xdr:rowOff>
                  </from>
                  <to>
                    <xdr:col>2</xdr:col>
                    <xdr:colOff>838200</xdr:colOff>
                    <xdr:row>401</xdr:row>
                    <xdr:rowOff>95250</xdr:rowOff>
                  </to>
                </anchor>
              </controlPr>
            </control>
          </mc:Choice>
        </mc:AlternateContent>
        <mc:AlternateContent xmlns:mc="http://schemas.openxmlformats.org/markup-compatibility/2006">
          <mc:Choice Requires="x14">
            <control shapeId="8221" r:id="rId30" name="Button 29">
              <controlPr defaultSize="0" print="0" autoFill="0" autoPict="0" macro="[0]!②指標縦棒">
                <anchor moveWithCells="1" sizeWithCells="1">
                  <from>
                    <xdr:col>1</xdr:col>
                    <xdr:colOff>95250</xdr:colOff>
                    <xdr:row>415</xdr:row>
                    <xdr:rowOff>38100</xdr:rowOff>
                  </from>
                  <to>
                    <xdr:col>2</xdr:col>
                    <xdr:colOff>838200</xdr:colOff>
                    <xdr:row>416</xdr:row>
                    <xdr:rowOff>95250</xdr:rowOff>
                  </to>
                </anchor>
              </controlPr>
            </control>
          </mc:Choice>
        </mc:AlternateContent>
        <mc:AlternateContent xmlns:mc="http://schemas.openxmlformats.org/markup-compatibility/2006">
          <mc:Choice Requires="x14">
            <control shapeId="8222" r:id="rId31" name="Button 30">
              <controlPr defaultSize="0" print="0" autoFill="0" autoPict="0" macro="[0]!②指標縦棒">
                <anchor moveWithCells="1" sizeWithCells="1">
                  <from>
                    <xdr:col>1</xdr:col>
                    <xdr:colOff>95250</xdr:colOff>
                    <xdr:row>430</xdr:row>
                    <xdr:rowOff>38100</xdr:rowOff>
                  </from>
                  <to>
                    <xdr:col>2</xdr:col>
                    <xdr:colOff>838200</xdr:colOff>
                    <xdr:row>431</xdr:row>
                    <xdr:rowOff>95250</xdr:rowOff>
                  </to>
                </anchor>
              </controlPr>
            </control>
          </mc:Choice>
        </mc:AlternateContent>
        <mc:AlternateContent xmlns:mc="http://schemas.openxmlformats.org/markup-compatibility/2006">
          <mc:Choice Requires="x14">
            <control shapeId="8223" r:id="rId32" name="Button 31">
              <controlPr defaultSize="0" print="0" autoFill="0" autoPict="0" macro="[0]!②指標縦棒">
                <anchor moveWithCells="1" sizeWithCells="1">
                  <from>
                    <xdr:col>1</xdr:col>
                    <xdr:colOff>95250</xdr:colOff>
                    <xdr:row>445</xdr:row>
                    <xdr:rowOff>38100</xdr:rowOff>
                  </from>
                  <to>
                    <xdr:col>2</xdr:col>
                    <xdr:colOff>838200</xdr:colOff>
                    <xdr:row>446</xdr:row>
                    <xdr:rowOff>95250</xdr:rowOff>
                  </to>
                </anchor>
              </controlPr>
            </control>
          </mc:Choice>
        </mc:AlternateContent>
        <mc:AlternateContent xmlns:mc="http://schemas.openxmlformats.org/markup-compatibility/2006">
          <mc:Choice Requires="x14">
            <control shapeId="8224" r:id="rId33" name="Button 32">
              <controlPr defaultSize="0" print="0" autoFill="0" autoPict="0" macro="[0]!②指標縦棒">
                <anchor moveWithCells="1" sizeWithCells="1">
                  <from>
                    <xdr:col>1</xdr:col>
                    <xdr:colOff>95250</xdr:colOff>
                    <xdr:row>460</xdr:row>
                    <xdr:rowOff>38100</xdr:rowOff>
                  </from>
                  <to>
                    <xdr:col>2</xdr:col>
                    <xdr:colOff>838200</xdr:colOff>
                    <xdr:row>461</xdr:row>
                    <xdr:rowOff>95250</xdr:rowOff>
                  </to>
                </anchor>
              </controlPr>
            </control>
          </mc:Choice>
        </mc:AlternateContent>
        <mc:AlternateContent xmlns:mc="http://schemas.openxmlformats.org/markup-compatibility/2006">
          <mc:Choice Requires="x14">
            <control shapeId="8225" r:id="rId34" name="Button 33">
              <controlPr defaultSize="0" print="0" autoFill="0" autoPict="0" macro="[0]!②指標縦棒">
                <anchor moveWithCells="1" sizeWithCells="1">
                  <from>
                    <xdr:col>1</xdr:col>
                    <xdr:colOff>95250</xdr:colOff>
                    <xdr:row>475</xdr:row>
                    <xdr:rowOff>38100</xdr:rowOff>
                  </from>
                  <to>
                    <xdr:col>2</xdr:col>
                    <xdr:colOff>838200</xdr:colOff>
                    <xdr:row>476</xdr:row>
                    <xdr:rowOff>95250</xdr:rowOff>
                  </to>
                </anchor>
              </controlPr>
            </control>
          </mc:Choice>
        </mc:AlternateContent>
        <mc:AlternateContent xmlns:mc="http://schemas.openxmlformats.org/markup-compatibility/2006">
          <mc:Choice Requires="x14">
            <control shapeId="8226" r:id="rId35" name="Button 34">
              <controlPr defaultSize="0" print="0" autoFill="0" autoPict="0" macro="[0]!②指標縦棒">
                <anchor moveWithCells="1" sizeWithCells="1">
                  <from>
                    <xdr:col>1</xdr:col>
                    <xdr:colOff>95250</xdr:colOff>
                    <xdr:row>490</xdr:row>
                    <xdr:rowOff>38100</xdr:rowOff>
                  </from>
                  <to>
                    <xdr:col>2</xdr:col>
                    <xdr:colOff>838200</xdr:colOff>
                    <xdr:row>491</xdr:row>
                    <xdr:rowOff>95250</xdr:rowOff>
                  </to>
                </anchor>
              </controlPr>
            </control>
          </mc:Choice>
        </mc:AlternateContent>
        <mc:AlternateContent xmlns:mc="http://schemas.openxmlformats.org/markup-compatibility/2006">
          <mc:Choice Requires="x14">
            <control shapeId="8227" r:id="rId36" name="Button 35">
              <controlPr defaultSize="0" print="0" autoFill="0" autoPict="0" macro="[0]!②指標縦棒">
                <anchor moveWithCells="1" sizeWithCells="1">
                  <from>
                    <xdr:col>1</xdr:col>
                    <xdr:colOff>95250</xdr:colOff>
                    <xdr:row>505</xdr:row>
                    <xdr:rowOff>38100</xdr:rowOff>
                  </from>
                  <to>
                    <xdr:col>2</xdr:col>
                    <xdr:colOff>838200</xdr:colOff>
                    <xdr:row>506</xdr:row>
                    <xdr:rowOff>95250</xdr:rowOff>
                  </to>
                </anchor>
              </controlPr>
            </control>
          </mc:Choice>
        </mc:AlternateContent>
        <mc:AlternateContent xmlns:mc="http://schemas.openxmlformats.org/markup-compatibility/2006">
          <mc:Choice Requires="x14">
            <control shapeId="8228" r:id="rId37" name="Button 36">
              <controlPr defaultSize="0" print="0" autoFill="0" autoPict="0" macro="[0]!②指標縦棒">
                <anchor moveWithCells="1" sizeWithCells="1">
                  <from>
                    <xdr:col>1</xdr:col>
                    <xdr:colOff>95250</xdr:colOff>
                    <xdr:row>520</xdr:row>
                    <xdr:rowOff>38100</xdr:rowOff>
                  </from>
                  <to>
                    <xdr:col>2</xdr:col>
                    <xdr:colOff>838200</xdr:colOff>
                    <xdr:row>521</xdr:row>
                    <xdr:rowOff>95250</xdr:rowOff>
                  </to>
                </anchor>
              </controlPr>
            </control>
          </mc:Choice>
        </mc:AlternateContent>
        <mc:AlternateContent xmlns:mc="http://schemas.openxmlformats.org/markup-compatibility/2006">
          <mc:Choice Requires="x14">
            <control shapeId="8229" r:id="rId38" name="Button 37">
              <controlPr defaultSize="0" print="0" autoFill="0" autoPict="0" macro="[0]!②指標縦棒">
                <anchor moveWithCells="1" sizeWithCells="1">
                  <from>
                    <xdr:col>1</xdr:col>
                    <xdr:colOff>95250</xdr:colOff>
                    <xdr:row>535</xdr:row>
                    <xdr:rowOff>38100</xdr:rowOff>
                  </from>
                  <to>
                    <xdr:col>2</xdr:col>
                    <xdr:colOff>838200</xdr:colOff>
                    <xdr:row>536</xdr:row>
                    <xdr:rowOff>95250</xdr:rowOff>
                  </to>
                </anchor>
              </controlPr>
            </control>
          </mc:Choice>
        </mc:AlternateContent>
        <mc:AlternateContent xmlns:mc="http://schemas.openxmlformats.org/markup-compatibility/2006">
          <mc:Choice Requires="x14">
            <control shapeId="8230" r:id="rId39" name="Button 38">
              <controlPr defaultSize="0" print="0" autoFill="0" autoPict="0" macro="[0]!②指標縦棒">
                <anchor moveWithCells="1" sizeWithCells="1">
                  <from>
                    <xdr:col>1</xdr:col>
                    <xdr:colOff>95250</xdr:colOff>
                    <xdr:row>550</xdr:row>
                    <xdr:rowOff>38100</xdr:rowOff>
                  </from>
                  <to>
                    <xdr:col>2</xdr:col>
                    <xdr:colOff>838200</xdr:colOff>
                    <xdr:row>551</xdr:row>
                    <xdr:rowOff>95250</xdr:rowOff>
                  </to>
                </anchor>
              </controlPr>
            </control>
          </mc:Choice>
        </mc:AlternateContent>
        <mc:AlternateContent xmlns:mc="http://schemas.openxmlformats.org/markup-compatibility/2006">
          <mc:Choice Requires="x14">
            <control shapeId="8231" r:id="rId40" name="Button 39">
              <controlPr defaultSize="0" print="0" autoFill="0" autoPict="0" macro="[0]!②指標縦棒">
                <anchor moveWithCells="1" sizeWithCells="1">
                  <from>
                    <xdr:col>1</xdr:col>
                    <xdr:colOff>95250</xdr:colOff>
                    <xdr:row>565</xdr:row>
                    <xdr:rowOff>38100</xdr:rowOff>
                  </from>
                  <to>
                    <xdr:col>2</xdr:col>
                    <xdr:colOff>838200</xdr:colOff>
                    <xdr:row>566</xdr:row>
                    <xdr:rowOff>95250</xdr:rowOff>
                  </to>
                </anchor>
              </controlPr>
            </control>
          </mc:Choice>
        </mc:AlternateContent>
        <mc:AlternateContent xmlns:mc="http://schemas.openxmlformats.org/markup-compatibility/2006">
          <mc:Choice Requires="x14">
            <control shapeId="8232" r:id="rId41" name="Button 40">
              <controlPr defaultSize="0" print="0" autoFill="0" autoPict="0" macro="[0]!②指標縦棒">
                <anchor moveWithCells="1" sizeWithCells="1">
                  <from>
                    <xdr:col>1</xdr:col>
                    <xdr:colOff>95250</xdr:colOff>
                    <xdr:row>580</xdr:row>
                    <xdr:rowOff>38100</xdr:rowOff>
                  </from>
                  <to>
                    <xdr:col>2</xdr:col>
                    <xdr:colOff>838200</xdr:colOff>
                    <xdr:row>581</xdr:row>
                    <xdr:rowOff>95250</xdr:rowOff>
                  </to>
                </anchor>
              </controlPr>
            </control>
          </mc:Choice>
        </mc:AlternateContent>
        <mc:AlternateContent xmlns:mc="http://schemas.openxmlformats.org/markup-compatibility/2006">
          <mc:Choice Requires="x14">
            <control shapeId="8233" r:id="rId42" name="Button 41">
              <controlPr defaultSize="0" print="0" autoFill="0" autoPict="0" macro="[0]!②指標縦棒">
                <anchor moveWithCells="1" sizeWithCells="1">
                  <from>
                    <xdr:col>1</xdr:col>
                    <xdr:colOff>95250</xdr:colOff>
                    <xdr:row>595</xdr:row>
                    <xdr:rowOff>38100</xdr:rowOff>
                  </from>
                  <to>
                    <xdr:col>2</xdr:col>
                    <xdr:colOff>838200</xdr:colOff>
                    <xdr:row>596</xdr:row>
                    <xdr:rowOff>95250</xdr:rowOff>
                  </to>
                </anchor>
              </controlPr>
            </control>
          </mc:Choice>
        </mc:AlternateContent>
        <mc:AlternateContent xmlns:mc="http://schemas.openxmlformats.org/markup-compatibility/2006">
          <mc:Choice Requires="x14">
            <control shapeId="8234" r:id="rId43" name="Button 42">
              <controlPr defaultSize="0" print="0" autoFill="0" autoPict="0" macro="[0]!②指標縦棒">
                <anchor moveWithCells="1" sizeWithCells="1">
                  <from>
                    <xdr:col>1</xdr:col>
                    <xdr:colOff>95250</xdr:colOff>
                    <xdr:row>610</xdr:row>
                    <xdr:rowOff>38100</xdr:rowOff>
                  </from>
                  <to>
                    <xdr:col>2</xdr:col>
                    <xdr:colOff>838200</xdr:colOff>
                    <xdr:row>611</xdr:row>
                    <xdr:rowOff>95250</xdr:rowOff>
                  </to>
                </anchor>
              </controlPr>
            </control>
          </mc:Choice>
        </mc:AlternateContent>
        <mc:AlternateContent xmlns:mc="http://schemas.openxmlformats.org/markup-compatibility/2006">
          <mc:Choice Requires="x14">
            <control shapeId="8235" r:id="rId44" name="Button 43">
              <controlPr defaultSize="0" print="0" autoFill="0" autoPict="0" macro="[0]!②指標縦棒">
                <anchor moveWithCells="1" sizeWithCells="1">
                  <from>
                    <xdr:col>1</xdr:col>
                    <xdr:colOff>95250</xdr:colOff>
                    <xdr:row>625</xdr:row>
                    <xdr:rowOff>38100</xdr:rowOff>
                  </from>
                  <to>
                    <xdr:col>2</xdr:col>
                    <xdr:colOff>838200</xdr:colOff>
                    <xdr:row>626</xdr:row>
                    <xdr:rowOff>95250</xdr:rowOff>
                  </to>
                </anchor>
              </controlPr>
            </control>
          </mc:Choice>
        </mc:AlternateContent>
        <mc:AlternateContent xmlns:mc="http://schemas.openxmlformats.org/markup-compatibility/2006">
          <mc:Choice Requires="x14">
            <control shapeId="8236" r:id="rId45" name="Button 44">
              <controlPr defaultSize="0" print="0" autoFill="0" autoPict="0" macro="[0]!②指標縦棒">
                <anchor moveWithCells="1" sizeWithCells="1">
                  <from>
                    <xdr:col>1</xdr:col>
                    <xdr:colOff>95250</xdr:colOff>
                    <xdr:row>640</xdr:row>
                    <xdr:rowOff>38100</xdr:rowOff>
                  </from>
                  <to>
                    <xdr:col>2</xdr:col>
                    <xdr:colOff>838200</xdr:colOff>
                    <xdr:row>641</xdr:row>
                    <xdr:rowOff>95250</xdr:rowOff>
                  </to>
                </anchor>
              </controlPr>
            </control>
          </mc:Choice>
        </mc:AlternateContent>
        <mc:AlternateContent xmlns:mc="http://schemas.openxmlformats.org/markup-compatibility/2006">
          <mc:Choice Requires="x14">
            <control shapeId="8237" r:id="rId46" name="Button 45">
              <controlPr defaultSize="0" print="0" autoFill="0" autoPict="0" macro="[0]!②指標縦棒">
                <anchor moveWithCells="1" sizeWithCells="1">
                  <from>
                    <xdr:col>1</xdr:col>
                    <xdr:colOff>95250</xdr:colOff>
                    <xdr:row>655</xdr:row>
                    <xdr:rowOff>38100</xdr:rowOff>
                  </from>
                  <to>
                    <xdr:col>2</xdr:col>
                    <xdr:colOff>838200</xdr:colOff>
                    <xdr:row>656</xdr:row>
                    <xdr:rowOff>95250</xdr:rowOff>
                  </to>
                </anchor>
              </controlPr>
            </control>
          </mc:Choice>
        </mc:AlternateContent>
        <mc:AlternateContent xmlns:mc="http://schemas.openxmlformats.org/markup-compatibility/2006">
          <mc:Choice Requires="x14">
            <control shapeId="8238" r:id="rId47" name="Button 46">
              <controlPr defaultSize="0" print="0" autoFill="0" autoPict="0" macro="[0]!②指標縦棒">
                <anchor moveWithCells="1" sizeWithCells="1">
                  <from>
                    <xdr:col>1</xdr:col>
                    <xdr:colOff>95250</xdr:colOff>
                    <xdr:row>670</xdr:row>
                    <xdr:rowOff>38100</xdr:rowOff>
                  </from>
                  <to>
                    <xdr:col>2</xdr:col>
                    <xdr:colOff>838200</xdr:colOff>
                    <xdr:row>671</xdr:row>
                    <xdr:rowOff>95250</xdr:rowOff>
                  </to>
                </anchor>
              </controlPr>
            </control>
          </mc:Choice>
        </mc:AlternateContent>
        <mc:AlternateContent xmlns:mc="http://schemas.openxmlformats.org/markup-compatibility/2006">
          <mc:Choice Requires="x14">
            <control shapeId="8239" r:id="rId48" name="Button 47">
              <controlPr defaultSize="0" print="0" autoFill="0" autoPict="0" macro="[0]!②指標縦棒">
                <anchor moveWithCells="1" sizeWithCells="1">
                  <from>
                    <xdr:col>1</xdr:col>
                    <xdr:colOff>95250</xdr:colOff>
                    <xdr:row>685</xdr:row>
                    <xdr:rowOff>38100</xdr:rowOff>
                  </from>
                  <to>
                    <xdr:col>2</xdr:col>
                    <xdr:colOff>838200</xdr:colOff>
                    <xdr:row>686</xdr:row>
                    <xdr:rowOff>95250</xdr:rowOff>
                  </to>
                </anchor>
              </controlPr>
            </control>
          </mc:Choice>
        </mc:AlternateContent>
        <mc:AlternateContent xmlns:mc="http://schemas.openxmlformats.org/markup-compatibility/2006">
          <mc:Choice Requires="x14">
            <control shapeId="8240" r:id="rId49" name="Button 48">
              <controlPr defaultSize="0" print="0" autoFill="0" autoPict="0" macro="[0]!②指標縦棒">
                <anchor moveWithCells="1" sizeWithCells="1">
                  <from>
                    <xdr:col>1</xdr:col>
                    <xdr:colOff>95250</xdr:colOff>
                    <xdr:row>700</xdr:row>
                    <xdr:rowOff>38100</xdr:rowOff>
                  </from>
                  <to>
                    <xdr:col>2</xdr:col>
                    <xdr:colOff>838200</xdr:colOff>
                    <xdr:row>701</xdr:row>
                    <xdr:rowOff>95250</xdr:rowOff>
                  </to>
                </anchor>
              </controlPr>
            </control>
          </mc:Choice>
        </mc:AlternateContent>
        <mc:AlternateContent xmlns:mc="http://schemas.openxmlformats.org/markup-compatibility/2006">
          <mc:Choice Requires="x14">
            <control shapeId="8241" r:id="rId50" name="Button 49">
              <controlPr defaultSize="0" print="0" autoFill="0" autoPict="0" macro="[0]!②指標縦棒">
                <anchor moveWithCells="1" sizeWithCells="1">
                  <from>
                    <xdr:col>1</xdr:col>
                    <xdr:colOff>95250</xdr:colOff>
                    <xdr:row>715</xdr:row>
                    <xdr:rowOff>38100</xdr:rowOff>
                  </from>
                  <to>
                    <xdr:col>2</xdr:col>
                    <xdr:colOff>838200</xdr:colOff>
                    <xdr:row>716</xdr:row>
                    <xdr:rowOff>95250</xdr:rowOff>
                  </to>
                </anchor>
              </controlPr>
            </control>
          </mc:Choice>
        </mc:AlternateContent>
        <mc:AlternateContent xmlns:mc="http://schemas.openxmlformats.org/markup-compatibility/2006">
          <mc:Choice Requires="x14">
            <control shapeId="8242" r:id="rId51" name="Button 50">
              <controlPr defaultSize="0" print="0" autoFill="0" autoPict="0" macro="[0]!②指標縦棒">
                <anchor moveWithCells="1" sizeWithCells="1">
                  <from>
                    <xdr:col>1</xdr:col>
                    <xdr:colOff>95250</xdr:colOff>
                    <xdr:row>730</xdr:row>
                    <xdr:rowOff>38100</xdr:rowOff>
                  </from>
                  <to>
                    <xdr:col>2</xdr:col>
                    <xdr:colOff>838200</xdr:colOff>
                    <xdr:row>731</xdr:row>
                    <xdr:rowOff>95250</xdr:rowOff>
                  </to>
                </anchor>
              </controlPr>
            </control>
          </mc:Choice>
        </mc:AlternateContent>
        <mc:AlternateContent xmlns:mc="http://schemas.openxmlformats.org/markup-compatibility/2006">
          <mc:Choice Requires="x14">
            <control shapeId="8243" r:id="rId52" name="Button 51">
              <controlPr defaultSize="0" print="0" autoFill="0" autoPict="0" macro="[0]!②指標縦棒">
                <anchor moveWithCells="1" sizeWithCells="1">
                  <from>
                    <xdr:col>1</xdr:col>
                    <xdr:colOff>95250</xdr:colOff>
                    <xdr:row>745</xdr:row>
                    <xdr:rowOff>38100</xdr:rowOff>
                  </from>
                  <to>
                    <xdr:col>2</xdr:col>
                    <xdr:colOff>838200</xdr:colOff>
                    <xdr:row>746</xdr:row>
                    <xdr:rowOff>95250</xdr:rowOff>
                  </to>
                </anchor>
              </controlPr>
            </control>
          </mc:Choice>
        </mc:AlternateContent>
        <mc:AlternateContent xmlns:mc="http://schemas.openxmlformats.org/markup-compatibility/2006">
          <mc:Choice Requires="x14">
            <control shapeId="8244" r:id="rId53" name="Button 52">
              <controlPr defaultSize="0" print="0" autoFill="0" autoPict="0" macro="[0]!②指標縦棒">
                <anchor moveWithCells="1" sizeWithCells="1">
                  <from>
                    <xdr:col>1</xdr:col>
                    <xdr:colOff>95250</xdr:colOff>
                    <xdr:row>760</xdr:row>
                    <xdr:rowOff>38100</xdr:rowOff>
                  </from>
                  <to>
                    <xdr:col>2</xdr:col>
                    <xdr:colOff>838200</xdr:colOff>
                    <xdr:row>761</xdr:row>
                    <xdr:rowOff>95250</xdr:rowOff>
                  </to>
                </anchor>
              </controlPr>
            </control>
          </mc:Choice>
        </mc:AlternateContent>
        <mc:AlternateContent xmlns:mc="http://schemas.openxmlformats.org/markup-compatibility/2006">
          <mc:Choice Requires="x14">
            <control shapeId="8245" r:id="rId54" name="Button 53">
              <controlPr defaultSize="0" print="0" autoFill="0" autoPict="0" macro="[0]!②指標縦棒">
                <anchor moveWithCells="1" sizeWithCells="1">
                  <from>
                    <xdr:col>1</xdr:col>
                    <xdr:colOff>95250</xdr:colOff>
                    <xdr:row>775</xdr:row>
                    <xdr:rowOff>38100</xdr:rowOff>
                  </from>
                  <to>
                    <xdr:col>2</xdr:col>
                    <xdr:colOff>838200</xdr:colOff>
                    <xdr:row>776</xdr:row>
                    <xdr:rowOff>95250</xdr:rowOff>
                  </to>
                </anchor>
              </controlPr>
            </control>
          </mc:Choice>
        </mc:AlternateContent>
        <mc:AlternateContent xmlns:mc="http://schemas.openxmlformats.org/markup-compatibility/2006">
          <mc:Choice Requires="x14">
            <control shapeId="8246" r:id="rId55" name="Button 54">
              <controlPr defaultSize="0" print="0" autoFill="0" autoPict="0" macro="[0]!②指標縦棒">
                <anchor moveWithCells="1" sizeWithCells="1">
                  <from>
                    <xdr:col>1</xdr:col>
                    <xdr:colOff>95250</xdr:colOff>
                    <xdr:row>790</xdr:row>
                    <xdr:rowOff>38100</xdr:rowOff>
                  </from>
                  <to>
                    <xdr:col>2</xdr:col>
                    <xdr:colOff>838200</xdr:colOff>
                    <xdr:row>791</xdr:row>
                    <xdr:rowOff>95250</xdr:rowOff>
                  </to>
                </anchor>
              </controlPr>
            </control>
          </mc:Choice>
        </mc:AlternateContent>
        <mc:AlternateContent xmlns:mc="http://schemas.openxmlformats.org/markup-compatibility/2006">
          <mc:Choice Requires="x14">
            <control shapeId="8247" r:id="rId56" name="Button 55">
              <controlPr defaultSize="0" print="0" autoFill="0" autoPict="0" macro="[0]!②指標縦棒">
                <anchor moveWithCells="1" sizeWithCells="1">
                  <from>
                    <xdr:col>1</xdr:col>
                    <xdr:colOff>95250</xdr:colOff>
                    <xdr:row>805</xdr:row>
                    <xdr:rowOff>38100</xdr:rowOff>
                  </from>
                  <to>
                    <xdr:col>2</xdr:col>
                    <xdr:colOff>838200</xdr:colOff>
                    <xdr:row>806</xdr:row>
                    <xdr:rowOff>95250</xdr:rowOff>
                  </to>
                </anchor>
              </controlPr>
            </control>
          </mc:Choice>
        </mc:AlternateContent>
        <mc:AlternateContent xmlns:mc="http://schemas.openxmlformats.org/markup-compatibility/2006">
          <mc:Choice Requires="x14">
            <control shapeId="8248" r:id="rId57" name="Button 56">
              <controlPr defaultSize="0" print="0" autoFill="0" autoPict="0" macro="[0]!②指標縦棒">
                <anchor moveWithCells="1" sizeWithCells="1">
                  <from>
                    <xdr:col>1</xdr:col>
                    <xdr:colOff>95250</xdr:colOff>
                    <xdr:row>820</xdr:row>
                    <xdr:rowOff>38100</xdr:rowOff>
                  </from>
                  <to>
                    <xdr:col>2</xdr:col>
                    <xdr:colOff>838200</xdr:colOff>
                    <xdr:row>821</xdr:row>
                    <xdr:rowOff>95250</xdr:rowOff>
                  </to>
                </anchor>
              </controlPr>
            </control>
          </mc:Choice>
        </mc:AlternateContent>
        <mc:AlternateContent xmlns:mc="http://schemas.openxmlformats.org/markup-compatibility/2006">
          <mc:Choice Requires="x14">
            <control shapeId="8249" r:id="rId58" name="Button 57">
              <controlPr defaultSize="0" print="0" autoFill="0" autoPict="0" macro="[0]!②指標縦棒">
                <anchor moveWithCells="1" sizeWithCells="1">
                  <from>
                    <xdr:col>1</xdr:col>
                    <xdr:colOff>95250</xdr:colOff>
                    <xdr:row>835</xdr:row>
                    <xdr:rowOff>38100</xdr:rowOff>
                  </from>
                  <to>
                    <xdr:col>2</xdr:col>
                    <xdr:colOff>838200</xdr:colOff>
                    <xdr:row>836</xdr:row>
                    <xdr:rowOff>95250</xdr:rowOff>
                  </to>
                </anchor>
              </controlPr>
            </control>
          </mc:Choice>
        </mc:AlternateContent>
        <mc:AlternateContent xmlns:mc="http://schemas.openxmlformats.org/markup-compatibility/2006">
          <mc:Choice Requires="x14">
            <control shapeId="8250" r:id="rId59" name="Button 58">
              <controlPr defaultSize="0" print="0" autoFill="0" autoPict="0" macro="[0]!②指標縦棒">
                <anchor moveWithCells="1" sizeWithCells="1">
                  <from>
                    <xdr:col>1</xdr:col>
                    <xdr:colOff>95250</xdr:colOff>
                    <xdr:row>850</xdr:row>
                    <xdr:rowOff>38100</xdr:rowOff>
                  </from>
                  <to>
                    <xdr:col>2</xdr:col>
                    <xdr:colOff>838200</xdr:colOff>
                    <xdr:row>851</xdr:row>
                    <xdr:rowOff>95250</xdr:rowOff>
                  </to>
                </anchor>
              </controlPr>
            </control>
          </mc:Choice>
        </mc:AlternateContent>
        <mc:AlternateContent xmlns:mc="http://schemas.openxmlformats.org/markup-compatibility/2006">
          <mc:Choice Requires="x14">
            <control shapeId="8251" r:id="rId60" name="Button 59">
              <controlPr defaultSize="0" print="0" autoFill="0" autoPict="0" macro="[0]!②指標縦棒">
                <anchor moveWithCells="1" sizeWithCells="1">
                  <from>
                    <xdr:col>1</xdr:col>
                    <xdr:colOff>95250</xdr:colOff>
                    <xdr:row>865</xdr:row>
                    <xdr:rowOff>38100</xdr:rowOff>
                  </from>
                  <to>
                    <xdr:col>2</xdr:col>
                    <xdr:colOff>838200</xdr:colOff>
                    <xdr:row>866</xdr:row>
                    <xdr:rowOff>95250</xdr:rowOff>
                  </to>
                </anchor>
              </controlPr>
            </control>
          </mc:Choice>
        </mc:AlternateContent>
        <mc:AlternateContent xmlns:mc="http://schemas.openxmlformats.org/markup-compatibility/2006">
          <mc:Choice Requires="x14">
            <control shapeId="8252" r:id="rId61" name="Button 60">
              <controlPr defaultSize="0" print="0" autoFill="0" autoPict="0" macro="[0]!②指標縦棒">
                <anchor moveWithCells="1" sizeWithCells="1">
                  <from>
                    <xdr:col>1</xdr:col>
                    <xdr:colOff>95250</xdr:colOff>
                    <xdr:row>880</xdr:row>
                    <xdr:rowOff>38100</xdr:rowOff>
                  </from>
                  <to>
                    <xdr:col>2</xdr:col>
                    <xdr:colOff>838200</xdr:colOff>
                    <xdr:row>881</xdr:row>
                    <xdr:rowOff>95250</xdr:rowOff>
                  </to>
                </anchor>
              </controlPr>
            </control>
          </mc:Choice>
        </mc:AlternateContent>
        <mc:AlternateContent xmlns:mc="http://schemas.openxmlformats.org/markup-compatibility/2006">
          <mc:Choice Requires="x14">
            <control shapeId="8253" r:id="rId62" name="Button 61">
              <controlPr defaultSize="0" print="0" autoFill="0" autoPict="0" macro="[0]!②指標縦棒">
                <anchor moveWithCells="1" sizeWithCells="1">
                  <from>
                    <xdr:col>1</xdr:col>
                    <xdr:colOff>95250</xdr:colOff>
                    <xdr:row>895</xdr:row>
                    <xdr:rowOff>38100</xdr:rowOff>
                  </from>
                  <to>
                    <xdr:col>2</xdr:col>
                    <xdr:colOff>838200</xdr:colOff>
                    <xdr:row>896</xdr:row>
                    <xdr:rowOff>95250</xdr:rowOff>
                  </to>
                </anchor>
              </controlPr>
            </control>
          </mc:Choice>
        </mc:AlternateContent>
        <mc:AlternateContent xmlns:mc="http://schemas.openxmlformats.org/markup-compatibility/2006">
          <mc:Choice Requires="x14">
            <control shapeId="8254" r:id="rId63" name="Button 62">
              <controlPr defaultSize="0" print="0" autoFill="0" autoPict="0" macro="[0]!②指標縦棒">
                <anchor moveWithCells="1" sizeWithCells="1">
                  <from>
                    <xdr:col>1</xdr:col>
                    <xdr:colOff>95250</xdr:colOff>
                    <xdr:row>910</xdr:row>
                    <xdr:rowOff>38100</xdr:rowOff>
                  </from>
                  <to>
                    <xdr:col>2</xdr:col>
                    <xdr:colOff>838200</xdr:colOff>
                    <xdr:row>911</xdr:row>
                    <xdr:rowOff>95250</xdr:rowOff>
                  </to>
                </anchor>
              </controlPr>
            </control>
          </mc:Choice>
        </mc:AlternateContent>
        <mc:AlternateContent xmlns:mc="http://schemas.openxmlformats.org/markup-compatibility/2006">
          <mc:Choice Requires="x14">
            <control shapeId="8255" r:id="rId64" name="Button 63">
              <controlPr defaultSize="0" print="0" autoFill="0" autoPict="0" macro="[0]!②指標縦棒">
                <anchor moveWithCells="1" sizeWithCells="1">
                  <from>
                    <xdr:col>1</xdr:col>
                    <xdr:colOff>95250</xdr:colOff>
                    <xdr:row>925</xdr:row>
                    <xdr:rowOff>38100</xdr:rowOff>
                  </from>
                  <to>
                    <xdr:col>2</xdr:col>
                    <xdr:colOff>838200</xdr:colOff>
                    <xdr:row>926</xdr:row>
                    <xdr:rowOff>95250</xdr:rowOff>
                  </to>
                </anchor>
              </controlPr>
            </control>
          </mc:Choice>
        </mc:AlternateContent>
        <mc:AlternateContent xmlns:mc="http://schemas.openxmlformats.org/markup-compatibility/2006">
          <mc:Choice Requires="x14">
            <control shapeId="8256" r:id="rId65" name="Button 64">
              <controlPr defaultSize="0" print="0" autoFill="0" autoPict="0" macro="[0]!②指標縦棒">
                <anchor moveWithCells="1" sizeWithCells="1">
                  <from>
                    <xdr:col>1</xdr:col>
                    <xdr:colOff>95250</xdr:colOff>
                    <xdr:row>940</xdr:row>
                    <xdr:rowOff>38100</xdr:rowOff>
                  </from>
                  <to>
                    <xdr:col>2</xdr:col>
                    <xdr:colOff>838200</xdr:colOff>
                    <xdr:row>941</xdr:row>
                    <xdr:rowOff>95250</xdr:rowOff>
                  </to>
                </anchor>
              </controlPr>
            </control>
          </mc:Choice>
        </mc:AlternateContent>
        <mc:AlternateContent xmlns:mc="http://schemas.openxmlformats.org/markup-compatibility/2006">
          <mc:Choice Requires="x14">
            <control shapeId="8257" r:id="rId66" name="Button 65">
              <controlPr defaultSize="0" print="0" autoFill="0" autoPict="0" macro="[0]!②指標縦棒">
                <anchor moveWithCells="1" sizeWithCells="1">
                  <from>
                    <xdr:col>1</xdr:col>
                    <xdr:colOff>95250</xdr:colOff>
                    <xdr:row>955</xdr:row>
                    <xdr:rowOff>38100</xdr:rowOff>
                  </from>
                  <to>
                    <xdr:col>2</xdr:col>
                    <xdr:colOff>838200</xdr:colOff>
                    <xdr:row>956</xdr:row>
                    <xdr:rowOff>95250</xdr:rowOff>
                  </to>
                </anchor>
              </controlPr>
            </control>
          </mc:Choice>
        </mc:AlternateContent>
        <mc:AlternateContent xmlns:mc="http://schemas.openxmlformats.org/markup-compatibility/2006">
          <mc:Choice Requires="x14">
            <control shapeId="8258" r:id="rId67" name="Button 66">
              <controlPr defaultSize="0" print="0" autoFill="0" autoPict="0" macro="[0]!②指標縦棒">
                <anchor moveWithCells="1" sizeWithCells="1">
                  <from>
                    <xdr:col>1</xdr:col>
                    <xdr:colOff>95250</xdr:colOff>
                    <xdr:row>970</xdr:row>
                    <xdr:rowOff>38100</xdr:rowOff>
                  </from>
                  <to>
                    <xdr:col>2</xdr:col>
                    <xdr:colOff>838200</xdr:colOff>
                    <xdr:row>971</xdr:row>
                    <xdr:rowOff>95250</xdr:rowOff>
                  </to>
                </anchor>
              </controlPr>
            </control>
          </mc:Choice>
        </mc:AlternateContent>
        <mc:AlternateContent xmlns:mc="http://schemas.openxmlformats.org/markup-compatibility/2006">
          <mc:Choice Requires="x14">
            <control shapeId="8259" r:id="rId68" name="Button 67">
              <controlPr defaultSize="0" print="0" autoFill="0" autoPict="0" macro="[0]!②指標縦棒">
                <anchor moveWithCells="1" sizeWithCells="1">
                  <from>
                    <xdr:col>1</xdr:col>
                    <xdr:colOff>95250</xdr:colOff>
                    <xdr:row>985</xdr:row>
                    <xdr:rowOff>38100</xdr:rowOff>
                  </from>
                  <to>
                    <xdr:col>2</xdr:col>
                    <xdr:colOff>838200</xdr:colOff>
                    <xdr:row>986</xdr:row>
                    <xdr:rowOff>95250</xdr:rowOff>
                  </to>
                </anchor>
              </controlPr>
            </control>
          </mc:Choice>
        </mc:AlternateContent>
        <mc:AlternateContent xmlns:mc="http://schemas.openxmlformats.org/markup-compatibility/2006">
          <mc:Choice Requires="x14">
            <control shapeId="8260" r:id="rId69" name="Button 68">
              <controlPr defaultSize="0" print="0" autoFill="0" autoPict="0" macro="[0]!②指標縦棒">
                <anchor moveWithCells="1" sizeWithCells="1">
                  <from>
                    <xdr:col>1</xdr:col>
                    <xdr:colOff>95250</xdr:colOff>
                    <xdr:row>1000</xdr:row>
                    <xdr:rowOff>38100</xdr:rowOff>
                  </from>
                  <to>
                    <xdr:col>2</xdr:col>
                    <xdr:colOff>838200</xdr:colOff>
                    <xdr:row>1001</xdr:row>
                    <xdr:rowOff>95250</xdr:rowOff>
                  </to>
                </anchor>
              </controlPr>
            </control>
          </mc:Choice>
        </mc:AlternateContent>
        <mc:AlternateContent xmlns:mc="http://schemas.openxmlformats.org/markup-compatibility/2006">
          <mc:Choice Requires="x14">
            <control shapeId="8261" r:id="rId70" name="Button 69">
              <controlPr defaultSize="0" print="0" autoFill="0" autoPict="0" macro="[0]!②指標縦棒">
                <anchor moveWithCells="1" sizeWithCells="1">
                  <from>
                    <xdr:col>1</xdr:col>
                    <xdr:colOff>95250</xdr:colOff>
                    <xdr:row>1015</xdr:row>
                    <xdr:rowOff>38100</xdr:rowOff>
                  </from>
                  <to>
                    <xdr:col>2</xdr:col>
                    <xdr:colOff>838200</xdr:colOff>
                    <xdr:row>1016</xdr:row>
                    <xdr:rowOff>95250</xdr:rowOff>
                  </to>
                </anchor>
              </controlPr>
            </control>
          </mc:Choice>
        </mc:AlternateContent>
        <mc:AlternateContent xmlns:mc="http://schemas.openxmlformats.org/markup-compatibility/2006">
          <mc:Choice Requires="x14">
            <control shapeId="8262" r:id="rId71" name="Button 70">
              <controlPr defaultSize="0" print="0" autoFill="0" autoPict="0" macro="[0]!②指標縦棒">
                <anchor moveWithCells="1" sizeWithCells="1">
                  <from>
                    <xdr:col>1</xdr:col>
                    <xdr:colOff>95250</xdr:colOff>
                    <xdr:row>1030</xdr:row>
                    <xdr:rowOff>38100</xdr:rowOff>
                  </from>
                  <to>
                    <xdr:col>2</xdr:col>
                    <xdr:colOff>838200</xdr:colOff>
                    <xdr:row>1031</xdr:row>
                    <xdr:rowOff>95250</xdr:rowOff>
                  </to>
                </anchor>
              </controlPr>
            </control>
          </mc:Choice>
        </mc:AlternateContent>
        <mc:AlternateContent xmlns:mc="http://schemas.openxmlformats.org/markup-compatibility/2006">
          <mc:Choice Requires="x14">
            <control shapeId="8263" r:id="rId72" name="Button 71">
              <controlPr defaultSize="0" print="0" autoFill="0" autoPict="0" macro="[0]!②指標縦棒">
                <anchor moveWithCells="1" sizeWithCells="1">
                  <from>
                    <xdr:col>1</xdr:col>
                    <xdr:colOff>95250</xdr:colOff>
                    <xdr:row>1045</xdr:row>
                    <xdr:rowOff>38100</xdr:rowOff>
                  </from>
                  <to>
                    <xdr:col>2</xdr:col>
                    <xdr:colOff>838200</xdr:colOff>
                    <xdr:row>1046</xdr:row>
                    <xdr:rowOff>95250</xdr:rowOff>
                  </to>
                </anchor>
              </controlPr>
            </control>
          </mc:Choice>
        </mc:AlternateContent>
        <mc:AlternateContent xmlns:mc="http://schemas.openxmlformats.org/markup-compatibility/2006">
          <mc:Choice Requires="x14">
            <control shapeId="8264" r:id="rId73" name="Button 72">
              <controlPr defaultSize="0" print="0" autoFill="0" autoPict="0" macro="[0]!②指標縦棒">
                <anchor moveWithCells="1" sizeWithCells="1">
                  <from>
                    <xdr:col>1</xdr:col>
                    <xdr:colOff>95250</xdr:colOff>
                    <xdr:row>1060</xdr:row>
                    <xdr:rowOff>38100</xdr:rowOff>
                  </from>
                  <to>
                    <xdr:col>2</xdr:col>
                    <xdr:colOff>838200</xdr:colOff>
                    <xdr:row>1061</xdr:row>
                    <xdr:rowOff>95250</xdr:rowOff>
                  </to>
                </anchor>
              </controlPr>
            </control>
          </mc:Choice>
        </mc:AlternateContent>
        <mc:AlternateContent xmlns:mc="http://schemas.openxmlformats.org/markup-compatibility/2006">
          <mc:Choice Requires="x14">
            <control shapeId="8265" r:id="rId74" name="Button 73">
              <controlPr defaultSize="0" print="0" autoFill="0" autoPict="0" macro="[0]!②指標縦棒">
                <anchor moveWithCells="1" sizeWithCells="1">
                  <from>
                    <xdr:col>1</xdr:col>
                    <xdr:colOff>95250</xdr:colOff>
                    <xdr:row>1075</xdr:row>
                    <xdr:rowOff>38100</xdr:rowOff>
                  </from>
                  <to>
                    <xdr:col>2</xdr:col>
                    <xdr:colOff>838200</xdr:colOff>
                    <xdr:row>1076</xdr:row>
                    <xdr:rowOff>95250</xdr:rowOff>
                  </to>
                </anchor>
              </controlPr>
            </control>
          </mc:Choice>
        </mc:AlternateContent>
        <mc:AlternateContent xmlns:mc="http://schemas.openxmlformats.org/markup-compatibility/2006">
          <mc:Choice Requires="x14">
            <control shapeId="8266" r:id="rId75" name="Button 74">
              <controlPr defaultSize="0" print="0" autoFill="0" autoPict="0" macro="[0]!②指標縦棒">
                <anchor moveWithCells="1" sizeWithCells="1">
                  <from>
                    <xdr:col>1</xdr:col>
                    <xdr:colOff>95250</xdr:colOff>
                    <xdr:row>1090</xdr:row>
                    <xdr:rowOff>38100</xdr:rowOff>
                  </from>
                  <to>
                    <xdr:col>2</xdr:col>
                    <xdr:colOff>838200</xdr:colOff>
                    <xdr:row>1091</xdr:row>
                    <xdr:rowOff>95250</xdr:rowOff>
                  </to>
                </anchor>
              </controlPr>
            </control>
          </mc:Choice>
        </mc:AlternateContent>
        <mc:AlternateContent xmlns:mc="http://schemas.openxmlformats.org/markup-compatibility/2006">
          <mc:Choice Requires="x14">
            <control shapeId="8267" r:id="rId76" name="Button 75">
              <controlPr defaultSize="0" print="0" autoFill="0" autoPict="0" macro="[0]!②指標縦棒">
                <anchor moveWithCells="1" sizeWithCells="1">
                  <from>
                    <xdr:col>1</xdr:col>
                    <xdr:colOff>95250</xdr:colOff>
                    <xdr:row>1105</xdr:row>
                    <xdr:rowOff>38100</xdr:rowOff>
                  </from>
                  <to>
                    <xdr:col>2</xdr:col>
                    <xdr:colOff>838200</xdr:colOff>
                    <xdr:row>1106</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0000000}">
          <x14:formula1>
            <xm:f>指標!$B$3:$B$75</xm:f>
          </x14:formula1>
          <xm:sqref>C3 C20 C35 C50 C65 C80 C95 C110 C125 C140 C155 C170 C185 C200 C215 C230 C245 C260 C275 C290 C305 C320 C335 C350 C365 C380 C395 C410 C425 C440 C455 C470 C485 C500 C515 C530 C545 C560 C575 C590 C605 C620 C635 C650 C665 C680 C695 C710 C725 C740 C755 C770 C785 C800 C815 C830 C845 C860 C875 C890 C905 C920 C935 C950 C965 C980 C995 C1010 C1025 C1040 C1055 C1070 C1085 C1100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tabColor theme="1"/>
  </sheetPr>
  <dimension ref="A1"/>
  <sheetViews>
    <sheetView zoomScaleNormal="100" workbookViewId="0"/>
  </sheetViews>
  <sheetFormatPr defaultRowHeight="15.75"/>
  <sheetData/>
  <phoneticPr fontId="5"/>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Z762"/>
  <sheetViews>
    <sheetView zoomScaleNormal="100" workbookViewId="0">
      <pane ySplit="5" topLeftCell="A6" activePane="bottomLeft" state="frozen"/>
      <selection activeCell="K27" sqref="K27"/>
      <selection pane="bottomLeft" activeCell="H21" sqref="H21"/>
    </sheetView>
  </sheetViews>
  <sheetFormatPr defaultColWidth="9.28515625" defaultRowHeight="15.75"/>
  <cols>
    <col min="1" max="1" width="10.42578125" style="282" customWidth="1"/>
    <col min="2" max="2" width="8.42578125" bestFit="1" customWidth="1"/>
    <col min="3" max="4" width="7.42578125" bestFit="1" customWidth="1"/>
    <col min="5" max="5" width="15.140625" customWidth="1"/>
    <col min="6" max="6" width="12.7109375" customWidth="1"/>
    <col min="7" max="7" width="11.140625" customWidth="1"/>
    <col min="8" max="8" width="25.7109375" customWidth="1"/>
    <col min="9" max="9" width="11.28515625" customWidth="1"/>
    <col min="10" max="10" width="12.42578125" customWidth="1"/>
    <col min="11" max="11" width="10.7109375" customWidth="1"/>
    <col min="12" max="12" width="27.28515625" bestFit="1" customWidth="1"/>
    <col min="13" max="13" width="41.28515625" customWidth="1"/>
    <col min="14" max="14" width="20.42578125" bestFit="1" customWidth="1"/>
    <col min="15" max="15" width="32.7109375" bestFit="1" customWidth="1"/>
    <col min="16" max="22" width="8.7109375" customWidth="1"/>
    <col min="23" max="23" width="25" customWidth="1"/>
    <col min="24" max="24" width="46.140625" bestFit="1" customWidth="1"/>
    <col min="25" max="25" width="7.42578125" bestFit="1" customWidth="1"/>
    <col min="26" max="26" width="10.140625" customWidth="1"/>
  </cols>
  <sheetData>
    <row r="1" spans="1:26">
      <c r="B1" s="285" t="s">
        <v>1494</v>
      </c>
      <c r="C1" s="285"/>
      <c r="D1" s="285"/>
      <c r="E1" s="285"/>
      <c r="F1" s="13"/>
      <c r="G1" s="13"/>
      <c r="H1" s="13"/>
      <c r="I1" s="13"/>
      <c r="J1" s="13"/>
      <c r="K1" s="284"/>
      <c r="L1" s="283" t="str">
        <f>IF(COUNTIFS(B:B,B1,I:I,I1,X:X,X1)&lt;=1,"-",COUNTIFS(B:B,B1,I:I,I1,X:X,X1))</f>
        <v>-</v>
      </c>
      <c r="M1" s="283" t="str">
        <f>IF(I1="","書籍","-")</f>
        <v>書籍</v>
      </c>
      <c r="N1" s="283" t="str">
        <f>IF(OR(COUNTIF($F1,"*(*"),COUNTIF($G1,"*(*"),COUNTIF($H1,"*(*")),"NG","-")</f>
        <v>-</v>
      </c>
      <c r="O1" s="283" t="str">
        <f>IF(COUNTIF($Z1,"*..*"),"NG","-")</f>
        <v>-</v>
      </c>
      <c r="P1" s="283" t="str">
        <f>IF(COUNTIF($Z1,"*""""*"),"NG","-")</f>
        <v>-</v>
      </c>
      <c r="Q1" s="283" t="str">
        <f>IF(COUNTIF($Z1,"*  *"),"NG","-")</f>
        <v>-</v>
      </c>
      <c r="R1" s="283" t="str">
        <f>IF(COUNTIF($Z1,"*　*"),"NG","-")</f>
        <v>-</v>
      </c>
      <c r="S1" s="283" t="str">
        <f>IF(COUNTIF($Z1,"*（*"),"NG","-")</f>
        <v>-</v>
      </c>
      <c r="T1" s="283" t="str">
        <f>IF(COUNTIF($Z1,"*(*"),IF(COUNTIF($Z1,"* (*"),"-","NG"),"-")</f>
        <v>-</v>
      </c>
      <c r="U1" s="283" t="str">
        <f>IF(OR(LEFT(F1,1)=" ",LEFT(G1,1)=" ",LEFT(H1,1)=" ",LEFT(I1,1)=" ",LEFT(J1,1)=" "),"NG","-")</f>
        <v>-</v>
      </c>
      <c r="V1" s="283" t="str">
        <f>IF(OR(RIGHT(F1,1)=" ",RIGHT(G1,1)=" ",RIGHT(H1,1)=" ",RIGHT(I1,1)=" ",RIGHT(J1,1)=" "),"NG","-")</f>
        <v>-</v>
      </c>
      <c r="W1" s="1" t="str">
        <f>IF(J1="","",IF(RIGHT(J1,1)="/",J1,J1&amp;"/"))</f>
        <v/>
      </c>
      <c r="X1" s="1" t="str">
        <f>IF(W1="","",LEFT(W1,FIND("/",W1,FIND("/",W1,FIND("/", W1)+1)+1)))</f>
        <v/>
      </c>
      <c r="Y1" s="1" t="str">
        <f>IF(AND(C1="-",D1="共通"),"優先1",IF(OR(COUNTIF(C1,"*補助*"),D1&lt;&gt;"共通"),"優先3","優先2"&amp;C1))</f>
        <v>優先3</v>
      </c>
      <c r="Z1" s="1">
        <f>IF(X1="",F1,CONCATENATE(IF(F1="",G1,IF(G1="",F1,F1&amp;", "&amp;G1)),IF(H1="",". "," ["&amp;H1&amp;"]. "),"""",I1,""". ","Accessed ",TEXT(K1,"dd mmmm, yyyy"),". ",X1,"."))</f>
        <v>0</v>
      </c>
    </row>
    <row r="2" spans="1:26">
      <c r="A2" s="282" t="s">
        <v>1075</v>
      </c>
      <c r="B2" t="s">
        <v>1074</v>
      </c>
      <c r="Y2" t="s">
        <v>1073</v>
      </c>
      <c r="Z2" t="s">
        <v>1072</v>
      </c>
    </row>
    <row r="3" spans="1:26">
      <c r="A3" s="282" t="s">
        <v>1071</v>
      </c>
      <c r="F3" t="s">
        <v>1498</v>
      </c>
      <c r="G3" t="s">
        <v>1499</v>
      </c>
      <c r="H3" t="s">
        <v>1495</v>
      </c>
      <c r="I3" t="s">
        <v>1496</v>
      </c>
      <c r="J3" t="s">
        <v>1497</v>
      </c>
      <c r="K3" t="s">
        <v>1070</v>
      </c>
      <c r="L3" t="s">
        <v>1069</v>
      </c>
      <c r="M3" t="s">
        <v>1068</v>
      </c>
      <c r="N3" t="s">
        <v>1067</v>
      </c>
      <c r="O3" t="s">
        <v>1066</v>
      </c>
    </row>
    <row r="4" spans="1:26">
      <c r="B4" s="467" t="s">
        <v>1065</v>
      </c>
      <c r="C4" s="467"/>
      <c r="D4" s="467"/>
      <c r="E4" s="467"/>
      <c r="F4" s="467" t="s">
        <v>1064</v>
      </c>
      <c r="G4" s="467"/>
      <c r="H4" s="467"/>
      <c r="I4" s="467"/>
      <c r="J4" s="467"/>
      <c r="K4" s="467"/>
      <c r="L4" s="468" t="s">
        <v>1063</v>
      </c>
      <c r="M4" s="468"/>
      <c r="N4" s="468"/>
      <c r="O4" s="468"/>
      <c r="P4" s="468" t="s">
        <v>1062</v>
      </c>
      <c r="Q4" s="468"/>
      <c r="R4" s="468"/>
      <c r="S4" s="468"/>
      <c r="T4" s="468"/>
      <c r="U4" s="468"/>
      <c r="V4" s="468"/>
      <c r="W4" s="433" t="s">
        <v>1061</v>
      </c>
      <c r="X4" s="433"/>
      <c r="Y4" s="433"/>
      <c r="Z4" s="433"/>
    </row>
    <row r="5" spans="1:26">
      <c r="B5" s="287" t="s">
        <v>1060</v>
      </c>
      <c r="C5" s="287" t="s">
        <v>1059</v>
      </c>
      <c r="D5" s="287" t="s">
        <v>1058</v>
      </c>
      <c r="E5" s="287" t="s">
        <v>1057</v>
      </c>
      <c r="F5" s="287" t="s">
        <v>1056</v>
      </c>
      <c r="G5" s="287" t="s">
        <v>1055</v>
      </c>
      <c r="H5" s="287" t="s">
        <v>1054</v>
      </c>
      <c r="I5" s="287" t="s">
        <v>1053</v>
      </c>
      <c r="J5" s="287" t="s">
        <v>1052</v>
      </c>
      <c r="K5" s="287" t="s">
        <v>1051</v>
      </c>
      <c r="L5" s="286" t="s">
        <v>1050</v>
      </c>
      <c r="M5" s="286" t="s">
        <v>1049</v>
      </c>
      <c r="N5" s="286" t="s">
        <v>1048</v>
      </c>
      <c r="O5" s="286" t="s">
        <v>1047</v>
      </c>
      <c r="P5" s="286" t="s">
        <v>1046</v>
      </c>
      <c r="Q5" s="286" t="s">
        <v>1045</v>
      </c>
      <c r="R5" s="286" t="s">
        <v>1044</v>
      </c>
      <c r="S5" s="286" t="s">
        <v>1043</v>
      </c>
      <c r="T5" s="286" t="s">
        <v>1042</v>
      </c>
      <c r="U5" s="286" t="s">
        <v>1041</v>
      </c>
      <c r="V5" s="286" t="s">
        <v>1040</v>
      </c>
      <c r="W5" s="36" t="s">
        <v>1039</v>
      </c>
      <c r="X5" s="36" t="s">
        <v>1038</v>
      </c>
      <c r="Y5" s="36" t="s">
        <v>1037</v>
      </c>
      <c r="Z5" s="36" t="s">
        <v>1036</v>
      </c>
    </row>
    <row r="6" spans="1:26">
      <c r="B6" s="285" t="s">
        <v>677</v>
      </c>
      <c r="C6" s="285" t="s">
        <v>464</v>
      </c>
      <c r="D6" s="285" t="s">
        <v>673</v>
      </c>
      <c r="E6" s="285" t="s">
        <v>105</v>
      </c>
      <c r="F6" s="13" t="s">
        <v>2571</v>
      </c>
      <c r="G6" s="13"/>
      <c r="H6" s="13"/>
      <c r="I6" s="13" t="s">
        <v>2572</v>
      </c>
      <c r="J6" s="13" t="s">
        <v>3988</v>
      </c>
      <c r="K6" s="284">
        <v>45056</v>
      </c>
      <c r="L6" s="283" t="str">
        <f t="shared" ref="L6:L69" si="0">IF(COUNTIFS(B:B,B6,I:I,I6,X:X,X6)&lt;=1,"-",COUNTIFS(B:B,B6,I:I,I6,X:X,X6))</f>
        <v>-</v>
      </c>
      <c r="M6" s="283" t="str">
        <f t="shared" ref="M6:M69" si="1">IF(I6="","書籍","-")</f>
        <v>-</v>
      </c>
      <c r="N6" s="283" t="str">
        <f t="shared" ref="N6:N69" si="2">IF(OR(COUNTIF($F6,"*(*"),COUNTIF($G6,"*(*"),COUNTIF($H6,"*(*")),"NG","-")</f>
        <v>-</v>
      </c>
      <c r="O6" s="283" t="str">
        <f t="shared" ref="O6:O69" si="3">IF(COUNTIF($Z6,"*..*"),"NG","-")</f>
        <v>-</v>
      </c>
      <c r="P6" s="283" t="str">
        <f t="shared" ref="P6:P69" si="4">IF(COUNTIF($Z6,"*""""*"),"NG","-")</f>
        <v>-</v>
      </c>
      <c r="Q6" s="283" t="str">
        <f t="shared" ref="Q6:Q69" si="5">IF(COUNTIF($Z6,"*  *"),"NG","-")</f>
        <v>-</v>
      </c>
      <c r="R6" s="283" t="str">
        <f t="shared" ref="R6:R69" si="6">IF(COUNTIF($Z6,"*　*"),"NG","-")</f>
        <v>-</v>
      </c>
      <c r="S6" s="283" t="str">
        <f t="shared" ref="S6:S69" si="7">IF(COUNTIF($Z6,"*（*"),"NG","-")</f>
        <v>-</v>
      </c>
      <c r="T6" s="283" t="str">
        <f t="shared" ref="T6:T69" si="8">IF(COUNTIF($Z6,"*(*"),IF(COUNTIF($Z6,"* (*"),"-","NG"),"-")</f>
        <v>-</v>
      </c>
      <c r="U6" s="283" t="str">
        <f t="shared" ref="U6:U69" si="9">IF(OR(LEFT(F6,1)=" ",LEFT(G6,1)=" ",LEFT(H6,1)=" ",LEFT(I6,1)=" ",LEFT(J6,1)=" "),"NG","-")</f>
        <v>-</v>
      </c>
      <c r="V6" s="283" t="str">
        <f t="shared" ref="V6:V69" si="10">IF(OR(RIGHT(F6,1)=" ",RIGHT(G6,1)=" ",RIGHT(H6,1)=" ",RIGHT(I6,1)=" ",RIGHT(J6,1)=" "),"NG","-")</f>
        <v>-</v>
      </c>
      <c r="W6" s="1" t="str">
        <f t="shared" ref="W6:W69" si="11">IF(J6="","",IF(RIGHT(J6,1)="/",J6,J6&amp;"/"))</f>
        <v>https://gestiona.comunidad.madrid/desvan/almudena/servlet/AccionDatosUnMunicipio.icm?municipio=0796&amp;listaTemas=201007/</v>
      </c>
      <c r="X6" s="1" t="str">
        <f t="shared" ref="X6:X69" si="12">IF(W6="","",LEFT(W6,FIND("/",W6,FIND("/",W6,FIND("/", W6)+1)+1)))</f>
        <v>https://gestiona.comunidad.madrid/</v>
      </c>
      <c r="Y6" s="1" t="str">
        <f t="shared" ref="Y6:Y69" si="13">IF(AND(C6="-",D6="共通"),"優先1",IF(OR(COUNTIF(C6,"*補助*"),D6&lt;&gt;"共通"),"優先3","優先2"&amp;C6))</f>
        <v>優先3</v>
      </c>
      <c r="Z6" s="1" t="str">
        <f t="shared" ref="Z6:Z69" si="14">IF(X6="",F6,CONCATENATE(IF(F6="",G6,IF(G6="",F6,F6&amp;", "&amp;G6)),IF(H6="",". "," ["&amp;H6&amp;"]. "),"""",I6,""". ","Accessed ",TEXT(K6,"dd mmmm, yyyy"),". ",X6,"."))</f>
        <v>Instituto de Estadística de la Comunidad de Madrid, Comunidad de Madrid. "Bancos de Datos Municipal y Zonal (ALMUDENA)". Accessed 10 May, 2023. https://gestiona.comunidad.madrid/.</v>
      </c>
    </row>
    <row r="7" spans="1:26">
      <c r="B7" s="285" t="s">
        <v>677</v>
      </c>
      <c r="C7" s="285" t="s">
        <v>464</v>
      </c>
      <c r="D7" s="285" t="s">
        <v>673</v>
      </c>
      <c r="E7" s="285" t="s">
        <v>106</v>
      </c>
      <c r="F7" s="13" t="s">
        <v>2573</v>
      </c>
      <c r="G7" s="13"/>
      <c r="H7" s="13"/>
      <c r="I7" s="13" t="s">
        <v>2574</v>
      </c>
      <c r="J7" s="13" t="s">
        <v>3989</v>
      </c>
      <c r="K7" s="284">
        <v>45056</v>
      </c>
      <c r="L7" s="283" t="str">
        <f t="shared" si="0"/>
        <v>-</v>
      </c>
      <c r="M7" s="283" t="str">
        <f t="shared" si="1"/>
        <v>-</v>
      </c>
      <c r="N7" s="283" t="str">
        <f t="shared" si="2"/>
        <v>NG</v>
      </c>
      <c r="O7" s="283" t="str">
        <f t="shared" si="3"/>
        <v>-</v>
      </c>
      <c r="P7" s="283" t="str">
        <f t="shared" si="4"/>
        <v>-</v>
      </c>
      <c r="Q7" s="283" t="str">
        <f t="shared" si="5"/>
        <v>-</v>
      </c>
      <c r="R7" s="283" t="str">
        <f t="shared" si="6"/>
        <v>-</v>
      </c>
      <c r="S7" s="283" t="str">
        <f t="shared" si="7"/>
        <v>-</v>
      </c>
      <c r="T7" s="283" t="str">
        <f t="shared" si="8"/>
        <v>-</v>
      </c>
      <c r="U7" s="283" t="str">
        <f t="shared" si="9"/>
        <v>-</v>
      </c>
      <c r="V7" s="283" t="str">
        <f t="shared" si="10"/>
        <v>-</v>
      </c>
      <c r="W7" s="1" t="str">
        <f t="shared" si="11"/>
        <v>https://www.idescat.cat/indicadors/?id=aec&amp;n=15903/</v>
      </c>
      <c r="X7" s="1" t="str">
        <f t="shared" si="12"/>
        <v>https://www.idescat.cat/</v>
      </c>
      <c r="Y7" s="1" t="str">
        <f t="shared" si="13"/>
        <v>優先3</v>
      </c>
      <c r="Z7" s="1" t="str">
        <f t="shared" si="14"/>
        <v>Institut d'Estadística de Catalunya (idescat), Departament d'Economia i Coneixement, Generalitat de Catalunya. "Anuari estadístic de Catalunya". Accessed 10 May, 2023. https://www.idescat.cat/.</v>
      </c>
    </row>
    <row r="8" spans="1:26">
      <c r="B8" s="285" t="s">
        <v>677</v>
      </c>
      <c r="C8" s="285" t="s">
        <v>464</v>
      </c>
      <c r="D8" s="285" t="s">
        <v>673</v>
      </c>
      <c r="E8" s="285" t="s">
        <v>108</v>
      </c>
      <c r="F8" s="13" t="s">
        <v>1118</v>
      </c>
      <c r="G8" s="13" t="s">
        <v>731</v>
      </c>
      <c r="H8" s="13"/>
      <c r="I8" s="13" t="s">
        <v>2575</v>
      </c>
      <c r="J8" s="13" t="s">
        <v>1119</v>
      </c>
      <c r="K8" s="284">
        <v>45056</v>
      </c>
      <c r="L8" s="283" t="str">
        <f t="shared" si="0"/>
        <v>-</v>
      </c>
      <c r="M8" s="283" t="str">
        <f t="shared" si="1"/>
        <v>-</v>
      </c>
      <c r="N8" s="283" t="str">
        <f t="shared" si="2"/>
        <v>-</v>
      </c>
      <c r="O8" s="283" t="str">
        <f t="shared" si="3"/>
        <v>-</v>
      </c>
      <c r="P8" s="283" t="str">
        <f t="shared" si="4"/>
        <v>-</v>
      </c>
      <c r="Q8" s="283" t="str">
        <f t="shared" si="5"/>
        <v>-</v>
      </c>
      <c r="R8" s="283" t="str">
        <f t="shared" si="6"/>
        <v>-</v>
      </c>
      <c r="S8" s="283" t="str">
        <f t="shared" si="7"/>
        <v>-</v>
      </c>
      <c r="T8" s="283" t="str">
        <f t="shared" si="8"/>
        <v>-</v>
      </c>
      <c r="U8" s="283" t="str">
        <f t="shared" si="9"/>
        <v>-</v>
      </c>
      <c r="V8" s="283" t="str">
        <f t="shared" si="10"/>
        <v>NG</v>
      </c>
      <c r="W8" s="1" t="str">
        <f t="shared" si="11"/>
        <v>https://www.ons.gov.uk/peoplepopulationandcommunity/populationandmigration/populationestimates/datasets/populationestimatesforukenglandandwalesscotlandandnorthernireland/</v>
      </c>
      <c r="X8" s="1" t="str">
        <f t="shared" si="12"/>
        <v>https://www.ons.gov.uk/</v>
      </c>
      <c r="Y8" s="1" t="str">
        <f t="shared" si="13"/>
        <v>優先3</v>
      </c>
      <c r="Z8" s="1" t="str">
        <f t="shared" si="14"/>
        <v>Office for National Statistics , United Kingdom of Great Britain and Northern Ireland. "Estimates of the population for the UK, England and Wales, Scotland and Northern Ireland". Accessed 10 May, 2023. https://www.ons.gov.uk/.</v>
      </c>
    </row>
    <row r="9" spans="1:26">
      <c r="B9" s="285" t="s">
        <v>677</v>
      </c>
      <c r="C9" s="285" t="s">
        <v>464</v>
      </c>
      <c r="D9" s="285" t="s">
        <v>673</v>
      </c>
      <c r="E9" s="285" t="s">
        <v>110</v>
      </c>
      <c r="F9" s="13" t="s">
        <v>1020</v>
      </c>
      <c r="G9" s="13" t="s">
        <v>709</v>
      </c>
      <c r="H9" s="13"/>
      <c r="I9" s="13" t="s">
        <v>3990</v>
      </c>
      <c r="J9" s="13" t="s">
        <v>1120</v>
      </c>
      <c r="K9" s="284">
        <v>45056</v>
      </c>
      <c r="L9" s="283" t="str">
        <f t="shared" si="0"/>
        <v>-</v>
      </c>
      <c r="M9" s="283" t="str">
        <f t="shared" si="1"/>
        <v>-</v>
      </c>
      <c r="N9" s="283" t="str">
        <f t="shared" si="2"/>
        <v>-</v>
      </c>
      <c r="O9" s="283" t="str">
        <f t="shared" si="3"/>
        <v>-</v>
      </c>
      <c r="P9" s="283" t="str">
        <f t="shared" si="4"/>
        <v>-</v>
      </c>
      <c r="Q9" s="283" t="str">
        <f t="shared" si="5"/>
        <v>-</v>
      </c>
      <c r="R9" s="283" t="str">
        <f t="shared" si="6"/>
        <v>-</v>
      </c>
      <c r="S9" s="283" t="str">
        <f t="shared" si="7"/>
        <v>-</v>
      </c>
      <c r="T9" s="283" t="str">
        <f t="shared" si="8"/>
        <v>-</v>
      </c>
      <c r="U9" s="283" t="str">
        <f t="shared" si="9"/>
        <v>-</v>
      </c>
      <c r="V9" s="283" t="str">
        <f t="shared" si="10"/>
        <v>-</v>
      </c>
      <c r="W9" s="1" t="str">
        <f t="shared" si="11"/>
        <v>https://www.insee.fr/fr/statistiques/1893198/</v>
      </c>
      <c r="X9" s="1" t="str">
        <f t="shared" si="12"/>
        <v>https://www.insee.fr/</v>
      </c>
      <c r="Y9" s="1" t="str">
        <f t="shared" si="13"/>
        <v>優先3</v>
      </c>
      <c r="Z9" s="1" t="str">
        <f t="shared" si="14"/>
        <v>Institut National de la Statistique et des Études Économiques, French Republic. "Estimation de la population au 1er janvier 2023". Accessed 10 May, 2023. https://www.insee.fr/.</v>
      </c>
    </row>
    <row r="10" spans="1:26">
      <c r="B10" s="285" t="s">
        <v>677</v>
      </c>
      <c r="C10" s="285" t="s">
        <v>464</v>
      </c>
      <c r="D10" s="285" t="s">
        <v>673</v>
      </c>
      <c r="E10" s="285" t="s">
        <v>112</v>
      </c>
      <c r="F10" s="13" t="s">
        <v>1121</v>
      </c>
      <c r="G10" s="13"/>
      <c r="H10" s="13"/>
      <c r="I10" s="13" t="s">
        <v>2576</v>
      </c>
      <c r="J10" s="13" t="s">
        <v>2577</v>
      </c>
      <c r="K10" s="284">
        <v>45058</v>
      </c>
      <c r="L10" s="283" t="str">
        <f t="shared" si="0"/>
        <v>-</v>
      </c>
      <c r="M10" s="283" t="str">
        <f t="shared" si="1"/>
        <v>-</v>
      </c>
      <c r="N10" s="283" t="str">
        <f t="shared" si="2"/>
        <v>-</v>
      </c>
      <c r="O10" s="283" t="str">
        <f t="shared" si="3"/>
        <v>-</v>
      </c>
      <c r="P10" s="283" t="str">
        <f t="shared" si="4"/>
        <v>-</v>
      </c>
      <c r="Q10" s="283" t="str">
        <f t="shared" si="5"/>
        <v>-</v>
      </c>
      <c r="R10" s="283" t="str">
        <f t="shared" si="6"/>
        <v>-</v>
      </c>
      <c r="S10" s="283" t="str">
        <f t="shared" si="7"/>
        <v>-</v>
      </c>
      <c r="T10" s="283" t="str">
        <f t="shared" si="8"/>
        <v>-</v>
      </c>
      <c r="U10" s="283" t="str">
        <f t="shared" si="9"/>
        <v>-</v>
      </c>
      <c r="V10" s="283" t="str">
        <f t="shared" si="10"/>
        <v>-</v>
      </c>
      <c r="W10" s="1" t="str">
        <f t="shared" si="11"/>
        <v>https://statbel.fgov.be/fr/themes/population/densite-de-la-population#figures/</v>
      </c>
      <c r="X10" s="1" t="str">
        <f t="shared" si="12"/>
        <v>https://statbel.fgov.be/</v>
      </c>
      <c r="Y10" s="1" t="str">
        <f t="shared" si="13"/>
        <v>優先3</v>
      </c>
      <c r="Z10" s="1" t="str">
        <f t="shared" si="14"/>
        <v>Belgische Statistiekbureau, Belgische Federale Overheidsdiensten. "Densité de la population". Accessed 12 May, 2023. https://statbel.fgov.be/.</v>
      </c>
    </row>
    <row r="11" spans="1:26">
      <c r="B11" s="285" t="s">
        <v>677</v>
      </c>
      <c r="C11" s="285" t="s">
        <v>464</v>
      </c>
      <c r="D11" s="285" t="s">
        <v>673</v>
      </c>
      <c r="E11" s="285" t="s">
        <v>114</v>
      </c>
      <c r="F11" s="13"/>
      <c r="G11" s="13" t="s">
        <v>990</v>
      </c>
      <c r="H11" s="13"/>
      <c r="I11" s="13" t="s">
        <v>2578</v>
      </c>
      <c r="J11" s="13" t="s">
        <v>1122</v>
      </c>
      <c r="K11" s="284">
        <v>45058</v>
      </c>
      <c r="L11" s="283" t="str">
        <f t="shared" si="0"/>
        <v>-</v>
      </c>
      <c r="M11" s="283" t="str">
        <f t="shared" si="1"/>
        <v>-</v>
      </c>
      <c r="N11" s="283" t="str">
        <f t="shared" si="2"/>
        <v>-</v>
      </c>
      <c r="O11" s="283" t="str">
        <f t="shared" si="3"/>
        <v>-</v>
      </c>
      <c r="P11" s="283" t="str">
        <f t="shared" si="4"/>
        <v>-</v>
      </c>
      <c r="Q11" s="283" t="str">
        <f t="shared" si="5"/>
        <v>-</v>
      </c>
      <c r="R11" s="283" t="str">
        <f t="shared" si="6"/>
        <v>-</v>
      </c>
      <c r="S11" s="283" t="str">
        <f t="shared" si="7"/>
        <v>-</v>
      </c>
      <c r="T11" s="283" t="str">
        <f t="shared" si="8"/>
        <v>-</v>
      </c>
      <c r="U11" s="283" t="str">
        <f t="shared" si="9"/>
        <v>-</v>
      </c>
      <c r="V11" s="283" t="str">
        <f t="shared" si="10"/>
        <v>-</v>
      </c>
      <c r="W11" s="1" t="str">
        <f t="shared" si="11"/>
        <v>https://data.amsterdam.nl/datasets/z4sOEZdwV-BcYg/kerncijfers-amsterdam/</v>
      </c>
      <c r="X11" s="1" t="str">
        <f t="shared" si="12"/>
        <v>https://data.amsterdam.nl/</v>
      </c>
      <c r="Y11" s="1" t="str">
        <f t="shared" si="13"/>
        <v>優先3</v>
      </c>
      <c r="Z11" s="1" t="str">
        <f t="shared" si="14"/>
        <v>Gemeente Amsterdam. "Kerncijfers Amsterdam". Accessed 12 May, 2023. https://data.amsterdam.nl/.</v>
      </c>
    </row>
    <row r="12" spans="1:26">
      <c r="B12" s="285" t="s">
        <v>677</v>
      </c>
      <c r="C12" s="285" t="s">
        <v>464</v>
      </c>
      <c r="D12" s="285" t="s">
        <v>673</v>
      </c>
      <c r="E12" s="285" t="s">
        <v>116</v>
      </c>
      <c r="F12" s="13" t="s">
        <v>853</v>
      </c>
      <c r="G12" s="13" t="s">
        <v>730</v>
      </c>
      <c r="H12" s="13"/>
      <c r="I12" s="13" t="s">
        <v>3610</v>
      </c>
      <c r="J12" s="13" t="s">
        <v>3611</v>
      </c>
      <c r="K12" s="284">
        <v>45058</v>
      </c>
      <c r="L12" s="283" t="str">
        <f t="shared" si="0"/>
        <v>-</v>
      </c>
      <c r="M12" s="283" t="str">
        <f t="shared" si="1"/>
        <v>-</v>
      </c>
      <c r="N12" s="283" t="str">
        <f t="shared" si="2"/>
        <v>-</v>
      </c>
      <c r="O12" s="283" t="str">
        <f t="shared" si="3"/>
        <v>-</v>
      </c>
      <c r="P12" s="283" t="str">
        <f t="shared" si="4"/>
        <v>-</v>
      </c>
      <c r="Q12" s="283" t="str">
        <f t="shared" si="5"/>
        <v>-</v>
      </c>
      <c r="R12" s="283" t="str">
        <f t="shared" si="6"/>
        <v>-</v>
      </c>
      <c r="S12" s="283" t="str">
        <f t="shared" si="7"/>
        <v>-</v>
      </c>
      <c r="T12" s="283" t="str">
        <f t="shared" si="8"/>
        <v>-</v>
      </c>
      <c r="U12" s="283" t="str">
        <f t="shared" si="9"/>
        <v>-</v>
      </c>
      <c r="V12" s="283" t="str">
        <f t="shared" si="10"/>
        <v>-</v>
      </c>
      <c r="W12" s="1" t="str">
        <f t="shared" si="11"/>
        <v>https://statistique.ge.ch/communes/commune.asp?commune=21/</v>
      </c>
      <c r="X12" s="1" t="str">
        <f t="shared" si="12"/>
        <v>https://statistique.ge.ch/</v>
      </c>
      <c r="Y12" s="1" t="str">
        <f t="shared" si="13"/>
        <v>優先3</v>
      </c>
      <c r="Z12" s="1" t="str">
        <f t="shared" si="14"/>
        <v>Office Cantonal de la Statistique, République et Canton de Genève. "Statistiques cantonales - Portrait statistique des communes genevoises". Accessed 12 May, 2023. https://statistique.ge.ch/.</v>
      </c>
    </row>
    <row r="13" spans="1:26">
      <c r="B13" s="285" t="s">
        <v>677</v>
      </c>
      <c r="C13" s="285" t="s">
        <v>464</v>
      </c>
      <c r="D13" s="285" t="s">
        <v>673</v>
      </c>
      <c r="E13" s="285" t="s">
        <v>118</v>
      </c>
      <c r="F13" s="13"/>
      <c r="G13" s="13" t="s">
        <v>755</v>
      </c>
      <c r="H13" s="13"/>
      <c r="I13" s="13" t="s">
        <v>902</v>
      </c>
      <c r="J13" s="13" t="s">
        <v>1335</v>
      </c>
      <c r="K13" s="284">
        <v>45058</v>
      </c>
      <c r="L13" s="283" t="str">
        <f t="shared" si="0"/>
        <v>-</v>
      </c>
      <c r="M13" s="283" t="str">
        <f t="shared" si="1"/>
        <v>-</v>
      </c>
      <c r="N13" s="283" t="str">
        <f t="shared" si="2"/>
        <v>-</v>
      </c>
      <c r="O13" s="283" t="str">
        <f t="shared" si="3"/>
        <v>-</v>
      </c>
      <c r="P13" s="283" t="str">
        <f t="shared" si="4"/>
        <v>-</v>
      </c>
      <c r="Q13" s="283" t="str">
        <f t="shared" si="5"/>
        <v>-</v>
      </c>
      <c r="R13" s="283" t="str">
        <f t="shared" si="6"/>
        <v>-</v>
      </c>
      <c r="S13" s="283" t="str">
        <f t="shared" si="7"/>
        <v>-</v>
      </c>
      <c r="T13" s="283" t="str">
        <f t="shared" si="8"/>
        <v>-</v>
      </c>
      <c r="U13" s="283" t="str">
        <f t="shared" si="9"/>
        <v>-</v>
      </c>
      <c r="V13" s="283" t="str">
        <f t="shared" si="10"/>
        <v>-</v>
      </c>
      <c r="W13" s="1" t="str">
        <f t="shared" si="11"/>
        <v>https://frankfurt.de/service-und-rathaus/zahlen-daten-fakten/themen/bevoelkerung/</v>
      </c>
      <c r="X13" s="1" t="str">
        <f t="shared" si="12"/>
        <v>https://frankfurt.de/</v>
      </c>
      <c r="Y13" s="1" t="str">
        <f t="shared" si="13"/>
        <v>優先3</v>
      </c>
      <c r="Z13" s="1" t="str">
        <f t="shared" si="14"/>
        <v>Stadt Frankfurt am Main. "Frankfurt Statistik Aktuell (FSA)". Accessed 12 May, 2023. https://frankfurt.de/.</v>
      </c>
    </row>
    <row r="14" spans="1:26">
      <c r="B14" s="285" t="s">
        <v>677</v>
      </c>
      <c r="C14" s="285" t="s">
        <v>464</v>
      </c>
      <c r="D14" s="285" t="s">
        <v>673</v>
      </c>
      <c r="E14" s="285" t="s">
        <v>120</v>
      </c>
      <c r="F14" s="13" t="s">
        <v>874</v>
      </c>
      <c r="G14" s="13"/>
      <c r="H14" s="13"/>
      <c r="I14" s="13" t="s">
        <v>3612</v>
      </c>
      <c r="J14" s="13" t="s">
        <v>3613</v>
      </c>
      <c r="K14" s="284">
        <v>45058</v>
      </c>
      <c r="L14" s="283" t="str">
        <f t="shared" si="0"/>
        <v>-</v>
      </c>
      <c r="M14" s="283" t="str">
        <f t="shared" si="1"/>
        <v>-</v>
      </c>
      <c r="N14" s="283" t="str">
        <f t="shared" si="2"/>
        <v>-</v>
      </c>
      <c r="O14" s="283" t="str">
        <f t="shared" si="3"/>
        <v>-</v>
      </c>
      <c r="P14" s="283" t="str">
        <f t="shared" si="4"/>
        <v>-</v>
      </c>
      <c r="Q14" s="283" t="str">
        <f t="shared" si="5"/>
        <v>-</v>
      </c>
      <c r="R14" s="283" t="str">
        <f t="shared" si="6"/>
        <v>-</v>
      </c>
      <c r="S14" s="283" t="str">
        <f t="shared" si="7"/>
        <v>-</v>
      </c>
      <c r="T14" s="283" t="str">
        <f t="shared" si="8"/>
        <v>-</v>
      </c>
      <c r="U14" s="283" t="str">
        <f t="shared" si="9"/>
        <v>-</v>
      </c>
      <c r="V14" s="283" t="str">
        <f t="shared" si="10"/>
        <v>-</v>
      </c>
      <c r="W14" s="1" t="str">
        <f t="shared" si="11"/>
        <v>https://www.statistik-berlin-brandenburg.de/a-i-3-j/</v>
      </c>
      <c r="X14" s="1" t="str">
        <f t="shared" si="12"/>
        <v>https://www.statistik-berlin-brandenburg.de/</v>
      </c>
      <c r="Y14" s="1" t="str">
        <f t="shared" si="13"/>
        <v>優先3</v>
      </c>
      <c r="Z14" s="1" t="str">
        <f t="shared" si="14"/>
        <v>Amt für Statistik Berlin-Brandenburg. "Bevölkerungsentwicklung in Berlin". Accessed 12 May, 2023. https://www.statistik-berlin-brandenburg.de/.</v>
      </c>
    </row>
    <row r="15" spans="1:26">
      <c r="B15" s="285" t="s">
        <v>677</v>
      </c>
      <c r="C15" s="285" t="s">
        <v>464</v>
      </c>
      <c r="D15" s="285" t="s">
        <v>673</v>
      </c>
      <c r="E15" s="285" t="s">
        <v>122</v>
      </c>
      <c r="F15" s="13" t="s">
        <v>1028</v>
      </c>
      <c r="G15" s="13"/>
      <c r="H15" s="13"/>
      <c r="I15" s="13" t="s">
        <v>3991</v>
      </c>
      <c r="J15" s="13" t="s">
        <v>1123</v>
      </c>
      <c r="K15" s="284">
        <v>45058</v>
      </c>
      <c r="L15" s="283" t="str">
        <f t="shared" si="0"/>
        <v>-</v>
      </c>
      <c r="M15" s="283" t="str">
        <f t="shared" si="1"/>
        <v>-</v>
      </c>
      <c r="N15" s="283" t="str">
        <f t="shared" si="2"/>
        <v>-</v>
      </c>
      <c r="O15" s="283" t="str">
        <f t="shared" si="3"/>
        <v>-</v>
      </c>
      <c r="P15" s="283" t="str">
        <f t="shared" si="4"/>
        <v>-</v>
      </c>
      <c r="Q15" s="283" t="str">
        <f t="shared" si="5"/>
        <v>-</v>
      </c>
      <c r="R15" s="283" t="str">
        <f t="shared" si="6"/>
        <v>-</v>
      </c>
      <c r="S15" s="283" t="str">
        <f t="shared" si="7"/>
        <v>-</v>
      </c>
      <c r="T15" s="283" t="str">
        <f t="shared" si="8"/>
        <v>-</v>
      </c>
      <c r="U15" s="283" t="str">
        <f t="shared" si="9"/>
        <v>-</v>
      </c>
      <c r="V15" s="283" t="str">
        <f t="shared" si="10"/>
        <v>NG</v>
      </c>
      <c r="W15" s="1" t="str">
        <f t="shared" si="11"/>
        <v>https://www.comune.milano.it/aree-tematiche/dati-statistici/pubblicazioni/popolazione-residente-a-milano/</v>
      </c>
      <c r="X15" s="1" t="str">
        <f t="shared" si="12"/>
        <v>https://www.comune.milano.it/</v>
      </c>
      <c r="Y15" s="1" t="str">
        <f t="shared" si="13"/>
        <v>優先3</v>
      </c>
      <c r="Z15" s="1" t="str">
        <f t="shared" si="14"/>
        <v>Comune di Milano . "Popolazione residente: classi di età, municipi e genere 2022". Accessed 12 May, 2023. https://www.comune.milano.it/.</v>
      </c>
    </row>
    <row r="16" spans="1:26">
      <c r="B16" s="285" t="s">
        <v>677</v>
      </c>
      <c r="C16" s="285" t="s">
        <v>464</v>
      </c>
      <c r="D16" s="285" t="s">
        <v>673</v>
      </c>
      <c r="E16" s="285" t="s">
        <v>124</v>
      </c>
      <c r="F16" s="13"/>
      <c r="G16" s="13" t="s">
        <v>1124</v>
      </c>
      <c r="H16" s="13"/>
      <c r="I16" s="13" t="s">
        <v>2580</v>
      </c>
      <c r="J16" s="13" t="s">
        <v>3992</v>
      </c>
      <c r="K16" s="284">
        <v>45058</v>
      </c>
      <c r="L16" s="283" t="str">
        <f t="shared" si="0"/>
        <v>-</v>
      </c>
      <c r="M16" s="283" t="str">
        <f t="shared" si="1"/>
        <v>-</v>
      </c>
      <c r="N16" s="283" t="str">
        <f t="shared" si="2"/>
        <v>-</v>
      </c>
      <c r="O16" s="283" t="str">
        <f t="shared" si="3"/>
        <v>-</v>
      </c>
      <c r="P16" s="283" t="str">
        <f t="shared" si="4"/>
        <v>-</v>
      </c>
      <c r="Q16" s="283" t="str">
        <f t="shared" si="5"/>
        <v>-</v>
      </c>
      <c r="R16" s="283" t="str">
        <f t="shared" si="6"/>
        <v>-</v>
      </c>
      <c r="S16" s="283" t="str">
        <f t="shared" si="7"/>
        <v>-</v>
      </c>
      <c r="T16" s="283" t="str">
        <f t="shared" si="8"/>
        <v>-</v>
      </c>
      <c r="U16" s="283" t="str">
        <f t="shared" si="9"/>
        <v>-</v>
      </c>
      <c r="V16" s="283" t="str">
        <f t="shared" si="10"/>
        <v>NG</v>
      </c>
      <c r="W16" s="1" t="str">
        <f t="shared" si="11"/>
        <v>https://www.stadt-zuerich.ch/prd/de/index/statistik/themen/bevoelkerung/bevoelkerungsentwicklung/aktueller-bevoelkerungsbestand.html/</v>
      </c>
      <c r="X16" s="1" t="str">
        <f t="shared" si="12"/>
        <v>https://www.stadt-zuerich.ch/</v>
      </c>
      <c r="Y16" s="1" t="str">
        <f t="shared" si="13"/>
        <v>優先3</v>
      </c>
      <c r="Z16" s="1" t="str">
        <f t="shared" si="14"/>
        <v>City of Zurich. "Bevölkerung - Monatsdaten ". Accessed 12 May, 2023. https://www.stadt-zuerich.ch/.</v>
      </c>
    </row>
    <row r="17" spans="2:26">
      <c r="B17" s="285" t="s">
        <v>677</v>
      </c>
      <c r="C17" s="285" t="s">
        <v>464</v>
      </c>
      <c r="D17" s="285" t="s">
        <v>673</v>
      </c>
      <c r="E17" s="285" t="s">
        <v>126</v>
      </c>
      <c r="F17" s="13" t="s">
        <v>1000</v>
      </c>
      <c r="G17" s="13"/>
      <c r="H17" s="13"/>
      <c r="I17" s="13" t="s">
        <v>3993</v>
      </c>
      <c r="J17" s="13" t="s">
        <v>3614</v>
      </c>
      <c r="K17" s="284">
        <v>45058</v>
      </c>
      <c r="L17" s="283" t="str">
        <f t="shared" si="0"/>
        <v>-</v>
      </c>
      <c r="M17" s="283" t="str">
        <f t="shared" si="1"/>
        <v>-</v>
      </c>
      <c r="N17" s="283" t="str">
        <f t="shared" si="2"/>
        <v>-</v>
      </c>
      <c r="O17" s="283" t="str">
        <f t="shared" si="3"/>
        <v>-</v>
      </c>
      <c r="P17" s="283" t="str">
        <f t="shared" si="4"/>
        <v>-</v>
      </c>
      <c r="Q17" s="283" t="str">
        <f t="shared" si="5"/>
        <v>-</v>
      </c>
      <c r="R17" s="283" t="str">
        <f t="shared" si="6"/>
        <v>-</v>
      </c>
      <c r="S17" s="283" t="str">
        <f t="shared" si="7"/>
        <v>-</v>
      </c>
      <c r="T17" s="283" t="str">
        <f t="shared" si="8"/>
        <v>-</v>
      </c>
      <c r="U17" s="283" t="str">
        <f t="shared" si="9"/>
        <v>-</v>
      </c>
      <c r="V17" s="283" t="str">
        <f t="shared" si="10"/>
        <v>-</v>
      </c>
      <c r="W17" s="1" t="str">
        <f t="shared" si="11"/>
        <v>https://www.dst.dk/en/Statistik/emner/borgere/befolkning/befolkningstal/</v>
      </c>
      <c r="X17" s="1" t="str">
        <f t="shared" si="12"/>
        <v>https://www.dst.dk/</v>
      </c>
      <c r="Y17" s="1" t="str">
        <f t="shared" si="13"/>
        <v>優先3</v>
      </c>
      <c r="Z17" s="1" t="str">
        <f t="shared" si="14"/>
        <v>Danmarks Statistik. "Population at the first day of the quarter by time and region". Accessed 12 May, 2023. https://www.dst.dk/.</v>
      </c>
    </row>
    <row r="18" spans="2:26">
      <c r="B18" s="285" t="s">
        <v>677</v>
      </c>
      <c r="C18" s="285" t="s">
        <v>464</v>
      </c>
      <c r="D18" s="285" t="s">
        <v>673</v>
      </c>
      <c r="E18" s="285" t="s">
        <v>128</v>
      </c>
      <c r="F18" s="13" t="s">
        <v>999</v>
      </c>
      <c r="G18" s="13"/>
      <c r="H18" s="13"/>
      <c r="I18" s="13" t="s">
        <v>3994</v>
      </c>
      <c r="J18" s="13" t="s">
        <v>3995</v>
      </c>
      <c r="K18" s="284">
        <v>45058</v>
      </c>
      <c r="L18" s="283" t="str">
        <f t="shared" si="0"/>
        <v>-</v>
      </c>
      <c r="M18" s="283" t="str">
        <f t="shared" si="1"/>
        <v>-</v>
      </c>
      <c r="N18" s="283" t="str">
        <f t="shared" si="2"/>
        <v>-</v>
      </c>
      <c r="O18" s="283" t="str">
        <f t="shared" si="3"/>
        <v>-</v>
      </c>
      <c r="P18" s="283" t="str">
        <f t="shared" si="4"/>
        <v>-</v>
      </c>
      <c r="Q18" s="283" t="str">
        <f t="shared" si="5"/>
        <v>NG</v>
      </c>
      <c r="R18" s="283" t="str">
        <f t="shared" si="6"/>
        <v>-</v>
      </c>
      <c r="S18" s="283" t="str">
        <f t="shared" si="7"/>
        <v>-</v>
      </c>
      <c r="T18" s="283" t="str">
        <f t="shared" si="8"/>
        <v>-</v>
      </c>
      <c r="U18" s="283" t="str">
        <f t="shared" si="9"/>
        <v>-</v>
      </c>
      <c r="V18" s="283" t="str">
        <f t="shared" si="10"/>
        <v>NG</v>
      </c>
      <c r="W18" s="1" t="str">
        <f t="shared" si="11"/>
        <v>https://www.statistik.at/statistiken/bevoelkerung-und-soziales/bevoelkerung/bevoelkerungsstand/bevoelkerung-zu-jahres-/-quartalsanfang/</v>
      </c>
      <c r="X18" s="1" t="str">
        <f t="shared" si="12"/>
        <v>https://www.statistik.at/</v>
      </c>
      <c r="Y18" s="1" t="str">
        <f t="shared" si="13"/>
        <v>優先3</v>
      </c>
      <c r="Z18" s="1" t="str">
        <f t="shared" si="14"/>
        <v>Statistik Austria. "Bevölkerung zu Jahres und Quartalsbeginn 01.01.2018–01.01.2023 nach Bundesland (Tabelle)  ". Accessed 12 May, 2023. https://www.statistik.at/.</v>
      </c>
    </row>
    <row r="19" spans="2:26">
      <c r="B19" s="285" t="s">
        <v>677</v>
      </c>
      <c r="C19" s="285" t="s">
        <v>464</v>
      </c>
      <c r="D19" s="285" t="s">
        <v>673</v>
      </c>
      <c r="E19" s="285" t="s">
        <v>130</v>
      </c>
      <c r="F19" s="13" t="s">
        <v>899</v>
      </c>
      <c r="G19" s="13" t="s">
        <v>898</v>
      </c>
      <c r="H19" s="13"/>
      <c r="I19" s="13" t="s">
        <v>2581</v>
      </c>
      <c r="J19" s="13" t="s">
        <v>2582</v>
      </c>
      <c r="K19" s="284">
        <v>45058</v>
      </c>
      <c r="L19" s="283" t="str">
        <f t="shared" si="0"/>
        <v>-</v>
      </c>
      <c r="M19" s="283" t="str">
        <f t="shared" si="1"/>
        <v>-</v>
      </c>
      <c r="N19" s="283" t="str">
        <f t="shared" si="2"/>
        <v>-</v>
      </c>
      <c r="O19" s="283" t="str">
        <f t="shared" si="3"/>
        <v>-</v>
      </c>
      <c r="P19" s="283" t="str">
        <f t="shared" si="4"/>
        <v>-</v>
      </c>
      <c r="Q19" s="283" t="str">
        <f t="shared" si="5"/>
        <v>-</v>
      </c>
      <c r="R19" s="283" t="str">
        <f t="shared" si="6"/>
        <v>-</v>
      </c>
      <c r="S19" s="283" t="str">
        <f t="shared" si="7"/>
        <v>-</v>
      </c>
      <c r="T19" s="283" t="str">
        <f t="shared" si="8"/>
        <v>-</v>
      </c>
      <c r="U19" s="283" t="str">
        <f t="shared" si="9"/>
        <v>-</v>
      </c>
      <c r="V19" s="283" t="str">
        <f t="shared" si="10"/>
        <v>-</v>
      </c>
      <c r="W19" s="1" t="str">
        <f t="shared" si="11"/>
        <v>http://www.statistikdatabasen.scb.se/pxweb/en/ssd/START__BE__BE0101__BE0101C/BefArealTathetKon/table/tableViewLayout1/</v>
      </c>
      <c r="X19" s="1" t="str">
        <f t="shared" si="12"/>
        <v>http://www.statistikdatabasen.scb.se/</v>
      </c>
      <c r="Y19" s="1" t="str">
        <f t="shared" si="13"/>
        <v>優先3</v>
      </c>
      <c r="Z19" s="1" t="str">
        <f t="shared" si="14"/>
        <v>Statistiska centralbyrån, Kingdom of Sweden. "Population density per sq. km by region, sex, observations and year". Accessed 12 May, 2023. http://www.statistikdatabasen.scb.se/.</v>
      </c>
    </row>
    <row r="20" spans="2:26">
      <c r="B20" s="285" t="s">
        <v>677</v>
      </c>
      <c r="C20" s="285" t="s">
        <v>464</v>
      </c>
      <c r="D20" s="285" t="s">
        <v>673</v>
      </c>
      <c r="E20" s="285" t="s">
        <v>132</v>
      </c>
      <c r="F20" s="13" t="s">
        <v>846</v>
      </c>
      <c r="G20" s="13"/>
      <c r="H20" s="13"/>
      <c r="I20" s="13" t="s">
        <v>3996</v>
      </c>
      <c r="J20" s="13" t="s">
        <v>3615</v>
      </c>
      <c r="K20" s="284">
        <v>45058</v>
      </c>
      <c r="L20" s="283" t="str">
        <f t="shared" si="0"/>
        <v>-</v>
      </c>
      <c r="M20" s="283" t="str">
        <f t="shared" si="1"/>
        <v>-</v>
      </c>
      <c r="N20" s="283" t="str">
        <f t="shared" si="2"/>
        <v>-</v>
      </c>
      <c r="O20" s="283" t="str">
        <f t="shared" si="3"/>
        <v>-</v>
      </c>
      <c r="P20" s="283" t="str">
        <f t="shared" si="4"/>
        <v>-</v>
      </c>
      <c r="Q20" s="283" t="str">
        <f t="shared" si="5"/>
        <v>-</v>
      </c>
      <c r="R20" s="283" t="str">
        <f t="shared" si="6"/>
        <v>-</v>
      </c>
      <c r="S20" s="283" t="str">
        <f t="shared" si="7"/>
        <v>-</v>
      </c>
      <c r="T20" s="283" t="str">
        <f t="shared" si="8"/>
        <v>-</v>
      </c>
      <c r="U20" s="283" t="str">
        <f t="shared" si="9"/>
        <v>-</v>
      </c>
      <c r="V20" s="283" t="str">
        <f t="shared" si="10"/>
        <v>-</v>
      </c>
      <c r="W20" s="1" t="str">
        <f t="shared" si="11"/>
        <v>https://data.tuik.gov.tr/Kategori/GetKategori?p=Population-and-Demography-109/</v>
      </c>
      <c r="X20" s="1" t="str">
        <f t="shared" si="12"/>
        <v>https://data.tuik.gov.tr/</v>
      </c>
      <c r="Y20" s="1" t="str">
        <f t="shared" si="13"/>
        <v>優先3</v>
      </c>
      <c r="Z20" s="1" t="str">
        <f t="shared" si="14"/>
        <v>Türkiye İstatistik Kurumu. "Population of province/district centers and towns/villages by province and sex, population density by province, 2007-2022". Accessed 12 May, 2023. https://data.tuik.gov.tr/.</v>
      </c>
    </row>
    <row r="21" spans="2:26">
      <c r="B21" s="285" t="s">
        <v>677</v>
      </c>
      <c r="C21" s="285" t="s">
        <v>464</v>
      </c>
      <c r="D21" s="285" t="s">
        <v>673</v>
      </c>
      <c r="E21" s="285" t="s">
        <v>134</v>
      </c>
      <c r="F21" s="13" t="s">
        <v>1018</v>
      </c>
      <c r="G21" s="13" t="s">
        <v>844</v>
      </c>
      <c r="H21" s="13"/>
      <c r="I21" s="13" t="s">
        <v>998</v>
      </c>
      <c r="J21" s="13" t="s">
        <v>2583</v>
      </c>
      <c r="K21" s="284">
        <v>45058</v>
      </c>
      <c r="L21" s="283" t="str">
        <f t="shared" si="0"/>
        <v>-</v>
      </c>
      <c r="M21" s="283" t="str">
        <f t="shared" si="1"/>
        <v>-</v>
      </c>
      <c r="N21" s="283" t="str">
        <f t="shared" si="2"/>
        <v>-</v>
      </c>
      <c r="O21" s="283" t="str">
        <f t="shared" si="3"/>
        <v>-</v>
      </c>
      <c r="P21" s="283" t="str">
        <f t="shared" si="4"/>
        <v>-</v>
      </c>
      <c r="Q21" s="283" t="str">
        <f t="shared" si="5"/>
        <v>-</v>
      </c>
      <c r="R21" s="283" t="str">
        <f t="shared" si="6"/>
        <v>-</v>
      </c>
      <c r="S21" s="283" t="str">
        <f t="shared" si="7"/>
        <v>-</v>
      </c>
      <c r="T21" s="283" t="str">
        <f t="shared" si="8"/>
        <v>-</v>
      </c>
      <c r="U21" s="283" t="str">
        <f t="shared" si="9"/>
        <v>-</v>
      </c>
      <c r="V21" s="283" t="str">
        <f t="shared" si="10"/>
        <v>-</v>
      </c>
      <c r="W21" s="1" t="str">
        <f t="shared" si="11"/>
        <v>https://www.capmas.gov.eg/Pages/StaticPages.aspx?page_id=5035/</v>
      </c>
      <c r="X21" s="1" t="str">
        <f t="shared" si="12"/>
        <v>https://www.capmas.gov.eg/</v>
      </c>
      <c r="Y21" s="1" t="str">
        <f t="shared" si="13"/>
        <v>優先3</v>
      </c>
      <c r="Z21" s="1" t="str">
        <f t="shared" si="14"/>
        <v>Central Agency for Public Mobilization and Statistics, Arab Republic of Egypt. "Egypt in Figures". Accessed 12 May, 2023. https://www.capmas.gov.eg/.</v>
      </c>
    </row>
    <row r="22" spans="2:26">
      <c r="B22" s="285" t="s">
        <v>677</v>
      </c>
      <c r="C22" s="285" t="s">
        <v>464</v>
      </c>
      <c r="D22" s="285" t="s">
        <v>673</v>
      </c>
      <c r="E22" s="285" t="s">
        <v>136</v>
      </c>
      <c r="F22" s="13" t="s">
        <v>1026</v>
      </c>
      <c r="G22" s="13"/>
      <c r="H22" s="13"/>
      <c r="I22" s="13" t="s">
        <v>3997</v>
      </c>
      <c r="J22" s="13" t="s">
        <v>1125</v>
      </c>
      <c r="K22" s="284">
        <v>45061</v>
      </c>
      <c r="L22" s="283" t="str">
        <f t="shared" si="0"/>
        <v>-</v>
      </c>
      <c r="M22" s="283" t="str">
        <f t="shared" si="1"/>
        <v>-</v>
      </c>
      <c r="N22" s="283" t="str">
        <f t="shared" si="2"/>
        <v>-</v>
      </c>
      <c r="O22" s="283" t="str">
        <f t="shared" si="3"/>
        <v>-</v>
      </c>
      <c r="P22" s="283" t="str">
        <f t="shared" si="4"/>
        <v>-</v>
      </c>
      <c r="Q22" s="283" t="str">
        <f t="shared" si="5"/>
        <v>-</v>
      </c>
      <c r="R22" s="283" t="str">
        <f t="shared" si="6"/>
        <v>-</v>
      </c>
      <c r="S22" s="283" t="str">
        <f t="shared" si="7"/>
        <v>-</v>
      </c>
      <c r="T22" s="283" t="str">
        <f t="shared" si="8"/>
        <v>-</v>
      </c>
      <c r="U22" s="283" t="str">
        <f t="shared" si="9"/>
        <v>-</v>
      </c>
      <c r="V22" s="283" t="str">
        <f t="shared" si="10"/>
        <v>-</v>
      </c>
      <c r="W22" s="1" t="str">
        <f t="shared" si="11"/>
        <v>https://gks.ru/folder/12781/</v>
      </c>
      <c r="X22" s="1" t="str">
        <f t="shared" si="12"/>
        <v>https://gks.ru/</v>
      </c>
      <c r="Y22" s="1" t="str">
        <f t="shared" si="13"/>
        <v>優先3</v>
      </c>
      <c r="Z22" s="1" t="str">
        <f t="shared" si="14"/>
        <v>Federal State Statistics Service for the Moscow Region. "Оценка численности постоянного населения на 1 января 2023 г. и в среднем за 2022 г. и компоненты ее изменения (с учётом итогов Всероссийской переписи населения 2020 г.)". Accessed 15 May, 2023. https://gks.ru/.</v>
      </c>
    </row>
    <row r="23" spans="2:26">
      <c r="B23" s="285" t="s">
        <v>677</v>
      </c>
      <c r="C23" s="285" t="s">
        <v>464</v>
      </c>
      <c r="D23" s="285" t="s">
        <v>673</v>
      </c>
      <c r="E23" s="285" t="s">
        <v>138</v>
      </c>
      <c r="F23" s="13" t="s">
        <v>1019</v>
      </c>
      <c r="G23" s="13" t="s">
        <v>746</v>
      </c>
      <c r="H23" s="13"/>
      <c r="I23" s="13" t="s">
        <v>997</v>
      </c>
      <c r="J23" s="13" t="s">
        <v>3998</v>
      </c>
      <c r="K23" s="284">
        <v>45061</v>
      </c>
      <c r="L23" s="283" t="str">
        <f t="shared" si="0"/>
        <v>-</v>
      </c>
      <c r="M23" s="283" t="str">
        <f t="shared" si="1"/>
        <v>-</v>
      </c>
      <c r="N23" s="283" t="str">
        <f t="shared" si="2"/>
        <v>-</v>
      </c>
      <c r="O23" s="283" t="str">
        <f t="shared" si="3"/>
        <v>-</v>
      </c>
      <c r="P23" s="283" t="str">
        <f t="shared" si="4"/>
        <v>-</v>
      </c>
      <c r="Q23" s="283" t="str">
        <f t="shared" si="5"/>
        <v>-</v>
      </c>
      <c r="R23" s="283" t="str">
        <f t="shared" si="6"/>
        <v>-</v>
      </c>
      <c r="S23" s="283" t="str">
        <f t="shared" si="7"/>
        <v>-</v>
      </c>
      <c r="T23" s="283" t="str">
        <f t="shared" si="8"/>
        <v>-</v>
      </c>
      <c r="U23" s="283" t="str">
        <f t="shared" si="9"/>
        <v>-</v>
      </c>
      <c r="V23" s="283" t="str">
        <f t="shared" si="10"/>
        <v>-</v>
      </c>
      <c r="W23" s="1" t="str">
        <f t="shared" si="11"/>
        <v>https://censusindia.gov.in/census.website/data/census-tables#/</v>
      </c>
      <c r="X23" s="1" t="str">
        <f t="shared" si="12"/>
        <v>https://censusindia.gov.in/</v>
      </c>
      <c r="Y23" s="1" t="str">
        <f t="shared" si="13"/>
        <v>優先3</v>
      </c>
      <c r="Z23" s="1" t="str">
        <f t="shared" si="14"/>
        <v>Office of the Registrar General &amp; Census Commissioner, Ministry of Home Affairs, Government of India. "Census of India 2011". Accessed 15 May, 2023. https://censusindia.gov.in/.</v>
      </c>
    </row>
    <row r="24" spans="2:26">
      <c r="B24" s="285" t="s">
        <v>677</v>
      </c>
      <c r="C24" s="285" t="s">
        <v>464</v>
      </c>
      <c r="D24" s="285" t="s">
        <v>673</v>
      </c>
      <c r="E24" s="285" t="s">
        <v>140</v>
      </c>
      <c r="F24" s="13" t="s">
        <v>2600</v>
      </c>
      <c r="G24" s="13" t="s">
        <v>841</v>
      </c>
      <c r="H24" s="13"/>
      <c r="I24" s="13" t="s">
        <v>3616</v>
      </c>
      <c r="J24" s="13" t="s">
        <v>3617</v>
      </c>
      <c r="K24" s="284">
        <v>45061</v>
      </c>
      <c r="L24" s="283" t="str">
        <f t="shared" si="0"/>
        <v>-</v>
      </c>
      <c r="M24" s="283" t="str">
        <f t="shared" si="1"/>
        <v>-</v>
      </c>
      <c r="N24" s="283" t="str">
        <f t="shared" si="2"/>
        <v>NG</v>
      </c>
      <c r="O24" s="283" t="str">
        <f t="shared" si="3"/>
        <v>-</v>
      </c>
      <c r="P24" s="283" t="str">
        <f t="shared" si="4"/>
        <v>-</v>
      </c>
      <c r="Q24" s="283" t="str">
        <f t="shared" si="5"/>
        <v>-</v>
      </c>
      <c r="R24" s="283" t="str">
        <f t="shared" si="6"/>
        <v>-</v>
      </c>
      <c r="S24" s="283" t="str">
        <f t="shared" si="7"/>
        <v>-</v>
      </c>
      <c r="T24" s="283" t="str">
        <f t="shared" si="8"/>
        <v>NG</v>
      </c>
      <c r="U24" s="283" t="str">
        <f t="shared" si="9"/>
        <v>-</v>
      </c>
      <c r="V24" s="283" t="str">
        <f t="shared" si="10"/>
        <v>-</v>
      </c>
      <c r="W24" s="1" t="str">
        <f t="shared" si="11"/>
        <v>http://www.nso.go.th/sites/2014en/Pages/Household-Basic-Information-Survey-2018.aspx/</v>
      </c>
      <c r="X24" s="1" t="str">
        <f t="shared" si="12"/>
        <v>http://www.nso.go.th/</v>
      </c>
      <c r="Y24" s="1" t="str">
        <f t="shared" si="13"/>
        <v>優先3</v>
      </c>
      <c r="Z24" s="1" t="str">
        <f t="shared" si="14"/>
        <v>National Statistical Office(NSO), Kingdom of Thailand. "​​​Household Basic Information Survey 2020". Accessed 15 May, 2023. http://www.nso.go.th/.</v>
      </c>
    </row>
    <row r="25" spans="2:26">
      <c r="B25" s="285" t="s">
        <v>677</v>
      </c>
      <c r="C25" s="285" t="s">
        <v>464</v>
      </c>
      <c r="D25" s="285" t="s">
        <v>673</v>
      </c>
      <c r="E25" s="285" t="s">
        <v>142</v>
      </c>
      <c r="F25" s="13" t="s">
        <v>818</v>
      </c>
      <c r="G25" s="13" t="s">
        <v>298</v>
      </c>
      <c r="H25" s="13"/>
      <c r="I25" s="13" t="s">
        <v>3618</v>
      </c>
      <c r="J25" s="13" t="s">
        <v>3999</v>
      </c>
      <c r="K25" s="284">
        <v>45061</v>
      </c>
      <c r="L25" s="283" t="str">
        <f t="shared" si="0"/>
        <v>-</v>
      </c>
      <c r="M25" s="283" t="str">
        <f t="shared" si="1"/>
        <v>-</v>
      </c>
      <c r="N25" s="283" t="str">
        <f t="shared" si="2"/>
        <v>-</v>
      </c>
      <c r="O25" s="283" t="str">
        <f t="shared" si="3"/>
        <v>-</v>
      </c>
      <c r="P25" s="283" t="str">
        <f t="shared" si="4"/>
        <v>-</v>
      </c>
      <c r="Q25" s="283" t="str">
        <f t="shared" si="5"/>
        <v>-</v>
      </c>
      <c r="R25" s="283" t="str">
        <f t="shared" si="6"/>
        <v>-</v>
      </c>
      <c r="S25" s="283" t="str">
        <f t="shared" si="7"/>
        <v>-</v>
      </c>
      <c r="T25" s="283" t="str">
        <f t="shared" si="8"/>
        <v>-</v>
      </c>
      <c r="U25" s="283" t="str">
        <f t="shared" si="9"/>
        <v>-</v>
      </c>
      <c r="V25" s="283" t="str">
        <f t="shared" si="10"/>
        <v>-</v>
      </c>
      <c r="W25" s="1" t="str">
        <f t="shared" si="11"/>
        <v>https://pqi.stats.gov.my/searchBI.php?tahun=2022&amp;kodData=2&amp;kodJadual=1&amp;kodCiri=2&amp;kodNegeri=14/</v>
      </c>
      <c r="X25" s="1" t="str">
        <f t="shared" si="12"/>
        <v>https://pqi.stats.gov.my/</v>
      </c>
      <c r="Y25" s="1" t="str">
        <f t="shared" si="13"/>
        <v>優先3</v>
      </c>
      <c r="Z25" s="1" t="str">
        <f t="shared" si="14"/>
        <v>Department of Statistics, Malaysia. "POPULATION QUICK INFO". Accessed 15 May, 2023. https://pqi.stats.gov.my/.</v>
      </c>
    </row>
    <row r="26" spans="2:26">
      <c r="B26" s="285" t="s">
        <v>677</v>
      </c>
      <c r="C26" s="285" t="s">
        <v>464</v>
      </c>
      <c r="D26" s="285" t="s">
        <v>673</v>
      </c>
      <c r="E26" s="285" t="s">
        <v>144</v>
      </c>
      <c r="F26" s="13" t="s">
        <v>2584</v>
      </c>
      <c r="G26" s="13" t="s">
        <v>729</v>
      </c>
      <c r="H26" s="13"/>
      <c r="I26" s="13" t="s">
        <v>1025</v>
      </c>
      <c r="J26" s="13" t="s">
        <v>1127</v>
      </c>
      <c r="K26" s="284">
        <v>45061</v>
      </c>
      <c r="L26" s="283" t="str">
        <f t="shared" si="0"/>
        <v>-</v>
      </c>
      <c r="M26" s="283" t="str">
        <f t="shared" si="1"/>
        <v>-</v>
      </c>
      <c r="N26" s="283" t="str">
        <f t="shared" si="2"/>
        <v>NG</v>
      </c>
      <c r="O26" s="283" t="str">
        <f t="shared" si="3"/>
        <v>-</v>
      </c>
      <c r="P26" s="283" t="str">
        <f t="shared" si="4"/>
        <v>-</v>
      </c>
      <c r="Q26" s="283" t="str">
        <f t="shared" si="5"/>
        <v>-</v>
      </c>
      <c r="R26" s="283" t="str">
        <f t="shared" si="6"/>
        <v>-</v>
      </c>
      <c r="S26" s="283" t="str">
        <f t="shared" si="7"/>
        <v>-</v>
      </c>
      <c r="T26" s="283" t="str">
        <f t="shared" si="8"/>
        <v>-</v>
      </c>
      <c r="U26" s="283" t="str">
        <f t="shared" si="9"/>
        <v>-</v>
      </c>
      <c r="V26" s="283" t="str">
        <f t="shared" si="10"/>
        <v>-</v>
      </c>
      <c r="W26" s="1" t="str">
        <f t="shared" si="11"/>
        <v>https://www.singstat.gov.sg/find-data/search-by-theme/population/population-and-population-structure/latest-data/</v>
      </c>
      <c r="X26" s="1" t="str">
        <f t="shared" si="12"/>
        <v>https://www.singstat.gov.sg/</v>
      </c>
      <c r="Y26" s="1" t="str">
        <f t="shared" si="13"/>
        <v>優先3</v>
      </c>
      <c r="Z26" s="1" t="str">
        <f t="shared" si="14"/>
        <v>The Singapore Department of Statistics (DOS), Government of Singapore. "Population and Population Structure". Accessed 15 May, 2023. https://www.singstat.gov.sg/.</v>
      </c>
    </row>
    <row r="27" spans="2:26">
      <c r="B27" s="285" t="s">
        <v>677</v>
      </c>
      <c r="C27" s="285" t="s">
        <v>464</v>
      </c>
      <c r="D27" s="285" t="s">
        <v>673</v>
      </c>
      <c r="E27" s="285" t="s">
        <v>146</v>
      </c>
      <c r="F27" s="13" t="s">
        <v>1012</v>
      </c>
      <c r="G27" s="13" t="s">
        <v>1152</v>
      </c>
      <c r="H27" s="13" t="s">
        <v>894</v>
      </c>
      <c r="I27" s="13" t="s">
        <v>1190</v>
      </c>
      <c r="J27" s="13" t="s">
        <v>3619</v>
      </c>
      <c r="K27" s="284">
        <v>45061</v>
      </c>
      <c r="L27" s="283" t="str">
        <f t="shared" si="0"/>
        <v>-</v>
      </c>
      <c r="M27" s="283" t="str">
        <f t="shared" si="1"/>
        <v>-</v>
      </c>
      <c r="N27" s="283" t="str">
        <f t="shared" si="2"/>
        <v>-</v>
      </c>
      <c r="O27" s="283" t="str">
        <f t="shared" si="3"/>
        <v>-</v>
      </c>
      <c r="P27" s="283" t="str">
        <f t="shared" si="4"/>
        <v>-</v>
      </c>
      <c r="Q27" s="283" t="str">
        <f t="shared" si="5"/>
        <v>-</v>
      </c>
      <c r="R27" s="283" t="str">
        <f t="shared" si="6"/>
        <v>-</v>
      </c>
      <c r="S27" s="283" t="str">
        <f t="shared" si="7"/>
        <v>-</v>
      </c>
      <c r="T27" s="283" t="str">
        <f t="shared" si="8"/>
        <v>-</v>
      </c>
      <c r="U27" s="283" t="str">
        <f t="shared" si="9"/>
        <v>-</v>
      </c>
      <c r="V27" s="283" t="str">
        <f t="shared" si="10"/>
        <v>-</v>
      </c>
      <c r="W27" s="1" t="str">
        <f t="shared" si="11"/>
        <v>https://www.censtatd.gov.hk/en/EIndexbySubject.html?pcode=B1010006&amp;scode=100/</v>
      </c>
      <c r="X27" s="1" t="str">
        <f t="shared" si="12"/>
        <v>https://www.censtatd.gov.hk/</v>
      </c>
      <c r="Y27" s="1" t="str">
        <f t="shared" si="13"/>
        <v>優先3</v>
      </c>
      <c r="Z27" s="1" t="str">
        <f t="shared" si="14"/>
        <v>Census and Statistics Department, The Government of the Hong Kong Special Administrative Region [政府統計處, 香港特別行政區政府]. "Hong Kong in Figures". Accessed 15 May, 2023. https://www.censtatd.gov.hk/.</v>
      </c>
    </row>
    <row r="28" spans="2:26">
      <c r="B28" s="285" t="s">
        <v>677</v>
      </c>
      <c r="C28" s="285" t="s">
        <v>464</v>
      </c>
      <c r="D28" s="285" t="s">
        <v>673</v>
      </c>
      <c r="E28" s="285" t="s">
        <v>148</v>
      </c>
      <c r="F28" s="13" t="s">
        <v>1024</v>
      </c>
      <c r="G28" s="13"/>
      <c r="H28" s="13" t="s">
        <v>985</v>
      </c>
      <c r="I28" s="13" t="s">
        <v>4000</v>
      </c>
      <c r="J28" s="13" t="s">
        <v>4001</v>
      </c>
      <c r="K28" s="284">
        <v>45061</v>
      </c>
      <c r="L28" s="283" t="str">
        <f t="shared" si="0"/>
        <v>-</v>
      </c>
      <c r="M28" s="283" t="str">
        <f t="shared" si="1"/>
        <v>-</v>
      </c>
      <c r="N28" s="283" t="str">
        <f t="shared" si="2"/>
        <v>-</v>
      </c>
      <c r="O28" s="283" t="str">
        <f t="shared" si="3"/>
        <v>-</v>
      </c>
      <c r="P28" s="283" t="str">
        <f t="shared" si="4"/>
        <v>-</v>
      </c>
      <c r="Q28" s="283" t="str">
        <f t="shared" si="5"/>
        <v>NG</v>
      </c>
      <c r="R28" s="283" t="str">
        <f t="shared" si="6"/>
        <v>-</v>
      </c>
      <c r="S28" s="283" t="str">
        <f t="shared" si="7"/>
        <v>-</v>
      </c>
      <c r="T28" s="283" t="str">
        <f t="shared" si="8"/>
        <v>-</v>
      </c>
      <c r="U28" s="283" t="str">
        <f t="shared" si="9"/>
        <v>-</v>
      </c>
      <c r="V28" s="283" t="str">
        <f t="shared" si="10"/>
        <v>NG</v>
      </c>
      <c r="W28" s="1" t="str">
        <f t="shared" si="11"/>
        <v>https://nj.tjj.beijing.gov.cn/nj/main/2022-tjnj/zk/indexeh.htm/</v>
      </c>
      <c r="X28" s="1" t="str">
        <f t="shared" si="12"/>
        <v>https://nj.tjj.beijing.gov.cn/</v>
      </c>
      <c r="Y28" s="1" t="str">
        <f t="shared" si="13"/>
        <v>優先3</v>
      </c>
      <c r="Z28" s="1" t="str">
        <f t="shared" si="14"/>
        <v>Beijing Municipal Bureau of Statistics  [北京市统计局 国家统计局北京调查总队]. "Beijing Statistical Yearbook 2022". Accessed 15 May, 2023. https://nj.tjj.beijing.gov.cn/.</v>
      </c>
    </row>
    <row r="29" spans="2:26">
      <c r="B29" s="285" t="s">
        <v>677</v>
      </c>
      <c r="C29" s="285" t="s">
        <v>464</v>
      </c>
      <c r="D29" s="285" t="s">
        <v>673</v>
      </c>
      <c r="E29" s="285" t="s">
        <v>150</v>
      </c>
      <c r="F29" s="13" t="s">
        <v>807</v>
      </c>
      <c r="G29" s="13"/>
      <c r="H29" s="13" t="s">
        <v>868</v>
      </c>
      <c r="I29" s="13" t="s">
        <v>4002</v>
      </c>
      <c r="J29" s="13" t="s">
        <v>4003</v>
      </c>
      <c r="K29" s="284">
        <v>45061</v>
      </c>
      <c r="L29" s="283" t="str">
        <f t="shared" si="0"/>
        <v>-</v>
      </c>
      <c r="M29" s="283" t="str">
        <f t="shared" si="1"/>
        <v>-</v>
      </c>
      <c r="N29" s="283" t="str">
        <f t="shared" si="2"/>
        <v>-</v>
      </c>
      <c r="O29" s="283" t="str">
        <f t="shared" si="3"/>
        <v>-</v>
      </c>
      <c r="P29" s="283" t="str">
        <f t="shared" si="4"/>
        <v>-</v>
      </c>
      <c r="Q29" s="283" t="str">
        <f t="shared" si="5"/>
        <v>-</v>
      </c>
      <c r="R29" s="283" t="str">
        <f t="shared" si="6"/>
        <v>-</v>
      </c>
      <c r="S29" s="283" t="str">
        <f t="shared" si="7"/>
        <v>-</v>
      </c>
      <c r="T29" s="283" t="str">
        <f t="shared" si="8"/>
        <v>-</v>
      </c>
      <c r="U29" s="283" t="str">
        <f t="shared" si="9"/>
        <v>-</v>
      </c>
      <c r="V29" s="283" t="str">
        <f t="shared" si="10"/>
        <v>-</v>
      </c>
      <c r="W29" s="1" t="str">
        <f t="shared" si="11"/>
        <v>https://tjj.sh.gov.cn/tjnj/nj22.htm?d1=2022tjnj/C0201.htm/</v>
      </c>
      <c r="X29" s="1" t="str">
        <f t="shared" si="12"/>
        <v>https://tjj.sh.gov.cn/</v>
      </c>
      <c r="Y29" s="1" t="str">
        <f t="shared" si="13"/>
        <v>優先3</v>
      </c>
      <c r="Z29" s="1" t="str">
        <f t="shared" si="14"/>
        <v>Shanghai Municipal Statistics Bureau [上海市统计局、国家统计局上海调查总队]. "2022年上海统计年鉴". Accessed 15 May, 2023. https://tjj.sh.gov.cn/.</v>
      </c>
    </row>
    <row r="30" spans="2:26">
      <c r="B30" s="285" t="s">
        <v>677</v>
      </c>
      <c r="C30" s="285" t="s">
        <v>464</v>
      </c>
      <c r="D30" s="285" t="s">
        <v>673</v>
      </c>
      <c r="E30" s="285" t="s">
        <v>152</v>
      </c>
      <c r="F30" s="13" t="s">
        <v>765</v>
      </c>
      <c r="G30" s="13" t="s">
        <v>764</v>
      </c>
      <c r="H30" s="13" t="s">
        <v>763</v>
      </c>
      <c r="I30" s="13" t="s">
        <v>996</v>
      </c>
      <c r="J30" s="13" t="s">
        <v>3620</v>
      </c>
      <c r="K30" s="284">
        <v>45061</v>
      </c>
      <c r="L30" s="283" t="str">
        <f t="shared" si="0"/>
        <v>-</v>
      </c>
      <c r="M30" s="283" t="str">
        <f t="shared" si="1"/>
        <v>-</v>
      </c>
      <c r="N30" s="283" t="str">
        <f t="shared" si="2"/>
        <v>-</v>
      </c>
      <c r="O30" s="283" t="str">
        <f t="shared" si="3"/>
        <v>-</v>
      </c>
      <c r="P30" s="283" t="str">
        <f t="shared" si="4"/>
        <v>-</v>
      </c>
      <c r="Q30" s="283" t="str">
        <f t="shared" si="5"/>
        <v>-</v>
      </c>
      <c r="R30" s="283" t="str">
        <f t="shared" si="6"/>
        <v>-</v>
      </c>
      <c r="S30" s="283" t="str">
        <f t="shared" si="7"/>
        <v>-</v>
      </c>
      <c r="T30" s="283" t="str">
        <f t="shared" si="8"/>
        <v>-</v>
      </c>
      <c r="U30" s="283" t="str">
        <f t="shared" si="9"/>
        <v>-</v>
      </c>
      <c r="V30" s="283" t="str">
        <f t="shared" si="10"/>
        <v>-</v>
      </c>
      <c r="W30" s="1" t="str">
        <f t="shared" si="11"/>
        <v>https://dbaseng.gov.taipei/Content_List.aspx?n=A47C0C44021E1F8B/</v>
      </c>
      <c r="X30" s="1" t="str">
        <f t="shared" si="12"/>
        <v>https://dbaseng.gov.taipei/</v>
      </c>
      <c r="Y30" s="1" t="str">
        <f t="shared" si="13"/>
        <v>優先3</v>
      </c>
      <c r="Z30" s="1" t="str">
        <f t="shared" si="14"/>
        <v>Department of Budget, Accounting and Statistics, Taipei City Government [臺北市政府主計處]. "Short Report on Important Statistics of Taipei City". Accessed 15 May, 2023. https://dbaseng.gov.taipei/.</v>
      </c>
    </row>
    <row r="31" spans="2:26">
      <c r="B31" s="285" t="s">
        <v>677</v>
      </c>
      <c r="C31" s="285" t="s">
        <v>464</v>
      </c>
      <c r="D31" s="285" t="s">
        <v>673</v>
      </c>
      <c r="E31" s="285" t="s">
        <v>154</v>
      </c>
      <c r="F31" s="13" t="s">
        <v>1128</v>
      </c>
      <c r="G31" s="13" t="s">
        <v>727</v>
      </c>
      <c r="H31" s="13" t="s">
        <v>2585</v>
      </c>
      <c r="I31" s="13" t="s">
        <v>4004</v>
      </c>
      <c r="J31" s="13" t="s">
        <v>4005</v>
      </c>
      <c r="K31" s="284">
        <v>45061</v>
      </c>
      <c r="L31" s="283" t="str">
        <f t="shared" si="0"/>
        <v>-</v>
      </c>
      <c r="M31" s="283" t="str">
        <f t="shared" si="1"/>
        <v>-</v>
      </c>
      <c r="N31" s="283" t="str">
        <f t="shared" si="2"/>
        <v>-</v>
      </c>
      <c r="O31" s="283" t="str">
        <f t="shared" si="3"/>
        <v>-</v>
      </c>
      <c r="P31" s="283" t="str">
        <f t="shared" si="4"/>
        <v>-</v>
      </c>
      <c r="Q31" s="283" t="str">
        <f t="shared" si="5"/>
        <v>-</v>
      </c>
      <c r="R31" s="283" t="str">
        <f t="shared" si="6"/>
        <v>-</v>
      </c>
      <c r="S31" s="283" t="str">
        <f t="shared" si="7"/>
        <v>-</v>
      </c>
      <c r="T31" s="283" t="str">
        <f t="shared" si="8"/>
        <v>-</v>
      </c>
      <c r="U31" s="283" t="str">
        <f t="shared" si="9"/>
        <v>-</v>
      </c>
      <c r="V31" s="283" t="str">
        <f t="shared" si="10"/>
        <v>NG</v>
      </c>
      <c r="W31" s="1" t="str">
        <f t="shared" si="11"/>
        <v>https://data.seoul.go.kr/dataList/10584/S/2/datasetView.do/</v>
      </c>
      <c r="X31" s="1" t="str">
        <f t="shared" si="12"/>
        <v>https://data.seoul.go.kr/</v>
      </c>
      <c r="Y31" s="1" t="str">
        <f t="shared" si="13"/>
        <v>優先3</v>
      </c>
      <c r="Z31" s="1" t="str">
        <f t="shared" si="14"/>
        <v>Seoul Open Data Plaza, Seoul Metropolitan Government [서울 열린데이터광장]. "서울시 인구밀도 (동별) 통계 ". Accessed 15 May, 2023. https://data.seoul.go.kr/.</v>
      </c>
    </row>
    <row r="32" spans="2:26">
      <c r="B32" s="285" t="s">
        <v>677</v>
      </c>
      <c r="C32" s="285" t="s">
        <v>464</v>
      </c>
      <c r="D32" s="285" t="s">
        <v>673</v>
      </c>
      <c r="E32" s="285" t="s">
        <v>156</v>
      </c>
      <c r="F32" s="13"/>
      <c r="G32" s="13" t="s">
        <v>753</v>
      </c>
      <c r="H32" s="13" t="s">
        <v>752</v>
      </c>
      <c r="I32" s="13" t="s">
        <v>1023</v>
      </c>
      <c r="J32" s="13" t="s">
        <v>3621</v>
      </c>
      <c r="K32" s="284">
        <v>45061</v>
      </c>
      <c r="L32" s="283" t="str">
        <f t="shared" si="0"/>
        <v>-</v>
      </c>
      <c r="M32" s="283" t="str">
        <f t="shared" si="1"/>
        <v>-</v>
      </c>
      <c r="N32" s="283" t="str">
        <f t="shared" si="2"/>
        <v>-</v>
      </c>
      <c r="O32" s="283" t="str">
        <f t="shared" si="3"/>
        <v>-</v>
      </c>
      <c r="P32" s="283" t="str">
        <f t="shared" si="4"/>
        <v>-</v>
      </c>
      <c r="Q32" s="283" t="str">
        <f t="shared" si="5"/>
        <v>-</v>
      </c>
      <c r="R32" s="283" t="str">
        <f t="shared" si="6"/>
        <v>-</v>
      </c>
      <c r="S32" s="283" t="str">
        <f t="shared" si="7"/>
        <v>-</v>
      </c>
      <c r="T32" s="283" t="str">
        <f t="shared" si="8"/>
        <v>-</v>
      </c>
      <c r="U32" s="283" t="str">
        <f t="shared" si="9"/>
        <v>-</v>
      </c>
      <c r="V32" s="283" t="str">
        <f t="shared" si="10"/>
        <v>-</v>
      </c>
      <c r="W32" s="1" t="str">
        <f t="shared" si="11"/>
        <v>https://www.city.fukuoka.lg.jp/soki/tokeichosa/shisei/toukei/jinkou/jinnkousokuhou.html/</v>
      </c>
      <c r="X32" s="1" t="str">
        <f t="shared" si="12"/>
        <v>https://www.city.fukuoka.lg.jp/</v>
      </c>
      <c r="Y32" s="1" t="str">
        <f t="shared" si="13"/>
        <v>優先3</v>
      </c>
      <c r="Z32" s="1" t="str">
        <f t="shared" si="14"/>
        <v>Fukuoka City [福岡市]. "福岡市推計人口". Accessed 15 May, 2023. https://www.city.fukuoka.lg.jp/.</v>
      </c>
    </row>
    <row r="33" spans="2:26">
      <c r="B33" s="285" t="s">
        <v>677</v>
      </c>
      <c r="C33" s="285" t="s">
        <v>464</v>
      </c>
      <c r="D33" s="285" t="s">
        <v>673</v>
      </c>
      <c r="E33" s="285" t="s">
        <v>158</v>
      </c>
      <c r="F33" s="13"/>
      <c r="G33" s="13" t="s">
        <v>751</v>
      </c>
      <c r="H33" s="13" t="s">
        <v>750</v>
      </c>
      <c r="I33" s="13" t="s">
        <v>2586</v>
      </c>
      <c r="J33" s="13" t="s">
        <v>3622</v>
      </c>
      <c r="K33" s="284">
        <v>45061</v>
      </c>
      <c r="L33" s="283" t="str">
        <f t="shared" si="0"/>
        <v>-</v>
      </c>
      <c r="M33" s="283" t="str">
        <f t="shared" si="1"/>
        <v>-</v>
      </c>
      <c r="N33" s="283" t="str">
        <f t="shared" si="2"/>
        <v>-</v>
      </c>
      <c r="O33" s="283" t="str">
        <f t="shared" si="3"/>
        <v>-</v>
      </c>
      <c r="P33" s="283" t="str">
        <f t="shared" si="4"/>
        <v>-</v>
      </c>
      <c r="Q33" s="283" t="str">
        <f t="shared" si="5"/>
        <v>-</v>
      </c>
      <c r="R33" s="283" t="str">
        <f t="shared" si="6"/>
        <v>-</v>
      </c>
      <c r="S33" s="283" t="str">
        <f t="shared" si="7"/>
        <v>NG</v>
      </c>
      <c r="T33" s="283" t="str">
        <f t="shared" si="8"/>
        <v>-</v>
      </c>
      <c r="U33" s="283" t="str">
        <f t="shared" si="9"/>
        <v>-</v>
      </c>
      <c r="V33" s="283" t="str">
        <f t="shared" si="10"/>
        <v>-</v>
      </c>
      <c r="W33" s="1" t="str">
        <f t="shared" si="11"/>
        <v>https://www.city.osaka.lg.jp/toshikeikaku/page/0000541634.html/</v>
      </c>
      <c r="X33" s="1" t="str">
        <f t="shared" si="12"/>
        <v>https://www.city.osaka.lg.jp/</v>
      </c>
      <c r="Y33" s="1" t="str">
        <f t="shared" si="13"/>
        <v>優先3</v>
      </c>
      <c r="Z33" s="1" t="str">
        <f t="shared" si="14"/>
        <v>Osaka City [大阪市]. "推計人口（毎月1日現在）・人口異動". Accessed 15 May, 2023. https://www.city.osaka.lg.jp/.</v>
      </c>
    </row>
    <row r="34" spans="2:26">
      <c r="B34" s="285" t="s">
        <v>677</v>
      </c>
      <c r="C34" s="285" t="s">
        <v>464</v>
      </c>
      <c r="D34" s="285" t="s">
        <v>673</v>
      </c>
      <c r="E34" s="285" t="s">
        <v>160</v>
      </c>
      <c r="F34" s="13" t="s">
        <v>836</v>
      </c>
      <c r="G34" s="13" t="s">
        <v>740</v>
      </c>
      <c r="H34" s="13" t="s">
        <v>835</v>
      </c>
      <c r="I34" s="13" t="s">
        <v>2587</v>
      </c>
      <c r="J34" s="13" t="s">
        <v>2588</v>
      </c>
      <c r="K34" s="284">
        <v>45061</v>
      </c>
      <c r="L34" s="283" t="str">
        <f t="shared" si="0"/>
        <v>-</v>
      </c>
      <c r="M34" s="283" t="str">
        <f t="shared" si="1"/>
        <v>-</v>
      </c>
      <c r="N34" s="283" t="str">
        <f t="shared" si="2"/>
        <v>-</v>
      </c>
      <c r="O34" s="283" t="str">
        <f t="shared" si="3"/>
        <v>-</v>
      </c>
      <c r="P34" s="283" t="str">
        <f t="shared" si="4"/>
        <v>-</v>
      </c>
      <c r="Q34" s="283" t="str">
        <f t="shared" si="5"/>
        <v>-</v>
      </c>
      <c r="R34" s="283" t="str">
        <f t="shared" si="6"/>
        <v>-</v>
      </c>
      <c r="S34" s="283" t="str">
        <f t="shared" si="7"/>
        <v>NG</v>
      </c>
      <c r="T34" s="283" t="str">
        <f t="shared" si="8"/>
        <v>-</v>
      </c>
      <c r="U34" s="283" t="str">
        <f t="shared" si="9"/>
        <v>-</v>
      </c>
      <c r="V34" s="283" t="str">
        <f t="shared" si="10"/>
        <v>-</v>
      </c>
      <c r="W34" s="1" t="str">
        <f t="shared" si="11"/>
        <v>https://www.toukei.metro.tokyo.lg.jp/jsuikei/js-index.htm/</v>
      </c>
      <c r="X34" s="1" t="str">
        <f t="shared" si="12"/>
        <v>https://www.toukei.metro.tokyo.lg.jp/</v>
      </c>
      <c r="Y34" s="1" t="str">
        <f t="shared" si="13"/>
        <v>優先3</v>
      </c>
      <c r="Z34" s="1" t="str">
        <f t="shared" si="14"/>
        <v>Statistics Division, Bureau of General Affairs, Tokyo Metropolitan Government [東京都総務局統計部]. "東京都の人口（推計）". Accessed 15 May, 2023. https://www.toukei.metro.tokyo.lg.jp/.</v>
      </c>
    </row>
    <row r="35" spans="2:26">
      <c r="B35" s="285" t="s">
        <v>677</v>
      </c>
      <c r="C35" s="285" t="s">
        <v>464</v>
      </c>
      <c r="D35" s="285" t="s">
        <v>673</v>
      </c>
      <c r="E35" s="285" t="s">
        <v>162</v>
      </c>
      <c r="F35" s="13" t="s">
        <v>811</v>
      </c>
      <c r="G35" s="13" t="s">
        <v>984</v>
      </c>
      <c r="H35" s="13"/>
      <c r="I35" s="13" t="s">
        <v>4006</v>
      </c>
      <c r="J35" s="13" t="s">
        <v>4007</v>
      </c>
      <c r="K35" s="284">
        <v>45061</v>
      </c>
      <c r="L35" s="283">
        <f t="shared" si="0"/>
        <v>2</v>
      </c>
      <c r="M35" s="283" t="str">
        <f t="shared" si="1"/>
        <v>-</v>
      </c>
      <c r="N35" s="283" t="str">
        <f t="shared" si="2"/>
        <v>-</v>
      </c>
      <c r="O35" s="283" t="str">
        <f t="shared" si="3"/>
        <v>-</v>
      </c>
      <c r="P35" s="283" t="str">
        <f t="shared" si="4"/>
        <v>-</v>
      </c>
      <c r="Q35" s="283" t="str">
        <f t="shared" si="5"/>
        <v>-</v>
      </c>
      <c r="R35" s="283" t="str">
        <f t="shared" si="6"/>
        <v>-</v>
      </c>
      <c r="S35" s="283" t="str">
        <f t="shared" si="7"/>
        <v>-</v>
      </c>
      <c r="T35" s="283" t="str">
        <f t="shared" si="8"/>
        <v>-</v>
      </c>
      <c r="U35" s="283" t="str">
        <f t="shared" si="9"/>
        <v>-</v>
      </c>
      <c r="V35" s="283" t="str">
        <f t="shared" si="10"/>
        <v>-</v>
      </c>
      <c r="W35" s="1" t="str">
        <f t="shared" si="11"/>
        <v>https://www.abs.gov.au/statistics/people/population/regional-population/2021-22#data-downloads/</v>
      </c>
      <c r="X35" s="1" t="str">
        <f t="shared" si="12"/>
        <v>https://www.abs.gov.au/</v>
      </c>
      <c r="Y35" s="1" t="str">
        <f t="shared" si="13"/>
        <v>優先3</v>
      </c>
      <c r="Z35" s="1" t="str">
        <f t="shared" si="14"/>
        <v>Australian Bureau of Statistics, Government of Australia. "Population estimates and components by SA2, 2021 to 2022". Accessed 15 May, 2023. https://www.abs.gov.au/.</v>
      </c>
    </row>
    <row r="36" spans="2:26">
      <c r="B36" s="285" t="s">
        <v>677</v>
      </c>
      <c r="C36" s="285" t="s">
        <v>464</v>
      </c>
      <c r="D36" s="285" t="s">
        <v>673</v>
      </c>
      <c r="E36" s="285" t="s">
        <v>164</v>
      </c>
      <c r="F36" s="13"/>
      <c r="G36" s="13" t="s">
        <v>2589</v>
      </c>
      <c r="H36" s="13"/>
      <c r="I36" s="13" t="s">
        <v>2590</v>
      </c>
      <c r="J36" s="13" t="s">
        <v>1129</v>
      </c>
      <c r="K36" s="284">
        <v>45061</v>
      </c>
      <c r="L36" s="283" t="str">
        <f t="shared" si="0"/>
        <v>-</v>
      </c>
      <c r="M36" s="283" t="str">
        <f t="shared" si="1"/>
        <v>-</v>
      </c>
      <c r="N36" s="283" t="str">
        <f t="shared" si="2"/>
        <v>-</v>
      </c>
      <c r="O36" s="283" t="str">
        <f t="shared" si="3"/>
        <v>-</v>
      </c>
      <c r="P36" s="283" t="str">
        <f t="shared" si="4"/>
        <v>-</v>
      </c>
      <c r="Q36" s="283" t="str">
        <f t="shared" si="5"/>
        <v>-</v>
      </c>
      <c r="R36" s="283" t="str">
        <f t="shared" si="6"/>
        <v>-</v>
      </c>
      <c r="S36" s="283" t="str">
        <f t="shared" si="7"/>
        <v>-</v>
      </c>
      <c r="T36" s="283" t="str">
        <f t="shared" si="8"/>
        <v>-</v>
      </c>
      <c r="U36" s="283" t="str">
        <f t="shared" si="9"/>
        <v>-</v>
      </c>
      <c r="V36" s="283" t="str">
        <f t="shared" si="10"/>
        <v>-</v>
      </c>
      <c r="W36" s="1" t="str">
        <f t="shared" si="11"/>
        <v>https://www2.gov.bc.ca/gov/content/data/statistics/people-population-community/population/population-estimates/</v>
      </c>
      <c r="X36" s="1" t="str">
        <f t="shared" si="12"/>
        <v>https://www2.gov.bc.ca/</v>
      </c>
      <c r="Y36" s="1" t="str">
        <f t="shared" si="13"/>
        <v>優先3</v>
      </c>
      <c r="Z36" s="1" t="str">
        <f t="shared" si="14"/>
        <v>Government of British Columbia. "British Columbia Population Estimates". Accessed 15 May, 2023. https://www2.gov.bc.ca/.</v>
      </c>
    </row>
    <row r="37" spans="2:26">
      <c r="B37" s="285" t="s">
        <v>677</v>
      </c>
      <c r="C37" s="285" t="s">
        <v>464</v>
      </c>
      <c r="D37" s="285" t="s">
        <v>673</v>
      </c>
      <c r="E37" s="285" t="s">
        <v>166</v>
      </c>
      <c r="F37" s="13" t="s">
        <v>1011</v>
      </c>
      <c r="G37" s="13" t="s">
        <v>710</v>
      </c>
      <c r="H37" s="13"/>
      <c r="I37" s="13" t="s">
        <v>2591</v>
      </c>
      <c r="J37" s="13" t="s">
        <v>3623</v>
      </c>
      <c r="K37" s="284">
        <v>45061</v>
      </c>
      <c r="L37" s="283">
        <f t="shared" si="0"/>
        <v>6</v>
      </c>
      <c r="M37" s="283" t="str">
        <f t="shared" si="1"/>
        <v>-</v>
      </c>
      <c r="N37" s="283" t="str">
        <f t="shared" si="2"/>
        <v>-</v>
      </c>
      <c r="O37" s="283" t="str">
        <f t="shared" si="3"/>
        <v>-</v>
      </c>
      <c r="P37" s="283" t="str">
        <f t="shared" si="4"/>
        <v>-</v>
      </c>
      <c r="Q37" s="283" t="str">
        <f t="shared" si="5"/>
        <v>-</v>
      </c>
      <c r="R37" s="283" t="str">
        <f t="shared" si="6"/>
        <v>-</v>
      </c>
      <c r="S37" s="283" t="str">
        <f t="shared" si="7"/>
        <v>-</v>
      </c>
      <c r="T37" s="283" t="str">
        <f t="shared" si="8"/>
        <v>-</v>
      </c>
      <c r="U37" s="283" t="str">
        <f t="shared" si="9"/>
        <v>-</v>
      </c>
      <c r="V37" s="283" t="str">
        <f t="shared" si="10"/>
        <v>-</v>
      </c>
      <c r="W37" s="1" t="str">
        <f t="shared" si="11"/>
        <v>https://www.census.gov/quickfacts/fact/table/bostoncitymassachusetts,newyorkcitynewyork,washingtoncitydistrictofcolumbia,chicagocityillinois,losangelescitycalifornia,sanfranciscocitycalifornia/PST045221/</v>
      </c>
      <c r="X37" s="1" t="str">
        <f t="shared" si="12"/>
        <v>https://www.census.gov/</v>
      </c>
      <c r="Y37" s="1" t="str">
        <f t="shared" si="13"/>
        <v>優先3</v>
      </c>
      <c r="Z37" s="1" t="str">
        <f t="shared" si="14"/>
        <v>Census Bureau, Department of Commerce, United States. "QuickFacts". Accessed 15 May, 2023. https://www.census.gov/.</v>
      </c>
    </row>
    <row r="38" spans="2:26">
      <c r="B38" s="285" t="s">
        <v>677</v>
      </c>
      <c r="C38" s="285" t="s">
        <v>464</v>
      </c>
      <c r="D38" s="285" t="s">
        <v>673</v>
      </c>
      <c r="E38" s="285" t="s">
        <v>168</v>
      </c>
      <c r="F38" s="13" t="s">
        <v>1011</v>
      </c>
      <c r="G38" s="13" t="s">
        <v>710</v>
      </c>
      <c r="H38" s="13"/>
      <c r="I38" s="13" t="s">
        <v>2591</v>
      </c>
      <c r="J38" s="13" t="s">
        <v>3623</v>
      </c>
      <c r="K38" s="284">
        <v>45061</v>
      </c>
      <c r="L38" s="283">
        <f t="shared" si="0"/>
        <v>6</v>
      </c>
      <c r="M38" s="283" t="str">
        <f t="shared" si="1"/>
        <v>-</v>
      </c>
      <c r="N38" s="283" t="str">
        <f t="shared" si="2"/>
        <v>-</v>
      </c>
      <c r="O38" s="283" t="str">
        <f t="shared" si="3"/>
        <v>-</v>
      </c>
      <c r="P38" s="283" t="str">
        <f t="shared" si="4"/>
        <v>-</v>
      </c>
      <c r="Q38" s="283" t="str">
        <f t="shared" si="5"/>
        <v>-</v>
      </c>
      <c r="R38" s="283" t="str">
        <f t="shared" si="6"/>
        <v>-</v>
      </c>
      <c r="S38" s="283" t="str">
        <f t="shared" si="7"/>
        <v>-</v>
      </c>
      <c r="T38" s="283" t="str">
        <f t="shared" si="8"/>
        <v>-</v>
      </c>
      <c r="U38" s="283" t="str">
        <f t="shared" si="9"/>
        <v>-</v>
      </c>
      <c r="V38" s="283" t="str">
        <f t="shared" si="10"/>
        <v>-</v>
      </c>
      <c r="W38" s="1" t="str">
        <f t="shared" si="11"/>
        <v>https://www.census.gov/quickfacts/fact/table/bostoncitymassachusetts,newyorkcitynewyork,washingtoncitydistrictofcolumbia,chicagocityillinois,losangelescitycalifornia,sanfranciscocitycalifornia/PST045221/</v>
      </c>
      <c r="X38" s="1" t="str">
        <f t="shared" si="12"/>
        <v>https://www.census.gov/</v>
      </c>
      <c r="Y38" s="1" t="str">
        <f t="shared" si="13"/>
        <v>優先3</v>
      </c>
      <c r="Z38" s="1" t="str">
        <f t="shared" si="14"/>
        <v>Census Bureau, Department of Commerce, United States. "QuickFacts". Accessed 15 May, 2023. https://www.census.gov/.</v>
      </c>
    </row>
    <row r="39" spans="2:26">
      <c r="B39" s="285" t="s">
        <v>677</v>
      </c>
      <c r="C39" s="285" t="s">
        <v>464</v>
      </c>
      <c r="D39" s="285" t="s">
        <v>673</v>
      </c>
      <c r="E39" s="285" t="s">
        <v>170</v>
      </c>
      <c r="F39" s="13" t="s">
        <v>1130</v>
      </c>
      <c r="G39" s="13"/>
      <c r="H39" s="13"/>
      <c r="I39" s="13" t="s">
        <v>3624</v>
      </c>
      <c r="J39" s="13" t="s">
        <v>4008</v>
      </c>
      <c r="K39" s="284">
        <v>45061</v>
      </c>
      <c r="L39" s="283" t="str">
        <f t="shared" si="0"/>
        <v>-</v>
      </c>
      <c r="M39" s="283" t="str">
        <f t="shared" si="1"/>
        <v>-</v>
      </c>
      <c r="N39" s="283" t="str">
        <f t="shared" si="2"/>
        <v>-</v>
      </c>
      <c r="O39" s="283" t="str">
        <f t="shared" si="3"/>
        <v>-</v>
      </c>
      <c r="P39" s="283" t="str">
        <f t="shared" si="4"/>
        <v>-</v>
      </c>
      <c r="Q39" s="283" t="str">
        <f t="shared" si="5"/>
        <v>-</v>
      </c>
      <c r="R39" s="283" t="str">
        <f t="shared" si="6"/>
        <v>-</v>
      </c>
      <c r="S39" s="283" t="str">
        <f t="shared" si="7"/>
        <v>-</v>
      </c>
      <c r="T39" s="283" t="str">
        <f t="shared" si="8"/>
        <v>-</v>
      </c>
      <c r="U39" s="283" t="str">
        <f t="shared" si="9"/>
        <v>-</v>
      </c>
      <c r="V39" s="283" t="str">
        <f t="shared" si="10"/>
        <v>-</v>
      </c>
      <c r="W39" s="1" t="str">
        <f t="shared" si="11"/>
        <v>https://www.inegi.org.mx/sistemas/olap/proyectos/bd/encuestas/hogares/enoe/2010_pe_ed15/pt.asp?s=est&amp;proy=enoe_pe_ed15_pt&amp;p=enoe_pe_ed15/</v>
      </c>
      <c r="X39" s="1" t="str">
        <f t="shared" si="12"/>
        <v>https://www.inegi.org.mx/</v>
      </c>
      <c r="Y39" s="1" t="str">
        <f t="shared" si="13"/>
        <v>優先3</v>
      </c>
      <c r="Z39" s="1" t="str">
        <f t="shared" si="14"/>
        <v>National Institute of Statistics, Geography and Informatics. "Encuesta Nacional de Ocupación y Empleo". Accessed 15 May, 2023. https://www.inegi.org.mx/.</v>
      </c>
    </row>
    <row r="40" spans="2:26">
      <c r="B40" s="285" t="s">
        <v>677</v>
      </c>
      <c r="C40" s="285" t="s">
        <v>464</v>
      </c>
      <c r="D40" s="285" t="s">
        <v>673</v>
      </c>
      <c r="E40" s="285" t="s">
        <v>172</v>
      </c>
      <c r="F40" s="13" t="s">
        <v>1011</v>
      </c>
      <c r="G40" s="13" t="s">
        <v>710</v>
      </c>
      <c r="H40" s="13"/>
      <c r="I40" s="13" t="s">
        <v>2591</v>
      </c>
      <c r="J40" s="13" t="s">
        <v>3623</v>
      </c>
      <c r="K40" s="284">
        <v>45061</v>
      </c>
      <c r="L40" s="283">
        <f t="shared" si="0"/>
        <v>6</v>
      </c>
      <c r="M40" s="283" t="str">
        <f t="shared" si="1"/>
        <v>-</v>
      </c>
      <c r="N40" s="283" t="str">
        <f t="shared" si="2"/>
        <v>-</v>
      </c>
      <c r="O40" s="283" t="str">
        <f t="shared" si="3"/>
        <v>-</v>
      </c>
      <c r="P40" s="283" t="str">
        <f t="shared" si="4"/>
        <v>-</v>
      </c>
      <c r="Q40" s="283" t="str">
        <f t="shared" si="5"/>
        <v>-</v>
      </c>
      <c r="R40" s="283" t="str">
        <f t="shared" si="6"/>
        <v>-</v>
      </c>
      <c r="S40" s="283" t="str">
        <f t="shared" si="7"/>
        <v>-</v>
      </c>
      <c r="T40" s="283" t="str">
        <f t="shared" si="8"/>
        <v>-</v>
      </c>
      <c r="U40" s="283" t="str">
        <f t="shared" si="9"/>
        <v>-</v>
      </c>
      <c r="V40" s="283" t="str">
        <f t="shared" si="10"/>
        <v>-</v>
      </c>
      <c r="W40" s="1" t="str">
        <f t="shared" si="11"/>
        <v>https://www.census.gov/quickfacts/fact/table/bostoncitymassachusetts,newyorkcitynewyork,washingtoncitydistrictofcolumbia,chicagocityillinois,losangelescitycalifornia,sanfranciscocitycalifornia/PST045221/</v>
      </c>
      <c r="X40" s="1" t="str">
        <f t="shared" si="12"/>
        <v>https://www.census.gov/</v>
      </c>
      <c r="Y40" s="1" t="str">
        <f t="shared" si="13"/>
        <v>優先3</v>
      </c>
      <c r="Z40" s="1" t="str">
        <f t="shared" si="14"/>
        <v>Census Bureau, Department of Commerce, United States. "QuickFacts". Accessed 15 May, 2023. https://www.census.gov/.</v>
      </c>
    </row>
    <row r="41" spans="2:26">
      <c r="B41" s="285" t="s">
        <v>677</v>
      </c>
      <c r="C41" s="285" t="s">
        <v>464</v>
      </c>
      <c r="D41" s="285" t="s">
        <v>673</v>
      </c>
      <c r="E41" s="285" t="s">
        <v>174</v>
      </c>
      <c r="F41" s="13"/>
      <c r="G41" s="13" t="s">
        <v>983</v>
      </c>
      <c r="H41" s="13"/>
      <c r="I41" s="13" t="s">
        <v>1022</v>
      </c>
      <c r="J41" s="13" t="s">
        <v>1131</v>
      </c>
      <c r="K41" s="284">
        <v>45061</v>
      </c>
      <c r="L41" s="283" t="str">
        <f t="shared" si="0"/>
        <v>-</v>
      </c>
      <c r="M41" s="283" t="str">
        <f t="shared" si="1"/>
        <v>-</v>
      </c>
      <c r="N41" s="283" t="str">
        <f t="shared" si="2"/>
        <v>-</v>
      </c>
      <c r="O41" s="283" t="str">
        <f t="shared" si="3"/>
        <v>-</v>
      </c>
      <c r="P41" s="283" t="str">
        <f t="shared" si="4"/>
        <v>-</v>
      </c>
      <c r="Q41" s="283" t="str">
        <f t="shared" si="5"/>
        <v>-</v>
      </c>
      <c r="R41" s="283" t="str">
        <f t="shared" si="6"/>
        <v>-</v>
      </c>
      <c r="S41" s="283" t="str">
        <f t="shared" si="7"/>
        <v>-</v>
      </c>
      <c r="T41" s="283" t="str">
        <f t="shared" si="8"/>
        <v>-</v>
      </c>
      <c r="U41" s="283" t="str">
        <f t="shared" si="9"/>
        <v>-</v>
      </c>
      <c r="V41" s="283" t="str">
        <f t="shared" si="10"/>
        <v>-</v>
      </c>
      <c r="W41" s="1" t="str">
        <f t="shared" si="11"/>
        <v>https://www.toronto.ca/city-government/data-research-maps/toronto-at-a-glance/</v>
      </c>
      <c r="X41" s="1" t="str">
        <f t="shared" si="12"/>
        <v>https://www.toronto.ca/</v>
      </c>
      <c r="Y41" s="1" t="str">
        <f t="shared" si="13"/>
        <v>優先3</v>
      </c>
      <c r="Z41" s="1" t="str">
        <f t="shared" si="14"/>
        <v>City of Toronto. "Toronto at a Glance". Accessed 15 May, 2023. https://www.toronto.ca/.</v>
      </c>
    </row>
    <row r="42" spans="2:26">
      <c r="B42" s="285" t="s">
        <v>677</v>
      </c>
      <c r="C42" s="285" t="s">
        <v>464</v>
      </c>
      <c r="D42" s="285" t="s">
        <v>673</v>
      </c>
      <c r="E42" s="285" t="s">
        <v>373</v>
      </c>
      <c r="F42" s="13" t="s">
        <v>1011</v>
      </c>
      <c r="G42" s="13" t="s">
        <v>710</v>
      </c>
      <c r="H42" s="13"/>
      <c r="I42" s="13" t="s">
        <v>2591</v>
      </c>
      <c r="J42" s="13" t="s">
        <v>3623</v>
      </c>
      <c r="K42" s="284">
        <v>45061</v>
      </c>
      <c r="L42" s="283">
        <f t="shared" si="0"/>
        <v>6</v>
      </c>
      <c r="M42" s="283" t="str">
        <f t="shared" si="1"/>
        <v>-</v>
      </c>
      <c r="N42" s="283" t="str">
        <f t="shared" si="2"/>
        <v>-</v>
      </c>
      <c r="O42" s="283" t="str">
        <f t="shared" si="3"/>
        <v>-</v>
      </c>
      <c r="P42" s="283" t="str">
        <f t="shared" si="4"/>
        <v>-</v>
      </c>
      <c r="Q42" s="283" t="str">
        <f t="shared" si="5"/>
        <v>-</v>
      </c>
      <c r="R42" s="283" t="str">
        <f t="shared" si="6"/>
        <v>-</v>
      </c>
      <c r="S42" s="283" t="str">
        <f t="shared" si="7"/>
        <v>-</v>
      </c>
      <c r="T42" s="283" t="str">
        <f t="shared" si="8"/>
        <v>-</v>
      </c>
      <c r="U42" s="283" t="str">
        <f t="shared" si="9"/>
        <v>-</v>
      </c>
      <c r="V42" s="283" t="str">
        <f t="shared" si="10"/>
        <v>-</v>
      </c>
      <c r="W42" s="1" t="str">
        <f t="shared" si="11"/>
        <v>https://www.census.gov/quickfacts/fact/table/bostoncitymassachusetts,newyorkcitynewyork,washingtoncitydistrictofcolumbia,chicagocityillinois,losangelescitycalifornia,sanfranciscocitycalifornia/PST045221/</v>
      </c>
      <c r="X42" s="1" t="str">
        <f t="shared" si="12"/>
        <v>https://www.census.gov/</v>
      </c>
      <c r="Y42" s="1" t="str">
        <f t="shared" si="13"/>
        <v>優先3</v>
      </c>
      <c r="Z42" s="1" t="str">
        <f t="shared" si="14"/>
        <v>Census Bureau, Department of Commerce, United States. "QuickFacts". Accessed 15 May, 2023. https://www.census.gov/.</v>
      </c>
    </row>
    <row r="43" spans="2:26">
      <c r="B43" s="285" t="s">
        <v>677</v>
      </c>
      <c r="C43" s="285" t="s">
        <v>464</v>
      </c>
      <c r="D43" s="285" t="s">
        <v>673</v>
      </c>
      <c r="E43" s="285" t="s">
        <v>178</v>
      </c>
      <c r="F43" s="13" t="s">
        <v>1011</v>
      </c>
      <c r="G43" s="13" t="s">
        <v>710</v>
      </c>
      <c r="H43" s="13"/>
      <c r="I43" s="13" t="s">
        <v>2591</v>
      </c>
      <c r="J43" s="13" t="s">
        <v>3623</v>
      </c>
      <c r="K43" s="284">
        <v>45061</v>
      </c>
      <c r="L43" s="283">
        <f t="shared" si="0"/>
        <v>6</v>
      </c>
      <c r="M43" s="283" t="str">
        <f t="shared" si="1"/>
        <v>-</v>
      </c>
      <c r="N43" s="283" t="str">
        <f t="shared" si="2"/>
        <v>-</v>
      </c>
      <c r="O43" s="283" t="str">
        <f t="shared" si="3"/>
        <v>-</v>
      </c>
      <c r="P43" s="283" t="str">
        <f t="shared" si="4"/>
        <v>-</v>
      </c>
      <c r="Q43" s="283" t="str">
        <f t="shared" si="5"/>
        <v>-</v>
      </c>
      <c r="R43" s="283" t="str">
        <f t="shared" si="6"/>
        <v>-</v>
      </c>
      <c r="S43" s="283" t="str">
        <f t="shared" si="7"/>
        <v>-</v>
      </c>
      <c r="T43" s="283" t="str">
        <f t="shared" si="8"/>
        <v>-</v>
      </c>
      <c r="U43" s="283" t="str">
        <f t="shared" si="9"/>
        <v>-</v>
      </c>
      <c r="V43" s="283" t="str">
        <f t="shared" si="10"/>
        <v>-</v>
      </c>
      <c r="W43" s="1" t="str">
        <f t="shared" si="11"/>
        <v>https://www.census.gov/quickfacts/fact/table/bostoncitymassachusetts,newyorkcitynewyork,washingtoncitydistrictofcolumbia,chicagocityillinois,losangelescitycalifornia,sanfranciscocitycalifornia/PST045221/</v>
      </c>
      <c r="X43" s="1" t="str">
        <f t="shared" si="12"/>
        <v>https://www.census.gov/</v>
      </c>
      <c r="Y43" s="1" t="str">
        <f t="shared" si="13"/>
        <v>優先3</v>
      </c>
      <c r="Z43" s="1" t="str">
        <f t="shared" si="14"/>
        <v>Census Bureau, Department of Commerce, United States. "QuickFacts". Accessed 15 May, 2023. https://www.census.gov/.</v>
      </c>
    </row>
    <row r="44" spans="2:26">
      <c r="B44" s="285" t="s">
        <v>677</v>
      </c>
      <c r="C44" s="285" t="s">
        <v>464</v>
      </c>
      <c r="D44" s="285" t="s">
        <v>673</v>
      </c>
      <c r="E44" s="285" t="s">
        <v>180</v>
      </c>
      <c r="F44" s="13" t="s">
        <v>1011</v>
      </c>
      <c r="G44" s="13" t="s">
        <v>710</v>
      </c>
      <c r="H44" s="13"/>
      <c r="I44" s="13" t="s">
        <v>2591</v>
      </c>
      <c r="J44" s="13" t="s">
        <v>3623</v>
      </c>
      <c r="K44" s="284">
        <v>45061</v>
      </c>
      <c r="L44" s="283">
        <f t="shared" si="0"/>
        <v>6</v>
      </c>
      <c r="M44" s="283" t="str">
        <f t="shared" si="1"/>
        <v>-</v>
      </c>
      <c r="N44" s="283" t="str">
        <f t="shared" si="2"/>
        <v>-</v>
      </c>
      <c r="O44" s="283" t="str">
        <f t="shared" si="3"/>
        <v>-</v>
      </c>
      <c r="P44" s="283" t="str">
        <f t="shared" si="4"/>
        <v>-</v>
      </c>
      <c r="Q44" s="283" t="str">
        <f t="shared" si="5"/>
        <v>-</v>
      </c>
      <c r="R44" s="283" t="str">
        <f t="shared" si="6"/>
        <v>-</v>
      </c>
      <c r="S44" s="283" t="str">
        <f t="shared" si="7"/>
        <v>-</v>
      </c>
      <c r="T44" s="283" t="str">
        <f t="shared" si="8"/>
        <v>-</v>
      </c>
      <c r="U44" s="283" t="str">
        <f t="shared" si="9"/>
        <v>-</v>
      </c>
      <c r="V44" s="283" t="str">
        <f t="shared" si="10"/>
        <v>-</v>
      </c>
      <c r="W44" s="1" t="str">
        <f t="shared" si="11"/>
        <v>https://www.census.gov/quickfacts/fact/table/bostoncitymassachusetts,newyorkcitynewyork,washingtoncitydistrictofcolumbia,chicagocityillinois,losangelescitycalifornia,sanfranciscocitycalifornia/PST045221/</v>
      </c>
      <c r="X44" s="1" t="str">
        <f t="shared" si="12"/>
        <v>https://www.census.gov/</v>
      </c>
      <c r="Y44" s="1" t="str">
        <f t="shared" si="13"/>
        <v>優先3</v>
      </c>
      <c r="Z44" s="1" t="str">
        <f t="shared" si="14"/>
        <v>Census Bureau, Department of Commerce, United States. "QuickFacts". Accessed 15 May, 2023. https://www.census.gov/.</v>
      </c>
    </row>
    <row r="45" spans="2:26">
      <c r="B45" s="285" t="s">
        <v>677</v>
      </c>
      <c r="C45" s="285" t="s">
        <v>464</v>
      </c>
      <c r="D45" s="285" t="s">
        <v>673</v>
      </c>
      <c r="E45" s="285" t="s">
        <v>182</v>
      </c>
      <c r="F45" s="13" t="s">
        <v>885</v>
      </c>
      <c r="G45" s="13" t="s">
        <v>831</v>
      </c>
      <c r="H45" s="13"/>
      <c r="I45" s="13" t="s">
        <v>2592</v>
      </c>
      <c r="J45" s="13" t="s">
        <v>1132</v>
      </c>
      <c r="K45" s="284">
        <v>45061</v>
      </c>
      <c r="L45" s="283" t="str">
        <f t="shared" si="0"/>
        <v>-</v>
      </c>
      <c r="M45" s="283" t="str">
        <f t="shared" si="1"/>
        <v>-</v>
      </c>
      <c r="N45" s="283" t="str">
        <f t="shared" si="2"/>
        <v>-</v>
      </c>
      <c r="O45" s="283" t="str">
        <f t="shared" si="3"/>
        <v>-</v>
      </c>
      <c r="P45" s="283" t="str">
        <f t="shared" si="4"/>
        <v>-</v>
      </c>
      <c r="Q45" s="283" t="str">
        <f t="shared" si="5"/>
        <v>-</v>
      </c>
      <c r="R45" s="283" t="str">
        <f t="shared" si="6"/>
        <v>-</v>
      </c>
      <c r="S45" s="283" t="str">
        <f t="shared" si="7"/>
        <v>-</v>
      </c>
      <c r="T45" s="283" t="str">
        <f t="shared" si="8"/>
        <v>-</v>
      </c>
      <c r="U45" s="283" t="str">
        <f t="shared" si="9"/>
        <v>-</v>
      </c>
      <c r="V45" s="283" t="str">
        <f t="shared" si="10"/>
        <v>-</v>
      </c>
      <c r="W45" s="1" t="str">
        <f t="shared" si="11"/>
        <v>https://cidades.ibge.gov.br/brasil/sp/sao-paulo/panorama/</v>
      </c>
      <c r="X45" s="1" t="str">
        <f t="shared" si="12"/>
        <v>https://cidades.ibge.gov.br/</v>
      </c>
      <c r="Y45" s="1" t="str">
        <f t="shared" si="13"/>
        <v>優先3</v>
      </c>
      <c r="Z45" s="1" t="str">
        <f t="shared" si="14"/>
        <v>Instituto Brasileiro de Geografia e Estatística, Federative Republic of Brazil. "População". Accessed 15 May, 2023. https://cidades.ibge.gov.br/.</v>
      </c>
    </row>
    <row r="46" spans="2:26">
      <c r="B46" s="285" t="s">
        <v>677</v>
      </c>
      <c r="C46" s="285" t="s">
        <v>464</v>
      </c>
      <c r="D46" s="285" t="s">
        <v>673</v>
      </c>
      <c r="E46" s="285" t="s">
        <v>184</v>
      </c>
      <c r="F46" s="13" t="s">
        <v>2593</v>
      </c>
      <c r="G46" s="13"/>
      <c r="H46" s="13"/>
      <c r="I46" s="13" t="s">
        <v>2594</v>
      </c>
      <c r="J46" s="13" t="s">
        <v>2595</v>
      </c>
      <c r="K46" s="284">
        <v>45061</v>
      </c>
      <c r="L46" s="283" t="str">
        <f t="shared" si="0"/>
        <v>-</v>
      </c>
      <c r="M46" s="283" t="str">
        <f t="shared" si="1"/>
        <v>-</v>
      </c>
      <c r="N46" s="283" t="str">
        <f t="shared" si="2"/>
        <v>-</v>
      </c>
      <c r="O46" s="283" t="str">
        <f t="shared" si="3"/>
        <v>-</v>
      </c>
      <c r="P46" s="283" t="str">
        <f t="shared" si="4"/>
        <v>-</v>
      </c>
      <c r="Q46" s="283" t="str">
        <f t="shared" si="5"/>
        <v>-</v>
      </c>
      <c r="R46" s="283" t="str">
        <f t="shared" si="6"/>
        <v>-</v>
      </c>
      <c r="S46" s="283" t="str">
        <f t="shared" si="7"/>
        <v>-</v>
      </c>
      <c r="T46" s="283" t="str">
        <f t="shared" si="8"/>
        <v>-</v>
      </c>
      <c r="U46" s="283" t="str">
        <f t="shared" si="9"/>
        <v>-</v>
      </c>
      <c r="V46" s="283" t="str">
        <f t="shared" si="10"/>
        <v>-</v>
      </c>
      <c r="W46" s="1" t="str">
        <f t="shared" si="11"/>
        <v>https://municipalities.co.za/demographic/2/city-of-johannesburg-metropolitan-municipality/</v>
      </c>
      <c r="X46" s="1" t="str">
        <f t="shared" si="12"/>
        <v>https://municipalities.co.za/</v>
      </c>
      <c r="Y46" s="1" t="str">
        <f t="shared" si="13"/>
        <v>優先3</v>
      </c>
      <c r="Z46" s="1" t="str">
        <f t="shared" si="14"/>
        <v>Municipalities of South Africa. "Demographic Information". Accessed 15 May, 2023. https://municipalities.co.za/.</v>
      </c>
    </row>
    <row r="47" spans="2:26">
      <c r="B47" s="285" t="s">
        <v>677</v>
      </c>
      <c r="C47" s="285" t="s">
        <v>464</v>
      </c>
      <c r="D47" s="285" t="s">
        <v>673</v>
      </c>
      <c r="E47" s="285" t="s">
        <v>186</v>
      </c>
      <c r="F47" s="13" t="s">
        <v>1133</v>
      </c>
      <c r="G47" s="13" t="s">
        <v>1134</v>
      </c>
      <c r="H47" s="13"/>
      <c r="I47" s="13" t="s">
        <v>2596</v>
      </c>
      <c r="J47" s="13" t="s">
        <v>3625</v>
      </c>
      <c r="K47" s="284">
        <v>45061</v>
      </c>
      <c r="L47" s="283" t="str">
        <f t="shared" si="0"/>
        <v>-</v>
      </c>
      <c r="M47" s="283" t="str">
        <f t="shared" si="1"/>
        <v>-</v>
      </c>
      <c r="N47" s="283" t="str">
        <f t="shared" si="2"/>
        <v>-</v>
      </c>
      <c r="O47" s="283" t="str">
        <f t="shared" si="3"/>
        <v>-</v>
      </c>
      <c r="P47" s="283" t="str">
        <f t="shared" si="4"/>
        <v>-</v>
      </c>
      <c r="Q47" s="283" t="str">
        <f t="shared" si="5"/>
        <v>-</v>
      </c>
      <c r="R47" s="283" t="str">
        <f t="shared" si="6"/>
        <v>-</v>
      </c>
      <c r="S47" s="283" t="str">
        <f t="shared" si="7"/>
        <v>-</v>
      </c>
      <c r="T47" s="283" t="str">
        <f t="shared" si="8"/>
        <v>-</v>
      </c>
      <c r="U47" s="283" t="str">
        <f t="shared" si="9"/>
        <v>-</v>
      </c>
      <c r="V47" s="283" t="str">
        <f t="shared" si="10"/>
        <v>-</v>
      </c>
      <c r="W47" s="1" t="str">
        <f t="shared" si="11"/>
        <v>https://jakarta.bps.go.id/subject/12/kependudukan.html#subjekViewTab5/</v>
      </c>
      <c r="X47" s="1" t="str">
        <f t="shared" si="12"/>
        <v>https://jakarta.bps.go.id/</v>
      </c>
      <c r="Y47" s="1" t="str">
        <f t="shared" si="13"/>
        <v>優先3</v>
      </c>
      <c r="Z47" s="1" t="str">
        <f t="shared" si="14"/>
        <v>BPS-Statistics Indonesia, Indonesia government. "Population of DKI Jakarta Province by Age Group and Sex". Accessed 15 May, 2023. https://jakarta.bps.go.id/.</v>
      </c>
    </row>
    <row r="48" spans="2:26">
      <c r="B48" s="285" t="s">
        <v>677</v>
      </c>
      <c r="C48" s="285" t="s">
        <v>464</v>
      </c>
      <c r="D48" s="285" t="s">
        <v>673</v>
      </c>
      <c r="E48" s="285" t="s">
        <v>188</v>
      </c>
      <c r="F48" s="13" t="s">
        <v>1135</v>
      </c>
      <c r="G48" s="13" t="s">
        <v>1136</v>
      </c>
      <c r="H48" s="13"/>
      <c r="I48" s="13" t="s">
        <v>4009</v>
      </c>
      <c r="J48" s="13" t="s">
        <v>4010</v>
      </c>
      <c r="K48" s="284">
        <v>45061</v>
      </c>
      <c r="L48" s="283" t="str">
        <f t="shared" si="0"/>
        <v>-</v>
      </c>
      <c r="M48" s="283" t="str">
        <f t="shared" si="1"/>
        <v>-</v>
      </c>
      <c r="N48" s="283" t="str">
        <f t="shared" si="2"/>
        <v>-</v>
      </c>
      <c r="O48" s="283" t="str">
        <f t="shared" si="3"/>
        <v>-</v>
      </c>
      <c r="P48" s="283" t="str">
        <f t="shared" si="4"/>
        <v>-</v>
      </c>
      <c r="Q48" s="283" t="str">
        <f t="shared" si="5"/>
        <v>-</v>
      </c>
      <c r="R48" s="283" t="str">
        <f t="shared" si="6"/>
        <v>-</v>
      </c>
      <c r="S48" s="283" t="str">
        <f t="shared" si="7"/>
        <v>-</v>
      </c>
      <c r="T48" s="283" t="str">
        <f t="shared" si="8"/>
        <v>-</v>
      </c>
      <c r="U48" s="283" t="str">
        <f t="shared" si="9"/>
        <v>-</v>
      </c>
      <c r="V48" s="283" t="str">
        <f t="shared" si="10"/>
        <v>-</v>
      </c>
      <c r="W48" s="1" t="str">
        <f t="shared" si="11"/>
        <v>https://www.estadisticaciudad.gob.ar/eyc/?p=132766/</v>
      </c>
      <c r="X48" s="1" t="str">
        <f t="shared" si="12"/>
        <v>https://www.estadisticaciudad.gob.ar/</v>
      </c>
      <c r="Y48" s="1" t="str">
        <f t="shared" si="13"/>
        <v>優先3</v>
      </c>
      <c r="Z48" s="1" t="str">
        <f t="shared" si="14"/>
        <v>Dirección General de Estadística y Censos, City of Buenos Aires. "Anuario Estadístico de la Ciudad de Buenos Aires 2021". Accessed 15 May, 2023. https://www.estadisticaciudad.gob.ar/.</v>
      </c>
    </row>
    <row r="49" spans="2:26">
      <c r="B49" s="285" t="s">
        <v>677</v>
      </c>
      <c r="C49" s="285" t="s">
        <v>464</v>
      </c>
      <c r="D49" s="285" t="s">
        <v>673</v>
      </c>
      <c r="E49" s="285" t="s">
        <v>190</v>
      </c>
      <c r="F49" s="13" t="s">
        <v>862</v>
      </c>
      <c r="G49" s="13" t="s">
        <v>829</v>
      </c>
      <c r="H49" s="13"/>
      <c r="I49" s="13" t="s">
        <v>3626</v>
      </c>
      <c r="J49" s="13" t="s">
        <v>3627</v>
      </c>
      <c r="K49" s="284">
        <v>45061</v>
      </c>
      <c r="L49" s="283" t="str">
        <f t="shared" si="0"/>
        <v>-</v>
      </c>
      <c r="M49" s="283" t="str">
        <f t="shared" si="1"/>
        <v>-</v>
      </c>
      <c r="N49" s="283" t="str">
        <f t="shared" si="2"/>
        <v>-</v>
      </c>
      <c r="O49" s="283" t="str">
        <f t="shared" si="3"/>
        <v>-</v>
      </c>
      <c r="P49" s="283" t="str">
        <f t="shared" si="4"/>
        <v>-</v>
      </c>
      <c r="Q49" s="283" t="str">
        <f t="shared" si="5"/>
        <v>-</v>
      </c>
      <c r="R49" s="283" t="str">
        <f t="shared" si="6"/>
        <v>-</v>
      </c>
      <c r="S49" s="283" t="str">
        <f t="shared" si="7"/>
        <v>-</v>
      </c>
      <c r="T49" s="283" t="str">
        <f t="shared" si="8"/>
        <v>-</v>
      </c>
      <c r="U49" s="283" t="str">
        <f t="shared" si="9"/>
        <v>-</v>
      </c>
      <c r="V49" s="283" t="str">
        <f t="shared" si="10"/>
        <v>-</v>
      </c>
      <c r="W49" s="1" t="str">
        <f t="shared" si="11"/>
        <v>https://www.dsc.gov.ae/en-us/Themes/Pages/Population-and-Vital-Statistics.aspx?Theme=42&amp;year=2020#DSC_Tab1/</v>
      </c>
      <c r="X49" s="1" t="str">
        <f t="shared" si="12"/>
        <v>https://www.dsc.gov.ae/</v>
      </c>
      <c r="Y49" s="1" t="str">
        <f t="shared" si="13"/>
        <v>優先3</v>
      </c>
      <c r="Z49" s="1" t="str">
        <f t="shared" si="14"/>
        <v>Dubai Statistics Center, Government of Dubai. "Distribution of Estimated Population &amp; Population Density (person/km2) by Sector and Community". Accessed 15 May, 2023. https://www.dsc.gov.ae/.</v>
      </c>
    </row>
    <row r="50" spans="2:26">
      <c r="B50" s="285" t="s">
        <v>677</v>
      </c>
      <c r="C50" s="285" t="s">
        <v>464</v>
      </c>
      <c r="D50" s="285" t="s">
        <v>673</v>
      </c>
      <c r="E50" s="285" t="s">
        <v>369</v>
      </c>
      <c r="F50" s="13" t="s">
        <v>1137</v>
      </c>
      <c r="G50" s="13"/>
      <c r="H50" s="13"/>
      <c r="I50" s="13" t="s">
        <v>2597</v>
      </c>
      <c r="J50" s="13" t="s">
        <v>2598</v>
      </c>
      <c r="K50" s="284">
        <v>45061</v>
      </c>
      <c r="L50" s="283" t="str">
        <f t="shared" si="0"/>
        <v>-</v>
      </c>
      <c r="M50" s="283" t="str">
        <f t="shared" si="1"/>
        <v>-</v>
      </c>
      <c r="N50" s="283" t="str">
        <f t="shared" si="2"/>
        <v>-</v>
      </c>
      <c r="O50" s="283" t="str">
        <f t="shared" si="3"/>
        <v>-</v>
      </c>
      <c r="P50" s="283" t="str">
        <f t="shared" si="4"/>
        <v>-</v>
      </c>
      <c r="Q50" s="283" t="str">
        <f t="shared" si="5"/>
        <v>-</v>
      </c>
      <c r="R50" s="283" t="str">
        <f t="shared" si="6"/>
        <v>-</v>
      </c>
      <c r="S50" s="283" t="str">
        <f t="shared" si="7"/>
        <v>-</v>
      </c>
      <c r="T50" s="283" t="str">
        <f t="shared" si="8"/>
        <v>-</v>
      </c>
      <c r="U50" s="283" t="str">
        <f t="shared" si="9"/>
        <v>-</v>
      </c>
      <c r="V50" s="283" t="str">
        <f t="shared" si="10"/>
        <v>-</v>
      </c>
      <c r="W50" s="1" t="str">
        <f t="shared" si="11"/>
        <v>https://data.cso.ie/</v>
      </c>
      <c r="X50" s="1" t="str">
        <f t="shared" si="12"/>
        <v>https://data.cso.ie/</v>
      </c>
      <c r="Y50" s="1" t="str">
        <f t="shared" si="13"/>
        <v>優先3</v>
      </c>
      <c r="Z50" s="1" t="str">
        <f t="shared" si="14"/>
        <v>Central Statistics Office, Ireland. "Population Density and Area Size 2011 to 2016". Accessed 15 May, 2023. https://data.cso.ie/.</v>
      </c>
    </row>
    <row r="51" spans="2:26">
      <c r="B51" s="285" t="s">
        <v>677</v>
      </c>
      <c r="C51" s="285" t="s">
        <v>464</v>
      </c>
      <c r="D51" s="285" t="s">
        <v>673</v>
      </c>
      <c r="E51" s="285" t="s">
        <v>370</v>
      </c>
      <c r="F51" s="13" t="s">
        <v>828</v>
      </c>
      <c r="G51" s="13"/>
      <c r="H51" s="13"/>
      <c r="I51" s="13" t="s">
        <v>2631</v>
      </c>
      <c r="J51" s="13" t="s">
        <v>1348</v>
      </c>
      <c r="K51" s="284">
        <v>45061</v>
      </c>
      <c r="L51" s="283" t="str">
        <f t="shared" si="0"/>
        <v>-</v>
      </c>
      <c r="M51" s="283" t="str">
        <f t="shared" si="1"/>
        <v>-</v>
      </c>
      <c r="N51" s="283" t="str">
        <f t="shared" si="2"/>
        <v>-</v>
      </c>
      <c r="O51" s="283" t="str">
        <f t="shared" si="3"/>
        <v>-</v>
      </c>
      <c r="P51" s="283" t="str">
        <f t="shared" si="4"/>
        <v>-</v>
      </c>
      <c r="Q51" s="283" t="str">
        <f t="shared" si="5"/>
        <v>-</v>
      </c>
      <c r="R51" s="283" t="str">
        <f t="shared" si="6"/>
        <v>-</v>
      </c>
      <c r="S51" s="283" t="str">
        <f t="shared" si="7"/>
        <v>-</v>
      </c>
      <c r="T51" s="283" t="str">
        <f t="shared" si="8"/>
        <v>-</v>
      </c>
      <c r="U51" s="283" t="str">
        <f t="shared" si="9"/>
        <v>-</v>
      </c>
      <c r="V51" s="283" t="str">
        <f t="shared" si="10"/>
        <v>NG</v>
      </c>
      <c r="W51" s="1" t="str">
        <f t="shared" si="11"/>
        <v>https://hri.fi/data/en_GB/dataset/helsingin-tilastollinen-vuosikirja/</v>
      </c>
      <c r="X51" s="1" t="str">
        <f t="shared" si="12"/>
        <v>https://hri.fi/</v>
      </c>
      <c r="Y51" s="1" t="str">
        <f t="shared" si="13"/>
        <v>優先3</v>
      </c>
      <c r="Z51" s="1" t="str">
        <f t="shared" si="14"/>
        <v>Helsinki Region Infoshare . "STATISTICAL YEARBOOK OF HELSINKI". Accessed 15 May, 2023. https://hri.fi/.</v>
      </c>
    </row>
    <row r="52" spans="2:26">
      <c r="B52" s="285" t="s">
        <v>677</v>
      </c>
      <c r="C52" s="285" t="s">
        <v>464</v>
      </c>
      <c r="D52" s="285" t="s">
        <v>673</v>
      </c>
      <c r="E52" s="285" t="s">
        <v>371</v>
      </c>
      <c r="F52" s="13" t="s">
        <v>1021</v>
      </c>
      <c r="G52" s="13" t="s">
        <v>1138</v>
      </c>
      <c r="H52" s="13"/>
      <c r="I52" s="13" t="s">
        <v>4011</v>
      </c>
      <c r="J52" s="13" t="s">
        <v>4012</v>
      </c>
      <c r="K52" s="284">
        <v>45061</v>
      </c>
      <c r="L52" s="283" t="str">
        <f t="shared" si="0"/>
        <v>-</v>
      </c>
      <c r="M52" s="283" t="str">
        <f t="shared" si="1"/>
        <v>-</v>
      </c>
      <c r="N52" s="283" t="str">
        <f t="shared" si="2"/>
        <v>-</v>
      </c>
      <c r="O52" s="283" t="str">
        <f t="shared" si="3"/>
        <v>-</v>
      </c>
      <c r="P52" s="283" t="str">
        <f t="shared" si="4"/>
        <v>-</v>
      </c>
      <c r="Q52" s="283" t="str">
        <f t="shared" si="5"/>
        <v>-</v>
      </c>
      <c r="R52" s="283" t="str">
        <f t="shared" si="6"/>
        <v>-</v>
      </c>
      <c r="S52" s="283" t="str">
        <f t="shared" si="7"/>
        <v>-</v>
      </c>
      <c r="T52" s="283" t="str">
        <f t="shared" si="8"/>
        <v>-</v>
      </c>
      <c r="U52" s="283" t="str">
        <f t="shared" si="9"/>
        <v>-</v>
      </c>
      <c r="V52" s="283" t="str">
        <f t="shared" si="10"/>
        <v>-</v>
      </c>
      <c r="W52" s="1" t="str">
        <f t="shared" si="11"/>
        <v>https://www.cbs.gov.il/en/publications/Pages/2022/Population-Statistical-Abstract-of-Israel-2022-No.73.aspx/</v>
      </c>
      <c r="X52" s="1" t="str">
        <f t="shared" si="12"/>
        <v>https://www.cbs.gov.il/</v>
      </c>
      <c r="Y52" s="1" t="str">
        <f t="shared" si="13"/>
        <v>優先3</v>
      </c>
      <c r="Z52" s="1" t="str">
        <f t="shared" si="14"/>
        <v>Central Bureau of Statistics, State of Israel. "Population - Statistical Abstract of Israel 2022 - No.73". Accessed 15 May, 2023. https://www.cbs.gov.il/.</v>
      </c>
    </row>
    <row r="53" spans="2:26">
      <c r="B53" s="285" t="s">
        <v>677</v>
      </c>
      <c r="C53" s="285" t="s">
        <v>464</v>
      </c>
      <c r="D53" s="285" t="s">
        <v>673</v>
      </c>
      <c r="E53" s="285" t="s">
        <v>372</v>
      </c>
      <c r="F53" s="13" t="s">
        <v>811</v>
      </c>
      <c r="G53" s="13" t="s">
        <v>984</v>
      </c>
      <c r="H53" s="13"/>
      <c r="I53" s="13" t="s">
        <v>4006</v>
      </c>
      <c r="J53" s="13" t="s">
        <v>4007</v>
      </c>
      <c r="K53" s="284">
        <v>45061</v>
      </c>
      <c r="L53" s="283">
        <f t="shared" si="0"/>
        <v>2</v>
      </c>
      <c r="M53" s="283" t="str">
        <f t="shared" si="1"/>
        <v>-</v>
      </c>
      <c r="N53" s="283" t="str">
        <f t="shared" si="2"/>
        <v>-</v>
      </c>
      <c r="O53" s="283" t="str">
        <f t="shared" si="3"/>
        <v>-</v>
      </c>
      <c r="P53" s="283" t="str">
        <f t="shared" si="4"/>
        <v>-</v>
      </c>
      <c r="Q53" s="283" t="str">
        <f t="shared" si="5"/>
        <v>-</v>
      </c>
      <c r="R53" s="283" t="str">
        <f t="shared" si="6"/>
        <v>-</v>
      </c>
      <c r="S53" s="283" t="str">
        <f t="shared" si="7"/>
        <v>-</v>
      </c>
      <c r="T53" s="283" t="str">
        <f t="shared" si="8"/>
        <v>-</v>
      </c>
      <c r="U53" s="283" t="str">
        <f t="shared" si="9"/>
        <v>-</v>
      </c>
      <c r="V53" s="283" t="str">
        <f t="shared" si="10"/>
        <v>-</v>
      </c>
      <c r="W53" s="1" t="str">
        <f t="shared" si="11"/>
        <v>https://www.abs.gov.au/statistics/people/population/regional-population/2021-22#data-downloads/</v>
      </c>
      <c r="X53" s="1" t="str">
        <f t="shared" si="12"/>
        <v>https://www.abs.gov.au/</v>
      </c>
      <c r="Y53" s="1" t="str">
        <f t="shared" si="13"/>
        <v>優先3</v>
      </c>
      <c r="Z53" s="1" t="str">
        <f t="shared" si="14"/>
        <v>Australian Bureau of Statistics, Government of Australia. "Population estimates and components by SA2, 2021 to 2022". Accessed 15 May, 2023. https://www.abs.gov.au/.</v>
      </c>
    </row>
    <row r="54" spans="2:26">
      <c r="B54" s="285" t="s">
        <v>676</v>
      </c>
      <c r="C54" s="285" t="s">
        <v>464</v>
      </c>
      <c r="D54" s="285" t="s">
        <v>673</v>
      </c>
      <c r="E54" s="285" t="s">
        <v>105</v>
      </c>
      <c r="F54" s="13" t="s">
        <v>2571</v>
      </c>
      <c r="G54" s="13"/>
      <c r="H54" s="13"/>
      <c r="I54" s="13" t="s">
        <v>2572</v>
      </c>
      <c r="J54" s="13" t="s">
        <v>3988</v>
      </c>
      <c r="K54" s="284">
        <v>45056</v>
      </c>
      <c r="L54" s="283" t="str">
        <f t="shared" si="0"/>
        <v>-</v>
      </c>
      <c r="M54" s="283" t="str">
        <f t="shared" si="1"/>
        <v>-</v>
      </c>
      <c r="N54" s="283" t="str">
        <f t="shared" si="2"/>
        <v>-</v>
      </c>
      <c r="O54" s="283" t="str">
        <f t="shared" si="3"/>
        <v>-</v>
      </c>
      <c r="P54" s="283" t="str">
        <f t="shared" si="4"/>
        <v>-</v>
      </c>
      <c r="Q54" s="283" t="str">
        <f t="shared" si="5"/>
        <v>-</v>
      </c>
      <c r="R54" s="283" t="str">
        <f t="shared" si="6"/>
        <v>-</v>
      </c>
      <c r="S54" s="283" t="str">
        <f t="shared" si="7"/>
        <v>-</v>
      </c>
      <c r="T54" s="283" t="str">
        <f t="shared" si="8"/>
        <v>-</v>
      </c>
      <c r="U54" s="283" t="str">
        <f t="shared" si="9"/>
        <v>-</v>
      </c>
      <c r="V54" s="283" t="str">
        <f t="shared" si="10"/>
        <v>-</v>
      </c>
      <c r="W54" s="1" t="str">
        <f t="shared" si="11"/>
        <v>https://gestiona.comunidad.madrid/desvan/almudena/servlet/AccionDatosUnMunicipio.icm?municipio=0796&amp;listaTemas=201007/</v>
      </c>
      <c r="X54" s="1" t="str">
        <f t="shared" si="12"/>
        <v>https://gestiona.comunidad.madrid/</v>
      </c>
      <c r="Y54" s="1" t="str">
        <f t="shared" si="13"/>
        <v>優先3</v>
      </c>
      <c r="Z54" s="1" t="str">
        <f t="shared" si="14"/>
        <v>Instituto de Estadística de la Comunidad de Madrid, Comunidad de Madrid. "Bancos de Datos Municipal y Zonal (ALMUDENA)". Accessed 10 May, 2023. https://gestiona.comunidad.madrid/.</v>
      </c>
    </row>
    <row r="55" spans="2:26">
      <c r="B55" s="285" t="s">
        <v>676</v>
      </c>
      <c r="C55" s="285" t="s">
        <v>464</v>
      </c>
      <c r="D55" s="285" t="s">
        <v>673</v>
      </c>
      <c r="E55" s="285" t="s">
        <v>106</v>
      </c>
      <c r="F55" s="13" t="s">
        <v>2573</v>
      </c>
      <c r="G55" s="13"/>
      <c r="H55" s="13"/>
      <c r="I55" s="13" t="s">
        <v>2574</v>
      </c>
      <c r="J55" s="13" t="s">
        <v>3989</v>
      </c>
      <c r="K55" s="284">
        <v>45056</v>
      </c>
      <c r="L55" s="283" t="str">
        <f t="shared" si="0"/>
        <v>-</v>
      </c>
      <c r="M55" s="283" t="str">
        <f t="shared" si="1"/>
        <v>-</v>
      </c>
      <c r="N55" s="283" t="str">
        <f t="shared" si="2"/>
        <v>NG</v>
      </c>
      <c r="O55" s="283" t="str">
        <f t="shared" si="3"/>
        <v>-</v>
      </c>
      <c r="P55" s="283" t="str">
        <f t="shared" si="4"/>
        <v>-</v>
      </c>
      <c r="Q55" s="283" t="str">
        <f t="shared" si="5"/>
        <v>-</v>
      </c>
      <c r="R55" s="283" t="str">
        <f t="shared" si="6"/>
        <v>-</v>
      </c>
      <c r="S55" s="283" t="str">
        <f t="shared" si="7"/>
        <v>-</v>
      </c>
      <c r="T55" s="283" t="str">
        <f t="shared" si="8"/>
        <v>-</v>
      </c>
      <c r="U55" s="283" t="str">
        <f t="shared" si="9"/>
        <v>-</v>
      </c>
      <c r="V55" s="283" t="str">
        <f t="shared" si="10"/>
        <v>-</v>
      </c>
      <c r="W55" s="1" t="str">
        <f t="shared" si="11"/>
        <v>https://www.idescat.cat/indicadors/?id=aec&amp;n=15903/</v>
      </c>
      <c r="X55" s="1" t="str">
        <f t="shared" si="12"/>
        <v>https://www.idescat.cat/</v>
      </c>
      <c r="Y55" s="1" t="str">
        <f t="shared" si="13"/>
        <v>優先3</v>
      </c>
      <c r="Z55" s="1" t="str">
        <f t="shared" si="14"/>
        <v>Institut d'Estadística de Catalunya (idescat), Departament d'Economia i Coneixement, Generalitat de Catalunya. "Anuari estadístic de Catalunya". Accessed 10 May, 2023. https://www.idescat.cat/.</v>
      </c>
    </row>
    <row r="56" spans="2:26">
      <c r="B56" s="285" t="s">
        <v>676</v>
      </c>
      <c r="C56" s="285" t="s">
        <v>464</v>
      </c>
      <c r="D56" s="285" t="s">
        <v>673</v>
      </c>
      <c r="E56" s="285" t="s">
        <v>108</v>
      </c>
      <c r="F56" s="13" t="s">
        <v>1118</v>
      </c>
      <c r="G56" s="13" t="s">
        <v>731</v>
      </c>
      <c r="H56" s="13"/>
      <c r="I56" s="13" t="s">
        <v>2575</v>
      </c>
      <c r="J56" s="13" t="s">
        <v>1119</v>
      </c>
      <c r="K56" s="284">
        <v>45056</v>
      </c>
      <c r="L56" s="283" t="str">
        <f t="shared" si="0"/>
        <v>-</v>
      </c>
      <c r="M56" s="283" t="str">
        <f t="shared" si="1"/>
        <v>-</v>
      </c>
      <c r="N56" s="283" t="str">
        <f t="shared" si="2"/>
        <v>-</v>
      </c>
      <c r="O56" s="283" t="str">
        <f t="shared" si="3"/>
        <v>-</v>
      </c>
      <c r="P56" s="283" t="str">
        <f t="shared" si="4"/>
        <v>-</v>
      </c>
      <c r="Q56" s="283" t="str">
        <f t="shared" si="5"/>
        <v>-</v>
      </c>
      <c r="R56" s="283" t="str">
        <f t="shared" si="6"/>
        <v>-</v>
      </c>
      <c r="S56" s="283" t="str">
        <f t="shared" si="7"/>
        <v>-</v>
      </c>
      <c r="T56" s="283" t="str">
        <f t="shared" si="8"/>
        <v>-</v>
      </c>
      <c r="U56" s="283" t="str">
        <f t="shared" si="9"/>
        <v>-</v>
      </c>
      <c r="V56" s="283" t="str">
        <f t="shared" si="10"/>
        <v>NG</v>
      </c>
      <c r="W56" s="1" t="str">
        <f t="shared" si="11"/>
        <v>https://www.ons.gov.uk/peoplepopulationandcommunity/populationandmigration/populationestimates/datasets/populationestimatesforukenglandandwalesscotlandandnorthernireland/</v>
      </c>
      <c r="X56" s="1" t="str">
        <f t="shared" si="12"/>
        <v>https://www.ons.gov.uk/</v>
      </c>
      <c r="Y56" s="1" t="str">
        <f t="shared" si="13"/>
        <v>優先3</v>
      </c>
      <c r="Z56" s="1" t="str">
        <f t="shared" si="14"/>
        <v>Office for National Statistics , United Kingdom of Great Britain and Northern Ireland. "Estimates of the population for the UK, England and Wales, Scotland and Northern Ireland". Accessed 10 May, 2023. https://www.ons.gov.uk/.</v>
      </c>
    </row>
    <row r="57" spans="2:26">
      <c r="B57" s="285" t="s">
        <v>676</v>
      </c>
      <c r="C57" s="285" t="s">
        <v>464</v>
      </c>
      <c r="D57" s="285" t="s">
        <v>673</v>
      </c>
      <c r="E57" s="285" t="s">
        <v>110</v>
      </c>
      <c r="F57" s="13" t="s">
        <v>1020</v>
      </c>
      <c r="G57" s="13" t="s">
        <v>709</v>
      </c>
      <c r="H57" s="13"/>
      <c r="I57" s="13" t="s">
        <v>3990</v>
      </c>
      <c r="J57" s="13" t="s">
        <v>1120</v>
      </c>
      <c r="K57" s="284">
        <v>45056</v>
      </c>
      <c r="L57" s="283" t="str">
        <f t="shared" si="0"/>
        <v>-</v>
      </c>
      <c r="M57" s="283" t="str">
        <f t="shared" si="1"/>
        <v>-</v>
      </c>
      <c r="N57" s="283" t="str">
        <f t="shared" si="2"/>
        <v>-</v>
      </c>
      <c r="O57" s="283" t="str">
        <f t="shared" si="3"/>
        <v>-</v>
      </c>
      <c r="P57" s="283" t="str">
        <f t="shared" si="4"/>
        <v>-</v>
      </c>
      <c r="Q57" s="283" t="str">
        <f t="shared" si="5"/>
        <v>-</v>
      </c>
      <c r="R57" s="283" t="str">
        <f t="shared" si="6"/>
        <v>-</v>
      </c>
      <c r="S57" s="283" t="str">
        <f t="shared" si="7"/>
        <v>-</v>
      </c>
      <c r="T57" s="283" t="str">
        <f t="shared" si="8"/>
        <v>-</v>
      </c>
      <c r="U57" s="283" t="str">
        <f t="shared" si="9"/>
        <v>-</v>
      </c>
      <c r="V57" s="283" t="str">
        <f t="shared" si="10"/>
        <v>-</v>
      </c>
      <c r="W57" s="1" t="str">
        <f t="shared" si="11"/>
        <v>https://www.insee.fr/fr/statistiques/1893198/</v>
      </c>
      <c r="X57" s="1" t="str">
        <f t="shared" si="12"/>
        <v>https://www.insee.fr/</v>
      </c>
      <c r="Y57" s="1" t="str">
        <f t="shared" si="13"/>
        <v>優先3</v>
      </c>
      <c r="Z57" s="1" t="str">
        <f t="shared" si="14"/>
        <v>Institut National de la Statistique et des Études Économiques, French Republic. "Estimation de la population au 1er janvier 2023". Accessed 10 May, 2023. https://www.insee.fr/.</v>
      </c>
    </row>
    <row r="58" spans="2:26">
      <c r="B58" s="285" t="s">
        <v>676</v>
      </c>
      <c r="C58" s="285" t="s">
        <v>464</v>
      </c>
      <c r="D58" s="285" t="s">
        <v>673</v>
      </c>
      <c r="E58" s="285" t="s">
        <v>112</v>
      </c>
      <c r="F58" s="13" t="s">
        <v>1121</v>
      </c>
      <c r="G58" s="13"/>
      <c r="H58" s="13"/>
      <c r="I58" s="13" t="s">
        <v>2576</v>
      </c>
      <c r="J58" s="13" t="s">
        <v>2577</v>
      </c>
      <c r="K58" s="284">
        <v>45058</v>
      </c>
      <c r="L58" s="283" t="str">
        <f t="shared" si="0"/>
        <v>-</v>
      </c>
      <c r="M58" s="283" t="str">
        <f t="shared" si="1"/>
        <v>-</v>
      </c>
      <c r="N58" s="283" t="str">
        <f t="shared" si="2"/>
        <v>-</v>
      </c>
      <c r="O58" s="283" t="str">
        <f t="shared" si="3"/>
        <v>-</v>
      </c>
      <c r="P58" s="283" t="str">
        <f t="shared" si="4"/>
        <v>-</v>
      </c>
      <c r="Q58" s="283" t="str">
        <f t="shared" si="5"/>
        <v>-</v>
      </c>
      <c r="R58" s="283" t="str">
        <f t="shared" si="6"/>
        <v>-</v>
      </c>
      <c r="S58" s="283" t="str">
        <f t="shared" si="7"/>
        <v>-</v>
      </c>
      <c r="T58" s="283" t="str">
        <f t="shared" si="8"/>
        <v>-</v>
      </c>
      <c r="U58" s="283" t="str">
        <f t="shared" si="9"/>
        <v>-</v>
      </c>
      <c r="V58" s="283" t="str">
        <f t="shared" si="10"/>
        <v>-</v>
      </c>
      <c r="W58" s="1" t="str">
        <f t="shared" si="11"/>
        <v>https://statbel.fgov.be/fr/themes/population/densite-de-la-population#figures/</v>
      </c>
      <c r="X58" s="1" t="str">
        <f t="shared" si="12"/>
        <v>https://statbel.fgov.be/</v>
      </c>
      <c r="Y58" s="1" t="str">
        <f t="shared" si="13"/>
        <v>優先3</v>
      </c>
      <c r="Z58" s="1" t="str">
        <f t="shared" si="14"/>
        <v>Belgische Statistiekbureau, Belgische Federale Overheidsdiensten. "Densité de la population". Accessed 12 May, 2023. https://statbel.fgov.be/.</v>
      </c>
    </row>
    <row r="59" spans="2:26">
      <c r="B59" s="285" t="s">
        <v>676</v>
      </c>
      <c r="C59" s="285" t="s">
        <v>464</v>
      </c>
      <c r="D59" s="285" t="s">
        <v>673</v>
      </c>
      <c r="E59" s="285" t="s">
        <v>114</v>
      </c>
      <c r="F59" s="13"/>
      <c r="G59" s="13" t="s">
        <v>990</v>
      </c>
      <c r="H59" s="13"/>
      <c r="I59" s="13" t="s">
        <v>2578</v>
      </c>
      <c r="J59" s="13" t="s">
        <v>1122</v>
      </c>
      <c r="K59" s="284">
        <v>45058</v>
      </c>
      <c r="L59" s="283" t="str">
        <f t="shared" si="0"/>
        <v>-</v>
      </c>
      <c r="M59" s="283" t="str">
        <f t="shared" si="1"/>
        <v>-</v>
      </c>
      <c r="N59" s="283" t="str">
        <f t="shared" si="2"/>
        <v>-</v>
      </c>
      <c r="O59" s="283" t="str">
        <f t="shared" si="3"/>
        <v>-</v>
      </c>
      <c r="P59" s="283" t="str">
        <f t="shared" si="4"/>
        <v>-</v>
      </c>
      <c r="Q59" s="283" t="str">
        <f t="shared" si="5"/>
        <v>-</v>
      </c>
      <c r="R59" s="283" t="str">
        <f t="shared" si="6"/>
        <v>-</v>
      </c>
      <c r="S59" s="283" t="str">
        <f t="shared" si="7"/>
        <v>-</v>
      </c>
      <c r="T59" s="283" t="str">
        <f t="shared" si="8"/>
        <v>-</v>
      </c>
      <c r="U59" s="283" t="str">
        <f t="shared" si="9"/>
        <v>-</v>
      </c>
      <c r="V59" s="283" t="str">
        <f t="shared" si="10"/>
        <v>-</v>
      </c>
      <c r="W59" s="1" t="str">
        <f t="shared" si="11"/>
        <v>https://data.amsterdam.nl/datasets/z4sOEZdwV-BcYg/kerncijfers-amsterdam/</v>
      </c>
      <c r="X59" s="1" t="str">
        <f t="shared" si="12"/>
        <v>https://data.amsterdam.nl/</v>
      </c>
      <c r="Y59" s="1" t="str">
        <f t="shared" si="13"/>
        <v>優先3</v>
      </c>
      <c r="Z59" s="1" t="str">
        <f t="shared" si="14"/>
        <v>Gemeente Amsterdam. "Kerncijfers Amsterdam". Accessed 12 May, 2023. https://data.amsterdam.nl/.</v>
      </c>
    </row>
    <row r="60" spans="2:26">
      <c r="B60" s="285" t="s">
        <v>676</v>
      </c>
      <c r="C60" s="285" t="s">
        <v>464</v>
      </c>
      <c r="D60" s="285" t="s">
        <v>673</v>
      </c>
      <c r="E60" s="285" t="s">
        <v>116</v>
      </c>
      <c r="F60" s="13" t="s">
        <v>853</v>
      </c>
      <c r="G60" s="13" t="s">
        <v>730</v>
      </c>
      <c r="H60" s="13"/>
      <c r="I60" s="13" t="s">
        <v>3610</v>
      </c>
      <c r="J60" s="13" t="s">
        <v>3611</v>
      </c>
      <c r="K60" s="284">
        <v>45058</v>
      </c>
      <c r="L60" s="283" t="str">
        <f t="shared" si="0"/>
        <v>-</v>
      </c>
      <c r="M60" s="283" t="str">
        <f t="shared" si="1"/>
        <v>-</v>
      </c>
      <c r="N60" s="283" t="str">
        <f t="shared" si="2"/>
        <v>-</v>
      </c>
      <c r="O60" s="283" t="str">
        <f t="shared" si="3"/>
        <v>-</v>
      </c>
      <c r="P60" s="283" t="str">
        <f t="shared" si="4"/>
        <v>-</v>
      </c>
      <c r="Q60" s="283" t="str">
        <f t="shared" si="5"/>
        <v>-</v>
      </c>
      <c r="R60" s="283" t="str">
        <f t="shared" si="6"/>
        <v>-</v>
      </c>
      <c r="S60" s="283" t="str">
        <f t="shared" si="7"/>
        <v>-</v>
      </c>
      <c r="T60" s="283" t="str">
        <f t="shared" si="8"/>
        <v>-</v>
      </c>
      <c r="U60" s="283" t="str">
        <f t="shared" si="9"/>
        <v>-</v>
      </c>
      <c r="V60" s="283" t="str">
        <f t="shared" si="10"/>
        <v>-</v>
      </c>
      <c r="W60" s="1" t="str">
        <f t="shared" si="11"/>
        <v>https://statistique.ge.ch/communes/commune.asp?commune=21/</v>
      </c>
      <c r="X60" s="1" t="str">
        <f t="shared" si="12"/>
        <v>https://statistique.ge.ch/</v>
      </c>
      <c r="Y60" s="1" t="str">
        <f t="shared" si="13"/>
        <v>優先3</v>
      </c>
      <c r="Z60" s="1" t="str">
        <f t="shared" si="14"/>
        <v>Office Cantonal de la Statistique, République et Canton de Genève. "Statistiques cantonales - Portrait statistique des communes genevoises". Accessed 12 May, 2023. https://statistique.ge.ch/.</v>
      </c>
    </row>
    <row r="61" spans="2:26">
      <c r="B61" s="285" t="s">
        <v>676</v>
      </c>
      <c r="C61" s="285" t="s">
        <v>464</v>
      </c>
      <c r="D61" s="285" t="s">
        <v>673</v>
      </c>
      <c r="E61" s="285" t="s">
        <v>118</v>
      </c>
      <c r="F61" s="13"/>
      <c r="G61" s="13" t="s">
        <v>755</v>
      </c>
      <c r="H61" s="13"/>
      <c r="I61" s="13" t="s">
        <v>902</v>
      </c>
      <c r="J61" s="13" t="s">
        <v>1335</v>
      </c>
      <c r="K61" s="284">
        <v>45058</v>
      </c>
      <c r="L61" s="283" t="str">
        <f t="shared" si="0"/>
        <v>-</v>
      </c>
      <c r="M61" s="283" t="str">
        <f t="shared" si="1"/>
        <v>-</v>
      </c>
      <c r="N61" s="283" t="str">
        <f t="shared" si="2"/>
        <v>-</v>
      </c>
      <c r="O61" s="283" t="str">
        <f t="shared" si="3"/>
        <v>-</v>
      </c>
      <c r="P61" s="283" t="str">
        <f t="shared" si="4"/>
        <v>-</v>
      </c>
      <c r="Q61" s="283" t="str">
        <f t="shared" si="5"/>
        <v>-</v>
      </c>
      <c r="R61" s="283" t="str">
        <f t="shared" si="6"/>
        <v>-</v>
      </c>
      <c r="S61" s="283" t="str">
        <f t="shared" si="7"/>
        <v>-</v>
      </c>
      <c r="T61" s="283" t="str">
        <f t="shared" si="8"/>
        <v>-</v>
      </c>
      <c r="U61" s="283" t="str">
        <f t="shared" si="9"/>
        <v>-</v>
      </c>
      <c r="V61" s="283" t="str">
        <f t="shared" si="10"/>
        <v>-</v>
      </c>
      <c r="W61" s="1" t="str">
        <f t="shared" si="11"/>
        <v>https://frankfurt.de/service-und-rathaus/zahlen-daten-fakten/themen/bevoelkerung/</v>
      </c>
      <c r="X61" s="1" t="str">
        <f t="shared" si="12"/>
        <v>https://frankfurt.de/</v>
      </c>
      <c r="Y61" s="1" t="str">
        <f t="shared" si="13"/>
        <v>優先3</v>
      </c>
      <c r="Z61" s="1" t="str">
        <f t="shared" si="14"/>
        <v>Stadt Frankfurt am Main. "Frankfurt Statistik Aktuell (FSA)". Accessed 12 May, 2023. https://frankfurt.de/.</v>
      </c>
    </row>
    <row r="62" spans="2:26">
      <c r="B62" s="285" t="s">
        <v>676</v>
      </c>
      <c r="C62" s="285" t="s">
        <v>464</v>
      </c>
      <c r="D62" s="285" t="s">
        <v>673</v>
      </c>
      <c r="E62" s="285" t="s">
        <v>120</v>
      </c>
      <c r="F62" s="13" t="s">
        <v>874</v>
      </c>
      <c r="G62" s="13"/>
      <c r="H62" s="13"/>
      <c r="I62" s="13" t="s">
        <v>3612</v>
      </c>
      <c r="J62" s="13" t="s">
        <v>3613</v>
      </c>
      <c r="K62" s="284">
        <v>45058</v>
      </c>
      <c r="L62" s="283" t="str">
        <f t="shared" si="0"/>
        <v>-</v>
      </c>
      <c r="M62" s="283" t="str">
        <f t="shared" si="1"/>
        <v>-</v>
      </c>
      <c r="N62" s="283" t="str">
        <f t="shared" si="2"/>
        <v>-</v>
      </c>
      <c r="O62" s="283" t="str">
        <f t="shared" si="3"/>
        <v>-</v>
      </c>
      <c r="P62" s="283" t="str">
        <f t="shared" si="4"/>
        <v>-</v>
      </c>
      <c r="Q62" s="283" t="str">
        <f t="shared" si="5"/>
        <v>-</v>
      </c>
      <c r="R62" s="283" t="str">
        <f t="shared" si="6"/>
        <v>-</v>
      </c>
      <c r="S62" s="283" t="str">
        <f t="shared" si="7"/>
        <v>-</v>
      </c>
      <c r="T62" s="283" t="str">
        <f t="shared" si="8"/>
        <v>-</v>
      </c>
      <c r="U62" s="283" t="str">
        <f t="shared" si="9"/>
        <v>-</v>
      </c>
      <c r="V62" s="283" t="str">
        <f t="shared" si="10"/>
        <v>-</v>
      </c>
      <c r="W62" s="1" t="str">
        <f t="shared" si="11"/>
        <v>https://www.statistik-berlin-brandenburg.de/a-i-3-j/</v>
      </c>
      <c r="X62" s="1" t="str">
        <f t="shared" si="12"/>
        <v>https://www.statistik-berlin-brandenburg.de/</v>
      </c>
      <c r="Y62" s="1" t="str">
        <f t="shared" si="13"/>
        <v>優先3</v>
      </c>
      <c r="Z62" s="1" t="str">
        <f t="shared" si="14"/>
        <v>Amt für Statistik Berlin-Brandenburg. "Bevölkerungsentwicklung in Berlin". Accessed 12 May, 2023. https://www.statistik-berlin-brandenburg.de/.</v>
      </c>
    </row>
    <row r="63" spans="2:26">
      <c r="B63" s="285" t="s">
        <v>676</v>
      </c>
      <c r="C63" s="285" t="s">
        <v>464</v>
      </c>
      <c r="D63" s="285" t="s">
        <v>673</v>
      </c>
      <c r="E63" s="285" t="s">
        <v>122</v>
      </c>
      <c r="F63" s="13" t="s">
        <v>1028</v>
      </c>
      <c r="G63" s="13"/>
      <c r="H63" s="13"/>
      <c r="I63" s="13" t="s">
        <v>3991</v>
      </c>
      <c r="J63" s="13" t="s">
        <v>1123</v>
      </c>
      <c r="K63" s="284">
        <v>45058</v>
      </c>
      <c r="L63" s="283" t="str">
        <f t="shared" si="0"/>
        <v>-</v>
      </c>
      <c r="M63" s="283" t="str">
        <f t="shared" si="1"/>
        <v>-</v>
      </c>
      <c r="N63" s="283" t="str">
        <f t="shared" si="2"/>
        <v>-</v>
      </c>
      <c r="O63" s="283" t="str">
        <f t="shared" si="3"/>
        <v>-</v>
      </c>
      <c r="P63" s="283" t="str">
        <f t="shared" si="4"/>
        <v>-</v>
      </c>
      <c r="Q63" s="283" t="str">
        <f t="shared" si="5"/>
        <v>-</v>
      </c>
      <c r="R63" s="283" t="str">
        <f t="shared" si="6"/>
        <v>-</v>
      </c>
      <c r="S63" s="283" t="str">
        <f t="shared" si="7"/>
        <v>-</v>
      </c>
      <c r="T63" s="283" t="str">
        <f t="shared" si="8"/>
        <v>-</v>
      </c>
      <c r="U63" s="283" t="str">
        <f t="shared" si="9"/>
        <v>-</v>
      </c>
      <c r="V63" s="283" t="str">
        <f t="shared" si="10"/>
        <v>NG</v>
      </c>
      <c r="W63" s="1" t="str">
        <f t="shared" si="11"/>
        <v>https://www.comune.milano.it/aree-tematiche/dati-statistici/pubblicazioni/popolazione-residente-a-milano/</v>
      </c>
      <c r="X63" s="1" t="str">
        <f t="shared" si="12"/>
        <v>https://www.comune.milano.it/</v>
      </c>
      <c r="Y63" s="1" t="str">
        <f t="shared" si="13"/>
        <v>優先3</v>
      </c>
      <c r="Z63" s="1" t="str">
        <f t="shared" si="14"/>
        <v>Comune di Milano . "Popolazione residente: classi di età, municipi e genere 2022". Accessed 12 May, 2023. https://www.comune.milano.it/.</v>
      </c>
    </row>
    <row r="64" spans="2:26">
      <c r="B64" s="285" t="s">
        <v>676</v>
      </c>
      <c r="C64" s="285" t="s">
        <v>464</v>
      </c>
      <c r="D64" s="285" t="s">
        <v>673</v>
      </c>
      <c r="E64" s="285" t="s">
        <v>124</v>
      </c>
      <c r="F64" s="13"/>
      <c r="G64" s="13" t="s">
        <v>1124</v>
      </c>
      <c r="H64" s="13"/>
      <c r="I64" s="13" t="s">
        <v>2580</v>
      </c>
      <c r="J64" s="13" t="s">
        <v>3992</v>
      </c>
      <c r="K64" s="284">
        <v>45058</v>
      </c>
      <c r="L64" s="283" t="str">
        <f t="shared" si="0"/>
        <v>-</v>
      </c>
      <c r="M64" s="283" t="str">
        <f t="shared" si="1"/>
        <v>-</v>
      </c>
      <c r="N64" s="283" t="str">
        <f t="shared" si="2"/>
        <v>-</v>
      </c>
      <c r="O64" s="283" t="str">
        <f t="shared" si="3"/>
        <v>-</v>
      </c>
      <c r="P64" s="283" t="str">
        <f t="shared" si="4"/>
        <v>-</v>
      </c>
      <c r="Q64" s="283" t="str">
        <f t="shared" si="5"/>
        <v>-</v>
      </c>
      <c r="R64" s="283" t="str">
        <f t="shared" si="6"/>
        <v>-</v>
      </c>
      <c r="S64" s="283" t="str">
        <f t="shared" si="7"/>
        <v>-</v>
      </c>
      <c r="T64" s="283" t="str">
        <f t="shared" si="8"/>
        <v>-</v>
      </c>
      <c r="U64" s="283" t="str">
        <f t="shared" si="9"/>
        <v>-</v>
      </c>
      <c r="V64" s="283" t="str">
        <f t="shared" si="10"/>
        <v>NG</v>
      </c>
      <c r="W64" s="1" t="str">
        <f t="shared" si="11"/>
        <v>https://www.stadt-zuerich.ch/prd/de/index/statistik/themen/bevoelkerung/bevoelkerungsentwicklung/aktueller-bevoelkerungsbestand.html/</v>
      </c>
      <c r="X64" s="1" t="str">
        <f t="shared" si="12"/>
        <v>https://www.stadt-zuerich.ch/</v>
      </c>
      <c r="Y64" s="1" t="str">
        <f t="shared" si="13"/>
        <v>優先3</v>
      </c>
      <c r="Z64" s="1" t="str">
        <f t="shared" si="14"/>
        <v>City of Zurich. "Bevölkerung - Monatsdaten ". Accessed 12 May, 2023. https://www.stadt-zuerich.ch/.</v>
      </c>
    </row>
    <row r="65" spans="2:26">
      <c r="B65" s="285" t="s">
        <v>676</v>
      </c>
      <c r="C65" s="285" t="s">
        <v>464</v>
      </c>
      <c r="D65" s="285" t="s">
        <v>673</v>
      </c>
      <c r="E65" s="285" t="s">
        <v>126</v>
      </c>
      <c r="F65" s="13" t="s">
        <v>1000</v>
      </c>
      <c r="G65" s="13"/>
      <c r="H65" s="13"/>
      <c r="I65" s="13" t="s">
        <v>3993</v>
      </c>
      <c r="J65" s="13" t="s">
        <v>3614</v>
      </c>
      <c r="K65" s="284">
        <v>45058</v>
      </c>
      <c r="L65" s="283" t="str">
        <f t="shared" si="0"/>
        <v>-</v>
      </c>
      <c r="M65" s="283" t="str">
        <f t="shared" si="1"/>
        <v>-</v>
      </c>
      <c r="N65" s="283" t="str">
        <f t="shared" si="2"/>
        <v>-</v>
      </c>
      <c r="O65" s="283" t="str">
        <f t="shared" si="3"/>
        <v>-</v>
      </c>
      <c r="P65" s="283" t="str">
        <f t="shared" si="4"/>
        <v>-</v>
      </c>
      <c r="Q65" s="283" t="str">
        <f t="shared" si="5"/>
        <v>-</v>
      </c>
      <c r="R65" s="283" t="str">
        <f t="shared" si="6"/>
        <v>-</v>
      </c>
      <c r="S65" s="283" t="str">
        <f t="shared" si="7"/>
        <v>-</v>
      </c>
      <c r="T65" s="283" t="str">
        <f t="shared" si="8"/>
        <v>-</v>
      </c>
      <c r="U65" s="283" t="str">
        <f t="shared" si="9"/>
        <v>-</v>
      </c>
      <c r="V65" s="283" t="str">
        <f t="shared" si="10"/>
        <v>-</v>
      </c>
      <c r="W65" s="1" t="str">
        <f t="shared" si="11"/>
        <v>https://www.dst.dk/en/Statistik/emner/borgere/befolkning/befolkningstal/</v>
      </c>
      <c r="X65" s="1" t="str">
        <f t="shared" si="12"/>
        <v>https://www.dst.dk/</v>
      </c>
      <c r="Y65" s="1" t="str">
        <f t="shared" si="13"/>
        <v>優先3</v>
      </c>
      <c r="Z65" s="1" t="str">
        <f t="shared" si="14"/>
        <v>Danmarks Statistik. "Population at the first day of the quarter by time and region". Accessed 12 May, 2023. https://www.dst.dk/.</v>
      </c>
    </row>
    <row r="66" spans="2:26">
      <c r="B66" s="285" t="s">
        <v>676</v>
      </c>
      <c r="C66" s="285" t="s">
        <v>464</v>
      </c>
      <c r="D66" s="285" t="s">
        <v>673</v>
      </c>
      <c r="E66" s="285" t="s">
        <v>128</v>
      </c>
      <c r="F66" s="13" t="s">
        <v>999</v>
      </c>
      <c r="G66" s="13"/>
      <c r="H66" s="13"/>
      <c r="I66" s="13" t="s">
        <v>3994</v>
      </c>
      <c r="J66" s="13" t="s">
        <v>3995</v>
      </c>
      <c r="K66" s="284">
        <v>45058</v>
      </c>
      <c r="L66" s="283" t="str">
        <f t="shared" si="0"/>
        <v>-</v>
      </c>
      <c r="M66" s="283" t="str">
        <f t="shared" si="1"/>
        <v>-</v>
      </c>
      <c r="N66" s="283" t="str">
        <f t="shared" si="2"/>
        <v>-</v>
      </c>
      <c r="O66" s="283" t="str">
        <f t="shared" si="3"/>
        <v>-</v>
      </c>
      <c r="P66" s="283" t="str">
        <f t="shared" si="4"/>
        <v>-</v>
      </c>
      <c r="Q66" s="283" t="str">
        <f t="shared" si="5"/>
        <v>NG</v>
      </c>
      <c r="R66" s="283" t="str">
        <f t="shared" si="6"/>
        <v>-</v>
      </c>
      <c r="S66" s="283" t="str">
        <f t="shared" si="7"/>
        <v>-</v>
      </c>
      <c r="T66" s="283" t="str">
        <f t="shared" si="8"/>
        <v>-</v>
      </c>
      <c r="U66" s="283" t="str">
        <f t="shared" si="9"/>
        <v>-</v>
      </c>
      <c r="V66" s="283" t="str">
        <f t="shared" si="10"/>
        <v>NG</v>
      </c>
      <c r="W66" s="1" t="str">
        <f t="shared" si="11"/>
        <v>https://www.statistik.at/statistiken/bevoelkerung-und-soziales/bevoelkerung/bevoelkerungsstand/bevoelkerung-zu-jahres-/-quartalsanfang/</v>
      </c>
      <c r="X66" s="1" t="str">
        <f t="shared" si="12"/>
        <v>https://www.statistik.at/</v>
      </c>
      <c r="Y66" s="1" t="str">
        <f t="shared" si="13"/>
        <v>優先3</v>
      </c>
      <c r="Z66" s="1" t="str">
        <f t="shared" si="14"/>
        <v>Statistik Austria. "Bevölkerung zu Jahres und Quartalsbeginn 01.01.2018–01.01.2023 nach Bundesland (Tabelle)  ". Accessed 12 May, 2023. https://www.statistik.at/.</v>
      </c>
    </row>
    <row r="67" spans="2:26">
      <c r="B67" s="285" t="s">
        <v>676</v>
      </c>
      <c r="C67" s="285" t="s">
        <v>464</v>
      </c>
      <c r="D67" s="285" t="s">
        <v>673</v>
      </c>
      <c r="E67" s="285" t="s">
        <v>130</v>
      </c>
      <c r="F67" s="13" t="s">
        <v>899</v>
      </c>
      <c r="G67" s="13" t="s">
        <v>898</v>
      </c>
      <c r="H67" s="13"/>
      <c r="I67" s="13" t="s">
        <v>2581</v>
      </c>
      <c r="J67" s="13" t="s">
        <v>2582</v>
      </c>
      <c r="K67" s="284">
        <v>45058</v>
      </c>
      <c r="L67" s="283" t="str">
        <f t="shared" si="0"/>
        <v>-</v>
      </c>
      <c r="M67" s="283" t="str">
        <f t="shared" si="1"/>
        <v>-</v>
      </c>
      <c r="N67" s="283" t="str">
        <f t="shared" si="2"/>
        <v>-</v>
      </c>
      <c r="O67" s="283" t="str">
        <f t="shared" si="3"/>
        <v>-</v>
      </c>
      <c r="P67" s="283" t="str">
        <f t="shared" si="4"/>
        <v>-</v>
      </c>
      <c r="Q67" s="283" t="str">
        <f t="shared" si="5"/>
        <v>-</v>
      </c>
      <c r="R67" s="283" t="str">
        <f t="shared" si="6"/>
        <v>-</v>
      </c>
      <c r="S67" s="283" t="str">
        <f t="shared" si="7"/>
        <v>-</v>
      </c>
      <c r="T67" s="283" t="str">
        <f t="shared" si="8"/>
        <v>-</v>
      </c>
      <c r="U67" s="283" t="str">
        <f t="shared" si="9"/>
        <v>-</v>
      </c>
      <c r="V67" s="283" t="str">
        <f t="shared" si="10"/>
        <v>-</v>
      </c>
      <c r="W67" s="1" t="str">
        <f t="shared" si="11"/>
        <v>http://www.statistikdatabasen.scb.se/pxweb/en/ssd/START__BE__BE0101__BE0101C/BefArealTathetKon/table/tableViewLayout1/</v>
      </c>
      <c r="X67" s="1" t="str">
        <f t="shared" si="12"/>
        <v>http://www.statistikdatabasen.scb.se/</v>
      </c>
      <c r="Y67" s="1" t="str">
        <f t="shared" si="13"/>
        <v>優先3</v>
      </c>
      <c r="Z67" s="1" t="str">
        <f t="shared" si="14"/>
        <v>Statistiska centralbyrån, Kingdom of Sweden. "Population density per sq. km by region, sex, observations and year". Accessed 12 May, 2023. http://www.statistikdatabasen.scb.se/.</v>
      </c>
    </row>
    <row r="68" spans="2:26">
      <c r="B68" s="285" t="s">
        <v>676</v>
      </c>
      <c r="C68" s="285" t="s">
        <v>464</v>
      </c>
      <c r="D68" s="285" t="s">
        <v>673</v>
      </c>
      <c r="E68" s="285" t="s">
        <v>132</v>
      </c>
      <c r="F68" s="13" t="s">
        <v>846</v>
      </c>
      <c r="G68" s="13"/>
      <c r="H68" s="13"/>
      <c r="I68" s="13" t="s">
        <v>3996</v>
      </c>
      <c r="J68" s="13" t="s">
        <v>3615</v>
      </c>
      <c r="K68" s="284">
        <v>45058</v>
      </c>
      <c r="L68" s="283" t="str">
        <f t="shared" si="0"/>
        <v>-</v>
      </c>
      <c r="M68" s="283" t="str">
        <f t="shared" si="1"/>
        <v>-</v>
      </c>
      <c r="N68" s="283" t="str">
        <f t="shared" si="2"/>
        <v>-</v>
      </c>
      <c r="O68" s="283" t="str">
        <f t="shared" si="3"/>
        <v>-</v>
      </c>
      <c r="P68" s="283" t="str">
        <f t="shared" si="4"/>
        <v>-</v>
      </c>
      <c r="Q68" s="283" t="str">
        <f t="shared" si="5"/>
        <v>-</v>
      </c>
      <c r="R68" s="283" t="str">
        <f t="shared" si="6"/>
        <v>-</v>
      </c>
      <c r="S68" s="283" t="str">
        <f t="shared" si="7"/>
        <v>-</v>
      </c>
      <c r="T68" s="283" t="str">
        <f t="shared" si="8"/>
        <v>-</v>
      </c>
      <c r="U68" s="283" t="str">
        <f t="shared" si="9"/>
        <v>-</v>
      </c>
      <c r="V68" s="283" t="str">
        <f t="shared" si="10"/>
        <v>-</v>
      </c>
      <c r="W68" s="1" t="str">
        <f t="shared" si="11"/>
        <v>https://data.tuik.gov.tr/Kategori/GetKategori?p=Population-and-Demography-109/</v>
      </c>
      <c r="X68" s="1" t="str">
        <f t="shared" si="12"/>
        <v>https://data.tuik.gov.tr/</v>
      </c>
      <c r="Y68" s="1" t="str">
        <f t="shared" si="13"/>
        <v>優先3</v>
      </c>
      <c r="Z68" s="1" t="str">
        <f t="shared" si="14"/>
        <v>Türkiye İstatistik Kurumu. "Population of province/district centers and towns/villages by province and sex, population density by province, 2007-2022". Accessed 12 May, 2023. https://data.tuik.gov.tr/.</v>
      </c>
    </row>
    <row r="69" spans="2:26">
      <c r="B69" s="285" t="s">
        <v>676</v>
      </c>
      <c r="C69" s="285" t="s">
        <v>464</v>
      </c>
      <c r="D69" s="285" t="s">
        <v>673</v>
      </c>
      <c r="E69" s="285" t="s">
        <v>134</v>
      </c>
      <c r="F69" s="13" t="s">
        <v>1018</v>
      </c>
      <c r="G69" s="13" t="s">
        <v>844</v>
      </c>
      <c r="H69" s="13"/>
      <c r="I69" s="13" t="s">
        <v>998</v>
      </c>
      <c r="J69" s="13" t="s">
        <v>2583</v>
      </c>
      <c r="K69" s="284">
        <v>45058</v>
      </c>
      <c r="L69" s="283" t="str">
        <f t="shared" si="0"/>
        <v>-</v>
      </c>
      <c r="M69" s="283" t="str">
        <f t="shared" si="1"/>
        <v>-</v>
      </c>
      <c r="N69" s="283" t="str">
        <f t="shared" si="2"/>
        <v>-</v>
      </c>
      <c r="O69" s="283" t="str">
        <f t="shared" si="3"/>
        <v>-</v>
      </c>
      <c r="P69" s="283" t="str">
        <f t="shared" si="4"/>
        <v>-</v>
      </c>
      <c r="Q69" s="283" t="str">
        <f t="shared" si="5"/>
        <v>-</v>
      </c>
      <c r="R69" s="283" t="str">
        <f t="shared" si="6"/>
        <v>-</v>
      </c>
      <c r="S69" s="283" t="str">
        <f t="shared" si="7"/>
        <v>-</v>
      </c>
      <c r="T69" s="283" t="str">
        <f t="shared" si="8"/>
        <v>-</v>
      </c>
      <c r="U69" s="283" t="str">
        <f t="shared" si="9"/>
        <v>-</v>
      </c>
      <c r="V69" s="283" t="str">
        <f t="shared" si="10"/>
        <v>-</v>
      </c>
      <c r="W69" s="1" t="str">
        <f t="shared" si="11"/>
        <v>https://www.capmas.gov.eg/Pages/StaticPages.aspx?page_id=5035/</v>
      </c>
      <c r="X69" s="1" t="str">
        <f t="shared" si="12"/>
        <v>https://www.capmas.gov.eg/</v>
      </c>
      <c r="Y69" s="1" t="str">
        <f t="shared" si="13"/>
        <v>優先3</v>
      </c>
      <c r="Z69" s="1" t="str">
        <f t="shared" si="14"/>
        <v>Central Agency for Public Mobilization and Statistics, Arab Republic of Egypt. "Egypt in Figures". Accessed 12 May, 2023. https://www.capmas.gov.eg/.</v>
      </c>
    </row>
    <row r="70" spans="2:26">
      <c r="B70" s="285" t="s">
        <v>676</v>
      </c>
      <c r="C70" s="285" t="s">
        <v>464</v>
      </c>
      <c r="D70" s="285" t="s">
        <v>673</v>
      </c>
      <c r="E70" s="285" t="s">
        <v>136</v>
      </c>
      <c r="F70" s="13" t="s">
        <v>1026</v>
      </c>
      <c r="G70" s="13"/>
      <c r="H70" s="13"/>
      <c r="I70" s="13" t="s">
        <v>3997</v>
      </c>
      <c r="J70" s="13" t="s">
        <v>1125</v>
      </c>
      <c r="K70" s="284">
        <v>45061</v>
      </c>
      <c r="L70" s="283" t="str">
        <f t="shared" ref="L70:L133" si="15">IF(COUNTIFS(B:B,B70,I:I,I70,X:X,X70)&lt;=1,"-",COUNTIFS(B:B,B70,I:I,I70,X:X,X70))</f>
        <v>-</v>
      </c>
      <c r="M70" s="283" t="str">
        <f t="shared" ref="M70:M133" si="16">IF(I70="","書籍","-")</f>
        <v>-</v>
      </c>
      <c r="N70" s="283" t="str">
        <f t="shared" ref="N70:N133" si="17">IF(OR(COUNTIF($F70,"*(*"),COUNTIF($G70,"*(*"),COUNTIF($H70,"*(*")),"NG","-")</f>
        <v>-</v>
      </c>
      <c r="O70" s="283" t="str">
        <f t="shared" ref="O70:O133" si="18">IF(COUNTIF($Z70,"*..*"),"NG","-")</f>
        <v>-</v>
      </c>
      <c r="P70" s="283" t="str">
        <f t="shared" ref="P70:P133" si="19">IF(COUNTIF($Z70,"*""""*"),"NG","-")</f>
        <v>-</v>
      </c>
      <c r="Q70" s="283" t="str">
        <f t="shared" ref="Q70:Q133" si="20">IF(COUNTIF($Z70,"*  *"),"NG","-")</f>
        <v>-</v>
      </c>
      <c r="R70" s="283" t="str">
        <f t="shared" ref="R70:R133" si="21">IF(COUNTIF($Z70,"*　*"),"NG","-")</f>
        <v>-</v>
      </c>
      <c r="S70" s="283" t="str">
        <f t="shared" ref="S70:S133" si="22">IF(COUNTIF($Z70,"*（*"),"NG","-")</f>
        <v>-</v>
      </c>
      <c r="T70" s="283" t="str">
        <f t="shared" ref="T70:T133" si="23">IF(COUNTIF($Z70,"*(*"),IF(COUNTIF($Z70,"* (*"),"-","NG"),"-")</f>
        <v>-</v>
      </c>
      <c r="U70" s="283" t="str">
        <f t="shared" ref="U70:U133" si="24">IF(OR(LEFT(F70,1)=" ",LEFT(G70,1)=" ",LEFT(H70,1)=" ",LEFT(I70,1)=" ",LEFT(J70,1)=" "),"NG","-")</f>
        <v>-</v>
      </c>
      <c r="V70" s="283" t="str">
        <f t="shared" ref="V70:V133" si="25">IF(OR(RIGHT(F70,1)=" ",RIGHT(G70,1)=" ",RIGHT(H70,1)=" ",RIGHT(I70,1)=" ",RIGHT(J70,1)=" "),"NG","-")</f>
        <v>-</v>
      </c>
      <c r="W70" s="1" t="str">
        <f t="shared" ref="W70:W133" si="26">IF(J70="","",IF(RIGHT(J70,1)="/",J70,J70&amp;"/"))</f>
        <v>https://gks.ru/folder/12781/</v>
      </c>
      <c r="X70" s="1" t="str">
        <f t="shared" ref="X70:X133" si="27">IF(W70="","",LEFT(W70,FIND("/",W70,FIND("/",W70,FIND("/", W70)+1)+1)))</f>
        <v>https://gks.ru/</v>
      </c>
      <c r="Y70" s="1" t="str">
        <f t="shared" ref="Y70:Y133" si="28">IF(AND(C70="-",D70="共通"),"優先1",IF(OR(COUNTIF(C70,"*補助*"),D70&lt;&gt;"共通"),"優先3","優先2"&amp;C70))</f>
        <v>優先3</v>
      </c>
      <c r="Z70" s="1" t="str">
        <f t="shared" ref="Z70:Z133" si="29">IF(X70="",F70,CONCATENATE(IF(F70="",G70,IF(G70="",F70,F70&amp;", "&amp;G70)),IF(H70="",". "," ["&amp;H70&amp;"]. "),"""",I70,""". ","Accessed ",TEXT(K70,"dd mmmm, yyyy"),". ",X70,"."))</f>
        <v>Federal State Statistics Service for the Moscow Region. "Оценка численности постоянного населения на 1 января 2023 г. и в среднем за 2022 г. и компоненты ее изменения (с учётом итогов Всероссийской переписи населения 2020 г.)". Accessed 15 May, 2023. https://gks.ru/.</v>
      </c>
    </row>
    <row r="71" spans="2:26">
      <c r="B71" s="285" t="s">
        <v>676</v>
      </c>
      <c r="C71" s="285" t="s">
        <v>464</v>
      </c>
      <c r="D71" s="285" t="s">
        <v>673</v>
      </c>
      <c r="E71" s="285" t="s">
        <v>138</v>
      </c>
      <c r="F71" s="13" t="s">
        <v>1019</v>
      </c>
      <c r="G71" s="13" t="s">
        <v>746</v>
      </c>
      <c r="H71" s="13"/>
      <c r="I71" s="13" t="s">
        <v>997</v>
      </c>
      <c r="J71" s="13" t="s">
        <v>3998</v>
      </c>
      <c r="K71" s="284">
        <v>45061</v>
      </c>
      <c r="L71" s="283" t="str">
        <f t="shared" si="15"/>
        <v>-</v>
      </c>
      <c r="M71" s="283" t="str">
        <f t="shared" si="16"/>
        <v>-</v>
      </c>
      <c r="N71" s="283" t="str">
        <f t="shared" si="17"/>
        <v>-</v>
      </c>
      <c r="O71" s="283" t="str">
        <f t="shared" si="18"/>
        <v>-</v>
      </c>
      <c r="P71" s="283" t="str">
        <f t="shared" si="19"/>
        <v>-</v>
      </c>
      <c r="Q71" s="283" t="str">
        <f t="shared" si="20"/>
        <v>-</v>
      </c>
      <c r="R71" s="283" t="str">
        <f t="shared" si="21"/>
        <v>-</v>
      </c>
      <c r="S71" s="283" t="str">
        <f t="shared" si="22"/>
        <v>-</v>
      </c>
      <c r="T71" s="283" t="str">
        <f t="shared" si="23"/>
        <v>-</v>
      </c>
      <c r="U71" s="283" t="str">
        <f t="shared" si="24"/>
        <v>-</v>
      </c>
      <c r="V71" s="283" t="str">
        <f t="shared" si="25"/>
        <v>-</v>
      </c>
      <c r="W71" s="1" t="str">
        <f t="shared" si="26"/>
        <v>https://censusindia.gov.in/census.website/data/census-tables#/</v>
      </c>
      <c r="X71" s="1" t="str">
        <f t="shared" si="27"/>
        <v>https://censusindia.gov.in/</v>
      </c>
      <c r="Y71" s="1" t="str">
        <f t="shared" si="28"/>
        <v>優先3</v>
      </c>
      <c r="Z71" s="1" t="str">
        <f t="shared" si="29"/>
        <v>Office of the Registrar General &amp; Census Commissioner, Ministry of Home Affairs, Government of India. "Census of India 2011". Accessed 15 May, 2023. https://censusindia.gov.in/.</v>
      </c>
    </row>
    <row r="72" spans="2:26">
      <c r="B72" s="285" t="s">
        <v>676</v>
      </c>
      <c r="C72" s="285" t="s">
        <v>464</v>
      </c>
      <c r="D72" s="285" t="s">
        <v>673</v>
      </c>
      <c r="E72" s="285" t="s">
        <v>140</v>
      </c>
      <c r="F72" s="13" t="s">
        <v>2600</v>
      </c>
      <c r="G72" s="13" t="s">
        <v>841</v>
      </c>
      <c r="H72" s="13"/>
      <c r="I72" s="13" t="s">
        <v>3616</v>
      </c>
      <c r="J72" s="13" t="s">
        <v>3617</v>
      </c>
      <c r="K72" s="284">
        <v>45061</v>
      </c>
      <c r="L72" s="283" t="str">
        <f t="shared" si="15"/>
        <v>-</v>
      </c>
      <c r="M72" s="283" t="str">
        <f t="shared" si="16"/>
        <v>-</v>
      </c>
      <c r="N72" s="283" t="str">
        <f t="shared" si="17"/>
        <v>NG</v>
      </c>
      <c r="O72" s="283" t="str">
        <f t="shared" si="18"/>
        <v>-</v>
      </c>
      <c r="P72" s="283" t="str">
        <f t="shared" si="19"/>
        <v>-</v>
      </c>
      <c r="Q72" s="283" t="str">
        <f t="shared" si="20"/>
        <v>-</v>
      </c>
      <c r="R72" s="283" t="str">
        <f t="shared" si="21"/>
        <v>-</v>
      </c>
      <c r="S72" s="283" t="str">
        <f t="shared" si="22"/>
        <v>-</v>
      </c>
      <c r="T72" s="283" t="str">
        <f t="shared" si="23"/>
        <v>NG</v>
      </c>
      <c r="U72" s="283" t="str">
        <f t="shared" si="24"/>
        <v>-</v>
      </c>
      <c r="V72" s="283" t="str">
        <f t="shared" si="25"/>
        <v>-</v>
      </c>
      <c r="W72" s="1" t="str">
        <f t="shared" si="26"/>
        <v>http://www.nso.go.th/sites/2014en/Pages/Household-Basic-Information-Survey-2018.aspx/</v>
      </c>
      <c r="X72" s="1" t="str">
        <f t="shared" si="27"/>
        <v>http://www.nso.go.th/</v>
      </c>
      <c r="Y72" s="1" t="str">
        <f t="shared" si="28"/>
        <v>優先3</v>
      </c>
      <c r="Z72" s="1" t="str">
        <f t="shared" si="29"/>
        <v>National Statistical Office(NSO), Kingdom of Thailand. "​​​Household Basic Information Survey 2020". Accessed 15 May, 2023. http://www.nso.go.th/.</v>
      </c>
    </row>
    <row r="73" spans="2:26">
      <c r="B73" s="285" t="s">
        <v>676</v>
      </c>
      <c r="C73" s="285" t="s">
        <v>464</v>
      </c>
      <c r="D73" s="285" t="s">
        <v>673</v>
      </c>
      <c r="E73" s="285" t="s">
        <v>142</v>
      </c>
      <c r="F73" s="13" t="s">
        <v>818</v>
      </c>
      <c r="G73" s="13" t="s">
        <v>298</v>
      </c>
      <c r="H73" s="13"/>
      <c r="I73" s="13" t="s">
        <v>3618</v>
      </c>
      <c r="J73" s="13" t="s">
        <v>3999</v>
      </c>
      <c r="K73" s="284">
        <v>45061</v>
      </c>
      <c r="L73" s="283" t="str">
        <f t="shared" si="15"/>
        <v>-</v>
      </c>
      <c r="M73" s="283" t="str">
        <f t="shared" si="16"/>
        <v>-</v>
      </c>
      <c r="N73" s="283" t="str">
        <f t="shared" si="17"/>
        <v>-</v>
      </c>
      <c r="O73" s="283" t="str">
        <f t="shared" si="18"/>
        <v>-</v>
      </c>
      <c r="P73" s="283" t="str">
        <f t="shared" si="19"/>
        <v>-</v>
      </c>
      <c r="Q73" s="283" t="str">
        <f t="shared" si="20"/>
        <v>-</v>
      </c>
      <c r="R73" s="283" t="str">
        <f t="shared" si="21"/>
        <v>-</v>
      </c>
      <c r="S73" s="283" t="str">
        <f t="shared" si="22"/>
        <v>-</v>
      </c>
      <c r="T73" s="283" t="str">
        <f t="shared" si="23"/>
        <v>-</v>
      </c>
      <c r="U73" s="283" t="str">
        <f t="shared" si="24"/>
        <v>-</v>
      </c>
      <c r="V73" s="283" t="str">
        <f t="shared" si="25"/>
        <v>-</v>
      </c>
      <c r="W73" s="1" t="str">
        <f t="shared" si="26"/>
        <v>https://pqi.stats.gov.my/searchBI.php?tahun=2022&amp;kodData=2&amp;kodJadual=1&amp;kodCiri=2&amp;kodNegeri=14/</v>
      </c>
      <c r="X73" s="1" t="str">
        <f t="shared" si="27"/>
        <v>https://pqi.stats.gov.my/</v>
      </c>
      <c r="Y73" s="1" t="str">
        <f t="shared" si="28"/>
        <v>優先3</v>
      </c>
      <c r="Z73" s="1" t="str">
        <f t="shared" si="29"/>
        <v>Department of Statistics, Malaysia. "POPULATION QUICK INFO". Accessed 15 May, 2023. https://pqi.stats.gov.my/.</v>
      </c>
    </row>
    <row r="74" spans="2:26">
      <c r="B74" s="285" t="s">
        <v>676</v>
      </c>
      <c r="C74" s="285" t="s">
        <v>464</v>
      </c>
      <c r="D74" s="285" t="s">
        <v>673</v>
      </c>
      <c r="E74" s="285" t="s">
        <v>144</v>
      </c>
      <c r="F74" s="13" t="s">
        <v>2584</v>
      </c>
      <c r="G74" s="13" t="s">
        <v>729</v>
      </c>
      <c r="H74" s="13"/>
      <c r="I74" s="13" t="s">
        <v>1025</v>
      </c>
      <c r="J74" s="13" t="s">
        <v>1127</v>
      </c>
      <c r="K74" s="284">
        <v>45061</v>
      </c>
      <c r="L74" s="283" t="str">
        <f t="shared" si="15"/>
        <v>-</v>
      </c>
      <c r="M74" s="283" t="str">
        <f t="shared" si="16"/>
        <v>-</v>
      </c>
      <c r="N74" s="283" t="str">
        <f t="shared" si="17"/>
        <v>NG</v>
      </c>
      <c r="O74" s="283" t="str">
        <f t="shared" si="18"/>
        <v>-</v>
      </c>
      <c r="P74" s="283" t="str">
        <f t="shared" si="19"/>
        <v>-</v>
      </c>
      <c r="Q74" s="283" t="str">
        <f t="shared" si="20"/>
        <v>-</v>
      </c>
      <c r="R74" s="283" t="str">
        <f t="shared" si="21"/>
        <v>-</v>
      </c>
      <c r="S74" s="283" t="str">
        <f t="shared" si="22"/>
        <v>-</v>
      </c>
      <c r="T74" s="283" t="str">
        <f t="shared" si="23"/>
        <v>-</v>
      </c>
      <c r="U74" s="283" t="str">
        <f t="shared" si="24"/>
        <v>-</v>
      </c>
      <c r="V74" s="283" t="str">
        <f t="shared" si="25"/>
        <v>-</v>
      </c>
      <c r="W74" s="1" t="str">
        <f t="shared" si="26"/>
        <v>https://www.singstat.gov.sg/find-data/search-by-theme/population/population-and-population-structure/latest-data/</v>
      </c>
      <c r="X74" s="1" t="str">
        <f t="shared" si="27"/>
        <v>https://www.singstat.gov.sg/</v>
      </c>
      <c r="Y74" s="1" t="str">
        <f t="shared" si="28"/>
        <v>優先3</v>
      </c>
      <c r="Z74" s="1" t="str">
        <f t="shared" si="29"/>
        <v>The Singapore Department of Statistics (DOS), Government of Singapore. "Population and Population Structure". Accessed 15 May, 2023. https://www.singstat.gov.sg/.</v>
      </c>
    </row>
    <row r="75" spans="2:26">
      <c r="B75" s="285" t="s">
        <v>676</v>
      </c>
      <c r="C75" s="285" t="s">
        <v>464</v>
      </c>
      <c r="D75" s="285" t="s">
        <v>673</v>
      </c>
      <c r="E75" s="285" t="s">
        <v>146</v>
      </c>
      <c r="F75" s="13" t="s">
        <v>1012</v>
      </c>
      <c r="G75" s="13" t="s">
        <v>1152</v>
      </c>
      <c r="H75" s="13" t="s">
        <v>894</v>
      </c>
      <c r="I75" s="13" t="s">
        <v>1190</v>
      </c>
      <c r="J75" s="13" t="s">
        <v>3619</v>
      </c>
      <c r="K75" s="284">
        <v>45061</v>
      </c>
      <c r="L75" s="283" t="str">
        <f t="shared" si="15"/>
        <v>-</v>
      </c>
      <c r="M75" s="283" t="str">
        <f t="shared" si="16"/>
        <v>-</v>
      </c>
      <c r="N75" s="283" t="str">
        <f t="shared" si="17"/>
        <v>-</v>
      </c>
      <c r="O75" s="283" t="str">
        <f t="shared" si="18"/>
        <v>-</v>
      </c>
      <c r="P75" s="283" t="str">
        <f t="shared" si="19"/>
        <v>-</v>
      </c>
      <c r="Q75" s="283" t="str">
        <f t="shared" si="20"/>
        <v>-</v>
      </c>
      <c r="R75" s="283" t="str">
        <f t="shared" si="21"/>
        <v>-</v>
      </c>
      <c r="S75" s="283" t="str">
        <f t="shared" si="22"/>
        <v>-</v>
      </c>
      <c r="T75" s="283" t="str">
        <f t="shared" si="23"/>
        <v>-</v>
      </c>
      <c r="U75" s="283" t="str">
        <f t="shared" si="24"/>
        <v>-</v>
      </c>
      <c r="V75" s="283" t="str">
        <f t="shared" si="25"/>
        <v>-</v>
      </c>
      <c r="W75" s="1" t="str">
        <f t="shared" si="26"/>
        <v>https://www.censtatd.gov.hk/en/EIndexbySubject.html?pcode=B1010006&amp;scode=100/</v>
      </c>
      <c r="X75" s="1" t="str">
        <f t="shared" si="27"/>
        <v>https://www.censtatd.gov.hk/</v>
      </c>
      <c r="Y75" s="1" t="str">
        <f t="shared" si="28"/>
        <v>優先3</v>
      </c>
      <c r="Z75" s="1" t="str">
        <f t="shared" si="29"/>
        <v>Census and Statistics Department, The Government of the Hong Kong Special Administrative Region [政府統計處, 香港特別行政區政府]. "Hong Kong in Figures". Accessed 15 May, 2023. https://www.censtatd.gov.hk/.</v>
      </c>
    </row>
    <row r="76" spans="2:26">
      <c r="B76" s="285" t="s">
        <v>676</v>
      </c>
      <c r="C76" s="285" t="s">
        <v>464</v>
      </c>
      <c r="D76" s="285" t="s">
        <v>673</v>
      </c>
      <c r="E76" s="285" t="s">
        <v>148</v>
      </c>
      <c r="F76" s="13" t="s">
        <v>1024</v>
      </c>
      <c r="G76" s="13"/>
      <c r="H76" s="13" t="s">
        <v>985</v>
      </c>
      <c r="I76" s="13" t="s">
        <v>4000</v>
      </c>
      <c r="J76" s="13" t="s">
        <v>4001</v>
      </c>
      <c r="K76" s="284">
        <v>45061</v>
      </c>
      <c r="L76" s="283" t="str">
        <f t="shared" si="15"/>
        <v>-</v>
      </c>
      <c r="M76" s="283" t="str">
        <f t="shared" si="16"/>
        <v>-</v>
      </c>
      <c r="N76" s="283" t="str">
        <f t="shared" si="17"/>
        <v>-</v>
      </c>
      <c r="O76" s="283" t="str">
        <f t="shared" si="18"/>
        <v>-</v>
      </c>
      <c r="P76" s="283" t="str">
        <f t="shared" si="19"/>
        <v>-</v>
      </c>
      <c r="Q76" s="283" t="str">
        <f t="shared" si="20"/>
        <v>NG</v>
      </c>
      <c r="R76" s="283" t="str">
        <f t="shared" si="21"/>
        <v>-</v>
      </c>
      <c r="S76" s="283" t="str">
        <f t="shared" si="22"/>
        <v>-</v>
      </c>
      <c r="T76" s="283" t="str">
        <f t="shared" si="23"/>
        <v>-</v>
      </c>
      <c r="U76" s="283" t="str">
        <f t="shared" si="24"/>
        <v>-</v>
      </c>
      <c r="V76" s="283" t="str">
        <f t="shared" si="25"/>
        <v>NG</v>
      </c>
      <c r="W76" s="1" t="str">
        <f t="shared" si="26"/>
        <v>https://nj.tjj.beijing.gov.cn/nj/main/2022-tjnj/zk/indexeh.htm/</v>
      </c>
      <c r="X76" s="1" t="str">
        <f t="shared" si="27"/>
        <v>https://nj.tjj.beijing.gov.cn/</v>
      </c>
      <c r="Y76" s="1" t="str">
        <f t="shared" si="28"/>
        <v>優先3</v>
      </c>
      <c r="Z76" s="1" t="str">
        <f t="shared" si="29"/>
        <v>Beijing Municipal Bureau of Statistics  [北京市统计局 国家统计局北京调查总队]. "Beijing Statistical Yearbook 2022". Accessed 15 May, 2023. https://nj.tjj.beijing.gov.cn/.</v>
      </c>
    </row>
    <row r="77" spans="2:26">
      <c r="B77" s="285" t="s">
        <v>676</v>
      </c>
      <c r="C77" s="285" t="s">
        <v>464</v>
      </c>
      <c r="D77" s="285" t="s">
        <v>673</v>
      </c>
      <c r="E77" s="285" t="s">
        <v>150</v>
      </c>
      <c r="F77" s="13" t="s">
        <v>807</v>
      </c>
      <c r="G77" s="13"/>
      <c r="H77" s="13" t="s">
        <v>868</v>
      </c>
      <c r="I77" s="13" t="s">
        <v>4002</v>
      </c>
      <c r="J77" s="13" t="s">
        <v>4003</v>
      </c>
      <c r="K77" s="284">
        <v>45061</v>
      </c>
      <c r="L77" s="283" t="str">
        <f t="shared" si="15"/>
        <v>-</v>
      </c>
      <c r="M77" s="283" t="str">
        <f t="shared" si="16"/>
        <v>-</v>
      </c>
      <c r="N77" s="283" t="str">
        <f t="shared" si="17"/>
        <v>-</v>
      </c>
      <c r="O77" s="283" t="str">
        <f t="shared" si="18"/>
        <v>-</v>
      </c>
      <c r="P77" s="283" t="str">
        <f t="shared" si="19"/>
        <v>-</v>
      </c>
      <c r="Q77" s="283" t="str">
        <f t="shared" si="20"/>
        <v>-</v>
      </c>
      <c r="R77" s="283" t="str">
        <f t="shared" si="21"/>
        <v>-</v>
      </c>
      <c r="S77" s="283" t="str">
        <f t="shared" si="22"/>
        <v>-</v>
      </c>
      <c r="T77" s="283" t="str">
        <f t="shared" si="23"/>
        <v>-</v>
      </c>
      <c r="U77" s="283" t="str">
        <f t="shared" si="24"/>
        <v>-</v>
      </c>
      <c r="V77" s="283" t="str">
        <f t="shared" si="25"/>
        <v>-</v>
      </c>
      <c r="W77" s="1" t="str">
        <f t="shared" si="26"/>
        <v>https://tjj.sh.gov.cn/tjnj/nj22.htm?d1=2022tjnj/C0201.htm/</v>
      </c>
      <c r="X77" s="1" t="str">
        <f t="shared" si="27"/>
        <v>https://tjj.sh.gov.cn/</v>
      </c>
      <c r="Y77" s="1" t="str">
        <f t="shared" si="28"/>
        <v>優先3</v>
      </c>
      <c r="Z77" s="1" t="str">
        <f t="shared" si="29"/>
        <v>Shanghai Municipal Statistics Bureau [上海市统计局、国家统计局上海调查总队]. "2022年上海统计年鉴". Accessed 15 May, 2023. https://tjj.sh.gov.cn/.</v>
      </c>
    </row>
    <row r="78" spans="2:26">
      <c r="B78" s="285" t="s">
        <v>676</v>
      </c>
      <c r="C78" s="285" t="s">
        <v>464</v>
      </c>
      <c r="D78" s="285" t="s">
        <v>673</v>
      </c>
      <c r="E78" s="285" t="s">
        <v>152</v>
      </c>
      <c r="F78" s="13" t="s">
        <v>765</v>
      </c>
      <c r="G78" s="13" t="s">
        <v>764</v>
      </c>
      <c r="H78" s="13" t="s">
        <v>763</v>
      </c>
      <c r="I78" s="13" t="s">
        <v>996</v>
      </c>
      <c r="J78" s="13" t="s">
        <v>3620</v>
      </c>
      <c r="K78" s="284">
        <v>45061</v>
      </c>
      <c r="L78" s="283" t="str">
        <f t="shared" si="15"/>
        <v>-</v>
      </c>
      <c r="M78" s="283" t="str">
        <f t="shared" si="16"/>
        <v>-</v>
      </c>
      <c r="N78" s="283" t="str">
        <f t="shared" si="17"/>
        <v>-</v>
      </c>
      <c r="O78" s="283" t="str">
        <f t="shared" si="18"/>
        <v>-</v>
      </c>
      <c r="P78" s="283" t="str">
        <f t="shared" si="19"/>
        <v>-</v>
      </c>
      <c r="Q78" s="283" t="str">
        <f t="shared" si="20"/>
        <v>-</v>
      </c>
      <c r="R78" s="283" t="str">
        <f t="shared" si="21"/>
        <v>-</v>
      </c>
      <c r="S78" s="283" t="str">
        <f t="shared" si="22"/>
        <v>-</v>
      </c>
      <c r="T78" s="283" t="str">
        <f t="shared" si="23"/>
        <v>-</v>
      </c>
      <c r="U78" s="283" t="str">
        <f t="shared" si="24"/>
        <v>-</v>
      </c>
      <c r="V78" s="283" t="str">
        <f t="shared" si="25"/>
        <v>-</v>
      </c>
      <c r="W78" s="1" t="str">
        <f t="shared" si="26"/>
        <v>https://dbaseng.gov.taipei/Content_List.aspx?n=A47C0C44021E1F8B/</v>
      </c>
      <c r="X78" s="1" t="str">
        <f t="shared" si="27"/>
        <v>https://dbaseng.gov.taipei/</v>
      </c>
      <c r="Y78" s="1" t="str">
        <f t="shared" si="28"/>
        <v>優先3</v>
      </c>
      <c r="Z78" s="1" t="str">
        <f t="shared" si="29"/>
        <v>Department of Budget, Accounting and Statistics, Taipei City Government [臺北市政府主計處]. "Short Report on Important Statistics of Taipei City". Accessed 15 May, 2023. https://dbaseng.gov.taipei/.</v>
      </c>
    </row>
    <row r="79" spans="2:26">
      <c r="B79" s="285" t="s">
        <v>676</v>
      </c>
      <c r="C79" s="285" t="s">
        <v>464</v>
      </c>
      <c r="D79" s="285" t="s">
        <v>673</v>
      </c>
      <c r="E79" s="285" t="s">
        <v>154</v>
      </c>
      <c r="F79" s="13" t="s">
        <v>1128</v>
      </c>
      <c r="G79" s="13" t="s">
        <v>727</v>
      </c>
      <c r="H79" s="13" t="s">
        <v>2585</v>
      </c>
      <c r="I79" s="13" t="s">
        <v>4004</v>
      </c>
      <c r="J79" s="13" t="s">
        <v>4005</v>
      </c>
      <c r="K79" s="284">
        <v>45061</v>
      </c>
      <c r="L79" s="283" t="str">
        <f t="shared" si="15"/>
        <v>-</v>
      </c>
      <c r="M79" s="283" t="str">
        <f t="shared" si="16"/>
        <v>-</v>
      </c>
      <c r="N79" s="283" t="str">
        <f t="shared" si="17"/>
        <v>-</v>
      </c>
      <c r="O79" s="283" t="str">
        <f t="shared" si="18"/>
        <v>-</v>
      </c>
      <c r="P79" s="283" t="str">
        <f t="shared" si="19"/>
        <v>-</v>
      </c>
      <c r="Q79" s="283" t="str">
        <f t="shared" si="20"/>
        <v>-</v>
      </c>
      <c r="R79" s="283" t="str">
        <f t="shared" si="21"/>
        <v>-</v>
      </c>
      <c r="S79" s="283" t="str">
        <f t="shared" si="22"/>
        <v>-</v>
      </c>
      <c r="T79" s="283" t="str">
        <f t="shared" si="23"/>
        <v>-</v>
      </c>
      <c r="U79" s="283" t="str">
        <f t="shared" si="24"/>
        <v>-</v>
      </c>
      <c r="V79" s="283" t="str">
        <f t="shared" si="25"/>
        <v>NG</v>
      </c>
      <c r="W79" s="1" t="str">
        <f t="shared" si="26"/>
        <v>https://data.seoul.go.kr/dataList/10584/S/2/datasetView.do/</v>
      </c>
      <c r="X79" s="1" t="str">
        <f t="shared" si="27"/>
        <v>https://data.seoul.go.kr/</v>
      </c>
      <c r="Y79" s="1" t="str">
        <f t="shared" si="28"/>
        <v>優先3</v>
      </c>
      <c r="Z79" s="1" t="str">
        <f t="shared" si="29"/>
        <v>Seoul Open Data Plaza, Seoul Metropolitan Government [서울 열린데이터광장]. "서울시 인구밀도 (동별) 통계 ". Accessed 15 May, 2023. https://data.seoul.go.kr/.</v>
      </c>
    </row>
    <row r="80" spans="2:26">
      <c r="B80" s="285" t="s">
        <v>676</v>
      </c>
      <c r="C80" s="285" t="s">
        <v>464</v>
      </c>
      <c r="D80" s="285" t="s">
        <v>673</v>
      </c>
      <c r="E80" s="285" t="s">
        <v>156</v>
      </c>
      <c r="F80" s="13"/>
      <c r="G80" s="13" t="s">
        <v>753</v>
      </c>
      <c r="H80" s="13" t="s">
        <v>752</v>
      </c>
      <c r="I80" s="13" t="s">
        <v>1023</v>
      </c>
      <c r="J80" s="13" t="s">
        <v>3621</v>
      </c>
      <c r="K80" s="284">
        <v>45061</v>
      </c>
      <c r="L80" s="283" t="str">
        <f t="shared" si="15"/>
        <v>-</v>
      </c>
      <c r="M80" s="283" t="str">
        <f t="shared" si="16"/>
        <v>-</v>
      </c>
      <c r="N80" s="283" t="str">
        <f t="shared" si="17"/>
        <v>-</v>
      </c>
      <c r="O80" s="283" t="str">
        <f t="shared" si="18"/>
        <v>-</v>
      </c>
      <c r="P80" s="283" t="str">
        <f t="shared" si="19"/>
        <v>-</v>
      </c>
      <c r="Q80" s="283" t="str">
        <f t="shared" si="20"/>
        <v>-</v>
      </c>
      <c r="R80" s="283" t="str">
        <f t="shared" si="21"/>
        <v>-</v>
      </c>
      <c r="S80" s="283" t="str">
        <f t="shared" si="22"/>
        <v>-</v>
      </c>
      <c r="T80" s="283" t="str">
        <f t="shared" si="23"/>
        <v>-</v>
      </c>
      <c r="U80" s="283" t="str">
        <f t="shared" si="24"/>
        <v>-</v>
      </c>
      <c r="V80" s="283" t="str">
        <f t="shared" si="25"/>
        <v>-</v>
      </c>
      <c r="W80" s="1" t="str">
        <f t="shared" si="26"/>
        <v>https://www.city.fukuoka.lg.jp/soki/tokeichosa/shisei/toukei/jinkou/jinnkousokuhou.html/</v>
      </c>
      <c r="X80" s="1" t="str">
        <f t="shared" si="27"/>
        <v>https://www.city.fukuoka.lg.jp/</v>
      </c>
      <c r="Y80" s="1" t="str">
        <f t="shared" si="28"/>
        <v>優先3</v>
      </c>
      <c r="Z80" s="1" t="str">
        <f t="shared" si="29"/>
        <v>Fukuoka City [福岡市]. "福岡市推計人口". Accessed 15 May, 2023. https://www.city.fukuoka.lg.jp/.</v>
      </c>
    </row>
    <row r="81" spans="2:26">
      <c r="B81" s="285" t="s">
        <v>676</v>
      </c>
      <c r="C81" s="285" t="s">
        <v>464</v>
      </c>
      <c r="D81" s="285" t="s">
        <v>673</v>
      </c>
      <c r="E81" s="285" t="s">
        <v>158</v>
      </c>
      <c r="F81" s="13"/>
      <c r="G81" s="13" t="s">
        <v>751</v>
      </c>
      <c r="H81" s="13" t="s">
        <v>750</v>
      </c>
      <c r="I81" s="13" t="s">
        <v>2586</v>
      </c>
      <c r="J81" s="13" t="s">
        <v>3622</v>
      </c>
      <c r="K81" s="284">
        <v>45061</v>
      </c>
      <c r="L81" s="283" t="str">
        <f t="shared" si="15"/>
        <v>-</v>
      </c>
      <c r="M81" s="283" t="str">
        <f t="shared" si="16"/>
        <v>-</v>
      </c>
      <c r="N81" s="283" t="str">
        <f t="shared" si="17"/>
        <v>-</v>
      </c>
      <c r="O81" s="283" t="str">
        <f t="shared" si="18"/>
        <v>-</v>
      </c>
      <c r="P81" s="283" t="str">
        <f t="shared" si="19"/>
        <v>-</v>
      </c>
      <c r="Q81" s="283" t="str">
        <f t="shared" si="20"/>
        <v>-</v>
      </c>
      <c r="R81" s="283" t="str">
        <f t="shared" si="21"/>
        <v>-</v>
      </c>
      <c r="S81" s="283" t="str">
        <f t="shared" si="22"/>
        <v>NG</v>
      </c>
      <c r="T81" s="283" t="str">
        <f t="shared" si="23"/>
        <v>-</v>
      </c>
      <c r="U81" s="283" t="str">
        <f t="shared" si="24"/>
        <v>-</v>
      </c>
      <c r="V81" s="283" t="str">
        <f t="shared" si="25"/>
        <v>-</v>
      </c>
      <c r="W81" s="1" t="str">
        <f t="shared" si="26"/>
        <v>https://www.city.osaka.lg.jp/toshikeikaku/page/0000541634.html/</v>
      </c>
      <c r="X81" s="1" t="str">
        <f t="shared" si="27"/>
        <v>https://www.city.osaka.lg.jp/</v>
      </c>
      <c r="Y81" s="1" t="str">
        <f t="shared" si="28"/>
        <v>優先3</v>
      </c>
      <c r="Z81" s="1" t="str">
        <f t="shared" si="29"/>
        <v>Osaka City [大阪市]. "推計人口（毎月1日現在）・人口異動". Accessed 15 May, 2023. https://www.city.osaka.lg.jp/.</v>
      </c>
    </row>
    <row r="82" spans="2:26">
      <c r="B82" s="285" t="s">
        <v>676</v>
      </c>
      <c r="C82" s="285" t="s">
        <v>464</v>
      </c>
      <c r="D82" s="285" t="s">
        <v>673</v>
      </c>
      <c r="E82" s="285" t="s">
        <v>160</v>
      </c>
      <c r="F82" s="13" t="s">
        <v>836</v>
      </c>
      <c r="G82" s="13" t="s">
        <v>740</v>
      </c>
      <c r="H82" s="13" t="s">
        <v>835</v>
      </c>
      <c r="I82" s="13" t="s">
        <v>2587</v>
      </c>
      <c r="J82" s="13" t="s">
        <v>2588</v>
      </c>
      <c r="K82" s="284">
        <v>45061</v>
      </c>
      <c r="L82" s="283" t="str">
        <f t="shared" si="15"/>
        <v>-</v>
      </c>
      <c r="M82" s="283" t="str">
        <f t="shared" si="16"/>
        <v>-</v>
      </c>
      <c r="N82" s="283" t="str">
        <f t="shared" si="17"/>
        <v>-</v>
      </c>
      <c r="O82" s="283" t="str">
        <f t="shared" si="18"/>
        <v>-</v>
      </c>
      <c r="P82" s="283" t="str">
        <f t="shared" si="19"/>
        <v>-</v>
      </c>
      <c r="Q82" s="283" t="str">
        <f t="shared" si="20"/>
        <v>-</v>
      </c>
      <c r="R82" s="283" t="str">
        <f t="shared" si="21"/>
        <v>-</v>
      </c>
      <c r="S82" s="283" t="str">
        <f t="shared" si="22"/>
        <v>NG</v>
      </c>
      <c r="T82" s="283" t="str">
        <f t="shared" si="23"/>
        <v>-</v>
      </c>
      <c r="U82" s="283" t="str">
        <f t="shared" si="24"/>
        <v>-</v>
      </c>
      <c r="V82" s="283" t="str">
        <f t="shared" si="25"/>
        <v>-</v>
      </c>
      <c r="W82" s="1" t="str">
        <f t="shared" si="26"/>
        <v>https://www.toukei.metro.tokyo.lg.jp/jsuikei/js-index.htm/</v>
      </c>
      <c r="X82" s="1" t="str">
        <f t="shared" si="27"/>
        <v>https://www.toukei.metro.tokyo.lg.jp/</v>
      </c>
      <c r="Y82" s="1" t="str">
        <f t="shared" si="28"/>
        <v>優先3</v>
      </c>
      <c r="Z82" s="1" t="str">
        <f t="shared" si="29"/>
        <v>Statistics Division, Bureau of General Affairs, Tokyo Metropolitan Government [東京都総務局統計部]. "東京都の人口（推計）". Accessed 15 May, 2023. https://www.toukei.metro.tokyo.lg.jp/.</v>
      </c>
    </row>
    <row r="83" spans="2:26">
      <c r="B83" s="285" t="s">
        <v>676</v>
      </c>
      <c r="C83" s="285" t="s">
        <v>464</v>
      </c>
      <c r="D83" s="285" t="s">
        <v>673</v>
      </c>
      <c r="E83" s="285" t="s">
        <v>162</v>
      </c>
      <c r="F83" s="13" t="s">
        <v>811</v>
      </c>
      <c r="G83" s="13" t="s">
        <v>984</v>
      </c>
      <c r="H83" s="13"/>
      <c r="I83" s="13" t="s">
        <v>4006</v>
      </c>
      <c r="J83" s="13" t="s">
        <v>4007</v>
      </c>
      <c r="K83" s="284">
        <v>45061</v>
      </c>
      <c r="L83" s="283">
        <f t="shared" si="15"/>
        <v>2</v>
      </c>
      <c r="M83" s="283" t="str">
        <f t="shared" si="16"/>
        <v>-</v>
      </c>
      <c r="N83" s="283" t="str">
        <f t="shared" si="17"/>
        <v>-</v>
      </c>
      <c r="O83" s="283" t="str">
        <f t="shared" si="18"/>
        <v>-</v>
      </c>
      <c r="P83" s="283" t="str">
        <f t="shared" si="19"/>
        <v>-</v>
      </c>
      <c r="Q83" s="283" t="str">
        <f t="shared" si="20"/>
        <v>-</v>
      </c>
      <c r="R83" s="283" t="str">
        <f t="shared" si="21"/>
        <v>-</v>
      </c>
      <c r="S83" s="283" t="str">
        <f t="shared" si="22"/>
        <v>-</v>
      </c>
      <c r="T83" s="283" t="str">
        <f t="shared" si="23"/>
        <v>-</v>
      </c>
      <c r="U83" s="283" t="str">
        <f t="shared" si="24"/>
        <v>-</v>
      </c>
      <c r="V83" s="283" t="str">
        <f t="shared" si="25"/>
        <v>-</v>
      </c>
      <c r="W83" s="1" t="str">
        <f t="shared" si="26"/>
        <v>https://www.abs.gov.au/statistics/people/population/regional-population/2021-22#data-downloads/</v>
      </c>
      <c r="X83" s="1" t="str">
        <f t="shared" si="27"/>
        <v>https://www.abs.gov.au/</v>
      </c>
      <c r="Y83" s="1" t="str">
        <f t="shared" si="28"/>
        <v>優先3</v>
      </c>
      <c r="Z83" s="1" t="str">
        <f t="shared" si="29"/>
        <v>Australian Bureau of Statistics, Government of Australia. "Population estimates and components by SA2, 2021 to 2022". Accessed 15 May, 2023. https://www.abs.gov.au/.</v>
      </c>
    </row>
    <row r="84" spans="2:26">
      <c r="B84" s="285" t="s">
        <v>676</v>
      </c>
      <c r="C84" s="285" t="s">
        <v>464</v>
      </c>
      <c r="D84" s="285" t="s">
        <v>673</v>
      </c>
      <c r="E84" s="285" t="s">
        <v>164</v>
      </c>
      <c r="F84" s="13"/>
      <c r="G84" s="13" t="s">
        <v>2589</v>
      </c>
      <c r="H84" s="13"/>
      <c r="I84" s="13" t="s">
        <v>2590</v>
      </c>
      <c r="J84" s="13" t="s">
        <v>1129</v>
      </c>
      <c r="K84" s="284">
        <v>45061</v>
      </c>
      <c r="L84" s="283" t="str">
        <f t="shared" si="15"/>
        <v>-</v>
      </c>
      <c r="M84" s="283" t="str">
        <f t="shared" si="16"/>
        <v>-</v>
      </c>
      <c r="N84" s="283" t="str">
        <f t="shared" si="17"/>
        <v>-</v>
      </c>
      <c r="O84" s="283" t="str">
        <f t="shared" si="18"/>
        <v>-</v>
      </c>
      <c r="P84" s="283" t="str">
        <f t="shared" si="19"/>
        <v>-</v>
      </c>
      <c r="Q84" s="283" t="str">
        <f t="shared" si="20"/>
        <v>-</v>
      </c>
      <c r="R84" s="283" t="str">
        <f t="shared" si="21"/>
        <v>-</v>
      </c>
      <c r="S84" s="283" t="str">
        <f t="shared" si="22"/>
        <v>-</v>
      </c>
      <c r="T84" s="283" t="str">
        <f t="shared" si="23"/>
        <v>-</v>
      </c>
      <c r="U84" s="283" t="str">
        <f t="shared" si="24"/>
        <v>-</v>
      </c>
      <c r="V84" s="283" t="str">
        <f t="shared" si="25"/>
        <v>-</v>
      </c>
      <c r="W84" s="1" t="str">
        <f t="shared" si="26"/>
        <v>https://www2.gov.bc.ca/gov/content/data/statistics/people-population-community/population/population-estimates/</v>
      </c>
      <c r="X84" s="1" t="str">
        <f t="shared" si="27"/>
        <v>https://www2.gov.bc.ca/</v>
      </c>
      <c r="Y84" s="1" t="str">
        <f t="shared" si="28"/>
        <v>優先3</v>
      </c>
      <c r="Z84" s="1" t="str">
        <f t="shared" si="29"/>
        <v>Government of British Columbia. "British Columbia Population Estimates". Accessed 15 May, 2023. https://www2.gov.bc.ca/.</v>
      </c>
    </row>
    <row r="85" spans="2:26">
      <c r="B85" s="285" t="s">
        <v>676</v>
      </c>
      <c r="C85" s="285" t="s">
        <v>464</v>
      </c>
      <c r="D85" s="285" t="s">
        <v>673</v>
      </c>
      <c r="E85" s="285" t="s">
        <v>166</v>
      </c>
      <c r="F85" s="13" t="s">
        <v>1011</v>
      </c>
      <c r="G85" s="13" t="s">
        <v>710</v>
      </c>
      <c r="H85" s="13"/>
      <c r="I85" s="13" t="s">
        <v>2591</v>
      </c>
      <c r="J85" s="13" t="s">
        <v>3623</v>
      </c>
      <c r="K85" s="284">
        <v>45061</v>
      </c>
      <c r="L85" s="283">
        <f t="shared" si="15"/>
        <v>6</v>
      </c>
      <c r="M85" s="283" t="str">
        <f t="shared" si="16"/>
        <v>-</v>
      </c>
      <c r="N85" s="283" t="str">
        <f t="shared" si="17"/>
        <v>-</v>
      </c>
      <c r="O85" s="283" t="str">
        <f t="shared" si="18"/>
        <v>-</v>
      </c>
      <c r="P85" s="283" t="str">
        <f t="shared" si="19"/>
        <v>-</v>
      </c>
      <c r="Q85" s="283" t="str">
        <f t="shared" si="20"/>
        <v>-</v>
      </c>
      <c r="R85" s="283" t="str">
        <f t="shared" si="21"/>
        <v>-</v>
      </c>
      <c r="S85" s="283" t="str">
        <f t="shared" si="22"/>
        <v>-</v>
      </c>
      <c r="T85" s="283" t="str">
        <f t="shared" si="23"/>
        <v>-</v>
      </c>
      <c r="U85" s="283" t="str">
        <f t="shared" si="24"/>
        <v>-</v>
      </c>
      <c r="V85" s="283" t="str">
        <f t="shared" si="25"/>
        <v>-</v>
      </c>
      <c r="W85" s="1" t="str">
        <f t="shared" si="26"/>
        <v>https://www.census.gov/quickfacts/fact/table/bostoncitymassachusetts,newyorkcitynewyork,washingtoncitydistrictofcolumbia,chicagocityillinois,losangelescitycalifornia,sanfranciscocitycalifornia/PST045221/</v>
      </c>
      <c r="X85" s="1" t="str">
        <f t="shared" si="27"/>
        <v>https://www.census.gov/</v>
      </c>
      <c r="Y85" s="1" t="str">
        <f t="shared" si="28"/>
        <v>優先3</v>
      </c>
      <c r="Z85" s="1" t="str">
        <f t="shared" si="29"/>
        <v>Census Bureau, Department of Commerce, United States. "QuickFacts". Accessed 15 May, 2023. https://www.census.gov/.</v>
      </c>
    </row>
    <row r="86" spans="2:26">
      <c r="B86" s="285" t="s">
        <v>676</v>
      </c>
      <c r="C86" s="285" t="s">
        <v>464</v>
      </c>
      <c r="D86" s="285" t="s">
        <v>673</v>
      </c>
      <c r="E86" s="285" t="s">
        <v>168</v>
      </c>
      <c r="F86" s="13" t="s">
        <v>1011</v>
      </c>
      <c r="G86" s="13" t="s">
        <v>710</v>
      </c>
      <c r="H86" s="13"/>
      <c r="I86" s="13" t="s">
        <v>2591</v>
      </c>
      <c r="J86" s="13" t="s">
        <v>3623</v>
      </c>
      <c r="K86" s="284">
        <v>45061</v>
      </c>
      <c r="L86" s="283">
        <f t="shared" si="15"/>
        <v>6</v>
      </c>
      <c r="M86" s="283" t="str">
        <f t="shared" si="16"/>
        <v>-</v>
      </c>
      <c r="N86" s="283" t="str">
        <f t="shared" si="17"/>
        <v>-</v>
      </c>
      <c r="O86" s="283" t="str">
        <f t="shared" si="18"/>
        <v>-</v>
      </c>
      <c r="P86" s="283" t="str">
        <f t="shared" si="19"/>
        <v>-</v>
      </c>
      <c r="Q86" s="283" t="str">
        <f t="shared" si="20"/>
        <v>-</v>
      </c>
      <c r="R86" s="283" t="str">
        <f t="shared" si="21"/>
        <v>-</v>
      </c>
      <c r="S86" s="283" t="str">
        <f t="shared" si="22"/>
        <v>-</v>
      </c>
      <c r="T86" s="283" t="str">
        <f t="shared" si="23"/>
        <v>-</v>
      </c>
      <c r="U86" s="283" t="str">
        <f t="shared" si="24"/>
        <v>-</v>
      </c>
      <c r="V86" s="283" t="str">
        <f t="shared" si="25"/>
        <v>-</v>
      </c>
      <c r="W86" s="1" t="str">
        <f t="shared" si="26"/>
        <v>https://www.census.gov/quickfacts/fact/table/bostoncitymassachusetts,newyorkcitynewyork,washingtoncitydistrictofcolumbia,chicagocityillinois,losangelescitycalifornia,sanfranciscocitycalifornia/PST045221/</v>
      </c>
      <c r="X86" s="1" t="str">
        <f t="shared" si="27"/>
        <v>https://www.census.gov/</v>
      </c>
      <c r="Y86" s="1" t="str">
        <f t="shared" si="28"/>
        <v>優先3</v>
      </c>
      <c r="Z86" s="1" t="str">
        <f t="shared" si="29"/>
        <v>Census Bureau, Department of Commerce, United States. "QuickFacts". Accessed 15 May, 2023. https://www.census.gov/.</v>
      </c>
    </row>
    <row r="87" spans="2:26">
      <c r="B87" s="285" t="s">
        <v>676</v>
      </c>
      <c r="C87" s="285" t="s">
        <v>464</v>
      </c>
      <c r="D87" s="285" t="s">
        <v>673</v>
      </c>
      <c r="E87" s="285" t="s">
        <v>170</v>
      </c>
      <c r="F87" s="13" t="s">
        <v>1130</v>
      </c>
      <c r="G87" s="13"/>
      <c r="H87" s="13"/>
      <c r="I87" s="13" t="s">
        <v>3624</v>
      </c>
      <c r="J87" s="13" t="s">
        <v>4008</v>
      </c>
      <c r="K87" s="284">
        <v>45061</v>
      </c>
      <c r="L87" s="283" t="str">
        <f t="shared" si="15"/>
        <v>-</v>
      </c>
      <c r="M87" s="283" t="str">
        <f t="shared" si="16"/>
        <v>-</v>
      </c>
      <c r="N87" s="283" t="str">
        <f t="shared" si="17"/>
        <v>-</v>
      </c>
      <c r="O87" s="283" t="str">
        <f t="shared" si="18"/>
        <v>-</v>
      </c>
      <c r="P87" s="283" t="str">
        <f t="shared" si="19"/>
        <v>-</v>
      </c>
      <c r="Q87" s="283" t="str">
        <f t="shared" si="20"/>
        <v>-</v>
      </c>
      <c r="R87" s="283" t="str">
        <f t="shared" si="21"/>
        <v>-</v>
      </c>
      <c r="S87" s="283" t="str">
        <f t="shared" si="22"/>
        <v>-</v>
      </c>
      <c r="T87" s="283" t="str">
        <f t="shared" si="23"/>
        <v>-</v>
      </c>
      <c r="U87" s="283" t="str">
        <f t="shared" si="24"/>
        <v>-</v>
      </c>
      <c r="V87" s="283" t="str">
        <f t="shared" si="25"/>
        <v>-</v>
      </c>
      <c r="W87" s="1" t="str">
        <f t="shared" si="26"/>
        <v>https://www.inegi.org.mx/sistemas/olap/proyectos/bd/encuestas/hogares/enoe/2010_pe_ed15/pt.asp?s=est&amp;proy=enoe_pe_ed15_pt&amp;p=enoe_pe_ed15/</v>
      </c>
      <c r="X87" s="1" t="str">
        <f t="shared" si="27"/>
        <v>https://www.inegi.org.mx/</v>
      </c>
      <c r="Y87" s="1" t="str">
        <f t="shared" si="28"/>
        <v>優先3</v>
      </c>
      <c r="Z87" s="1" t="str">
        <f t="shared" si="29"/>
        <v>National Institute of Statistics, Geography and Informatics. "Encuesta Nacional de Ocupación y Empleo". Accessed 15 May, 2023. https://www.inegi.org.mx/.</v>
      </c>
    </row>
    <row r="88" spans="2:26">
      <c r="B88" s="285" t="s">
        <v>676</v>
      </c>
      <c r="C88" s="285" t="s">
        <v>464</v>
      </c>
      <c r="D88" s="285" t="s">
        <v>673</v>
      </c>
      <c r="E88" s="285" t="s">
        <v>172</v>
      </c>
      <c r="F88" s="13" t="s">
        <v>1011</v>
      </c>
      <c r="G88" s="13" t="s">
        <v>710</v>
      </c>
      <c r="H88" s="13"/>
      <c r="I88" s="13" t="s">
        <v>2591</v>
      </c>
      <c r="J88" s="13" t="s">
        <v>3623</v>
      </c>
      <c r="K88" s="284">
        <v>45061</v>
      </c>
      <c r="L88" s="283">
        <f t="shared" si="15"/>
        <v>6</v>
      </c>
      <c r="M88" s="283" t="str">
        <f t="shared" si="16"/>
        <v>-</v>
      </c>
      <c r="N88" s="283" t="str">
        <f t="shared" si="17"/>
        <v>-</v>
      </c>
      <c r="O88" s="283" t="str">
        <f t="shared" si="18"/>
        <v>-</v>
      </c>
      <c r="P88" s="283" t="str">
        <f t="shared" si="19"/>
        <v>-</v>
      </c>
      <c r="Q88" s="283" t="str">
        <f t="shared" si="20"/>
        <v>-</v>
      </c>
      <c r="R88" s="283" t="str">
        <f t="shared" si="21"/>
        <v>-</v>
      </c>
      <c r="S88" s="283" t="str">
        <f t="shared" si="22"/>
        <v>-</v>
      </c>
      <c r="T88" s="283" t="str">
        <f t="shared" si="23"/>
        <v>-</v>
      </c>
      <c r="U88" s="283" t="str">
        <f t="shared" si="24"/>
        <v>-</v>
      </c>
      <c r="V88" s="283" t="str">
        <f t="shared" si="25"/>
        <v>-</v>
      </c>
      <c r="W88" s="1" t="str">
        <f t="shared" si="26"/>
        <v>https://www.census.gov/quickfacts/fact/table/bostoncitymassachusetts,newyorkcitynewyork,washingtoncitydistrictofcolumbia,chicagocityillinois,losangelescitycalifornia,sanfranciscocitycalifornia/PST045221/</v>
      </c>
      <c r="X88" s="1" t="str">
        <f t="shared" si="27"/>
        <v>https://www.census.gov/</v>
      </c>
      <c r="Y88" s="1" t="str">
        <f t="shared" si="28"/>
        <v>優先3</v>
      </c>
      <c r="Z88" s="1" t="str">
        <f t="shared" si="29"/>
        <v>Census Bureau, Department of Commerce, United States. "QuickFacts". Accessed 15 May, 2023. https://www.census.gov/.</v>
      </c>
    </row>
    <row r="89" spans="2:26">
      <c r="B89" s="285" t="s">
        <v>676</v>
      </c>
      <c r="C89" s="285" t="s">
        <v>464</v>
      </c>
      <c r="D89" s="285" t="s">
        <v>673</v>
      </c>
      <c r="E89" s="285" t="s">
        <v>174</v>
      </c>
      <c r="F89" s="13"/>
      <c r="G89" s="13" t="s">
        <v>983</v>
      </c>
      <c r="H89" s="13"/>
      <c r="I89" s="13" t="s">
        <v>1022</v>
      </c>
      <c r="J89" s="13" t="s">
        <v>1131</v>
      </c>
      <c r="K89" s="284">
        <v>45061</v>
      </c>
      <c r="L89" s="283" t="str">
        <f t="shared" si="15"/>
        <v>-</v>
      </c>
      <c r="M89" s="283" t="str">
        <f t="shared" si="16"/>
        <v>-</v>
      </c>
      <c r="N89" s="283" t="str">
        <f t="shared" si="17"/>
        <v>-</v>
      </c>
      <c r="O89" s="283" t="str">
        <f t="shared" si="18"/>
        <v>-</v>
      </c>
      <c r="P89" s="283" t="str">
        <f t="shared" si="19"/>
        <v>-</v>
      </c>
      <c r="Q89" s="283" t="str">
        <f t="shared" si="20"/>
        <v>-</v>
      </c>
      <c r="R89" s="283" t="str">
        <f t="shared" si="21"/>
        <v>-</v>
      </c>
      <c r="S89" s="283" t="str">
        <f t="shared" si="22"/>
        <v>-</v>
      </c>
      <c r="T89" s="283" t="str">
        <f t="shared" si="23"/>
        <v>-</v>
      </c>
      <c r="U89" s="283" t="str">
        <f t="shared" si="24"/>
        <v>-</v>
      </c>
      <c r="V89" s="283" t="str">
        <f t="shared" si="25"/>
        <v>-</v>
      </c>
      <c r="W89" s="1" t="str">
        <f t="shared" si="26"/>
        <v>https://www.toronto.ca/city-government/data-research-maps/toronto-at-a-glance/</v>
      </c>
      <c r="X89" s="1" t="str">
        <f t="shared" si="27"/>
        <v>https://www.toronto.ca/</v>
      </c>
      <c r="Y89" s="1" t="str">
        <f t="shared" si="28"/>
        <v>優先3</v>
      </c>
      <c r="Z89" s="1" t="str">
        <f t="shared" si="29"/>
        <v>City of Toronto. "Toronto at a Glance". Accessed 15 May, 2023. https://www.toronto.ca/.</v>
      </c>
    </row>
    <row r="90" spans="2:26">
      <c r="B90" s="285" t="s">
        <v>676</v>
      </c>
      <c r="C90" s="285" t="s">
        <v>464</v>
      </c>
      <c r="D90" s="285" t="s">
        <v>673</v>
      </c>
      <c r="E90" s="285" t="s">
        <v>373</v>
      </c>
      <c r="F90" s="13" t="s">
        <v>1011</v>
      </c>
      <c r="G90" s="13" t="s">
        <v>710</v>
      </c>
      <c r="H90" s="13"/>
      <c r="I90" s="13" t="s">
        <v>2591</v>
      </c>
      <c r="J90" s="13" t="s">
        <v>3623</v>
      </c>
      <c r="K90" s="284">
        <v>45061</v>
      </c>
      <c r="L90" s="283">
        <f t="shared" si="15"/>
        <v>6</v>
      </c>
      <c r="M90" s="283" t="str">
        <f t="shared" si="16"/>
        <v>-</v>
      </c>
      <c r="N90" s="283" t="str">
        <f t="shared" si="17"/>
        <v>-</v>
      </c>
      <c r="O90" s="283" t="str">
        <f t="shared" si="18"/>
        <v>-</v>
      </c>
      <c r="P90" s="283" t="str">
        <f t="shared" si="19"/>
        <v>-</v>
      </c>
      <c r="Q90" s="283" t="str">
        <f t="shared" si="20"/>
        <v>-</v>
      </c>
      <c r="R90" s="283" t="str">
        <f t="shared" si="21"/>
        <v>-</v>
      </c>
      <c r="S90" s="283" t="str">
        <f t="shared" si="22"/>
        <v>-</v>
      </c>
      <c r="T90" s="283" t="str">
        <f t="shared" si="23"/>
        <v>-</v>
      </c>
      <c r="U90" s="283" t="str">
        <f t="shared" si="24"/>
        <v>-</v>
      </c>
      <c r="V90" s="283" t="str">
        <f t="shared" si="25"/>
        <v>-</v>
      </c>
      <c r="W90" s="1" t="str">
        <f t="shared" si="26"/>
        <v>https://www.census.gov/quickfacts/fact/table/bostoncitymassachusetts,newyorkcitynewyork,washingtoncitydistrictofcolumbia,chicagocityillinois,losangelescitycalifornia,sanfranciscocitycalifornia/PST045221/</v>
      </c>
      <c r="X90" s="1" t="str">
        <f t="shared" si="27"/>
        <v>https://www.census.gov/</v>
      </c>
      <c r="Y90" s="1" t="str">
        <f t="shared" si="28"/>
        <v>優先3</v>
      </c>
      <c r="Z90" s="1" t="str">
        <f t="shared" si="29"/>
        <v>Census Bureau, Department of Commerce, United States. "QuickFacts". Accessed 15 May, 2023. https://www.census.gov/.</v>
      </c>
    </row>
    <row r="91" spans="2:26">
      <c r="B91" s="285" t="s">
        <v>676</v>
      </c>
      <c r="C91" s="285" t="s">
        <v>464</v>
      </c>
      <c r="D91" s="285" t="s">
        <v>673</v>
      </c>
      <c r="E91" s="285" t="s">
        <v>178</v>
      </c>
      <c r="F91" s="13" t="s">
        <v>1011</v>
      </c>
      <c r="G91" s="13" t="s">
        <v>710</v>
      </c>
      <c r="H91" s="13"/>
      <c r="I91" s="13" t="s">
        <v>2591</v>
      </c>
      <c r="J91" s="13" t="s">
        <v>3623</v>
      </c>
      <c r="K91" s="284">
        <v>45061</v>
      </c>
      <c r="L91" s="283">
        <f t="shared" si="15"/>
        <v>6</v>
      </c>
      <c r="M91" s="283" t="str">
        <f t="shared" si="16"/>
        <v>-</v>
      </c>
      <c r="N91" s="283" t="str">
        <f t="shared" si="17"/>
        <v>-</v>
      </c>
      <c r="O91" s="283" t="str">
        <f t="shared" si="18"/>
        <v>-</v>
      </c>
      <c r="P91" s="283" t="str">
        <f t="shared" si="19"/>
        <v>-</v>
      </c>
      <c r="Q91" s="283" t="str">
        <f t="shared" si="20"/>
        <v>-</v>
      </c>
      <c r="R91" s="283" t="str">
        <f t="shared" si="21"/>
        <v>-</v>
      </c>
      <c r="S91" s="283" t="str">
        <f t="shared" si="22"/>
        <v>-</v>
      </c>
      <c r="T91" s="283" t="str">
        <f t="shared" si="23"/>
        <v>-</v>
      </c>
      <c r="U91" s="283" t="str">
        <f t="shared" si="24"/>
        <v>-</v>
      </c>
      <c r="V91" s="283" t="str">
        <f t="shared" si="25"/>
        <v>-</v>
      </c>
      <c r="W91" s="1" t="str">
        <f t="shared" si="26"/>
        <v>https://www.census.gov/quickfacts/fact/table/bostoncitymassachusetts,newyorkcitynewyork,washingtoncitydistrictofcolumbia,chicagocityillinois,losangelescitycalifornia,sanfranciscocitycalifornia/PST045221/</v>
      </c>
      <c r="X91" s="1" t="str">
        <f t="shared" si="27"/>
        <v>https://www.census.gov/</v>
      </c>
      <c r="Y91" s="1" t="str">
        <f t="shared" si="28"/>
        <v>優先3</v>
      </c>
      <c r="Z91" s="1" t="str">
        <f t="shared" si="29"/>
        <v>Census Bureau, Department of Commerce, United States. "QuickFacts". Accessed 15 May, 2023. https://www.census.gov/.</v>
      </c>
    </row>
    <row r="92" spans="2:26">
      <c r="B92" s="285" t="s">
        <v>676</v>
      </c>
      <c r="C92" s="285" t="s">
        <v>464</v>
      </c>
      <c r="D92" s="285" t="s">
        <v>673</v>
      </c>
      <c r="E92" s="285" t="s">
        <v>180</v>
      </c>
      <c r="F92" s="13" t="s">
        <v>1011</v>
      </c>
      <c r="G92" s="13" t="s">
        <v>710</v>
      </c>
      <c r="H92" s="13"/>
      <c r="I92" s="13" t="s">
        <v>2591</v>
      </c>
      <c r="J92" s="13" t="s">
        <v>3623</v>
      </c>
      <c r="K92" s="284">
        <v>45061</v>
      </c>
      <c r="L92" s="283">
        <f t="shared" si="15"/>
        <v>6</v>
      </c>
      <c r="M92" s="283" t="str">
        <f t="shared" si="16"/>
        <v>-</v>
      </c>
      <c r="N92" s="283" t="str">
        <f t="shared" si="17"/>
        <v>-</v>
      </c>
      <c r="O92" s="283" t="str">
        <f t="shared" si="18"/>
        <v>-</v>
      </c>
      <c r="P92" s="283" t="str">
        <f t="shared" si="19"/>
        <v>-</v>
      </c>
      <c r="Q92" s="283" t="str">
        <f t="shared" si="20"/>
        <v>-</v>
      </c>
      <c r="R92" s="283" t="str">
        <f t="shared" si="21"/>
        <v>-</v>
      </c>
      <c r="S92" s="283" t="str">
        <f t="shared" si="22"/>
        <v>-</v>
      </c>
      <c r="T92" s="283" t="str">
        <f t="shared" si="23"/>
        <v>-</v>
      </c>
      <c r="U92" s="283" t="str">
        <f t="shared" si="24"/>
        <v>-</v>
      </c>
      <c r="V92" s="283" t="str">
        <f t="shared" si="25"/>
        <v>-</v>
      </c>
      <c r="W92" s="1" t="str">
        <f t="shared" si="26"/>
        <v>https://www.census.gov/quickfacts/fact/table/bostoncitymassachusetts,newyorkcitynewyork,washingtoncitydistrictofcolumbia,chicagocityillinois,losangelescitycalifornia,sanfranciscocitycalifornia/PST045221/</v>
      </c>
      <c r="X92" s="1" t="str">
        <f t="shared" si="27"/>
        <v>https://www.census.gov/</v>
      </c>
      <c r="Y92" s="1" t="str">
        <f t="shared" si="28"/>
        <v>優先3</v>
      </c>
      <c r="Z92" s="1" t="str">
        <f t="shared" si="29"/>
        <v>Census Bureau, Department of Commerce, United States. "QuickFacts". Accessed 15 May, 2023. https://www.census.gov/.</v>
      </c>
    </row>
    <row r="93" spans="2:26">
      <c r="B93" s="285" t="s">
        <v>676</v>
      </c>
      <c r="C93" s="285" t="s">
        <v>464</v>
      </c>
      <c r="D93" s="285" t="s">
        <v>673</v>
      </c>
      <c r="E93" s="285" t="s">
        <v>182</v>
      </c>
      <c r="F93" s="13" t="s">
        <v>885</v>
      </c>
      <c r="G93" s="13" t="s">
        <v>831</v>
      </c>
      <c r="H93" s="13"/>
      <c r="I93" s="13" t="s">
        <v>2592</v>
      </c>
      <c r="J93" s="13" t="s">
        <v>1132</v>
      </c>
      <c r="K93" s="284">
        <v>45061</v>
      </c>
      <c r="L93" s="283" t="str">
        <f t="shared" si="15"/>
        <v>-</v>
      </c>
      <c r="M93" s="283" t="str">
        <f t="shared" si="16"/>
        <v>-</v>
      </c>
      <c r="N93" s="283" t="str">
        <f t="shared" si="17"/>
        <v>-</v>
      </c>
      <c r="O93" s="283" t="str">
        <f t="shared" si="18"/>
        <v>-</v>
      </c>
      <c r="P93" s="283" t="str">
        <f t="shared" si="19"/>
        <v>-</v>
      </c>
      <c r="Q93" s="283" t="str">
        <f t="shared" si="20"/>
        <v>-</v>
      </c>
      <c r="R93" s="283" t="str">
        <f t="shared" si="21"/>
        <v>-</v>
      </c>
      <c r="S93" s="283" t="str">
        <f t="shared" si="22"/>
        <v>-</v>
      </c>
      <c r="T93" s="283" t="str">
        <f t="shared" si="23"/>
        <v>-</v>
      </c>
      <c r="U93" s="283" t="str">
        <f t="shared" si="24"/>
        <v>-</v>
      </c>
      <c r="V93" s="283" t="str">
        <f t="shared" si="25"/>
        <v>-</v>
      </c>
      <c r="W93" s="1" t="str">
        <f t="shared" si="26"/>
        <v>https://cidades.ibge.gov.br/brasil/sp/sao-paulo/panorama/</v>
      </c>
      <c r="X93" s="1" t="str">
        <f t="shared" si="27"/>
        <v>https://cidades.ibge.gov.br/</v>
      </c>
      <c r="Y93" s="1" t="str">
        <f t="shared" si="28"/>
        <v>優先3</v>
      </c>
      <c r="Z93" s="1" t="str">
        <f t="shared" si="29"/>
        <v>Instituto Brasileiro de Geografia e Estatística, Federative Republic of Brazil. "População". Accessed 15 May, 2023. https://cidades.ibge.gov.br/.</v>
      </c>
    </row>
    <row r="94" spans="2:26">
      <c r="B94" s="285" t="s">
        <v>676</v>
      </c>
      <c r="C94" s="285" t="s">
        <v>464</v>
      </c>
      <c r="D94" s="285" t="s">
        <v>673</v>
      </c>
      <c r="E94" s="285" t="s">
        <v>184</v>
      </c>
      <c r="F94" s="13" t="s">
        <v>2593</v>
      </c>
      <c r="G94" s="13"/>
      <c r="H94" s="13"/>
      <c r="I94" s="13" t="s">
        <v>2594</v>
      </c>
      <c r="J94" s="13" t="s">
        <v>2595</v>
      </c>
      <c r="K94" s="284">
        <v>45061</v>
      </c>
      <c r="L94" s="283" t="str">
        <f t="shared" si="15"/>
        <v>-</v>
      </c>
      <c r="M94" s="283" t="str">
        <f t="shared" si="16"/>
        <v>-</v>
      </c>
      <c r="N94" s="283" t="str">
        <f t="shared" si="17"/>
        <v>-</v>
      </c>
      <c r="O94" s="283" t="str">
        <f t="shared" si="18"/>
        <v>-</v>
      </c>
      <c r="P94" s="283" t="str">
        <f t="shared" si="19"/>
        <v>-</v>
      </c>
      <c r="Q94" s="283" t="str">
        <f t="shared" si="20"/>
        <v>-</v>
      </c>
      <c r="R94" s="283" t="str">
        <f t="shared" si="21"/>
        <v>-</v>
      </c>
      <c r="S94" s="283" t="str">
        <f t="shared" si="22"/>
        <v>-</v>
      </c>
      <c r="T94" s="283" t="str">
        <f t="shared" si="23"/>
        <v>-</v>
      </c>
      <c r="U94" s="283" t="str">
        <f t="shared" si="24"/>
        <v>-</v>
      </c>
      <c r="V94" s="283" t="str">
        <f t="shared" si="25"/>
        <v>-</v>
      </c>
      <c r="W94" s="1" t="str">
        <f t="shared" si="26"/>
        <v>https://municipalities.co.za/demographic/2/city-of-johannesburg-metropolitan-municipality/</v>
      </c>
      <c r="X94" s="1" t="str">
        <f t="shared" si="27"/>
        <v>https://municipalities.co.za/</v>
      </c>
      <c r="Y94" s="1" t="str">
        <f t="shared" si="28"/>
        <v>優先3</v>
      </c>
      <c r="Z94" s="1" t="str">
        <f t="shared" si="29"/>
        <v>Municipalities of South Africa. "Demographic Information". Accessed 15 May, 2023. https://municipalities.co.za/.</v>
      </c>
    </row>
    <row r="95" spans="2:26">
      <c r="B95" s="285" t="s">
        <v>676</v>
      </c>
      <c r="C95" s="285" t="s">
        <v>464</v>
      </c>
      <c r="D95" s="285" t="s">
        <v>673</v>
      </c>
      <c r="E95" s="285" t="s">
        <v>186</v>
      </c>
      <c r="F95" s="13" t="s">
        <v>1133</v>
      </c>
      <c r="G95" s="13" t="s">
        <v>1134</v>
      </c>
      <c r="H95" s="13"/>
      <c r="I95" s="13" t="s">
        <v>2596</v>
      </c>
      <c r="J95" s="13" t="s">
        <v>3625</v>
      </c>
      <c r="K95" s="284">
        <v>45061</v>
      </c>
      <c r="L95" s="283" t="str">
        <f t="shared" si="15"/>
        <v>-</v>
      </c>
      <c r="M95" s="283" t="str">
        <f t="shared" si="16"/>
        <v>-</v>
      </c>
      <c r="N95" s="283" t="str">
        <f t="shared" si="17"/>
        <v>-</v>
      </c>
      <c r="O95" s="283" t="str">
        <f t="shared" si="18"/>
        <v>-</v>
      </c>
      <c r="P95" s="283" t="str">
        <f t="shared" si="19"/>
        <v>-</v>
      </c>
      <c r="Q95" s="283" t="str">
        <f t="shared" si="20"/>
        <v>-</v>
      </c>
      <c r="R95" s="283" t="str">
        <f t="shared" si="21"/>
        <v>-</v>
      </c>
      <c r="S95" s="283" t="str">
        <f t="shared" si="22"/>
        <v>-</v>
      </c>
      <c r="T95" s="283" t="str">
        <f t="shared" si="23"/>
        <v>-</v>
      </c>
      <c r="U95" s="283" t="str">
        <f t="shared" si="24"/>
        <v>-</v>
      </c>
      <c r="V95" s="283" t="str">
        <f t="shared" si="25"/>
        <v>-</v>
      </c>
      <c r="W95" s="1" t="str">
        <f t="shared" si="26"/>
        <v>https://jakarta.bps.go.id/subject/12/kependudukan.html#subjekViewTab5/</v>
      </c>
      <c r="X95" s="1" t="str">
        <f t="shared" si="27"/>
        <v>https://jakarta.bps.go.id/</v>
      </c>
      <c r="Y95" s="1" t="str">
        <f t="shared" si="28"/>
        <v>優先3</v>
      </c>
      <c r="Z95" s="1" t="str">
        <f t="shared" si="29"/>
        <v>BPS-Statistics Indonesia, Indonesia government. "Population of DKI Jakarta Province by Age Group and Sex". Accessed 15 May, 2023. https://jakarta.bps.go.id/.</v>
      </c>
    </row>
    <row r="96" spans="2:26">
      <c r="B96" s="285" t="s">
        <v>676</v>
      </c>
      <c r="C96" s="285" t="s">
        <v>464</v>
      </c>
      <c r="D96" s="285" t="s">
        <v>673</v>
      </c>
      <c r="E96" s="285" t="s">
        <v>188</v>
      </c>
      <c r="F96" s="13" t="s">
        <v>1135</v>
      </c>
      <c r="G96" s="13" t="s">
        <v>1136</v>
      </c>
      <c r="H96" s="13"/>
      <c r="I96" s="13" t="s">
        <v>4009</v>
      </c>
      <c r="J96" s="13" t="s">
        <v>4010</v>
      </c>
      <c r="K96" s="284">
        <v>45061</v>
      </c>
      <c r="L96" s="283" t="str">
        <f t="shared" si="15"/>
        <v>-</v>
      </c>
      <c r="M96" s="283" t="str">
        <f t="shared" si="16"/>
        <v>-</v>
      </c>
      <c r="N96" s="283" t="str">
        <f t="shared" si="17"/>
        <v>-</v>
      </c>
      <c r="O96" s="283" t="str">
        <f t="shared" si="18"/>
        <v>-</v>
      </c>
      <c r="P96" s="283" t="str">
        <f t="shared" si="19"/>
        <v>-</v>
      </c>
      <c r="Q96" s="283" t="str">
        <f t="shared" si="20"/>
        <v>-</v>
      </c>
      <c r="R96" s="283" t="str">
        <f t="shared" si="21"/>
        <v>-</v>
      </c>
      <c r="S96" s="283" t="str">
        <f t="shared" si="22"/>
        <v>-</v>
      </c>
      <c r="T96" s="283" t="str">
        <f t="shared" si="23"/>
        <v>-</v>
      </c>
      <c r="U96" s="283" t="str">
        <f t="shared" si="24"/>
        <v>-</v>
      </c>
      <c r="V96" s="283" t="str">
        <f t="shared" si="25"/>
        <v>-</v>
      </c>
      <c r="W96" s="1" t="str">
        <f t="shared" si="26"/>
        <v>https://www.estadisticaciudad.gob.ar/eyc/?p=132766/</v>
      </c>
      <c r="X96" s="1" t="str">
        <f t="shared" si="27"/>
        <v>https://www.estadisticaciudad.gob.ar/</v>
      </c>
      <c r="Y96" s="1" t="str">
        <f t="shared" si="28"/>
        <v>優先3</v>
      </c>
      <c r="Z96" s="1" t="str">
        <f t="shared" si="29"/>
        <v>Dirección General de Estadística y Censos, City of Buenos Aires. "Anuario Estadístico de la Ciudad de Buenos Aires 2021". Accessed 15 May, 2023. https://www.estadisticaciudad.gob.ar/.</v>
      </c>
    </row>
    <row r="97" spans="2:26">
      <c r="B97" s="285" t="s">
        <v>676</v>
      </c>
      <c r="C97" s="285" t="s">
        <v>464</v>
      </c>
      <c r="D97" s="285" t="s">
        <v>673</v>
      </c>
      <c r="E97" s="285" t="s">
        <v>190</v>
      </c>
      <c r="F97" s="13" t="s">
        <v>862</v>
      </c>
      <c r="G97" s="13" t="s">
        <v>829</v>
      </c>
      <c r="H97" s="13"/>
      <c r="I97" s="13" t="s">
        <v>3626</v>
      </c>
      <c r="J97" s="13" t="s">
        <v>3627</v>
      </c>
      <c r="K97" s="284">
        <v>45061</v>
      </c>
      <c r="L97" s="283" t="str">
        <f t="shared" si="15"/>
        <v>-</v>
      </c>
      <c r="M97" s="283" t="str">
        <f t="shared" si="16"/>
        <v>-</v>
      </c>
      <c r="N97" s="283" t="str">
        <f t="shared" si="17"/>
        <v>-</v>
      </c>
      <c r="O97" s="283" t="str">
        <f t="shared" si="18"/>
        <v>-</v>
      </c>
      <c r="P97" s="283" t="str">
        <f t="shared" si="19"/>
        <v>-</v>
      </c>
      <c r="Q97" s="283" t="str">
        <f t="shared" si="20"/>
        <v>-</v>
      </c>
      <c r="R97" s="283" t="str">
        <f t="shared" si="21"/>
        <v>-</v>
      </c>
      <c r="S97" s="283" t="str">
        <f t="shared" si="22"/>
        <v>-</v>
      </c>
      <c r="T97" s="283" t="str">
        <f t="shared" si="23"/>
        <v>-</v>
      </c>
      <c r="U97" s="283" t="str">
        <f t="shared" si="24"/>
        <v>-</v>
      </c>
      <c r="V97" s="283" t="str">
        <f t="shared" si="25"/>
        <v>-</v>
      </c>
      <c r="W97" s="1" t="str">
        <f t="shared" si="26"/>
        <v>https://www.dsc.gov.ae/en-us/Themes/Pages/Population-and-Vital-Statistics.aspx?Theme=42&amp;year=2020#DSC_Tab1/</v>
      </c>
      <c r="X97" s="1" t="str">
        <f t="shared" si="27"/>
        <v>https://www.dsc.gov.ae/</v>
      </c>
      <c r="Y97" s="1" t="str">
        <f t="shared" si="28"/>
        <v>優先3</v>
      </c>
      <c r="Z97" s="1" t="str">
        <f t="shared" si="29"/>
        <v>Dubai Statistics Center, Government of Dubai. "Distribution of Estimated Population &amp; Population Density (person/km2) by Sector and Community". Accessed 15 May, 2023. https://www.dsc.gov.ae/.</v>
      </c>
    </row>
    <row r="98" spans="2:26">
      <c r="B98" s="285" t="s">
        <v>676</v>
      </c>
      <c r="C98" s="285" t="s">
        <v>464</v>
      </c>
      <c r="D98" s="285" t="s">
        <v>673</v>
      </c>
      <c r="E98" s="285" t="s">
        <v>369</v>
      </c>
      <c r="F98" s="13" t="s">
        <v>1137</v>
      </c>
      <c r="G98" s="13"/>
      <c r="H98" s="13"/>
      <c r="I98" s="13" t="s">
        <v>2597</v>
      </c>
      <c r="J98" s="13" t="s">
        <v>2598</v>
      </c>
      <c r="K98" s="284">
        <v>45061</v>
      </c>
      <c r="L98" s="283" t="str">
        <f t="shared" si="15"/>
        <v>-</v>
      </c>
      <c r="M98" s="283" t="str">
        <f t="shared" si="16"/>
        <v>-</v>
      </c>
      <c r="N98" s="283" t="str">
        <f t="shared" si="17"/>
        <v>-</v>
      </c>
      <c r="O98" s="283" t="str">
        <f t="shared" si="18"/>
        <v>-</v>
      </c>
      <c r="P98" s="283" t="str">
        <f t="shared" si="19"/>
        <v>-</v>
      </c>
      <c r="Q98" s="283" t="str">
        <f t="shared" si="20"/>
        <v>-</v>
      </c>
      <c r="R98" s="283" t="str">
        <f t="shared" si="21"/>
        <v>-</v>
      </c>
      <c r="S98" s="283" t="str">
        <f t="shared" si="22"/>
        <v>-</v>
      </c>
      <c r="T98" s="283" t="str">
        <f t="shared" si="23"/>
        <v>-</v>
      </c>
      <c r="U98" s="283" t="str">
        <f t="shared" si="24"/>
        <v>-</v>
      </c>
      <c r="V98" s="283" t="str">
        <f t="shared" si="25"/>
        <v>-</v>
      </c>
      <c r="W98" s="1" t="str">
        <f t="shared" si="26"/>
        <v>https://data.cso.ie/</v>
      </c>
      <c r="X98" s="1" t="str">
        <f t="shared" si="27"/>
        <v>https://data.cso.ie/</v>
      </c>
      <c r="Y98" s="1" t="str">
        <f t="shared" si="28"/>
        <v>優先3</v>
      </c>
      <c r="Z98" s="1" t="str">
        <f t="shared" si="29"/>
        <v>Central Statistics Office, Ireland. "Population Density and Area Size 2011 to 2016". Accessed 15 May, 2023. https://data.cso.ie/.</v>
      </c>
    </row>
    <row r="99" spans="2:26">
      <c r="B99" s="285" t="s">
        <v>676</v>
      </c>
      <c r="C99" s="285" t="s">
        <v>464</v>
      </c>
      <c r="D99" s="285" t="s">
        <v>673</v>
      </c>
      <c r="E99" s="285" t="s">
        <v>370</v>
      </c>
      <c r="F99" s="13" t="s">
        <v>828</v>
      </c>
      <c r="G99" s="13"/>
      <c r="H99" s="13"/>
      <c r="I99" s="13" t="s">
        <v>2631</v>
      </c>
      <c r="J99" s="13" t="s">
        <v>1348</v>
      </c>
      <c r="K99" s="284">
        <v>45061</v>
      </c>
      <c r="L99" s="283" t="str">
        <f t="shared" si="15"/>
        <v>-</v>
      </c>
      <c r="M99" s="283" t="str">
        <f t="shared" si="16"/>
        <v>-</v>
      </c>
      <c r="N99" s="283" t="str">
        <f t="shared" si="17"/>
        <v>-</v>
      </c>
      <c r="O99" s="283" t="str">
        <f t="shared" si="18"/>
        <v>-</v>
      </c>
      <c r="P99" s="283" t="str">
        <f t="shared" si="19"/>
        <v>-</v>
      </c>
      <c r="Q99" s="283" t="str">
        <f t="shared" si="20"/>
        <v>-</v>
      </c>
      <c r="R99" s="283" t="str">
        <f t="shared" si="21"/>
        <v>-</v>
      </c>
      <c r="S99" s="283" t="str">
        <f t="shared" si="22"/>
        <v>-</v>
      </c>
      <c r="T99" s="283" t="str">
        <f t="shared" si="23"/>
        <v>-</v>
      </c>
      <c r="U99" s="283" t="str">
        <f t="shared" si="24"/>
        <v>-</v>
      </c>
      <c r="V99" s="283" t="str">
        <f t="shared" si="25"/>
        <v>NG</v>
      </c>
      <c r="W99" s="1" t="str">
        <f t="shared" si="26"/>
        <v>https://hri.fi/data/en_GB/dataset/helsingin-tilastollinen-vuosikirja/</v>
      </c>
      <c r="X99" s="1" t="str">
        <f t="shared" si="27"/>
        <v>https://hri.fi/</v>
      </c>
      <c r="Y99" s="1" t="str">
        <f t="shared" si="28"/>
        <v>優先3</v>
      </c>
      <c r="Z99" s="1" t="str">
        <f t="shared" si="29"/>
        <v>Helsinki Region Infoshare . "STATISTICAL YEARBOOK OF HELSINKI". Accessed 15 May, 2023. https://hri.fi/.</v>
      </c>
    </row>
    <row r="100" spans="2:26">
      <c r="B100" s="285" t="s">
        <v>676</v>
      </c>
      <c r="C100" s="285" t="s">
        <v>464</v>
      </c>
      <c r="D100" s="285" t="s">
        <v>673</v>
      </c>
      <c r="E100" s="285" t="s">
        <v>371</v>
      </c>
      <c r="F100" s="13" t="s">
        <v>1021</v>
      </c>
      <c r="G100" s="13" t="s">
        <v>1138</v>
      </c>
      <c r="H100" s="13"/>
      <c r="I100" s="13" t="s">
        <v>4011</v>
      </c>
      <c r="J100" s="13" t="s">
        <v>4012</v>
      </c>
      <c r="K100" s="284">
        <v>45061</v>
      </c>
      <c r="L100" s="283" t="str">
        <f t="shared" si="15"/>
        <v>-</v>
      </c>
      <c r="M100" s="283" t="str">
        <f t="shared" si="16"/>
        <v>-</v>
      </c>
      <c r="N100" s="283" t="str">
        <f t="shared" si="17"/>
        <v>-</v>
      </c>
      <c r="O100" s="283" t="str">
        <f t="shared" si="18"/>
        <v>-</v>
      </c>
      <c r="P100" s="283" t="str">
        <f t="shared" si="19"/>
        <v>-</v>
      </c>
      <c r="Q100" s="283" t="str">
        <f t="shared" si="20"/>
        <v>-</v>
      </c>
      <c r="R100" s="283" t="str">
        <f t="shared" si="21"/>
        <v>-</v>
      </c>
      <c r="S100" s="283" t="str">
        <f t="shared" si="22"/>
        <v>-</v>
      </c>
      <c r="T100" s="283" t="str">
        <f t="shared" si="23"/>
        <v>-</v>
      </c>
      <c r="U100" s="283" t="str">
        <f t="shared" si="24"/>
        <v>-</v>
      </c>
      <c r="V100" s="283" t="str">
        <f t="shared" si="25"/>
        <v>-</v>
      </c>
      <c r="W100" s="1" t="str">
        <f t="shared" si="26"/>
        <v>https://www.cbs.gov.il/en/publications/Pages/2022/Population-Statistical-Abstract-of-Israel-2022-No.73.aspx/</v>
      </c>
      <c r="X100" s="1" t="str">
        <f t="shared" si="27"/>
        <v>https://www.cbs.gov.il/</v>
      </c>
      <c r="Y100" s="1" t="str">
        <f t="shared" si="28"/>
        <v>優先3</v>
      </c>
      <c r="Z100" s="1" t="str">
        <f t="shared" si="29"/>
        <v>Central Bureau of Statistics, State of Israel. "Population - Statistical Abstract of Israel 2022 - No.73". Accessed 15 May, 2023. https://www.cbs.gov.il/.</v>
      </c>
    </row>
    <row r="101" spans="2:26">
      <c r="B101" s="285" t="s">
        <v>676</v>
      </c>
      <c r="C101" s="285" t="s">
        <v>464</v>
      </c>
      <c r="D101" s="285" t="s">
        <v>673</v>
      </c>
      <c r="E101" s="285" t="s">
        <v>372</v>
      </c>
      <c r="F101" s="13" t="s">
        <v>811</v>
      </c>
      <c r="G101" s="13" t="s">
        <v>984</v>
      </c>
      <c r="H101" s="13"/>
      <c r="I101" s="13" t="s">
        <v>4006</v>
      </c>
      <c r="J101" s="13" t="s">
        <v>4007</v>
      </c>
      <c r="K101" s="284">
        <v>45061</v>
      </c>
      <c r="L101" s="283">
        <f t="shared" si="15"/>
        <v>2</v>
      </c>
      <c r="M101" s="283" t="str">
        <f t="shared" si="16"/>
        <v>-</v>
      </c>
      <c r="N101" s="283" t="str">
        <f t="shared" si="17"/>
        <v>-</v>
      </c>
      <c r="O101" s="283" t="str">
        <f t="shared" si="18"/>
        <v>-</v>
      </c>
      <c r="P101" s="283" t="str">
        <f t="shared" si="19"/>
        <v>-</v>
      </c>
      <c r="Q101" s="283" t="str">
        <f t="shared" si="20"/>
        <v>-</v>
      </c>
      <c r="R101" s="283" t="str">
        <f t="shared" si="21"/>
        <v>-</v>
      </c>
      <c r="S101" s="283" t="str">
        <f t="shared" si="22"/>
        <v>-</v>
      </c>
      <c r="T101" s="283" t="str">
        <f t="shared" si="23"/>
        <v>-</v>
      </c>
      <c r="U101" s="283" t="str">
        <f t="shared" si="24"/>
        <v>-</v>
      </c>
      <c r="V101" s="283" t="str">
        <f t="shared" si="25"/>
        <v>-</v>
      </c>
      <c r="W101" s="1" t="str">
        <f t="shared" si="26"/>
        <v>https://www.abs.gov.au/statistics/people/population/regional-population/2021-22#data-downloads/</v>
      </c>
      <c r="X101" s="1" t="str">
        <f t="shared" si="27"/>
        <v>https://www.abs.gov.au/</v>
      </c>
      <c r="Y101" s="1" t="str">
        <f t="shared" si="28"/>
        <v>優先3</v>
      </c>
      <c r="Z101" s="1" t="str">
        <f t="shared" si="29"/>
        <v>Australian Bureau of Statistics, Government of Australia. "Population estimates and components by SA2, 2021 to 2022". Accessed 15 May, 2023. https://www.abs.gov.au/.</v>
      </c>
    </row>
    <row r="102" spans="2:26">
      <c r="B102" s="285" t="s">
        <v>675</v>
      </c>
      <c r="C102" s="285" t="s">
        <v>464</v>
      </c>
      <c r="D102" s="285" t="s">
        <v>688</v>
      </c>
      <c r="E102" s="285" t="s">
        <v>688</v>
      </c>
      <c r="F102" s="13" t="s">
        <v>1139</v>
      </c>
      <c r="G102" s="13"/>
      <c r="H102" s="13"/>
      <c r="I102" s="13" t="s">
        <v>1140</v>
      </c>
      <c r="J102" s="13" t="s">
        <v>1141</v>
      </c>
      <c r="K102" s="284">
        <v>45057</v>
      </c>
      <c r="L102" s="283" t="str">
        <f t="shared" si="15"/>
        <v>-</v>
      </c>
      <c r="M102" s="283" t="str">
        <f t="shared" si="16"/>
        <v>-</v>
      </c>
      <c r="N102" s="283" t="str">
        <f t="shared" si="17"/>
        <v>NG</v>
      </c>
      <c r="O102" s="283" t="str">
        <f t="shared" si="18"/>
        <v>-</v>
      </c>
      <c r="P102" s="283" t="str">
        <f t="shared" si="19"/>
        <v>-</v>
      </c>
      <c r="Q102" s="283" t="str">
        <f t="shared" si="20"/>
        <v>-</v>
      </c>
      <c r="R102" s="283" t="str">
        <f t="shared" si="21"/>
        <v>-</v>
      </c>
      <c r="S102" s="283" t="str">
        <f t="shared" si="22"/>
        <v>-</v>
      </c>
      <c r="T102" s="283" t="str">
        <f t="shared" si="23"/>
        <v>-</v>
      </c>
      <c r="U102" s="283" t="str">
        <f t="shared" si="24"/>
        <v>-</v>
      </c>
      <c r="V102" s="283" t="str">
        <f t="shared" si="25"/>
        <v>-</v>
      </c>
      <c r="W102" s="1" t="str">
        <f t="shared" si="26"/>
        <v>https://www.irs.gov/individuals/international-taxpayers/yearly-average-currency-exchange-rates/</v>
      </c>
      <c r="X102" s="1" t="str">
        <f t="shared" si="27"/>
        <v>https://www.irs.gov/</v>
      </c>
      <c r="Y102" s="1" t="str">
        <f t="shared" si="28"/>
        <v>優先1</v>
      </c>
      <c r="Z102" s="1" t="str">
        <f t="shared" si="29"/>
        <v>United States Internal Revenue Service (IRS). "Yearly Average Currency Exchange Rates". Accessed 11 May, 2023. https://www.irs.gov/.</v>
      </c>
    </row>
    <row r="103" spans="2:26">
      <c r="B103" s="285" t="s">
        <v>675</v>
      </c>
      <c r="C103" s="285" t="s">
        <v>464</v>
      </c>
      <c r="D103" s="285" t="s">
        <v>673</v>
      </c>
      <c r="E103" s="285" t="s">
        <v>142</v>
      </c>
      <c r="F103" s="13" t="s">
        <v>3631</v>
      </c>
      <c r="G103" s="13"/>
      <c r="H103" s="13"/>
      <c r="I103" s="13" t="s">
        <v>3632</v>
      </c>
      <c r="J103" s="13" t="s">
        <v>3633</v>
      </c>
      <c r="K103" s="284">
        <v>45057</v>
      </c>
      <c r="L103" s="283" t="str">
        <f t="shared" si="15"/>
        <v>-</v>
      </c>
      <c r="M103" s="283" t="str">
        <f t="shared" si="16"/>
        <v>-</v>
      </c>
      <c r="N103" s="283" t="str">
        <f t="shared" si="17"/>
        <v>-</v>
      </c>
      <c r="O103" s="283" t="str">
        <f t="shared" si="18"/>
        <v>-</v>
      </c>
      <c r="P103" s="283" t="str">
        <f t="shared" si="19"/>
        <v>-</v>
      </c>
      <c r="Q103" s="283" t="str">
        <f t="shared" si="20"/>
        <v>-</v>
      </c>
      <c r="R103" s="283" t="str">
        <f t="shared" si="21"/>
        <v>-</v>
      </c>
      <c r="S103" s="283" t="str">
        <f t="shared" si="22"/>
        <v>-</v>
      </c>
      <c r="T103" s="283" t="str">
        <f t="shared" si="23"/>
        <v>-</v>
      </c>
      <c r="U103" s="283" t="str">
        <f t="shared" si="24"/>
        <v>-</v>
      </c>
      <c r="V103" s="283" t="str">
        <f t="shared" si="25"/>
        <v>-</v>
      </c>
      <c r="W103" s="1" t="str">
        <f t="shared" si="26"/>
        <v>https://www.exchangerates.org.uk/USD-MYR-exchange-rate-history.html/</v>
      </c>
      <c r="X103" s="1" t="str">
        <f t="shared" si="27"/>
        <v>https://www.exchangerates.org.uk/</v>
      </c>
      <c r="Y103" s="1" t="str">
        <f t="shared" si="28"/>
        <v>優先3</v>
      </c>
      <c r="Z103" s="1" t="str">
        <f t="shared" si="29"/>
        <v>Exchange Rates UK. "US Dollar (USD) to Malaysian Ringgit (MYR) exchange rate history". Accessed 11 May, 2023. https://www.exchangerates.org.uk/.</v>
      </c>
    </row>
    <row r="104" spans="2:26">
      <c r="B104" s="285" t="s">
        <v>675</v>
      </c>
      <c r="C104" s="285" t="s">
        <v>464</v>
      </c>
      <c r="D104" s="285" t="s">
        <v>673</v>
      </c>
      <c r="E104" s="285" t="s">
        <v>186</v>
      </c>
      <c r="F104" s="13" t="s">
        <v>3631</v>
      </c>
      <c r="G104" s="13"/>
      <c r="H104" s="13"/>
      <c r="I104" s="13" t="s">
        <v>3634</v>
      </c>
      <c r="J104" s="13" t="s">
        <v>3635</v>
      </c>
      <c r="K104" s="284">
        <v>45057</v>
      </c>
      <c r="L104" s="283" t="str">
        <f t="shared" si="15"/>
        <v>-</v>
      </c>
      <c r="M104" s="283" t="str">
        <f t="shared" si="16"/>
        <v>-</v>
      </c>
      <c r="N104" s="283" t="str">
        <f t="shared" si="17"/>
        <v>-</v>
      </c>
      <c r="O104" s="283" t="str">
        <f t="shared" si="18"/>
        <v>-</v>
      </c>
      <c r="P104" s="283" t="str">
        <f t="shared" si="19"/>
        <v>-</v>
      </c>
      <c r="Q104" s="283" t="str">
        <f t="shared" si="20"/>
        <v>-</v>
      </c>
      <c r="R104" s="283" t="str">
        <f t="shared" si="21"/>
        <v>-</v>
      </c>
      <c r="S104" s="283" t="str">
        <f t="shared" si="22"/>
        <v>-</v>
      </c>
      <c r="T104" s="283" t="str">
        <f t="shared" si="23"/>
        <v>-</v>
      </c>
      <c r="U104" s="283" t="str">
        <f t="shared" si="24"/>
        <v>-</v>
      </c>
      <c r="V104" s="283" t="str">
        <f t="shared" si="25"/>
        <v>-</v>
      </c>
      <c r="W104" s="1" t="str">
        <f t="shared" si="26"/>
        <v>https://www.exchangerates.org.uk/USD-IDR-exchange-rate-history.html/</v>
      </c>
      <c r="X104" s="1" t="str">
        <f t="shared" si="27"/>
        <v>https://www.exchangerates.org.uk/</v>
      </c>
      <c r="Y104" s="1" t="str">
        <f t="shared" si="28"/>
        <v>優先3</v>
      </c>
      <c r="Z104" s="1" t="str">
        <f t="shared" si="29"/>
        <v>Exchange Rates UK. "US Dollar (USD) to Indonesian Rupiah (IDR) exchange rate history". Accessed 11 May, 2023. https://www.exchangerates.org.uk/.</v>
      </c>
    </row>
    <row r="105" spans="2:26">
      <c r="B105" s="285" t="s">
        <v>211</v>
      </c>
      <c r="C105" s="285" t="s">
        <v>698</v>
      </c>
      <c r="D105" s="285" t="s">
        <v>688</v>
      </c>
      <c r="E105" s="285" t="s">
        <v>688</v>
      </c>
      <c r="F105" s="13" t="s">
        <v>747</v>
      </c>
      <c r="G105" s="13"/>
      <c r="H105" s="13"/>
      <c r="I105" s="13" t="s">
        <v>1142</v>
      </c>
      <c r="J105" s="13" t="s">
        <v>1143</v>
      </c>
      <c r="K105" s="284">
        <v>45062</v>
      </c>
      <c r="L105" s="283" t="str">
        <f t="shared" si="15"/>
        <v>-</v>
      </c>
      <c r="M105" s="283" t="str">
        <f t="shared" si="16"/>
        <v>-</v>
      </c>
      <c r="N105" s="283" t="str">
        <f t="shared" si="17"/>
        <v>-</v>
      </c>
      <c r="O105" s="283" t="str">
        <f t="shared" si="18"/>
        <v>-</v>
      </c>
      <c r="P105" s="283" t="str">
        <f t="shared" si="19"/>
        <v>-</v>
      </c>
      <c r="Q105" s="283" t="str">
        <f t="shared" si="20"/>
        <v>-</v>
      </c>
      <c r="R105" s="283" t="str">
        <f t="shared" si="21"/>
        <v>-</v>
      </c>
      <c r="S105" s="283" t="str">
        <f t="shared" si="22"/>
        <v>-</v>
      </c>
      <c r="T105" s="283" t="str">
        <f t="shared" si="23"/>
        <v>-</v>
      </c>
      <c r="U105" s="283" t="str">
        <f t="shared" si="24"/>
        <v>-</v>
      </c>
      <c r="V105" s="283" t="str">
        <f t="shared" si="25"/>
        <v>-</v>
      </c>
      <c r="W105" s="1" t="str">
        <f t="shared" si="26"/>
        <v>http://stats.oecd.org/index.aspx/</v>
      </c>
      <c r="X105" s="1" t="str">
        <f t="shared" si="27"/>
        <v>http://stats.oecd.org/</v>
      </c>
      <c r="Y105" s="1" t="str">
        <f t="shared" si="28"/>
        <v>優先2①</v>
      </c>
      <c r="Z105" s="1" t="str">
        <f t="shared" si="29"/>
        <v>Organisation for Economic Co-operation and Development. "OECD Statistics - Regions and Cities". Accessed 16 May, 2023. http://stats.oecd.org/.</v>
      </c>
    </row>
    <row r="106" spans="2:26">
      <c r="B106" s="285" t="s">
        <v>211</v>
      </c>
      <c r="C106" s="285" t="s">
        <v>698</v>
      </c>
      <c r="D106" s="285" t="s">
        <v>673</v>
      </c>
      <c r="E106" s="285" t="s">
        <v>106</v>
      </c>
      <c r="F106" s="13"/>
      <c r="G106" s="13" t="s">
        <v>993</v>
      </c>
      <c r="H106" s="13"/>
      <c r="I106" s="13" t="s">
        <v>3636</v>
      </c>
      <c r="J106" s="13" t="s">
        <v>2602</v>
      </c>
      <c r="K106" s="284">
        <v>45062</v>
      </c>
      <c r="L106" s="283" t="str">
        <f t="shared" si="15"/>
        <v>-</v>
      </c>
      <c r="M106" s="283" t="str">
        <f t="shared" si="16"/>
        <v>-</v>
      </c>
      <c r="N106" s="283" t="str">
        <f t="shared" si="17"/>
        <v>-</v>
      </c>
      <c r="O106" s="283" t="str">
        <f t="shared" si="18"/>
        <v>-</v>
      </c>
      <c r="P106" s="283" t="str">
        <f t="shared" si="19"/>
        <v>-</v>
      </c>
      <c r="Q106" s="283" t="str">
        <f t="shared" si="20"/>
        <v>-</v>
      </c>
      <c r="R106" s="283" t="str">
        <f t="shared" si="21"/>
        <v>-</v>
      </c>
      <c r="S106" s="283" t="str">
        <f t="shared" si="22"/>
        <v>-</v>
      </c>
      <c r="T106" s="283" t="str">
        <f t="shared" si="23"/>
        <v>-</v>
      </c>
      <c r="U106" s="283" t="str">
        <f t="shared" si="24"/>
        <v>-</v>
      </c>
      <c r="V106" s="283" t="str">
        <f t="shared" si="25"/>
        <v>-</v>
      </c>
      <c r="W106" s="1" t="str">
        <f t="shared" si="26"/>
        <v>https://ajuntament.barcelona.cat/estadistica/angles/Anuaris/index.htm/</v>
      </c>
      <c r="X106" s="1" t="str">
        <f t="shared" si="27"/>
        <v>https://ajuntament.barcelona.cat/</v>
      </c>
      <c r="Y106" s="1" t="str">
        <f t="shared" si="28"/>
        <v>優先3</v>
      </c>
      <c r="Z106" s="1" t="str">
        <f t="shared" si="29"/>
        <v>Ajuntament de Barcelona. "Statistical Yearbook of the City of Barcelona 2021". Accessed 16 May, 2023. https://ajuntament.barcelona.cat/.</v>
      </c>
    </row>
    <row r="107" spans="2:26">
      <c r="B107" s="285" t="s">
        <v>211</v>
      </c>
      <c r="C107" s="285" t="s">
        <v>698</v>
      </c>
      <c r="D107" s="285" t="s">
        <v>673</v>
      </c>
      <c r="E107" s="285" t="s">
        <v>114</v>
      </c>
      <c r="F107" s="13" t="s">
        <v>854</v>
      </c>
      <c r="G107" s="13" t="s">
        <v>286</v>
      </c>
      <c r="H107" s="13"/>
      <c r="I107" s="13" t="s">
        <v>1016</v>
      </c>
      <c r="J107" s="13" t="s">
        <v>3637</v>
      </c>
      <c r="K107" s="284">
        <v>45054</v>
      </c>
      <c r="L107" s="283" t="str">
        <f t="shared" si="15"/>
        <v>-</v>
      </c>
      <c r="M107" s="283" t="str">
        <f t="shared" si="16"/>
        <v>-</v>
      </c>
      <c r="N107" s="283" t="str">
        <f t="shared" si="17"/>
        <v>NG</v>
      </c>
      <c r="O107" s="283" t="str">
        <f t="shared" si="18"/>
        <v>-</v>
      </c>
      <c r="P107" s="283" t="str">
        <f t="shared" si="19"/>
        <v>-</v>
      </c>
      <c r="Q107" s="283" t="str">
        <f t="shared" si="20"/>
        <v>-</v>
      </c>
      <c r="R107" s="283" t="str">
        <f t="shared" si="21"/>
        <v>-</v>
      </c>
      <c r="S107" s="283" t="str">
        <f t="shared" si="22"/>
        <v>-</v>
      </c>
      <c r="T107" s="283" t="str">
        <f t="shared" si="23"/>
        <v>-</v>
      </c>
      <c r="U107" s="283" t="str">
        <f t="shared" si="24"/>
        <v>-</v>
      </c>
      <c r="V107" s="283" t="str">
        <f t="shared" si="25"/>
        <v>-</v>
      </c>
      <c r="W107" s="1" t="str">
        <f t="shared" si="26"/>
        <v>https://opendata.cbs.nl/statline/#/CBS/en/dataset/84432ENG/table?ts=1651019561219/</v>
      </c>
      <c r="X107" s="1" t="str">
        <f t="shared" si="27"/>
        <v>https://opendata.cbs.nl/</v>
      </c>
      <c r="Y107" s="1" t="str">
        <f t="shared" si="28"/>
        <v>優先3</v>
      </c>
      <c r="Z107" s="1" t="str">
        <f t="shared" si="29"/>
        <v>Statistics Netherlands (CBS), Netherlands. "Regional key figures; national accounts". Accessed 08 May, 2023. https://opendata.cbs.nl/.</v>
      </c>
    </row>
    <row r="108" spans="2:26">
      <c r="B108" s="285" t="s">
        <v>211</v>
      </c>
      <c r="C108" s="285" t="s">
        <v>698</v>
      </c>
      <c r="D108" s="285" t="s">
        <v>673</v>
      </c>
      <c r="E108" s="285" t="s">
        <v>116</v>
      </c>
      <c r="F108" s="13" t="s">
        <v>853</v>
      </c>
      <c r="G108" s="13" t="s">
        <v>1144</v>
      </c>
      <c r="H108" s="13"/>
      <c r="I108" s="13" t="s">
        <v>3638</v>
      </c>
      <c r="J108" s="13" t="s">
        <v>3639</v>
      </c>
      <c r="K108" s="284">
        <v>45054</v>
      </c>
      <c r="L108" s="283" t="str">
        <f t="shared" si="15"/>
        <v>-</v>
      </c>
      <c r="M108" s="283" t="str">
        <f t="shared" si="16"/>
        <v>-</v>
      </c>
      <c r="N108" s="283" t="str">
        <f t="shared" si="17"/>
        <v>-</v>
      </c>
      <c r="O108" s="283" t="str">
        <f t="shared" si="18"/>
        <v>-</v>
      </c>
      <c r="P108" s="283" t="str">
        <f t="shared" si="19"/>
        <v>-</v>
      </c>
      <c r="Q108" s="283" t="str">
        <f t="shared" si="20"/>
        <v>-</v>
      </c>
      <c r="R108" s="283" t="str">
        <f t="shared" si="21"/>
        <v>-</v>
      </c>
      <c r="S108" s="283" t="str">
        <f t="shared" si="22"/>
        <v>-</v>
      </c>
      <c r="T108" s="283" t="str">
        <f t="shared" si="23"/>
        <v>-</v>
      </c>
      <c r="U108" s="283" t="str">
        <f t="shared" si="24"/>
        <v>-</v>
      </c>
      <c r="V108" s="283" t="str">
        <f t="shared" si="25"/>
        <v>-</v>
      </c>
      <c r="W108" s="1" t="str">
        <f t="shared" si="26"/>
        <v>https://statistique.ge.ch/domaines/apercu.asp?dom=04_02/</v>
      </c>
      <c r="X108" s="1" t="str">
        <f t="shared" si="27"/>
        <v>https://statistique.ge.ch/</v>
      </c>
      <c r="Y108" s="1" t="str">
        <f t="shared" si="28"/>
        <v>優先3</v>
      </c>
      <c r="Z108" s="1" t="str">
        <f t="shared" si="29"/>
        <v>Office Cantonal de la Statistique, Republic and Canton of Geneva. "Statistiques Cantonales - Economie nationale". Accessed 08 May, 2023. https://statistique.ge.ch/.</v>
      </c>
    </row>
    <row r="109" spans="2:26">
      <c r="B109" s="285" t="s">
        <v>211</v>
      </c>
      <c r="C109" s="285" t="s">
        <v>698</v>
      </c>
      <c r="D109" s="285" t="s">
        <v>673</v>
      </c>
      <c r="E109" s="285" t="s">
        <v>118</v>
      </c>
      <c r="F109" s="13"/>
      <c r="G109" s="13" t="s">
        <v>755</v>
      </c>
      <c r="H109" s="13"/>
      <c r="I109" s="13" t="s">
        <v>1145</v>
      </c>
      <c r="J109" s="13" t="s">
        <v>1146</v>
      </c>
      <c r="K109" s="284">
        <v>45054</v>
      </c>
      <c r="L109" s="283" t="str">
        <f t="shared" si="15"/>
        <v>-</v>
      </c>
      <c r="M109" s="283" t="str">
        <f t="shared" si="16"/>
        <v>-</v>
      </c>
      <c r="N109" s="283" t="str">
        <f t="shared" si="17"/>
        <v>-</v>
      </c>
      <c r="O109" s="283" t="str">
        <f t="shared" si="18"/>
        <v>-</v>
      </c>
      <c r="P109" s="283" t="str">
        <f t="shared" si="19"/>
        <v>-</v>
      </c>
      <c r="Q109" s="283" t="str">
        <f t="shared" si="20"/>
        <v>-</v>
      </c>
      <c r="R109" s="283" t="str">
        <f t="shared" si="21"/>
        <v>-</v>
      </c>
      <c r="S109" s="283" t="str">
        <f t="shared" si="22"/>
        <v>-</v>
      </c>
      <c r="T109" s="283" t="str">
        <f t="shared" si="23"/>
        <v>-</v>
      </c>
      <c r="U109" s="283" t="str">
        <f t="shared" si="24"/>
        <v>-</v>
      </c>
      <c r="V109" s="283" t="str">
        <f t="shared" si="25"/>
        <v>-</v>
      </c>
      <c r="W109" s="1" t="str">
        <f t="shared" si="26"/>
        <v>https://frankfurt.de/service-und-rathaus/zahlen-daten-fakten/themen/wirtschaft/</v>
      </c>
      <c r="X109" s="1" t="str">
        <f t="shared" si="27"/>
        <v>https://frankfurt.de/</v>
      </c>
      <c r="Y109" s="1" t="str">
        <f t="shared" si="28"/>
        <v>優先3</v>
      </c>
      <c r="Z109" s="1" t="str">
        <f t="shared" si="29"/>
        <v>Stadt Frankfurt am Main. "Zahlen, Daten, Fakten - Wirtschaft". Accessed 08 May, 2023. https://frankfurt.de/.</v>
      </c>
    </row>
    <row r="110" spans="2:26">
      <c r="B110" s="285" t="s">
        <v>211</v>
      </c>
      <c r="C110" s="285" t="s">
        <v>698</v>
      </c>
      <c r="D110" s="285" t="s">
        <v>673</v>
      </c>
      <c r="E110" s="285" t="s">
        <v>120</v>
      </c>
      <c r="F110" s="13" t="s">
        <v>874</v>
      </c>
      <c r="G110" s="13"/>
      <c r="H110" s="13"/>
      <c r="I110" s="13" t="s">
        <v>3640</v>
      </c>
      <c r="J110" s="13" t="s">
        <v>3641</v>
      </c>
      <c r="K110" s="284">
        <v>45054</v>
      </c>
      <c r="L110" s="283" t="str">
        <f t="shared" si="15"/>
        <v>-</v>
      </c>
      <c r="M110" s="283" t="str">
        <f t="shared" si="16"/>
        <v>-</v>
      </c>
      <c r="N110" s="283" t="str">
        <f t="shared" si="17"/>
        <v>-</v>
      </c>
      <c r="O110" s="283" t="str">
        <f t="shared" si="18"/>
        <v>-</v>
      </c>
      <c r="P110" s="283" t="str">
        <f t="shared" si="19"/>
        <v>-</v>
      </c>
      <c r="Q110" s="283" t="str">
        <f t="shared" si="20"/>
        <v>-</v>
      </c>
      <c r="R110" s="283" t="str">
        <f t="shared" si="21"/>
        <v>-</v>
      </c>
      <c r="S110" s="283" t="str">
        <f t="shared" si="22"/>
        <v>-</v>
      </c>
      <c r="T110" s="283" t="str">
        <f t="shared" si="23"/>
        <v>-</v>
      </c>
      <c r="U110" s="283" t="str">
        <f t="shared" si="24"/>
        <v>-</v>
      </c>
      <c r="V110" s="283" t="str">
        <f t="shared" si="25"/>
        <v>-</v>
      </c>
      <c r="W110" s="1" t="str">
        <f t="shared" si="26"/>
        <v>https://www.statistik-berlin-brandenburg.de/p-i-1-j/</v>
      </c>
      <c r="X110" s="1" t="str">
        <f t="shared" si="27"/>
        <v>https://www.statistik-berlin-brandenburg.de/</v>
      </c>
      <c r="Y110" s="1" t="str">
        <f t="shared" si="28"/>
        <v>優先3</v>
      </c>
      <c r="Z110" s="1" t="str">
        <f t="shared" si="29"/>
        <v>Amt für Statistik Berlin-Brandenburg. "Bruttoinlandsprodukt und Bruttowertschöpfung im Land Berlin und im Land Brandenburg nach Wirtschaftsbereichen". Accessed 08 May, 2023. https://www.statistik-berlin-brandenburg.de/.</v>
      </c>
    </row>
    <row r="111" spans="2:26">
      <c r="B111" s="285" t="s">
        <v>211</v>
      </c>
      <c r="C111" s="285" t="s">
        <v>698</v>
      </c>
      <c r="D111" s="285" t="s">
        <v>673</v>
      </c>
      <c r="E111" s="285" t="s">
        <v>124</v>
      </c>
      <c r="F111" s="13"/>
      <c r="G111" s="13" t="s">
        <v>849</v>
      </c>
      <c r="H111" s="13"/>
      <c r="I111" s="13" t="s">
        <v>1147</v>
      </c>
      <c r="J111" s="13" t="s">
        <v>1148</v>
      </c>
      <c r="K111" s="284">
        <v>45054</v>
      </c>
      <c r="L111" s="283" t="str">
        <f t="shared" si="15"/>
        <v>-</v>
      </c>
      <c r="M111" s="283" t="str">
        <f t="shared" si="16"/>
        <v>-</v>
      </c>
      <c r="N111" s="283" t="str">
        <f t="shared" si="17"/>
        <v>-</v>
      </c>
      <c r="O111" s="283" t="str">
        <f t="shared" si="18"/>
        <v>-</v>
      </c>
      <c r="P111" s="283" t="str">
        <f t="shared" si="19"/>
        <v>-</v>
      </c>
      <c r="Q111" s="283" t="str">
        <f t="shared" si="20"/>
        <v>-</v>
      </c>
      <c r="R111" s="283" t="str">
        <f t="shared" si="21"/>
        <v>-</v>
      </c>
      <c r="S111" s="283" t="str">
        <f t="shared" si="22"/>
        <v>-</v>
      </c>
      <c r="T111" s="283" t="str">
        <f t="shared" si="23"/>
        <v>-</v>
      </c>
      <c r="U111" s="283" t="str">
        <f t="shared" si="24"/>
        <v>-</v>
      </c>
      <c r="V111" s="283" t="str">
        <f t="shared" si="25"/>
        <v>-</v>
      </c>
      <c r="W111" s="1" t="str">
        <f t="shared" si="26"/>
        <v>https://www.stadt-zuerich.ch/prd/de/index/statistik/themen/wirtschaft/wertschoepfung.html/</v>
      </c>
      <c r="X111" s="1" t="str">
        <f t="shared" si="27"/>
        <v>https://www.stadt-zuerich.ch/</v>
      </c>
      <c r="Y111" s="1" t="str">
        <f t="shared" si="28"/>
        <v>優先3</v>
      </c>
      <c r="Z111" s="1" t="str">
        <f t="shared" si="29"/>
        <v>Stadt Zürich. "Bruttoinlandprodukt der Stadt Zürich, Agglomeration und Schweiz, nach Jahr und Quartal". Accessed 08 May, 2023. https://www.stadt-zuerich.ch/.</v>
      </c>
    </row>
    <row r="112" spans="2:26">
      <c r="B112" s="285" t="s">
        <v>211</v>
      </c>
      <c r="C112" s="285" t="s">
        <v>698</v>
      </c>
      <c r="D112" s="285" t="s">
        <v>673</v>
      </c>
      <c r="E112" s="285" t="s">
        <v>126</v>
      </c>
      <c r="F112" s="13" t="s">
        <v>848</v>
      </c>
      <c r="G112" s="13"/>
      <c r="H112" s="13"/>
      <c r="I112" s="13" t="s">
        <v>3642</v>
      </c>
      <c r="J112" s="13" t="s">
        <v>4013</v>
      </c>
      <c r="K112" s="284">
        <v>45062</v>
      </c>
      <c r="L112" s="283" t="str">
        <f t="shared" si="15"/>
        <v>-</v>
      </c>
      <c r="M112" s="283" t="str">
        <f t="shared" si="16"/>
        <v>-</v>
      </c>
      <c r="N112" s="283" t="str">
        <f t="shared" si="17"/>
        <v>-</v>
      </c>
      <c r="O112" s="283" t="str">
        <f t="shared" si="18"/>
        <v>-</v>
      </c>
      <c r="P112" s="283" t="str">
        <f t="shared" si="19"/>
        <v>-</v>
      </c>
      <c r="Q112" s="283" t="str">
        <f t="shared" si="20"/>
        <v>-</v>
      </c>
      <c r="R112" s="283" t="str">
        <f t="shared" si="21"/>
        <v>-</v>
      </c>
      <c r="S112" s="283" t="str">
        <f t="shared" si="22"/>
        <v>-</v>
      </c>
      <c r="T112" s="283" t="str">
        <f t="shared" si="23"/>
        <v>-</v>
      </c>
      <c r="U112" s="283" t="str">
        <f t="shared" si="24"/>
        <v>-</v>
      </c>
      <c r="V112" s="283" t="str">
        <f t="shared" si="25"/>
        <v>-</v>
      </c>
      <c r="W112" s="1" t="str">
        <f t="shared" si="26"/>
        <v>https://www.statbank.dk/statbank5a/selectvarval/saveselections.asp/</v>
      </c>
      <c r="X112" s="1" t="str">
        <f t="shared" si="27"/>
        <v>https://www.statbank.dk/</v>
      </c>
      <c r="Y112" s="1" t="str">
        <f t="shared" si="28"/>
        <v>優先3</v>
      </c>
      <c r="Z112" s="1" t="str">
        <f t="shared" si="29"/>
        <v>Statistics Denmark. "1-2.1.1 Production, GDP and generation of income by region, transaction, price unit and time". Accessed 16 May, 2023. https://www.statbank.dk/.</v>
      </c>
    </row>
    <row r="113" spans="2:26">
      <c r="B113" s="285" t="s">
        <v>211</v>
      </c>
      <c r="C113" s="285" t="s">
        <v>698</v>
      </c>
      <c r="D113" s="285" t="s">
        <v>673</v>
      </c>
      <c r="E113" s="285" t="s">
        <v>130</v>
      </c>
      <c r="F113" s="13" t="s">
        <v>872</v>
      </c>
      <c r="G113" s="13"/>
      <c r="H113" s="13"/>
      <c r="I113" s="13" t="s">
        <v>3643</v>
      </c>
      <c r="J113" s="13" t="s">
        <v>3644</v>
      </c>
      <c r="K113" s="284">
        <v>45054</v>
      </c>
      <c r="L113" s="283" t="str">
        <f t="shared" si="15"/>
        <v>-</v>
      </c>
      <c r="M113" s="283" t="str">
        <f t="shared" si="16"/>
        <v>-</v>
      </c>
      <c r="N113" s="283" t="str">
        <f t="shared" si="17"/>
        <v>-</v>
      </c>
      <c r="O113" s="283" t="str">
        <f t="shared" si="18"/>
        <v>-</v>
      </c>
      <c r="P113" s="283" t="str">
        <f t="shared" si="19"/>
        <v>-</v>
      </c>
      <c r="Q113" s="283" t="str">
        <f t="shared" si="20"/>
        <v>-</v>
      </c>
      <c r="R113" s="283" t="str">
        <f t="shared" si="21"/>
        <v>-</v>
      </c>
      <c r="S113" s="283" t="str">
        <f t="shared" si="22"/>
        <v>-</v>
      </c>
      <c r="T113" s="283" t="str">
        <f t="shared" si="23"/>
        <v>-</v>
      </c>
      <c r="U113" s="283" t="str">
        <f t="shared" si="24"/>
        <v>-</v>
      </c>
      <c r="V113" s="283" t="str">
        <f t="shared" si="25"/>
        <v>-</v>
      </c>
      <c r="W113" s="1" t="str">
        <f t="shared" si="26"/>
        <v>https://www.statistikdatabasen.scb.se/pxweb/en/ssd/START__NR__NR0105__NR0105A/NR0105ENS2010T01A/table/tableViewLayout1/</v>
      </c>
      <c r="X113" s="1" t="str">
        <f t="shared" si="27"/>
        <v>https://www.statistikdatabasen.scb.se/</v>
      </c>
      <c r="Y113" s="1" t="str">
        <f t="shared" si="28"/>
        <v>優先3</v>
      </c>
      <c r="Z113" s="1" t="str">
        <f t="shared" si="29"/>
        <v>Statistics Sweden. "Gross Regional Domestic Product (GRDP), number of employed and wages and salaries (ESA2010) by region (NUTS1-3). Year 2000 - 2020". Accessed 08 May, 2023. https://www.statistikdatabasen.scb.se/.</v>
      </c>
    </row>
    <row r="114" spans="2:26">
      <c r="B114" s="285" t="s">
        <v>211</v>
      </c>
      <c r="C114" s="285" t="s">
        <v>698</v>
      </c>
      <c r="D114" s="285" t="s">
        <v>673</v>
      </c>
      <c r="E114" s="285" t="s">
        <v>132</v>
      </c>
      <c r="F114" s="13" t="s">
        <v>787</v>
      </c>
      <c r="G114" s="13"/>
      <c r="H114" s="13"/>
      <c r="I114" s="13" t="s">
        <v>2603</v>
      </c>
      <c r="J114" s="13" t="s">
        <v>3645</v>
      </c>
      <c r="K114" s="284">
        <v>45054</v>
      </c>
      <c r="L114" s="283" t="str">
        <f t="shared" si="15"/>
        <v>-</v>
      </c>
      <c r="M114" s="283" t="str">
        <f t="shared" si="16"/>
        <v>-</v>
      </c>
      <c r="N114" s="283" t="str">
        <f t="shared" si="17"/>
        <v>-</v>
      </c>
      <c r="O114" s="283" t="str">
        <f t="shared" si="18"/>
        <v>-</v>
      </c>
      <c r="P114" s="283" t="str">
        <f t="shared" si="19"/>
        <v>-</v>
      </c>
      <c r="Q114" s="283" t="str">
        <f t="shared" si="20"/>
        <v>-</v>
      </c>
      <c r="R114" s="283" t="str">
        <f t="shared" si="21"/>
        <v>-</v>
      </c>
      <c r="S114" s="283" t="str">
        <f t="shared" si="22"/>
        <v>-</v>
      </c>
      <c r="T114" s="283" t="str">
        <f t="shared" si="23"/>
        <v>-</v>
      </c>
      <c r="U114" s="283" t="str">
        <f t="shared" si="24"/>
        <v>-</v>
      </c>
      <c r="V114" s="283" t="str">
        <f t="shared" si="25"/>
        <v>-</v>
      </c>
      <c r="W114" s="1" t="str">
        <f t="shared" si="26"/>
        <v>https://data.tuik.gov.tr/Kategori/GetKategori?p=National-Accounts-113/</v>
      </c>
      <c r="X114" s="1" t="str">
        <f t="shared" si="27"/>
        <v>https://data.tuik.gov.tr/</v>
      </c>
      <c r="Y114" s="1" t="str">
        <f t="shared" si="28"/>
        <v>優先3</v>
      </c>
      <c r="Z114" s="1" t="str">
        <f t="shared" si="29"/>
        <v>Turkish Statistical Institute. "Gross Domestic Product By Provinces (SR Level 3) (2009 base)". Accessed 08 May, 2023. https://data.tuik.gov.tr/.</v>
      </c>
    </row>
    <row r="115" spans="2:26">
      <c r="B115" s="285" t="s">
        <v>211</v>
      </c>
      <c r="C115" s="285" t="s">
        <v>698</v>
      </c>
      <c r="D115" s="285" t="s">
        <v>673</v>
      </c>
      <c r="E115" s="285" t="s">
        <v>134</v>
      </c>
      <c r="F115" s="13" t="s">
        <v>1018</v>
      </c>
      <c r="G115" s="13" t="s">
        <v>844</v>
      </c>
      <c r="H115" s="13"/>
      <c r="I115" s="13" t="s">
        <v>998</v>
      </c>
      <c r="J115" s="13" t="s">
        <v>2583</v>
      </c>
      <c r="K115" s="284">
        <v>45054</v>
      </c>
      <c r="L115" s="283" t="str">
        <f t="shared" si="15"/>
        <v>-</v>
      </c>
      <c r="M115" s="283" t="str">
        <f t="shared" si="16"/>
        <v>-</v>
      </c>
      <c r="N115" s="283" t="str">
        <f t="shared" si="17"/>
        <v>-</v>
      </c>
      <c r="O115" s="283" t="str">
        <f t="shared" si="18"/>
        <v>-</v>
      </c>
      <c r="P115" s="283" t="str">
        <f t="shared" si="19"/>
        <v>-</v>
      </c>
      <c r="Q115" s="283" t="str">
        <f t="shared" si="20"/>
        <v>-</v>
      </c>
      <c r="R115" s="283" t="str">
        <f t="shared" si="21"/>
        <v>-</v>
      </c>
      <c r="S115" s="283" t="str">
        <f t="shared" si="22"/>
        <v>-</v>
      </c>
      <c r="T115" s="283" t="str">
        <f t="shared" si="23"/>
        <v>-</v>
      </c>
      <c r="U115" s="283" t="str">
        <f t="shared" si="24"/>
        <v>-</v>
      </c>
      <c r="V115" s="283" t="str">
        <f t="shared" si="25"/>
        <v>-</v>
      </c>
      <c r="W115" s="1" t="str">
        <f t="shared" si="26"/>
        <v>https://www.capmas.gov.eg/Pages/StaticPages.aspx?page_id=5035/</v>
      </c>
      <c r="X115" s="1" t="str">
        <f t="shared" si="27"/>
        <v>https://www.capmas.gov.eg/</v>
      </c>
      <c r="Y115" s="1" t="str">
        <f t="shared" si="28"/>
        <v>優先3</v>
      </c>
      <c r="Z115" s="1" t="str">
        <f t="shared" si="29"/>
        <v>Central Agency for Public Mobilization and Statistics, Arab Republic of Egypt. "Egypt in Figures". Accessed 08 May, 2023. https://www.capmas.gov.eg/.</v>
      </c>
    </row>
    <row r="116" spans="2:26">
      <c r="B116" s="285" t="s">
        <v>211</v>
      </c>
      <c r="C116" s="285" t="s">
        <v>698</v>
      </c>
      <c r="D116" s="285" t="s">
        <v>673</v>
      </c>
      <c r="E116" s="285" t="s">
        <v>136</v>
      </c>
      <c r="F116" s="13" t="s">
        <v>842</v>
      </c>
      <c r="G116" s="13" t="s">
        <v>843</v>
      </c>
      <c r="H116" s="13"/>
      <c r="I116" s="13" t="s">
        <v>2604</v>
      </c>
      <c r="J116" s="13" t="s">
        <v>2605</v>
      </c>
      <c r="K116" s="284">
        <v>45054</v>
      </c>
      <c r="L116" s="283" t="str">
        <f t="shared" si="15"/>
        <v>-</v>
      </c>
      <c r="M116" s="283" t="str">
        <f t="shared" si="16"/>
        <v>-</v>
      </c>
      <c r="N116" s="283" t="str">
        <f t="shared" si="17"/>
        <v>-</v>
      </c>
      <c r="O116" s="283" t="str">
        <f t="shared" si="18"/>
        <v>-</v>
      </c>
      <c r="P116" s="283" t="str">
        <f t="shared" si="19"/>
        <v>-</v>
      </c>
      <c r="Q116" s="283" t="str">
        <f t="shared" si="20"/>
        <v>-</v>
      </c>
      <c r="R116" s="283" t="str">
        <f t="shared" si="21"/>
        <v>-</v>
      </c>
      <c r="S116" s="283" t="str">
        <f t="shared" si="22"/>
        <v>-</v>
      </c>
      <c r="T116" s="283" t="str">
        <f t="shared" si="23"/>
        <v>-</v>
      </c>
      <c r="U116" s="283" t="str">
        <f t="shared" si="24"/>
        <v>-</v>
      </c>
      <c r="V116" s="283" t="str">
        <f t="shared" si="25"/>
        <v>-</v>
      </c>
      <c r="W116" s="1" t="str">
        <f t="shared" si="26"/>
        <v>https://eng.rosstat.gov.ru/folder/13913/</v>
      </c>
      <c r="X116" s="1" t="str">
        <f t="shared" si="27"/>
        <v>https://eng.rosstat.gov.ru/</v>
      </c>
      <c r="Y116" s="1" t="str">
        <f t="shared" si="28"/>
        <v>優先3</v>
      </c>
      <c r="Z116" s="1" t="str">
        <f t="shared" si="29"/>
        <v>Federal State Statistics Service, Russian Federation. "Gross Regional Product:At current basic prices total (1998-2019)". Accessed 08 May, 2023. https://eng.rosstat.gov.ru/.</v>
      </c>
    </row>
    <row r="117" spans="2:26">
      <c r="B117" s="285" t="s">
        <v>211</v>
      </c>
      <c r="C117" s="285" t="s">
        <v>698</v>
      </c>
      <c r="D117" s="285" t="s">
        <v>673</v>
      </c>
      <c r="E117" s="285" t="s">
        <v>138</v>
      </c>
      <c r="F117" s="13" t="s">
        <v>1149</v>
      </c>
      <c r="G117" s="13" t="s">
        <v>1150</v>
      </c>
      <c r="H117" s="13"/>
      <c r="I117" s="13" t="s">
        <v>4014</v>
      </c>
      <c r="J117" s="13" t="s">
        <v>1151</v>
      </c>
      <c r="K117" s="284">
        <v>45062</v>
      </c>
      <c r="L117" s="283" t="str">
        <f t="shared" si="15"/>
        <v>-</v>
      </c>
      <c r="M117" s="283" t="str">
        <f t="shared" si="16"/>
        <v>-</v>
      </c>
      <c r="N117" s="283" t="str">
        <f t="shared" si="17"/>
        <v>-</v>
      </c>
      <c r="O117" s="283" t="str">
        <f t="shared" si="18"/>
        <v>-</v>
      </c>
      <c r="P117" s="283" t="str">
        <f t="shared" si="19"/>
        <v>-</v>
      </c>
      <c r="Q117" s="283" t="str">
        <f t="shared" si="20"/>
        <v>-</v>
      </c>
      <c r="R117" s="283" t="str">
        <f t="shared" si="21"/>
        <v>-</v>
      </c>
      <c r="S117" s="283" t="str">
        <f t="shared" si="22"/>
        <v>-</v>
      </c>
      <c r="T117" s="283" t="str">
        <f t="shared" si="23"/>
        <v>-</v>
      </c>
      <c r="U117" s="283" t="str">
        <f t="shared" si="24"/>
        <v>-</v>
      </c>
      <c r="V117" s="283" t="str">
        <f t="shared" si="25"/>
        <v>-</v>
      </c>
      <c r="W117" s="1" t="str">
        <f t="shared" si="26"/>
        <v>https://mahades.maharashtra.gov.in/publications.do?pubId=ESM/</v>
      </c>
      <c r="X117" s="1" t="str">
        <f t="shared" si="27"/>
        <v>https://mahades.maharashtra.gov.in/</v>
      </c>
      <c r="Y117" s="1" t="str">
        <f t="shared" si="28"/>
        <v>優先3</v>
      </c>
      <c r="Z117" s="1" t="str">
        <f t="shared" si="29"/>
        <v>Directorate of Economics &amp; Statistics, Planning Department, State Government of Maharashtra. "Economic Survey of Maharashtra 2022-23". Accessed 16 May, 2023. https://mahades.maharashtra.gov.in/.</v>
      </c>
    </row>
    <row r="118" spans="2:26">
      <c r="B118" s="285" t="s">
        <v>211</v>
      </c>
      <c r="C118" s="285" t="s">
        <v>698</v>
      </c>
      <c r="D118" s="285" t="s">
        <v>673</v>
      </c>
      <c r="E118" s="285" t="s">
        <v>140</v>
      </c>
      <c r="F118" s="13" t="s">
        <v>840</v>
      </c>
      <c r="G118" s="13" t="s">
        <v>841</v>
      </c>
      <c r="H118" s="13"/>
      <c r="I118" s="13" t="s">
        <v>3646</v>
      </c>
      <c r="J118" s="13" t="s">
        <v>3647</v>
      </c>
      <c r="K118" s="284">
        <v>45062</v>
      </c>
      <c r="L118" s="283" t="str">
        <f t="shared" si="15"/>
        <v>-</v>
      </c>
      <c r="M118" s="283" t="str">
        <f t="shared" si="16"/>
        <v>-</v>
      </c>
      <c r="N118" s="283" t="str">
        <f t="shared" si="17"/>
        <v>-</v>
      </c>
      <c r="O118" s="283" t="str">
        <f t="shared" si="18"/>
        <v>-</v>
      </c>
      <c r="P118" s="283" t="str">
        <f t="shared" si="19"/>
        <v>-</v>
      </c>
      <c r="Q118" s="283" t="str">
        <f t="shared" si="20"/>
        <v>-</v>
      </c>
      <c r="R118" s="283" t="str">
        <f t="shared" si="21"/>
        <v>-</v>
      </c>
      <c r="S118" s="283" t="str">
        <f t="shared" si="22"/>
        <v>-</v>
      </c>
      <c r="T118" s="283" t="str">
        <f t="shared" si="23"/>
        <v>-</v>
      </c>
      <c r="U118" s="283" t="str">
        <f t="shared" si="24"/>
        <v>-</v>
      </c>
      <c r="V118" s="283" t="str">
        <f t="shared" si="25"/>
        <v>-</v>
      </c>
      <c r="W118" s="1" t="str">
        <f t="shared" si="26"/>
        <v>http://statbbi.nso.go.th/staticreport/Page/sector/en/10.aspx/</v>
      </c>
      <c r="X118" s="1" t="str">
        <f t="shared" si="27"/>
        <v>http://statbbi.nso.go.th/</v>
      </c>
      <c r="Y118" s="1" t="str">
        <f t="shared" si="28"/>
        <v>優先3</v>
      </c>
      <c r="Z118" s="1" t="str">
        <f t="shared" si="29"/>
        <v>National Statistical Office, Kingdom of Thailand. "Gross Regional and Provincial Product at Current Market Prices Year: 2011 - 2020". Accessed 16 May, 2023. http://statbbi.nso.go.th/.</v>
      </c>
    </row>
    <row r="119" spans="2:26">
      <c r="B119" s="285" t="s">
        <v>211</v>
      </c>
      <c r="C119" s="285" t="s">
        <v>698</v>
      </c>
      <c r="D119" s="285" t="s">
        <v>673</v>
      </c>
      <c r="E119" s="285" t="s">
        <v>142</v>
      </c>
      <c r="F119" s="13" t="s">
        <v>818</v>
      </c>
      <c r="G119" s="13" t="s">
        <v>298</v>
      </c>
      <c r="H119" s="13"/>
      <c r="I119" s="13" t="s">
        <v>4015</v>
      </c>
      <c r="J119" s="13" t="s">
        <v>4016</v>
      </c>
      <c r="K119" s="284">
        <v>45054</v>
      </c>
      <c r="L119" s="283" t="str">
        <f t="shared" si="15"/>
        <v>-</v>
      </c>
      <c r="M119" s="283" t="str">
        <f t="shared" si="16"/>
        <v>-</v>
      </c>
      <c r="N119" s="283" t="str">
        <f t="shared" si="17"/>
        <v>-</v>
      </c>
      <c r="O119" s="283" t="str">
        <f t="shared" si="18"/>
        <v>-</v>
      </c>
      <c r="P119" s="283" t="str">
        <f t="shared" si="19"/>
        <v>-</v>
      </c>
      <c r="Q119" s="283" t="str">
        <f t="shared" si="20"/>
        <v>-</v>
      </c>
      <c r="R119" s="283" t="str">
        <f t="shared" si="21"/>
        <v>-</v>
      </c>
      <c r="S119" s="283" t="str">
        <f t="shared" si="22"/>
        <v>-</v>
      </c>
      <c r="T119" s="283" t="str">
        <f t="shared" si="23"/>
        <v>-</v>
      </c>
      <c r="U119" s="283" t="str">
        <f t="shared" si="24"/>
        <v>-</v>
      </c>
      <c r="V119" s="283" t="str">
        <f t="shared" si="25"/>
        <v>-</v>
      </c>
      <c r="W119" s="1" t="str">
        <f t="shared" si="26"/>
        <v>https://www.dosm.gov.my/portal-main/release-content/state-socioeconomic-report-2021/</v>
      </c>
      <c r="X119" s="1" t="str">
        <f t="shared" si="27"/>
        <v>https://www.dosm.gov.my/</v>
      </c>
      <c r="Y119" s="1" t="str">
        <f t="shared" si="28"/>
        <v>優先3</v>
      </c>
      <c r="Z119" s="1" t="str">
        <f t="shared" si="29"/>
        <v>Department of Statistics, Malaysia. "State Socioeconomic Report 2021". Accessed 08 May, 2023. https://www.dosm.gov.my/.</v>
      </c>
    </row>
    <row r="120" spans="2:26">
      <c r="B120" s="285" t="s">
        <v>211</v>
      </c>
      <c r="C120" s="285" t="s">
        <v>698</v>
      </c>
      <c r="D120" s="285" t="s">
        <v>673</v>
      </c>
      <c r="E120" s="285" t="s">
        <v>144</v>
      </c>
      <c r="F120" s="13" t="s">
        <v>1013</v>
      </c>
      <c r="G120" s="13" t="s">
        <v>820</v>
      </c>
      <c r="H120" s="13"/>
      <c r="I120" s="13" t="s">
        <v>3648</v>
      </c>
      <c r="J120" s="13" t="s">
        <v>4017</v>
      </c>
      <c r="K120" s="284">
        <v>45089</v>
      </c>
      <c r="L120" s="283" t="str">
        <f t="shared" si="15"/>
        <v>-</v>
      </c>
      <c r="M120" s="283" t="str">
        <f t="shared" si="16"/>
        <v>-</v>
      </c>
      <c r="N120" s="283" t="str">
        <f t="shared" si="17"/>
        <v>-</v>
      </c>
      <c r="O120" s="283" t="str">
        <f t="shared" si="18"/>
        <v>-</v>
      </c>
      <c r="P120" s="283" t="str">
        <f t="shared" si="19"/>
        <v>-</v>
      </c>
      <c r="Q120" s="283" t="str">
        <f t="shared" si="20"/>
        <v>-</v>
      </c>
      <c r="R120" s="283" t="str">
        <f t="shared" si="21"/>
        <v>-</v>
      </c>
      <c r="S120" s="283" t="str">
        <f t="shared" si="22"/>
        <v>-</v>
      </c>
      <c r="T120" s="283" t="str">
        <f t="shared" si="23"/>
        <v>-</v>
      </c>
      <c r="U120" s="283" t="str">
        <f t="shared" si="24"/>
        <v>-</v>
      </c>
      <c r="V120" s="283" t="str">
        <f t="shared" si="25"/>
        <v>-</v>
      </c>
      <c r="W120" s="1" t="str">
        <f t="shared" si="26"/>
        <v>https://www.mti.gov.sg/Resources/Economic-Survey-of-Singapore/2023/Economic-Survey-of-Singapore-First-Quarter-2023/</v>
      </c>
      <c r="X120" s="1" t="str">
        <f t="shared" si="27"/>
        <v>https://www.mti.gov.sg/</v>
      </c>
      <c r="Y120" s="1" t="str">
        <f t="shared" si="28"/>
        <v>優先3</v>
      </c>
      <c r="Z120" s="1" t="str">
        <f t="shared" si="29"/>
        <v>Ministry of Trade and Industry, Singapore Government. "Economic Survey of Singapore 2021". Accessed 12 June, 2023. https://www.mti.gov.sg/.</v>
      </c>
    </row>
    <row r="121" spans="2:26">
      <c r="B121" s="285" t="s">
        <v>211</v>
      </c>
      <c r="C121" s="285" t="s">
        <v>698</v>
      </c>
      <c r="D121" s="285" t="s">
        <v>673</v>
      </c>
      <c r="E121" s="285" t="s">
        <v>146</v>
      </c>
      <c r="F121" s="13" t="s">
        <v>1012</v>
      </c>
      <c r="G121" s="13" t="s">
        <v>1152</v>
      </c>
      <c r="H121" s="13" t="s">
        <v>894</v>
      </c>
      <c r="I121" s="13" t="s">
        <v>1153</v>
      </c>
      <c r="J121" s="13" t="s">
        <v>2606</v>
      </c>
      <c r="K121" s="284">
        <v>45054</v>
      </c>
      <c r="L121" s="283" t="str">
        <f t="shared" si="15"/>
        <v>-</v>
      </c>
      <c r="M121" s="283" t="str">
        <f t="shared" si="16"/>
        <v>-</v>
      </c>
      <c r="N121" s="283" t="str">
        <f t="shared" si="17"/>
        <v>-</v>
      </c>
      <c r="O121" s="283" t="str">
        <f t="shared" si="18"/>
        <v>-</v>
      </c>
      <c r="P121" s="283" t="str">
        <f t="shared" si="19"/>
        <v>-</v>
      </c>
      <c r="Q121" s="283" t="str">
        <f t="shared" si="20"/>
        <v>-</v>
      </c>
      <c r="R121" s="283" t="str">
        <f t="shared" si="21"/>
        <v>-</v>
      </c>
      <c r="S121" s="283" t="str">
        <f t="shared" si="22"/>
        <v>-</v>
      </c>
      <c r="T121" s="283" t="str">
        <f t="shared" si="23"/>
        <v>-</v>
      </c>
      <c r="U121" s="283" t="str">
        <f t="shared" si="24"/>
        <v>-</v>
      </c>
      <c r="V121" s="283" t="str">
        <f t="shared" si="25"/>
        <v>-</v>
      </c>
      <c r="W121" s="1" t="str">
        <f t="shared" si="26"/>
        <v>https://www.censtatd.gov.hk/en/web_table.html?id=31/</v>
      </c>
      <c r="X121" s="1" t="str">
        <f t="shared" si="27"/>
        <v>https://www.censtatd.gov.hk/</v>
      </c>
      <c r="Y121" s="1" t="str">
        <f t="shared" si="28"/>
        <v>優先3</v>
      </c>
      <c r="Z121" s="1" t="str">
        <f t="shared" si="29"/>
        <v>Census and Statistics Department, The Government of the Hong Kong Special Administrative Region [政府統計處, 香港特別行政區政府]. "Gross Domestic Product (GDP), implicit price deflator of GDP and per capita GDP". Accessed 08 May, 2023. https://www.censtatd.gov.hk/.</v>
      </c>
    </row>
    <row r="122" spans="2:26">
      <c r="B122" s="285" t="s">
        <v>211</v>
      </c>
      <c r="C122" s="285" t="s">
        <v>698</v>
      </c>
      <c r="D122" s="285" t="s">
        <v>673</v>
      </c>
      <c r="E122" s="285" t="s">
        <v>148</v>
      </c>
      <c r="F122" s="13" t="s">
        <v>1154</v>
      </c>
      <c r="G122" s="13" t="s">
        <v>1155</v>
      </c>
      <c r="H122" s="13" t="s">
        <v>985</v>
      </c>
      <c r="I122" s="13" t="s">
        <v>1156</v>
      </c>
      <c r="J122" s="13" t="s">
        <v>3649</v>
      </c>
      <c r="K122" s="284">
        <v>45054</v>
      </c>
      <c r="L122" s="283" t="str">
        <f t="shared" si="15"/>
        <v>-</v>
      </c>
      <c r="M122" s="283" t="str">
        <f t="shared" si="16"/>
        <v>-</v>
      </c>
      <c r="N122" s="283" t="str">
        <f t="shared" si="17"/>
        <v>-</v>
      </c>
      <c r="O122" s="283" t="str">
        <f t="shared" si="18"/>
        <v>-</v>
      </c>
      <c r="P122" s="283" t="str">
        <f t="shared" si="19"/>
        <v>-</v>
      </c>
      <c r="Q122" s="283" t="str">
        <f t="shared" si="20"/>
        <v>-</v>
      </c>
      <c r="R122" s="283" t="str">
        <f t="shared" si="21"/>
        <v>-</v>
      </c>
      <c r="S122" s="283" t="str">
        <f t="shared" si="22"/>
        <v>-</v>
      </c>
      <c r="T122" s="283" t="str">
        <f t="shared" si="23"/>
        <v>-</v>
      </c>
      <c r="U122" s="283" t="str">
        <f t="shared" si="24"/>
        <v>-</v>
      </c>
      <c r="V122" s="283" t="str">
        <f t="shared" si="25"/>
        <v>-</v>
      </c>
      <c r="W122" s="1" t="str">
        <f t="shared" si="26"/>
        <v>http://tjj.beijing.gov.cn/tjsj_31433/yjdsj_31440/gdp_31750/2021/202201/t20220119_2595276.html/</v>
      </c>
      <c r="X122" s="1" t="str">
        <f t="shared" si="27"/>
        <v>http://tjj.beijing.gov.cn/</v>
      </c>
      <c r="Y122" s="1" t="str">
        <f t="shared" si="28"/>
        <v>優先3</v>
      </c>
      <c r="Z122" s="1" t="str">
        <f t="shared" si="29"/>
        <v>Beijing Municipal Bureau Statistics, Survey Office of the National Bureau of Statistics in Beijing, Beijing Municipal [北京市统计局 国家统计局北京调查总队]. "统计数据 - 月季度数据". Accessed 08 May, 2023. http://tjj.beijing.gov.cn/.</v>
      </c>
    </row>
    <row r="123" spans="2:26">
      <c r="B123" s="285" t="s">
        <v>211</v>
      </c>
      <c r="C123" s="285" t="s">
        <v>698</v>
      </c>
      <c r="D123" s="285" t="s">
        <v>673</v>
      </c>
      <c r="E123" s="285" t="s">
        <v>150</v>
      </c>
      <c r="F123" s="13" t="s">
        <v>1157</v>
      </c>
      <c r="G123" s="13" t="s">
        <v>1158</v>
      </c>
      <c r="H123" s="13" t="s">
        <v>806</v>
      </c>
      <c r="I123" s="13" t="s">
        <v>3650</v>
      </c>
      <c r="J123" s="13" t="s">
        <v>3651</v>
      </c>
      <c r="K123" s="284">
        <v>45054</v>
      </c>
      <c r="L123" s="283" t="str">
        <f t="shared" si="15"/>
        <v>-</v>
      </c>
      <c r="M123" s="283" t="str">
        <f t="shared" si="16"/>
        <v>-</v>
      </c>
      <c r="N123" s="283" t="str">
        <f t="shared" si="17"/>
        <v>-</v>
      </c>
      <c r="O123" s="283" t="str">
        <f t="shared" si="18"/>
        <v>-</v>
      </c>
      <c r="P123" s="283" t="str">
        <f t="shared" si="19"/>
        <v>-</v>
      </c>
      <c r="Q123" s="283" t="str">
        <f t="shared" si="20"/>
        <v>-</v>
      </c>
      <c r="R123" s="283" t="str">
        <f t="shared" si="21"/>
        <v>-</v>
      </c>
      <c r="S123" s="283" t="str">
        <f t="shared" si="22"/>
        <v>-</v>
      </c>
      <c r="T123" s="283" t="str">
        <f t="shared" si="23"/>
        <v>-</v>
      </c>
      <c r="U123" s="283" t="str">
        <f t="shared" si="24"/>
        <v>-</v>
      </c>
      <c r="V123" s="283" t="str">
        <f t="shared" si="25"/>
        <v>NG</v>
      </c>
      <c r="W123" s="1" t="str">
        <f t="shared" si="26"/>
        <v>http://tjj.sh.gov.cn/ydsj2/20220121/c36f904afc2d4fe6b805ff5888085a03.html/</v>
      </c>
      <c r="X123" s="1" t="str">
        <f t="shared" si="27"/>
        <v>http://tjj.sh.gov.cn/</v>
      </c>
      <c r="Y123" s="1" t="str">
        <f t="shared" si="28"/>
        <v>優先3</v>
      </c>
      <c r="Z123" s="1" t="str">
        <f t="shared" si="29"/>
        <v>Shanghai Municipal Statistics Bureau , Shanghai Municipal People's Government [上海市统计局]. "2021年上海市生产总值 ". Accessed 08 May, 2023. http://tjj.sh.gov.cn/.</v>
      </c>
    </row>
    <row r="124" spans="2:26">
      <c r="B124" s="285" t="s">
        <v>211</v>
      </c>
      <c r="C124" s="285" t="s">
        <v>698</v>
      </c>
      <c r="D124" s="285" t="s">
        <v>673</v>
      </c>
      <c r="E124" s="285" t="s">
        <v>152</v>
      </c>
      <c r="F124" s="13" t="s">
        <v>1009</v>
      </c>
      <c r="G124" s="13" t="s">
        <v>728</v>
      </c>
      <c r="H124" s="13"/>
      <c r="I124" s="13" t="s">
        <v>4018</v>
      </c>
      <c r="J124" s="13" t="s">
        <v>4019</v>
      </c>
      <c r="K124" s="284">
        <v>45062</v>
      </c>
      <c r="L124" s="283" t="str">
        <f t="shared" si="15"/>
        <v>-</v>
      </c>
      <c r="M124" s="283" t="str">
        <f t="shared" si="16"/>
        <v>-</v>
      </c>
      <c r="N124" s="283" t="str">
        <f t="shared" si="17"/>
        <v>NG</v>
      </c>
      <c r="O124" s="283" t="str">
        <f t="shared" si="18"/>
        <v>-</v>
      </c>
      <c r="P124" s="283" t="str">
        <f t="shared" si="19"/>
        <v>-</v>
      </c>
      <c r="Q124" s="283" t="str">
        <f t="shared" si="20"/>
        <v>-</v>
      </c>
      <c r="R124" s="283" t="str">
        <f t="shared" si="21"/>
        <v>-</v>
      </c>
      <c r="S124" s="283" t="str">
        <f t="shared" si="22"/>
        <v>-</v>
      </c>
      <c r="T124" s="283" t="str">
        <f t="shared" si="23"/>
        <v>-</v>
      </c>
      <c r="U124" s="283" t="str">
        <f t="shared" si="24"/>
        <v>-</v>
      </c>
      <c r="V124" s="283" t="str">
        <f t="shared" si="25"/>
        <v>-</v>
      </c>
      <c r="W124" s="1" t="str">
        <f t="shared" si="26"/>
        <v>https://eng.stat.gov.tw/cp.aspx?n=2334/</v>
      </c>
      <c r="X124" s="1" t="str">
        <f t="shared" si="27"/>
        <v>https://eng.stat.gov.tw/</v>
      </c>
      <c r="Y124" s="1" t="str">
        <f t="shared" si="28"/>
        <v>優先3</v>
      </c>
      <c r="Z124" s="1" t="str">
        <f t="shared" si="29"/>
        <v>National Statistics, Republic of China (Taiwan). "Statistical Tables,Principal Figures". Accessed 16 May, 2023. https://eng.stat.gov.tw/.</v>
      </c>
    </row>
    <row r="125" spans="2:26">
      <c r="B125" s="285" t="s">
        <v>211</v>
      </c>
      <c r="C125" s="285" t="s">
        <v>698</v>
      </c>
      <c r="D125" s="285" t="s">
        <v>673</v>
      </c>
      <c r="E125" s="285" t="s">
        <v>154</v>
      </c>
      <c r="F125" s="13" t="s">
        <v>838</v>
      </c>
      <c r="G125" s="13"/>
      <c r="H125" s="13"/>
      <c r="I125" s="13" t="s">
        <v>1159</v>
      </c>
      <c r="J125" s="13" t="s">
        <v>3652</v>
      </c>
      <c r="K125" s="284">
        <v>45054</v>
      </c>
      <c r="L125" s="283" t="str">
        <f t="shared" si="15"/>
        <v>-</v>
      </c>
      <c r="M125" s="283" t="str">
        <f t="shared" si="16"/>
        <v>-</v>
      </c>
      <c r="N125" s="283" t="str">
        <f t="shared" si="17"/>
        <v>-</v>
      </c>
      <c r="O125" s="283" t="str">
        <f t="shared" si="18"/>
        <v>-</v>
      </c>
      <c r="P125" s="283" t="str">
        <f t="shared" si="19"/>
        <v>-</v>
      </c>
      <c r="Q125" s="283" t="str">
        <f t="shared" si="20"/>
        <v>-</v>
      </c>
      <c r="R125" s="283" t="str">
        <f t="shared" si="21"/>
        <v>-</v>
      </c>
      <c r="S125" s="283" t="str">
        <f t="shared" si="22"/>
        <v>-</v>
      </c>
      <c r="T125" s="283" t="str">
        <f t="shared" si="23"/>
        <v>-</v>
      </c>
      <c r="U125" s="283" t="str">
        <f t="shared" si="24"/>
        <v>-</v>
      </c>
      <c r="V125" s="283" t="str">
        <f t="shared" si="25"/>
        <v>-</v>
      </c>
      <c r="W125" s="1" t="str">
        <f t="shared" si="26"/>
        <v>https://kosis.kr/eng/statisticsList/statisticsListIndex.do?parentId=Q.1&amp;menuId=M_01_01&amp;vwcd=MT_ETITLE&amp;parmTabId=M_01_01#content-group/</v>
      </c>
      <c r="X125" s="1" t="str">
        <f t="shared" si="27"/>
        <v>https://kosis.kr/</v>
      </c>
      <c r="Y125" s="1" t="str">
        <f t="shared" si="28"/>
        <v>優先3</v>
      </c>
      <c r="Z125" s="1" t="str">
        <f t="shared" si="29"/>
        <v>Statistics Korea. "Gross regional domestic product by economic activity". Accessed 08 May, 2023. https://kosis.kr/.</v>
      </c>
    </row>
    <row r="126" spans="2:26">
      <c r="B126" s="285" t="s">
        <v>211</v>
      </c>
      <c r="C126" s="285" t="s">
        <v>698</v>
      </c>
      <c r="D126" s="285" t="s">
        <v>673</v>
      </c>
      <c r="E126" s="285" t="s">
        <v>156</v>
      </c>
      <c r="F126" s="13"/>
      <c r="G126" s="13" t="s">
        <v>753</v>
      </c>
      <c r="H126" s="13" t="s">
        <v>752</v>
      </c>
      <c r="I126" s="13" t="s">
        <v>4020</v>
      </c>
      <c r="J126" s="13" t="s">
        <v>1160</v>
      </c>
      <c r="K126" s="284">
        <v>45054</v>
      </c>
      <c r="L126" s="283" t="str">
        <f t="shared" si="15"/>
        <v>-</v>
      </c>
      <c r="M126" s="283" t="str">
        <f t="shared" si="16"/>
        <v>-</v>
      </c>
      <c r="N126" s="283" t="str">
        <f t="shared" si="17"/>
        <v>-</v>
      </c>
      <c r="O126" s="283" t="str">
        <f t="shared" si="18"/>
        <v>-</v>
      </c>
      <c r="P126" s="283" t="str">
        <f t="shared" si="19"/>
        <v>-</v>
      </c>
      <c r="Q126" s="283" t="str">
        <f t="shared" si="20"/>
        <v>-</v>
      </c>
      <c r="R126" s="283" t="str">
        <f t="shared" si="21"/>
        <v>NG</v>
      </c>
      <c r="S126" s="283" t="str">
        <f t="shared" si="22"/>
        <v>-</v>
      </c>
      <c r="T126" s="283" t="str">
        <f t="shared" si="23"/>
        <v>-</v>
      </c>
      <c r="U126" s="283" t="str">
        <f t="shared" si="24"/>
        <v>-</v>
      </c>
      <c r="V126" s="283" t="str">
        <f t="shared" si="25"/>
        <v>-</v>
      </c>
      <c r="W126" s="1" t="str">
        <f t="shared" si="26"/>
        <v>https://www.city.fukuoka.lg.jp/soki/tokeichosa/shisei/toukei/shiminkeizaikeisan/shiminkeizaikeisan.html/</v>
      </c>
      <c r="X126" s="1" t="str">
        <f t="shared" si="27"/>
        <v>https://www.city.fukuoka.lg.jp/</v>
      </c>
      <c r="Y126" s="1" t="str">
        <f t="shared" si="28"/>
        <v>優先3</v>
      </c>
      <c r="Z126" s="1" t="str">
        <f t="shared" si="29"/>
        <v>Fukuoka City [福岡市]. "令和元年度　福岡市民経済計算の概要". Accessed 08 May, 2023. https://www.city.fukuoka.lg.jp/.</v>
      </c>
    </row>
    <row r="127" spans="2:26">
      <c r="B127" s="285" t="s">
        <v>211</v>
      </c>
      <c r="C127" s="285" t="s">
        <v>698</v>
      </c>
      <c r="D127" s="285" t="s">
        <v>673</v>
      </c>
      <c r="E127" s="285" t="s">
        <v>158</v>
      </c>
      <c r="F127" s="13"/>
      <c r="G127" s="13" t="s">
        <v>751</v>
      </c>
      <c r="H127" s="13" t="s">
        <v>750</v>
      </c>
      <c r="I127" s="13" t="s">
        <v>4021</v>
      </c>
      <c r="J127" s="13" t="s">
        <v>1193</v>
      </c>
      <c r="K127" s="284">
        <v>45054</v>
      </c>
      <c r="L127" s="283" t="str">
        <f t="shared" si="15"/>
        <v>-</v>
      </c>
      <c r="M127" s="283" t="str">
        <f t="shared" si="16"/>
        <v>-</v>
      </c>
      <c r="N127" s="283" t="str">
        <f t="shared" si="17"/>
        <v>-</v>
      </c>
      <c r="O127" s="283" t="str">
        <f t="shared" si="18"/>
        <v>-</v>
      </c>
      <c r="P127" s="283" t="str">
        <f t="shared" si="19"/>
        <v>-</v>
      </c>
      <c r="Q127" s="283" t="str">
        <f t="shared" si="20"/>
        <v>-</v>
      </c>
      <c r="R127" s="283" t="str">
        <f t="shared" si="21"/>
        <v>NG</v>
      </c>
      <c r="S127" s="283" t="str">
        <f t="shared" si="22"/>
        <v>-</v>
      </c>
      <c r="T127" s="283" t="str">
        <f t="shared" si="23"/>
        <v>-</v>
      </c>
      <c r="U127" s="283" t="str">
        <f t="shared" si="24"/>
        <v>-</v>
      </c>
      <c r="V127" s="283" t="str">
        <f t="shared" si="25"/>
        <v>-</v>
      </c>
      <c r="W127" s="1" t="str">
        <f t="shared" si="26"/>
        <v>https://www.city.osaka.lg.jp/toshikeikaku/page/0000233170.html/</v>
      </c>
      <c r="X127" s="1" t="str">
        <f t="shared" si="27"/>
        <v>https://www.city.osaka.lg.jp/</v>
      </c>
      <c r="Y127" s="1" t="str">
        <f t="shared" si="28"/>
        <v>優先3</v>
      </c>
      <c r="Z127" s="1" t="str">
        <f t="shared" si="29"/>
        <v>Osaka City [大阪市]. "令和元年度　大阪市民経済計算". Accessed 08 May, 2023. https://www.city.osaka.lg.jp/.</v>
      </c>
    </row>
    <row r="128" spans="2:26">
      <c r="B128" s="285" t="s">
        <v>211</v>
      </c>
      <c r="C128" s="285" t="s">
        <v>698</v>
      </c>
      <c r="D128" s="285" t="s">
        <v>673</v>
      </c>
      <c r="E128" s="285" t="s">
        <v>160</v>
      </c>
      <c r="F128" s="13" t="s">
        <v>836</v>
      </c>
      <c r="G128" s="13" t="s">
        <v>740</v>
      </c>
      <c r="H128" s="13" t="s">
        <v>835</v>
      </c>
      <c r="I128" s="13" t="s">
        <v>3653</v>
      </c>
      <c r="J128" s="13" t="s">
        <v>3654</v>
      </c>
      <c r="K128" s="284">
        <v>45062</v>
      </c>
      <c r="L128" s="283" t="str">
        <f t="shared" si="15"/>
        <v>-</v>
      </c>
      <c r="M128" s="283" t="str">
        <f t="shared" si="16"/>
        <v>-</v>
      </c>
      <c r="N128" s="283" t="str">
        <f t="shared" si="17"/>
        <v>-</v>
      </c>
      <c r="O128" s="283" t="str">
        <f t="shared" si="18"/>
        <v>-</v>
      </c>
      <c r="P128" s="283" t="str">
        <f t="shared" si="19"/>
        <v>-</v>
      </c>
      <c r="Q128" s="283" t="str">
        <f t="shared" si="20"/>
        <v>-</v>
      </c>
      <c r="R128" s="283" t="str">
        <f t="shared" si="21"/>
        <v>-</v>
      </c>
      <c r="S128" s="283" t="str">
        <f t="shared" si="22"/>
        <v>-</v>
      </c>
      <c r="T128" s="283" t="str">
        <f t="shared" si="23"/>
        <v>-</v>
      </c>
      <c r="U128" s="283" t="str">
        <f t="shared" si="24"/>
        <v>-</v>
      </c>
      <c r="V128" s="283" t="str">
        <f t="shared" si="25"/>
        <v>-</v>
      </c>
      <c r="W128" s="1" t="str">
        <f t="shared" si="26"/>
        <v>https://www.toukei.metro.tokyo.lg.jp/keizaik/nenpou/kkne-index.htm/</v>
      </c>
      <c r="X128" s="1" t="str">
        <f t="shared" si="27"/>
        <v>https://www.toukei.metro.tokyo.lg.jp/</v>
      </c>
      <c r="Y128" s="1" t="str">
        <f t="shared" si="28"/>
        <v>優先3</v>
      </c>
      <c r="Z128" s="1" t="str">
        <f t="shared" si="29"/>
        <v>Statistics Division, Bureau of General Affairs, Tokyo Metropolitan Government [東京都総務局統計部]. "都民経済計算年報  令和元年度". Accessed 16 May, 2023. https://www.toukei.metro.tokyo.lg.jp/.</v>
      </c>
    </row>
    <row r="129" spans="2:26">
      <c r="B129" s="285" t="s">
        <v>211</v>
      </c>
      <c r="C129" s="285" t="s">
        <v>698</v>
      </c>
      <c r="D129" s="285" t="s">
        <v>673</v>
      </c>
      <c r="E129" s="285" t="s">
        <v>162</v>
      </c>
      <c r="F129" s="13" t="s">
        <v>1161</v>
      </c>
      <c r="G129" s="13"/>
      <c r="H129" s="13"/>
      <c r="I129" s="13" t="s">
        <v>3655</v>
      </c>
      <c r="J129" s="13" t="s">
        <v>3656</v>
      </c>
      <c r="K129" s="284">
        <v>45062</v>
      </c>
      <c r="L129" s="283">
        <f t="shared" si="15"/>
        <v>2</v>
      </c>
      <c r="M129" s="283" t="str">
        <f t="shared" si="16"/>
        <v>-</v>
      </c>
      <c r="N129" s="283" t="str">
        <f t="shared" si="17"/>
        <v>-</v>
      </c>
      <c r="O129" s="283" t="str">
        <f t="shared" si="18"/>
        <v>-</v>
      </c>
      <c r="P129" s="283" t="str">
        <f t="shared" si="19"/>
        <v>-</v>
      </c>
      <c r="Q129" s="283" t="str">
        <f t="shared" si="20"/>
        <v>-</v>
      </c>
      <c r="R129" s="283" t="str">
        <f t="shared" si="21"/>
        <v>-</v>
      </c>
      <c r="S129" s="283" t="str">
        <f t="shared" si="22"/>
        <v>-</v>
      </c>
      <c r="T129" s="283" t="str">
        <f t="shared" si="23"/>
        <v>-</v>
      </c>
      <c r="U129" s="283" t="str">
        <f t="shared" si="24"/>
        <v>-</v>
      </c>
      <c r="V129" s="283" t="str">
        <f t="shared" si="25"/>
        <v>-</v>
      </c>
      <c r="W129" s="1" t="str">
        <f t="shared" si="26"/>
        <v>https://www.sgsep.com.au/projects/australias-economic-wellbeing/</v>
      </c>
      <c r="X129" s="1" t="str">
        <f t="shared" si="27"/>
        <v>https://www.sgsep.com.au/</v>
      </c>
      <c r="Y129" s="1" t="str">
        <f t="shared" si="28"/>
        <v>優先3</v>
      </c>
      <c r="Z129" s="1" t="str">
        <f t="shared" si="29"/>
        <v>SGS Economics and Planning Pty Ltd. "Australia's Economic Wellbeing". Accessed 16 May, 2023. https://www.sgsep.com.au/.</v>
      </c>
    </row>
    <row r="130" spans="2:26">
      <c r="B130" s="285" t="s">
        <v>211</v>
      </c>
      <c r="C130" s="285" t="s">
        <v>698</v>
      </c>
      <c r="D130" s="285" t="s">
        <v>673</v>
      </c>
      <c r="E130" s="285" t="s">
        <v>166</v>
      </c>
      <c r="F130" s="13" t="s">
        <v>1162</v>
      </c>
      <c r="G130" s="13" t="s">
        <v>1163</v>
      </c>
      <c r="H130" s="13"/>
      <c r="I130" s="13" t="s">
        <v>1164</v>
      </c>
      <c r="J130" s="13" t="s">
        <v>1165</v>
      </c>
      <c r="K130" s="284">
        <v>45054</v>
      </c>
      <c r="L130" s="283">
        <f t="shared" si="15"/>
        <v>9</v>
      </c>
      <c r="M130" s="283" t="str">
        <f t="shared" si="16"/>
        <v>-</v>
      </c>
      <c r="N130" s="283" t="str">
        <f t="shared" si="17"/>
        <v>-</v>
      </c>
      <c r="O130" s="283" t="str">
        <f t="shared" si="18"/>
        <v>-</v>
      </c>
      <c r="P130" s="283" t="str">
        <f t="shared" si="19"/>
        <v>-</v>
      </c>
      <c r="Q130" s="283" t="str">
        <f t="shared" si="20"/>
        <v>-</v>
      </c>
      <c r="R130" s="283" t="str">
        <f t="shared" si="21"/>
        <v>-</v>
      </c>
      <c r="S130" s="283" t="str">
        <f t="shared" si="22"/>
        <v>-</v>
      </c>
      <c r="T130" s="283" t="str">
        <f t="shared" si="23"/>
        <v>-</v>
      </c>
      <c r="U130" s="283" t="str">
        <f t="shared" si="24"/>
        <v>-</v>
      </c>
      <c r="V130" s="283" t="str">
        <f t="shared" si="25"/>
        <v>-</v>
      </c>
      <c r="W130" s="1" t="str">
        <f t="shared" si="26"/>
        <v>https://apps.bea.gov/itable/iTable.cfm?ReqID=70&amp;step=1/</v>
      </c>
      <c r="X130" s="1" t="str">
        <f t="shared" si="27"/>
        <v>https://apps.bea.gov/</v>
      </c>
      <c r="Y130" s="1" t="str">
        <f t="shared" si="28"/>
        <v>優先3</v>
      </c>
      <c r="Z130" s="1" t="str">
        <f t="shared" si="29"/>
        <v>The U.S. Bureau of Economic Analysis, The United States government. "GDP and Personal Income". Accessed 08 May, 2023. https://apps.bea.gov/.</v>
      </c>
    </row>
    <row r="131" spans="2:26">
      <c r="B131" s="285" t="s">
        <v>211</v>
      </c>
      <c r="C131" s="285" t="s">
        <v>698</v>
      </c>
      <c r="D131" s="285" t="s">
        <v>673</v>
      </c>
      <c r="E131" s="285" t="s">
        <v>168</v>
      </c>
      <c r="F131" s="13" t="s">
        <v>1162</v>
      </c>
      <c r="G131" s="13" t="s">
        <v>1163</v>
      </c>
      <c r="H131" s="13"/>
      <c r="I131" s="13" t="s">
        <v>1164</v>
      </c>
      <c r="J131" s="13" t="s">
        <v>1165</v>
      </c>
      <c r="K131" s="284">
        <v>45054</v>
      </c>
      <c r="L131" s="283">
        <f t="shared" si="15"/>
        <v>9</v>
      </c>
      <c r="M131" s="283" t="str">
        <f t="shared" si="16"/>
        <v>-</v>
      </c>
      <c r="N131" s="283" t="str">
        <f t="shared" si="17"/>
        <v>-</v>
      </c>
      <c r="O131" s="283" t="str">
        <f t="shared" si="18"/>
        <v>-</v>
      </c>
      <c r="P131" s="283" t="str">
        <f t="shared" si="19"/>
        <v>-</v>
      </c>
      <c r="Q131" s="283" t="str">
        <f t="shared" si="20"/>
        <v>-</v>
      </c>
      <c r="R131" s="283" t="str">
        <f t="shared" si="21"/>
        <v>-</v>
      </c>
      <c r="S131" s="283" t="str">
        <f t="shared" si="22"/>
        <v>-</v>
      </c>
      <c r="T131" s="283" t="str">
        <f t="shared" si="23"/>
        <v>-</v>
      </c>
      <c r="U131" s="283" t="str">
        <f t="shared" si="24"/>
        <v>-</v>
      </c>
      <c r="V131" s="283" t="str">
        <f t="shared" si="25"/>
        <v>-</v>
      </c>
      <c r="W131" s="1" t="str">
        <f t="shared" si="26"/>
        <v>https://apps.bea.gov/itable/iTable.cfm?ReqID=70&amp;step=1/</v>
      </c>
      <c r="X131" s="1" t="str">
        <f t="shared" si="27"/>
        <v>https://apps.bea.gov/</v>
      </c>
      <c r="Y131" s="1" t="str">
        <f t="shared" si="28"/>
        <v>優先3</v>
      </c>
      <c r="Z131" s="1" t="str">
        <f t="shared" si="29"/>
        <v>The U.S. Bureau of Economic Analysis, The United States government. "GDP and Personal Income". Accessed 08 May, 2023. https://apps.bea.gov/.</v>
      </c>
    </row>
    <row r="132" spans="2:26">
      <c r="B132" s="285" t="s">
        <v>211</v>
      </c>
      <c r="C132" s="285" t="s">
        <v>698</v>
      </c>
      <c r="D132" s="285" t="s">
        <v>673</v>
      </c>
      <c r="E132" s="285" t="s">
        <v>170</v>
      </c>
      <c r="F132" s="13" t="s">
        <v>1166</v>
      </c>
      <c r="G132" s="13"/>
      <c r="H132" s="13"/>
      <c r="I132" s="13" t="s">
        <v>1167</v>
      </c>
      <c r="J132" s="13" t="s">
        <v>3657</v>
      </c>
      <c r="K132" s="284">
        <v>45054</v>
      </c>
      <c r="L132" s="283" t="str">
        <f t="shared" si="15"/>
        <v>-</v>
      </c>
      <c r="M132" s="283" t="str">
        <f t="shared" si="16"/>
        <v>-</v>
      </c>
      <c r="N132" s="283" t="str">
        <f t="shared" si="17"/>
        <v>-</v>
      </c>
      <c r="O132" s="283" t="str">
        <f t="shared" si="18"/>
        <v>-</v>
      </c>
      <c r="P132" s="283" t="str">
        <f t="shared" si="19"/>
        <v>-</v>
      </c>
      <c r="Q132" s="283" t="str">
        <f t="shared" si="20"/>
        <v>-</v>
      </c>
      <c r="R132" s="283" t="str">
        <f t="shared" si="21"/>
        <v>-</v>
      </c>
      <c r="S132" s="283" t="str">
        <f t="shared" si="22"/>
        <v>-</v>
      </c>
      <c r="T132" s="283" t="str">
        <f t="shared" si="23"/>
        <v>-</v>
      </c>
      <c r="U132" s="283" t="str">
        <f t="shared" si="24"/>
        <v>-</v>
      </c>
      <c r="V132" s="283" t="str">
        <f t="shared" si="25"/>
        <v>-</v>
      </c>
      <c r="W132" s="1" t="str">
        <f t="shared" si="26"/>
        <v>https://www.inegi.org.mx/app/areasgeograficas/?ag=09#collapse-Resumen/</v>
      </c>
      <c r="X132" s="1" t="str">
        <f t="shared" si="27"/>
        <v>https://www.inegi.org.mx/</v>
      </c>
      <c r="Y132" s="1" t="str">
        <f t="shared" si="28"/>
        <v>優先3</v>
      </c>
      <c r="Z132" s="1" t="str">
        <f t="shared" si="29"/>
        <v>The National Institute of Statistics, Geography and Informatics. "Mexico en Cifras". Accessed 08 May, 2023. https://www.inegi.org.mx/.</v>
      </c>
    </row>
    <row r="133" spans="2:26">
      <c r="B133" s="285" t="s">
        <v>211</v>
      </c>
      <c r="C133" s="285" t="s">
        <v>698</v>
      </c>
      <c r="D133" s="285" t="s">
        <v>673</v>
      </c>
      <c r="E133" s="285" t="s">
        <v>172</v>
      </c>
      <c r="F133" s="13" t="s">
        <v>1162</v>
      </c>
      <c r="G133" s="13" t="s">
        <v>1163</v>
      </c>
      <c r="H133" s="13"/>
      <c r="I133" s="13" t="s">
        <v>1164</v>
      </c>
      <c r="J133" s="13" t="s">
        <v>1165</v>
      </c>
      <c r="K133" s="284">
        <v>45054</v>
      </c>
      <c r="L133" s="283">
        <f t="shared" si="15"/>
        <v>9</v>
      </c>
      <c r="M133" s="283" t="str">
        <f t="shared" si="16"/>
        <v>-</v>
      </c>
      <c r="N133" s="283" t="str">
        <f t="shared" si="17"/>
        <v>-</v>
      </c>
      <c r="O133" s="283" t="str">
        <f t="shared" si="18"/>
        <v>-</v>
      </c>
      <c r="P133" s="283" t="str">
        <f t="shared" si="19"/>
        <v>-</v>
      </c>
      <c r="Q133" s="283" t="str">
        <f t="shared" si="20"/>
        <v>-</v>
      </c>
      <c r="R133" s="283" t="str">
        <f t="shared" si="21"/>
        <v>-</v>
      </c>
      <c r="S133" s="283" t="str">
        <f t="shared" si="22"/>
        <v>-</v>
      </c>
      <c r="T133" s="283" t="str">
        <f t="shared" si="23"/>
        <v>-</v>
      </c>
      <c r="U133" s="283" t="str">
        <f t="shared" si="24"/>
        <v>-</v>
      </c>
      <c r="V133" s="283" t="str">
        <f t="shared" si="25"/>
        <v>-</v>
      </c>
      <c r="W133" s="1" t="str">
        <f t="shared" si="26"/>
        <v>https://apps.bea.gov/itable/iTable.cfm?ReqID=70&amp;step=1/</v>
      </c>
      <c r="X133" s="1" t="str">
        <f t="shared" si="27"/>
        <v>https://apps.bea.gov/</v>
      </c>
      <c r="Y133" s="1" t="str">
        <f t="shared" si="28"/>
        <v>優先3</v>
      </c>
      <c r="Z133" s="1" t="str">
        <f t="shared" si="29"/>
        <v>The U.S. Bureau of Economic Analysis, The United States government. "GDP and Personal Income". Accessed 08 May, 2023. https://apps.bea.gov/.</v>
      </c>
    </row>
    <row r="134" spans="2:26">
      <c r="B134" s="285" t="s">
        <v>211</v>
      </c>
      <c r="C134" s="285" t="s">
        <v>698</v>
      </c>
      <c r="D134" s="285" t="s">
        <v>673</v>
      </c>
      <c r="E134" s="285" t="s">
        <v>373</v>
      </c>
      <c r="F134" s="13" t="s">
        <v>1162</v>
      </c>
      <c r="G134" s="13" t="s">
        <v>1163</v>
      </c>
      <c r="H134" s="13"/>
      <c r="I134" s="13" t="s">
        <v>1164</v>
      </c>
      <c r="J134" s="13" t="s">
        <v>1165</v>
      </c>
      <c r="K134" s="284">
        <v>45054</v>
      </c>
      <c r="L134" s="283">
        <f t="shared" ref="L134:L197" si="30">IF(COUNTIFS(B:B,B134,I:I,I134,X:X,X134)&lt;=1,"-",COUNTIFS(B:B,B134,I:I,I134,X:X,X134))</f>
        <v>9</v>
      </c>
      <c r="M134" s="283" t="str">
        <f t="shared" ref="M134:M197" si="31">IF(I134="","書籍","-")</f>
        <v>-</v>
      </c>
      <c r="N134" s="283" t="str">
        <f t="shared" ref="N134:N197" si="32">IF(OR(COUNTIF($F134,"*(*"),COUNTIF($G134,"*(*"),COUNTIF($H134,"*(*")),"NG","-")</f>
        <v>-</v>
      </c>
      <c r="O134" s="283" t="str">
        <f t="shared" ref="O134:O197" si="33">IF(COUNTIF($Z134,"*..*"),"NG","-")</f>
        <v>-</v>
      </c>
      <c r="P134" s="283" t="str">
        <f t="shared" ref="P134:P197" si="34">IF(COUNTIF($Z134,"*""""*"),"NG","-")</f>
        <v>-</v>
      </c>
      <c r="Q134" s="283" t="str">
        <f t="shared" ref="Q134:Q197" si="35">IF(COUNTIF($Z134,"*  *"),"NG","-")</f>
        <v>-</v>
      </c>
      <c r="R134" s="283" t="str">
        <f t="shared" ref="R134:R197" si="36">IF(COUNTIF($Z134,"*　*"),"NG","-")</f>
        <v>-</v>
      </c>
      <c r="S134" s="283" t="str">
        <f t="shared" ref="S134:S197" si="37">IF(COUNTIF($Z134,"*（*"),"NG","-")</f>
        <v>-</v>
      </c>
      <c r="T134" s="283" t="str">
        <f t="shared" ref="T134:T197" si="38">IF(COUNTIF($Z134,"*(*"),IF(COUNTIF($Z134,"* (*"),"-","NG"),"-")</f>
        <v>-</v>
      </c>
      <c r="U134" s="283" t="str">
        <f t="shared" ref="U134:U197" si="39">IF(OR(LEFT(F134,1)=" ",LEFT(G134,1)=" ",LEFT(H134,1)=" ",LEFT(I134,1)=" ",LEFT(J134,1)=" "),"NG","-")</f>
        <v>-</v>
      </c>
      <c r="V134" s="283" t="str">
        <f t="shared" ref="V134:V197" si="40">IF(OR(RIGHT(F134,1)=" ",RIGHT(G134,1)=" ",RIGHT(H134,1)=" ",RIGHT(I134,1)=" ",RIGHT(J134,1)=" "),"NG","-")</f>
        <v>-</v>
      </c>
      <c r="W134" s="1" t="str">
        <f t="shared" ref="W134:W197" si="41">IF(J134="","",IF(RIGHT(J134,1)="/",J134,J134&amp;"/"))</f>
        <v>https://apps.bea.gov/itable/iTable.cfm?ReqID=70&amp;step=1/</v>
      </c>
      <c r="X134" s="1" t="str">
        <f t="shared" ref="X134:X197" si="42">IF(W134="","",LEFT(W134,FIND("/",W134,FIND("/",W134,FIND("/", W134)+1)+1)))</f>
        <v>https://apps.bea.gov/</v>
      </c>
      <c r="Y134" s="1" t="str">
        <f t="shared" ref="Y134:Y197" si="43">IF(AND(C134="-",D134="共通"),"優先1",IF(OR(COUNTIF(C134,"*補助*"),D134&lt;&gt;"共通"),"優先3","優先2"&amp;C134))</f>
        <v>優先3</v>
      </c>
      <c r="Z134" s="1" t="str">
        <f t="shared" ref="Z134:Z197" si="44">IF(X134="",F134,CONCATENATE(IF(F134="",G134,IF(G134="",F134,F134&amp;", "&amp;G134)),IF(H134="",". "," ["&amp;H134&amp;"]. "),"""",I134,""". ","Accessed ",TEXT(K134,"dd mmmm, yyyy"),". ",X134,"."))</f>
        <v>The U.S. Bureau of Economic Analysis, The United States government. "GDP and Personal Income". Accessed 08 May, 2023. https://apps.bea.gov/.</v>
      </c>
    </row>
    <row r="135" spans="2:26">
      <c r="B135" s="285" t="s">
        <v>211</v>
      </c>
      <c r="C135" s="285" t="s">
        <v>698</v>
      </c>
      <c r="D135" s="285" t="s">
        <v>673</v>
      </c>
      <c r="E135" s="285" t="s">
        <v>178</v>
      </c>
      <c r="F135" s="13" t="s">
        <v>4022</v>
      </c>
      <c r="G135" s="13" t="s">
        <v>737</v>
      </c>
      <c r="H135" s="13"/>
      <c r="I135" s="13" t="s">
        <v>4023</v>
      </c>
      <c r="J135" s="13" t="s">
        <v>4024</v>
      </c>
      <c r="K135" s="284">
        <v>45063</v>
      </c>
      <c r="L135" s="283" t="str">
        <f t="shared" si="30"/>
        <v>-</v>
      </c>
      <c r="M135" s="283" t="str">
        <f t="shared" si="31"/>
        <v>-</v>
      </c>
      <c r="N135" s="283" t="str">
        <f t="shared" si="32"/>
        <v>-</v>
      </c>
      <c r="O135" s="283" t="str">
        <f t="shared" si="33"/>
        <v>-</v>
      </c>
      <c r="P135" s="283" t="str">
        <f t="shared" si="34"/>
        <v>-</v>
      </c>
      <c r="Q135" s="283" t="str">
        <f t="shared" si="35"/>
        <v>-</v>
      </c>
      <c r="R135" s="283" t="str">
        <f t="shared" si="36"/>
        <v>-</v>
      </c>
      <c r="S135" s="283" t="str">
        <f t="shared" si="37"/>
        <v>-</v>
      </c>
      <c r="T135" s="283" t="str">
        <f t="shared" si="38"/>
        <v>-</v>
      </c>
      <c r="U135" s="283" t="str">
        <f t="shared" si="39"/>
        <v>-</v>
      </c>
      <c r="V135" s="283" t="str">
        <f t="shared" si="40"/>
        <v>-</v>
      </c>
      <c r="W135" s="1" t="str">
        <f t="shared" si="41"/>
        <v>https://data.cityofnewyork.us/City-Government/New-York-City-Forecasts-of-Selected-Economic-Indic/xatq-cxeq/</v>
      </c>
      <c r="X135" s="1" t="str">
        <f t="shared" si="42"/>
        <v>https://data.cityofnewyork.us/</v>
      </c>
      <c r="Y135" s="1" t="str">
        <f t="shared" si="43"/>
        <v>優先3</v>
      </c>
      <c r="Z135" s="1" t="str">
        <f t="shared" si="44"/>
        <v>NYC Open Data, City of New York. "New York City Forecasts of Selected Economic Indicators". Accessed 17 May, 2023. https://data.cityofnewyork.us/.</v>
      </c>
    </row>
    <row r="136" spans="2:26">
      <c r="B136" s="285" t="s">
        <v>211</v>
      </c>
      <c r="C136" s="285" t="s">
        <v>698</v>
      </c>
      <c r="D136" s="285" t="s">
        <v>673</v>
      </c>
      <c r="E136" s="285" t="s">
        <v>180</v>
      </c>
      <c r="F136" s="13" t="s">
        <v>1162</v>
      </c>
      <c r="G136" s="13" t="s">
        <v>1163</v>
      </c>
      <c r="H136" s="13"/>
      <c r="I136" s="13" t="s">
        <v>1164</v>
      </c>
      <c r="J136" s="13" t="s">
        <v>1165</v>
      </c>
      <c r="K136" s="284">
        <v>45054</v>
      </c>
      <c r="L136" s="283">
        <f t="shared" si="30"/>
        <v>9</v>
      </c>
      <c r="M136" s="283" t="str">
        <f t="shared" si="31"/>
        <v>-</v>
      </c>
      <c r="N136" s="283" t="str">
        <f t="shared" si="32"/>
        <v>-</v>
      </c>
      <c r="O136" s="283" t="str">
        <f t="shared" si="33"/>
        <v>-</v>
      </c>
      <c r="P136" s="283" t="str">
        <f t="shared" si="34"/>
        <v>-</v>
      </c>
      <c r="Q136" s="283" t="str">
        <f t="shared" si="35"/>
        <v>-</v>
      </c>
      <c r="R136" s="283" t="str">
        <f t="shared" si="36"/>
        <v>-</v>
      </c>
      <c r="S136" s="283" t="str">
        <f t="shared" si="37"/>
        <v>-</v>
      </c>
      <c r="T136" s="283" t="str">
        <f t="shared" si="38"/>
        <v>-</v>
      </c>
      <c r="U136" s="283" t="str">
        <f t="shared" si="39"/>
        <v>-</v>
      </c>
      <c r="V136" s="283" t="str">
        <f t="shared" si="40"/>
        <v>-</v>
      </c>
      <c r="W136" s="1" t="str">
        <f t="shared" si="41"/>
        <v>https://apps.bea.gov/itable/iTable.cfm?ReqID=70&amp;step=1/</v>
      </c>
      <c r="X136" s="1" t="str">
        <f t="shared" si="42"/>
        <v>https://apps.bea.gov/</v>
      </c>
      <c r="Y136" s="1" t="str">
        <f t="shared" si="43"/>
        <v>優先3</v>
      </c>
      <c r="Z136" s="1" t="str">
        <f t="shared" si="44"/>
        <v>The U.S. Bureau of Economic Analysis, The United States government. "GDP and Personal Income". Accessed 08 May, 2023. https://apps.bea.gov/.</v>
      </c>
    </row>
    <row r="137" spans="2:26">
      <c r="B137" s="285" t="s">
        <v>211</v>
      </c>
      <c r="C137" s="285" t="s">
        <v>698</v>
      </c>
      <c r="D137" s="285" t="s">
        <v>673</v>
      </c>
      <c r="E137" s="285" t="s">
        <v>182</v>
      </c>
      <c r="F137" s="13" t="s">
        <v>1169</v>
      </c>
      <c r="G137" s="13"/>
      <c r="H137" s="13"/>
      <c r="I137" s="13" t="s">
        <v>1170</v>
      </c>
      <c r="J137" s="13" t="s">
        <v>1132</v>
      </c>
      <c r="K137" s="284">
        <v>45054</v>
      </c>
      <c r="L137" s="283" t="str">
        <f t="shared" si="30"/>
        <v>-</v>
      </c>
      <c r="M137" s="283" t="str">
        <f t="shared" si="31"/>
        <v>-</v>
      </c>
      <c r="N137" s="283" t="str">
        <f t="shared" si="32"/>
        <v>-</v>
      </c>
      <c r="O137" s="283" t="str">
        <f t="shared" si="33"/>
        <v>-</v>
      </c>
      <c r="P137" s="283" t="str">
        <f t="shared" si="34"/>
        <v>-</v>
      </c>
      <c r="Q137" s="283" t="str">
        <f t="shared" si="35"/>
        <v>-</v>
      </c>
      <c r="R137" s="283" t="str">
        <f t="shared" si="36"/>
        <v>-</v>
      </c>
      <c r="S137" s="283" t="str">
        <f t="shared" si="37"/>
        <v>-</v>
      </c>
      <c r="T137" s="283" t="str">
        <f t="shared" si="38"/>
        <v>-</v>
      </c>
      <c r="U137" s="283" t="str">
        <f t="shared" si="39"/>
        <v>-</v>
      </c>
      <c r="V137" s="283" t="str">
        <f t="shared" si="40"/>
        <v>-</v>
      </c>
      <c r="W137" s="1" t="str">
        <f t="shared" si="41"/>
        <v>https://cidades.ibge.gov.br/brasil/sp/sao-paulo/panorama/</v>
      </c>
      <c r="X137" s="1" t="str">
        <f t="shared" si="42"/>
        <v>https://cidades.ibge.gov.br/</v>
      </c>
      <c r="Y137" s="1" t="str">
        <f t="shared" si="43"/>
        <v>優先3</v>
      </c>
      <c r="Z137" s="1" t="str">
        <f t="shared" si="44"/>
        <v>Brazilian Institute of Geography and Statistics. "CONHEÇA CIDADES E ESTADOS DO BRASIL". Accessed 08 May, 2023. https://cidades.ibge.gov.br/.</v>
      </c>
    </row>
    <row r="138" spans="2:26">
      <c r="B138" s="285" t="s">
        <v>211</v>
      </c>
      <c r="C138" s="285" t="s">
        <v>698</v>
      </c>
      <c r="D138" s="285" t="s">
        <v>673</v>
      </c>
      <c r="E138" s="285" t="s">
        <v>184</v>
      </c>
      <c r="F138" s="13" t="s">
        <v>1171</v>
      </c>
      <c r="G138" s="13" t="s">
        <v>733</v>
      </c>
      <c r="H138" s="13"/>
      <c r="I138" s="13" t="s">
        <v>4025</v>
      </c>
      <c r="J138" s="13" t="s">
        <v>4026</v>
      </c>
      <c r="K138" s="284">
        <v>45054</v>
      </c>
      <c r="L138" s="283" t="str">
        <f t="shared" si="30"/>
        <v>-</v>
      </c>
      <c r="M138" s="283" t="str">
        <f t="shared" si="31"/>
        <v>-</v>
      </c>
      <c r="N138" s="283" t="str">
        <f t="shared" si="32"/>
        <v>-</v>
      </c>
      <c r="O138" s="283" t="str">
        <f t="shared" si="33"/>
        <v>-</v>
      </c>
      <c r="P138" s="283" t="str">
        <f t="shared" si="34"/>
        <v>-</v>
      </c>
      <c r="Q138" s="283" t="str">
        <f t="shared" si="35"/>
        <v>-</v>
      </c>
      <c r="R138" s="283" t="str">
        <f t="shared" si="36"/>
        <v>-</v>
      </c>
      <c r="S138" s="283" t="str">
        <f t="shared" si="37"/>
        <v>-</v>
      </c>
      <c r="T138" s="283" t="str">
        <f t="shared" si="38"/>
        <v>-</v>
      </c>
      <c r="U138" s="283" t="str">
        <f t="shared" si="39"/>
        <v>-</v>
      </c>
      <c r="V138" s="283" t="str">
        <f t="shared" si="40"/>
        <v>-</v>
      </c>
      <c r="W138" s="1" t="str">
        <f t="shared" si="41"/>
        <v>https://www.statssa.gov.za/?page_id=1854&amp;PPN=P0441&amp;SCH=73562/</v>
      </c>
      <c r="X138" s="1" t="str">
        <f t="shared" si="42"/>
        <v>https://www.statssa.gov.za/</v>
      </c>
      <c r="Y138" s="1" t="str">
        <f t="shared" si="43"/>
        <v>優先3</v>
      </c>
      <c r="Z138" s="1" t="str">
        <f t="shared" si="44"/>
        <v>Department Statistics South Africa, Republic of South Africa. "P0441 - Gross Domestic Product (GDP), 4th Quarter 2022". Accessed 08 May, 2023. https://www.statssa.gov.za/.</v>
      </c>
    </row>
    <row r="139" spans="2:26">
      <c r="B139" s="285" t="s">
        <v>211</v>
      </c>
      <c r="C139" s="285" t="s">
        <v>698</v>
      </c>
      <c r="D139" s="285" t="s">
        <v>673</v>
      </c>
      <c r="E139" s="285" t="s">
        <v>186</v>
      </c>
      <c r="F139" s="13" t="s">
        <v>864</v>
      </c>
      <c r="G139" s="13" t="s">
        <v>1172</v>
      </c>
      <c r="H139" s="13"/>
      <c r="I139" s="13" t="s">
        <v>4027</v>
      </c>
      <c r="J139" s="13" t="s">
        <v>4028</v>
      </c>
      <c r="K139" s="284">
        <v>45054</v>
      </c>
      <c r="L139" s="283" t="str">
        <f t="shared" si="30"/>
        <v>-</v>
      </c>
      <c r="M139" s="283" t="str">
        <f t="shared" si="31"/>
        <v>-</v>
      </c>
      <c r="N139" s="283" t="str">
        <f t="shared" si="32"/>
        <v>-</v>
      </c>
      <c r="O139" s="283" t="str">
        <f t="shared" si="33"/>
        <v>-</v>
      </c>
      <c r="P139" s="283" t="str">
        <f t="shared" si="34"/>
        <v>-</v>
      </c>
      <c r="Q139" s="283" t="str">
        <f t="shared" si="35"/>
        <v>-</v>
      </c>
      <c r="R139" s="283" t="str">
        <f t="shared" si="36"/>
        <v>-</v>
      </c>
      <c r="S139" s="283" t="str">
        <f t="shared" si="37"/>
        <v>-</v>
      </c>
      <c r="T139" s="283" t="str">
        <f t="shared" si="38"/>
        <v>-</v>
      </c>
      <c r="U139" s="283" t="str">
        <f t="shared" si="39"/>
        <v>-</v>
      </c>
      <c r="V139" s="283" t="str">
        <f t="shared" si="40"/>
        <v>-</v>
      </c>
      <c r="W139" s="1" t="str">
        <f t="shared" si="41"/>
        <v>https://jakarta.bps.go.id/publication/2023/04/05/4212b85dd6f9095ed08d95e0/produk-domestik-regional-bruto-provinsi-dki-jakarta-menurut-lapangan-usaha-2018--2022.html/</v>
      </c>
      <c r="X139" s="1" t="str">
        <f t="shared" si="42"/>
        <v>https://jakarta.bps.go.id/</v>
      </c>
      <c r="Y139" s="1" t="str">
        <f t="shared" si="43"/>
        <v>優先3</v>
      </c>
      <c r="Z139" s="1" t="str">
        <f t="shared" si="44"/>
        <v>Badan Pusat Statistik, Provinsi DKI Jakarta. "Gross Regional Domestic Product of DKI Jakarta Province by Industry 2018-2022". Accessed 08 May, 2023. https://jakarta.bps.go.id/.</v>
      </c>
    </row>
    <row r="140" spans="2:26">
      <c r="B140" s="285" t="s">
        <v>211</v>
      </c>
      <c r="C140" s="285" t="s">
        <v>698</v>
      </c>
      <c r="D140" s="285" t="s">
        <v>673</v>
      </c>
      <c r="E140" s="285" t="s">
        <v>188</v>
      </c>
      <c r="F140" s="13" t="s">
        <v>1135</v>
      </c>
      <c r="G140" s="13" t="s">
        <v>1173</v>
      </c>
      <c r="H140" s="13"/>
      <c r="I140" s="13" t="s">
        <v>4009</v>
      </c>
      <c r="J140" s="13" t="s">
        <v>4010</v>
      </c>
      <c r="K140" s="284">
        <v>45054</v>
      </c>
      <c r="L140" s="283" t="str">
        <f t="shared" si="30"/>
        <v>-</v>
      </c>
      <c r="M140" s="283" t="str">
        <f t="shared" si="31"/>
        <v>-</v>
      </c>
      <c r="N140" s="283" t="str">
        <f t="shared" si="32"/>
        <v>-</v>
      </c>
      <c r="O140" s="283" t="str">
        <f t="shared" si="33"/>
        <v>-</v>
      </c>
      <c r="P140" s="283" t="str">
        <f t="shared" si="34"/>
        <v>-</v>
      </c>
      <c r="Q140" s="283" t="str">
        <f t="shared" si="35"/>
        <v>-</v>
      </c>
      <c r="R140" s="283" t="str">
        <f t="shared" si="36"/>
        <v>-</v>
      </c>
      <c r="S140" s="283" t="str">
        <f t="shared" si="37"/>
        <v>-</v>
      </c>
      <c r="T140" s="283" t="str">
        <f t="shared" si="38"/>
        <v>-</v>
      </c>
      <c r="U140" s="283" t="str">
        <f t="shared" si="39"/>
        <v>-</v>
      </c>
      <c r="V140" s="283" t="str">
        <f t="shared" si="40"/>
        <v>-</v>
      </c>
      <c r="W140" s="1" t="str">
        <f t="shared" si="41"/>
        <v>https://www.estadisticaciudad.gob.ar/eyc/?p=132766/</v>
      </c>
      <c r="X140" s="1" t="str">
        <f t="shared" si="42"/>
        <v>https://www.estadisticaciudad.gob.ar/</v>
      </c>
      <c r="Y140" s="1" t="str">
        <f t="shared" si="43"/>
        <v>優先3</v>
      </c>
      <c r="Z140" s="1" t="str">
        <f t="shared" si="44"/>
        <v>Dirección General de Estadística y Censos, Ciudad de Buenos Aires. "Anuario Estadístico de la Ciudad de Buenos Aires 2021". Accessed 08 May, 2023. https://www.estadisticaciudad.gob.ar/.</v>
      </c>
    </row>
    <row r="141" spans="2:26">
      <c r="B141" s="285" t="s">
        <v>211</v>
      </c>
      <c r="C141" s="285" t="s">
        <v>698</v>
      </c>
      <c r="D141" s="285" t="s">
        <v>673</v>
      </c>
      <c r="E141" s="285" t="s">
        <v>190</v>
      </c>
      <c r="F141" s="13" t="s">
        <v>862</v>
      </c>
      <c r="G141" s="13" t="s">
        <v>829</v>
      </c>
      <c r="H141" s="13"/>
      <c r="I141" s="13" t="s">
        <v>1174</v>
      </c>
      <c r="J141" s="13" t="s">
        <v>1175</v>
      </c>
      <c r="K141" s="284">
        <v>45063</v>
      </c>
      <c r="L141" s="283" t="str">
        <f t="shared" si="30"/>
        <v>-</v>
      </c>
      <c r="M141" s="283" t="str">
        <f t="shared" si="31"/>
        <v>-</v>
      </c>
      <c r="N141" s="283" t="str">
        <f t="shared" si="32"/>
        <v>-</v>
      </c>
      <c r="O141" s="283" t="str">
        <f t="shared" si="33"/>
        <v>-</v>
      </c>
      <c r="P141" s="283" t="str">
        <f t="shared" si="34"/>
        <v>-</v>
      </c>
      <c r="Q141" s="283" t="str">
        <f t="shared" si="35"/>
        <v>NG</v>
      </c>
      <c r="R141" s="283" t="str">
        <f t="shared" si="36"/>
        <v>-</v>
      </c>
      <c r="S141" s="283" t="str">
        <f t="shared" si="37"/>
        <v>-</v>
      </c>
      <c r="T141" s="283" t="str">
        <f t="shared" si="38"/>
        <v>-</v>
      </c>
      <c r="U141" s="283" t="str">
        <f t="shared" si="39"/>
        <v>-</v>
      </c>
      <c r="V141" s="283" t="str">
        <f t="shared" si="40"/>
        <v>NG</v>
      </c>
      <c r="W141" s="1" t="str">
        <f t="shared" si="41"/>
        <v>https://www.dsc.gov.ae/en-us/Themes/Pages/National-Accounts.aspx?Theme=24/</v>
      </c>
      <c r="X141" s="1" t="str">
        <f t="shared" si="42"/>
        <v>https://www.dsc.gov.ae/</v>
      </c>
      <c r="Y141" s="1" t="str">
        <f t="shared" si="43"/>
        <v>優先3</v>
      </c>
      <c r="Z141" s="1" t="str">
        <f t="shared" si="44"/>
        <v>Dubai Statistics Center, Government of Dubai. "Gross Domestic Product at Current  Prices  - Emirate of Dubai ". Accessed 17 May, 2023. https://www.dsc.gov.ae/.</v>
      </c>
    </row>
    <row r="142" spans="2:26">
      <c r="B142" s="285" t="s">
        <v>211</v>
      </c>
      <c r="C142" s="285" t="s">
        <v>698</v>
      </c>
      <c r="D142" s="285" t="s">
        <v>673</v>
      </c>
      <c r="E142" s="285" t="s">
        <v>369</v>
      </c>
      <c r="F142" s="13" t="s">
        <v>881</v>
      </c>
      <c r="G142" s="13" t="s">
        <v>312</v>
      </c>
      <c r="H142" s="13"/>
      <c r="I142" s="13" t="s">
        <v>1176</v>
      </c>
      <c r="J142" s="13" t="s">
        <v>4029</v>
      </c>
      <c r="K142" s="284">
        <v>45055</v>
      </c>
      <c r="L142" s="283" t="str">
        <f t="shared" si="30"/>
        <v>-</v>
      </c>
      <c r="M142" s="283" t="str">
        <f t="shared" si="31"/>
        <v>-</v>
      </c>
      <c r="N142" s="283" t="str">
        <f t="shared" si="32"/>
        <v>-</v>
      </c>
      <c r="O142" s="283" t="str">
        <f t="shared" si="33"/>
        <v>-</v>
      </c>
      <c r="P142" s="283" t="str">
        <f t="shared" si="34"/>
        <v>-</v>
      </c>
      <c r="Q142" s="283" t="str">
        <f t="shared" si="35"/>
        <v>-</v>
      </c>
      <c r="R142" s="283" t="str">
        <f t="shared" si="36"/>
        <v>-</v>
      </c>
      <c r="S142" s="283" t="str">
        <f t="shared" si="37"/>
        <v>-</v>
      </c>
      <c r="T142" s="283" t="str">
        <f t="shared" si="38"/>
        <v>-</v>
      </c>
      <c r="U142" s="283" t="str">
        <f t="shared" si="39"/>
        <v>-</v>
      </c>
      <c r="V142" s="283" t="str">
        <f t="shared" si="40"/>
        <v>-</v>
      </c>
      <c r="W142" s="1" t="str">
        <f t="shared" si="41"/>
        <v>https://www.cso.ie/en/releasesandpublications/ep/p-cirgdp/countyincomesandregionalgdp2020/data/</v>
      </c>
      <c r="X142" s="1" t="str">
        <f t="shared" si="42"/>
        <v>https://www.cso.ie/</v>
      </c>
      <c r="Y142" s="1" t="str">
        <f t="shared" si="43"/>
        <v>優先3</v>
      </c>
      <c r="Z142" s="1" t="str">
        <f t="shared" si="44"/>
        <v>Central Statistics Office, Ireland. "County Incomes and Regional GDP". Accessed 09 May, 2023. https://www.cso.ie/.</v>
      </c>
    </row>
    <row r="143" spans="2:26">
      <c r="B143" s="285" t="s">
        <v>211</v>
      </c>
      <c r="C143" s="285" t="s">
        <v>698</v>
      </c>
      <c r="D143" s="285" t="s">
        <v>673</v>
      </c>
      <c r="E143" s="285" t="s">
        <v>370</v>
      </c>
      <c r="F143" s="13" t="s">
        <v>1177</v>
      </c>
      <c r="G143" s="13" t="s">
        <v>790</v>
      </c>
      <c r="H143" s="13"/>
      <c r="I143" s="13" t="s">
        <v>1178</v>
      </c>
      <c r="J143" s="13" t="s">
        <v>4030</v>
      </c>
      <c r="K143" s="284">
        <v>45055</v>
      </c>
      <c r="L143" s="283" t="str">
        <f t="shared" si="30"/>
        <v>-</v>
      </c>
      <c r="M143" s="283" t="str">
        <f t="shared" si="31"/>
        <v>-</v>
      </c>
      <c r="N143" s="283" t="str">
        <f t="shared" si="32"/>
        <v>-</v>
      </c>
      <c r="O143" s="283" t="str">
        <f t="shared" si="33"/>
        <v>-</v>
      </c>
      <c r="P143" s="283" t="str">
        <f t="shared" si="34"/>
        <v>-</v>
      </c>
      <c r="Q143" s="283" t="str">
        <f t="shared" si="35"/>
        <v>-</v>
      </c>
      <c r="R143" s="283" t="str">
        <f t="shared" si="36"/>
        <v>-</v>
      </c>
      <c r="S143" s="283" t="str">
        <f t="shared" si="37"/>
        <v>-</v>
      </c>
      <c r="T143" s="283" t="str">
        <f t="shared" si="38"/>
        <v>-</v>
      </c>
      <c r="U143" s="283" t="str">
        <f t="shared" si="39"/>
        <v>-</v>
      </c>
      <c r="V143" s="283" t="str">
        <f t="shared" si="40"/>
        <v>-</v>
      </c>
      <c r="W143" s="1" t="str">
        <f t="shared" si="41"/>
        <v>https://ec.europa.eu/eurostat/web/main/data/database/</v>
      </c>
      <c r="X143" s="1" t="str">
        <f t="shared" si="42"/>
        <v>https://ec.europa.eu/</v>
      </c>
      <c r="Y143" s="1" t="str">
        <f t="shared" si="43"/>
        <v>優先3</v>
      </c>
      <c r="Z143" s="1" t="str">
        <f t="shared" si="44"/>
        <v>eurostat, European Commission. "Gross domestic product (GDP) at current market prices by NUTS 3 regions". Accessed 09 May, 2023. https://ec.europa.eu/.</v>
      </c>
    </row>
    <row r="144" spans="2:26">
      <c r="B144" s="285" t="s">
        <v>211</v>
      </c>
      <c r="C144" s="285" t="s">
        <v>698</v>
      </c>
      <c r="D144" s="285" t="s">
        <v>673</v>
      </c>
      <c r="E144" s="285" t="s">
        <v>371</v>
      </c>
      <c r="F144" s="13" t="s">
        <v>1179</v>
      </c>
      <c r="G144" s="13"/>
      <c r="H144" s="13"/>
      <c r="I144" s="13" t="s">
        <v>1180</v>
      </c>
      <c r="J144" s="13" t="s">
        <v>1181</v>
      </c>
      <c r="K144" s="284">
        <v>45055</v>
      </c>
      <c r="L144" s="283" t="str">
        <f t="shared" si="30"/>
        <v>-</v>
      </c>
      <c r="M144" s="283" t="str">
        <f t="shared" si="31"/>
        <v>-</v>
      </c>
      <c r="N144" s="283" t="str">
        <f t="shared" si="32"/>
        <v>-</v>
      </c>
      <c r="O144" s="283" t="str">
        <f t="shared" si="33"/>
        <v>-</v>
      </c>
      <c r="P144" s="283" t="str">
        <f t="shared" si="34"/>
        <v>-</v>
      </c>
      <c r="Q144" s="283" t="str">
        <f t="shared" si="35"/>
        <v>-</v>
      </c>
      <c r="R144" s="283" t="str">
        <f t="shared" si="36"/>
        <v>-</v>
      </c>
      <c r="S144" s="283" t="str">
        <f t="shared" si="37"/>
        <v>-</v>
      </c>
      <c r="T144" s="283" t="str">
        <f t="shared" si="38"/>
        <v>-</v>
      </c>
      <c r="U144" s="283" t="str">
        <f t="shared" si="39"/>
        <v>-</v>
      </c>
      <c r="V144" s="283" t="str">
        <f t="shared" si="40"/>
        <v>-</v>
      </c>
      <c r="W144" s="1" t="str">
        <f t="shared" si="41"/>
        <v>https://www.brookings.edu/research/redefining-global-cities/</v>
      </c>
      <c r="X144" s="1" t="str">
        <f t="shared" si="42"/>
        <v>https://www.brookings.edu/</v>
      </c>
      <c r="Y144" s="1" t="str">
        <f t="shared" si="43"/>
        <v>優先3</v>
      </c>
      <c r="Z144" s="1" t="str">
        <f t="shared" si="44"/>
        <v>The Brookings Institution. "Redefining Global Cities - The Seven Types of Global Metro Economics". Accessed 09 May, 2023. https://www.brookings.edu/.</v>
      </c>
    </row>
    <row r="145" spans="2:26">
      <c r="B145" s="285" t="s">
        <v>211</v>
      </c>
      <c r="C145" s="285" t="s">
        <v>698</v>
      </c>
      <c r="D145" s="285" t="s">
        <v>673</v>
      </c>
      <c r="E145" s="285" t="s">
        <v>372</v>
      </c>
      <c r="F145" s="13" t="s">
        <v>1161</v>
      </c>
      <c r="G145" s="13"/>
      <c r="H145" s="13"/>
      <c r="I145" s="13" t="s">
        <v>3655</v>
      </c>
      <c r="J145" s="13" t="s">
        <v>3656</v>
      </c>
      <c r="K145" s="284">
        <v>45062</v>
      </c>
      <c r="L145" s="283">
        <f t="shared" si="30"/>
        <v>2</v>
      </c>
      <c r="M145" s="283" t="str">
        <f t="shared" si="31"/>
        <v>-</v>
      </c>
      <c r="N145" s="283" t="str">
        <f t="shared" si="32"/>
        <v>-</v>
      </c>
      <c r="O145" s="283" t="str">
        <f t="shared" si="33"/>
        <v>-</v>
      </c>
      <c r="P145" s="283" t="str">
        <f t="shared" si="34"/>
        <v>-</v>
      </c>
      <c r="Q145" s="283" t="str">
        <f t="shared" si="35"/>
        <v>-</v>
      </c>
      <c r="R145" s="283" t="str">
        <f t="shared" si="36"/>
        <v>-</v>
      </c>
      <c r="S145" s="283" t="str">
        <f t="shared" si="37"/>
        <v>-</v>
      </c>
      <c r="T145" s="283" t="str">
        <f t="shared" si="38"/>
        <v>-</v>
      </c>
      <c r="U145" s="283" t="str">
        <f t="shared" si="39"/>
        <v>-</v>
      </c>
      <c r="V145" s="283" t="str">
        <f t="shared" si="40"/>
        <v>-</v>
      </c>
      <c r="W145" s="1" t="str">
        <f t="shared" si="41"/>
        <v>https://www.sgsep.com.au/projects/australias-economic-wellbeing/</v>
      </c>
      <c r="X145" s="1" t="str">
        <f t="shared" si="42"/>
        <v>https://www.sgsep.com.au/</v>
      </c>
      <c r="Y145" s="1" t="str">
        <f t="shared" si="43"/>
        <v>優先3</v>
      </c>
      <c r="Z145" s="1" t="str">
        <f t="shared" si="44"/>
        <v>SGS Economics and Planning Pty Ltd. "Australia's Economic Wellbeing". Accessed 16 May, 2023. https://www.sgsep.com.au/.</v>
      </c>
    </row>
    <row r="146" spans="2:26">
      <c r="B146" s="285" t="s">
        <v>211</v>
      </c>
      <c r="C146" s="285" t="s">
        <v>784</v>
      </c>
      <c r="D146" s="285" t="s">
        <v>673</v>
      </c>
      <c r="E146" s="285" t="s">
        <v>116</v>
      </c>
      <c r="F146" s="13" t="s">
        <v>853</v>
      </c>
      <c r="G146" s="13" t="s">
        <v>730</v>
      </c>
      <c r="H146" s="13"/>
      <c r="I146" s="13" t="s">
        <v>3658</v>
      </c>
      <c r="J146" s="13" t="s">
        <v>3659</v>
      </c>
      <c r="K146" s="284">
        <v>45054</v>
      </c>
      <c r="L146" s="283" t="str">
        <f t="shared" si="30"/>
        <v>-</v>
      </c>
      <c r="M146" s="283" t="str">
        <f t="shared" si="31"/>
        <v>-</v>
      </c>
      <c r="N146" s="283" t="str">
        <f t="shared" si="32"/>
        <v>-</v>
      </c>
      <c r="O146" s="283" t="str">
        <f t="shared" si="33"/>
        <v>-</v>
      </c>
      <c r="P146" s="283" t="str">
        <f t="shared" si="34"/>
        <v>-</v>
      </c>
      <c r="Q146" s="283" t="str">
        <f t="shared" si="35"/>
        <v>-</v>
      </c>
      <c r="R146" s="283" t="str">
        <f t="shared" si="36"/>
        <v>-</v>
      </c>
      <c r="S146" s="283" t="str">
        <f t="shared" si="37"/>
        <v>-</v>
      </c>
      <c r="T146" s="283" t="str">
        <f t="shared" si="38"/>
        <v>-</v>
      </c>
      <c r="U146" s="283" t="str">
        <f t="shared" si="39"/>
        <v>-</v>
      </c>
      <c r="V146" s="283" t="str">
        <f t="shared" si="40"/>
        <v>-</v>
      </c>
      <c r="W146" s="1" t="str">
        <f t="shared" si="41"/>
        <v>https://statistique.ge.ch/domaines/apercu.asp?dom=01_01/</v>
      </c>
      <c r="X146" s="1" t="str">
        <f t="shared" si="42"/>
        <v>https://statistique.ge.ch/</v>
      </c>
      <c r="Y146" s="1" t="str">
        <f t="shared" si="43"/>
        <v>優先3</v>
      </c>
      <c r="Z146" s="1" t="str">
        <f t="shared" si="44"/>
        <v>Office Cantonal de la Statistique, République et Canton de Genève. "Statistiques Cantonales - Etat et évolution de la population". Accessed 08 May, 2023. https://statistique.ge.ch/.</v>
      </c>
    </row>
    <row r="147" spans="2:26">
      <c r="B147" s="285" t="s">
        <v>211</v>
      </c>
      <c r="C147" s="285" t="s">
        <v>784</v>
      </c>
      <c r="D147" s="285" t="s">
        <v>673</v>
      </c>
      <c r="E147" s="285" t="s">
        <v>130</v>
      </c>
      <c r="F147" s="13" t="s">
        <v>899</v>
      </c>
      <c r="G147" s="13" t="s">
        <v>898</v>
      </c>
      <c r="H147" s="13"/>
      <c r="I147" s="13" t="s">
        <v>1027</v>
      </c>
      <c r="J147" s="13" t="s">
        <v>3660</v>
      </c>
      <c r="K147" s="284">
        <v>45054</v>
      </c>
      <c r="L147" s="283" t="str">
        <f t="shared" si="30"/>
        <v>-</v>
      </c>
      <c r="M147" s="283" t="str">
        <f t="shared" si="31"/>
        <v>-</v>
      </c>
      <c r="N147" s="283" t="str">
        <f t="shared" si="32"/>
        <v>-</v>
      </c>
      <c r="O147" s="283" t="str">
        <f t="shared" si="33"/>
        <v>-</v>
      </c>
      <c r="P147" s="283" t="str">
        <f t="shared" si="34"/>
        <v>-</v>
      </c>
      <c r="Q147" s="283" t="str">
        <f t="shared" si="35"/>
        <v>-</v>
      </c>
      <c r="R147" s="283" t="str">
        <f t="shared" si="36"/>
        <v>-</v>
      </c>
      <c r="S147" s="283" t="str">
        <f t="shared" si="37"/>
        <v>-</v>
      </c>
      <c r="T147" s="283" t="str">
        <f t="shared" si="38"/>
        <v>-</v>
      </c>
      <c r="U147" s="283" t="str">
        <f t="shared" si="39"/>
        <v>-</v>
      </c>
      <c r="V147" s="283" t="str">
        <f t="shared" si="40"/>
        <v>-</v>
      </c>
      <c r="W147" s="1" t="str">
        <f t="shared" si="41"/>
        <v>https://www.scb.se/en/finding-statistics/statistics-by-subject-area/population/population-composition/population-statistics/pong/tables-and-graphs/quarterly-population-statistics--municipalities-counties-and-the-whole-country/quarter-4-2020/</v>
      </c>
      <c r="X147" s="1" t="str">
        <f t="shared" si="42"/>
        <v>https://www.scb.se/</v>
      </c>
      <c r="Y147" s="1" t="str">
        <f t="shared" si="43"/>
        <v>優先3</v>
      </c>
      <c r="Z147" s="1" t="str">
        <f t="shared" si="44"/>
        <v>Statistiska centralbyrån, Kingdom of Sweden. "Population statistics". Accessed 08 May, 2023. https://www.scb.se/.</v>
      </c>
    </row>
    <row r="148" spans="2:26">
      <c r="B148" s="285" t="s">
        <v>211</v>
      </c>
      <c r="C148" s="285" t="s">
        <v>784</v>
      </c>
      <c r="D148" s="285" t="s">
        <v>673</v>
      </c>
      <c r="E148" s="285" t="s">
        <v>160</v>
      </c>
      <c r="F148" s="13" t="s">
        <v>817</v>
      </c>
      <c r="G148" s="13" t="s">
        <v>691</v>
      </c>
      <c r="H148" s="13"/>
      <c r="I148" s="13" t="s">
        <v>3661</v>
      </c>
      <c r="J148" s="13" t="s">
        <v>3662</v>
      </c>
      <c r="K148" s="284">
        <v>45062</v>
      </c>
      <c r="L148" s="283" t="str">
        <f t="shared" si="30"/>
        <v>-</v>
      </c>
      <c r="M148" s="283" t="str">
        <f t="shared" si="31"/>
        <v>-</v>
      </c>
      <c r="N148" s="283" t="str">
        <f t="shared" si="32"/>
        <v>-</v>
      </c>
      <c r="O148" s="283" t="str">
        <f t="shared" si="33"/>
        <v>-</v>
      </c>
      <c r="P148" s="283" t="str">
        <f t="shared" si="34"/>
        <v>-</v>
      </c>
      <c r="Q148" s="283" t="str">
        <f t="shared" si="35"/>
        <v>-</v>
      </c>
      <c r="R148" s="283" t="str">
        <f t="shared" si="36"/>
        <v>-</v>
      </c>
      <c r="S148" s="283" t="str">
        <f t="shared" si="37"/>
        <v>-</v>
      </c>
      <c r="T148" s="283" t="str">
        <f t="shared" si="38"/>
        <v>-</v>
      </c>
      <c r="U148" s="283" t="str">
        <f t="shared" si="39"/>
        <v>-</v>
      </c>
      <c r="V148" s="283" t="str">
        <f t="shared" si="40"/>
        <v>-</v>
      </c>
      <c r="W148" s="1" t="str">
        <f t="shared" si="41"/>
        <v>https://www.toukei.metro.tokyo.lg.jp/gyosoku/gy-data.htm/</v>
      </c>
      <c r="X148" s="1" t="str">
        <f t="shared" si="42"/>
        <v>https://www.toukei.metro.tokyo.lg.jp/</v>
      </c>
      <c r="Y148" s="1" t="str">
        <f t="shared" si="43"/>
        <v>優先3</v>
      </c>
      <c r="Z148" s="1" t="str">
        <f t="shared" si="44"/>
        <v>Statistics Bureau, Ministry of Internal Affairs and Communications, Government of Japan. "東京都就業者数の予測". Accessed 16 May, 2023. https://www.toukei.metro.tokyo.lg.jp/.</v>
      </c>
    </row>
    <row r="149" spans="2:26">
      <c r="B149" s="285" t="s">
        <v>211</v>
      </c>
      <c r="C149" s="285" t="s">
        <v>784</v>
      </c>
      <c r="D149" s="285" t="s">
        <v>673</v>
      </c>
      <c r="E149" s="285" t="s">
        <v>166</v>
      </c>
      <c r="F149" s="13" t="s">
        <v>1162</v>
      </c>
      <c r="G149" s="13" t="s">
        <v>1163</v>
      </c>
      <c r="H149" s="13"/>
      <c r="I149" s="13" t="s">
        <v>1164</v>
      </c>
      <c r="J149" s="13" t="s">
        <v>1165</v>
      </c>
      <c r="K149" s="284">
        <v>45054</v>
      </c>
      <c r="L149" s="283">
        <f t="shared" si="30"/>
        <v>9</v>
      </c>
      <c r="M149" s="283" t="str">
        <f t="shared" si="31"/>
        <v>-</v>
      </c>
      <c r="N149" s="283" t="str">
        <f t="shared" si="32"/>
        <v>-</v>
      </c>
      <c r="O149" s="283" t="str">
        <f t="shared" si="33"/>
        <v>-</v>
      </c>
      <c r="P149" s="283" t="str">
        <f t="shared" si="34"/>
        <v>-</v>
      </c>
      <c r="Q149" s="283" t="str">
        <f t="shared" si="35"/>
        <v>-</v>
      </c>
      <c r="R149" s="283" t="str">
        <f t="shared" si="36"/>
        <v>-</v>
      </c>
      <c r="S149" s="283" t="str">
        <f t="shared" si="37"/>
        <v>-</v>
      </c>
      <c r="T149" s="283" t="str">
        <f t="shared" si="38"/>
        <v>-</v>
      </c>
      <c r="U149" s="283" t="str">
        <f t="shared" si="39"/>
        <v>-</v>
      </c>
      <c r="V149" s="283" t="str">
        <f t="shared" si="40"/>
        <v>-</v>
      </c>
      <c r="W149" s="1" t="str">
        <f t="shared" si="41"/>
        <v>https://apps.bea.gov/itable/iTable.cfm?ReqID=70&amp;step=1/</v>
      </c>
      <c r="X149" s="1" t="str">
        <f t="shared" si="42"/>
        <v>https://apps.bea.gov/</v>
      </c>
      <c r="Y149" s="1" t="str">
        <f t="shared" si="43"/>
        <v>優先3</v>
      </c>
      <c r="Z149" s="1" t="str">
        <f t="shared" si="44"/>
        <v>The U.S. Bureau of Economic Analysis, The United States government. "GDP and Personal Income". Accessed 08 May, 2023. https://apps.bea.gov/.</v>
      </c>
    </row>
    <row r="150" spans="2:26">
      <c r="B150" s="285" t="s">
        <v>211</v>
      </c>
      <c r="C150" s="285" t="s">
        <v>784</v>
      </c>
      <c r="D150" s="285" t="s">
        <v>673</v>
      </c>
      <c r="E150" s="285" t="s">
        <v>168</v>
      </c>
      <c r="F150" s="13" t="s">
        <v>1162</v>
      </c>
      <c r="G150" s="13" t="s">
        <v>1163</v>
      </c>
      <c r="H150" s="13"/>
      <c r="I150" s="13" t="s">
        <v>1164</v>
      </c>
      <c r="J150" s="13" t="s">
        <v>1165</v>
      </c>
      <c r="K150" s="284">
        <v>45054</v>
      </c>
      <c r="L150" s="283">
        <f t="shared" si="30"/>
        <v>9</v>
      </c>
      <c r="M150" s="283" t="str">
        <f t="shared" si="31"/>
        <v>-</v>
      </c>
      <c r="N150" s="283" t="str">
        <f t="shared" si="32"/>
        <v>-</v>
      </c>
      <c r="O150" s="283" t="str">
        <f t="shared" si="33"/>
        <v>-</v>
      </c>
      <c r="P150" s="283" t="str">
        <f t="shared" si="34"/>
        <v>-</v>
      </c>
      <c r="Q150" s="283" t="str">
        <f t="shared" si="35"/>
        <v>-</v>
      </c>
      <c r="R150" s="283" t="str">
        <f t="shared" si="36"/>
        <v>-</v>
      </c>
      <c r="S150" s="283" t="str">
        <f t="shared" si="37"/>
        <v>-</v>
      </c>
      <c r="T150" s="283" t="str">
        <f t="shared" si="38"/>
        <v>-</v>
      </c>
      <c r="U150" s="283" t="str">
        <f t="shared" si="39"/>
        <v>-</v>
      </c>
      <c r="V150" s="283" t="str">
        <f t="shared" si="40"/>
        <v>-</v>
      </c>
      <c r="W150" s="1" t="str">
        <f t="shared" si="41"/>
        <v>https://apps.bea.gov/itable/iTable.cfm?ReqID=70&amp;step=1/</v>
      </c>
      <c r="X150" s="1" t="str">
        <f t="shared" si="42"/>
        <v>https://apps.bea.gov/</v>
      </c>
      <c r="Y150" s="1" t="str">
        <f t="shared" si="43"/>
        <v>優先3</v>
      </c>
      <c r="Z150" s="1" t="str">
        <f t="shared" si="44"/>
        <v>The U.S. Bureau of Economic Analysis, The United States government. "GDP and Personal Income". Accessed 08 May, 2023. https://apps.bea.gov/.</v>
      </c>
    </row>
    <row r="151" spans="2:26">
      <c r="B151" s="285" t="s">
        <v>211</v>
      </c>
      <c r="C151" s="285" t="s">
        <v>784</v>
      </c>
      <c r="D151" s="285" t="s">
        <v>673</v>
      </c>
      <c r="E151" s="285" t="s">
        <v>172</v>
      </c>
      <c r="F151" s="13" t="s">
        <v>1162</v>
      </c>
      <c r="G151" s="13" t="s">
        <v>1163</v>
      </c>
      <c r="H151" s="13"/>
      <c r="I151" s="13" t="s">
        <v>1164</v>
      </c>
      <c r="J151" s="13" t="s">
        <v>1165</v>
      </c>
      <c r="K151" s="284">
        <v>45054</v>
      </c>
      <c r="L151" s="283">
        <f t="shared" si="30"/>
        <v>9</v>
      </c>
      <c r="M151" s="283" t="str">
        <f t="shared" si="31"/>
        <v>-</v>
      </c>
      <c r="N151" s="283" t="str">
        <f t="shared" si="32"/>
        <v>-</v>
      </c>
      <c r="O151" s="283" t="str">
        <f t="shared" si="33"/>
        <v>-</v>
      </c>
      <c r="P151" s="283" t="str">
        <f t="shared" si="34"/>
        <v>-</v>
      </c>
      <c r="Q151" s="283" t="str">
        <f t="shared" si="35"/>
        <v>-</v>
      </c>
      <c r="R151" s="283" t="str">
        <f t="shared" si="36"/>
        <v>-</v>
      </c>
      <c r="S151" s="283" t="str">
        <f t="shared" si="37"/>
        <v>-</v>
      </c>
      <c r="T151" s="283" t="str">
        <f t="shared" si="38"/>
        <v>-</v>
      </c>
      <c r="U151" s="283" t="str">
        <f t="shared" si="39"/>
        <v>-</v>
      </c>
      <c r="V151" s="283" t="str">
        <f t="shared" si="40"/>
        <v>-</v>
      </c>
      <c r="W151" s="1" t="str">
        <f t="shared" si="41"/>
        <v>https://apps.bea.gov/itable/iTable.cfm?ReqID=70&amp;step=1/</v>
      </c>
      <c r="X151" s="1" t="str">
        <f t="shared" si="42"/>
        <v>https://apps.bea.gov/</v>
      </c>
      <c r="Y151" s="1" t="str">
        <f t="shared" si="43"/>
        <v>優先3</v>
      </c>
      <c r="Z151" s="1" t="str">
        <f t="shared" si="44"/>
        <v>The U.S. Bureau of Economic Analysis, The United States government. "GDP and Personal Income". Accessed 08 May, 2023. https://apps.bea.gov/.</v>
      </c>
    </row>
    <row r="152" spans="2:26">
      <c r="B152" s="285" t="s">
        <v>211</v>
      </c>
      <c r="C152" s="285" t="s">
        <v>784</v>
      </c>
      <c r="D152" s="285" t="s">
        <v>673</v>
      </c>
      <c r="E152" s="285" t="s">
        <v>180</v>
      </c>
      <c r="F152" s="13" t="s">
        <v>1162</v>
      </c>
      <c r="G152" s="13" t="s">
        <v>1163</v>
      </c>
      <c r="H152" s="13"/>
      <c r="I152" s="13" t="s">
        <v>1164</v>
      </c>
      <c r="J152" s="13" t="s">
        <v>1165</v>
      </c>
      <c r="K152" s="284">
        <v>45054</v>
      </c>
      <c r="L152" s="283">
        <f t="shared" si="30"/>
        <v>9</v>
      </c>
      <c r="M152" s="283" t="str">
        <f t="shared" si="31"/>
        <v>-</v>
      </c>
      <c r="N152" s="283" t="str">
        <f t="shared" si="32"/>
        <v>-</v>
      </c>
      <c r="O152" s="283" t="str">
        <f t="shared" si="33"/>
        <v>-</v>
      </c>
      <c r="P152" s="283" t="str">
        <f t="shared" si="34"/>
        <v>-</v>
      </c>
      <c r="Q152" s="283" t="str">
        <f t="shared" si="35"/>
        <v>-</v>
      </c>
      <c r="R152" s="283" t="str">
        <f t="shared" si="36"/>
        <v>-</v>
      </c>
      <c r="S152" s="283" t="str">
        <f t="shared" si="37"/>
        <v>-</v>
      </c>
      <c r="T152" s="283" t="str">
        <f t="shared" si="38"/>
        <v>-</v>
      </c>
      <c r="U152" s="283" t="str">
        <f t="shared" si="39"/>
        <v>-</v>
      </c>
      <c r="V152" s="283" t="str">
        <f t="shared" si="40"/>
        <v>-</v>
      </c>
      <c r="W152" s="1" t="str">
        <f t="shared" si="41"/>
        <v>https://apps.bea.gov/itable/iTable.cfm?ReqID=70&amp;step=1/</v>
      </c>
      <c r="X152" s="1" t="str">
        <f t="shared" si="42"/>
        <v>https://apps.bea.gov/</v>
      </c>
      <c r="Y152" s="1" t="str">
        <f t="shared" si="43"/>
        <v>優先3</v>
      </c>
      <c r="Z152" s="1" t="str">
        <f t="shared" si="44"/>
        <v>The U.S. Bureau of Economic Analysis, The United States government. "GDP and Personal Income". Accessed 08 May, 2023. https://apps.bea.gov/.</v>
      </c>
    </row>
    <row r="153" spans="2:26">
      <c r="B153" s="285" t="s">
        <v>211</v>
      </c>
      <c r="C153" s="285" t="s">
        <v>784</v>
      </c>
      <c r="D153" s="285" t="s">
        <v>673</v>
      </c>
      <c r="E153" s="285" t="s">
        <v>369</v>
      </c>
      <c r="F153" s="13" t="s">
        <v>1137</v>
      </c>
      <c r="G153" s="13" t="s">
        <v>312</v>
      </c>
      <c r="H153" s="13"/>
      <c r="I153" s="13" t="s">
        <v>4031</v>
      </c>
      <c r="J153" s="13" t="s">
        <v>4032</v>
      </c>
      <c r="K153" s="284">
        <v>45055</v>
      </c>
      <c r="L153" s="283" t="str">
        <f t="shared" si="30"/>
        <v>-</v>
      </c>
      <c r="M153" s="283" t="str">
        <f t="shared" si="31"/>
        <v>-</v>
      </c>
      <c r="N153" s="283" t="str">
        <f t="shared" si="32"/>
        <v>-</v>
      </c>
      <c r="O153" s="283" t="str">
        <f t="shared" si="33"/>
        <v>-</v>
      </c>
      <c r="P153" s="283" t="str">
        <f t="shared" si="34"/>
        <v>-</v>
      </c>
      <c r="Q153" s="283" t="str">
        <f t="shared" si="35"/>
        <v>-</v>
      </c>
      <c r="R153" s="283" t="str">
        <f t="shared" si="36"/>
        <v>-</v>
      </c>
      <c r="S153" s="283" t="str">
        <f t="shared" si="37"/>
        <v>-</v>
      </c>
      <c r="T153" s="283" t="str">
        <f t="shared" si="38"/>
        <v>-</v>
      </c>
      <c r="U153" s="283" t="str">
        <f t="shared" si="39"/>
        <v>-</v>
      </c>
      <c r="V153" s="283" t="str">
        <f t="shared" si="40"/>
        <v>-</v>
      </c>
      <c r="W153" s="1" t="str">
        <f t="shared" si="41"/>
        <v>https://www.cso.ie/en/releasesandpublications/ep/p-pme/populationandmigrationestimatesapril2022/data/</v>
      </c>
      <c r="X153" s="1" t="str">
        <f t="shared" si="42"/>
        <v>https://www.cso.ie/</v>
      </c>
      <c r="Y153" s="1" t="str">
        <f t="shared" si="43"/>
        <v>優先3</v>
      </c>
      <c r="Z153" s="1" t="str">
        <f t="shared" si="44"/>
        <v>Central Statistics Office, Ireland, Ireland. "Population and Migration Estimates, April 2022". Accessed 09 May, 2023. https://www.cso.ie/.</v>
      </c>
    </row>
    <row r="154" spans="2:26">
      <c r="B154" s="285" t="s">
        <v>211</v>
      </c>
      <c r="C154" s="285" t="s">
        <v>784</v>
      </c>
      <c r="D154" s="285" t="s">
        <v>673</v>
      </c>
      <c r="E154" s="285" t="s">
        <v>370</v>
      </c>
      <c r="F154" s="13" t="s">
        <v>1177</v>
      </c>
      <c r="G154" s="13" t="s">
        <v>790</v>
      </c>
      <c r="H154" s="13"/>
      <c r="I154" s="13" t="s">
        <v>3663</v>
      </c>
      <c r="J154" s="13" t="s">
        <v>4030</v>
      </c>
      <c r="K154" s="284">
        <v>45055</v>
      </c>
      <c r="L154" s="283" t="str">
        <f t="shared" si="30"/>
        <v>-</v>
      </c>
      <c r="M154" s="283" t="str">
        <f t="shared" si="31"/>
        <v>-</v>
      </c>
      <c r="N154" s="283" t="str">
        <f t="shared" si="32"/>
        <v>-</v>
      </c>
      <c r="O154" s="283" t="str">
        <f t="shared" si="33"/>
        <v>-</v>
      </c>
      <c r="P154" s="283" t="str">
        <f t="shared" si="34"/>
        <v>-</v>
      </c>
      <c r="Q154" s="283" t="str">
        <f t="shared" si="35"/>
        <v>-</v>
      </c>
      <c r="R154" s="283" t="str">
        <f t="shared" si="36"/>
        <v>-</v>
      </c>
      <c r="S154" s="283" t="str">
        <f t="shared" si="37"/>
        <v>-</v>
      </c>
      <c r="T154" s="283" t="str">
        <f t="shared" si="38"/>
        <v>-</v>
      </c>
      <c r="U154" s="283" t="str">
        <f t="shared" si="39"/>
        <v>-</v>
      </c>
      <c r="V154" s="283" t="str">
        <f t="shared" si="40"/>
        <v>-</v>
      </c>
      <c r="W154" s="1" t="str">
        <f t="shared" si="41"/>
        <v>https://ec.europa.eu/eurostat/web/main/data/database/</v>
      </c>
      <c r="X154" s="1" t="str">
        <f t="shared" si="42"/>
        <v>https://ec.europa.eu/</v>
      </c>
      <c r="Y154" s="1" t="str">
        <f t="shared" si="43"/>
        <v>優先3</v>
      </c>
      <c r="Z154" s="1" t="str">
        <f t="shared" si="44"/>
        <v>eurostat, European Commission. "Population on 1 January by age group, sex and NUTS 3 region". Accessed 09 May, 2023. https://ec.europa.eu/.</v>
      </c>
    </row>
    <row r="155" spans="2:26">
      <c r="B155" s="285" t="s">
        <v>211</v>
      </c>
      <c r="C155" s="285" t="s">
        <v>784</v>
      </c>
      <c r="D155" s="285" t="s">
        <v>673</v>
      </c>
      <c r="E155" s="285" t="s">
        <v>371</v>
      </c>
      <c r="F155" s="13" t="s">
        <v>927</v>
      </c>
      <c r="G155" s="13"/>
      <c r="H155" s="13"/>
      <c r="I155" s="13" t="s">
        <v>1182</v>
      </c>
      <c r="J155" s="13" t="s">
        <v>1183</v>
      </c>
      <c r="K155" s="284">
        <v>45055</v>
      </c>
      <c r="L155" s="283" t="str">
        <f t="shared" si="30"/>
        <v>-</v>
      </c>
      <c r="M155" s="283" t="str">
        <f t="shared" si="31"/>
        <v>-</v>
      </c>
      <c r="N155" s="283" t="str">
        <f t="shared" si="32"/>
        <v>-</v>
      </c>
      <c r="O155" s="283" t="str">
        <f t="shared" si="33"/>
        <v>-</v>
      </c>
      <c r="P155" s="283" t="str">
        <f t="shared" si="34"/>
        <v>-</v>
      </c>
      <c r="Q155" s="283" t="str">
        <f t="shared" si="35"/>
        <v>-</v>
      </c>
      <c r="R155" s="283" t="str">
        <f t="shared" si="36"/>
        <v>-</v>
      </c>
      <c r="S155" s="283" t="str">
        <f t="shared" si="37"/>
        <v>-</v>
      </c>
      <c r="T155" s="283" t="str">
        <f t="shared" si="38"/>
        <v>-</v>
      </c>
      <c r="U155" s="283" t="str">
        <f t="shared" si="39"/>
        <v>-</v>
      </c>
      <c r="V155" s="283" t="str">
        <f t="shared" si="40"/>
        <v>-</v>
      </c>
      <c r="W155" s="1" t="str">
        <f t="shared" si="41"/>
        <v>https://unstats.un.org/unsd/snaama/Basic/</v>
      </c>
      <c r="X155" s="1" t="str">
        <f t="shared" si="42"/>
        <v>https://unstats.un.org/</v>
      </c>
      <c r="Y155" s="1" t="str">
        <f t="shared" si="43"/>
        <v>優先3</v>
      </c>
      <c r="Z155" s="1" t="str">
        <f t="shared" si="44"/>
        <v>United Nations. "National Accounts - Analysis of Main Aggregates". Accessed 09 May, 2023. https://unstats.un.org/.</v>
      </c>
    </row>
    <row r="156" spans="2:26">
      <c r="B156" s="285" t="s">
        <v>211</v>
      </c>
      <c r="C156" s="285" t="s">
        <v>784</v>
      </c>
      <c r="D156" s="285" t="s">
        <v>673</v>
      </c>
      <c r="E156" s="285" t="s">
        <v>371</v>
      </c>
      <c r="F156" s="13" t="s">
        <v>1021</v>
      </c>
      <c r="G156" s="13" t="s">
        <v>1138</v>
      </c>
      <c r="H156" s="13"/>
      <c r="I156" s="13" t="s">
        <v>3628</v>
      </c>
      <c r="J156" s="13" t="s">
        <v>3629</v>
      </c>
      <c r="K156" s="284">
        <v>45055</v>
      </c>
      <c r="L156" s="283" t="str">
        <f t="shared" si="30"/>
        <v>-</v>
      </c>
      <c r="M156" s="283" t="str">
        <f t="shared" si="31"/>
        <v>-</v>
      </c>
      <c r="N156" s="283" t="str">
        <f t="shared" si="32"/>
        <v>-</v>
      </c>
      <c r="O156" s="283" t="str">
        <f t="shared" si="33"/>
        <v>-</v>
      </c>
      <c r="P156" s="283" t="str">
        <f t="shared" si="34"/>
        <v>-</v>
      </c>
      <c r="Q156" s="283" t="str">
        <f t="shared" si="35"/>
        <v>-</v>
      </c>
      <c r="R156" s="283" t="str">
        <f t="shared" si="36"/>
        <v>-</v>
      </c>
      <c r="S156" s="283" t="str">
        <f t="shared" si="37"/>
        <v>-</v>
      </c>
      <c r="T156" s="283" t="str">
        <f t="shared" si="38"/>
        <v>-</v>
      </c>
      <c r="U156" s="283" t="str">
        <f t="shared" si="39"/>
        <v>-</v>
      </c>
      <c r="V156" s="283" t="str">
        <f t="shared" si="40"/>
        <v>-</v>
      </c>
      <c r="W156" s="1" t="str">
        <f t="shared" si="41"/>
        <v>https://www.cbs.gov.il/en/publications/Pages/2021/Population-Statistical-Abstract-of-Israel-2021-No.72.aspx/</v>
      </c>
      <c r="X156" s="1" t="str">
        <f t="shared" si="42"/>
        <v>https://www.cbs.gov.il/</v>
      </c>
      <c r="Y156" s="1" t="str">
        <f t="shared" si="43"/>
        <v>優先3</v>
      </c>
      <c r="Z156" s="1" t="str">
        <f t="shared" si="44"/>
        <v>Central Bureau of Statistics, State of Israel. "Population - Statistical Abstract of Israel 2021 - No.72". Accessed 09 May, 2023. https://www.cbs.gov.il/.</v>
      </c>
    </row>
    <row r="157" spans="2:26">
      <c r="B157" s="285" t="s">
        <v>211</v>
      </c>
      <c r="C157" s="285" t="s">
        <v>716</v>
      </c>
      <c r="D157" s="285" t="s">
        <v>688</v>
      </c>
      <c r="E157" s="285" t="s">
        <v>688</v>
      </c>
      <c r="F157" s="13" t="s">
        <v>3664</v>
      </c>
      <c r="G157" s="13"/>
      <c r="H157" s="13"/>
      <c r="I157" s="13" t="s">
        <v>3665</v>
      </c>
      <c r="J157" s="13" t="s">
        <v>3666</v>
      </c>
      <c r="K157" s="284">
        <v>45070</v>
      </c>
      <c r="L157" s="283" t="str">
        <f t="shared" si="30"/>
        <v>-</v>
      </c>
      <c r="M157" s="283" t="str">
        <f t="shared" si="31"/>
        <v>-</v>
      </c>
      <c r="N157" s="283" t="str">
        <f t="shared" si="32"/>
        <v>-</v>
      </c>
      <c r="O157" s="283" t="str">
        <f t="shared" si="33"/>
        <v>-</v>
      </c>
      <c r="P157" s="283" t="str">
        <f t="shared" si="34"/>
        <v>-</v>
      </c>
      <c r="Q157" s="283" t="str">
        <f t="shared" si="35"/>
        <v>-</v>
      </c>
      <c r="R157" s="283" t="str">
        <f t="shared" si="36"/>
        <v>-</v>
      </c>
      <c r="S157" s="283" t="str">
        <f t="shared" si="37"/>
        <v>-</v>
      </c>
      <c r="T157" s="283" t="str">
        <f t="shared" si="38"/>
        <v>-</v>
      </c>
      <c r="U157" s="283" t="str">
        <f t="shared" si="39"/>
        <v>-</v>
      </c>
      <c r="V157" s="283" t="str">
        <f t="shared" si="40"/>
        <v>-</v>
      </c>
      <c r="W157" s="1" t="str">
        <f t="shared" si="41"/>
        <v>https://databank.worldbank.org/source/world-development-indicators/preview/on#/</v>
      </c>
      <c r="X157" s="1" t="str">
        <f t="shared" si="42"/>
        <v>https://databank.worldbank.org/</v>
      </c>
      <c r="Y157" s="1" t="str">
        <f t="shared" si="43"/>
        <v>優先2②</v>
      </c>
      <c r="Z157" s="1" t="str">
        <f t="shared" si="44"/>
        <v>World Bank,Organisation for Economic Co-operation and Development. "World Bank national accounts data, and OECD National Accounts data files.". Accessed 24 May, 2023. https://databank.worldbank.org/.</v>
      </c>
    </row>
    <row r="158" spans="2:26">
      <c r="B158" s="285" t="s">
        <v>212</v>
      </c>
      <c r="C158" s="285" t="s">
        <v>464</v>
      </c>
      <c r="D158" s="285" t="s">
        <v>673</v>
      </c>
      <c r="E158" s="285" t="s">
        <v>114</v>
      </c>
      <c r="F158" s="13" t="s">
        <v>854</v>
      </c>
      <c r="G158" s="13" t="s">
        <v>286</v>
      </c>
      <c r="H158" s="13"/>
      <c r="I158" s="13" t="s">
        <v>1016</v>
      </c>
      <c r="J158" s="13" t="s">
        <v>4033</v>
      </c>
      <c r="K158" s="284">
        <v>45114</v>
      </c>
      <c r="L158" s="283" t="str">
        <f t="shared" si="30"/>
        <v>-</v>
      </c>
      <c r="M158" s="283" t="str">
        <f t="shared" si="31"/>
        <v>-</v>
      </c>
      <c r="N158" s="283" t="str">
        <f t="shared" si="32"/>
        <v>NG</v>
      </c>
      <c r="O158" s="283" t="str">
        <f t="shared" si="33"/>
        <v>-</v>
      </c>
      <c r="P158" s="283" t="str">
        <f t="shared" si="34"/>
        <v>-</v>
      </c>
      <c r="Q158" s="283" t="str">
        <f t="shared" si="35"/>
        <v>-</v>
      </c>
      <c r="R158" s="283" t="str">
        <f t="shared" si="36"/>
        <v>-</v>
      </c>
      <c r="S158" s="283" t="str">
        <f t="shared" si="37"/>
        <v>-</v>
      </c>
      <c r="T158" s="283" t="str">
        <f t="shared" si="38"/>
        <v>-</v>
      </c>
      <c r="U158" s="283" t="str">
        <f t="shared" si="39"/>
        <v>-</v>
      </c>
      <c r="V158" s="283" t="str">
        <f t="shared" si="40"/>
        <v>-</v>
      </c>
      <c r="W158" s="1" t="str">
        <f t="shared" si="41"/>
        <v>https://opendata.cbs.nl/statline/#/CBS/en/dataset/84432ENG/table?ts=1688693553117/</v>
      </c>
      <c r="X158" s="1" t="str">
        <f t="shared" si="42"/>
        <v>https://opendata.cbs.nl/</v>
      </c>
      <c r="Y158" s="1" t="str">
        <f t="shared" si="43"/>
        <v>優先3</v>
      </c>
      <c r="Z158" s="1" t="str">
        <f t="shared" si="44"/>
        <v>Statistics Netherlands (CBS), Netherlands. "Regional key figures; national accounts". Accessed 07 July, 2023. https://opendata.cbs.nl/.</v>
      </c>
    </row>
    <row r="159" spans="2:26">
      <c r="B159" s="285" t="s">
        <v>212</v>
      </c>
      <c r="C159" s="285" t="s">
        <v>464</v>
      </c>
      <c r="D159" s="285" t="s">
        <v>673</v>
      </c>
      <c r="E159" s="285" t="s">
        <v>146</v>
      </c>
      <c r="F159" s="13" t="s">
        <v>1012</v>
      </c>
      <c r="G159" s="13" t="s">
        <v>1152</v>
      </c>
      <c r="H159" s="13" t="s">
        <v>894</v>
      </c>
      <c r="I159" s="13" t="s">
        <v>1153</v>
      </c>
      <c r="J159" s="13" t="s">
        <v>4034</v>
      </c>
      <c r="K159" s="284">
        <v>45111</v>
      </c>
      <c r="L159" s="283" t="str">
        <f t="shared" si="30"/>
        <v>-</v>
      </c>
      <c r="M159" s="283" t="str">
        <f t="shared" si="31"/>
        <v>-</v>
      </c>
      <c r="N159" s="283" t="str">
        <f t="shared" si="32"/>
        <v>-</v>
      </c>
      <c r="O159" s="283" t="str">
        <f t="shared" si="33"/>
        <v>-</v>
      </c>
      <c r="P159" s="283" t="str">
        <f t="shared" si="34"/>
        <v>-</v>
      </c>
      <c r="Q159" s="283" t="str">
        <f t="shared" si="35"/>
        <v>-</v>
      </c>
      <c r="R159" s="283" t="str">
        <f t="shared" si="36"/>
        <v>-</v>
      </c>
      <c r="S159" s="283" t="str">
        <f t="shared" si="37"/>
        <v>-</v>
      </c>
      <c r="T159" s="283" t="str">
        <f t="shared" si="38"/>
        <v>-</v>
      </c>
      <c r="U159" s="283" t="str">
        <f t="shared" si="39"/>
        <v>-</v>
      </c>
      <c r="V159" s="283" t="str">
        <f t="shared" si="40"/>
        <v>-</v>
      </c>
      <c r="W159" s="1" t="str">
        <f t="shared" si="41"/>
        <v>https://www.censtatd.gov.hk/en/web_table.html?id=310-31001/</v>
      </c>
      <c r="X159" s="1" t="str">
        <f t="shared" si="42"/>
        <v>https://www.censtatd.gov.hk/</v>
      </c>
      <c r="Y159" s="1" t="str">
        <f t="shared" si="43"/>
        <v>優先3</v>
      </c>
      <c r="Z159" s="1" t="str">
        <f t="shared" si="44"/>
        <v>Census and Statistics Department, The Government of the Hong Kong Special Administrative Region [政府統計處, 香港特別行政區政府]. "Gross Domestic Product (GDP), implicit price deflator of GDP and per capita GDP". Accessed 04 July, 2023. https://www.censtatd.gov.hk/.</v>
      </c>
    </row>
    <row r="160" spans="2:26">
      <c r="B160" s="285" t="s">
        <v>212</v>
      </c>
      <c r="C160" s="285" t="s">
        <v>464</v>
      </c>
      <c r="D160" s="285" t="s">
        <v>673</v>
      </c>
      <c r="E160" s="285" t="s">
        <v>369</v>
      </c>
      <c r="F160" s="13" t="s">
        <v>881</v>
      </c>
      <c r="G160" s="13" t="s">
        <v>312</v>
      </c>
      <c r="H160" s="13"/>
      <c r="I160" s="13" t="s">
        <v>1176</v>
      </c>
      <c r="J160" s="13" t="s">
        <v>4029</v>
      </c>
      <c r="K160" s="284">
        <v>45111</v>
      </c>
      <c r="L160" s="283" t="str">
        <f t="shared" si="30"/>
        <v>-</v>
      </c>
      <c r="M160" s="283" t="str">
        <f t="shared" si="31"/>
        <v>-</v>
      </c>
      <c r="N160" s="283" t="str">
        <f t="shared" si="32"/>
        <v>-</v>
      </c>
      <c r="O160" s="283" t="str">
        <f t="shared" si="33"/>
        <v>-</v>
      </c>
      <c r="P160" s="283" t="str">
        <f t="shared" si="34"/>
        <v>-</v>
      </c>
      <c r="Q160" s="283" t="str">
        <f t="shared" si="35"/>
        <v>-</v>
      </c>
      <c r="R160" s="283" t="str">
        <f t="shared" si="36"/>
        <v>-</v>
      </c>
      <c r="S160" s="283" t="str">
        <f t="shared" si="37"/>
        <v>-</v>
      </c>
      <c r="T160" s="283" t="str">
        <f t="shared" si="38"/>
        <v>-</v>
      </c>
      <c r="U160" s="283" t="str">
        <f t="shared" si="39"/>
        <v>-</v>
      </c>
      <c r="V160" s="283" t="str">
        <f t="shared" si="40"/>
        <v>-</v>
      </c>
      <c r="W160" s="1" t="str">
        <f t="shared" si="41"/>
        <v>https://www.cso.ie/en/releasesandpublications/ep/p-cirgdp/countyincomesandregionalgdp2020/data/</v>
      </c>
      <c r="X160" s="1" t="str">
        <f t="shared" si="42"/>
        <v>https://www.cso.ie/</v>
      </c>
      <c r="Y160" s="1" t="str">
        <f t="shared" si="43"/>
        <v>優先3</v>
      </c>
      <c r="Z160" s="1" t="str">
        <f t="shared" si="44"/>
        <v>Central Statistics Office, Ireland. "County Incomes and Regional GDP". Accessed 04 July, 2023. https://www.cso.ie/.</v>
      </c>
    </row>
    <row r="161" spans="2:26">
      <c r="B161" s="285" t="s">
        <v>213</v>
      </c>
      <c r="C161" s="285" t="s">
        <v>698</v>
      </c>
      <c r="D161" s="285" t="s">
        <v>688</v>
      </c>
      <c r="E161" s="285" t="s">
        <v>688</v>
      </c>
      <c r="F161" s="13" t="s">
        <v>747</v>
      </c>
      <c r="G161" s="13"/>
      <c r="H161" s="13"/>
      <c r="I161" s="13" t="s">
        <v>1142</v>
      </c>
      <c r="J161" s="13" t="s">
        <v>1143</v>
      </c>
      <c r="K161" s="284">
        <v>45114</v>
      </c>
      <c r="L161" s="283">
        <f t="shared" si="30"/>
        <v>2</v>
      </c>
      <c r="M161" s="283" t="str">
        <f t="shared" si="31"/>
        <v>-</v>
      </c>
      <c r="N161" s="283" t="str">
        <f t="shared" si="32"/>
        <v>-</v>
      </c>
      <c r="O161" s="283" t="str">
        <f t="shared" si="33"/>
        <v>-</v>
      </c>
      <c r="P161" s="283" t="str">
        <f t="shared" si="34"/>
        <v>-</v>
      </c>
      <c r="Q161" s="283" t="str">
        <f t="shared" si="35"/>
        <v>-</v>
      </c>
      <c r="R161" s="283" t="str">
        <f t="shared" si="36"/>
        <v>-</v>
      </c>
      <c r="S161" s="283" t="str">
        <f t="shared" si="37"/>
        <v>-</v>
      </c>
      <c r="T161" s="283" t="str">
        <f t="shared" si="38"/>
        <v>-</v>
      </c>
      <c r="U161" s="283" t="str">
        <f t="shared" si="39"/>
        <v>-</v>
      </c>
      <c r="V161" s="283" t="str">
        <f t="shared" si="40"/>
        <v>-</v>
      </c>
      <c r="W161" s="1" t="str">
        <f t="shared" si="41"/>
        <v>http://stats.oecd.org/index.aspx/</v>
      </c>
      <c r="X161" s="1" t="str">
        <f t="shared" si="42"/>
        <v>http://stats.oecd.org/</v>
      </c>
      <c r="Y161" s="1" t="str">
        <f t="shared" si="43"/>
        <v>優先2①</v>
      </c>
      <c r="Z161" s="1" t="str">
        <f t="shared" si="44"/>
        <v>Organisation for Economic Co-operation and Development. "OECD Statistics - Regions and Cities". Accessed 07 July, 2023. http://stats.oecd.org/.</v>
      </c>
    </row>
    <row r="162" spans="2:26">
      <c r="B162" s="285" t="s">
        <v>213</v>
      </c>
      <c r="C162" s="285" t="s">
        <v>698</v>
      </c>
      <c r="D162" s="285" t="s">
        <v>673</v>
      </c>
      <c r="E162" s="285" t="s">
        <v>134</v>
      </c>
      <c r="F162" s="13" t="s">
        <v>927</v>
      </c>
      <c r="G162" s="13"/>
      <c r="H162" s="13"/>
      <c r="I162" s="13" t="s">
        <v>1184</v>
      </c>
      <c r="J162" s="13" t="s">
        <v>1183</v>
      </c>
      <c r="K162" s="284">
        <v>45104</v>
      </c>
      <c r="L162" s="283">
        <f t="shared" si="30"/>
        <v>3</v>
      </c>
      <c r="M162" s="283" t="str">
        <f t="shared" si="31"/>
        <v>-</v>
      </c>
      <c r="N162" s="283" t="str">
        <f t="shared" si="32"/>
        <v>-</v>
      </c>
      <c r="O162" s="283" t="str">
        <f t="shared" si="33"/>
        <v>-</v>
      </c>
      <c r="P162" s="283" t="str">
        <f t="shared" si="34"/>
        <v>NG</v>
      </c>
      <c r="Q162" s="283" t="str">
        <f t="shared" si="35"/>
        <v>-</v>
      </c>
      <c r="R162" s="283" t="str">
        <f t="shared" si="36"/>
        <v>-</v>
      </c>
      <c r="S162" s="283" t="str">
        <f t="shared" si="37"/>
        <v>-</v>
      </c>
      <c r="T162" s="283" t="str">
        <f t="shared" si="38"/>
        <v>-</v>
      </c>
      <c r="U162" s="283" t="str">
        <f t="shared" si="39"/>
        <v>-</v>
      </c>
      <c r="V162" s="283" t="str">
        <f t="shared" si="40"/>
        <v>-</v>
      </c>
      <c r="W162" s="1" t="str">
        <f t="shared" si="41"/>
        <v>https://unstats.un.org/unsd/snaama/Basic/</v>
      </c>
      <c r="X162" s="1" t="str">
        <f t="shared" si="42"/>
        <v>https://unstats.un.org/</v>
      </c>
      <c r="Y162" s="1" t="str">
        <f t="shared" si="43"/>
        <v>優先3</v>
      </c>
      <c r="Z162" s="1" t="str">
        <f t="shared" si="44"/>
        <v>United Nations. "National Accounts - Analysis of Main Aggregates, "GDP, at constant 2015 prices - US Dollars"". Accessed 27 June, 2023. https://unstats.un.org/.</v>
      </c>
    </row>
    <row r="163" spans="2:26">
      <c r="B163" s="285" t="s">
        <v>213</v>
      </c>
      <c r="C163" s="285" t="s">
        <v>698</v>
      </c>
      <c r="D163" s="285" t="s">
        <v>673</v>
      </c>
      <c r="E163" s="285" t="s">
        <v>136</v>
      </c>
      <c r="F163" s="13" t="s">
        <v>842</v>
      </c>
      <c r="G163" s="13" t="s">
        <v>843</v>
      </c>
      <c r="H163" s="13"/>
      <c r="I163" s="13" t="s">
        <v>4035</v>
      </c>
      <c r="J163" s="13" t="s">
        <v>4036</v>
      </c>
      <c r="K163" s="284">
        <v>45105</v>
      </c>
      <c r="L163" s="283" t="str">
        <f t="shared" si="30"/>
        <v>-</v>
      </c>
      <c r="M163" s="283" t="str">
        <f t="shared" si="31"/>
        <v>-</v>
      </c>
      <c r="N163" s="283" t="str">
        <f t="shared" si="32"/>
        <v>-</v>
      </c>
      <c r="O163" s="283" t="str">
        <f t="shared" si="33"/>
        <v>-</v>
      </c>
      <c r="P163" s="283" t="str">
        <f t="shared" si="34"/>
        <v>-</v>
      </c>
      <c r="Q163" s="283" t="str">
        <f t="shared" si="35"/>
        <v>-</v>
      </c>
      <c r="R163" s="283" t="str">
        <f t="shared" si="36"/>
        <v>-</v>
      </c>
      <c r="S163" s="283" t="str">
        <f t="shared" si="37"/>
        <v>-</v>
      </c>
      <c r="T163" s="283" t="str">
        <f t="shared" si="38"/>
        <v>-</v>
      </c>
      <c r="U163" s="283" t="str">
        <f t="shared" si="39"/>
        <v>-</v>
      </c>
      <c r="V163" s="283" t="str">
        <f t="shared" si="40"/>
        <v>-</v>
      </c>
      <c r="W163" s="1" t="str">
        <f t="shared" si="41"/>
        <v>https://rosstat.gov.ru/statistics/accounts/</v>
      </c>
      <c r="X163" s="1" t="str">
        <f t="shared" si="42"/>
        <v>https://rosstat.gov.ru/</v>
      </c>
      <c r="Y163" s="1" t="str">
        <f t="shared" si="43"/>
        <v>優先3</v>
      </c>
      <c r="Z163" s="1" t="str">
        <f t="shared" si="44"/>
        <v>Federal State Statistics Service, Russian Federation. "ВРП с 1998 года". Accessed 28 June, 2023. https://rosstat.gov.ru/.</v>
      </c>
    </row>
    <row r="164" spans="2:26">
      <c r="B164" s="285" t="s">
        <v>213</v>
      </c>
      <c r="C164" s="285" t="s">
        <v>698</v>
      </c>
      <c r="D164" s="285" t="s">
        <v>673</v>
      </c>
      <c r="E164" s="285" t="s">
        <v>138</v>
      </c>
      <c r="F164" s="13" t="s">
        <v>1015</v>
      </c>
      <c r="G164" s="13" t="s">
        <v>987</v>
      </c>
      <c r="H164" s="13"/>
      <c r="I164" s="13" t="s">
        <v>1010</v>
      </c>
      <c r="J164" s="13" t="s">
        <v>1151</v>
      </c>
      <c r="K164" s="284">
        <v>45105</v>
      </c>
      <c r="L164" s="283" t="str">
        <f t="shared" si="30"/>
        <v>-</v>
      </c>
      <c r="M164" s="283" t="str">
        <f t="shared" si="31"/>
        <v>-</v>
      </c>
      <c r="N164" s="283" t="str">
        <f t="shared" si="32"/>
        <v>-</v>
      </c>
      <c r="O164" s="283" t="str">
        <f t="shared" si="33"/>
        <v>-</v>
      </c>
      <c r="P164" s="283" t="str">
        <f t="shared" si="34"/>
        <v>-</v>
      </c>
      <c r="Q164" s="283" t="str">
        <f t="shared" si="35"/>
        <v>-</v>
      </c>
      <c r="R164" s="283" t="str">
        <f t="shared" si="36"/>
        <v>-</v>
      </c>
      <c r="S164" s="283" t="str">
        <f t="shared" si="37"/>
        <v>-</v>
      </c>
      <c r="T164" s="283" t="str">
        <f t="shared" si="38"/>
        <v>-</v>
      </c>
      <c r="U164" s="283" t="str">
        <f t="shared" si="39"/>
        <v>-</v>
      </c>
      <c r="V164" s="283" t="str">
        <f t="shared" si="40"/>
        <v>-</v>
      </c>
      <c r="W164" s="1" t="str">
        <f t="shared" si="41"/>
        <v>https://mahades.maharashtra.gov.in/publications.do?pubId=ESM/</v>
      </c>
      <c r="X164" s="1" t="str">
        <f t="shared" si="42"/>
        <v>https://mahades.maharashtra.gov.in/</v>
      </c>
      <c r="Y164" s="1" t="str">
        <f t="shared" si="43"/>
        <v>優先3</v>
      </c>
      <c r="Z164" s="1" t="str">
        <f t="shared" si="44"/>
        <v>Directorate of Economics and Statistics, Planning Department, Government of Maharashtra. "Economic Survey of Maharashtra". Accessed 28 June, 2023. https://mahades.maharashtra.gov.in/.</v>
      </c>
    </row>
    <row r="165" spans="2:26">
      <c r="B165" s="285" t="s">
        <v>213</v>
      </c>
      <c r="C165" s="285" t="s">
        <v>698</v>
      </c>
      <c r="D165" s="285" t="s">
        <v>673</v>
      </c>
      <c r="E165" s="285" t="s">
        <v>140</v>
      </c>
      <c r="F165" s="13" t="s">
        <v>927</v>
      </c>
      <c r="G165" s="13"/>
      <c r="H165" s="13"/>
      <c r="I165" s="13" t="s">
        <v>1184</v>
      </c>
      <c r="J165" s="13" t="s">
        <v>1183</v>
      </c>
      <c r="K165" s="284">
        <v>45104</v>
      </c>
      <c r="L165" s="283">
        <f t="shared" si="30"/>
        <v>3</v>
      </c>
      <c r="M165" s="283" t="str">
        <f t="shared" si="31"/>
        <v>-</v>
      </c>
      <c r="N165" s="283" t="str">
        <f t="shared" si="32"/>
        <v>-</v>
      </c>
      <c r="O165" s="283" t="str">
        <f t="shared" si="33"/>
        <v>-</v>
      </c>
      <c r="P165" s="283" t="str">
        <f t="shared" si="34"/>
        <v>NG</v>
      </c>
      <c r="Q165" s="283" t="str">
        <f t="shared" si="35"/>
        <v>-</v>
      </c>
      <c r="R165" s="283" t="str">
        <f t="shared" si="36"/>
        <v>-</v>
      </c>
      <c r="S165" s="283" t="str">
        <f t="shared" si="37"/>
        <v>-</v>
      </c>
      <c r="T165" s="283" t="str">
        <f t="shared" si="38"/>
        <v>-</v>
      </c>
      <c r="U165" s="283" t="str">
        <f t="shared" si="39"/>
        <v>-</v>
      </c>
      <c r="V165" s="283" t="str">
        <f t="shared" si="40"/>
        <v>-</v>
      </c>
      <c r="W165" s="1" t="str">
        <f t="shared" si="41"/>
        <v>https://unstats.un.org/unsd/snaama/Basic/</v>
      </c>
      <c r="X165" s="1" t="str">
        <f t="shared" si="42"/>
        <v>https://unstats.un.org/</v>
      </c>
      <c r="Y165" s="1" t="str">
        <f t="shared" si="43"/>
        <v>優先3</v>
      </c>
      <c r="Z165" s="1" t="str">
        <f t="shared" si="44"/>
        <v>United Nations. "National Accounts - Analysis of Main Aggregates, "GDP, at constant 2015 prices - US Dollars"". Accessed 27 June, 2023. https://unstats.un.org/.</v>
      </c>
    </row>
    <row r="166" spans="2:26">
      <c r="B166" s="285" t="s">
        <v>213</v>
      </c>
      <c r="C166" s="285" t="s">
        <v>698</v>
      </c>
      <c r="D166" s="285" t="s">
        <v>673</v>
      </c>
      <c r="E166" s="285" t="s">
        <v>142</v>
      </c>
      <c r="F166" s="13" t="s">
        <v>1185</v>
      </c>
      <c r="G166" s="13" t="s">
        <v>1186</v>
      </c>
      <c r="H166" s="13"/>
      <c r="I166" s="13" t="s">
        <v>4015</v>
      </c>
      <c r="J166" s="13" t="s">
        <v>4016</v>
      </c>
      <c r="K166" s="284">
        <v>45105</v>
      </c>
      <c r="L166" s="283" t="str">
        <f t="shared" si="30"/>
        <v>-</v>
      </c>
      <c r="M166" s="283" t="str">
        <f t="shared" si="31"/>
        <v>-</v>
      </c>
      <c r="N166" s="283" t="str">
        <f t="shared" si="32"/>
        <v>-</v>
      </c>
      <c r="O166" s="283" t="str">
        <f t="shared" si="33"/>
        <v>-</v>
      </c>
      <c r="P166" s="283" t="str">
        <f t="shared" si="34"/>
        <v>-</v>
      </c>
      <c r="Q166" s="283" t="str">
        <f t="shared" si="35"/>
        <v>-</v>
      </c>
      <c r="R166" s="283" t="str">
        <f t="shared" si="36"/>
        <v>-</v>
      </c>
      <c r="S166" s="283" t="str">
        <f t="shared" si="37"/>
        <v>-</v>
      </c>
      <c r="T166" s="283" t="str">
        <f t="shared" si="38"/>
        <v>-</v>
      </c>
      <c r="U166" s="283" t="str">
        <f t="shared" si="39"/>
        <v>-</v>
      </c>
      <c r="V166" s="283" t="str">
        <f t="shared" si="40"/>
        <v>-</v>
      </c>
      <c r="W166" s="1" t="str">
        <f t="shared" si="41"/>
        <v>https://www.dosm.gov.my/portal-main/release-content/state-socioeconomic-report-2021/</v>
      </c>
      <c r="X166" s="1" t="str">
        <f t="shared" si="42"/>
        <v>https://www.dosm.gov.my/</v>
      </c>
      <c r="Y166" s="1" t="str">
        <f t="shared" si="43"/>
        <v>優先3</v>
      </c>
      <c r="Z166" s="1" t="str">
        <f t="shared" si="44"/>
        <v>Department of Statictics, Government of Malaysia. "State Socioeconomic Report 2021". Accessed 28 June, 2023. https://www.dosm.gov.my/.</v>
      </c>
    </row>
    <row r="167" spans="2:26">
      <c r="B167" s="285" t="s">
        <v>213</v>
      </c>
      <c r="C167" s="285" t="s">
        <v>698</v>
      </c>
      <c r="D167" s="285" t="s">
        <v>673</v>
      </c>
      <c r="E167" s="285" t="s">
        <v>144</v>
      </c>
      <c r="F167" s="13" t="s">
        <v>1126</v>
      </c>
      <c r="G167" s="13" t="s">
        <v>729</v>
      </c>
      <c r="H167" s="13"/>
      <c r="I167" s="13" t="s">
        <v>1187</v>
      </c>
      <c r="J167" s="13" t="s">
        <v>1188</v>
      </c>
      <c r="K167" s="284">
        <v>45105</v>
      </c>
      <c r="L167" s="283" t="str">
        <f t="shared" si="30"/>
        <v>-</v>
      </c>
      <c r="M167" s="283" t="str">
        <f t="shared" si="31"/>
        <v>-</v>
      </c>
      <c r="N167" s="283" t="str">
        <f t="shared" si="32"/>
        <v>NG</v>
      </c>
      <c r="O167" s="283" t="str">
        <f t="shared" si="33"/>
        <v>-</v>
      </c>
      <c r="P167" s="283" t="str">
        <f t="shared" si="34"/>
        <v>-</v>
      </c>
      <c r="Q167" s="283" t="str">
        <f t="shared" si="35"/>
        <v>-</v>
      </c>
      <c r="R167" s="283" t="str">
        <f t="shared" si="36"/>
        <v>-</v>
      </c>
      <c r="S167" s="283" t="str">
        <f t="shared" si="37"/>
        <v>-</v>
      </c>
      <c r="T167" s="283" t="str">
        <f t="shared" si="38"/>
        <v>-</v>
      </c>
      <c r="U167" s="283" t="str">
        <f t="shared" si="39"/>
        <v>-</v>
      </c>
      <c r="V167" s="283" t="str">
        <f t="shared" si="40"/>
        <v>-</v>
      </c>
      <c r="W167" s="1" t="str">
        <f t="shared" si="41"/>
        <v>https://www.singstat.gov.sg/find-data/search-by-theme/economy/national-accounts/latest-data/</v>
      </c>
      <c r="X167" s="1" t="str">
        <f t="shared" si="42"/>
        <v>https://www.singstat.gov.sg/</v>
      </c>
      <c r="Y167" s="1" t="str">
        <f t="shared" si="43"/>
        <v>優先3</v>
      </c>
      <c r="Z167" s="1" t="str">
        <f t="shared" si="44"/>
        <v>Singapore Department of Statistics (DOS), Government of Singapore. "National Accounts - Gross Domestic Product". Accessed 28 June, 2023. https://www.singstat.gov.sg/.</v>
      </c>
    </row>
    <row r="168" spans="2:26">
      <c r="B168" s="285" t="s">
        <v>213</v>
      </c>
      <c r="C168" s="285" t="s">
        <v>698</v>
      </c>
      <c r="D168" s="285" t="s">
        <v>673</v>
      </c>
      <c r="E168" s="285" t="s">
        <v>146</v>
      </c>
      <c r="F168" s="13" t="s">
        <v>1012</v>
      </c>
      <c r="G168" s="13" t="s">
        <v>1189</v>
      </c>
      <c r="H168" s="13" t="s">
        <v>894</v>
      </c>
      <c r="I168" s="13" t="s">
        <v>1190</v>
      </c>
      <c r="J168" s="13" t="s">
        <v>2609</v>
      </c>
      <c r="K168" s="284">
        <v>45104</v>
      </c>
      <c r="L168" s="283" t="str">
        <f t="shared" si="30"/>
        <v>-</v>
      </c>
      <c r="M168" s="283" t="str">
        <f t="shared" si="31"/>
        <v>-</v>
      </c>
      <c r="N168" s="283" t="str">
        <f t="shared" si="32"/>
        <v>-</v>
      </c>
      <c r="O168" s="283" t="str">
        <f t="shared" si="33"/>
        <v>-</v>
      </c>
      <c r="P168" s="283" t="str">
        <f t="shared" si="34"/>
        <v>-</v>
      </c>
      <c r="Q168" s="283" t="str">
        <f t="shared" si="35"/>
        <v>-</v>
      </c>
      <c r="R168" s="283" t="str">
        <f t="shared" si="36"/>
        <v>-</v>
      </c>
      <c r="S168" s="283" t="str">
        <f t="shared" si="37"/>
        <v>-</v>
      </c>
      <c r="T168" s="283" t="str">
        <f t="shared" si="38"/>
        <v>-</v>
      </c>
      <c r="U168" s="283" t="str">
        <f t="shared" si="39"/>
        <v>-</v>
      </c>
      <c r="V168" s="283" t="str">
        <f t="shared" si="40"/>
        <v>-</v>
      </c>
      <c r="W168" s="1" t="str">
        <f t="shared" si="41"/>
        <v>https://www.censtatd.gov.hk/en/EIndexbySubject.html?pcode=B1010006&amp;scode=460/</v>
      </c>
      <c r="X168" s="1" t="str">
        <f t="shared" si="42"/>
        <v>https://www.censtatd.gov.hk/</v>
      </c>
      <c r="Y168" s="1" t="str">
        <f t="shared" si="43"/>
        <v>優先3</v>
      </c>
      <c r="Z168" s="1" t="str">
        <f t="shared" si="44"/>
        <v>Census and Statistics Department, Government of the hong Kong Special Administrative Region [政府統計處, 香港特別行政區政府]. "Hong Kong in Figures". Accessed 27 June, 2023. https://www.censtatd.gov.hk/.</v>
      </c>
    </row>
    <row r="169" spans="2:26">
      <c r="B169" s="285" t="s">
        <v>213</v>
      </c>
      <c r="C169" s="285" t="s">
        <v>698</v>
      </c>
      <c r="D169" s="285" t="s">
        <v>673</v>
      </c>
      <c r="E169" s="285" t="s">
        <v>148</v>
      </c>
      <c r="F169" s="13" t="s">
        <v>1191</v>
      </c>
      <c r="G169" s="13"/>
      <c r="H169" s="13" t="s">
        <v>985</v>
      </c>
      <c r="I169" s="13" t="s">
        <v>4000</v>
      </c>
      <c r="J169" s="13" t="s">
        <v>4001</v>
      </c>
      <c r="K169" s="284">
        <v>45104</v>
      </c>
      <c r="L169" s="283" t="str">
        <f t="shared" si="30"/>
        <v>-</v>
      </c>
      <c r="M169" s="283" t="str">
        <f t="shared" si="31"/>
        <v>-</v>
      </c>
      <c r="N169" s="283" t="str">
        <f t="shared" si="32"/>
        <v>-</v>
      </c>
      <c r="O169" s="283" t="str">
        <f t="shared" si="33"/>
        <v>-</v>
      </c>
      <c r="P169" s="283" t="str">
        <f t="shared" si="34"/>
        <v>-</v>
      </c>
      <c r="Q169" s="283" t="str">
        <f t="shared" si="35"/>
        <v>NG</v>
      </c>
      <c r="R169" s="283" t="str">
        <f t="shared" si="36"/>
        <v>-</v>
      </c>
      <c r="S169" s="283" t="str">
        <f t="shared" si="37"/>
        <v>-</v>
      </c>
      <c r="T169" s="283" t="str">
        <f t="shared" si="38"/>
        <v>-</v>
      </c>
      <c r="U169" s="283" t="str">
        <f t="shared" si="39"/>
        <v>-</v>
      </c>
      <c r="V169" s="283" t="str">
        <f t="shared" si="40"/>
        <v>NG</v>
      </c>
      <c r="W169" s="1" t="str">
        <f t="shared" si="41"/>
        <v>https://nj.tjj.beijing.gov.cn/nj/main/2022-tjnj/zk/indexeh.htm/</v>
      </c>
      <c r="X169" s="1" t="str">
        <f t="shared" si="42"/>
        <v>https://nj.tjj.beijing.gov.cn/</v>
      </c>
      <c r="Y169" s="1" t="str">
        <f t="shared" si="43"/>
        <v>優先3</v>
      </c>
      <c r="Z169" s="1" t="str">
        <f t="shared" si="44"/>
        <v>Beijing Municipal Bureau Statistics  [北京市统计局 国家统计局北京调查总队]. "Beijing Statistical Yearbook 2022". Accessed 27 June, 2023. https://nj.tjj.beijing.gov.cn/.</v>
      </c>
    </row>
    <row r="170" spans="2:26">
      <c r="B170" s="285" t="s">
        <v>213</v>
      </c>
      <c r="C170" s="285" t="s">
        <v>698</v>
      </c>
      <c r="D170" s="285" t="s">
        <v>673</v>
      </c>
      <c r="E170" s="285" t="s">
        <v>150</v>
      </c>
      <c r="F170" s="13" t="s">
        <v>1157</v>
      </c>
      <c r="G170" s="13" t="s">
        <v>1158</v>
      </c>
      <c r="H170" s="13" t="s">
        <v>868</v>
      </c>
      <c r="I170" s="13" t="s">
        <v>4037</v>
      </c>
      <c r="J170" s="13" t="s">
        <v>4038</v>
      </c>
      <c r="K170" s="284">
        <v>45104</v>
      </c>
      <c r="L170" s="283" t="str">
        <f t="shared" si="30"/>
        <v>-</v>
      </c>
      <c r="M170" s="283" t="str">
        <f t="shared" si="31"/>
        <v>-</v>
      </c>
      <c r="N170" s="283" t="str">
        <f t="shared" si="32"/>
        <v>-</v>
      </c>
      <c r="O170" s="283" t="str">
        <f t="shared" si="33"/>
        <v>-</v>
      </c>
      <c r="P170" s="283" t="str">
        <f t="shared" si="34"/>
        <v>-</v>
      </c>
      <c r="Q170" s="283" t="str">
        <f t="shared" si="35"/>
        <v>-</v>
      </c>
      <c r="R170" s="283" t="str">
        <f t="shared" si="36"/>
        <v>-</v>
      </c>
      <c r="S170" s="283" t="str">
        <f t="shared" si="37"/>
        <v>-</v>
      </c>
      <c r="T170" s="283" t="str">
        <f t="shared" si="38"/>
        <v>-</v>
      </c>
      <c r="U170" s="283" t="str">
        <f t="shared" si="39"/>
        <v>-</v>
      </c>
      <c r="V170" s="283" t="str">
        <f t="shared" si="40"/>
        <v>NG</v>
      </c>
      <c r="W170" s="1" t="str">
        <f t="shared" si="41"/>
        <v>https://tjj.sh.gov.cn/tjnj/20230206/804acea250d44d2187f2e37d2e5d36ba.html/</v>
      </c>
      <c r="X170" s="1" t="str">
        <f t="shared" si="42"/>
        <v>https://tjj.sh.gov.cn/</v>
      </c>
      <c r="Y170" s="1" t="str">
        <f t="shared" si="43"/>
        <v>優先3</v>
      </c>
      <c r="Z170" s="1" t="str">
        <f t="shared" si="44"/>
        <v>Shanghai Municipal Statistics Bureau , Shanghai Municipal People's Government [上海市统计局、国家统计局上海调查总队]. "Shanghai Statistical Yearbook 2022". Accessed 27 June, 2023. https://tjj.sh.gov.cn/.</v>
      </c>
    </row>
    <row r="171" spans="2:26">
      <c r="B171" s="285" t="s">
        <v>213</v>
      </c>
      <c r="C171" s="285" t="s">
        <v>698</v>
      </c>
      <c r="D171" s="285" t="s">
        <v>673</v>
      </c>
      <c r="E171" s="285" t="s">
        <v>152</v>
      </c>
      <c r="F171" s="13" t="s">
        <v>1009</v>
      </c>
      <c r="G171" s="13" t="s">
        <v>728</v>
      </c>
      <c r="H171" s="13" t="s">
        <v>1008</v>
      </c>
      <c r="I171" s="13" t="s">
        <v>1007</v>
      </c>
      <c r="J171" s="13" t="s">
        <v>2610</v>
      </c>
      <c r="K171" s="284">
        <v>45105</v>
      </c>
      <c r="L171" s="283" t="str">
        <f t="shared" si="30"/>
        <v>-</v>
      </c>
      <c r="M171" s="283" t="str">
        <f t="shared" si="31"/>
        <v>-</v>
      </c>
      <c r="N171" s="283" t="str">
        <f t="shared" si="32"/>
        <v>NG</v>
      </c>
      <c r="O171" s="283" t="str">
        <f t="shared" si="33"/>
        <v>-</v>
      </c>
      <c r="P171" s="283" t="str">
        <f t="shared" si="34"/>
        <v>-</v>
      </c>
      <c r="Q171" s="283" t="str">
        <f t="shared" si="35"/>
        <v>-</v>
      </c>
      <c r="R171" s="283" t="str">
        <f t="shared" si="36"/>
        <v>-</v>
      </c>
      <c r="S171" s="283" t="str">
        <f t="shared" si="37"/>
        <v>-</v>
      </c>
      <c r="T171" s="283" t="str">
        <f t="shared" si="38"/>
        <v>-</v>
      </c>
      <c r="U171" s="283" t="str">
        <f t="shared" si="39"/>
        <v>-</v>
      </c>
      <c r="V171" s="283" t="str">
        <f t="shared" si="40"/>
        <v>-</v>
      </c>
      <c r="W171" s="1" t="str">
        <f t="shared" si="41"/>
        <v>https://eng.stat.gov.tw/ct.asp?xItem=46691&amp;ctNode=3570&amp;mp=5/</v>
      </c>
      <c r="X171" s="1" t="str">
        <f t="shared" si="42"/>
        <v>https://eng.stat.gov.tw/</v>
      </c>
      <c r="Y171" s="1" t="str">
        <f t="shared" si="43"/>
        <v>優先3</v>
      </c>
      <c r="Z171" s="1" t="str">
        <f t="shared" si="44"/>
        <v>National Statistics, Republic of China (Taiwan) [中華民國統計資訊網]. "國民所得統計年報". Accessed 28 June, 2023. https://eng.stat.gov.tw/.</v>
      </c>
    </row>
    <row r="172" spans="2:26">
      <c r="B172" s="285" t="s">
        <v>213</v>
      </c>
      <c r="C172" s="285" t="s">
        <v>698</v>
      </c>
      <c r="D172" s="285" t="s">
        <v>673</v>
      </c>
      <c r="E172" s="285" t="s">
        <v>156</v>
      </c>
      <c r="F172" s="13"/>
      <c r="G172" s="13" t="s">
        <v>753</v>
      </c>
      <c r="H172" s="13" t="s">
        <v>752</v>
      </c>
      <c r="I172" s="13" t="s">
        <v>4039</v>
      </c>
      <c r="J172" s="13" t="s">
        <v>1192</v>
      </c>
      <c r="K172" s="284">
        <v>45105</v>
      </c>
      <c r="L172" s="283" t="str">
        <f t="shared" si="30"/>
        <v>-</v>
      </c>
      <c r="M172" s="283" t="str">
        <f t="shared" si="31"/>
        <v>-</v>
      </c>
      <c r="N172" s="283" t="str">
        <f t="shared" si="32"/>
        <v>-</v>
      </c>
      <c r="O172" s="283" t="str">
        <f t="shared" si="33"/>
        <v>-</v>
      </c>
      <c r="P172" s="283" t="str">
        <f t="shared" si="34"/>
        <v>-</v>
      </c>
      <c r="Q172" s="283" t="str">
        <f t="shared" si="35"/>
        <v>-</v>
      </c>
      <c r="R172" s="283" t="str">
        <f t="shared" si="36"/>
        <v>-</v>
      </c>
      <c r="S172" s="283" t="str">
        <f t="shared" si="37"/>
        <v>NG</v>
      </c>
      <c r="T172" s="283" t="str">
        <f t="shared" si="38"/>
        <v>-</v>
      </c>
      <c r="U172" s="283" t="str">
        <f t="shared" si="39"/>
        <v>-</v>
      </c>
      <c r="V172" s="283" t="str">
        <f t="shared" si="40"/>
        <v>-</v>
      </c>
      <c r="W172" s="1" t="str">
        <f t="shared" si="41"/>
        <v>http://www.city.fukuoka.lg.jp/soki/tokeichosa/shisei/toukei/shiminkeizaikeisan/shiminkeizaikeisan.html/</v>
      </c>
      <c r="X172" s="1" t="str">
        <f t="shared" si="42"/>
        <v>http://www.city.fukuoka.lg.jp/</v>
      </c>
      <c r="Y172" s="1" t="str">
        <f t="shared" si="43"/>
        <v>優先3</v>
      </c>
      <c r="Z172" s="1" t="str">
        <f t="shared" si="44"/>
        <v>Fukuoka City [福岡市]. "福岡市民経済計算（令和元年度）". Accessed 28 June, 2023. http://www.city.fukuoka.lg.jp/.</v>
      </c>
    </row>
    <row r="173" spans="2:26">
      <c r="B173" s="285" t="s">
        <v>213</v>
      </c>
      <c r="C173" s="285" t="s">
        <v>698</v>
      </c>
      <c r="D173" s="285" t="s">
        <v>673</v>
      </c>
      <c r="E173" s="285" t="s">
        <v>158</v>
      </c>
      <c r="F173" s="13"/>
      <c r="G173" s="13" t="s">
        <v>751</v>
      </c>
      <c r="H173" s="13" t="s">
        <v>750</v>
      </c>
      <c r="I173" s="13" t="s">
        <v>4040</v>
      </c>
      <c r="J173" s="13" t="s">
        <v>1193</v>
      </c>
      <c r="K173" s="284">
        <v>45105</v>
      </c>
      <c r="L173" s="283" t="str">
        <f t="shared" si="30"/>
        <v>-</v>
      </c>
      <c r="M173" s="283" t="str">
        <f t="shared" si="31"/>
        <v>-</v>
      </c>
      <c r="N173" s="283" t="str">
        <f t="shared" si="32"/>
        <v>-</v>
      </c>
      <c r="O173" s="283" t="str">
        <f t="shared" si="33"/>
        <v>-</v>
      </c>
      <c r="P173" s="283" t="str">
        <f t="shared" si="34"/>
        <v>-</v>
      </c>
      <c r="Q173" s="283" t="str">
        <f t="shared" si="35"/>
        <v>-</v>
      </c>
      <c r="R173" s="283" t="str">
        <f t="shared" si="36"/>
        <v>-</v>
      </c>
      <c r="S173" s="283" t="str">
        <f t="shared" si="37"/>
        <v>NG</v>
      </c>
      <c r="T173" s="283" t="str">
        <f t="shared" si="38"/>
        <v>-</v>
      </c>
      <c r="U173" s="283" t="str">
        <f t="shared" si="39"/>
        <v>-</v>
      </c>
      <c r="V173" s="283" t="str">
        <f t="shared" si="40"/>
        <v>-</v>
      </c>
      <c r="W173" s="1" t="str">
        <f t="shared" si="41"/>
        <v>https://www.city.osaka.lg.jp/toshikeikaku/page/0000233170.html/</v>
      </c>
      <c r="X173" s="1" t="str">
        <f t="shared" si="42"/>
        <v>https://www.city.osaka.lg.jp/</v>
      </c>
      <c r="Y173" s="1" t="str">
        <f t="shared" si="43"/>
        <v>優先3</v>
      </c>
      <c r="Z173" s="1" t="str">
        <f t="shared" si="44"/>
        <v>Osaka City [大阪市]. "大阪市民経済計算（令和元年度）". Accessed 28 June, 2023. https://www.city.osaka.lg.jp/.</v>
      </c>
    </row>
    <row r="174" spans="2:26">
      <c r="B174" s="285" t="s">
        <v>213</v>
      </c>
      <c r="C174" s="285" t="s">
        <v>698</v>
      </c>
      <c r="D174" s="285" t="s">
        <v>673</v>
      </c>
      <c r="E174" s="285" t="s">
        <v>160</v>
      </c>
      <c r="F174" s="13" t="s">
        <v>836</v>
      </c>
      <c r="G174" s="13" t="s">
        <v>740</v>
      </c>
      <c r="H174" s="13"/>
      <c r="I174" s="13" t="s">
        <v>2611</v>
      </c>
      <c r="J174" s="13" t="s">
        <v>3654</v>
      </c>
      <c r="K174" s="284">
        <v>45110</v>
      </c>
      <c r="L174" s="283" t="str">
        <f t="shared" si="30"/>
        <v>-</v>
      </c>
      <c r="M174" s="283" t="str">
        <f t="shared" si="31"/>
        <v>-</v>
      </c>
      <c r="N174" s="283" t="str">
        <f t="shared" si="32"/>
        <v>-</v>
      </c>
      <c r="O174" s="283" t="str">
        <f t="shared" si="33"/>
        <v>-</v>
      </c>
      <c r="P174" s="283" t="str">
        <f t="shared" si="34"/>
        <v>-</v>
      </c>
      <c r="Q174" s="283" t="str">
        <f t="shared" si="35"/>
        <v>-</v>
      </c>
      <c r="R174" s="283" t="str">
        <f t="shared" si="36"/>
        <v>-</v>
      </c>
      <c r="S174" s="283" t="str">
        <f t="shared" si="37"/>
        <v>-</v>
      </c>
      <c r="T174" s="283" t="str">
        <f t="shared" si="38"/>
        <v>-</v>
      </c>
      <c r="U174" s="283" t="str">
        <f t="shared" si="39"/>
        <v>-</v>
      </c>
      <c r="V174" s="283" t="str">
        <f t="shared" si="40"/>
        <v>-</v>
      </c>
      <c r="W174" s="1" t="str">
        <f t="shared" si="41"/>
        <v>https://www.toukei.metro.tokyo.lg.jp/keizaik/nenpou/kkne-index.htm/</v>
      </c>
      <c r="X174" s="1" t="str">
        <f t="shared" si="42"/>
        <v>https://www.toukei.metro.tokyo.lg.jp/</v>
      </c>
      <c r="Y174" s="1" t="str">
        <f t="shared" si="43"/>
        <v>優先3</v>
      </c>
      <c r="Z174" s="1" t="str">
        <f t="shared" si="44"/>
        <v>Statistics Division, Bureau of General Affairs, Tokyo Metropolitan Government. "都民経済計算年報". Accessed 03 July, 2023. https://www.toukei.metro.tokyo.lg.jp/.</v>
      </c>
    </row>
    <row r="175" spans="2:26">
      <c r="B175" s="285" t="s">
        <v>213</v>
      </c>
      <c r="C175" s="285" t="s">
        <v>698</v>
      </c>
      <c r="D175" s="285" t="s">
        <v>673</v>
      </c>
      <c r="E175" s="285" t="s">
        <v>166</v>
      </c>
      <c r="F175" s="13" t="s">
        <v>955</v>
      </c>
      <c r="G175" s="13" t="s">
        <v>1194</v>
      </c>
      <c r="H175" s="13"/>
      <c r="I175" s="13" t="s">
        <v>1005</v>
      </c>
      <c r="J175" s="13" t="s">
        <v>1195</v>
      </c>
      <c r="K175" s="284">
        <v>45110</v>
      </c>
      <c r="L175" s="283">
        <f t="shared" si="30"/>
        <v>5</v>
      </c>
      <c r="M175" s="283" t="str">
        <f t="shared" si="31"/>
        <v>-</v>
      </c>
      <c r="N175" s="283" t="str">
        <f t="shared" si="32"/>
        <v>-</v>
      </c>
      <c r="O175" s="283" t="str">
        <f t="shared" si="33"/>
        <v>-</v>
      </c>
      <c r="P175" s="283" t="str">
        <f t="shared" si="34"/>
        <v>-</v>
      </c>
      <c r="Q175" s="283" t="str">
        <f t="shared" si="35"/>
        <v>-</v>
      </c>
      <c r="R175" s="283" t="str">
        <f t="shared" si="36"/>
        <v>-</v>
      </c>
      <c r="S175" s="283" t="str">
        <f t="shared" si="37"/>
        <v>-</v>
      </c>
      <c r="T175" s="283" t="str">
        <f t="shared" si="38"/>
        <v>-</v>
      </c>
      <c r="U175" s="283" t="str">
        <f t="shared" si="39"/>
        <v>-</v>
      </c>
      <c r="V175" s="283" t="str">
        <f t="shared" si="40"/>
        <v>-</v>
      </c>
      <c r="W175" s="1" t="str">
        <f t="shared" si="41"/>
        <v>https://apps.bea.gov/itable/iTable.cfm?ReqID=70&amp;step=1#reqid=70&amp;step=1&amp;isuri=1/</v>
      </c>
      <c r="X175" s="1" t="str">
        <f t="shared" si="42"/>
        <v>https://apps.bea.gov/</v>
      </c>
      <c r="Y175" s="1" t="str">
        <f t="shared" si="43"/>
        <v>優先3</v>
      </c>
      <c r="Z175" s="1" t="str">
        <f t="shared" si="44"/>
        <v>Bureau of Economic Analysis, United States government. "Regional Economic Accounts". Accessed 03 July, 2023. https://apps.bea.gov/.</v>
      </c>
    </row>
    <row r="176" spans="2:26">
      <c r="B176" s="285" t="s">
        <v>213</v>
      </c>
      <c r="C176" s="285" t="s">
        <v>698</v>
      </c>
      <c r="D176" s="285" t="s">
        <v>673</v>
      </c>
      <c r="E176" s="285" t="s">
        <v>168</v>
      </c>
      <c r="F176" s="13" t="s">
        <v>955</v>
      </c>
      <c r="G176" s="13" t="s">
        <v>1194</v>
      </c>
      <c r="H176" s="13"/>
      <c r="I176" s="13" t="s">
        <v>1005</v>
      </c>
      <c r="J176" s="13" t="s">
        <v>1195</v>
      </c>
      <c r="K176" s="284">
        <v>45110</v>
      </c>
      <c r="L176" s="283">
        <f t="shared" si="30"/>
        <v>5</v>
      </c>
      <c r="M176" s="283" t="str">
        <f t="shared" si="31"/>
        <v>-</v>
      </c>
      <c r="N176" s="283" t="str">
        <f t="shared" si="32"/>
        <v>-</v>
      </c>
      <c r="O176" s="283" t="str">
        <f t="shared" si="33"/>
        <v>-</v>
      </c>
      <c r="P176" s="283" t="str">
        <f t="shared" si="34"/>
        <v>-</v>
      </c>
      <c r="Q176" s="283" t="str">
        <f t="shared" si="35"/>
        <v>-</v>
      </c>
      <c r="R176" s="283" t="str">
        <f t="shared" si="36"/>
        <v>-</v>
      </c>
      <c r="S176" s="283" t="str">
        <f t="shared" si="37"/>
        <v>-</v>
      </c>
      <c r="T176" s="283" t="str">
        <f t="shared" si="38"/>
        <v>-</v>
      </c>
      <c r="U176" s="283" t="str">
        <f t="shared" si="39"/>
        <v>-</v>
      </c>
      <c r="V176" s="283" t="str">
        <f t="shared" si="40"/>
        <v>-</v>
      </c>
      <c r="W176" s="1" t="str">
        <f t="shared" si="41"/>
        <v>https://apps.bea.gov/itable/iTable.cfm?ReqID=70&amp;step=1#reqid=70&amp;step=1&amp;isuri=1/</v>
      </c>
      <c r="X176" s="1" t="str">
        <f t="shared" si="42"/>
        <v>https://apps.bea.gov/</v>
      </c>
      <c r="Y176" s="1" t="str">
        <f t="shared" si="43"/>
        <v>優先3</v>
      </c>
      <c r="Z176" s="1" t="str">
        <f t="shared" si="44"/>
        <v>Bureau of Economic Analysis, United States government. "Regional Economic Accounts". Accessed 03 July, 2023. https://apps.bea.gov/.</v>
      </c>
    </row>
    <row r="177" spans="2:26">
      <c r="B177" s="285" t="s">
        <v>213</v>
      </c>
      <c r="C177" s="285" t="s">
        <v>698</v>
      </c>
      <c r="D177" s="285" t="s">
        <v>673</v>
      </c>
      <c r="E177" s="285" t="s">
        <v>172</v>
      </c>
      <c r="F177" s="13" t="s">
        <v>955</v>
      </c>
      <c r="G177" s="13" t="s">
        <v>1194</v>
      </c>
      <c r="H177" s="13"/>
      <c r="I177" s="13" t="s">
        <v>1005</v>
      </c>
      <c r="J177" s="13" t="s">
        <v>1195</v>
      </c>
      <c r="K177" s="284">
        <v>45110</v>
      </c>
      <c r="L177" s="283">
        <f t="shared" si="30"/>
        <v>5</v>
      </c>
      <c r="M177" s="283" t="str">
        <f t="shared" si="31"/>
        <v>-</v>
      </c>
      <c r="N177" s="283" t="str">
        <f t="shared" si="32"/>
        <v>-</v>
      </c>
      <c r="O177" s="283" t="str">
        <f t="shared" si="33"/>
        <v>-</v>
      </c>
      <c r="P177" s="283" t="str">
        <f t="shared" si="34"/>
        <v>-</v>
      </c>
      <c r="Q177" s="283" t="str">
        <f t="shared" si="35"/>
        <v>-</v>
      </c>
      <c r="R177" s="283" t="str">
        <f t="shared" si="36"/>
        <v>-</v>
      </c>
      <c r="S177" s="283" t="str">
        <f t="shared" si="37"/>
        <v>-</v>
      </c>
      <c r="T177" s="283" t="str">
        <f t="shared" si="38"/>
        <v>-</v>
      </c>
      <c r="U177" s="283" t="str">
        <f t="shared" si="39"/>
        <v>-</v>
      </c>
      <c r="V177" s="283" t="str">
        <f t="shared" si="40"/>
        <v>-</v>
      </c>
      <c r="W177" s="1" t="str">
        <f t="shared" si="41"/>
        <v>https://apps.bea.gov/itable/iTable.cfm?ReqID=70&amp;step=1#reqid=70&amp;step=1&amp;isuri=1/</v>
      </c>
      <c r="X177" s="1" t="str">
        <f t="shared" si="42"/>
        <v>https://apps.bea.gov/</v>
      </c>
      <c r="Y177" s="1" t="str">
        <f t="shared" si="43"/>
        <v>優先3</v>
      </c>
      <c r="Z177" s="1" t="str">
        <f t="shared" si="44"/>
        <v>Bureau of Economic Analysis, United States government. "Regional Economic Accounts". Accessed 03 July, 2023. https://apps.bea.gov/.</v>
      </c>
    </row>
    <row r="178" spans="2:26">
      <c r="B178" s="285" t="s">
        <v>213</v>
      </c>
      <c r="C178" s="285" t="s">
        <v>698</v>
      </c>
      <c r="D178" s="285" t="s">
        <v>673</v>
      </c>
      <c r="E178" s="285" t="s">
        <v>373</v>
      </c>
      <c r="F178" s="13" t="s">
        <v>955</v>
      </c>
      <c r="G178" s="13" t="s">
        <v>1194</v>
      </c>
      <c r="H178" s="13"/>
      <c r="I178" s="13" t="s">
        <v>1005</v>
      </c>
      <c r="J178" s="13" t="s">
        <v>1195</v>
      </c>
      <c r="K178" s="284">
        <v>45110</v>
      </c>
      <c r="L178" s="283">
        <f t="shared" si="30"/>
        <v>5</v>
      </c>
      <c r="M178" s="283" t="str">
        <f t="shared" si="31"/>
        <v>-</v>
      </c>
      <c r="N178" s="283" t="str">
        <f t="shared" si="32"/>
        <v>-</v>
      </c>
      <c r="O178" s="283" t="str">
        <f t="shared" si="33"/>
        <v>-</v>
      </c>
      <c r="P178" s="283" t="str">
        <f t="shared" si="34"/>
        <v>-</v>
      </c>
      <c r="Q178" s="283" t="str">
        <f t="shared" si="35"/>
        <v>-</v>
      </c>
      <c r="R178" s="283" t="str">
        <f t="shared" si="36"/>
        <v>-</v>
      </c>
      <c r="S178" s="283" t="str">
        <f t="shared" si="37"/>
        <v>-</v>
      </c>
      <c r="T178" s="283" t="str">
        <f t="shared" si="38"/>
        <v>-</v>
      </c>
      <c r="U178" s="283" t="str">
        <f t="shared" si="39"/>
        <v>-</v>
      </c>
      <c r="V178" s="283" t="str">
        <f t="shared" si="40"/>
        <v>-</v>
      </c>
      <c r="W178" s="1" t="str">
        <f t="shared" si="41"/>
        <v>https://apps.bea.gov/itable/iTable.cfm?ReqID=70&amp;step=1#reqid=70&amp;step=1&amp;isuri=1/</v>
      </c>
      <c r="X178" s="1" t="str">
        <f t="shared" si="42"/>
        <v>https://apps.bea.gov/</v>
      </c>
      <c r="Y178" s="1" t="str">
        <f t="shared" si="43"/>
        <v>優先3</v>
      </c>
      <c r="Z178" s="1" t="str">
        <f t="shared" si="44"/>
        <v>Bureau of Economic Analysis, United States government. "Regional Economic Accounts". Accessed 03 July, 2023. https://apps.bea.gov/.</v>
      </c>
    </row>
    <row r="179" spans="2:26">
      <c r="B179" s="285" t="s">
        <v>213</v>
      </c>
      <c r="C179" s="285" t="s">
        <v>698</v>
      </c>
      <c r="D179" s="285" t="s">
        <v>673</v>
      </c>
      <c r="E179" s="285" t="s">
        <v>178</v>
      </c>
      <c r="F179" s="13" t="s">
        <v>1168</v>
      </c>
      <c r="G179" s="13" t="s">
        <v>1196</v>
      </c>
      <c r="H179" s="13"/>
      <c r="I179" s="13" t="s">
        <v>1006</v>
      </c>
      <c r="J179" s="13" t="s">
        <v>1197</v>
      </c>
      <c r="K179" s="284">
        <v>45110</v>
      </c>
      <c r="L179" s="283" t="str">
        <f t="shared" si="30"/>
        <v>-</v>
      </c>
      <c r="M179" s="283" t="str">
        <f t="shared" si="31"/>
        <v>-</v>
      </c>
      <c r="N179" s="283" t="str">
        <f t="shared" si="32"/>
        <v>-</v>
      </c>
      <c r="O179" s="283" t="str">
        <f t="shared" si="33"/>
        <v>-</v>
      </c>
      <c r="P179" s="283" t="str">
        <f t="shared" si="34"/>
        <v>-</v>
      </c>
      <c r="Q179" s="283" t="str">
        <f t="shared" si="35"/>
        <v>-</v>
      </c>
      <c r="R179" s="283" t="str">
        <f t="shared" si="36"/>
        <v>-</v>
      </c>
      <c r="S179" s="283" t="str">
        <f t="shared" si="37"/>
        <v>-</v>
      </c>
      <c r="T179" s="283" t="str">
        <f t="shared" si="38"/>
        <v>-</v>
      </c>
      <c r="U179" s="283" t="str">
        <f t="shared" si="39"/>
        <v>-</v>
      </c>
      <c r="V179" s="283" t="str">
        <f t="shared" si="40"/>
        <v>-</v>
      </c>
      <c r="W179" s="1" t="str">
        <f t="shared" si="41"/>
        <v>https://www1.nyc.gov/site/omb/publications/publications.page/</v>
      </c>
      <c r="X179" s="1" t="str">
        <f t="shared" si="42"/>
        <v>https://www1.nyc.gov/</v>
      </c>
      <c r="Y179" s="1" t="str">
        <f t="shared" si="43"/>
        <v>優先3</v>
      </c>
      <c r="Z179" s="1" t="str">
        <f t="shared" si="44"/>
        <v>Mayor’s Office of Management and Budget, New York City. "Quarterly Report on Current Economic Conditions". Accessed 03 July, 2023. https://www1.nyc.gov/.</v>
      </c>
    </row>
    <row r="180" spans="2:26">
      <c r="B180" s="285" t="s">
        <v>213</v>
      </c>
      <c r="C180" s="285" t="s">
        <v>698</v>
      </c>
      <c r="D180" s="285" t="s">
        <v>673</v>
      </c>
      <c r="E180" s="285" t="s">
        <v>180</v>
      </c>
      <c r="F180" s="13" t="s">
        <v>955</v>
      </c>
      <c r="G180" s="13" t="s">
        <v>1194</v>
      </c>
      <c r="H180" s="13"/>
      <c r="I180" s="13" t="s">
        <v>1005</v>
      </c>
      <c r="J180" s="13" t="s">
        <v>1195</v>
      </c>
      <c r="K180" s="284">
        <v>45110</v>
      </c>
      <c r="L180" s="283">
        <f t="shared" si="30"/>
        <v>5</v>
      </c>
      <c r="M180" s="283" t="str">
        <f t="shared" si="31"/>
        <v>-</v>
      </c>
      <c r="N180" s="283" t="str">
        <f t="shared" si="32"/>
        <v>-</v>
      </c>
      <c r="O180" s="283" t="str">
        <f t="shared" si="33"/>
        <v>-</v>
      </c>
      <c r="P180" s="283" t="str">
        <f t="shared" si="34"/>
        <v>-</v>
      </c>
      <c r="Q180" s="283" t="str">
        <f t="shared" si="35"/>
        <v>-</v>
      </c>
      <c r="R180" s="283" t="str">
        <f t="shared" si="36"/>
        <v>-</v>
      </c>
      <c r="S180" s="283" t="str">
        <f t="shared" si="37"/>
        <v>-</v>
      </c>
      <c r="T180" s="283" t="str">
        <f t="shared" si="38"/>
        <v>-</v>
      </c>
      <c r="U180" s="283" t="str">
        <f t="shared" si="39"/>
        <v>-</v>
      </c>
      <c r="V180" s="283" t="str">
        <f t="shared" si="40"/>
        <v>-</v>
      </c>
      <c r="W180" s="1" t="str">
        <f t="shared" si="41"/>
        <v>https://apps.bea.gov/itable/iTable.cfm?ReqID=70&amp;step=1#reqid=70&amp;step=1&amp;isuri=1/</v>
      </c>
      <c r="X180" s="1" t="str">
        <f t="shared" si="42"/>
        <v>https://apps.bea.gov/</v>
      </c>
      <c r="Y180" s="1" t="str">
        <f t="shared" si="43"/>
        <v>優先3</v>
      </c>
      <c r="Z180" s="1" t="str">
        <f t="shared" si="44"/>
        <v>Bureau of Economic Analysis, United States government. "Regional Economic Accounts". Accessed 03 July, 2023. https://apps.bea.gov/.</v>
      </c>
    </row>
    <row r="181" spans="2:26">
      <c r="B181" s="285" t="s">
        <v>213</v>
      </c>
      <c r="C181" s="285" t="s">
        <v>698</v>
      </c>
      <c r="D181" s="285" t="s">
        <v>673</v>
      </c>
      <c r="E181" s="285" t="s">
        <v>182</v>
      </c>
      <c r="F181" s="13" t="s">
        <v>885</v>
      </c>
      <c r="G181" s="13" t="s">
        <v>831</v>
      </c>
      <c r="H181" s="13"/>
      <c r="I181" s="13" t="s">
        <v>1198</v>
      </c>
      <c r="J181" s="13" t="s">
        <v>1199</v>
      </c>
      <c r="K181" s="284">
        <v>45110</v>
      </c>
      <c r="L181" s="283" t="str">
        <f t="shared" si="30"/>
        <v>-</v>
      </c>
      <c r="M181" s="283" t="str">
        <f t="shared" si="31"/>
        <v>-</v>
      </c>
      <c r="N181" s="283" t="str">
        <f t="shared" si="32"/>
        <v>-</v>
      </c>
      <c r="O181" s="283" t="str">
        <f t="shared" si="33"/>
        <v>-</v>
      </c>
      <c r="P181" s="283" t="str">
        <f t="shared" si="34"/>
        <v>-</v>
      </c>
      <c r="Q181" s="283" t="str">
        <f t="shared" si="35"/>
        <v>-</v>
      </c>
      <c r="R181" s="283" t="str">
        <f t="shared" si="36"/>
        <v>-</v>
      </c>
      <c r="S181" s="283" t="str">
        <f t="shared" si="37"/>
        <v>-</v>
      </c>
      <c r="T181" s="283" t="str">
        <f t="shared" si="38"/>
        <v>-</v>
      </c>
      <c r="U181" s="283" t="str">
        <f t="shared" si="39"/>
        <v>-</v>
      </c>
      <c r="V181" s="283" t="str">
        <f t="shared" si="40"/>
        <v>-</v>
      </c>
      <c r="W181" s="1" t="str">
        <f t="shared" si="41"/>
        <v>https://www.ibge.gov.br/estatisticas/economicas/contas-nacionais/9088-produto-interno-bruto-dos-municipios.html?t=pib-por-municipio&amp;c=3550308/</v>
      </c>
      <c r="X181" s="1" t="str">
        <f t="shared" si="42"/>
        <v>https://www.ibge.gov.br/</v>
      </c>
      <c r="Y181" s="1" t="str">
        <f t="shared" si="43"/>
        <v>優先3</v>
      </c>
      <c r="Z181" s="1" t="str">
        <f t="shared" si="44"/>
        <v>Instituto Brasileiro de Geografia e Estatística, Federative Republic of Brazil. "Produto Interno Bruto dos Municipios". Accessed 03 July, 2023. https://www.ibge.gov.br/.</v>
      </c>
    </row>
    <row r="182" spans="2:26">
      <c r="B182" s="285" t="s">
        <v>213</v>
      </c>
      <c r="C182" s="285" t="s">
        <v>698</v>
      </c>
      <c r="D182" s="285" t="s">
        <v>673</v>
      </c>
      <c r="E182" s="285" t="s">
        <v>184</v>
      </c>
      <c r="F182" s="13" t="s">
        <v>927</v>
      </c>
      <c r="G182" s="13"/>
      <c r="H182" s="13"/>
      <c r="I182" s="13" t="s">
        <v>1184</v>
      </c>
      <c r="J182" s="13" t="s">
        <v>1183</v>
      </c>
      <c r="K182" s="284">
        <v>45104</v>
      </c>
      <c r="L182" s="283">
        <f t="shared" si="30"/>
        <v>3</v>
      </c>
      <c r="M182" s="283" t="str">
        <f t="shared" si="31"/>
        <v>-</v>
      </c>
      <c r="N182" s="283" t="str">
        <f t="shared" si="32"/>
        <v>-</v>
      </c>
      <c r="O182" s="283" t="str">
        <f t="shared" si="33"/>
        <v>-</v>
      </c>
      <c r="P182" s="283" t="str">
        <f t="shared" si="34"/>
        <v>NG</v>
      </c>
      <c r="Q182" s="283" t="str">
        <f t="shared" si="35"/>
        <v>-</v>
      </c>
      <c r="R182" s="283" t="str">
        <f t="shared" si="36"/>
        <v>-</v>
      </c>
      <c r="S182" s="283" t="str">
        <f t="shared" si="37"/>
        <v>-</v>
      </c>
      <c r="T182" s="283" t="str">
        <f t="shared" si="38"/>
        <v>-</v>
      </c>
      <c r="U182" s="283" t="str">
        <f t="shared" si="39"/>
        <v>-</v>
      </c>
      <c r="V182" s="283" t="str">
        <f t="shared" si="40"/>
        <v>-</v>
      </c>
      <c r="W182" s="1" t="str">
        <f t="shared" si="41"/>
        <v>https://unstats.un.org/unsd/snaama/Basic/</v>
      </c>
      <c r="X182" s="1" t="str">
        <f t="shared" si="42"/>
        <v>https://unstats.un.org/</v>
      </c>
      <c r="Y182" s="1" t="str">
        <f t="shared" si="43"/>
        <v>優先3</v>
      </c>
      <c r="Z182" s="1" t="str">
        <f t="shared" si="44"/>
        <v>United Nations. "National Accounts - Analysis of Main Aggregates, "GDP, at constant 2015 prices - US Dollars"". Accessed 27 June, 2023. https://unstats.un.org/.</v>
      </c>
    </row>
    <row r="183" spans="2:26">
      <c r="B183" s="285" t="s">
        <v>213</v>
      </c>
      <c r="C183" s="285" t="s">
        <v>698</v>
      </c>
      <c r="D183" s="285" t="s">
        <v>673</v>
      </c>
      <c r="E183" s="285" t="s">
        <v>186</v>
      </c>
      <c r="F183" s="13" t="s">
        <v>1200</v>
      </c>
      <c r="G183" s="13" t="s">
        <v>1134</v>
      </c>
      <c r="H183" s="13"/>
      <c r="I183" s="13" t="s">
        <v>2612</v>
      </c>
      <c r="J183" s="13" t="s">
        <v>2613</v>
      </c>
      <c r="K183" s="284">
        <v>45104</v>
      </c>
      <c r="L183" s="283" t="str">
        <f t="shared" si="30"/>
        <v>-</v>
      </c>
      <c r="M183" s="283" t="str">
        <f t="shared" si="31"/>
        <v>-</v>
      </c>
      <c r="N183" s="283" t="str">
        <f t="shared" si="32"/>
        <v>-</v>
      </c>
      <c r="O183" s="283" t="str">
        <f t="shared" si="33"/>
        <v>-</v>
      </c>
      <c r="P183" s="283" t="str">
        <f t="shared" si="34"/>
        <v>-</v>
      </c>
      <c r="Q183" s="283" t="str">
        <f t="shared" si="35"/>
        <v>-</v>
      </c>
      <c r="R183" s="283" t="str">
        <f t="shared" si="36"/>
        <v>-</v>
      </c>
      <c r="S183" s="283" t="str">
        <f t="shared" si="37"/>
        <v>-</v>
      </c>
      <c r="T183" s="283" t="str">
        <f t="shared" si="38"/>
        <v>-</v>
      </c>
      <c r="U183" s="283" t="str">
        <f t="shared" si="39"/>
        <v>-</v>
      </c>
      <c r="V183" s="283" t="str">
        <f t="shared" si="40"/>
        <v>-</v>
      </c>
      <c r="W183" s="1" t="str">
        <f t="shared" si="41"/>
        <v>https://jakarta.bps.go.id/subject/52/produk-domestik-regional-bruto-lapangan-usaha-.html#subjekViewTab5.html/</v>
      </c>
      <c r="X183" s="1" t="str">
        <f t="shared" si="42"/>
        <v>https://jakarta.bps.go.id/</v>
      </c>
      <c r="Y183" s="1" t="str">
        <f t="shared" si="43"/>
        <v>優先3</v>
      </c>
      <c r="Z183" s="1" t="str">
        <f t="shared" si="44"/>
        <v>Badan Pusat Statistik - Statistics Indonesia, Indonesia government. "Laju Pertumbuhan PDRB Atas Dasar Harga Konstan 2010 menurut Lapangan Usaha (Juta Rupiah)". Accessed 27 June, 2023. https://jakarta.bps.go.id/.</v>
      </c>
    </row>
    <row r="184" spans="2:26">
      <c r="B184" s="285" t="s">
        <v>213</v>
      </c>
      <c r="C184" s="285" t="s">
        <v>698</v>
      </c>
      <c r="D184" s="285" t="s">
        <v>673</v>
      </c>
      <c r="E184" s="285" t="s">
        <v>188</v>
      </c>
      <c r="F184" s="13" t="s">
        <v>1135</v>
      </c>
      <c r="G184" s="13" t="s">
        <v>1173</v>
      </c>
      <c r="H184" s="13"/>
      <c r="I184" s="13" t="s">
        <v>4041</v>
      </c>
      <c r="J184" s="13" t="s">
        <v>4042</v>
      </c>
      <c r="K184" s="284">
        <v>45110</v>
      </c>
      <c r="L184" s="283" t="str">
        <f t="shared" si="30"/>
        <v>-</v>
      </c>
      <c r="M184" s="283" t="str">
        <f t="shared" si="31"/>
        <v>-</v>
      </c>
      <c r="N184" s="283" t="str">
        <f t="shared" si="32"/>
        <v>-</v>
      </c>
      <c r="O184" s="283" t="str">
        <f t="shared" si="33"/>
        <v>-</v>
      </c>
      <c r="P184" s="283" t="str">
        <f t="shared" si="34"/>
        <v>-</v>
      </c>
      <c r="Q184" s="283" t="str">
        <f t="shared" si="35"/>
        <v>-</v>
      </c>
      <c r="R184" s="283" t="str">
        <f t="shared" si="36"/>
        <v>-</v>
      </c>
      <c r="S184" s="283" t="str">
        <f t="shared" si="37"/>
        <v>-</v>
      </c>
      <c r="T184" s="283" t="str">
        <f t="shared" si="38"/>
        <v>-</v>
      </c>
      <c r="U184" s="283" t="str">
        <f t="shared" si="39"/>
        <v>-</v>
      </c>
      <c r="V184" s="283" t="str">
        <f t="shared" si="40"/>
        <v>-</v>
      </c>
      <c r="W184" s="1" t="str">
        <f t="shared" si="41"/>
        <v>https://www.estadisticaciudad.gob.ar/eyc/?p=140859/</v>
      </c>
      <c r="X184" s="1" t="str">
        <f t="shared" si="42"/>
        <v>https://www.estadisticaciudad.gob.ar/</v>
      </c>
      <c r="Y184" s="1" t="str">
        <f t="shared" si="43"/>
        <v>優先3</v>
      </c>
      <c r="Z184" s="1" t="str">
        <f t="shared" si="44"/>
        <v>Dirección General de Estadística y Censos, Ciudad de Buenos Aires. "Anuario Estadístico de la Ciudad de Buenos Aires 2022". Accessed 03 July, 2023. https://www.estadisticaciudad.gob.ar/.</v>
      </c>
    </row>
    <row r="185" spans="2:26">
      <c r="B185" s="285" t="s">
        <v>213</v>
      </c>
      <c r="C185" s="285" t="s">
        <v>698</v>
      </c>
      <c r="D185" s="285" t="s">
        <v>673</v>
      </c>
      <c r="E185" s="285" t="s">
        <v>190</v>
      </c>
      <c r="F185" s="13" t="s">
        <v>1201</v>
      </c>
      <c r="G185" s="13" t="s">
        <v>829</v>
      </c>
      <c r="H185" s="13"/>
      <c r="I185" s="13" t="s">
        <v>1202</v>
      </c>
      <c r="J185" s="13" t="s">
        <v>4043</v>
      </c>
      <c r="K185" s="284">
        <v>45110</v>
      </c>
      <c r="L185" s="283" t="str">
        <f t="shared" si="30"/>
        <v>-</v>
      </c>
      <c r="M185" s="283" t="str">
        <f t="shared" si="31"/>
        <v>-</v>
      </c>
      <c r="N185" s="283" t="str">
        <f t="shared" si="32"/>
        <v>-</v>
      </c>
      <c r="O185" s="283" t="str">
        <f t="shared" si="33"/>
        <v>-</v>
      </c>
      <c r="P185" s="283" t="str">
        <f t="shared" si="34"/>
        <v>-</v>
      </c>
      <c r="Q185" s="283" t="str">
        <f t="shared" si="35"/>
        <v>NG</v>
      </c>
      <c r="R185" s="283" t="str">
        <f t="shared" si="36"/>
        <v>-</v>
      </c>
      <c r="S185" s="283" t="str">
        <f t="shared" si="37"/>
        <v>-</v>
      </c>
      <c r="T185" s="283" t="str">
        <f t="shared" si="38"/>
        <v>-</v>
      </c>
      <c r="U185" s="283" t="str">
        <f t="shared" si="39"/>
        <v>-</v>
      </c>
      <c r="V185" s="283" t="str">
        <f t="shared" si="40"/>
        <v>-</v>
      </c>
      <c r="W185" s="1" t="str">
        <f t="shared" si="41"/>
        <v>https://www.dsc.gov.ae/en-us/Themes/Pages/National-Accounts.aspx?Theme=24&amp;year=2021#DSC_Tab1/</v>
      </c>
      <c r="X185" s="1" t="str">
        <f t="shared" si="42"/>
        <v>https://www.dsc.gov.ae/</v>
      </c>
      <c r="Y185" s="1" t="str">
        <f t="shared" si="43"/>
        <v>優先3</v>
      </c>
      <c r="Z185" s="1" t="str">
        <f t="shared" si="44"/>
        <v>Dubai Statistic Center, Government of Dubai. "Gross Domestic Product at Constant Prices  - Emirate of Dubai". Accessed 03 July, 2023. https://www.dsc.gov.ae/.</v>
      </c>
    </row>
    <row r="186" spans="2:26">
      <c r="B186" s="285" t="s">
        <v>213</v>
      </c>
      <c r="C186" s="285" t="s">
        <v>698</v>
      </c>
      <c r="D186" s="285" t="s">
        <v>673</v>
      </c>
      <c r="E186" s="285" t="s">
        <v>371</v>
      </c>
      <c r="F186" s="13" t="s">
        <v>1205</v>
      </c>
      <c r="G186" s="13"/>
      <c r="H186" s="13"/>
      <c r="I186" s="13" t="s">
        <v>1203</v>
      </c>
      <c r="J186" s="13" t="s">
        <v>1183</v>
      </c>
      <c r="K186" s="284">
        <v>45117</v>
      </c>
      <c r="L186" s="283" t="str">
        <f t="shared" si="30"/>
        <v>-</v>
      </c>
      <c r="M186" s="283" t="str">
        <f t="shared" si="31"/>
        <v>-</v>
      </c>
      <c r="N186" s="283" t="str">
        <f t="shared" si="32"/>
        <v>-</v>
      </c>
      <c r="O186" s="283" t="str">
        <f t="shared" si="33"/>
        <v>-</v>
      </c>
      <c r="P186" s="283" t="str">
        <f t="shared" si="34"/>
        <v>NG</v>
      </c>
      <c r="Q186" s="283" t="str">
        <f t="shared" si="35"/>
        <v>-</v>
      </c>
      <c r="R186" s="283" t="str">
        <f t="shared" si="36"/>
        <v>-</v>
      </c>
      <c r="S186" s="283" t="str">
        <f t="shared" si="37"/>
        <v>-</v>
      </c>
      <c r="T186" s="283" t="str">
        <f t="shared" si="38"/>
        <v>-</v>
      </c>
      <c r="U186" s="283" t="str">
        <f t="shared" si="39"/>
        <v>-</v>
      </c>
      <c r="V186" s="283" t="str">
        <f t="shared" si="40"/>
        <v>-</v>
      </c>
      <c r="W186" s="1" t="str">
        <f t="shared" si="41"/>
        <v>https://unstats.un.org/unsd/snaama/Basic/</v>
      </c>
      <c r="X186" s="1" t="str">
        <f t="shared" si="42"/>
        <v>https://unstats.un.org/</v>
      </c>
      <c r="Y186" s="1" t="str">
        <f t="shared" si="43"/>
        <v>優先3</v>
      </c>
      <c r="Z186" s="1" t="str">
        <f t="shared" si="44"/>
        <v>Brookings Institution. "National Accounts - Analysis of Main Aggregates, "GDP, at constant 2015 prices - US Dollars" &amp; "GDP, at current prices - US Dollars"". Accessed 10 July, 2023. https://unstats.un.org/.</v>
      </c>
    </row>
    <row r="187" spans="2:26">
      <c r="B187" s="285" t="s">
        <v>213</v>
      </c>
      <c r="C187" s="285" t="s">
        <v>698</v>
      </c>
      <c r="D187" s="285" t="s">
        <v>673</v>
      </c>
      <c r="E187" s="285" t="s">
        <v>372</v>
      </c>
      <c r="F187" s="13" t="s">
        <v>747</v>
      </c>
      <c r="G187" s="13"/>
      <c r="H187" s="13"/>
      <c r="I187" s="13" t="s">
        <v>1142</v>
      </c>
      <c r="J187" s="13" t="s">
        <v>1143</v>
      </c>
      <c r="K187" s="284">
        <v>45114</v>
      </c>
      <c r="L187" s="283">
        <f t="shared" si="30"/>
        <v>2</v>
      </c>
      <c r="M187" s="283" t="str">
        <f t="shared" si="31"/>
        <v>-</v>
      </c>
      <c r="N187" s="283" t="str">
        <f t="shared" si="32"/>
        <v>-</v>
      </c>
      <c r="O187" s="283" t="str">
        <f t="shared" si="33"/>
        <v>-</v>
      </c>
      <c r="P187" s="283" t="str">
        <f t="shared" si="34"/>
        <v>-</v>
      </c>
      <c r="Q187" s="283" t="str">
        <f t="shared" si="35"/>
        <v>-</v>
      </c>
      <c r="R187" s="283" t="str">
        <f t="shared" si="36"/>
        <v>-</v>
      </c>
      <c r="S187" s="283" t="str">
        <f t="shared" si="37"/>
        <v>-</v>
      </c>
      <c r="T187" s="283" t="str">
        <f t="shared" si="38"/>
        <v>-</v>
      </c>
      <c r="U187" s="283" t="str">
        <f t="shared" si="39"/>
        <v>-</v>
      </c>
      <c r="V187" s="283" t="str">
        <f t="shared" si="40"/>
        <v>-</v>
      </c>
      <c r="W187" s="1" t="str">
        <f t="shared" si="41"/>
        <v>http://stats.oecd.org/index.aspx/</v>
      </c>
      <c r="X187" s="1" t="str">
        <f t="shared" si="42"/>
        <v>http://stats.oecd.org/</v>
      </c>
      <c r="Y187" s="1" t="str">
        <f t="shared" si="43"/>
        <v>優先3</v>
      </c>
      <c r="Z187" s="1" t="str">
        <f t="shared" si="44"/>
        <v>Organisation for Economic Co-operation and Development. "OECD Statistics - Regions and Cities". Accessed 07 July, 2023. http://stats.oecd.org/.</v>
      </c>
    </row>
    <row r="188" spans="2:26">
      <c r="B188" s="285" t="s">
        <v>213</v>
      </c>
      <c r="C188" s="285" t="s">
        <v>784</v>
      </c>
      <c r="D188" s="285" t="s">
        <v>673</v>
      </c>
      <c r="E188" s="285" t="s">
        <v>160</v>
      </c>
      <c r="F188" s="13" t="s">
        <v>817</v>
      </c>
      <c r="G188" s="13" t="s">
        <v>691</v>
      </c>
      <c r="H188" s="13"/>
      <c r="I188" s="13" t="s">
        <v>3661</v>
      </c>
      <c r="J188" s="13" t="s">
        <v>3662</v>
      </c>
      <c r="K188" s="284">
        <v>45110</v>
      </c>
      <c r="L188" s="283" t="str">
        <f t="shared" si="30"/>
        <v>-</v>
      </c>
      <c r="M188" s="283" t="str">
        <f t="shared" si="31"/>
        <v>-</v>
      </c>
      <c r="N188" s="283" t="str">
        <f t="shared" si="32"/>
        <v>-</v>
      </c>
      <c r="O188" s="283" t="str">
        <f t="shared" si="33"/>
        <v>-</v>
      </c>
      <c r="P188" s="283" t="str">
        <f t="shared" si="34"/>
        <v>-</v>
      </c>
      <c r="Q188" s="283" t="str">
        <f t="shared" si="35"/>
        <v>-</v>
      </c>
      <c r="R188" s="283" t="str">
        <f t="shared" si="36"/>
        <v>-</v>
      </c>
      <c r="S188" s="283" t="str">
        <f t="shared" si="37"/>
        <v>-</v>
      </c>
      <c r="T188" s="283" t="str">
        <f t="shared" si="38"/>
        <v>-</v>
      </c>
      <c r="U188" s="283" t="str">
        <f t="shared" si="39"/>
        <v>-</v>
      </c>
      <c r="V188" s="283" t="str">
        <f t="shared" si="40"/>
        <v>-</v>
      </c>
      <c r="W188" s="1" t="str">
        <f t="shared" si="41"/>
        <v>https://www.toukei.metro.tokyo.lg.jp/gyosoku/gy-data.htm/</v>
      </c>
      <c r="X188" s="1" t="str">
        <f t="shared" si="42"/>
        <v>https://www.toukei.metro.tokyo.lg.jp/</v>
      </c>
      <c r="Y188" s="1" t="str">
        <f t="shared" si="43"/>
        <v>優先3</v>
      </c>
      <c r="Z188" s="1" t="str">
        <f t="shared" si="44"/>
        <v>Statistics Bureau, Ministry of Internal Affairs and Communications, Government of Japan. "東京都就業者数の予測". Accessed 03 July, 2023. https://www.toukei.metro.tokyo.lg.jp/.</v>
      </c>
    </row>
    <row r="189" spans="2:26">
      <c r="B189" s="285" t="s">
        <v>213</v>
      </c>
      <c r="C189" s="285" t="s">
        <v>784</v>
      </c>
      <c r="D189" s="285" t="s">
        <v>673</v>
      </c>
      <c r="E189" s="285" t="s">
        <v>182</v>
      </c>
      <c r="F189" s="13" t="s">
        <v>885</v>
      </c>
      <c r="G189" s="13" t="s">
        <v>831</v>
      </c>
      <c r="H189" s="13"/>
      <c r="I189" s="13" t="s">
        <v>2614</v>
      </c>
      <c r="J189" s="13" t="s">
        <v>1204</v>
      </c>
      <c r="K189" s="284">
        <v>45110</v>
      </c>
      <c r="L189" s="283" t="str">
        <f t="shared" si="30"/>
        <v>-</v>
      </c>
      <c r="M189" s="283" t="str">
        <f t="shared" si="31"/>
        <v>-</v>
      </c>
      <c r="N189" s="283" t="str">
        <f t="shared" si="32"/>
        <v>-</v>
      </c>
      <c r="O189" s="283" t="str">
        <f t="shared" si="33"/>
        <v>-</v>
      </c>
      <c r="P189" s="283" t="str">
        <f t="shared" si="34"/>
        <v>-</v>
      </c>
      <c r="Q189" s="283" t="str">
        <f t="shared" si="35"/>
        <v>-</v>
      </c>
      <c r="R189" s="283" t="str">
        <f t="shared" si="36"/>
        <v>-</v>
      </c>
      <c r="S189" s="283" t="str">
        <f t="shared" si="37"/>
        <v>-</v>
      </c>
      <c r="T189" s="283" t="str">
        <f t="shared" si="38"/>
        <v>-</v>
      </c>
      <c r="U189" s="283" t="str">
        <f t="shared" si="39"/>
        <v>-</v>
      </c>
      <c r="V189" s="283" t="str">
        <f t="shared" si="40"/>
        <v>-</v>
      </c>
      <c r="W189" s="1" t="str">
        <f t="shared" si="41"/>
        <v>https://www.ibge.gov.br/estatisticas/economicas/contas-nacionais/9052-sistema-de-contas-nacionais-brasil.html?=&amp;t=resultados/</v>
      </c>
      <c r="X189" s="1" t="str">
        <f t="shared" si="42"/>
        <v>https://www.ibge.gov.br/</v>
      </c>
      <c r="Y189" s="1" t="str">
        <f t="shared" si="43"/>
        <v>優先3</v>
      </c>
      <c r="Z189" s="1" t="str">
        <f t="shared" si="44"/>
        <v>Instituto Brasileiro de Geografia e Estatística, Federative Republic of Brazil. "Sistema de Contas Nacionais - SCN". Accessed 03 July, 2023. https://www.ibge.gov.br/.</v>
      </c>
    </row>
    <row r="190" spans="2:26">
      <c r="B190" s="285" t="s">
        <v>213</v>
      </c>
      <c r="C190" s="285" t="s">
        <v>784</v>
      </c>
      <c r="D190" s="285" t="s">
        <v>673</v>
      </c>
      <c r="E190" s="285" t="s">
        <v>188</v>
      </c>
      <c r="F190" s="13" t="s">
        <v>1135</v>
      </c>
      <c r="G190" s="13" t="s">
        <v>1173</v>
      </c>
      <c r="H190" s="13"/>
      <c r="I190" s="13" t="s">
        <v>4009</v>
      </c>
      <c r="J190" s="13" t="s">
        <v>4010</v>
      </c>
      <c r="K190" s="284">
        <v>45110</v>
      </c>
      <c r="L190" s="283" t="str">
        <f t="shared" si="30"/>
        <v>-</v>
      </c>
      <c r="M190" s="283" t="str">
        <f t="shared" si="31"/>
        <v>-</v>
      </c>
      <c r="N190" s="283" t="str">
        <f t="shared" si="32"/>
        <v>-</v>
      </c>
      <c r="O190" s="283" t="str">
        <f t="shared" si="33"/>
        <v>-</v>
      </c>
      <c r="P190" s="283" t="str">
        <f t="shared" si="34"/>
        <v>-</v>
      </c>
      <c r="Q190" s="283" t="str">
        <f t="shared" si="35"/>
        <v>-</v>
      </c>
      <c r="R190" s="283" t="str">
        <f t="shared" si="36"/>
        <v>-</v>
      </c>
      <c r="S190" s="283" t="str">
        <f t="shared" si="37"/>
        <v>-</v>
      </c>
      <c r="T190" s="283" t="str">
        <f t="shared" si="38"/>
        <v>-</v>
      </c>
      <c r="U190" s="283" t="str">
        <f t="shared" si="39"/>
        <v>-</v>
      </c>
      <c r="V190" s="283" t="str">
        <f t="shared" si="40"/>
        <v>-</v>
      </c>
      <c r="W190" s="1" t="str">
        <f t="shared" si="41"/>
        <v>https://www.estadisticaciudad.gob.ar/eyc/?p=132766/</v>
      </c>
      <c r="X190" s="1" t="str">
        <f t="shared" si="42"/>
        <v>https://www.estadisticaciudad.gob.ar/</v>
      </c>
      <c r="Y190" s="1" t="str">
        <f t="shared" si="43"/>
        <v>優先3</v>
      </c>
      <c r="Z190" s="1" t="str">
        <f t="shared" si="44"/>
        <v>Dirección General de Estadística y Censos, Ciudad de Buenos Aires. "Anuario Estadístico de la Ciudad de Buenos Aires 2021". Accessed 03 July, 2023. https://www.estadisticaciudad.gob.ar/.</v>
      </c>
    </row>
    <row r="191" spans="2:26">
      <c r="B191" s="285" t="s">
        <v>213</v>
      </c>
      <c r="C191" s="285" t="s">
        <v>784</v>
      </c>
      <c r="D191" s="285" t="s">
        <v>673</v>
      </c>
      <c r="E191" s="285" t="s">
        <v>371</v>
      </c>
      <c r="F191" s="13" t="s">
        <v>1205</v>
      </c>
      <c r="G191" s="13"/>
      <c r="H191" s="13"/>
      <c r="I191" s="13" t="s">
        <v>1206</v>
      </c>
      <c r="J191" s="13" t="s">
        <v>1181</v>
      </c>
      <c r="K191" s="284">
        <v>45117</v>
      </c>
      <c r="L191" s="283" t="str">
        <f t="shared" si="30"/>
        <v>-</v>
      </c>
      <c r="M191" s="283" t="str">
        <f t="shared" si="31"/>
        <v>-</v>
      </c>
      <c r="N191" s="283" t="str">
        <f t="shared" si="32"/>
        <v>-</v>
      </c>
      <c r="O191" s="283" t="str">
        <f t="shared" si="33"/>
        <v>-</v>
      </c>
      <c r="P191" s="283" t="str">
        <f t="shared" si="34"/>
        <v>-</v>
      </c>
      <c r="Q191" s="283" t="str">
        <f t="shared" si="35"/>
        <v>-</v>
      </c>
      <c r="R191" s="283" t="str">
        <f t="shared" si="36"/>
        <v>-</v>
      </c>
      <c r="S191" s="283" t="str">
        <f t="shared" si="37"/>
        <v>-</v>
      </c>
      <c r="T191" s="283" t="str">
        <f t="shared" si="38"/>
        <v>-</v>
      </c>
      <c r="U191" s="283" t="str">
        <f t="shared" si="39"/>
        <v>-</v>
      </c>
      <c r="V191" s="283" t="str">
        <f t="shared" si="40"/>
        <v>-</v>
      </c>
      <c r="W191" s="1" t="str">
        <f t="shared" si="41"/>
        <v>https://www.brookings.edu/research/redefining-global-cities/</v>
      </c>
      <c r="X191" s="1" t="str">
        <f t="shared" si="42"/>
        <v>https://www.brookings.edu/</v>
      </c>
      <c r="Y191" s="1" t="str">
        <f t="shared" si="43"/>
        <v>優先3</v>
      </c>
      <c r="Z191" s="1" t="str">
        <f t="shared" si="44"/>
        <v>Brookings Institution. "Redefining Global Cities". Accessed 10 July, 2023. https://www.brookings.edu/.</v>
      </c>
    </row>
    <row r="192" spans="2:26">
      <c r="B192" s="285" t="s">
        <v>213</v>
      </c>
      <c r="C192" s="285" t="s">
        <v>716</v>
      </c>
      <c r="D192" s="285" t="s">
        <v>688</v>
      </c>
      <c r="E192" s="285" t="s">
        <v>688</v>
      </c>
      <c r="F192" s="13" t="s">
        <v>3664</v>
      </c>
      <c r="G192" s="13"/>
      <c r="H192" s="13"/>
      <c r="I192" s="13" t="s">
        <v>3665</v>
      </c>
      <c r="J192" s="13" t="s">
        <v>3666</v>
      </c>
      <c r="K192" s="284">
        <v>45104</v>
      </c>
      <c r="L192" s="283" t="str">
        <f t="shared" si="30"/>
        <v>-</v>
      </c>
      <c r="M192" s="283" t="str">
        <f t="shared" si="31"/>
        <v>-</v>
      </c>
      <c r="N192" s="283" t="str">
        <f t="shared" si="32"/>
        <v>-</v>
      </c>
      <c r="O192" s="283" t="str">
        <f t="shared" si="33"/>
        <v>-</v>
      </c>
      <c r="P192" s="283" t="str">
        <f t="shared" si="34"/>
        <v>-</v>
      </c>
      <c r="Q192" s="283" t="str">
        <f t="shared" si="35"/>
        <v>-</v>
      </c>
      <c r="R192" s="283" t="str">
        <f t="shared" si="36"/>
        <v>-</v>
      </c>
      <c r="S192" s="283" t="str">
        <f t="shared" si="37"/>
        <v>-</v>
      </c>
      <c r="T192" s="283" t="str">
        <f t="shared" si="38"/>
        <v>-</v>
      </c>
      <c r="U192" s="283" t="str">
        <f t="shared" si="39"/>
        <v>-</v>
      </c>
      <c r="V192" s="283" t="str">
        <f t="shared" si="40"/>
        <v>-</v>
      </c>
      <c r="W192" s="1" t="str">
        <f t="shared" si="41"/>
        <v>https://databank.worldbank.org/source/world-development-indicators/preview/on#/</v>
      </c>
      <c r="X192" s="1" t="str">
        <f t="shared" si="42"/>
        <v>https://databank.worldbank.org/</v>
      </c>
      <c r="Y192" s="1" t="str">
        <f t="shared" si="43"/>
        <v>優先2②</v>
      </c>
      <c r="Z192" s="1" t="str">
        <f t="shared" si="44"/>
        <v>World Bank,Organisation for Economic Co-operation and Development. "World Bank national accounts data, and OECD National Accounts data files.". Accessed 27 June, 2023. https://databank.worldbank.org/.</v>
      </c>
    </row>
    <row r="193" spans="2:26">
      <c r="B193" s="285" t="s">
        <v>214</v>
      </c>
      <c r="C193" s="285" t="s">
        <v>464</v>
      </c>
      <c r="D193" s="285" t="s">
        <v>688</v>
      </c>
      <c r="E193" s="285" t="s">
        <v>688</v>
      </c>
      <c r="F193" s="13" t="s">
        <v>1207</v>
      </c>
      <c r="G193" s="13"/>
      <c r="H193" s="13"/>
      <c r="I193" s="13" t="s">
        <v>4044</v>
      </c>
      <c r="J193" s="13" t="s">
        <v>1209</v>
      </c>
      <c r="K193" s="284">
        <v>45065</v>
      </c>
      <c r="L193" s="283" t="str">
        <f t="shared" si="30"/>
        <v>-</v>
      </c>
      <c r="M193" s="283" t="str">
        <f t="shared" si="31"/>
        <v>-</v>
      </c>
      <c r="N193" s="283" t="str">
        <f t="shared" si="32"/>
        <v>-</v>
      </c>
      <c r="O193" s="283" t="str">
        <f t="shared" si="33"/>
        <v>-</v>
      </c>
      <c r="P193" s="283" t="str">
        <f t="shared" si="34"/>
        <v>-</v>
      </c>
      <c r="Q193" s="283" t="str">
        <f t="shared" si="35"/>
        <v>-</v>
      </c>
      <c r="R193" s="283" t="str">
        <f t="shared" si="36"/>
        <v>-</v>
      </c>
      <c r="S193" s="283" t="str">
        <f t="shared" si="37"/>
        <v>-</v>
      </c>
      <c r="T193" s="283" t="str">
        <f t="shared" si="38"/>
        <v>-</v>
      </c>
      <c r="U193" s="283" t="str">
        <f t="shared" si="39"/>
        <v>-</v>
      </c>
      <c r="V193" s="283" t="str">
        <f t="shared" si="40"/>
        <v>-</v>
      </c>
      <c r="W193" s="1" t="str">
        <f t="shared" si="41"/>
        <v>https://www.heritage.org/index/download/</v>
      </c>
      <c r="X193" s="1" t="str">
        <f t="shared" si="42"/>
        <v>https://www.heritage.org/</v>
      </c>
      <c r="Y193" s="1" t="str">
        <f t="shared" si="43"/>
        <v>優先1</v>
      </c>
      <c r="Z193" s="1" t="str">
        <f t="shared" si="44"/>
        <v>The Heritage Foundation. "2023 Index of Economic Freedom". Accessed 19 May, 2023. https://www.heritage.org/.</v>
      </c>
    </row>
    <row r="194" spans="2:26">
      <c r="B194" s="285" t="s">
        <v>215</v>
      </c>
      <c r="C194" s="285" t="s">
        <v>464</v>
      </c>
      <c r="D194" s="285" t="s">
        <v>688</v>
      </c>
      <c r="E194" s="285" t="s">
        <v>688</v>
      </c>
      <c r="F194" s="13" t="s">
        <v>3667</v>
      </c>
      <c r="G194" s="13"/>
      <c r="H194" s="13"/>
      <c r="I194" s="13" t="s">
        <v>4045</v>
      </c>
      <c r="J194" s="13" t="s">
        <v>4046</v>
      </c>
      <c r="K194" s="284">
        <v>45125</v>
      </c>
      <c r="L194" s="283" t="str">
        <f t="shared" si="30"/>
        <v>-</v>
      </c>
      <c r="M194" s="283" t="str">
        <f t="shared" si="31"/>
        <v>-</v>
      </c>
      <c r="N194" s="283" t="str">
        <f t="shared" si="32"/>
        <v>-</v>
      </c>
      <c r="O194" s="283" t="str">
        <f t="shared" si="33"/>
        <v>-</v>
      </c>
      <c r="P194" s="283" t="str">
        <f t="shared" si="34"/>
        <v>-</v>
      </c>
      <c r="Q194" s="283" t="str">
        <f t="shared" si="35"/>
        <v>-</v>
      </c>
      <c r="R194" s="283" t="str">
        <f t="shared" si="36"/>
        <v>-</v>
      </c>
      <c r="S194" s="283" t="str">
        <f t="shared" si="37"/>
        <v>-</v>
      </c>
      <c r="T194" s="283" t="str">
        <f t="shared" si="38"/>
        <v>-</v>
      </c>
      <c r="U194" s="283" t="str">
        <f t="shared" si="39"/>
        <v>-</v>
      </c>
      <c r="V194" s="283" t="str">
        <f t="shared" si="40"/>
        <v>-</v>
      </c>
      <c r="W194" s="1" t="str">
        <f t="shared" si="41"/>
        <v>https://statistics.world-exchanges.org/ReportGenerator/Generator/</v>
      </c>
      <c r="X194" s="1" t="str">
        <f t="shared" si="42"/>
        <v>https://statistics.world-exchanges.org/</v>
      </c>
      <c r="Y194" s="1" t="str">
        <f t="shared" si="43"/>
        <v>優先1</v>
      </c>
      <c r="Z194" s="1" t="str">
        <f t="shared" si="44"/>
        <v>World Federation of Exchanges. "Statistics Portal - Report Generator". Accessed 18 July, 2023. https://statistics.world-exchanges.org/.</v>
      </c>
    </row>
    <row r="195" spans="2:26">
      <c r="B195" s="285" t="s">
        <v>215</v>
      </c>
      <c r="C195" s="285" t="s">
        <v>784</v>
      </c>
      <c r="D195" s="285"/>
      <c r="E195" s="285" t="s">
        <v>110</v>
      </c>
      <c r="F195" s="13" t="s">
        <v>1004</v>
      </c>
      <c r="G195" s="13"/>
      <c r="H195" s="13"/>
      <c r="I195" s="13" t="s">
        <v>1210</v>
      </c>
      <c r="J195" s="13" t="s">
        <v>1211</v>
      </c>
      <c r="K195" s="284">
        <v>45079</v>
      </c>
      <c r="L195" s="283">
        <f t="shared" si="30"/>
        <v>4</v>
      </c>
      <c r="M195" s="283" t="str">
        <f t="shared" si="31"/>
        <v>-</v>
      </c>
      <c r="N195" s="283" t="str">
        <f t="shared" si="32"/>
        <v>-</v>
      </c>
      <c r="O195" s="283" t="str">
        <f t="shared" si="33"/>
        <v>-</v>
      </c>
      <c r="P195" s="283" t="str">
        <f t="shared" si="34"/>
        <v>-</v>
      </c>
      <c r="Q195" s="283" t="str">
        <f t="shared" si="35"/>
        <v>-</v>
      </c>
      <c r="R195" s="283" t="str">
        <f t="shared" si="36"/>
        <v>-</v>
      </c>
      <c r="S195" s="283" t="str">
        <f t="shared" si="37"/>
        <v>-</v>
      </c>
      <c r="T195" s="283" t="str">
        <f t="shared" si="38"/>
        <v>-</v>
      </c>
      <c r="U195" s="283" t="str">
        <f t="shared" si="39"/>
        <v>-</v>
      </c>
      <c r="V195" s="283" t="str">
        <f t="shared" si="40"/>
        <v>-</v>
      </c>
      <c r="W195" s="1" t="str">
        <f t="shared" si="41"/>
        <v>https://live.euronext.com/en/resources/statistics/nextmonth-cash/</v>
      </c>
      <c r="X195" s="1" t="str">
        <f t="shared" si="42"/>
        <v>https://live.euronext.com/</v>
      </c>
      <c r="Y195" s="1" t="str">
        <f t="shared" si="43"/>
        <v>優先3</v>
      </c>
      <c r="Z195" s="1" t="str">
        <f t="shared" si="44"/>
        <v>Euronext. "Cash markets - Monthly reports". Accessed 02 June, 2023. https://live.euronext.com/.</v>
      </c>
    </row>
    <row r="196" spans="2:26">
      <c r="B196" s="285" t="s">
        <v>215</v>
      </c>
      <c r="C196" s="285" t="s">
        <v>784</v>
      </c>
      <c r="D196" s="285"/>
      <c r="E196" s="285" t="s">
        <v>112</v>
      </c>
      <c r="F196" s="13" t="s">
        <v>1004</v>
      </c>
      <c r="G196" s="13"/>
      <c r="H196" s="13"/>
      <c r="I196" s="13" t="s">
        <v>1210</v>
      </c>
      <c r="J196" s="13" t="s">
        <v>1211</v>
      </c>
      <c r="K196" s="284">
        <v>45079</v>
      </c>
      <c r="L196" s="283">
        <f t="shared" si="30"/>
        <v>4</v>
      </c>
      <c r="M196" s="283" t="str">
        <f t="shared" si="31"/>
        <v>-</v>
      </c>
      <c r="N196" s="283" t="str">
        <f t="shared" si="32"/>
        <v>-</v>
      </c>
      <c r="O196" s="283" t="str">
        <f t="shared" si="33"/>
        <v>-</v>
      </c>
      <c r="P196" s="283" t="str">
        <f t="shared" si="34"/>
        <v>-</v>
      </c>
      <c r="Q196" s="283" t="str">
        <f t="shared" si="35"/>
        <v>-</v>
      </c>
      <c r="R196" s="283" t="str">
        <f t="shared" si="36"/>
        <v>-</v>
      </c>
      <c r="S196" s="283" t="str">
        <f t="shared" si="37"/>
        <v>-</v>
      </c>
      <c r="T196" s="283" t="str">
        <f t="shared" si="38"/>
        <v>-</v>
      </c>
      <c r="U196" s="283" t="str">
        <f t="shared" si="39"/>
        <v>-</v>
      </c>
      <c r="V196" s="283" t="str">
        <f t="shared" si="40"/>
        <v>-</v>
      </c>
      <c r="W196" s="1" t="str">
        <f t="shared" si="41"/>
        <v>https://live.euronext.com/en/resources/statistics/nextmonth-cash/</v>
      </c>
      <c r="X196" s="1" t="str">
        <f t="shared" si="42"/>
        <v>https://live.euronext.com/</v>
      </c>
      <c r="Y196" s="1" t="str">
        <f t="shared" si="43"/>
        <v>優先3</v>
      </c>
      <c r="Z196" s="1" t="str">
        <f t="shared" si="44"/>
        <v>Euronext. "Cash markets - Monthly reports". Accessed 02 June, 2023. https://live.euronext.com/.</v>
      </c>
    </row>
    <row r="197" spans="2:26">
      <c r="B197" s="285" t="s">
        <v>215</v>
      </c>
      <c r="C197" s="285" t="s">
        <v>784</v>
      </c>
      <c r="D197" s="285"/>
      <c r="E197" s="285" t="s">
        <v>114</v>
      </c>
      <c r="F197" s="13" t="s">
        <v>1004</v>
      </c>
      <c r="G197" s="13"/>
      <c r="H197" s="13"/>
      <c r="I197" s="13" t="s">
        <v>1210</v>
      </c>
      <c r="J197" s="13" t="s">
        <v>1211</v>
      </c>
      <c r="K197" s="284">
        <v>45079</v>
      </c>
      <c r="L197" s="283">
        <f t="shared" si="30"/>
        <v>4</v>
      </c>
      <c r="M197" s="283" t="str">
        <f t="shared" si="31"/>
        <v>-</v>
      </c>
      <c r="N197" s="283" t="str">
        <f t="shared" si="32"/>
        <v>-</v>
      </c>
      <c r="O197" s="283" t="str">
        <f t="shared" si="33"/>
        <v>-</v>
      </c>
      <c r="P197" s="283" t="str">
        <f t="shared" si="34"/>
        <v>-</v>
      </c>
      <c r="Q197" s="283" t="str">
        <f t="shared" si="35"/>
        <v>-</v>
      </c>
      <c r="R197" s="283" t="str">
        <f t="shared" si="36"/>
        <v>-</v>
      </c>
      <c r="S197" s="283" t="str">
        <f t="shared" si="37"/>
        <v>-</v>
      </c>
      <c r="T197" s="283" t="str">
        <f t="shared" si="38"/>
        <v>-</v>
      </c>
      <c r="U197" s="283" t="str">
        <f t="shared" si="39"/>
        <v>-</v>
      </c>
      <c r="V197" s="283" t="str">
        <f t="shared" si="40"/>
        <v>-</v>
      </c>
      <c r="W197" s="1" t="str">
        <f t="shared" si="41"/>
        <v>https://live.euronext.com/en/resources/statistics/nextmonth-cash/</v>
      </c>
      <c r="X197" s="1" t="str">
        <f t="shared" si="42"/>
        <v>https://live.euronext.com/</v>
      </c>
      <c r="Y197" s="1" t="str">
        <f t="shared" si="43"/>
        <v>優先3</v>
      </c>
      <c r="Z197" s="1" t="str">
        <f t="shared" si="44"/>
        <v>Euronext. "Cash markets - Monthly reports". Accessed 02 June, 2023. https://live.euronext.com/.</v>
      </c>
    </row>
    <row r="198" spans="2:26">
      <c r="B198" s="285" t="s">
        <v>215</v>
      </c>
      <c r="C198" s="285" t="s">
        <v>784</v>
      </c>
      <c r="D198" s="285"/>
      <c r="E198" s="285" t="s">
        <v>126</v>
      </c>
      <c r="F198" s="13" t="s">
        <v>1212</v>
      </c>
      <c r="G198" s="13"/>
      <c r="H198" s="13"/>
      <c r="I198" s="13" t="s">
        <v>4047</v>
      </c>
      <c r="J198" s="13" t="s">
        <v>2615</v>
      </c>
      <c r="K198" s="284">
        <v>45079</v>
      </c>
      <c r="L198" s="283">
        <f t="shared" ref="L198:L261" si="45">IF(COUNTIFS(B:B,B198,I:I,I198,X:X,X198)&lt;=1,"-",COUNTIFS(B:B,B198,I:I,I198,X:X,X198))</f>
        <v>3</v>
      </c>
      <c r="M198" s="283" t="str">
        <f t="shared" ref="M198:M261" si="46">IF(I198="","書籍","-")</f>
        <v>-</v>
      </c>
      <c r="N198" s="283" t="str">
        <f t="shared" ref="N198:N261" si="47">IF(OR(COUNTIF($F198,"*(*"),COUNTIF($G198,"*(*"),COUNTIF($H198,"*(*")),"NG","-")</f>
        <v>-</v>
      </c>
      <c r="O198" s="283" t="str">
        <f t="shared" ref="O198:O261" si="48">IF(COUNTIF($Z198,"*..*"),"NG","-")</f>
        <v>-</v>
      </c>
      <c r="P198" s="283" t="str">
        <f t="shared" ref="P198:P261" si="49">IF(COUNTIF($Z198,"*""""*"),"NG","-")</f>
        <v>-</v>
      </c>
      <c r="Q198" s="283" t="str">
        <f t="shared" ref="Q198:Q261" si="50">IF(COUNTIF($Z198,"*  *"),"NG","-")</f>
        <v>-</v>
      </c>
      <c r="R198" s="283" t="str">
        <f t="shared" ref="R198:R261" si="51">IF(COUNTIF($Z198,"*　*"),"NG","-")</f>
        <v>-</v>
      </c>
      <c r="S198" s="283" t="str">
        <f t="shared" ref="S198:S261" si="52">IF(COUNTIF($Z198,"*（*"),"NG","-")</f>
        <v>-</v>
      </c>
      <c r="T198" s="283" t="str">
        <f t="shared" ref="T198:T261" si="53">IF(COUNTIF($Z198,"*(*"),IF(COUNTIF($Z198,"* (*"),"-","NG"),"-")</f>
        <v>-</v>
      </c>
      <c r="U198" s="283" t="str">
        <f t="shared" ref="U198:U261" si="54">IF(OR(LEFT(F198,1)=" ",LEFT(G198,1)=" ",LEFT(H198,1)=" ",LEFT(I198,1)=" ",LEFT(J198,1)=" "),"NG","-")</f>
        <v>-</v>
      </c>
      <c r="V198" s="283" t="str">
        <f t="shared" ref="V198:V261" si="55">IF(OR(RIGHT(F198,1)=" ",RIGHT(G198,1)=" ",RIGHT(H198,1)=" ",RIGHT(I198,1)=" ",RIGHT(J198,1)=" "),"NG","-")</f>
        <v>-</v>
      </c>
      <c r="W198" s="1" t="str">
        <f t="shared" ref="W198:W261" si="56">IF(J198="","",IF(RIGHT(J198,1)="/",J198,J198&amp;"/"))</f>
        <v>http://www.nasdaqomxnordic.com/news/statistics/</v>
      </c>
      <c r="X198" s="1" t="str">
        <f t="shared" ref="X198:X261" si="57">IF(W198="","",LEFT(W198,FIND("/",W198,FIND("/",W198,FIND("/", W198)+1)+1)))</f>
        <v>http://www.nasdaqomxnordic.com/</v>
      </c>
      <c r="Y198" s="1" t="str">
        <f t="shared" ref="Y198:Y261" si="58">IF(AND(C198="-",D198="共通"),"優先1",IF(OR(COUNTIF(C198,"*補助*"),D198&lt;&gt;"共通"),"優先3","優先2"&amp;C198))</f>
        <v>優先3</v>
      </c>
      <c r="Z198" s="1" t="str">
        <f t="shared" ref="Z198:Z261" si="59">IF(X198="",F198,CONCATENATE(IF(F198="",G198,IF(G198="",F198,F198&amp;", "&amp;G198)),IF(H198="",". "," ["&amp;H198&amp;"]. "),"""",I198,""". ","Accessed ",TEXT(K198,"dd mmmm, yyyy"),". ",X198,"."))</f>
        <v>Nasdaq. "Monthly Report - Total Equity Trading December 2022". Accessed 02 June, 2023. http://www.nasdaqomxnordic.com/.</v>
      </c>
    </row>
    <row r="199" spans="2:26">
      <c r="B199" s="285" t="s">
        <v>215</v>
      </c>
      <c r="C199" s="285" t="s">
        <v>784</v>
      </c>
      <c r="D199" s="285"/>
      <c r="E199" s="285" t="s">
        <v>130</v>
      </c>
      <c r="F199" s="13" t="s">
        <v>1212</v>
      </c>
      <c r="G199" s="13"/>
      <c r="H199" s="13"/>
      <c r="I199" s="13" t="s">
        <v>4047</v>
      </c>
      <c r="J199" s="13" t="s">
        <v>2615</v>
      </c>
      <c r="K199" s="284">
        <v>45079</v>
      </c>
      <c r="L199" s="283">
        <f t="shared" si="45"/>
        <v>3</v>
      </c>
      <c r="M199" s="283" t="str">
        <f t="shared" si="46"/>
        <v>-</v>
      </c>
      <c r="N199" s="283" t="str">
        <f t="shared" si="47"/>
        <v>-</v>
      </c>
      <c r="O199" s="283" t="str">
        <f t="shared" si="48"/>
        <v>-</v>
      </c>
      <c r="P199" s="283" t="str">
        <f t="shared" si="49"/>
        <v>-</v>
      </c>
      <c r="Q199" s="283" t="str">
        <f t="shared" si="50"/>
        <v>-</v>
      </c>
      <c r="R199" s="283" t="str">
        <f t="shared" si="51"/>
        <v>-</v>
      </c>
      <c r="S199" s="283" t="str">
        <f t="shared" si="52"/>
        <v>-</v>
      </c>
      <c r="T199" s="283" t="str">
        <f t="shared" si="53"/>
        <v>-</v>
      </c>
      <c r="U199" s="283" t="str">
        <f t="shared" si="54"/>
        <v>-</v>
      </c>
      <c r="V199" s="283" t="str">
        <f t="shared" si="55"/>
        <v>-</v>
      </c>
      <c r="W199" s="1" t="str">
        <f t="shared" si="56"/>
        <v>http://www.nasdaqomxnordic.com/news/statistics/</v>
      </c>
      <c r="X199" s="1" t="str">
        <f t="shared" si="57"/>
        <v>http://www.nasdaqomxnordic.com/</v>
      </c>
      <c r="Y199" s="1" t="str">
        <f t="shared" si="58"/>
        <v>優先3</v>
      </c>
      <c r="Z199" s="1" t="str">
        <f t="shared" si="59"/>
        <v>Nasdaq. "Monthly Report - Total Equity Trading December 2022". Accessed 02 June, 2023. http://www.nasdaqomxnordic.com/.</v>
      </c>
    </row>
    <row r="200" spans="2:26">
      <c r="B200" s="285" t="s">
        <v>215</v>
      </c>
      <c r="C200" s="285" t="s">
        <v>784</v>
      </c>
      <c r="D200" s="285"/>
      <c r="E200" s="285" t="s">
        <v>369</v>
      </c>
      <c r="F200" s="13" t="s">
        <v>1004</v>
      </c>
      <c r="G200" s="13"/>
      <c r="H200" s="13"/>
      <c r="I200" s="13" t="s">
        <v>1210</v>
      </c>
      <c r="J200" s="13" t="s">
        <v>1211</v>
      </c>
      <c r="K200" s="284">
        <v>45079</v>
      </c>
      <c r="L200" s="283">
        <f t="shared" si="45"/>
        <v>4</v>
      </c>
      <c r="M200" s="283" t="str">
        <f t="shared" si="46"/>
        <v>-</v>
      </c>
      <c r="N200" s="283" t="str">
        <f t="shared" si="47"/>
        <v>-</v>
      </c>
      <c r="O200" s="283" t="str">
        <f t="shared" si="48"/>
        <v>-</v>
      </c>
      <c r="P200" s="283" t="str">
        <f t="shared" si="49"/>
        <v>-</v>
      </c>
      <c r="Q200" s="283" t="str">
        <f t="shared" si="50"/>
        <v>-</v>
      </c>
      <c r="R200" s="283" t="str">
        <f t="shared" si="51"/>
        <v>-</v>
      </c>
      <c r="S200" s="283" t="str">
        <f t="shared" si="52"/>
        <v>-</v>
      </c>
      <c r="T200" s="283" t="str">
        <f t="shared" si="53"/>
        <v>-</v>
      </c>
      <c r="U200" s="283" t="str">
        <f t="shared" si="54"/>
        <v>-</v>
      </c>
      <c r="V200" s="283" t="str">
        <f t="shared" si="55"/>
        <v>-</v>
      </c>
      <c r="W200" s="1" t="str">
        <f t="shared" si="56"/>
        <v>https://live.euronext.com/en/resources/statistics/nextmonth-cash/</v>
      </c>
      <c r="X200" s="1" t="str">
        <f t="shared" si="57"/>
        <v>https://live.euronext.com/</v>
      </c>
      <c r="Y200" s="1" t="str">
        <f t="shared" si="58"/>
        <v>優先3</v>
      </c>
      <c r="Z200" s="1" t="str">
        <f t="shared" si="59"/>
        <v>Euronext. "Cash markets - Monthly reports". Accessed 02 June, 2023. https://live.euronext.com/.</v>
      </c>
    </row>
    <row r="201" spans="2:26">
      <c r="B201" s="285" t="s">
        <v>215</v>
      </c>
      <c r="C201" s="285" t="s">
        <v>784</v>
      </c>
      <c r="D201" s="285"/>
      <c r="E201" s="285" t="s">
        <v>370</v>
      </c>
      <c r="F201" s="13" t="s">
        <v>1212</v>
      </c>
      <c r="G201" s="13"/>
      <c r="H201" s="13"/>
      <c r="I201" s="13" t="s">
        <v>4047</v>
      </c>
      <c r="J201" s="13" t="s">
        <v>2615</v>
      </c>
      <c r="K201" s="284">
        <v>45079</v>
      </c>
      <c r="L201" s="283">
        <f t="shared" si="45"/>
        <v>3</v>
      </c>
      <c r="M201" s="283" t="str">
        <f t="shared" si="46"/>
        <v>-</v>
      </c>
      <c r="N201" s="283" t="str">
        <f t="shared" si="47"/>
        <v>-</v>
      </c>
      <c r="O201" s="283" t="str">
        <f t="shared" si="48"/>
        <v>-</v>
      </c>
      <c r="P201" s="283" t="str">
        <f t="shared" si="49"/>
        <v>-</v>
      </c>
      <c r="Q201" s="283" t="str">
        <f t="shared" si="50"/>
        <v>-</v>
      </c>
      <c r="R201" s="283" t="str">
        <f t="shared" si="51"/>
        <v>-</v>
      </c>
      <c r="S201" s="283" t="str">
        <f t="shared" si="52"/>
        <v>-</v>
      </c>
      <c r="T201" s="283" t="str">
        <f t="shared" si="53"/>
        <v>-</v>
      </c>
      <c r="U201" s="283" t="str">
        <f t="shared" si="54"/>
        <v>-</v>
      </c>
      <c r="V201" s="283" t="str">
        <f t="shared" si="55"/>
        <v>-</v>
      </c>
      <c r="W201" s="1" t="str">
        <f t="shared" si="56"/>
        <v>http://www.nasdaqomxnordic.com/news/statistics/</v>
      </c>
      <c r="X201" s="1" t="str">
        <f t="shared" si="57"/>
        <v>http://www.nasdaqomxnordic.com/</v>
      </c>
      <c r="Y201" s="1" t="str">
        <f t="shared" si="58"/>
        <v>優先3</v>
      </c>
      <c r="Z201" s="1" t="str">
        <f t="shared" si="59"/>
        <v>Nasdaq. "Monthly Report - Total Equity Trading December 2022". Accessed 02 June, 2023. http://www.nasdaqomxnordic.com/.</v>
      </c>
    </row>
    <row r="202" spans="2:26">
      <c r="B202" s="285" t="s">
        <v>216</v>
      </c>
      <c r="C202" s="285" t="s">
        <v>464</v>
      </c>
      <c r="D202" s="285" t="s">
        <v>688</v>
      </c>
      <c r="E202" s="285" t="s">
        <v>688</v>
      </c>
      <c r="F202" s="13" t="s">
        <v>1003</v>
      </c>
      <c r="G202" s="13"/>
      <c r="H202" s="13"/>
      <c r="I202" s="13" t="s">
        <v>4048</v>
      </c>
      <c r="J202" s="13" t="s">
        <v>2616</v>
      </c>
      <c r="K202" s="284">
        <v>45162</v>
      </c>
      <c r="L202" s="283" t="str">
        <f t="shared" si="45"/>
        <v>-</v>
      </c>
      <c r="M202" s="283" t="str">
        <f t="shared" si="46"/>
        <v>-</v>
      </c>
      <c r="N202" s="283" t="str">
        <f t="shared" si="47"/>
        <v>-</v>
      </c>
      <c r="O202" s="283" t="str">
        <f t="shared" si="48"/>
        <v>-</v>
      </c>
      <c r="P202" s="283" t="str">
        <f t="shared" si="49"/>
        <v>-</v>
      </c>
      <c r="Q202" s="283" t="str">
        <f t="shared" si="50"/>
        <v>-</v>
      </c>
      <c r="R202" s="283" t="str">
        <f t="shared" si="51"/>
        <v>-</v>
      </c>
      <c r="S202" s="283" t="str">
        <f t="shared" si="52"/>
        <v>-</v>
      </c>
      <c r="T202" s="283" t="str">
        <f t="shared" si="53"/>
        <v>-</v>
      </c>
      <c r="U202" s="283" t="str">
        <f t="shared" si="54"/>
        <v>-</v>
      </c>
      <c r="V202" s="283" t="str">
        <f t="shared" si="55"/>
        <v>-</v>
      </c>
      <c r="W202" s="1" t="str">
        <f t="shared" si="56"/>
        <v>https://fortune.com/data-store/</v>
      </c>
      <c r="X202" s="1" t="str">
        <f t="shared" si="57"/>
        <v>https://fortune.com/</v>
      </c>
      <c r="Y202" s="1" t="str">
        <f t="shared" si="58"/>
        <v>優先1</v>
      </c>
      <c r="Z202" s="1" t="str">
        <f t="shared" si="59"/>
        <v>Fortune. "2023 Fortune Global 500". Accessed 24 August, 2023. https://fortune.com/.</v>
      </c>
    </row>
    <row r="203" spans="2:26">
      <c r="B203" s="285" t="s">
        <v>217</v>
      </c>
      <c r="C203" s="285" t="s">
        <v>464</v>
      </c>
      <c r="D203" s="285" t="s">
        <v>673</v>
      </c>
      <c r="E203" s="285" t="s">
        <v>105</v>
      </c>
      <c r="F203" s="13"/>
      <c r="G203" s="13" t="s">
        <v>732</v>
      </c>
      <c r="H203" s="13"/>
      <c r="I203" s="13" t="s">
        <v>4049</v>
      </c>
      <c r="J203" s="13" t="s">
        <v>1213</v>
      </c>
      <c r="K203" s="284">
        <v>45063</v>
      </c>
      <c r="L203" s="283" t="str">
        <f t="shared" si="45"/>
        <v>-</v>
      </c>
      <c r="M203" s="283" t="str">
        <f t="shared" si="46"/>
        <v>-</v>
      </c>
      <c r="N203" s="283" t="str">
        <f t="shared" si="47"/>
        <v>-</v>
      </c>
      <c r="O203" s="283" t="str">
        <f t="shared" si="48"/>
        <v>-</v>
      </c>
      <c r="P203" s="283" t="str">
        <f t="shared" si="49"/>
        <v>-</v>
      </c>
      <c r="Q203" s="283" t="str">
        <f t="shared" si="50"/>
        <v>-</v>
      </c>
      <c r="R203" s="283" t="str">
        <f t="shared" si="51"/>
        <v>-</v>
      </c>
      <c r="S203" s="283" t="str">
        <f t="shared" si="52"/>
        <v>-</v>
      </c>
      <c r="T203" s="283" t="str">
        <f t="shared" si="53"/>
        <v>-</v>
      </c>
      <c r="U203" s="283" t="str">
        <f t="shared" si="54"/>
        <v>-</v>
      </c>
      <c r="V203" s="283" t="str">
        <f t="shared" si="55"/>
        <v>-</v>
      </c>
      <c r="W203" s="1" t="str">
        <f t="shared" si="56"/>
        <v>http://www-2.munimadrid.es/CSE6/control/seleccionDatos?numSerie=9030202042/</v>
      </c>
      <c r="X203" s="1" t="str">
        <f t="shared" si="57"/>
        <v>http://www-2.munimadrid.es/</v>
      </c>
      <c r="Y203" s="1" t="str">
        <f t="shared" si="58"/>
        <v>優先3</v>
      </c>
      <c r="Z203" s="1" t="str">
        <f t="shared" si="59"/>
        <v>Ayuntamiento de Madrid. "Población activa según Sector de actividad económica. Ciudad de Madrid". Accessed 17 May, 2023. http://www-2.munimadrid.es/.</v>
      </c>
    </row>
    <row r="204" spans="2:26">
      <c r="B204" s="285" t="s">
        <v>217</v>
      </c>
      <c r="C204" s="285" t="s">
        <v>464</v>
      </c>
      <c r="D204" s="285" t="s">
        <v>673</v>
      </c>
      <c r="E204" s="285" t="s">
        <v>106</v>
      </c>
      <c r="F204" s="13" t="s">
        <v>1214</v>
      </c>
      <c r="G204" s="13"/>
      <c r="H204" s="13"/>
      <c r="I204" s="13" t="s">
        <v>1215</v>
      </c>
      <c r="J204" s="13" t="s">
        <v>4050</v>
      </c>
      <c r="K204" s="284">
        <v>45063</v>
      </c>
      <c r="L204" s="283" t="str">
        <f t="shared" si="45"/>
        <v>-</v>
      </c>
      <c r="M204" s="283" t="str">
        <f t="shared" si="46"/>
        <v>-</v>
      </c>
      <c r="N204" s="283" t="str">
        <f t="shared" si="47"/>
        <v>-</v>
      </c>
      <c r="O204" s="283" t="str">
        <f t="shared" si="48"/>
        <v>-</v>
      </c>
      <c r="P204" s="283" t="str">
        <f t="shared" si="49"/>
        <v>-</v>
      </c>
      <c r="Q204" s="283" t="str">
        <f t="shared" si="50"/>
        <v>-</v>
      </c>
      <c r="R204" s="283" t="str">
        <f t="shared" si="51"/>
        <v>-</v>
      </c>
      <c r="S204" s="283" t="str">
        <f t="shared" si="52"/>
        <v>-</v>
      </c>
      <c r="T204" s="283" t="str">
        <f t="shared" si="53"/>
        <v>-</v>
      </c>
      <c r="U204" s="283" t="str">
        <f t="shared" si="54"/>
        <v>-</v>
      </c>
      <c r="V204" s="283" t="str">
        <f t="shared" si="55"/>
        <v>-</v>
      </c>
      <c r="W204" s="1" t="str">
        <f t="shared" si="56"/>
        <v>https://ajuntament.barcelona.cat/estadistica/angles/Estadistiques_per_temes/Treball_i_teixit_productiu/Treball/EPA/epa/pocu/evocsc.htm/</v>
      </c>
      <c r="X204" s="1" t="str">
        <f t="shared" si="57"/>
        <v>https://ajuntament.barcelona.cat/</v>
      </c>
      <c r="Y204" s="1" t="str">
        <f t="shared" si="58"/>
        <v>優先3</v>
      </c>
      <c r="Z204" s="1" t="str">
        <f t="shared" si="59"/>
        <v>Barcelona City Council. "Estadística i Difusió de Dades - Población ocupada". Accessed 17 May, 2023. https://ajuntament.barcelona.cat/.</v>
      </c>
    </row>
    <row r="205" spans="2:26">
      <c r="B205" s="285" t="s">
        <v>217</v>
      </c>
      <c r="C205" s="285" t="s">
        <v>464</v>
      </c>
      <c r="D205" s="285" t="s">
        <v>673</v>
      </c>
      <c r="E205" s="285" t="s">
        <v>108</v>
      </c>
      <c r="F205" s="13" t="s">
        <v>1216</v>
      </c>
      <c r="G205" s="13"/>
      <c r="H205" s="13"/>
      <c r="I205" s="13" t="s">
        <v>1217</v>
      </c>
      <c r="J205" s="13" t="s">
        <v>1218</v>
      </c>
      <c r="K205" s="284">
        <v>45058</v>
      </c>
      <c r="L205" s="283" t="str">
        <f t="shared" si="45"/>
        <v>-</v>
      </c>
      <c r="M205" s="283" t="str">
        <f t="shared" si="46"/>
        <v>-</v>
      </c>
      <c r="N205" s="283" t="str">
        <f t="shared" si="47"/>
        <v>-</v>
      </c>
      <c r="O205" s="283" t="str">
        <f t="shared" si="48"/>
        <v>-</v>
      </c>
      <c r="P205" s="283" t="str">
        <f t="shared" si="49"/>
        <v>-</v>
      </c>
      <c r="Q205" s="283" t="str">
        <f t="shared" si="50"/>
        <v>-</v>
      </c>
      <c r="R205" s="283" t="str">
        <f t="shared" si="51"/>
        <v>-</v>
      </c>
      <c r="S205" s="283" t="str">
        <f t="shared" si="52"/>
        <v>-</v>
      </c>
      <c r="T205" s="283" t="str">
        <f t="shared" si="53"/>
        <v>-</v>
      </c>
      <c r="U205" s="283" t="str">
        <f t="shared" si="54"/>
        <v>-</v>
      </c>
      <c r="V205" s="283" t="str">
        <f t="shared" si="55"/>
        <v>-</v>
      </c>
      <c r="W205" s="1" t="str">
        <f t="shared" si="56"/>
        <v>https://www.ons.gov.uk/employmentandlabourmarket/peopleinwork/employmentandemployeetypes/datasets/workforcejobsbyregionandindustryjobs05/</v>
      </c>
      <c r="X205" s="1" t="str">
        <f t="shared" si="57"/>
        <v>https://www.ons.gov.uk/</v>
      </c>
      <c r="Y205" s="1" t="str">
        <f t="shared" si="58"/>
        <v>優先3</v>
      </c>
      <c r="Z205" s="1" t="str">
        <f t="shared" si="59"/>
        <v>Office for National Statistcs. "Workforce jobs by region &amp; industry". Accessed 12 May, 2023. https://www.ons.gov.uk/.</v>
      </c>
    </row>
    <row r="206" spans="2:26">
      <c r="B206" s="285" t="s">
        <v>217</v>
      </c>
      <c r="C206" s="285" t="s">
        <v>464</v>
      </c>
      <c r="D206" s="285" t="s">
        <v>673</v>
      </c>
      <c r="E206" s="285" t="s">
        <v>110</v>
      </c>
      <c r="F206" s="13" t="s">
        <v>1219</v>
      </c>
      <c r="G206" s="13" t="s">
        <v>709</v>
      </c>
      <c r="H206" s="13"/>
      <c r="I206" s="13" t="s">
        <v>2617</v>
      </c>
      <c r="J206" s="13" t="s">
        <v>4051</v>
      </c>
      <c r="K206" s="284">
        <v>45058</v>
      </c>
      <c r="L206" s="283" t="str">
        <f t="shared" si="45"/>
        <v>-</v>
      </c>
      <c r="M206" s="283" t="str">
        <f t="shared" si="46"/>
        <v>-</v>
      </c>
      <c r="N206" s="283" t="str">
        <f t="shared" si="47"/>
        <v>NG</v>
      </c>
      <c r="O206" s="283" t="str">
        <f t="shared" si="48"/>
        <v>-</v>
      </c>
      <c r="P206" s="283" t="str">
        <f t="shared" si="49"/>
        <v>-</v>
      </c>
      <c r="Q206" s="283" t="str">
        <f t="shared" si="50"/>
        <v>-</v>
      </c>
      <c r="R206" s="283" t="str">
        <f t="shared" si="51"/>
        <v>-</v>
      </c>
      <c r="S206" s="283" t="str">
        <f t="shared" si="52"/>
        <v>-</v>
      </c>
      <c r="T206" s="283" t="str">
        <f t="shared" si="53"/>
        <v>NG</v>
      </c>
      <c r="U206" s="283" t="str">
        <f t="shared" si="54"/>
        <v>-</v>
      </c>
      <c r="V206" s="283" t="str">
        <f t="shared" si="55"/>
        <v>-</v>
      </c>
      <c r="W206" s="1" t="str">
        <f t="shared" si="56"/>
        <v>https://www.insee.fr/fr/statistiques/4981513/</v>
      </c>
      <c r="X206" s="1" t="str">
        <f t="shared" si="57"/>
        <v>https://www.insee.fr/</v>
      </c>
      <c r="Y206" s="1" t="str">
        <f t="shared" si="58"/>
        <v>優先3</v>
      </c>
      <c r="Z206" s="1" t="str">
        <f t="shared" si="59"/>
        <v>French National Institute of Statistics and Economic Studies(INSEE), French Republic. "Estimations d'emploi". Accessed 12 May, 2023. https://www.insee.fr/.</v>
      </c>
    </row>
    <row r="207" spans="2:26">
      <c r="B207" s="285" t="s">
        <v>217</v>
      </c>
      <c r="C207" s="285" t="s">
        <v>464</v>
      </c>
      <c r="D207" s="285" t="s">
        <v>673</v>
      </c>
      <c r="E207" s="285" t="s">
        <v>112</v>
      </c>
      <c r="F207" s="13" t="s">
        <v>1220</v>
      </c>
      <c r="G207" s="13" t="s">
        <v>855</v>
      </c>
      <c r="H207" s="13"/>
      <c r="I207" s="13" t="s">
        <v>4052</v>
      </c>
      <c r="J207" s="13" t="s">
        <v>4053</v>
      </c>
      <c r="K207" s="284">
        <v>45058</v>
      </c>
      <c r="L207" s="283" t="str">
        <f t="shared" si="45"/>
        <v>-</v>
      </c>
      <c r="M207" s="283" t="str">
        <f t="shared" si="46"/>
        <v>-</v>
      </c>
      <c r="N207" s="283" t="str">
        <f t="shared" si="47"/>
        <v>NG</v>
      </c>
      <c r="O207" s="283" t="str">
        <f t="shared" si="48"/>
        <v>-</v>
      </c>
      <c r="P207" s="283" t="str">
        <f t="shared" si="49"/>
        <v>-</v>
      </c>
      <c r="Q207" s="283" t="str">
        <f t="shared" si="50"/>
        <v>-</v>
      </c>
      <c r="R207" s="283" t="str">
        <f t="shared" si="51"/>
        <v>-</v>
      </c>
      <c r="S207" s="283" t="str">
        <f t="shared" si="52"/>
        <v>-</v>
      </c>
      <c r="T207" s="283" t="str">
        <f t="shared" si="53"/>
        <v>-</v>
      </c>
      <c r="U207" s="283" t="str">
        <f t="shared" si="54"/>
        <v>-</v>
      </c>
      <c r="V207" s="283" t="str">
        <f t="shared" si="55"/>
        <v>-</v>
      </c>
      <c r="W207" s="1" t="str">
        <f t="shared" si="56"/>
        <v>https://statbel.fgov.be/nl/themas/werk-opleiding/arbeidsmarkt/werkgelegenheid-en-werkloosheid/plus/</v>
      </c>
      <c r="X207" s="1" t="str">
        <f t="shared" si="57"/>
        <v>https://statbel.fgov.be/</v>
      </c>
      <c r="Y207" s="1" t="str">
        <f t="shared" si="58"/>
        <v>優先3</v>
      </c>
      <c r="Z207" s="1" t="str">
        <f t="shared" si="59"/>
        <v>Belgian statistical office (Statbel), Belgian Federal Government. "Enquête naar de arbeidskrachten 1999-2021". Accessed 12 May, 2023. https://statbel.fgov.be/.</v>
      </c>
    </row>
    <row r="208" spans="2:26">
      <c r="B208" s="285" t="s">
        <v>217</v>
      </c>
      <c r="C208" s="285" t="s">
        <v>464</v>
      </c>
      <c r="D208" s="285" t="s">
        <v>673</v>
      </c>
      <c r="E208" s="285" t="s">
        <v>114</v>
      </c>
      <c r="F208" s="13" t="s">
        <v>991</v>
      </c>
      <c r="G208" s="13" t="s">
        <v>990</v>
      </c>
      <c r="H208" s="13"/>
      <c r="I208" s="13" t="s">
        <v>2618</v>
      </c>
      <c r="J208" s="13" t="s">
        <v>4054</v>
      </c>
      <c r="K208" s="284">
        <v>45064</v>
      </c>
      <c r="L208" s="283" t="str">
        <f t="shared" si="45"/>
        <v>-</v>
      </c>
      <c r="M208" s="283" t="str">
        <f t="shared" si="46"/>
        <v>-</v>
      </c>
      <c r="N208" s="283" t="str">
        <f t="shared" si="47"/>
        <v>-</v>
      </c>
      <c r="O208" s="283" t="str">
        <f t="shared" si="48"/>
        <v>-</v>
      </c>
      <c r="P208" s="283" t="str">
        <f t="shared" si="49"/>
        <v>-</v>
      </c>
      <c r="Q208" s="283" t="str">
        <f t="shared" si="50"/>
        <v>-</v>
      </c>
      <c r="R208" s="283" t="str">
        <f t="shared" si="51"/>
        <v>-</v>
      </c>
      <c r="S208" s="283" t="str">
        <f t="shared" si="52"/>
        <v>-</v>
      </c>
      <c r="T208" s="283" t="str">
        <f t="shared" si="53"/>
        <v>-</v>
      </c>
      <c r="U208" s="283" t="str">
        <f t="shared" si="54"/>
        <v>-</v>
      </c>
      <c r="V208" s="283" t="str">
        <f t="shared" si="55"/>
        <v>-</v>
      </c>
      <c r="W208" s="1" t="str">
        <f t="shared" si="56"/>
        <v>https://onderzoek.amsterdam.nl/publicatie/kerncijfers-amsterdam-2020/</v>
      </c>
      <c r="X208" s="1" t="str">
        <f t="shared" si="57"/>
        <v>https://onderzoek.amsterdam.nl/</v>
      </c>
      <c r="Y208" s="1" t="str">
        <f t="shared" si="58"/>
        <v>優先3</v>
      </c>
      <c r="Z208" s="1" t="str">
        <f t="shared" si="59"/>
        <v>Onderzoek, Informatie en Statistiek, Gemeente Amsterdam. "Kerncijfers Amsterdam 2020". Accessed 18 May, 2023. https://onderzoek.amsterdam.nl/.</v>
      </c>
    </row>
    <row r="209" spans="2:26">
      <c r="B209" s="285" t="s">
        <v>217</v>
      </c>
      <c r="C209" s="285" t="s">
        <v>464</v>
      </c>
      <c r="D209" s="285" t="s">
        <v>673</v>
      </c>
      <c r="E209" s="285" t="s">
        <v>116</v>
      </c>
      <c r="F209" s="13" t="s">
        <v>1221</v>
      </c>
      <c r="G209" s="13" t="s">
        <v>756</v>
      </c>
      <c r="H209" s="13"/>
      <c r="I209" s="13" t="s">
        <v>1222</v>
      </c>
      <c r="J209" s="13" t="s">
        <v>3611</v>
      </c>
      <c r="K209" s="284">
        <v>45064</v>
      </c>
      <c r="L209" s="283" t="str">
        <f t="shared" si="45"/>
        <v>-</v>
      </c>
      <c r="M209" s="283" t="str">
        <f t="shared" si="46"/>
        <v>-</v>
      </c>
      <c r="N209" s="283" t="str">
        <f t="shared" si="47"/>
        <v>NG</v>
      </c>
      <c r="O209" s="283" t="str">
        <f t="shared" si="48"/>
        <v>-</v>
      </c>
      <c r="P209" s="283" t="str">
        <f t="shared" si="49"/>
        <v>-</v>
      </c>
      <c r="Q209" s="283" t="str">
        <f t="shared" si="50"/>
        <v>-</v>
      </c>
      <c r="R209" s="283" t="str">
        <f t="shared" si="51"/>
        <v>-</v>
      </c>
      <c r="S209" s="283" t="str">
        <f t="shared" si="52"/>
        <v>-</v>
      </c>
      <c r="T209" s="283" t="str">
        <f t="shared" si="53"/>
        <v>-</v>
      </c>
      <c r="U209" s="283" t="str">
        <f t="shared" si="54"/>
        <v>-</v>
      </c>
      <c r="V209" s="283" t="str">
        <f t="shared" si="55"/>
        <v>-</v>
      </c>
      <c r="W209" s="1" t="str">
        <f t="shared" si="56"/>
        <v>https://statistique.ge.ch/communes/commune.asp?commune=21/</v>
      </c>
      <c r="X209" s="1" t="str">
        <f t="shared" si="57"/>
        <v>https://statistique.ge.ch/</v>
      </c>
      <c r="Y209" s="1" t="str">
        <f t="shared" si="58"/>
        <v>優先3</v>
      </c>
      <c r="Z209" s="1" t="str">
        <f t="shared" si="59"/>
        <v>Office cantonal de la statistique (OCSTAT), République et canton de Genève. "Statistiques Cantonales". Accessed 18 May, 2023. https://statistique.ge.ch/.</v>
      </c>
    </row>
    <row r="210" spans="2:26">
      <c r="B210" s="285" t="s">
        <v>217</v>
      </c>
      <c r="C210" s="285" t="s">
        <v>464</v>
      </c>
      <c r="D210" s="285" t="s">
        <v>673</v>
      </c>
      <c r="E210" s="285" t="s">
        <v>118</v>
      </c>
      <c r="F210" s="13"/>
      <c r="G210" s="13" t="s">
        <v>1223</v>
      </c>
      <c r="H210" s="13"/>
      <c r="I210" s="13" t="s">
        <v>3668</v>
      </c>
      <c r="J210" s="13" t="s">
        <v>1361</v>
      </c>
      <c r="K210" s="284">
        <v>45064</v>
      </c>
      <c r="L210" s="283" t="str">
        <f t="shared" si="45"/>
        <v>-</v>
      </c>
      <c r="M210" s="283" t="str">
        <f t="shared" si="46"/>
        <v>-</v>
      </c>
      <c r="N210" s="283" t="str">
        <f t="shared" si="47"/>
        <v>-</v>
      </c>
      <c r="O210" s="283" t="str">
        <f t="shared" si="48"/>
        <v>-</v>
      </c>
      <c r="P210" s="283" t="str">
        <f t="shared" si="49"/>
        <v>-</v>
      </c>
      <c r="Q210" s="283" t="str">
        <f t="shared" si="50"/>
        <v>-</v>
      </c>
      <c r="R210" s="283" t="str">
        <f t="shared" si="51"/>
        <v>-</v>
      </c>
      <c r="S210" s="283" t="str">
        <f t="shared" si="52"/>
        <v>-</v>
      </c>
      <c r="T210" s="283" t="str">
        <f t="shared" si="53"/>
        <v>-</v>
      </c>
      <c r="U210" s="283" t="str">
        <f t="shared" si="54"/>
        <v>-</v>
      </c>
      <c r="V210" s="283" t="str">
        <f t="shared" si="55"/>
        <v>-</v>
      </c>
      <c r="W210" s="1" t="str">
        <f t="shared" si="56"/>
        <v>https://frankfurt.de/service-und-rathaus/zahlen-daten-fakten/publikationen/statistisches-jahrbuch/</v>
      </c>
      <c r="X210" s="1" t="str">
        <f t="shared" si="57"/>
        <v>https://frankfurt.de/</v>
      </c>
      <c r="Y210" s="1" t="str">
        <f t="shared" si="58"/>
        <v>優先3</v>
      </c>
      <c r="Z210" s="1" t="str">
        <f t="shared" si="59"/>
        <v>Stadt Frankfurt Am Main. "Statistisches Jahrbuch Frankfurt am Main 2021". Accessed 18 May, 2023. https://frankfurt.de/.</v>
      </c>
    </row>
    <row r="211" spans="2:26">
      <c r="B211" s="285" t="s">
        <v>217</v>
      </c>
      <c r="C211" s="285" t="s">
        <v>464</v>
      </c>
      <c r="D211" s="285" t="s">
        <v>673</v>
      </c>
      <c r="E211" s="285" t="s">
        <v>120</v>
      </c>
      <c r="F211" s="13" t="s">
        <v>1224</v>
      </c>
      <c r="G211" s="13" t="s">
        <v>1225</v>
      </c>
      <c r="H211" s="13"/>
      <c r="I211" s="13" t="s">
        <v>3669</v>
      </c>
      <c r="J211" s="13" t="s">
        <v>3670</v>
      </c>
      <c r="K211" s="284">
        <v>45064</v>
      </c>
      <c r="L211" s="283" t="str">
        <f t="shared" si="45"/>
        <v>-</v>
      </c>
      <c r="M211" s="283" t="str">
        <f t="shared" si="46"/>
        <v>-</v>
      </c>
      <c r="N211" s="283" t="str">
        <f t="shared" si="47"/>
        <v>-</v>
      </c>
      <c r="O211" s="283" t="str">
        <f t="shared" si="48"/>
        <v>-</v>
      </c>
      <c r="P211" s="283" t="str">
        <f t="shared" si="49"/>
        <v>-</v>
      </c>
      <c r="Q211" s="283" t="str">
        <f t="shared" si="50"/>
        <v>-</v>
      </c>
      <c r="R211" s="283" t="str">
        <f t="shared" si="51"/>
        <v>-</v>
      </c>
      <c r="S211" s="283" t="str">
        <f t="shared" si="52"/>
        <v>-</v>
      </c>
      <c r="T211" s="283" t="str">
        <f t="shared" si="53"/>
        <v>-</v>
      </c>
      <c r="U211" s="283" t="str">
        <f t="shared" si="54"/>
        <v>-</v>
      </c>
      <c r="V211" s="283" t="str">
        <f t="shared" si="55"/>
        <v>-</v>
      </c>
      <c r="W211" s="1" t="str">
        <f t="shared" si="56"/>
        <v>https://www.statistik-berlin-brandenburg.de/a-vi-18-hj/</v>
      </c>
      <c r="X211" s="1" t="str">
        <f t="shared" si="57"/>
        <v>https://www.statistik-berlin-brandenburg.de/</v>
      </c>
      <c r="Y211" s="1" t="str">
        <f t="shared" si="58"/>
        <v>優先3</v>
      </c>
      <c r="Z211" s="1" t="str">
        <f t="shared" si="59"/>
        <v>Statistical Office for Berlin-Brandenburg, States Berlin and Brandenburg. "Erwerbstätige am Wohnort in Berlin und Brandenburg – Jahresergebnisse und Vierteljahresergebnisse". Accessed 18 May, 2023. https://www.statistik-berlin-brandenburg.de/.</v>
      </c>
    </row>
    <row r="212" spans="2:26">
      <c r="B212" s="285" t="s">
        <v>217</v>
      </c>
      <c r="C212" s="285" t="s">
        <v>464</v>
      </c>
      <c r="D212" s="285" t="s">
        <v>673</v>
      </c>
      <c r="E212" s="285" t="s">
        <v>122</v>
      </c>
      <c r="F212" s="13"/>
      <c r="G212" s="13" t="s">
        <v>901</v>
      </c>
      <c r="H212" s="13"/>
      <c r="I212" s="13" t="s">
        <v>1002</v>
      </c>
      <c r="J212" s="13" t="s">
        <v>1226</v>
      </c>
      <c r="K212" s="284">
        <v>44690</v>
      </c>
      <c r="L212" s="283" t="str">
        <f t="shared" si="45"/>
        <v>-</v>
      </c>
      <c r="M212" s="283" t="str">
        <f t="shared" si="46"/>
        <v>-</v>
      </c>
      <c r="N212" s="283" t="str">
        <f t="shared" si="47"/>
        <v>-</v>
      </c>
      <c r="O212" s="283" t="str">
        <f t="shared" si="48"/>
        <v>-</v>
      </c>
      <c r="P212" s="283" t="str">
        <f t="shared" si="49"/>
        <v>-</v>
      </c>
      <c r="Q212" s="283" t="str">
        <f t="shared" si="50"/>
        <v>-</v>
      </c>
      <c r="R212" s="283" t="str">
        <f t="shared" si="51"/>
        <v>-</v>
      </c>
      <c r="S212" s="283" t="str">
        <f t="shared" si="52"/>
        <v>-</v>
      </c>
      <c r="T212" s="283" t="str">
        <f t="shared" si="53"/>
        <v>-</v>
      </c>
      <c r="U212" s="283" t="str">
        <f t="shared" si="54"/>
        <v>-</v>
      </c>
      <c r="V212" s="283" t="str">
        <f t="shared" si="55"/>
        <v>-</v>
      </c>
      <c r="W212" s="1" t="str">
        <f t="shared" si="56"/>
        <v>http://sisi.comune.milano.it/</v>
      </c>
      <c r="X212" s="1" t="str">
        <f t="shared" si="57"/>
        <v>http://sisi.comune.milano.it/</v>
      </c>
      <c r="Y212" s="1" t="str">
        <f t="shared" si="58"/>
        <v>優先3</v>
      </c>
      <c r="Z212" s="1" t="str">
        <f t="shared" si="59"/>
        <v>Comune di Milano. "Sistema Statistico Integrato". Accessed 09 May, 2022. http://sisi.comune.milano.it/.</v>
      </c>
    </row>
    <row r="213" spans="2:26">
      <c r="B213" s="285" t="s">
        <v>217</v>
      </c>
      <c r="C213" s="285" t="s">
        <v>464</v>
      </c>
      <c r="D213" s="285" t="s">
        <v>673</v>
      </c>
      <c r="E213" s="285" t="s">
        <v>124</v>
      </c>
      <c r="F213" s="13" t="s">
        <v>1227</v>
      </c>
      <c r="G213" s="13" t="s">
        <v>849</v>
      </c>
      <c r="H213" s="13"/>
      <c r="I213" s="13" t="s">
        <v>1001</v>
      </c>
      <c r="J213" s="13" t="s">
        <v>1228</v>
      </c>
      <c r="K213" s="284">
        <v>45061</v>
      </c>
      <c r="L213" s="283" t="str">
        <f t="shared" si="45"/>
        <v>-</v>
      </c>
      <c r="M213" s="283" t="str">
        <f t="shared" si="46"/>
        <v>-</v>
      </c>
      <c r="N213" s="283" t="str">
        <f t="shared" si="47"/>
        <v>-</v>
      </c>
      <c r="O213" s="283" t="str">
        <f t="shared" si="48"/>
        <v>-</v>
      </c>
      <c r="P213" s="283" t="str">
        <f t="shared" si="49"/>
        <v>-</v>
      </c>
      <c r="Q213" s="283" t="str">
        <f t="shared" si="50"/>
        <v>-</v>
      </c>
      <c r="R213" s="283" t="str">
        <f t="shared" si="51"/>
        <v>-</v>
      </c>
      <c r="S213" s="283" t="str">
        <f t="shared" si="52"/>
        <v>-</v>
      </c>
      <c r="T213" s="283" t="str">
        <f t="shared" si="53"/>
        <v>-</v>
      </c>
      <c r="U213" s="283" t="str">
        <f t="shared" si="54"/>
        <v>-</v>
      </c>
      <c r="V213" s="283" t="str">
        <f t="shared" si="55"/>
        <v>-</v>
      </c>
      <c r="W213" s="1" t="str">
        <f t="shared" si="56"/>
        <v>https://www.stadt-zuerich.ch/prd/de/index/statistik/themen/wirtschaft/arbeitsmarkt/beschaeftigte.html/</v>
      </c>
      <c r="X213" s="1" t="str">
        <f t="shared" si="57"/>
        <v>https://www.stadt-zuerich.ch/</v>
      </c>
      <c r="Y213" s="1" t="str">
        <f t="shared" si="58"/>
        <v>優先3</v>
      </c>
      <c r="Z213" s="1" t="str">
        <f t="shared" si="59"/>
        <v>Stadt Zürich Präsidialdepartement, Stadt Zürich. "Statistik Stadt Zürich". Accessed 15 May, 2023. https://www.stadt-zuerich.ch/.</v>
      </c>
    </row>
    <row r="214" spans="2:26">
      <c r="B214" s="285" t="s">
        <v>217</v>
      </c>
      <c r="C214" s="285" t="s">
        <v>464</v>
      </c>
      <c r="D214" s="285" t="s">
        <v>673</v>
      </c>
      <c r="E214" s="285" t="s">
        <v>126</v>
      </c>
      <c r="F214" s="13" t="s">
        <v>1229</v>
      </c>
      <c r="G214" s="13"/>
      <c r="H214" s="13"/>
      <c r="I214" s="13" t="s">
        <v>2619</v>
      </c>
      <c r="J214" s="13" t="s">
        <v>3671</v>
      </c>
      <c r="K214" s="284">
        <v>45064</v>
      </c>
      <c r="L214" s="283" t="str">
        <f t="shared" si="45"/>
        <v>-</v>
      </c>
      <c r="M214" s="283" t="str">
        <f t="shared" si="46"/>
        <v>-</v>
      </c>
      <c r="N214" s="283" t="str">
        <f t="shared" si="47"/>
        <v>-</v>
      </c>
      <c r="O214" s="283" t="str">
        <f t="shared" si="48"/>
        <v>-</v>
      </c>
      <c r="P214" s="283" t="str">
        <f t="shared" si="49"/>
        <v>-</v>
      </c>
      <c r="Q214" s="283" t="str">
        <f t="shared" si="50"/>
        <v>-</v>
      </c>
      <c r="R214" s="283" t="str">
        <f t="shared" si="51"/>
        <v>-</v>
      </c>
      <c r="S214" s="283" t="str">
        <f t="shared" si="52"/>
        <v>-</v>
      </c>
      <c r="T214" s="283" t="str">
        <f t="shared" si="53"/>
        <v>-</v>
      </c>
      <c r="U214" s="283" t="str">
        <f t="shared" si="54"/>
        <v>-</v>
      </c>
      <c r="V214" s="283" t="str">
        <f t="shared" si="55"/>
        <v>NG</v>
      </c>
      <c r="W214" s="1" t="str">
        <f t="shared" si="56"/>
        <v>https://www.dst.dk/en/Statistik/emner/arbejde-og-indkomst/beskaeftigede/beskaeftigede-ras-register/</v>
      </c>
      <c r="X214" s="1" t="str">
        <f t="shared" si="57"/>
        <v>https://www.dst.dk/</v>
      </c>
      <c r="Y214" s="1" t="str">
        <f t="shared" si="58"/>
        <v>優先3</v>
      </c>
      <c r="Z214" s="1" t="str">
        <f t="shared" si="59"/>
        <v>Statistics Demmark. "Employed (end November) by region (workplace), industry (DB07), socioeconomic status, age and sex ". Accessed 18 May, 2023. https://www.dst.dk/.</v>
      </c>
    </row>
    <row r="215" spans="2:26">
      <c r="B215" s="285" t="s">
        <v>217</v>
      </c>
      <c r="C215" s="285" t="s">
        <v>464</v>
      </c>
      <c r="D215" s="285" t="s">
        <v>673</v>
      </c>
      <c r="E215" s="285" t="s">
        <v>128</v>
      </c>
      <c r="F215" s="13" t="s">
        <v>1230</v>
      </c>
      <c r="G215" s="13"/>
      <c r="H215" s="13"/>
      <c r="I215" s="13" t="s">
        <v>1231</v>
      </c>
      <c r="J215" s="13" t="s">
        <v>1232</v>
      </c>
      <c r="K215" s="284">
        <v>45061</v>
      </c>
      <c r="L215" s="283" t="str">
        <f t="shared" si="45"/>
        <v>-</v>
      </c>
      <c r="M215" s="283" t="str">
        <f t="shared" si="46"/>
        <v>-</v>
      </c>
      <c r="N215" s="283" t="str">
        <f t="shared" si="47"/>
        <v>-</v>
      </c>
      <c r="O215" s="283" t="str">
        <f t="shared" si="48"/>
        <v>-</v>
      </c>
      <c r="P215" s="283" t="str">
        <f t="shared" si="49"/>
        <v>-</v>
      </c>
      <c r="Q215" s="283" t="str">
        <f t="shared" si="50"/>
        <v>-</v>
      </c>
      <c r="R215" s="283" t="str">
        <f t="shared" si="51"/>
        <v>-</v>
      </c>
      <c r="S215" s="283" t="str">
        <f t="shared" si="52"/>
        <v>-</v>
      </c>
      <c r="T215" s="283" t="str">
        <f t="shared" si="53"/>
        <v>-</v>
      </c>
      <c r="U215" s="283" t="str">
        <f t="shared" si="54"/>
        <v>-</v>
      </c>
      <c r="V215" s="283" t="str">
        <f t="shared" si="55"/>
        <v>-</v>
      </c>
      <c r="W215" s="1" t="str">
        <f t="shared" si="56"/>
        <v>https://statcube.at/statistik.at/ext/statcube/jsf/tableView/tableView.xhtml/</v>
      </c>
      <c r="X215" s="1" t="str">
        <f t="shared" si="57"/>
        <v>https://statcube.at/</v>
      </c>
      <c r="Y215" s="1" t="str">
        <f t="shared" si="58"/>
        <v>優先3</v>
      </c>
      <c r="Z215" s="1" t="str">
        <f t="shared" si="59"/>
        <v>Bundesanstalt Statistik Österreich -  STATISTICS AUSTRIA. "Austrian Micro census". Accessed 15 May, 2023. https://statcube.at/.</v>
      </c>
    </row>
    <row r="216" spans="2:26">
      <c r="B216" s="285" t="s">
        <v>217</v>
      </c>
      <c r="C216" s="285" t="s">
        <v>464</v>
      </c>
      <c r="D216" s="285" t="s">
        <v>673</v>
      </c>
      <c r="E216" s="285" t="s">
        <v>130</v>
      </c>
      <c r="F216" s="13"/>
      <c r="G216" s="13" t="s">
        <v>988</v>
      </c>
      <c r="H216" s="13"/>
      <c r="I216" s="13" t="s">
        <v>3686</v>
      </c>
      <c r="J216" s="13" t="s">
        <v>1233</v>
      </c>
      <c r="K216" s="284">
        <v>45061</v>
      </c>
      <c r="L216" s="283" t="str">
        <f t="shared" si="45"/>
        <v>-</v>
      </c>
      <c r="M216" s="283" t="str">
        <f t="shared" si="46"/>
        <v>-</v>
      </c>
      <c r="N216" s="283" t="str">
        <f t="shared" si="47"/>
        <v>-</v>
      </c>
      <c r="O216" s="283" t="str">
        <f t="shared" si="48"/>
        <v>-</v>
      </c>
      <c r="P216" s="283" t="str">
        <f t="shared" si="49"/>
        <v>-</v>
      </c>
      <c r="Q216" s="283" t="str">
        <f t="shared" si="50"/>
        <v>-</v>
      </c>
      <c r="R216" s="283" t="str">
        <f t="shared" si="51"/>
        <v>-</v>
      </c>
      <c r="S216" s="283" t="str">
        <f t="shared" si="52"/>
        <v>-</v>
      </c>
      <c r="T216" s="283" t="str">
        <f t="shared" si="53"/>
        <v>-</v>
      </c>
      <c r="U216" s="283" t="str">
        <f t="shared" si="54"/>
        <v>-</v>
      </c>
      <c r="V216" s="283" t="str">
        <f t="shared" si="55"/>
        <v>-</v>
      </c>
      <c r="W216" s="1" t="str">
        <f t="shared" si="56"/>
        <v>https://start.stockholm/om-stockholms-stad/utredningar-statistik-och-fakta/statistik/befolkning/</v>
      </c>
      <c r="X216" s="1" t="str">
        <f t="shared" si="57"/>
        <v>https://start.stockholm/</v>
      </c>
      <c r="Y216" s="1" t="str">
        <f t="shared" si="58"/>
        <v>優先3</v>
      </c>
      <c r="Z216" s="1" t="str">
        <f t="shared" si="59"/>
        <v>Stockholms stad. "Statistik om Stockholm - Förvärvsarbetande i Stockholm 2020". Accessed 15 May, 2023. https://start.stockholm/.</v>
      </c>
    </row>
    <row r="217" spans="2:26">
      <c r="B217" s="285" t="s">
        <v>217</v>
      </c>
      <c r="C217" s="285" t="s">
        <v>464</v>
      </c>
      <c r="D217" s="285" t="s">
        <v>673</v>
      </c>
      <c r="E217" s="285" t="s">
        <v>132</v>
      </c>
      <c r="F217" s="13" t="s">
        <v>787</v>
      </c>
      <c r="G217" s="13"/>
      <c r="H217" s="13"/>
      <c r="I217" s="13" t="s">
        <v>4055</v>
      </c>
      <c r="J217" s="13" t="s">
        <v>1396</v>
      </c>
      <c r="K217" s="284">
        <v>45061</v>
      </c>
      <c r="L217" s="283" t="str">
        <f t="shared" si="45"/>
        <v>-</v>
      </c>
      <c r="M217" s="283" t="str">
        <f t="shared" si="46"/>
        <v>-</v>
      </c>
      <c r="N217" s="283" t="str">
        <f t="shared" si="47"/>
        <v>-</v>
      </c>
      <c r="O217" s="283" t="str">
        <f t="shared" si="48"/>
        <v>-</v>
      </c>
      <c r="P217" s="283" t="str">
        <f t="shared" si="49"/>
        <v>-</v>
      </c>
      <c r="Q217" s="283" t="str">
        <f t="shared" si="50"/>
        <v>-</v>
      </c>
      <c r="R217" s="283" t="str">
        <f t="shared" si="51"/>
        <v>-</v>
      </c>
      <c r="S217" s="283" t="str">
        <f t="shared" si="52"/>
        <v>-</v>
      </c>
      <c r="T217" s="283" t="str">
        <f t="shared" si="53"/>
        <v>-</v>
      </c>
      <c r="U217" s="283" t="str">
        <f t="shared" si="54"/>
        <v>-</v>
      </c>
      <c r="V217" s="283" t="str">
        <f t="shared" si="55"/>
        <v>-</v>
      </c>
      <c r="W217" s="1" t="str">
        <f t="shared" si="56"/>
        <v>https://biruni.tuik.gov.tr/medas/?kn=102&amp;locale=en/</v>
      </c>
      <c r="X217" s="1" t="str">
        <f t="shared" si="57"/>
        <v>https://biruni.tuik.gov.tr/</v>
      </c>
      <c r="Y217" s="1" t="str">
        <f t="shared" si="58"/>
        <v>優先3</v>
      </c>
      <c r="Z217" s="1" t="str">
        <f t="shared" si="59"/>
        <v>Turkish Statistical Institute. "Regional Results of Labour Force Statistics". Accessed 15 May, 2023. https://biruni.tuik.gov.tr/.</v>
      </c>
    </row>
    <row r="218" spans="2:26">
      <c r="B218" s="285" t="s">
        <v>217</v>
      </c>
      <c r="C218" s="285" t="s">
        <v>464</v>
      </c>
      <c r="D218" s="285" t="s">
        <v>673</v>
      </c>
      <c r="E218" s="285" t="s">
        <v>134</v>
      </c>
      <c r="F218" s="13" t="s">
        <v>845</v>
      </c>
      <c r="G218" s="13" t="s">
        <v>844</v>
      </c>
      <c r="H218" s="13"/>
      <c r="I218" s="13" t="s">
        <v>3672</v>
      </c>
      <c r="J218" s="13" t="s">
        <v>2583</v>
      </c>
      <c r="K218" s="284">
        <v>45064</v>
      </c>
      <c r="L218" s="283" t="str">
        <f t="shared" si="45"/>
        <v>-</v>
      </c>
      <c r="M218" s="283" t="str">
        <f t="shared" si="46"/>
        <v>-</v>
      </c>
      <c r="N218" s="283" t="str">
        <f t="shared" si="47"/>
        <v>-</v>
      </c>
      <c r="O218" s="283" t="str">
        <f t="shared" si="48"/>
        <v>-</v>
      </c>
      <c r="P218" s="283" t="str">
        <f t="shared" si="49"/>
        <v>-</v>
      </c>
      <c r="Q218" s="283" t="str">
        <f t="shared" si="50"/>
        <v>-</v>
      </c>
      <c r="R218" s="283" t="str">
        <f t="shared" si="51"/>
        <v>-</v>
      </c>
      <c r="S218" s="283" t="str">
        <f t="shared" si="52"/>
        <v>-</v>
      </c>
      <c r="T218" s="283" t="str">
        <f t="shared" si="53"/>
        <v>-</v>
      </c>
      <c r="U218" s="283" t="str">
        <f t="shared" si="54"/>
        <v>-</v>
      </c>
      <c r="V218" s="283" t="str">
        <f t="shared" si="55"/>
        <v>-</v>
      </c>
      <c r="W218" s="1" t="str">
        <f t="shared" si="56"/>
        <v>https://www.capmas.gov.eg/Pages/StaticPages.aspx?page_id=5035/</v>
      </c>
      <c r="X218" s="1" t="str">
        <f t="shared" si="57"/>
        <v>https://www.capmas.gov.eg/</v>
      </c>
      <c r="Y218" s="1" t="str">
        <f t="shared" si="58"/>
        <v>優先3</v>
      </c>
      <c r="Z218" s="1" t="str">
        <f t="shared" si="59"/>
        <v>Central Agency for Public Mobilization And Statistics, Arab Republic of Egypt. "Egypt in Figures 2022". Accessed 18 May, 2023. https://www.capmas.gov.eg/.</v>
      </c>
    </row>
    <row r="219" spans="2:26">
      <c r="B219" s="285" t="s">
        <v>217</v>
      </c>
      <c r="C219" s="285" t="s">
        <v>464</v>
      </c>
      <c r="D219" s="285" t="s">
        <v>673</v>
      </c>
      <c r="E219" s="285" t="s">
        <v>136</v>
      </c>
      <c r="F219" s="13" t="s">
        <v>1234</v>
      </c>
      <c r="G219" s="13" t="s">
        <v>1235</v>
      </c>
      <c r="H219" s="13"/>
      <c r="I219" s="13" t="s">
        <v>4056</v>
      </c>
      <c r="J219" s="13" t="s">
        <v>1236</v>
      </c>
      <c r="K219" s="284">
        <v>45061</v>
      </c>
      <c r="L219" s="283" t="str">
        <f t="shared" si="45"/>
        <v>-</v>
      </c>
      <c r="M219" s="283" t="str">
        <f t="shared" si="46"/>
        <v>-</v>
      </c>
      <c r="N219" s="283" t="str">
        <f t="shared" si="47"/>
        <v>NG</v>
      </c>
      <c r="O219" s="283" t="str">
        <f t="shared" si="48"/>
        <v>-</v>
      </c>
      <c r="P219" s="283" t="str">
        <f t="shared" si="49"/>
        <v>-</v>
      </c>
      <c r="Q219" s="283" t="str">
        <f t="shared" si="50"/>
        <v>-</v>
      </c>
      <c r="R219" s="283" t="str">
        <f t="shared" si="51"/>
        <v>-</v>
      </c>
      <c r="S219" s="283" t="str">
        <f t="shared" si="52"/>
        <v>-</v>
      </c>
      <c r="T219" s="283" t="str">
        <f t="shared" si="53"/>
        <v>NG</v>
      </c>
      <c r="U219" s="283" t="str">
        <f t="shared" si="54"/>
        <v>-</v>
      </c>
      <c r="V219" s="283" t="str">
        <f t="shared" si="55"/>
        <v>-</v>
      </c>
      <c r="W219" s="1" t="str">
        <f t="shared" si="56"/>
        <v>https://www.gks.ru/labour_force/</v>
      </c>
      <c r="X219" s="1" t="str">
        <f t="shared" si="57"/>
        <v>https://www.gks.ru/</v>
      </c>
      <c r="Y219" s="1" t="str">
        <f t="shared" si="58"/>
        <v>優先3</v>
      </c>
      <c r="Z219" s="1" t="str">
        <f t="shared" si="59"/>
        <v>Federal State Statistics Service(Rosstat), The Ministry of Economic Development of the Russian Federation. "Трудовые ресурсы, занятость и безработица". Accessed 15 May, 2023. https://www.gks.ru/.</v>
      </c>
    </row>
    <row r="220" spans="2:26">
      <c r="B220" s="285" t="s">
        <v>217</v>
      </c>
      <c r="C220" s="285" t="s">
        <v>464</v>
      </c>
      <c r="D220" s="285" t="s">
        <v>673</v>
      </c>
      <c r="E220" s="285" t="s">
        <v>138</v>
      </c>
      <c r="F220" s="13" t="s">
        <v>1237</v>
      </c>
      <c r="G220" s="13" t="s">
        <v>1238</v>
      </c>
      <c r="H220" s="13"/>
      <c r="I220" s="13" t="s">
        <v>3673</v>
      </c>
      <c r="J220" s="13" t="s">
        <v>3674</v>
      </c>
      <c r="K220" s="284">
        <v>45062</v>
      </c>
      <c r="L220" s="283" t="str">
        <f t="shared" si="45"/>
        <v>-</v>
      </c>
      <c r="M220" s="283" t="str">
        <f t="shared" si="46"/>
        <v>-</v>
      </c>
      <c r="N220" s="283" t="str">
        <f t="shared" si="47"/>
        <v>-</v>
      </c>
      <c r="O220" s="283" t="str">
        <f t="shared" si="48"/>
        <v>-</v>
      </c>
      <c r="P220" s="283" t="str">
        <f t="shared" si="49"/>
        <v>-</v>
      </c>
      <c r="Q220" s="283" t="str">
        <f t="shared" si="50"/>
        <v>-</v>
      </c>
      <c r="R220" s="283" t="str">
        <f t="shared" si="51"/>
        <v>-</v>
      </c>
      <c r="S220" s="283" t="str">
        <f t="shared" si="52"/>
        <v>-</v>
      </c>
      <c r="T220" s="283" t="str">
        <f t="shared" si="53"/>
        <v>-</v>
      </c>
      <c r="U220" s="283" t="str">
        <f t="shared" si="54"/>
        <v>-</v>
      </c>
      <c r="V220" s="283" t="str">
        <f t="shared" si="55"/>
        <v>-</v>
      </c>
      <c r="W220" s="1" t="str">
        <f t="shared" si="56"/>
        <v>https://censusindia.gov.in/census.website/data/population-finder/</v>
      </c>
      <c r="X220" s="1" t="str">
        <f t="shared" si="57"/>
        <v>https://censusindia.gov.in/</v>
      </c>
      <c r="Y220" s="1" t="str">
        <f t="shared" si="58"/>
        <v>優先3</v>
      </c>
      <c r="Z220" s="1" t="str">
        <f t="shared" si="59"/>
        <v>Office of the Registrar General &amp; Census Commissioner, India, Ministry of Home Affairs,Government of India. "Census of India 2011 - Basic Population Figures of India, States and Districts, 2011.". Accessed 16 May, 2023. https://censusindia.gov.in/.</v>
      </c>
    </row>
    <row r="221" spans="2:26">
      <c r="B221" s="285" t="s">
        <v>217</v>
      </c>
      <c r="C221" s="285" t="s">
        <v>464</v>
      </c>
      <c r="D221" s="285" t="s">
        <v>673</v>
      </c>
      <c r="E221" s="285" t="s">
        <v>140</v>
      </c>
      <c r="F221" s="13" t="s">
        <v>1239</v>
      </c>
      <c r="G221" s="13" t="s">
        <v>841</v>
      </c>
      <c r="H221" s="13"/>
      <c r="I221" s="13" t="s">
        <v>4057</v>
      </c>
      <c r="J221" s="13" t="s">
        <v>1240</v>
      </c>
      <c r="K221" s="284">
        <v>45061</v>
      </c>
      <c r="L221" s="283" t="str">
        <f t="shared" si="45"/>
        <v>-</v>
      </c>
      <c r="M221" s="283" t="str">
        <f t="shared" si="46"/>
        <v>-</v>
      </c>
      <c r="N221" s="283" t="str">
        <f t="shared" si="47"/>
        <v>-</v>
      </c>
      <c r="O221" s="283" t="str">
        <f t="shared" si="48"/>
        <v>-</v>
      </c>
      <c r="P221" s="283" t="str">
        <f t="shared" si="49"/>
        <v>-</v>
      </c>
      <c r="Q221" s="283" t="str">
        <f t="shared" si="50"/>
        <v>-</v>
      </c>
      <c r="R221" s="283" t="str">
        <f t="shared" si="51"/>
        <v>-</v>
      </c>
      <c r="S221" s="283" t="str">
        <f t="shared" si="52"/>
        <v>-</v>
      </c>
      <c r="T221" s="283" t="str">
        <f t="shared" si="53"/>
        <v>-</v>
      </c>
      <c r="U221" s="283" t="str">
        <f t="shared" si="54"/>
        <v>-</v>
      </c>
      <c r="V221" s="283" t="str">
        <f t="shared" si="55"/>
        <v>-</v>
      </c>
      <c r="W221" s="1" t="str">
        <f t="shared" si="56"/>
        <v>http://statbbi.nso.go.th/staticreport/page/sector/en/02.aspx/</v>
      </c>
      <c r="X221" s="1" t="str">
        <f t="shared" si="57"/>
        <v>http://statbbi.nso.go.th/</v>
      </c>
      <c r="Y221" s="1" t="str">
        <f t="shared" si="58"/>
        <v>優先3</v>
      </c>
      <c r="Z221" s="1" t="str">
        <f t="shared" si="59"/>
        <v>National Statistical Office of Thailand, Kingdom of Thailand. "Population by Labor Force Status Sex and Province: 2022". Accessed 15 May, 2023. http://statbbi.nso.go.th/.</v>
      </c>
    </row>
    <row r="222" spans="2:26">
      <c r="B222" s="285" t="s">
        <v>217</v>
      </c>
      <c r="C222" s="285" t="s">
        <v>464</v>
      </c>
      <c r="D222" s="285" t="s">
        <v>673</v>
      </c>
      <c r="E222" s="285" t="s">
        <v>142</v>
      </c>
      <c r="F222" s="13" t="s">
        <v>1241</v>
      </c>
      <c r="G222" s="13" t="s">
        <v>1186</v>
      </c>
      <c r="H222" s="13"/>
      <c r="I222" s="13" t="s">
        <v>4058</v>
      </c>
      <c r="J222" s="13" t="s">
        <v>4059</v>
      </c>
      <c r="K222" s="284">
        <v>45061</v>
      </c>
      <c r="L222" s="283" t="str">
        <f t="shared" si="45"/>
        <v>-</v>
      </c>
      <c r="M222" s="283" t="str">
        <f t="shared" si="46"/>
        <v>-</v>
      </c>
      <c r="N222" s="283" t="str">
        <f t="shared" si="47"/>
        <v>-</v>
      </c>
      <c r="O222" s="283" t="str">
        <f t="shared" si="48"/>
        <v>-</v>
      </c>
      <c r="P222" s="283" t="str">
        <f t="shared" si="49"/>
        <v>-</v>
      </c>
      <c r="Q222" s="283" t="str">
        <f t="shared" si="50"/>
        <v>-</v>
      </c>
      <c r="R222" s="283" t="str">
        <f t="shared" si="51"/>
        <v>-</v>
      </c>
      <c r="S222" s="283" t="str">
        <f t="shared" si="52"/>
        <v>-</v>
      </c>
      <c r="T222" s="283" t="str">
        <f t="shared" si="53"/>
        <v>-</v>
      </c>
      <c r="U222" s="283" t="str">
        <f t="shared" si="54"/>
        <v>-</v>
      </c>
      <c r="V222" s="283" t="str">
        <f t="shared" si="55"/>
        <v>-</v>
      </c>
      <c r="W222" s="1" t="str">
        <f t="shared" si="56"/>
        <v>https://www.dosm.gov.my/portal-main/time-series/</v>
      </c>
      <c r="X222" s="1" t="str">
        <f t="shared" si="57"/>
        <v>https://www.dosm.gov.my/</v>
      </c>
      <c r="Y222" s="1" t="str">
        <f t="shared" si="58"/>
        <v>優先3</v>
      </c>
      <c r="Z222" s="1" t="str">
        <f t="shared" si="59"/>
        <v>Department of Statictics Malaysia, Offifial Portal, Government of Malaysia. "Labour Force Survey (LFS) Time Series Statistics by State, 1982 - 2021". Accessed 15 May, 2023. https://www.dosm.gov.my/.</v>
      </c>
    </row>
    <row r="223" spans="2:26">
      <c r="B223" s="285" t="s">
        <v>217</v>
      </c>
      <c r="C223" s="285" t="s">
        <v>464</v>
      </c>
      <c r="D223" s="285" t="s">
        <v>673</v>
      </c>
      <c r="E223" s="285" t="s">
        <v>144</v>
      </c>
      <c r="F223" s="13" t="s">
        <v>821</v>
      </c>
      <c r="G223" s="13" t="s">
        <v>729</v>
      </c>
      <c r="H223" s="13"/>
      <c r="I223" s="13" t="s">
        <v>1242</v>
      </c>
      <c r="J223" s="13" t="s">
        <v>1243</v>
      </c>
      <c r="K223" s="284">
        <v>45061</v>
      </c>
      <c r="L223" s="283" t="str">
        <f t="shared" si="45"/>
        <v>-</v>
      </c>
      <c r="M223" s="283" t="str">
        <f t="shared" si="46"/>
        <v>-</v>
      </c>
      <c r="N223" s="283" t="str">
        <f t="shared" si="47"/>
        <v>-</v>
      </c>
      <c r="O223" s="283" t="str">
        <f t="shared" si="48"/>
        <v>-</v>
      </c>
      <c r="P223" s="283" t="str">
        <f t="shared" si="49"/>
        <v>-</v>
      </c>
      <c r="Q223" s="283" t="str">
        <f t="shared" si="50"/>
        <v>-</v>
      </c>
      <c r="R223" s="283" t="str">
        <f t="shared" si="51"/>
        <v>-</v>
      </c>
      <c r="S223" s="283" t="str">
        <f t="shared" si="52"/>
        <v>-</v>
      </c>
      <c r="T223" s="283" t="str">
        <f t="shared" si="53"/>
        <v>-</v>
      </c>
      <c r="U223" s="283" t="str">
        <f t="shared" si="54"/>
        <v>-</v>
      </c>
      <c r="V223" s="283" t="str">
        <f t="shared" si="55"/>
        <v>-</v>
      </c>
      <c r="W223" s="1" t="str">
        <f t="shared" si="56"/>
        <v>https://stats.mom.gov.sg/Pages/EmploymentTimeSeries.aspx/</v>
      </c>
      <c r="X223" s="1" t="str">
        <f t="shared" si="57"/>
        <v>https://stats.mom.gov.sg/</v>
      </c>
      <c r="Y223" s="1" t="str">
        <f t="shared" si="58"/>
        <v>優先3</v>
      </c>
      <c r="Z223" s="1" t="str">
        <f t="shared" si="59"/>
        <v>Ministry of Manpower, Government of Singapore. "Number of Employed Persons Aged Fifteen Years and Over". Accessed 15 May, 2023. https://stats.mom.gov.sg/.</v>
      </c>
    </row>
    <row r="224" spans="2:26">
      <c r="B224" s="285" t="s">
        <v>217</v>
      </c>
      <c r="C224" s="285" t="s">
        <v>464</v>
      </c>
      <c r="D224" s="285" t="s">
        <v>673</v>
      </c>
      <c r="E224" s="285" t="s">
        <v>146</v>
      </c>
      <c r="F224" s="13" t="s">
        <v>1012</v>
      </c>
      <c r="G224" s="13" t="s">
        <v>1244</v>
      </c>
      <c r="H224" s="13" t="s">
        <v>1245</v>
      </c>
      <c r="I224" s="13" t="s">
        <v>4060</v>
      </c>
      <c r="J224" s="13" t="s">
        <v>3675</v>
      </c>
      <c r="K224" s="284">
        <v>45061</v>
      </c>
      <c r="L224" s="283" t="str">
        <f t="shared" si="45"/>
        <v>-</v>
      </c>
      <c r="M224" s="283" t="str">
        <f t="shared" si="46"/>
        <v>-</v>
      </c>
      <c r="N224" s="283" t="str">
        <f t="shared" si="47"/>
        <v>-</v>
      </c>
      <c r="O224" s="283" t="str">
        <f t="shared" si="48"/>
        <v>-</v>
      </c>
      <c r="P224" s="283" t="str">
        <f t="shared" si="49"/>
        <v>-</v>
      </c>
      <c r="Q224" s="283" t="str">
        <f t="shared" si="50"/>
        <v>-</v>
      </c>
      <c r="R224" s="283" t="str">
        <f t="shared" si="51"/>
        <v>-</v>
      </c>
      <c r="S224" s="283" t="str">
        <f t="shared" si="52"/>
        <v>-</v>
      </c>
      <c r="T224" s="283" t="str">
        <f t="shared" si="53"/>
        <v>-</v>
      </c>
      <c r="U224" s="283" t="str">
        <f t="shared" si="54"/>
        <v>-</v>
      </c>
      <c r="V224" s="283" t="str">
        <f t="shared" si="55"/>
        <v>-</v>
      </c>
      <c r="W224" s="1" t="str">
        <f t="shared" si="56"/>
        <v>https://www.censtatd.gov.hk/en/web_table.html?id=15/</v>
      </c>
      <c r="X224" s="1" t="str">
        <f t="shared" si="57"/>
        <v>https://www.censtatd.gov.hk/</v>
      </c>
      <c r="Y224" s="1" t="str">
        <f t="shared" si="58"/>
        <v>優先3</v>
      </c>
      <c r="Z224" s="1" t="str">
        <f t="shared" si="59"/>
        <v>Census and Statistics Department, The Government of the hong Kong Special Administrative Region [香港特別行政區政府]. "Employed persons by hours of work of all employment and sex". Accessed 15 May, 2023. https://www.censtatd.gov.hk/.</v>
      </c>
    </row>
    <row r="225" spans="2:26">
      <c r="B225" s="285" t="s">
        <v>217</v>
      </c>
      <c r="C225" s="285" t="s">
        <v>464</v>
      </c>
      <c r="D225" s="285" t="s">
        <v>673</v>
      </c>
      <c r="E225" s="285" t="s">
        <v>148</v>
      </c>
      <c r="F225" s="13"/>
      <c r="G225" s="13" t="s">
        <v>1246</v>
      </c>
      <c r="H225" s="13" t="s">
        <v>1247</v>
      </c>
      <c r="I225" s="13" t="s">
        <v>4061</v>
      </c>
      <c r="J225" s="13" t="s">
        <v>4062</v>
      </c>
      <c r="K225" s="284">
        <v>45064</v>
      </c>
      <c r="L225" s="283" t="str">
        <f t="shared" si="45"/>
        <v>-</v>
      </c>
      <c r="M225" s="283" t="str">
        <f t="shared" si="46"/>
        <v>-</v>
      </c>
      <c r="N225" s="283" t="str">
        <f t="shared" si="47"/>
        <v>-</v>
      </c>
      <c r="O225" s="283" t="str">
        <f t="shared" si="48"/>
        <v>-</v>
      </c>
      <c r="P225" s="283" t="str">
        <f t="shared" si="49"/>
        <v>-</v>
      </c>
      <c r="Q225" s="283" t="str">
        <f t="shared" si="50"/>
        <v>-</v>
      </c>
      <c r="R225" s="283" t="str">
        <f t="shared" si="51"/>
        <v>-</v>
      </c>
      <c r="S225" s="283" t="str">
        <f t="shared" si="52"/>
        <v>-</v>
      </c>
      <c r="T225" s="283" t="str">
        <f t="shared" si="53"/>
        <v>-</v>
      </c>
      <c r="U225" s="283" t="str">
        <f t="shared" si="54"/>
        <v>-</v>
      </c>
      <c r="V225" s="283" t="str">
        <f t="shared" si="55"/>
        <v>-</v>
      </c>
      <c r="W225" s="1" t="str">
        <f t="shared" si="56"/>
        <v>https://nj.tjj.beijing.gov.cn/nj/main/2022-tjnj/zk/indexch.htm/</v>
      </c>
      <c r="X225" s="1" t="str">
        <f t="shared" si="57"/>
        <v>https://nj.tjj.beijing.gov.cn/</v>
      </c>
      <c r="Y225" s="1" t="str">
        <f t="shared" si="58"/>
        <v>優先3</v>
      </c>
      <c r="Z225" s="1" t="str">
        <f t="shared" si="59"/>
        <v>The People's Government of Beijing Municipality [北京市人民政府]. "北京统计年鉴2022". Accessed 18 May, 2023. https://nj.tjj.beijing.gov.cn/.</v>
      </c>
    </row>
    <row r="226" spans="2:26">
      <c r="B226" s="285" t="s">
        <v>217</v>
      </c>
      <c r="C226" s="285" t="s">
        <v>464</v>
      </c>
      <c r="D226" s="285" t="s">
        <v>673</v>
      </c>
      <c r="E226" s="285" t="s">
        <v>150</v>
      </c>
      <c r="F226" s="13" t="s">
        <v>806</v>
      </c>
      <c r="G226" s="13" t="s">
        <v>1158</v>
      </c>
      <c r="H226" s="13" t="s">
        <v>1248</v>
      </c>
      <c r="I226" s="13" t="s">
        <v>2620</v>
      </c>
      <c r="J226" s="13" t="s">
        <v>2608</v>
      </c>
      <c r="K226" s="284">
        <v>45064</v>
      </c>
      <c r="L226" s="283" t="str">
        <f t="shared" si="45"/>
        <v>-</v>
      </c>
      <c r="M226" s="283" t="str">
        <f t="shared" si="46"/>
        <v>-</v>
      </c>
      <c r="N226" s="283" t="str">
        <f t="shared" si="47"/>
        <v>-</v>
      </c>
      <c r="O226" s="283" t="str">
        <f t="shared" si="48"/>
        <v>-</v>
      </c>
      <c r="P226" s="283" t="str">
        <f t="shared" si="49"/>
        <v>-</v>
      </c>
      <c r="Q226" s="283" t="str">
        <f t="shared" si="50"/>
        <v>-</v>
      </c>
      <c r="R226" s="283" t="str">
        <f t="shared" si="51"/>
        <v>-</v>
      </c>
      <c r="S226" s="283" t="str">
        <f t="shared" si="52"/>
        <v>-</v>
      </c>
      <c r="T226" s="283" t="str">
        <f t="shared" si="53"/>
        <v>-</v>
      </c>
      <c r="U226" s="283" t="str">
        <f t="shared" si="54"/>
        <v>-</v>
      </c>
      <c r="V226" s="283" t="str">
        <f t="shared" si="55"/>
        <v>-</v>
      </c>
      <c r="W226" s="1" t="str">
        <f t="shared" si="56"/>
        <v>http://tjj.sh.gov.cn/tjnj/20210303/2abf188275224739bd5bce9bf128aca8.html/</v>
      </c>
      <c r="X226" s="1" t="str">
        <f t="shared" si="57"/>
        <v>http://tjj.sh.gov.cn/</v>
      </c>
      <c r="Y226" s="1" t="str">
        <f t="shared" si="58"/>
        <v>優先3</v>
      </c>
      <c r="Z226" s="1" t="str">
        <f t="shared" si="59"/>
        <v>上海市统计局, Shanghai Municipal People's Government [上海市人民政府]. "上海市統計年鑑2020". Accessed 18 May, 2023. http://tjj.sh.gov.cn/.</v>
      </c>
    </row>
    <row r="227" spans="2:26">
      <c r="B227" s="285" t="s">
        <v>217</v>
      </c>
      <c r="C227" s="285" t="s">
        <v>464</v>
      </c>
      <c r="D227" s="285" t="s">
        <v>673</v>
      </c>
      <c r="E227" s="285" t="s">
        <v>152</v>
      </c>
      <c r="F227" s="13" t="s">
        <v>765</v>
      </c>
      <c r="G227" s="13" t="s">
        <v>764</v>
      </c>
      <c r="H227" s="13" t="s">
        <v>763</v>
      </c>
      <c r="I227" s="13" t="s">
        <v>996</v>
      </c>
      <c r="J227" s="13" t="s">
        <v>1249</v>
      </c>
      <c r="K227" s="284">
        <v>45062</v>
      </c>
      <c r="L227" s="283" t="str">
        <f t="shared" si="45"/>
        <v>-</v>
      </c>
      <c r="M227" s="283" t="str">
        <f t="shared" si="46"/>
        <v>-</v>
      </c>
      <c r="N227" s="283" t="str">
        <f t="shared" si="47"/>
        <v>-</v>
      </c>
      <c r="O227" s="283" t="str">
        <f t="shared" si="48"/>
        <v>-</v>
      </c>
      <c r="P227" s="283" t="str">
        <f t="shared" si="49"/>
        <v>-</v>
      </c>
      <c r="Q227" s="283" t="str">
        <f t="shared" si="50"/>
        <v>-</v>
      </c>
      <c r="R227" s="283" t="str">
        <f t="shared" si="51"/>
        <v>-</v>
      </c>
      <c r="S227" s="283" t="str">
        <f t="shared" si="52"/>
        <v>-</v>
      </c>
      <c r="T227" s="283" t="str">
        <f t="shared" si="53"/>
        <v>-</v>
      </c>
      <c r="U227" s="283" t="str">
        <f t="shared" si="54"/>
        <v>-</v>
      </c>
      <c r="V227" s="283" t="str">
        <f t="shared" si="55"/>
        <v>-</v>
      </c>
      <c r="W227" s="1" t="str">
        <f t="shared" si="56"/>
        <v>https://dbaseng.gov.taipei/Content_List.aspx?n=ED952FC77E9A7D4B/</v>
      </c>
      <c r="X227" s="1" t="str">
        <f t="shared" si="57"/>
        <v>https://dbaseng.gov.taipei/</v>
      </c>
      <c r="Y227" s="1" t="str">
        <f t="shared" si="58"/>
        <v>優先3</v>
      </c>
      <c r="Z227" s="1" t="str">
        <f t="shared" si="59"/>
        <v>Department of Budget, Accounting and Statistics, Taipei City Government [臺北市政府主計處]. "Short Report on Important Statistics of Taipei City". Accessed 16 May, 2023. https://dbaseng.gov.taipei/.</v>
      </c>
    </row>
    <row r="228" spans="2:26">
      <c r="B228" s="285" t="s">
        <v>217</v>
      </c>
      <c r="C228" s="285" t="s">
        <v>464</v>
      </c>
      <c r="D228" s="285" t="s">
        <v>673</v>
      </c>
      <c r="E228" s="285" t="s">
        <v>154</v>
      </c>
      <c r="F228" s="13" t="s">
        <v>1250</v>
      </c>
      <c r="G228" s="13"/>
      <c r="H228" s="13"/>
      <c r="I228" s="13" t="s">
        <v>2621</v>
      </c>
      <c r="J228" s="13" t="s">
        <v>3676</v>
      </c>
      <c r="K228" s="284">
        <v>45062</v>
      </c>
      <c r="L228" s="283" t="str">
        <f t="shared" si="45"/>
        <v>-</v>
      </c>
      <c r="M228" s="283" t="str">
        <f t="shared" si="46"/>
        <v>-</v>
      </c>
      <c r="N228" s="283" t="str">
        <f t="shared" si="47"/>
        <v>-</v>
      </c>
      <c r="O228" s="283" t="str">
        <f t="shared" si="48"/>
        <v>-</v>
      </c>
      <c r="P228" s="283" t="str">
        <f t="shared" si="49"/>
        <v>-</v>
      </c>
      <c r="Q228" s="283" t="str">
        <f t="shared" si="50"/>
        <v>-</v>
      </c>
      <c r="R228" s="283" t="str">
        <f t="shared" si="51"/>
        <v>-</v>
      </c>
      <c r="S228" s="283" t="str">
        <f t="shared" si="52"/>
        <v>-</v>
      </c>
      <c r="T228" s="283" t="str">
        <f t="shared" si="53"/>
        <v>-</v>
      </c>
      <c r="U228" s="283" t="str">
        <f t="shared" si="54"/>
        <v>-</v>
      </c>
      <c r="V228" s="283" t="str">
        <f t="shared" si="55"/>
        <v>-</v>
      </c>
      <c r="W228" s="1" t="str">
        <f t="shared" si="56"/>
        <v>https://kosis.kr/statHtml/statHtml.do?orgId=101&amp;tblId=DT_1DA7030S&amp;vw_cd=MT_ETITLE&amp;list_id=B17&amp;scrId=&amp;language=en&amp;seqNo=&amp;lang_mode=en&amp;obj_var_id=&amp;itm_id=&amp;conn_path=MT_ETITLE&amp;path=%252Feng%252FstatisticsList%252FstatisticsListIndex.do/</v>
      </c>
      <c r="X228" s="1" t="str">
        <f t="shared" si="57"/>
        <v>https://kosis.kr/</v>
      </c>
      <c r="Y228" s="1" t="str">
        <f t="shared" si="58"/>
        <v>優先3</v>
      </c>
      <c r="Z228" s="1" t="str">
        <f t="shared" si="59"/>
        <v>KOrean Statistical Information Service, Statistics Korea. "Economically Active Population Survey". Accessed 16 May, 2023. https://kosis.kr/.</v>
      </c>
    </row>
    <row r="229" spans="2:26">
      <c r="B229" s="285" t="s">
        <v>217</v>
      </c>
      <c r="C229" s="285" t="s">
        <v>464</v>
      </c>
      <c r="D229" s="285" t="s">
        <v>673</v>
      </c>
      <c r="E229" s="285" t="s">
        <v>156</v>
      </c>
      <c r="F229" s="13" t="s">
        <v>817</v>
      </c>
      <c r="G229" s="13" t="s">
        <v>691</v>
      </c>
      <c r="H229" s="13"/>
      <c r="I229" s="13" t="s">
        <v>3677</v>
      </c>
      <c r="J229" s="13" t="s">
        <v>3678</v>
      </c>
      <c r="K229" s="284">
        <v>45061</v>
      </c>
      <c r="L229" s="283">
        <f t="shared" si="45"/>
        <v>3</v>
      </c>
      <c r="M229" s="283" t="str">
        <f t="shared" si="46"/>
        <v>-</v>
      </c>
      <c r="N229" s="283" t="str">
        <f t="shared" si="47"/>
        <v>-</v>
      </c>
      <c r="O229" s="283" t="str">
        <f t="shared" si="48"/>
        <v>-</v>
      </c>
      <c r="P229" s="283" t="str">
        <f t="shared" si="49"/>
        <v>-</v>
      </c>
      <c r="Q229" s="283" t="str">
        <f t="shared" si="50"/>
        <v>-</v>
      </c>
      <c r="R229" s="283" t="str">
        <f t="shared" si="51"/>
        <v>NG</v>
      </c>
      <c r="S229" s="283" t="str">
        <f t="shared" si="52"/>
        <v>-</v>
      </c>
      <c r="T229" s="283" t="str">
        <f t="shared" si="53"/>
        <v>-</v>
      </c>
      <c r="U229" s="283" t="str">
        <f t="shared" si="54"/>
        <v>-</v>
      </c>
      <c r="V229" s="283" t="str">
        <f t="shared" si="55"/>
        <v>-</v>
      </c>
      <c r="W229" s="1" t="str">
        <f t="shared" si="56"/>
        <v>https://www.e-stat.go.jp/stat-search/files?page=1&amp;toukei=00200553/</v>
      </c>
      <c r="X229" s="1" t="str">
        <f t="shared" si="57"/>
        <v>https://www.e-stat.go.jp/</v>
      </c>
      <c r="Y229" s="1" t="str">
        <f t="shared" si="58"/>
        <v>優先3</v>
      </c>
      <c r="Z229" s="1" t="str">
        <f t="shared" si="59"/>
        <v>Statistics Bureau, Ministry of Internal Affairs and Communications, Government of Japan. "令和３年経済センサス‐活動調査　速報集計". Accessed 15 May, 2023. https://www.e-stat.go.jp/.</v>
      </c>
    </row>
    <row r="230" spans="2:26">
      <c r="B230" s="285" t="s">
        <v>217</v>
      </c>
      <c r="C230" s="285" t="s">
        <v>464</v>
      </c>
      <c r="D230" s="285" t="s">
        <v>673</v>
      </c>
      <c r="E230" s="285" t="s">
        <v>158</v>
      </c>
      <c r="F230" s="13" t="s">
        <v>817</v>
      </c>
      <c r="G230" s="13" t="s">
        <v>691</v>
      </c>
      <c r="H230" s="13"/>
      <c r="I230" s="13" t="s">
        <v>3677</v>
      </c>
      <c r="J230" s="13" t="s">
        <v>3678</v>
      </c>
      <c r="K230" s="284">
        <v>45061</v>
      </c>
      <c r="L230" s="283">
        <f t="shared" si="45"/>
        <v>3</v>
      </c>
      <c r="M230" s="283" t="str">
        <f t="shared" si="46"/>
        <v>-</v>
      </c>
      <c r="N230" s="283" t="str">
        <f t="shared" si="47"/>
        <v>-</v>
      </c>
      <c r="O230" s="283" t="str">
        <f t="shared" si="48"/>
        <v>-</v>
      </c>
      <c r="P230" s="283" t="str">
        <f t="shared" si="49"/>
        <v>-</v>
      </c>
      <c r="Q230" s="283" t="str">
        <f t="shared" si="50"/>
        <v>-</v>
      </c>
      <c r="R230" s="283" t="str">
        <f t="shared" si="51"/>
        <v>NG</v>
      </c>
      <c r="S230" s="283" t="str">
        <f t="shared" si="52"/>
        <v>-</v>
      </c>
      <c r="T230" s="283" t="str">
        <f t="shared" si="53"/>
        <v>-</v>
      </c>
      <c r="U230" s="283" t="str">
        <f t="shared" si="54"/>
        <v>-</v>
      </c>
      <c r="V230" s="283" t="str">
        <f t="shared" si="55"/>
        <v>-</v>
      </c>
      <c r="W230" s="1" t="str">
        <f t="shared" si="56"/>
        <v>https://www.e-stat.go.jp/stat-search/files?page=1&amp;toukei=00200553/</v>
      </c>
      <c r="X230" s="1" t="str">
        <f t="shared" si="57"/>
        <v>https://www.e-stat.go.jp/</v>
      </c>
      <c r="Y230" s="1" t="str">
        <f t="shared" si="58"/>
        <v>優先3</v>
      </c>
      <c r="Z230" s="1" t="str">
        <f t="shared" si="59"/>
        <v>Statistics Bureau, Ministry of Internal Affairs and Communications, Government of Japan. "令和３年経済センサス‐活動調査　速報集計". Accessed 15 May, 2023. https://www.e-stat.go.jp/.</v>
      </c>
    </row>
    <row r="231" spans="2:26">
      <c r="B231" s="285" t="s">
        <v>217</v>
      </c>
      <c r="C231" s="285" t="s">
        <v>464</v>
      </c>
      <c r="D231" s="285" t="s">
        <v>673</v>
      </c>
      <c r="E231" s="285" t="s">
        <v>160</v>
      </c>
      <c r="F231" s="13" t="s">
        <v>817</v>
      </c>
      <c r="G231" s="13" t="s">
        <v>691</v>
      </c>
      <c r="H231" s="13"/>
      <c r="I231" s="13" t="s">
        <v>3677</v>
      </c>
      <c r="J231" s="13" t="s">
        <v>3678</v>
      </c>
      <c r="K231" s="284">
        <v>45061</v>
      </c>
      <c r="L231" s="283">
        <f t="shared" si="45"/>
        <v>3</v>
      </c>
      <c r="M231" s="283" t="str">
        <f t="shared" si="46"/>
        <v>-</v>
      </c>
      <c r="N231" s="283" t="str">
        <f t="shared" si="47"/>
        <v>-</v>
      </c>
      <c r="O231" s="283" t="str">
        <f t="shared" si="48"/>
        <v>-</v>
      </c>
      <c r="P231" s="283" t="str">
        <f t="shared" si="49"/>
        <v>-</v>
      </c>
      <c r="Q231" s="283" t="str">
        <f t="shared" si="50"/>
        <v>-</v>
      </c>
      <c r="R231" s="283" t="str">
        <f t="shared" si="51"/>
        <v>NG</v>
      </c>
      <c r="S231" s="283" t="str">
        <f t="shared" si="52"/>
        <v>-</v>
      </c>
      <c r="T231" s="283" t="str">
        <f t="shared" si="53"/>
        <v>-</v>
      </c>
      <c r="U231" s="283" t="str">
        <f t="shared" si="54"/>
        <v>-</v>
      </c>
      <c r="V231" s="283" t="str">
        <f t="shared" si="55"/>
        <v>-</v>
      </c>
      <c r="W231" s="1" t="str">
        <f t="shared" si="56"/>
        <v>https://www.e-stat.go.jp/stat-search/files?page=1&amp;toukei=00200553/</v>
      </c>
      <c r="X231" s="1" t="str">
        <f t="shared" si="57"/>
        <v>https://www.e-stat.go.jp/</v>
      </c>
      <c r="Y231" s="1" t="str">
        <f t="shared" si="58"/>
        <v>優先3</v>
      </c>
      <c r="Z231" s="1" t="str">
        <f t="shared" si="59"/>
        <v>Statistics Bureau, Ministry of Internal Affairs and Communications, Government of Japan. "令和３年経済センサス‐活動調査　速報集計". Accessed 15 May, 2023. https://www.e-stat.go.jp/.</v>
      </c>
    </row>
    <row r="232" spans="2:26">
      <c r="B232" s="285" t="s">
        <v>217</v>
      </c>
      <c r="C232" s="285" t="s">
        <v>464</v>
      </c>
      <c r="D232" s="285" t="s">
        <v>673</v>
      </c>
      <c r="E232" s="285" t="s">
        <v>162</v>
      </c>
      <c r="F232" s="13" t="s">
        <v>811</v>
      </c>
      <c r="G232" s="13" t="s">
        <v>1251</v>
      </c>
      <c r="H232" s="13"/>
      <c r="I232" s="13" t="s">
        <v>4063</v>
      </c>
      <c r="J232" s="13" t="s">
        <v>4064</v>
      </c>
      <c r="K232" s="284">
        <v>45061</v>
      </c>
      <c r="L232" s="283">
        <f t="shared" si="45"/>
        <v>2</v>
      </c>
      <c r="M232" s="283" t="str">
        <f t="shared" si="46"/>
        <v>-</v>
      </c>
      <c r="N232" s="283" t="str">
        <f t="shared" si="47"/>
        <v>-</v>
      </c>
      <c r="O232" s="283" t="str">
        <f t="shared" si="48"/>
        <v>-</v>
      </c>
      <c r="P232" s="283" t="str">
        <f t="shared" si="49"/>
        <v>-</v>
      </c>
      <c r="Q232" s="283" t="str">
        <f t="shared" si="50"/>
        <v>-</v>
      </c>
      <c r="R232" s="283" t="str">
        <f t="shared" si="51"/>
        <v>-</v>
      </c>
      <c r="S232" s="283" t="str">
        <f t="shared" si="52"/>
        <v>-</v>
      </c>
      <c r="T232" s="283" t="str">
        <f t="shared" si="53"/>
        <v>-</v>
      </c>
      <c r="U232" s="283" t="str">
        <f t="shared" si="54"/>
        <v>-</v>
      </c>
      <c r="V232" s="283" t="str">
        <f t="shared" si="55"/>
        <v>-</v>
      </c>
      <c r="W232" s="1" t="str">
        <f t="shared" si="56"/>
        <v>https://www.abs.gov.au/census/find-census-data/quickstats/2021/1GSYD/</v>
      </c>
      <c r="X232" s="1" t="str">
        <f t="shared" si="57"/>
        <v>https://www.abs.gov.au/</v>
      </c>
      <c r="Y232" s="1" t="str">
        <f t="shared" si="58"/>
        <v>優先3</v>
      </c>
      <c r="Z232" s="1" t="str">
        <f t="shared" si="59"/>
        <v>Australian Bureau of Statistics, Commonwealth of Australia. "2021 Census All persons QuickStats". Accessed 15 May, 2023. https://www.abs.gov.au/.</v>
      </c>
    </row>
    <row r="233" spans="2:26">
      <c r="B233" s="285" t="s">
        <v>217</v>
      </c>
      <c r="C233" s="285" t="s">
        <v>464</v>
      </c>
      <c r="D233" s="285" t="s">
        <v>673</v>
      </c>
      <c r="E233" s="285" t="s">
        <v>164</v>
      </c>
      <c r="F233" s="13" t="s">
        <v>814</v>
      </c>
      <c r="G233" s="13" t="s">
        <v>2622</v>
      </c>
      <c r="H233" s="13"/>
      <c r="I233" s="13" t="s">
        <v>3630</v>
      </c>
      <c r="J233" s="13" t="s">
        <v>4065</v>
      </c>
      <c r="K233" s="284">
        <v>45061</v>
      </c>
      <c r="L233" s="283" t="str">
        <f t="shared" si="45"/>
        <v>-</v>
      </c>
      <c r="M233" s="283" t="str">
        <f t="shared" si="46"/>
        <v>-</v>
      </c>
      <c r="N233" s="283" t="str">
        <f t="shared" si="47"/>
        <v>-</v>
      </c>
      <c r="O233" s="283" t="str">
        <f t="shared" si="48"/>
        <v>-</v>
      </c>
      <c r="P233" s="283" t="str">
        <f t="shared" si="49"/>
        <v>-</v>
      </c>
      <c r="Q233" s="283" t="str">
        <f t="shared" si="50"/>
        <v>-</v>
      </c>
      <c r="R233" s="283" t="str">
        <f t="shared" si="51"/>
        <v>-</v>
      </c>
      <c r="S233" s="283" t="str">
        <f t="shared" si="52"/>
        <v>-</v>
      </c>
      <c r="T233" s="283" t="str">
        <f t="shared" si="53"/>
        <v>-</v>
      </c>
      <c r="U233" s="283" t="str">
        <f t="shared" si="54"/>
        <v>-</v>
      </c>
      <c r="V233" s="283" t="str">
        <f t="shared" si="55"/>
        <v>-</v>
      </c>
      <c r="W233" s="1" t="str">
        <f t="shared" si="56"/>
        <v>https://www12.statcan.gc.ca/census-recensement/2021/dp-pd/prof/details/page.cfm?LANG=E&amp;GENDERlist=1&amp;STATISTIClist=1&amp;DGUIDlist=2021A00055915022,2021A000011124,2021S0503933&amp;HEADERlist=40&amp;SearchText=Vancouver/</v>
      </c>
      <c r="X233" s="1" t="str">
        <f t="shared" si="57"/>
        <v>https://www12.statcan.gc.ca/</v>
      </c>
      <c r="Y233" s="1" t="str">
        <f t="shared" si="58"/>
        <v>優先3</v>
      </c>
      <c r="Z233" s="1" t="str">
        <f t="shared" si="59"/>
        <v>Statistics Canada, Canadian Federation. "Census Profile, 2021 Census of Population". Accessed 15 May, 2023. https://www12.statcan.gc.ca/.</v>
      </c>
    </row>
    <row r="234" spans="2:26">
      <c r="B234" s="285" t="s">
        <v>217</v>
      </c>
      <c r="C234" s="285" t="s">
        <v>464</v>
      </c>
      <c r="D234" s="285" t="s">
        <v>673</v>
      </c>
      <c r="E234" s="285" t="s">
        <v>166</v>
      </c>
      <c r="F234" s="13" t="s">
        <v>1162</v>
      </c>
      <c r="G234" s="13" t="s">
        <v>1252</v>
      </c>
      <c r="H234" s="13"/>
      <c r="I234" s="13" t="s">
        <v>954</v>
      </c>
      <c r="J234" s="13" t="s">
        <v>1165</v>
      </c>
      <c r="K234" s="284">
        <v>45062</v>
      </c>
      <c r="L234" s="283">
        <f t="shared" si="45"/>
        <v>6</v>
      </c>
      <c r="M234" s="283" t="str">
        <f t="shared" si="46"/>
        <v>-</v>
      </c>
      <c r="N234" s="283" t="str">
        <f t="shared" si="47"/>
        <v>-</v>
      </c>
      <c r="O234" s="283" t="str">
        <f t="shared" si="48"/>
        <v>-</v>
      </c>
      <c r="P234" s="283" t="str">
        <f t="shared" si="49"/>
        <v>-</v>
      </c>
      <c r="Q234" s="283" t="str">
        <f t="shared" si="50"/>
        <v>-</v>
      </c>
      <c r="R234" s="283" t="str">
        <f t="shared" si="51"/>
        <v>-</v>
      </c>
      <c r="S234" s="283" t="str">
        <f t="shared" si="52"/>
        <v>-</v>
      </c>
      <c r="T234" s="283" t="str">
        <f t="shared" si="53"/>
        <v>-</v>
      </c>
      <c r="U234" s="283" t="str">
        <f t="shared" si="54"/>
        <v>-</v>
      </c>
      <c r="V234" s="283" t="str">
        <f t="shared" si="55"/>
        <v>-</v>
      </c>
      <c r="W234" s="1" t="str">
        <f t="shared" si="56"/>
        <v>https://apps.bea.gov/itable/iTable.cfm?ReqID=70&amp;step=1/</v>
      </c>
      <c r="X234" s="1" t="str">
        <f t="shared" si="57"/>
        <v>https://apps.bea.gov/</v>
      </c>
      <c r="Y234" s="1" t="str">
        <f t="shared" si="58"/>
        <v>優先3</v>
      </c>
      <c r="Z234" s="1" t="str">
        <f t="shared" si="59"/>
        <v>The U.S. Bureau of Economic Analysis, the United States government. "CAEMP25N Total Full-Time and Part-Time Employment by NAICS Industry 1/". Accessed 16 May, 2023. https://apps.bea.gov/.</v>
      </c>
    </row>
    <row r="235" spans="2:26">
      <c r="B235" s="285" t="s">
        <v>217</v>
      </c>
      <c r="C235" s="285" t="s">
        <v>464</v>
      </c>
      <c r="D235" s="285" t="s">
        <v>673</v>
      </c>
      <c r="E235" s="285" t="s">
        <v>168</v>
      </c>
      <c r="F235" s="13" t="s">
        <v>1162</v>
      </c>
      <c r="G235" s="13" t="s">
        <v>1252</v>
      </c>
      <c r="H235" s="13"/>
      <c r="I235" s="13" t="s">
        <v>954</v>
      </c>
      <c r="J235" s="13" t="s">
        <v>1165</v>
      </c>
      <c r="K235" s="284">
        <v>45062</v>
      </c>
      <c r="L235" s="283">
        <f t="shared" si="45"/>
        <v>6</v>
      </c>
      <c r="M235" s="283" t="str">
        <f t="shared" si="46"/>
        <v>-</v>
      </c>
      <c r="N235" s="283" t="str">
        <f t="shared" si="47"/>
        <v>-</v>
      </c>
      <c r="O235" s="283" t="str">
        <f t="shared" si="48"/>
        <v>-</v>
      </c>
      <c r="P235" s="283" t="str">
        <f t="shared" si="49"/>
        <v>-</v>
      </c>
      <c r="Q235" s="283" t="str">
        <f t="shared" si="50"/>
        <v>-</v>
      </c>
      <c r="R235" s="283" t="str">
        <f t="shared" si="51"/>
        <v>-</v>
      </c>
      <c r="S235" s="283" t="str">
        <f t="shared" si="52"/>
        <v>-</v>
      </c>
      <c r="T235" s="283" t="str">
        <f t="shared" si="53"/>
        <v>-</v>
      </c>
      <c r="U235" s="283" t="str">
        <f t="shared" si="54"/>
        <v>-</v>
      </c>
      <c r="V235" s="283" t="str">
        <f t="shared" si="55"/>
        <v>-</v>
      </c>
      <c r="W235" s="1" t="str">
        <f t="shared" si="56"/>
        <v>https://apps.bea.gov/itable/iTable.cfm?ReqID=70&amp;step=1/</v>
      </c>
      <c r="X235" s="1" t="str">
        <f t="shared" si="57"/>
        <v>https://apps.bea.gov/</v>
      </c>
      <c r="Y235" s="1" t="str">
        <f t="shared" si="58"/>
        <v>優先3</v>
      </c>
      <c r="Z235" s="1" t="str">
        <f t="shared" si="59"/>
        <v>The U.S. Bureau of Economic Analysis, the United States government. "CAEMP25N Total Full-Time and Part-Time Employment by NAICS Industry 1/". Accessed 16 May, 2023. https://apps.bea.gov/.</v>
      </c>
    </row>
    <row r="236" spans="2:26">
      <c r="B236" s="285" t="s">
        <v>217</v>
      </c>
      <c r="C236" s="285" t="s">
        <v>464</v>
      </c>
      <c r="D236" s="285" t="s">
        <v>673</v>
      </c>
      <c r="E236" s="285" t="s">
        <v>170</v>
      </c>
      <c r="F236" s="13" t="s">
        <v>1253</v>
      </c>
      <c r="G236" s="13"/>
      <c r="H236" s="13"/>
      <c r="I236" s="13" t="s">
        <v>1167</v>
      </c>
      <c r="J236" s="13" t="s">
        <v>4066</v>
      </c>
      <c r="K236" s="284">
        <v>45062</v>
      </c>
      <c r="L236" s="283" t="str">
        <f t="shared" si="45"/>
        <v>-</v>
      </c>
      <c r="M236" s="283" t="str">
        <f t="shared" si="46"/>
        <v>-</v>
      </c>
      <c r="N236" s="283" t="str">
        <f t="shared" si="47"/>
        <v>-</v>
      </c>
      <c r="O236" s="283" t="str">
        <f t="shared" si="48"/>
        <v>-</v>
      </c>
      <c r="P236" s="283" t="str">
        <f t="shared" si="49"/>
        <v>-</v>
      </c>
      <c r="Q236" s="283" t="str">
        <f t="shared" si="50"/>
        <v>-</v>
      </c>
      <c r="R236" s="283" t="str">
        <f t="shared" si="51"/>
        <v>-</v>
      </c>
      <c r="S236" s="283" t="str">
        <f t="shared" si="52"/>
        <v>-</v>
      </c>
      <c r="T236" s="283" t="str">
        <f t="shared" si="53"/>
        <v>-</v>
      </c>
      <c r="U236" s="283" t="str">
        <f t="shared" si="54"/>
        <v>-</v>
      </c>
      <c r="V236" s="283" t="str">
        <f t="shared" si="55"/>
        <v>-</v>
      </c>
      <c r="W236" s="1" t="str">
        <f t="shared" si="56"/>
        <v>https://www.inegi.org.mx/app/areasgeograficas/?ag=07000009#collapse-Tabulados/</v>
      </c>
      <c r="X236" s="1" t="str">
        <f t="shared" si="57"/>
        <v>https://www.inegi.org.mx/</v>
      </c>
      <c r="Y236" s="1" t="str">
        <f t="shared" si="58"/>
        <v>優先3</v>
      </c>
      <c r="Z236" s="1" t="str">
        <f t="shared" si="59"/>
        <v>the National Institute of Statistics, Geography and Informatics. "Mexico en Cifras". Accessed 16 May, 2023. https://www.inegi.org.mx/.</v>
      </c>
    </row>
    <row r="237" spans="2:26">
      <c r="B237" s="285" t="s">
        <v>217</v>
      </c>
      <c r="C237" s="285" t="s">
        <v>464</v>
      </c>
      <c r="D237" s="285" t="s">
        <v>673</v>
      </c>
      <c r="E237" s="285" t="s">
        <v>172</v>
      </c>
      <c r="F237" s="13" t="s">
        <v>1162</v>
      </c>
      <c r="G237" s="13" t="s">
        <v>1252</v>
      </c>
      <c r="H237" s="13"/>
      <c r="I237" s="13" t="s">
        <v>954</v>
      </c>
      <c r="J237" s="13" t="s">
        <v>1165</v>
      </c>
      <c r="K237" s="284">
        <v>45062</v>
      </c>
      <c r="L237" s="283">
        <f t="shared" si="45"/>
        <v>6</v>
      </c>
      <c r="M237" s="283" t="str">
        <f t="shared" si="46"/>
        <v>-</v>
      </c>
      <c r="N237" s="283" t="str">
        <f t="shared" si="47"/>
        <v>-</v>
      </c>
      <c r="O237" s="283" t="str">
        <f t="shared" si="48"/>
        <v>-</v>
      </c>
      <c r="P237" s="283" t="str">
        <f t="shared" si="49"/>
        <v>-</v>
      </c>
      <c r="Q237" s="283" t="str">
        <f t="shared" si="50"/>
        <v>-</v>
      </c>
      <c r="R237" s="283" t="str">
        <f t="shared" si="51"/>
        <v>-</v>
      </c>
      <c r="S237" s="283" t="str">
        <f t="shared" si="52"/>
        <v>-</v>
      </c>
      <c r="T237" s="283" t="str">
        <f t="shared" si="53"/>
        <v>-</v>
      </c>
      <c r="U237" s="283" t="str">
        <f t="shared" si="54"/>
        <v>-</v>
      </c>
      <c r="V237" s="283" t="str">
        <f t="shared" si="55"/>
        <v>-</v>
      </c>
      <c r="W237" s="1" t="str">
        <f t="shared" si="56"/>
        <v>https://apps.bea.gov/itable/iTable.cfm?ReqID=70&amp;step=1/</v>
      </c>
      <c r="X237" s="1" t="str">
        <f t="shared" si="57"/>
        <v>https://apps.bea.gov/</v>
      </c>
      <c r="Y237" s="1" t="str">
        <f t="shared" si="58"/>
        <v>優先3</v>
      </c>
      <c r="Z237" s="1" t="str">
        <f t="shared" si="59"/>
        <v>The U.S. Bureau of Economic Analysis, the United States government. "CAEMP25N Total Full-Time and Part-Time Employment by NAICS Industry 1/". Accessed 16 May, 2023. https://apps.bea.gov/.</v>
      </c>
    </row>
    <row r="238" spans="2:26">
      <c r="B238" s="285" t="s">
        <v>217</v>
      </c>
      <c r="C238" s="285" t="s">
        <v>464</v>
      </c>
      <c r="D238" s="285" t="s">
        <v>673</v>
      </c>
      <c r="E238" s="285" t="s">
        <v>174</v>
      </c>
      <c r="F238" s="13"/>
      <c r="G238" s="13" t="s">
        <v>983</v>
      </c>
      <c r="H238" s="13"/>
      <c r="I238" s="13" t="s">
        <v>3679</v>
      </c>
      <c r="J238" s="13" t="s">
        <v>3680</v>
      </c>
      <c r="K238" s="284">
        <v>45061</v>
      </c>
      <c r="L238" s="283" t="str">
        <f t="shared" si="45"/>
        <v>-</v>
      </c>
      <c r="M238" s="283" t="str">
        <f t="shared" si="46"/>
        <v>-</v>
      </c>
      <c r="N238" s="283" t="str">
        <f t="shared" si="47"/>
        <v>-</v>
      </c>
      <c r="O238" s="283" t="str">
        <f t="shared" si="48"/>
        <v>-</v>
      </c>
      <c r="P238" s="283" t="str">
        <f t="shared" si="49"/>
        <v>-</v>
      </c>
      <c r="Q238" s="283" t="str">
        <f t="shared" si="50"/>
        <v>-</v>
      </c>
      <c r="R238" s="283" t="str">
        <f t="shared" si="51"/>
        <v>-</v>
      </c>
      <c r="S238" s="283" t="str">
        <f t="shared" si="52"/>
        <v>-</v>
      </c>
      <c r="T238" s="283" t="str">
        <f t="shared" si="53"/>
        <v>-</v>
      </c>
      <c r="U238" s="283" t="str">
        <f t="shared" si="54"/>
        <v>-</v>
      </c>
      <c r="V238" s="283" t="str">
        <f t="shared" si="55"/>
        <v>-</v>
      </c>
      <c r="W238" s="1" t="str">
        <f t="shared" si="56"/>
        <v>https://open.toronto.ca/dataset/toronto-economic-bulletin/</v>
      </c>
      <c r="X238" s="1" t="str">
        <f t="shared" si="57"/>
        <v>https://open.toronto.ca/</v>
      </c>
      <c r="Y238" s="1" t="str">
        <f t="shared" si="58"/>
        <v>優先3</v>
      </c>
      <c r="Z238" s="1" t="str">
        <f t="shared" si="59"/>
        <v>City of Toronto. "About Toronto Economic Bulletin". Accessed 15 May, 2023. https://open.toronto.ca/.</v>
      </c>
    </row>
    <row r="239" spans="2:26">
      <c r="B239" s="285" t="s">
        <v>217</v>
      </c>
      <c r="C239" s="285" t="s">
        <v>464</v>
      </c>
      <c r="D239" s="285" t="s">
        <v>673</v>
      </c>
      <c r="E239" s="285" t="s">
        <v>373</v>
      </c>
      <c r="F239" s="13" t="s">
        <v>1162</v>
      </c>
      <c r="G239" s="13" t="s">
        <v>1252</v>
      </c>
      <c r="H239" s="13"/>
      <c r="I239" s="13" t="s">
        <v>954</v>
      </c>
      <c r="J239" s="13" t="s">
        <v>1165</v>
      </c>
      <c r="K239" s="284">
        <v>45035</v>
      </c>
      <c r="L239" s="283">
        <f t="shared" si="45"/>
        <v>6</v>
      </c>
      <c r="M239" s="283" t="str">
        <f t="shared" si="46"/>
        <v>-</v>
      </c>
      <c r="N239" s="283" t="str">
        <f t="shared" si="47"/>
        <v>-</v>
      </c>
      <c r="O239" s="283" t="str">
        <f t="shared" si="48"/>
        <v>-</v>
      </c>
      <c r="P239" s="283" t="str">
        <f t="shared" si="49"/>
        <v>-</v>
      </c>
      <c r="Q239" s="283" t="str">
        <f t="shared" si="50"/>
        <v>-</v>
      </c>
      <c r="R239" s="283" t="str">
        <f t="shared" si="51"/>
        <v>-</v>
      </c>
      <c r="S239" s="283" t="str">
        <f t="shared" si="52"/>
        <v>-</v>
      </c>
      <c r="T239" s="283" t="str">
        <f t="shared" si="53"/>
        <v>-</v>
      </c>
      <c r="U239" s="283" t="str">
        <f t="shared" si="54"/>
        <v>-</v>
      </c>
      <c r="V239" s="283" t="str">
        <f t="shared" si="55"/>
        <v>-</v>
      </c>
      <c r="W239" s="1" t="str">
        <f t="shared" si="56"/>
        <v>https://apps.bea.gov/itable/iTable.cfm?ReqID=70&amp;step=1/</v>
      </c>
      <c r="X239" s="1" t="str">
        <f t="shared" si="57"/>
        <v>https://apps.bea.gov/</v>
      </c>
      <c r="Y239" s="1" t="str">
        <f t="shared" si="58"/>
        <v>優先3</v>
      </c>
      <c r="Z239" s="1" t="str">
        <f t="shared" si="59"/>
        <v>The U.S. Bureau of Economic Analysis, the United States government. "CAEMP25N Total Full-Time and Part-Time Employment by NAICS Industry 1/". Accessed 19 April, 2023. https://apps.bea.gov/.</v>
      </c>
    </row>
    <row r="240" spans="2:26">
      <c r="B240" s="285" t="s">
        <v>217</v>
      </c>
      <c r="C240" s="285" t="s">
        <v>464</v>
      </c>
      <c r="D240" s="285" t="s">
        <v>673</v>
      </c>
      <c r="E240" s="285" t="s">
        <v>178</v>
      </c>
      <c r="F240" s="13" t="s">
        <v>1162</v>
      </c>
      <c r="G240" s="13" t="s">
        <v>1252</v>
      </c>
      <c r="H240" s="13"/>
      <c r="I240" s="13" t="s">
        <v>954</v>
      </c>
      <c r="J240" s="13" t="s">
        <v>1165</v>
      </c>
      <c r="K240" s="284">
        <v>45035</v>
      </c>
      <c r="L240" s="283">
        <f t="shared" si="45"/>
        <v>6</v>
      </c>
      <c r="M240" s="283" t="str">
        <f t="shared" si="46"/>
        <v>-</v>
      </c>
      <c r="N240" s="283" t="str">
        <f t="shared" si="47"/>
        <v>-</v>
      </c>
      <c r="O240" s="283" t="str">
        <f t="shared" si="48"/>
        <v>-</v>
      </c>
      <c r="P240" s="283" t="str">
        <f t="shared" si="49"/>
        <v>-</v>
      </c>
      <c r="Q240" s="283" t="str">
        <f t="shared" si="50"/>
        <v>-</v>
      </c>
      <c r="R240" s="283" t="str">
        <f t="shared" si="51"/>
        <v>-</v>
      </c>
      <c r="S240" s="283" t="str">
        <f t="shared" si="52"/>
        <v>-</v>
      </c>
      <c r="T240" s="283" t="str">
        <f t="shared" si="53"/>
        <v>-</v>
      </c>
      <c r="U240" s="283" t="str">
        <f t="shared" si="54"/>
        <v>-</v>
      </c>
      <c r="V240" s="283" t="str">
        <f t="shared" si="55"/>
        <v>-</v>
      </c>
      <c r="W240" s="1" t="str">
        <f t="shared" si="56"/>
        <v>https://apps.bea.gov/itable/iTable.cfm?ReqID=70&amp;step=1/</v>
      </c>
      <c r="X240" s="1" t="str">
        <f t="shared" si="57"/>
        <v>https://apps.bea.gov/</v>
      </c>
      <c r="Y240" s="1" t="str">
        <f t="shared" si="58"/>
        <v>優先3</v>
      </c>
      <c r="Z240" s="1" t="str">
        <f t="shared" si="59"/>
        <v>The U.S. Bureau of Economic Analysis, the United States government. "CAEMP25N Total Full-Time and Part-Time Employment by NAICS Industry 1/". Accessed 19 April, 2023. https://apps.bea.gov/.</v>
      </c>
    </row>
    <row r="241" spans="2:26">
      <c r="B241" s="285" t="s">
        <v>217</v>
      </c>
      <c r="C241" s="285" t="s">
        <v>464</v>
      </c>
      <c r="D241" s="285" t="s">
        <v>673</v>
      </c>
      <c r="E241" s="285" t="s">
        <v>180</v>
      </c>
      <c r="F241" s="13" t="s">
        <v>1162</v>
      </c>
      <c r="G241" s="13" t="s">
        <v>1252</v>
      </c>
      <c r="H241" s="13"/>
      <c r="I241" s="13" t="s">
        <v>954</v>
      </c>
      <c r="J241" s="13" t="s">
        <v>1165</v>
      </c>
      <c r="K241" s="284">
        <v>45062</v>
      </c>
      <c r="L241" s="283">
        <f t="shared" si="45"/>
        <v>6</v>
      </c>
      <c r="M241" s="283" t="str">
        <f t="shared" si="46"/>
        <v>-</v>
      </c>
      <c r="N241" s="283" t="str">
        <f t="shared" si="47"/>
        <v>-</v>
      </c>
      <c r="O241" s="283" t="str">
        <f t="shared" si="48"/>
        <v>-</v>
      </c>
      <c r="P241" s="283" t="str">
        <f t="shared" si="49"/>
        <v>-</v>
      </c>
      <c r="Q241" s="283" t="str">
        <f t="shared" si="50"/>
        <v>-</v>
      </c>
      <c r="R241" s="283" t="str">
        <f t="shared" si="51"/>
        <v>-</v>
      </c>
      <c r="S241" s="283" t="str">
        <f t="shared" si="52"/>
        <v>-</v>
      </c>
      <c r="T241" s="283" t="str">
        <f t="shared" si="53"/>
        <v>-</v>
      </c>
      <c r="U241" s="283" t="str">
        <f t="shared" si="54"/>
        <v>-</v>
      </c>
      <c r="V241" s="283" t="str">
        <f t="shared" si="55"/>
        <v>-</v>
      </c>
      <c r="W241" s="1" t="str">
        <f t="shared" si="56"/>
        <v>https://apps.bea.gov/itable/iTable.cfm?ReqID=70&amp;step=1/</v>
      </c>
      <c r="X241" s="1" t="str">
        <f t="shared" si="57"/>
        <v>https://apps.bea.gov/</v>
      </c>
      <c r="Y241" s="1" t="str">
        <f t="shared" si="58"/>
        <v>優先3</v>
      </c>
      <c r="Z241" s="1" t="str">
        <f t="shared" si="59"/>
        <v>The U.S. Bureau of Economic Analysis, the United States government. "CAEMP25N Total Full-Time and Part-Time Employment by NAICS Industry 1/". Accessed 16 May, 2023. https://apps.bea.gov/.</v>
      </c>
    </row>
    <row r="242" spans="2:26">
      <c r="B242" s="285" t="s">
        <v>217</v>
      </c>
      <c r="C242" s="285" t="s">
        <v>464</v>
      </c>
      <c r="D242" s="285" t="s">
        <v>673</v>
      </c>
      <c r="E242" s="285" t="s">
        <v>182</v>
      </c>
      <c r="F242" s="13" t="s">
        <v>2623</v>
      </c>
      <c r="G242" s="13"/>
      <c r="H242" s="13"/>
      <c r="I242" s="13" t="s">
        <v>2624</v>
      </c>
      <c r="J242" s="13" t="s">
        <v>3681</v>
      </c>
      <c r="K242" s="284">
        <v>45061</v>
      </c>
      <c r="L242" s="283" t="str">
        <f t="shared" si="45"/>
        <v>-</v>
      </c>
      <c r="M242" s="283" t="str">
        <f t="shared" si="46"/>
        <v>-</v>
      </c>
      <c r="N242" s="283" t="str">
        <f t="shared" si="47"/>
        <v>-</v>
      </c>
      <c r="O242" s="283" t="str">
        <f t="shared" si="48"/>
        <v>-</v>
      </c>
      <c r="P242" s="283" t="str">
        <f t="shared" si="49"/>
        <v>-</v>
      </c>
      <c r="Q242" s="283" t="str">
        <f t="shared" si="50"/>
        <v>-</v>
      </c>
      <c r="R242" s="283" t="str">
        <f t="shared" si="51"/>
        <v>-</v>
      </c>
      <c r="S242" s="283" t="str">
        <f t="shared" si="52"/>
        <v>-</v>
      </c>
      <c r="T242" s="283" t="str">
        <f t="shared" si="53"/>
        <v>-</v>
      </c>
      <c r="U242" s="283" t="str">
        <f t="shared" si="54"/>
        <v>-</v>
      </c>
      <c r="V242" s="283" t="str">
        <f t="shared" si="55"/>
        <v>NG</v>
      </c>
      <c r="W242" s="1" t="str">
        <f t="shared" si="56"/>
        <v>https://www.ibge.gov.br/en/statistics/social/labor/18704-summary-of-social-indicators.html?edicao=29455&amp;t=downloads/</v>
      </c>
      <c r="X242" s="1" t="str">
        <f t="shared" si="57"/>
        <v>https://www.ibge.gov.br/</v>
      </c>
      <c r="Y242" s="1" t="str">
        <f t="shared" si="58"/>
        <v>優先3</v>
      </c>
      <c r="Z242" s="1" t="str">
        <f t="shared" si="59"/>
        <v>Instituto Brasileiro de Geografia e Estatistica. "Summary of Social Indicators ". Accessed 15 May, 2023. https://www.ibge.gov.br/.</v>
      </c>
    </row>
    <row r="243" spans="2:26">
      <c r="B243" s="285" t="s">
        <v>217</v>
      </c>
      <c r="C243" s="285" t="s">
        <v>464</v>
      </c>
      <c r="D243" s="285" t="s">
        <v>673</v>
      </c>
      <c r="E243" s="285" t="s">
        <v>184</v>
      </c>
      <c r="F243" s="13" t="s">
        <v>1171</v>
      </c>
      <c r="G243" s="13" t="s">
        <v>733</v>
      </c>
      <c r="H243" s="13"/>
      <c r="I243" s="13" t="s">
        <v>4067</v>
      </c>
      <c r="J243" s="13" t="s">
        <v>4068</v>
      </c>
      <c r="K243" s="284">
        <v>45068</v>
      </c>
      <c r="L243" s="283" t="str">
        <f t="shared" si="45"/>
        <v>-</v>
      </c>
      <c r="M243" s="283" t="str">
        <f t="shared" si="46"/>
        <v>-</v>
      </c>
      <c r="N243" s="283" t="str">
        <f t="shared" si="47"/>
        <v>-</v>
      </c>
      <c r="O243" s="283" t="str">
        <f t="shared" si="48"/>
        <v>-</v>
      </c>
      <c r="P243" s="283" t="str">
        <f t="shared" si="49"/>
        <v>-</v>
      </c>
      <c r="Q243" s="283" t="str">
        <f t="shared" si="50"/>
        <v>-</v>
      </c>
      <c r="R243" s="283" t="str">
        <f t="shared" si="51"/>
        <v>-</v>
      </c>
      <c r="S243" s="283" t="str">
        <f t="shared" si="52"/>
        <v>-</v>
      </c>
      <c r="T243" s="283" t="str">
        <f t="shared" si="53"/>
        <v>-</v>
      </c>
      <c r="U243" s="283" t="str">
        <f t="shared" si="54"/>
        <v>-</v>
      </c>
      <c r="V243" s="283" t="str">
        <f t="shared" si="55"/>
        <v>-</v>
      </c>
      <c r="W243" s="1" t="str">
        <f t="shared" si="56"/>
        <v>https://www.statssa.gov.za/?page_id=1854&amp;PPN=P0211&amp;SCH=73292/</v>
      </c>
      <c r="X243" s="1" t="str">
        <f t="shared" si="57"/>
        <v>https://www.statssa.gov.za/</v>
      </c>
      <c r="Y243" s="1" t="str">
        <f t="shared" si="58"/>
        <v>優先3</v>
      </c>
      <c r="Z243" s="1" t="str">
        <f t="shared" si="59"/>
        <v>Department Statistics South Africa, Republic of South Africa. "P0211 - Quarterly Labour Force Survey (QLFS),4th Quarter 2022". Accessed 22 May, 2023. https://www.statssa.gov.za/.</v>
      </c>
    </row>
    <row r="244" spans="2:26">
      <c r="B244" s="285" t="s">
        <v>217</v>
      </c>
      <c r="C244" s="285" t="s">
        <v>464</v>
      </c>
      <c r="D244" s="285" t="s">
        <v>673</v>
      </c>
      <c r="E244" s="285" t="s">
        <v>186</v>
      </c>
      <c r="F244" s="13" t="s">
        <v>1200</v>
      </c>
      <c r="G244" s="13"/>
      <c r="H244" s="13"/>
      <c r="I244" s="13" t="s">
        <v>4069</v>
      </c>
      <c r="J244" s="13" t="s">
        <v>3682</v>
      </c>
      <c r="K244" s="284">
        <v>45068</v>
      </c>
      <c r="L244" s="283" t="str">
        <f t="shared" si="45"/>
        <v>-</v>
      </c>
      <c r="M244" s="283" t="str">
        <f t="shared" si="46"/>
        <v>-</v>
      </c>
      <c r="N244" s="283" t="str">
        <f t="shared" si="47"/>
        <v>-</v>
      </c>
      <c r="O244" s="283" t="str">
        <f t="shared" si="48"/>
        <v>-</v>
      </c>
      <c r="P244" s="283" t="str">
        <f t="shared" si="49"/>
        <v>-</v>
      </c>
      <c r="Q244" s="283" t="str">
        <f t="shared" si="50"/>
        <v>-</v>
      </c>
      <c r="R244" s="283" t="str">
        <f t="shared" si="51"/>
        <v>-</v>
      </c>
      <c r="S244" s="283" t="str">
        <f t="shared" si="52"/>
        <v>-</v>
      </c>
      <c r="T244" s="283" t="str">
        <f t="shared" si="53"/>
        <v>-</v>
      </c>
      <c r="U244" s="283" t="str">
        <f t="shared" si="54"/>
        <v>-</v>
      </c>
      <c r="V244" s="283" t="str">
        <f t="shared" si="55"/>
        <v>-</v>
      </c>
      <c r="W244" s="1" t="str">
        <f t="shared" si="56"/>
        <v>https://jakarta.bps.go.id/indicator/6/123/1/population-aged-15-years-and-over-of-dki-jakarta-province-by-type-of-activity-during-the-previous-week-and-sex.html/</v>
      </c>
      <c r="X244" s="1" t="str">
        <f t="shared" si="57"/>
        <v>https://jakarta.bps.go.id/</v>
      </c>
      <c r="Y244" s="1" t="str">
        <f t="shared" si="58"/>
        <v>優先3</v>
      </c>
      <c r="Z244" s="1" t="str">
        <f t="shared" si="59"/>
        <v>Badan Pusat Statistik - Statistics Indonesia. "Population Aged 15 Years and Over of DKI Jakarta Province by Type of Activity During The Previous Week and Sex 2020-2022". Accessed 22 May, 2023. https://jakarta.bps.go.id/.</v>
      </c>
    </row>
    <row r="245" spans="2:26">
      <c r="B245" s="285" t="s">
        <v>217</v>
      </c>
      <c r="C245" s="285" t="s">
        <v>464</v>
      </c>
      <c r="D245" s="285" t="s">
        <v>673</v>
      </c>
      <c r="E245" s="285" t="s">
        <v>188</v>
      </c>
      <c r="F245" s="13" t="s">
        <v>1135</v>
      </c>
      <c r="G245" s="13" t="s">
        <v>1173</v>
      </c>
      <c r="H245" s="13"/>
      <c r="I245" s="13" t="s">
        <v>4009</v>
      </c>
      <c r="J245" s="13" t="s">
        <v>4010</v>
      </c>
      <c r="K245" s="284">
        <v>45068</v>
      </c>
      <c r="L245" s="283" t="str">
        <f t="shared" si="45"/>
        <v>-</v>
      </c>
      <c r="M245" s="283" t="str">
        <f t="shared" si="46"/>
        <v>-</v>
      </c>
      <c r="N245" s="283" t="str">
        <f t="shared" si="47"/>
        <v>-</v>
      </c>
      <c r="O245" s="283" t="str">
        <f t="shared" si="48"/>
        <v>-</v>
      </c>
      <c r="P245" s="283" t="str">
        <f t="shared" si="49"/>
        <v>-</v>
      </c>
      <c r="Q245" s="283" t="str">
        <f t="shared" si="50"/>
        <v>-</v>
      </c>
      <c r="R245" s="283" t="str">
        <f t="shared" si="51"/>
        <v>-</v>
      </c>
      <c r="S245" s="283" t="str">
        <f t="shared" si="52"/>
        <v>-</v>
      </c>
      <c r="T245" s="283" t="str">
        <f t="shared" si="53"/>
        <v>-</v>
      </c>
      <c r="U245" s="283" t="str">
        <f t="shared" si="54"/>
        <v>-</v>
      </c>
      <c r="V245" s="283" t="str">
        <f t="shared" si="55"/>
        <v>-</v>
      </c>
      <c r="W245" s="1" t="str">
        <f t="shared" si="56"/>
        <v>https://www.estadisticaciudad.gob.ar/eyc/?p=132766/</v>
      </c>
      <c r="X245" s="1" t="str">
        <f t="shared" si="57"/>
        <v>https://www.estadisticaciudad.gob.ar/</v>
      </c>
      <c r="Y245" s="1" t="str">
        <f t="shared" si="58"/>
        <v>優先3</v>
      </c>
      <c r="Z245" s="1" t="str">
        <f t="shared" si="59"/>
        <v>Dirección General de Estadística y Censos, Ciudad de Buenos Aires. "Anuario Estadístico de la Ciudad de Buenos Aires 2021". Accessed 22 May, 2023. https://www.estadisticaciudad.gob.ar/.</v>
      </c>
    </row>
    <row r="246" spans="2:26">
      <c r="B246" s="285" t="s">
        <v>217</v>
      </c>
      <c r="C246" s="285" t="s">
        <v>464</v>
      </c>
      <c r="D246" s="285" t="s">
        <v>673</v>
      </c>
      <c r="E246" s="285" t="s">
        <v>190</v>
      </c>
      <c r="F246" s="13" t="s">
        <v>1201</v>
      </c>
      <c r="G246" s="13" t="s">
        <v>829</v>
      </c>
      <c r="H246" s="13"/>
      <c r="I246" s="13" t="s">
        <v>981</v>
      </c>
      <c r="J246" s="13" t="s">
        <v>1254</v>
      </c>
      <c r="K246" s="284">
        <v>45068</v>
      </c>
      <c r="L246" s="283" t="str">
        <f t="shared" si="45"/>
        <v>-</v>
      </c>
      <c r="M246" s="283" t="str">
        <f t="shared" si="46"/>
        <v>-</v>
      </c>
      <c r="N246" s="283" t="str">
        <f t="shared" si="47"/>
        <v>-</v>
      </c>
      <c r="O246" s="283" t="str">
        <f t="shared" si="48"/>
        <v>-</v>
      </c>
      <c r="P246" s="283" t="str">
        <f t="shared" si="49"/>
        <v>-</v>
      </c>
      <c r="Q246" s="283" t="str">
        <f t="shared" si="50"/>
        <v>-</v>
      </c>
      <c r="R246" s="283" t="str">
        <f t="shared" si="51"/>
        <v>-</v>
      </c>
      <c r="S246" s="283" t="str">
        <f t="shared" si="52"/>
        <v>-</v>
      </c>
      <c r="T246" s="283" t="str">
        <f t="shared" si="53"/>
        <v>-</v>
      </c>
      <c r="U246" s="283" t="str">
        <f t="shared" si="54"/>
        <v>-</v>
      </c>
      <c r="V246" s="283" t="str">
        <f t="shared" si="55"/>
        <v>-</v>
      </c>
      <c r="W246" s="1" t="str">
        <f t="shared" si="56"/>
        <v>https://www.dsc.gov.ae/en-us/Themes/Pages/Labour.aspx?Theme=41/</v>
      </c>
      <c r="X246" s="1" t="str">
        <f t="shared" si="57"/>
        <v>https://www.dsc.gov.ae/</v>
      </c>
      <c r="Y246" s="1" t="str">
        <f t="shared" si="58"/>
        <v>優先3</v>
      </c>
      <c r="Z246" s="1" t="str">
        <f t="shared" si="59"/>
        <v>Dubai Statistic Center, Government of Dubai. "Labour". Accessed 22 May, 2023. https://www.dsc.gov.ae/.</v>
      </c>
    </row>
    <row r="247" spans="2:26">
      <c r="B247" s="285" t="s">
        <v>217</v>
      </c>
      <c r="C247" s="285" t="s">
        <v>464</v>
      </c>
      <c r="D247" s="285" t="s">
        <v>673</v>
      </c>
      <c r="E247" s="285" t="s">
        <v>369</v>
      </c>
      <c r="F247" s="13" t="s">
        <v>1137</v>
      </c>
      <c r="G247" s="13"/>
      <c r="H247" s="13"/>
      <c r="I247" s="13" t="s">
        <v>4070</v>
      </c>
      <c r="J247" s="13" t="s">
        <v>4071</v>
      </c>
      <c r="K247" s="284">
        <v>45068</v>
      </c>
      <c r="L247" s="283" t="str">
        <f t="shared" si="45"/>
        <v>-</v>
      </c>
      <c r="M247" s="283" t="str">
        <f t="shared" si="46"/>
        <v>-</v>
      </c>
      <c r="N247" s="283" t="str">
        <f t="shared" si="47"/>
        <v>-</v>
      </c>
      <c r="O247" s="283" t="str">
        <f t="shared" si="48"/>
        <v>-</v>
      </c>
      <c r="P247" s="283" t="str">
        <f t="shared" si="49"/>
        <v>-</v>
      </c>
      <c r="Q247" s="283" t="str">
        <f t="shared" si="50"/>
        <v>-</v>
      </c>
      <c r="R247" s="283" t="str">
        <f t="shared" si="51"/>
        <v>-</v>
      </c>
      <c r="S247" s="283" t="str">
        <f t="shared" si="52"/>
        <v>-</v>
      </c>
      <c r="T247" s="283" t="str">
        <f t="shared" si="53"/>
        <v>-</v>
      </c>
      <c r="U247" s="283" t="str">
        <f t="shared" si="54"/>
        <v>-</v>
      </c>
      <c r="V247" s="283" t="str">
        <f t="shared" si="55"/>
        <v>-</v>
      </c>
      <c r="W247" s="1" t="str">
        <f t="shared" si="56"/>
        <v>https://visual.cso.ie/?body=entity/ima/cop/2016&amp;boundary=C03849V04599&amp;guid=2ae19629-1433-13a3-e055-000000000001/</v>
      </c>
      <c r="X247" s="1" t="str">
        <f t="shared" si="57"/>
        <v>https://visual.cso.ie/</v>
      </c>
      <c r="Y247" s="1" t="str">
        <f t="shared" si="58"/>
        <v>優先3</v>
      </c>
      <c r="Z247" s="1" t="str">
        <f t="shared" si="59"/>
        <v>Central Statistics Office, Ireland. "Census 2016 Sapmap Area: Local Authorities (County Councils) DUBLIN CITY COUNCIL". Accessed 22 May, 2023. https://visual.cso.ie/.</v>
      </c>
    </row>
    <row r="248" spans="2:26">
      <c r="B248" s="285" t="s">
        <v>217</v>
      </c>
      <c r="C248" s="285" t="s">
        <v>464</v>
      </c>
      <c r="D248" s="285" t="s">
        <v>673</v>
      </c>
      <c r="E248" s="285" t="s">
        <v>370</v>
      </c>
      <c r="F248" s="13"/>
      <c r="G248" s="13" t="s">
        <v>994</v>
      </c>
      <c r="H248" s="13"/>
      <c r="I248" s="13" t="s">
        <v>4072</v>
      </c>
      <c r="J248" s="13" t="s">
        <v>4073</v>
      </c>
      <c r="K248" s="284">
        <v>45068</v>
      </c>
      <c r="L248" s="283" t="str">
        <f t="shared" si="45"/>
        <v>-</v>
      </c>
      <c r="M248" s="283" t="str">
        <f t="shared" si="46"/>
        <v>-</v>
      </c>
      <c r="N248" s="283" t="str">
        <f t="shared" si="47"/>
        <v>-</v>
      </c>
      <c r="O248" s="283" t="str">
        <f t="shared" si="48"/>
        <v>-</v>
      </c>
      <c r="P248" s="283" t="str">
        <f t="shared" si="49"/>
        <v>-</v>
      </c>
      <c r="Q248" s="283" t="str">
        <f t="shared" si="50"/>
        <v>-</v>
      </c>
      <c r="R248" s="283" t="str">
        <f t="shared" si="51"/>
        <v>-</v>
      </c>
      <c r="S248" s="283" t="str">
        <f t="shared" si="52"/>
        <v>-</v>
      </c>
      <c r="T248" s="283" t="str">
        <f t="shared" si="53"/>
        <v>-</v>
      </c>
      <c r="U248" s="283" t="str">
        <f t="shared" si="54"/>
        <v>-</v>
      </c>
      <c r="V248" s="283" t="str">
        <f t="shared" si="55"/>
        <v>-</v>
      </c>
      <c r="W248" s="1" t="str">
        <f t="shared" si="56"/>
        <v>https://kaupunkitieto.hel.fi/fi/tilastotietoja-helsingista/</v>
      </c>
      <c r="X248" s="1" t="str">
        <f t="shared" si="57"/>
        <v>https://kaupunkitieto.hel.fi/</v>
      </c>
      <c r="Y248" s="1" t="str">
        <f t="shared" si="58"/>
        <v>優先3</v>
      </c>
      <c r="Z248" s="1" t="str">
        <f t="shared" si="59"/>
        <v>City of Helsinki. "Helsinki facts and figures 2022". Accessed 22 May, 2023. https://kaupunkitieto.hel.fi/.</v>
      </c>
    </row>
    <row r="249" spans="2:26">
      <c r="B249" s="285" t="s">
        <v>217</v>
      </c>
      <c r="C249" s="285" t="s">
        <v>464</v>
      </c>
      <c r="D249" s="285" t="s">
        <v>673</v>
      </c>
      <c r="E249" s="285" t="s">
        <v>371</v>
      </c>
      <c r="F249" s="13" t="s">
        <v>1021</v>
      </c>
      <c r="G249" s="13" t="s">
        <v>1138</v>
      </c>
      <c r="H249" s="13"/>
      <c r="I249" s="13" t="s">
        <v>4074</v>
      </c>
      <c r="J249" s="13" t="s">
        <v>4075</v>
      </c>
      <c r="K249" s="284">
        <v>45068</v>
      </c>
      <c r="L249" s="283" t="str">
        <f t="shared" si="45"/>
        <v>-</v>
      </c>
      <c r="M249" s="283" t="str">
        <f t="shared" si="46"/>
        <v>-</v>
      </c>
      <c r="N249" s="283" t="str">
        <f t="shared" si="47"/>
        <v>-</v>
      </c>
      <c r="O249" s="283" t="str">
        <f t="shared" si="48"/>
        <v>-</v>
      </c>
      <c r="P249" s="283" t="str">
        <f t="shared" si="49"/>
        <v>-</v>
      </c>
      <c r="Q249" s="283" t="str">
        <f t="shared" si="50"/>
        <v>-</v>
      </c>
      <c r="R249" s="283" t="str">
        <f t="shared" si="51"/>
        <v>-</v>
      </c>
      <c r="S249" s="283" t="str">
        <f t="shared" si="52"/>
        <v>-</v>
      </c>
      <c r="T249" s="283" t="str">
        <f t="shared" si="53"/>
        <v>-</v>
      </c>
      <c r="U249" s="283" t="str">
        <f t="shared" si="54"/>
        <v>-</v>
      </c>
      <c r="V249" s="283" t="str">
        <f t="shared" si="55"/>
        <v>-</v>
      </c>
      <c r="W249" s="1" t="str">
        <f t="shared" si="56"/>
        <v>https://www.cbs.gov.il/en/publications/Pages/2022/Labour-Force-Survey-2020.aspx/</v>
      </c>
      <c r="X249" s="1" t="str">
        <f t="shared" si="57"/>
        <v>https://www.cbs.gov.il/</v>
      </c>
      <c r="Y249" s="1" t="str">
        <f t="shared" si="58"/>
        <v>優先3</v>
      </c>
      <c r="Z249" s="1" t="str">
        <f t="shared" si="59"/>
        <v>Central Bureau of Statistics, State of Israel. "Labour Force Survey 2020". Accessed 22 May, 2023. https://www.cbs.gov.il/.</v>
      </c>
    </row>
    <row r="250" spans="2:26">
      <c r="B250" s="285" t="s">
        <v>217</v>
      </c>
      <c r="C250" s="285" t="s">
        <v>464</v>
      </c>
      <c r="D250" s="285" t="s">
        <v>673</v>
      </c>
      <c r="E250" s="285" t="s">
        <v>372</v>
      </c>
      <c r="F250" s="13" t="s">
        <v>811</v>
      </c>
      <c r="G250" s="13" t="s">
        <v>1251</v>
      </c>
      <c r="H250" s="13"/>
      <c r="I250" s="13" t="s">
        <v>4063</v>
      </c>
      <c r="J250" s="13" t="s">
        <v>3696</v>
      </c>
      <c r="K250" s="284">
        <v>45068</v>
      </c>
      <c r="L250" s="283">
        <f t="shared" si="45"/>
        <v>2</v>
      </c>
      <c r="M250" s="283" t="str">
        <f t="shared" si="46"/>
        <v>-</v>
      </c>
      <c r="N250" s="283" t="str">
        <f t="shared" si="47"/>
        <v>-</v>
      </c>
      <c r="O250" s="283" t="str">
        <f t="shared" si="48"/>
        <v>-</v>
      </c>
      <c r="P250" s="283" t="str">
        <f t="shared" si="49"/>
        <v>-</v>
      </c>
      <c r="Q250" s="283" t="str">
        <f t="shared" si="50"/>
        <v>-</v>
      </c>
      <c r="R250" s="283" t="str">
        <f t="shared" si="51"/>
        <v>-</v>
      </c>
      <c r="S250" s="283" t="str">
        <f t="shared" si="52"/>
        <v>-</v>
      </c>
      <c r="T250" s="283" t="str">
        <f t="shared" si="53"/>
        <v>-</v>
      </c>
      <c r="U250" s="283" t="str">
        <f t="shared" si="54"/>
        <v>-</v>
      </c>
      <c r="V250" s="283" t="str">
        <f t="shared" si="55"/>
        <v>-</v>
      </c>
      <c r="W250" s="1" t="str">
        <f t="shared" si="56"/>
        <v>https://www.abs.gov.au/census/find-census-data/quickstats/2021/2GMEL/</v>
      </c>
      <c r="X250" s="1" t="str">
        <f t="shared" si="57"/>
        <v>https://www.abs.gov.au/</v>
      </c>
      <c r="Y250" s="1" t="str">
        <f t="shared" si="58"/>
        <v>優先3</v>
      </c>
      <c r="Z250" s="1" t="str">
        <f t="shared" si="59"/>
        <v>Australian Bureau of Statistics, Commonwealth of Australia. "2021 Census All persons QuickStats". Accessed 22 May, 2023. https://www.abs.gov.au/.</v>
      </c>
    </row>
    <row r="251" spans="2:26">
      <c r="B251" s="285" t="s">
        <v>217</v>
      </c>
      <c r="C251" s="285" t="s">
        <v>784</v>
      </c>
      <c r="D251" s="285" t="s">
        <v>673</v>
      </c>
      <c r="E251" s="285" t="s">
        <v>138</v>
      </c>
      <c r="F251" s="13" t="s">
        <v>1019</v>
      </c>
      <c r="G251" s="13" t="s">
        <v>746</v>
      </c>
      <c r="H251" s="13"/>
      <c r="I251" s="13" t="s">
        <v>997</v>
      </c>
      <c r="J251" s="13" t="s">
        <v>3998</v>
      </c>
      <c r="K251" s="284">
        <v>45061</v>
      </c>
      <c r="L251" s="283" t="str">
        <f t="shared" si="45"/>
        <v>-</v>
      </c>
      <c r="M251" s="283" t="str">
        <f t="shared" si="46"/>
        <v>-</v>
      </c>
      <c r="N251" s="283" t="str">
        <f t="shared" si="47"/>
        <v>-</v>
      </c>
      <c r="O251" s="283" t="str">
        <f t="shared" si="48"/>
        <v>-</v>
      </c>
      <c r="P251" s="283" t="str">
        <f t="shared" si="49"/>
        <v>-</v>
      </c>
      <c r="Q251" s="283" t="str">
        <f t="shared" si="50"/>
        <v>-</v>
      </c>
      <c r="R251" s="283" t="str">
        <f t="shared" si="51"/>
        <v>-</v>
      </c>
      <c r="S251" s="283" t="str">
        <f t="shared" si="52"/>
        <v>-</v>
      </c>
      <c r="T251" s="283" t="str">
        <f t="shared" si="53"/>
        <v>-</v>
      </c>
      <c r="U251" s="283" t="str">
        <f t="shared" si="54"/>
        <v>-</v>
      </c>
      <c r="V251" s="283" t="str">
        <f t="shared" si="55"/>
        <v>-</v>
      </c>
      <c r="W251" s="1" t="str">
        <f t="shared" si="56"/>
        <v>https://censusindia.gov.in/census.website/data/census-tables#/</v>
      </c>
      <c r="X251" s="1" t="str">
        <f t="shared" si="57"/>
        <v>https://censusindia.gov.in/</v>
      </c>
      <c r="Y251" s="1" t="str">
        <f t="shared" si="58"/>
        <v>優先3</v>
      </c>
      <c r="Z251" s="1" t="str">
        <f t="shared" si="59"/>
        <v>Office of the Registrar General &amp; Census Commissioner, Ministry of Home Affairs, Government of India. "Census of India 2011". Accessed 15 May, 2023. https://censusindia.gov.in/.</v>
      </c>
    </row>
    <row r="252" spans="2:26">
      <c r="B252" s="285" t="s">
        <v>217</v>
      </c>
      <c r="C252" s="285" t="s">
        <v>784</v>
      </c>
      <c r="D252" s="285" t="s">
        <v>673</v>
      </c>
      <c r="E252" s="285" t="s">
        <v>166</v>
      </c>
      <c r="F252" s="13" t="s">
        <v>1011</v>
      </c>
      <c r="G252" s="13" t="s">
        <v>710</v>
      </c>
      <c r="H252" s="13"/>
      <c r="I252" s="13" t="s">
        <v>4076</v>
      </c>
      <c r="J252" s="13" t="s">
        <v>4077</v>
      </c>
      <c r="K252" s="284">
        <v>45068</v>
      </c>
      <c r="L252" s="283">
        <f t="shared" si="45"/>
        <v>6</v>
      </c>
      <c r="M252" s="283" t="str">
        <f t="shared" si="46"/>
        <v>-</v>
      </c>
      <c r="N252" s="283" t="str">
        <f t="shared" si="47"/>
        <v>-</v>
      </c>
      <c r="O252" s="283" t="str">
        <f t="shared" si="48"/>
        <v>-</v>
      </c>
      <c r="P252" s="283" t="str">
        <f t="shared" si="49"/>
        <v>-</v>
      </c>
      <c r="Q252" s="283" t="str">
        <f t="shared" si="50"/>
        <v>-</v>
      </c>
      <c r="R252" s="283" t="str">
        <f t="shared" si="51"/>
        <v>-</v>
      </c>
      <c r="S252" s="283" t="str">
        <f t="shared" si="52"/>
        <v>-</v>
      </c>
      <c r="T252" s="283" t="str">
        <f t="shared" si="53"/>
        <v>-</v>
      </c>
      <c r="U252" s="283" t="str">
        <f t="shared" si="54"/>
        <v>-</v>
      </c>
      <c r="V252" s="283" t="str">
        <f t="shared" si="55"/>
        <v>-</v>
      </c>
      <c r="W252" s="1" t="str">
        <f t="shared" si="56"/>
        <v>https://www.census.gov/data/tables/time-series/demo/popest/2020s-total-cities-and-towns.html/</v>
      </c>
      <c r="X252" s="1" t="str">
        <f t="shared" si="57"/>
        <v>https://www.census.gov/</v>
      </c>
      <c r="Y252" s="1" t="str">
        <f t="shared" si="58"/>
        <v>優先3</v>
      </c>
      <c r="Z252" s="1" t="str">
        <f t="shared" si="59"/>
        <v>Census Bureau, Department of Commerce, United States. "City and Town Population Totals: 2020-2022". Accessed 22 May, 2023. https://www.census.gov/.</v>
      </c>
    </row>
    <row r="253" spans="2:26">
      <c r="B253" s="285" t="s">
        <v>217</v>
      </c>
      <c r="C253" s="285" t="s">
        <v>784</v>
      </c>
      <c r="D253" s="285" t="s">
        <v>673</v>
      </c>
      <c r="E253" s="285" t="s">
        <v>168</v>
      </c>
      <c r="F253" s="13" t="s">
        <v>1011</v>
      </c>
      <c r="G253" s="13" t="s">
        <v>710</v>
      </c>
      <c r="H253" s="13"/>
      <c r="I253" s="13" t="s">
        <v>4076</v>
      </c>
      <c r="J253" s="13" t="s">
        <v>4077</v>
      </c>
      <c r="K253" s="284">
        <v>45068</v>
      </c>
      <c r="L253" s="283">
        <f t="shared" si="45"/>
        <v>6</v>
      </c>
      <c r="M253" s="283" t="str">
        <f t="shared" si="46"/>
        <v>-</v>
      </c>
      <c r="N253" s="283" t="str">
        <f t="shared" si="47"/>
        <v>-</v>
      </c>
      <c r="O253" s="283" t="str">
        <f t="shared" si="48"/>
        <v>-</v>
      </c>
      <c r="P253" s="283" t="str">
        <f t="shared" si="49"/>
        <v>-</v>
      </c>
      <c r="Q253" s="283" t="str">
        <f t="shared" si="50"/>
        <v>-</v>
      </c>
      <c r="R253" s="283" t="str">
        <f t="shared" si="51"/>
        <v>-</v>
      </c>
      <c r="S253" s="283" t="str">
        <f t="shared" si="52"/>
        <v>-</v>
      </c>
      <c r="T253" s="283" t="str">
        <f t="shared" si="53"/>
        <v>-</v>
      </c>
      <c r="U253" s="283" t="str">
        <f t="shared" si="54"/>
        <v>-</v>
      </c>
      <c r="V253" s="283" t="str">
        <f t="shared" si="55"/>
        <v>-</v>
      </c>
      <c r="W253" s="1" t="str">
        <f t="shared" si="56"/>
        <v>https://www.census.gov/data/tables/time-series/demo/popest/2020s-total-cities-and-towns.html/</v>
      </c>
      <c r="X253" s="1" t="str">
        <f t="shared" si="57"/>
        <v>https://www.census.gov/</v>
      </c>
      <c r="Y253" s="1" t="str">
        <f t="shared" si="58"/>
        <v>優先3</v>
      </c>
      <c r="Z253" s="1" t="str">
        <f t="shared" si="59"/>
        <v>Census Bureau, Department of Commerce, United States. "City and Town Population Totals: 2020-2022". Accessed 22 May, 2023. https://www.census.gov/.</v>
      </c>
    </row>
    <row r="254" spans="2:26">
      <c r="B254" s="285" t="s">
        <v>217</v>
      </c>
      <c r="C254" s="285" t="s">
        <v>784</v>
      </c>
      <c r="D254" s="285" t="s">
        <v>673</v>
      </c>
      <c r="E254" s="285" t="s">
        <v>172</v>
      </c>
      <c r="F254" s="13" t="s">
        <v>1011</v>
      </c>
      <c r="G254" s="13" t="s">
        <v>710</v>
      </c>
      <c r="H254" s="13"/>
      <c r="I254" s="13" t="s">
        <v>4076</v>
      </c>
      <c r="J254" s="13" t="s">
        <v>4077</v>
      </c>
      <c r="K254" s="284">
        <v>45068</v>
      </c>
      <c r="L254" s="283">
        <f t="shared" si="45"/>
        <v>6</v>
      </c>
      <c r="M254" s="283" t="str">
        <f t="shared" si="46"/>
        <v>-</v>
      </c>
      <c r="N254" s="283" t="str">
        <f t="shared" si="47"/>
        <v>-</v>
      </c>
      <c r="O254" s="283" t="str">
        <f t="shared" si="48"/>
        <v>-</v>
      </c>
      <c r="P254" s="283" t="str">
        <f t="shared" si="49"/>
        <v>-</v>
      </c>
      <c r="Q254" s="283" t="str">
        <f t="shared" si="50"/>
        <v>-</v>
      </c>
      <c r="R254" s="283" t="str">
        <f t="shared" si="51"/>
        <v>-</v>
      </c>
      <c r="S254" s="283" t="str">
        <f t="shared" si="52"/>
        <v>-</v>
      </c>
      <c r="T254" s="283" t="str">
        <f t="shared" si="53"/>
        <v>-</v>
      </c>
      <c r="U254" s="283" t="str">
        <f t="shared" si="54"/>
        <v>-</v>
      </c>
      <c r="V254" s="283" t="str">
        <f t="shared" si="55"/>
        <v>-</v>
      </c>
      <c r="W254" s="1" t="str">
        <f t="shared" si="56"/>
        <v>https://www.census.gov/data/tables/time-series/demo/popest/2020s-total-cities-and-towns.html/</v>
      </c>
      <c r="X254" s="1" t="str">
        <f t="shared" si="57"/>
        <v>https://www.census.gov/</v>
      </c>
      <c r="Y254" s="1" t="str">
        <f t="shared" si="58"/>
        <v>優先3</v>
      </c>
      <c r="Z254" s="1" t="str">
        <f t="shared" si="59"/>
        <v>Census Bureau, Department of Commerce, United States. "City and Town Population Totals: 2020-2022". Accessed 22 May, 2023. https://www.census.gov/.</v>
      </c>
    </row>
    <row r="255" spans="2:26">
      <c r="B255" s="285" t="s">
        <v>217</v>
      </c>
      <c r="C255" s="285" t="s">
        <v>784</v>
      </c>
      <c r="D255" s="285" t="s">
        <v>673</v>
      </c>
      <c r="E255" s="285" t="s">
        <v>373</v>
      </c>
      <c r="F255" s="13" t="s">
        <v>1011</v>
      </c>
      <c r="G255" s="13" t="s">
        <v>710</v>
      </c>
      <c r="H255" s="13"/>
      <c r="I255" s="13" t="s">
        <v>4076</v>
      </c>
      <c r="J255" s="13" t="s">
        <v>4077</v>
      </c>
      <c r="K255" s="284">
        <v>45068</v>
      </c>
      <c r="L255" s="283">
        <f t="shared" si="45"/>
        <v>6</v>
      </c>
      <c r="M255" s="283" t="str">
        <f t="shared" si="46"/>
        <v>-</v>
      </c>
      <c r="N255" s="283" t="str">
        <f t="shared" si="47"/>
        <v>-</v>
      </c>
      <c r="O255" s="283" t="str">
        <f t="shared" si="48"/>
        <v>-</v>
      </c>
      <c r="P255" s="283" t="str">
        <f t="shared" si="49"/>
        <v>-</v>
      </c>
      <c r="Q255" s="283" t="str">
        <f t="shared" si="50"/>
        <v>-</v>
      </c>
      <c r="R255" s="283" t="str">
        <f t="shared" si="51"/>
        <v>-</v>
      </c>
      <c r="S255" s="283" t="str">
        <f t="shared" si="52"/>
        <v>-</v>
      </c>
      <c r="T255" s="283" t="str">
        <f t="shared" si="53"/>
        <v>-</v>
      </c>
      <c r="U255" s="283" t="str">
        <f t="shared" si="54"/>
        <v>-</v>
      </c>
      <c r="V255" s="283" t="str">
        <f t="shared" si="55"/>
        <v>-</v>
      </c>
      <c r="W255" s="1" t="str">
        <f t="shared" si="56"/>
        <v>https://www.census.gov/data/tables/time-series/demo/popest/2020s-total-cities-and-towns.html/</v>
      </c>
      <c r="X255" s="1" t="str">
        <f t="shared" si="57"/>
        <v>https://www.census.gov/</v>
      </c>
      <c r="Y255" s="1" t="str">
        <f t="shared" si="58"/>
        <v>優先3</v>
      </c>
      <c r="Z255" s="1" t="str">
        <f t="shared" si="59"/>
        <v>Census Bureau, Department of Commerce, United States. "City and Town Population Totals: 2020-2022". Accessed 22 May, 2023. https://www.census.gov/.</v>
      </c>
    </row>
    <row r="256" spans="2:26">
      <c r="B256" s="285" t="s">
        <v>217</v>
      </c>
      <c r="C256" s="285" t="s">
        <v>784</v>
      </c>
      <c r="D256" s="285" t="s">
        <v>673</v>
      </c>
      <c r="E256" s="285" t="s">
        <v>178</v>
      </c>
      <c r="F256" s="13" t="s">
        <v>1011</v>
      </c>
      <c r="G256" s="13" t="s">
        <v>710</v>
      </c>
      <c r="H256" s="13"/>
      <c r="I256" s="13" t="s">
        <v>4076</v>
      </c>
      <c r="J256" s="13" t="s">
        <v>4077</v>
      </c>
      <c r="K256" s="284">
        <v>45068</v>
      </c>
      <c r="L256" s="283">
        <f t="shared" si="45"/>
        <v>6</v>
      </c>
      <c r="M256" s="283" t="str">
        <f t="shared" si="46"/>
        <v>-</v>
      </c>
      <c r="N256" s="283" t="str">
        <f t="shared" si="47"/>
        <v>-</v>
      </c>
      <c r="O256" s="283" t="str">
        <f t="shared" si="48"/>
        <v>-</v>
      </c>
      <c r="P256" s="283" t="str">
        <f t="shared" si="49"/>
        <v>-</v>
      </c>
      <c r="Q256" s="283" t="str">
        <f t="shared" si="50"/>
        <v>-</v>
      </c>
      <c r="R256" s="283" t="str">
        <f t="shared" si="51"/>
        <v>-</v>
      </c>
      <c r="S256" s="283" t="str">
        <f t="shared" si="52"/>
        <v>-</v>
      </c>
      <c r="T256" s="283" t="str">
        <f t="shared" si="53"/>
        <v>-</v>
      </c>
      <c r="U256" s="283" t="str">
        <f t="shared" si="54"/>
        <v>-</v>
      </c>
      <c r="V256" s="283" t="str">
        <f t="shared" si="55"/>
        <v>-</v>
      </c>
      <c r="W256" s="1" t="str">
        <f t="shared" si="56"/>
        <v>https://www.census.gov/data/tables/time-series/demo/popest/2020s-total-cities-and-towns.html/</v>
      </c>
      <c r="X256" s="1" t="str">
        <f t="shared" si="57"/>
        <v>https://www.census.gov/</v>
      </c>
      <c r="Y256" s="1" t="str">
        <f t="shared" si="58"/>
        <v>優先3</v>
      </c>
      <c r="Z256" s="1" t="str">
        <f t="shared" si="59"/>
        <v>Census Bureau, Department of Commerce, United States. "City and Town Population Totals: 2020-2022". Accessed 22 May, 2023. https://www.census.gov/.</v>
      </c>
    </row>
    <row r="257" spans="2:26">
      <c r="B257" s="285" t="s">
        <v>217</v>
      </c>
      <c r="C257" s="285" t="s">
        <v>784</v>
      </c>
      <c r="D257" s="285" t="s">
        <v>673</v>
      </c>
      <c r="E257" s="285" t="s">
        <v>180</v>
      </c>
      <c r="F257" s="13" t="s">
        <v>1011</v>
      </c>
      <c r="G257" s="13" t="s">
        <v>710</v>
      </c>
      <c r="H257" s="13"/>
      <c r="I257" s="13" t="s">
        <v>4076</v>
      </c>
      <c r="J257" s="13" t="s">
        <v>4077</v>
      </c>
      <c r="K257" s="284">
        <v>45068</v>
      </c>
      <c r="L257" s="283">
        <f t="shared" si="45"/>
        <v>6</v>
      </c>
      <c r="M257" s="283" t="str">
        <f t="shared" si="46"/>
        <v>-</v>
      </c>
      <c r="N257" s="283" t="str">
        <f t="shared" si="47"/>
        <v>-</v>
      </c>
      <c r="O257" s="283" t="str">
        <f t="shared" si="48"/>
        <v>-</v>
      </c>
      <c r="P257" s="283" t="str">
        <f t="shared" si="49"/>
        <v>-</v>
      </c>
      <c r="Q257" s="283" t="str">
        <f t="shared" si="50"/>
        <v>-</v>
      </c>
      <c r="R257" s="283" t="str">
        <f t="shared" si="51"/>
        <v>-</v>
      </c>
      <c r="S257" s="283" t="str">
        <f t="shared" si="52"/>
        <v>-</v>
      </c>
      <c r="T257" s="283" t="str">
        <f t="shared" si="53"/>
        <v>-</v>
      </c>
      <c r="U257" s="283" t="str">
        <f t="shared" si="54"/>
        <v>-</v>
      </c>
      <c r="V257" s="283" t="str">
        <f t="shared" si="55"/>
        <v>-</v>
      </c>
      <c r="W257" s="1" t="str">
        <f t="shared" si="56"/>
        <v>https://www.census.gov/data/tables/time-series/demo/popest/2020s-total-cities-and-towns.html/</v>
      </c>
      <c r="X257" s="1" t="str">
        <f t="shared" si="57"/>
        <v>https://www.census.gov/</v>
      </c>
      <c r="Y257" s="1" t="str">
        <f t="shared" si="58"/>
        <v>優先3</v>
      </c>
      <c r="Z257" s="1" t="str">
        <f t="shared" si="59"/>
        <v>Census Bureau, Department of Commerce, United States. "City and Town Population Totals: 2020-2022". Accessed 22 May, 2023. https://www.census.gov/.</v>
      </c>
    </row>
    <row r="258" spans="2:26">
      <c r="B258" s="285" t="s">
        <v>218</v>
      </c>
      <c r="C258" s="285" t="s">
        <v>464</v>
      </c>
      <c r="D258" s="285" t="s">
        <v>673</v>
      </c>
      <c r="E258" s="285" t="s">
        <v>105</v>
      </c>
      <c r="F258" s="13"/>
      <c r="G258" s="13" t="s">
        <v>1255</v>
      </c>
      <c r="H258" s="13"/>
      <c r="I258" s="13" t="s">
        <v>1256</v>
      </c>
      <c r="J258" s="13" t="s">
        <v>1257</v>
      </c>
      <c r="K258" s="284">
        <v>45084</v>
      </c>
      <c r="L258" s="283" t="str">
        <f t="shared" si="45"/>
        <v>-</v>
      </c>
      <c r="M258" s="283" t="str">
        <f t="shared" si="46"/>
        <v>-</v>
      </c>
      <c r="N258" s="283" t="str">
        <f t="shared" si="47"/>
        <v>-</v>
      </c>
      <c r="O258" s="283" t="str">
        <f t="shared" si="48"/>
        <v>-</v>
      </c>
      <c r="P258" s="283" t="str">
        <f t="shared" si="49"/>
        <v>-</v>
      </c>
      <c r="Q258" s="283" t="str">
        <f t="shared" si="50"/>
        <v>-</v>
      </c>
      <c r="R258" s="283" t="str">
        <f t="shared" si="51"/>
        <v>-</v>
      </c>
      <c r="S258" s="283" t="str">
        <f t="shared" si="52"/>
        <v>-</v>
      </c>
      <c r="T258" s="283" t="str">
        <f t="shared" si="53"/>
        <v>-</v>
      </c>
      <c r="U258" s="283" t="str">
        <f t="shared" si="54"/>
        <v>-</v>
      </c>
      <c r="V258" s="283" t="str">
        <f t="shared" si="55"/>
        <v>-</v>
      </c>
      <c r="W258" s="1" t="str">
        <f t="shared" si="56"/>
        <v>https://www.madrid.es/portales/munimadrid/es/Inicio/El-Ayuntamiento/Estadistica/Areas-de-informacion-estadistica/Mercado-de-trabajo/Encuesta-de-Poblacion-Activa-EPA-/Serie-historica/?vgnextfmt=default&amp;vgnextoid=50ef6e0754c0c210VgnVCM2000000c205a0aRCRD&amp;vgnextchannel=560d62a006986210VgnVCM2000000c205a0aRCRD/</v>
      </c>
      <c r="X258" s="1" t="str">
        <f t="shared" si="57"/>
        <v>https://www.madrid.es/</v>
      </c>
      <c r="Y258" s="1" t="str">
        <f t="shared" si="58"/>
        <v>優先3</v>
      </c>
      <c r="Z258" s="1" t="str">
        <f t="shared" si="59"/>
        <v>City of Madrid. "Ocupados de la industria, de la construcción y de los servicios por Rama de actividad (miles)". Accessed 07 June, 2023. https://www.madrid.es/.</v>
      </c>
    </row>
    <row r="259" spans="2:26">
      <c r="B259" s="285" t="s">
        <v>218</v>
      </c>
      <c r="C259" s="285" t="s">
        <v>464</v>
      </c>
      <c r="D259" s="285" t="s">
        <v>673</v>
      </c>
      <c r="E259" s="285" t="s">
        <v>106</v>
      </c>
      <c r="F259" s="13"/>
      <c r="G259" s="13" t="s">
        <v>1214</v>
      </c>
      <c r="H259" s="13"/>
      <c r="I259" s="13" t="s">
        <v>4078</v>
      </c>
      <c r="J259" s="13" t="s">
        <v>1258</v>
      </c>
      <c r="K259" s="284">
        <v>45084</v>
      </c>
      <c r="L259" s="283" t="str">
        <f t="shared" si="45"/>
        <v>-</v>
      </c>
      <c r="M259" s="283" t="str">
        <f t="shared" si="46"/>
        <v>-</v>
      </c>
      <c r="N259" s="283" t="str">
        <f t="shared" si="47"/>
        <v>-</v>
      </c>
      <c r="O259" s="283" t="str">
        <f t="shared" si="48"/>
        <v>-</v>
      </c>
      <c r="P259" s="283" t="str">
        <f t="shared" si="49"/>
        <v>-</v>
      </c>
      <c r="Q259" s="283" t="str">
        <f t="shared" si="50"/>
        <v>-</v>
      </c>
      <c r="R259" s="283" t="str">
        <f t="shared" si="51"/>
        <v>-</v>
      </c>
      <c r="S259" s="283" t="str">
        <f t="shared" si="52"/>
        <v>-</v>
      </c>
      <c r="T259" s="283" t="str">
        <f t="shared" si="53"/>
        <v>-</v>
      </c>
      <c r="U259" s="283" t="str">
        <f t="shared" si="54"/>
        <v>-</v>
      </c>
      <c r="V259" s="283" t="str">
        <f t="shared" si="55"/>
        <v>-</v>
      </c>
      <c r="W259" s="1" t="str">
        <f t="shared" si="56"/>
        <v>https://www.bcn.cat/estadistica/angles/dades/ttreball/epa/epa/pocu/evocbr.htm/</v>
      </c>
      <c r="X259" s="1" t="str">
        <f t="shared" si="57"/>
        <v>https://www.bcn.cat/</v>
      </c>
      <c r="Y259" s="1" t="str">
        <f t="shared" si="58"/>
        <v>優先3</v>
      </c>
      <c r="Z259" s="1" t="str">
        <f t="shared" si="59"/>
        <v>Barcelona City Council. "Evolución de la población ocupada en Barcelona por ramas de actividad (CCAE-2009)". Accessed 07 June, 2023. https://www.bcn.cat/.</v>
      </c>
    </row>
    <row r="260" spans="2:26">
      <c r="B260" s="285" t="s">
        <v>218</v>
      </c>
      <c r="C260" s="285" t="s">
        <v>464</v>
      </c>
      <c r="D260" s="285" t="s">
        <v>673</v>
      </c>
      <c r="E260" s="285" t="s">
        <v>108</v>
      </c>
      <c r="F260" s="13" t="s">
        <v>857</v>
      </c>
      <c r="G260" s="13" t="s">
        <v>731</v>
      </c>
      <c r="H260" s="13"/>
      <c r="I260" s="13" t="s">
        <v>992</v>
      </c>
      <c r="J260" s="13" t="s">
        <v>1218</v>
      </c>
      <c r="K260" s="284">
        <v>45084</v>
      </c>
      <c r="L260" s="283" t="str">
        <f t="shared" si="45"/>
        <v>-</v>
      </c>
      <c r="M260" s="283" t="str">
        <f t="shared" si="46"/>
        <v>-</v>
      </c>
      <c r="N260" s="283" t="str">
        <f t="shared" si="47"/>
        <v>-</v>
      </c>
      <c r="O260" s="283" t="str">
        <f t="shared" si="48"/>
        <v>-</v>
      </c>
      <c r="P260" s="283" t="str">
        <f t="shared" si="49"/>
        <v>-</v>
      </c>
      <c r="Q260" s="283" t="str">
        <f t="shared" si="50"/>
        <v>-</v>
      </c>
      <c r="R260" s="283" t="str">
        <f t="shared" si="51"/>
        <v>-</v>
      </c>
      <c r="S260" s="283" t="str">
        <f t="shared" si="52"/>
        <v>-</v>
      </c>
      <c r="T260" s="283" t="str">
        <f t="shared" si="53"/>
        <v>-</v>
      </c>
      <c r="U260" s="283" t="str">
        <f t="shared" si="54"/>
        <v>-</v>
      </c>
      <c r="V260" s="283" t="str">
        <f t="shared" si="55"/>
        <v>-</v>
      </c>
      <c r="W260" s="1" t="str">
        <f t="shared" si="56"/>
        <v>https://www.ons.gov.uk/employmentandlabourmarket/peopleinwork/employmentandemployeetypes/datasets/workforcejobsbyregionandindustryjobs05/</v>
      </c>
      <c r="X260" s="1" t="str">
        <f t="shared" si="57"/>
        <v>https://www.ons.gov.uk/</v>
      </c>
      <c r="Y260" s="1" t="str">
        <f t="shared" si="58"/>
        <v>優先3</v>
      </c>
      <c r="Z260" s="1" t="str">
        <f t="shared" si="59"/>
        <v>Office for National Statistics, United Kingdom of Great Britain and Northern Ireland. "JOBS05: Workforce jobs by region and industry". Accessed 07 June, 2023. https://www.ons.gov.uk/.</v>
      </c>
    </row>
    <row r="261" spans="2:26">
      <c r="B261" s="285" t="s">
        <v>218</v>
      </c>
      <c r="C261" s="285" t="s">
        <v>464</v>
      </c>
      <c r="D261" s="285" t="s">
        <v>673</v>
      </c>
      <c r="E261" s="285" t="s">
        <v>110</v>
      </c>
      <c r="F261" s="13" t="s">
        <v>1259</v>
      </c>
      <c r="G261" s="13"/>
      <c r="H261" s="13"/>
      <c r="I261" s="13" t="s">
        <v>2617</v>
      </c>
      <c r="J261" s="13" t="s">
        <v>4079</v>
      </c>
      <c r="K261" s="284">
        <v>45084</v>
      </c>
      <c r="L261" s="283" t="str">
        <f t="shared" si="45"/>
        <v>-</v>
      </c>
      <c r="M261" s="283" t="str">
        <f t="shared" si="46"/>
        <v>-</v>
      </c>
      <c r="N261" s="283" t="str">
        <f t="shared" si="47"/>
        <v>-</v>
      </c>
      <c r="O261" s="283" t="str">
        <f t="shared" si="48"/>
        <v>-</v>
      </c>
      <c r="P261" s="283" t="str">
        <f t="shared" si="49"/>
        <v>-</v>
      </c>
      <c r="Q261" s="283" t="str">
        <f t="shared" si="50"/>
        <v>-</v>
      </c>
      <c r="R261" s="283" t="str">
        <f t="shared" si="51"/>
        <v>-</v>
      </c>
      <c r="S261" s="283" t="str">
        <f t="shared" si="52"/>
        <v>-</v>
      </c>
      <c r="T261" s="283" t="str">
        <f t="shared" si="53"/>
        <v>-</v>
      </c>
      <c r="U261" s="283" t="str">
        <f t="shared" si="54"/>
        <v>-</v>
      </c>
      <c r="V261" s="283" t="str">
        <f t="shared" si="55"/>
        <v>-</v>
      </c>
      <c r="W261" s="1" t="str">
        <f t="shared" si="56"/>
        <v>https://www.insee.fr/fr/statistiques/6682598?sommaire=4981513/</v>
      </c>
      <c r="X261" s="1" t="str">
        <f t="shared" si="57"/>
        <v>https://www.insee.fr/</v>
      </c>
      <c r="Y261" s="1" t="str">
        <f t="shared" si="58"/>
        <v>優先3</v>
      </c>
      <c r="Z261" s="1" t="str">
        <f t="shared" si="59"/>
        <v>French National Institute of Statistics and Economic Studies. "Estimations d'emploi". Accessed 07 June, 2023. https://www.insee.fr/.</v>
      </c>
    </row>
    <row r="262" spans="2:26">
      <c r="B262" s="285" t="s">
        <v>218</v>
      </c>
      <c r="C262" s="285" t="s">
        <v>464</v>
      </c>
      <c r="D262" s="285" t="s">
        <v>673</v>
      </c>
      <c r="E262" s="285" t="s">
        <v>112</v>
      </c>
      <c r="F262" s="13" t="s">
        <v>1260</v>
      </c>
      <c r="G262" s="13"/>
      <c r="H262" s="13"/>
      <c r="I262" s="13" t="s">
        <v>4080</v>
      </c>
      <c r="J262" s="13" t="s">
        <v>3683</v>
      </c>
      <c r="K262" s="284">
        <v>45084</v>
      </c>
      <c r="L262" s="283" t="str">
        <f t="shared" ref="L262:L325" si="60">IF(COUNTIFS(B:B,B262,I:I,I262,X:X,X262)&lt;=1,"-",COUNTIFS(B:B,B262,I:I,I262,X:X,X262))</f>
        <v>-</v>
      </c>
      <c r="M262" s="283" t="str">
        <f t="shared" ref="M262:M325" si="61">IF(I262="","書籍","-")</f>
        <v>-</v>
      </c>
      <c r="N262" s="283" t="str">
        <f t="shared" ref="N262:N325" si="62">IF(OR(COUNTIF($F262,"*(*"),COUNTIF($G262,"*(*"),COUNTIF($H262,"*(*")),"NG","-")</f>
        <v>-</v>
      </c>
      <c r="O262" s="283" t="str">
        <f t="shared" ref="O262:O325" si="63">IF(COUNTIF($Z262,"*..*"),"NG","-")</f>
        <v>-</v>
      </c>
      <c r="P262" s="283" t="str">
        <f t="shared" ref="P262:P325" si="64">IF(COUNTIF($Z262,"*""""*"),"NG","-")</f>
        <v>-</v>
      </c>
      <c r="Q262" s="283" t="str">
        <f t="shared" ref="Q262:Q325" si="65">IF(COUNTIF($Z262,"*  *"),"NG","-")</f>
        <v>-</v>
      </c>
      <c r="R262" s="283" t="str">
        <f t="shared" ref="R262:R325" si="66">IF(COUNTIF($Z262,"*　*"),"NG","-")</f>
        <v>-</v>
      </c>
      <c r="S262" s="283" t="str">
        <f t="shared" ref="S262:S325" si="67">IF(COUNTIF($Z262,"*（*"),"NG","-")</f>
        <v>-</v>
      </c>
      <c r="T262" s="283" t="str">
        <f t="shared" ref="T262:T325" si="68">IF(COUNTIF($Z262,"*(*"),IF(COUNTIF($Z262,"* (*"),"-","NG"),"-")</f>
        <v>-</v>
      </c>
      <c r="U262" s="283" t="str">
        <f t="shared" ref="U262:U325" si="69">IF(OR(LEFT(F262,1)=" ",LEFT(G262,1)=" ",LEFT(H262,1)=" ",LEFT(I262,1)=" ",LEFT(J262,1)=" "),"NG","-")</f>
        <v>-</v>
      </c>
      <c r="V262" s="283" t="str">
        <f t="shared" ref="V262:V325" si="70">IF(OR(RIGHT(F262,1)=" ",RIGHT(G262,1)=" ",RIGHT(H262,1)=" ",RIGHT(I262,1)=" ",RIGHT(J262,1)=" "),"NG","-")</f>
        <v>-</v>
      </c>
      <c r="W262" s="1" t="str">
        <f t="shared" ref="W262:W325" si="71">IF(J262="","",IF(RIGHT(J262,1)="/",J262,J262&amp;"/"))</f>
        <v>https://bisa.brussels/mini-bru-en/</v>
      </c>
      <c r="X262" s="1" t="str">
        <f t="shared" ref="X262:X325" si="72">IF(W262="","",LEFT(W262,FIND("/",W262,FIND("/",W262,FIND("/", W262)+1)+1)))</f>
        <v>https://bisa.brussels/</v>
      </c>
      <c r="Y262" s="1" t="str">
        <f t="shared" ref="Y262:Y325" si="73">IF(AND(C262="-",D262="共通"),"優先1",IF(OR(COUNTIF(C262,"*補助*"),D262&lt;&gt;"共通"),"優先3","優先2"&amp;C262))</f>
        <v>優先3</v>
      </c>
      <c r="Z262" s="1" t="str">
        <f t="shared" ref="Z262:Z325" si="74">IF(X262="",F262,CONCATENATE(IF(F262="",G262,IF(G262="",F262,F262&amp;", "&amp;G262)),IF(H262="",". "," ["&amp;H262&amp;"]. "),"""",I262,""". ","Accessed ",TEXT(K262,"dd mmmm, yyyy"),". ",X262,"."))</f>
        <v>Brussels Institute for Statistics and Analysis. "Mini-Bru Brussels-Capital Region in figures 2023". Accessed 07 June, 2023. https://bisa.brussels/.</v>
      </c>
    </row>
    <row r="263" spans="2:26">
      <c r="B263" s="285" t="s">
        <v>218</v>
      </c>
      <c r="C263" s="285" t="s">
        <v>464</v>
      </c>
      <c r="D263" s="285" t="s">
        <v>673</v>
      </c>
      <c r="E263" s="285" t="s">
        <v>114</v>
      </c>
      <c r="F263" s="13" t="s">
        <v>991</v>
      </c>
      <c r="G263" s="13" t="s">
        <v>990</v>
      </c>
      <c r="H263" s="13"/>
      <c r="I263" s="13" t="s">
        <v>4081</v>
      </c>
      <c r="J263" s="13" t="s">
        <v>4082</v>
      </c>
      <c r="K263" s="284">
        <v>45084</v>
      </c>
      <c r="L263" s="283" t="str">
        <f t="shared" si="60"/>
        <v>-</v>
      </c>
      <c r="M263" s="283" t="str">
        <f t="shared" si="61"/>
        <v>-</v>
      </c>
      <c r="N263" s="283" t="str">
        <f t="shared" si="62"/>
        <v>-</v>
      </c>
      <c r="O263" s="283" t="str">
        <f t="shared" si="63"/>
        <v>-</v>
      </c>
      <c r="P263" s="283" t="str">
        <f t="shared" si="64"/>
        <v>-</v>
      </c>
      <c r="Q263" s="283" t="str">
        <f t="shared" si="65"/>
        <v>-</v>
      </c>
      <c r="R263" s="283" t="str">
        <f t="shared" si="66"/>
        <v>-</v>
      </c>
      <c r="S263" s="283" t="str">
        <f t="shared" si="67"/>
        <v>-</v>
      </c>
      <c r="T263" s="283" t="str">
        <f t="shared" si="68"/>
        <v>-</v>
      </c>
      <c r="U263" s="283" t="str">
        <f t="shared" si="69"/>
        <v>-</v>
      </c>
      <c r="V263" s="283" t="str">
        <f t="shared" si="70"/>
        <v>-</v>
      </c>
      <c r="W263" s="1" t="str">
        <f t="shared" si="71"/>
        <v>https://onderzoek.amsterdam.nl/interactief/dashboard-kerncijfers?tab=indicator&amp;thema=economiesectie&amp;indicator=BHWPK&amp;indeling=ggwgebieden&amp;jaar=2021&amp;gebied=GA01&amp;taal=nl/</v>
      </c>
      <c r="X263" s="1" t="str">
        <f t="shared" si="72"/>
        <v>https://onderzoek.amsterdam.nl/</v>
      </c>
      <c r="Y263" s="1" t="str">
        <f t="shared" si="73"/>
        <v>優先3</v>
      </c>
      <c r="Z263" s="1" t="str">
        <f t="shared" si="74"/>
        <v>Onderzoek, Informatie en Statistiek, Gemeente Amsterdam. "Dashboard kerncijfers". Accessed 07 June, 2023. https://onderzoek.amsterdam.nl/.</v>
      </c>
    </row>
    <row r="264" spans="2:26">
      <c r="B264" s="285" t="s">
        <v>218</v>
      </c>
      <c r="C264" s="285" t="s">
        <v>464</v>
      </c>
      <c r="D264" s="285" t="s">
        <v>673</v>
      </c>
      <c r="E264" s="285" t="s">
        <v>116</v>
      </c>
      <c r="F264" s="13" t="s">
        <v>873</v>
      </c>
      <c r="G264" s="13"/>
      <c r="H264" s="13"/>
      <c r="I264" s="13" t="s">
        <v>4083</v>
      </c>
      <c r="J264" s="13" t="s">
        <v>4084</v>
      </c>
      <c r="K264" s="284">
        <v>45084</v>
      </c>
      <c r="L264" s="283">
        <f t="shared" si="60"/>
        <v>2</v>
      </c>
      <c r="M264" s="283" t="str">
        <f t="shared" si="61"/>
        <v>-</v>
      </c>
      <c r="N264" s="283" t="str">
        <f t="shared" si="62"/>
        <v>-</v>
      </c>
      <c r="O264" s="283" t="str">
        <f t="shared" si="63"/>
        <v>-</v>
      </c>
      <c r="P264" s="283" t="str">
        <f t="shared" si="64"/>
        <v>-</v>
      </c>
      <c r="Q264" s="283" t="str">
        <f t="shared" si="65"/>
        <v>-</v>
      </c>
      <c r="R264" s="283" t="str">
        <f t="shared" si="66"/>
        <v>-</v>
      </c>
      <c r="S264" s="283" t="str">
        <f t="shared" si="67"/>
        <v>-</v>
      </c>
      <c r="T264" s="283" t="str">
        <f t="shared" si="68"/>
        <v>-</v>
      </c>
      <c r="U264" s="283" t="str">
        <f t="shared" si="69"/>
        <v>-</v>
      </c>
      <c r="V264" s="283" t="str">
        <f t="shared" si="70"/>
        <v>-</v>
      </c>
      <c r="W264" s="1" t="str">
        <f t="shared" si="71"/>
        <v>https://staedteverband.ch/1103/de/statistik-der-schweizer-stadte-2023-arbeit-und-erwerb?share=1/</v>
      </c>
      <c r="X264" s="1" t="str">
        <f t="shared" si="72"/>
        <v>https://staedteverband.ch/</v>
      </c>
      <c r="Y264" s="1" t="str">
        <f t="shared" si="73"/>
        <v>優先3</v>
      </c>
      <c r="Z264" s="1" t="str">
        <f t="shared" si="74"/>
        <v>Schweizerischer Städteverband. "Statistik der Schweizer Städte 2023". Accessed 07 June, 2023. https://staedteverband.ch/.</v>
      </c>
    </row>
    <row r="265" spans="2:26">
      <c r="B265" s="285" t="s">
        <v>218</v>
      </c>
      <c r="C265" s="285" t="s">
        <v>464</v>
      </c>
      <c r="D265" s="285" t="s">
        <v>673</v>
      </c>
      <c r="E265" s="285" t="s">
        <v>118</v>
      </c>
      <c r="F265" s="13"/>
      <c r="G265" s="13" t="s">
        <v>1261</v>
      </c>
      <c r="H265" s="13"/>
      <c r="I265" s="13" t="s">
        <v>3668</v>
      </c>
      <c r="J265" s="13" t="s">
        <v>1361</v>
      </c>
      <c r="K265" s="284">
        <v>45084</v>
      </c>
      <c r="L265" s="283" t="str">
        <f t="shared" si="60"/>
        <v>-</v>
      </c>
      <c r="M265" s="283" t="str">
        <f t="shared" si="61"/>
        <v>-</v>
      </c>
      <c r="N265" s="283" t="str">
        <f t="shared" si="62"/>
        <v>-</v>
      </c>
      <c r="O265" s="283" t="str">
        <f t="shared" si="63"/>
        <v>-</v>
      </c>
      <c r="P265" s="283" t="str">
        <f t="shared" si="64"/>
        <v>-</v>
      </c>
      <c r="Q265" s="283" t="str">
        <f t="shared" si="65"/>
        <v>-</v>
      </c>
      <c r="R265" s="283" t="str">
        <f t="shared" si="66"/>
        <v>-</v>
      </c>
      <c r="S265" s="283" t="str">
        <f t="shared" si="67"/>
        <v>-</v>
      </c>
      <c r="T265" s="283" t="str">
        <f t="shared" si="68"/>
        <v>-</v>
      </c>
      <c r="U265" s="283" t="str">
        <f t="shared" si="69"/>
        <v>-</v>
      </c>
      <c r="V265" s="283" t="str">
        <f t="shared" si="70"/>
        <v>-</v>
      </c>
      <c r="W265" s="1" t="str">
        <f t="shared" si="71"/>
        <v>https://frankfurt.de/service-und-rathaus/zahlen-daten-fakten/publikationen/statistisches-jahrbuch/</v>
      </c>
      <c r="X265" s="1" t="str">
        <f t="shared" si="72"/>
        <v>https://frankfurt.de/</v>
      </c>
      <c r="Y265" s="1" t="str">
        <f t="shared" si="73"/>
        <v>優先3</v>
      </c>
      <c r="Z265" s="1" t="str">
        <f t="shared" si="74"/>
        <v>Frankfurt am Main. "Statistisches Jahrbuch Frankfurt am Main 2021". Accessed 07 June, 2023. https://frankfurt.de/.</v>
      </c>
    </row>
    <row r="266" spans="2:26">
      <c r="B266" s="285" t="s">
        <v>218</v>
      </c>
      <c r="C266" s="285" t="s">
        <v>464</v>
      </c>
      <c r="D266" s="285" t="s">
        <v>673</v>
      </c>
      <c r="E266" s="285" t="s">
        <v>120</v>
      </c>
      <c r="F266" s="13" t="s">
        <v>1262</v>
      </c>
      <c r="G266" s="13"/>
      <c r="H266" s="13"/>
      <c r="I266" s="13" t="s">
        <v>4085</v>
      </c>
      <c r="J266" s="13" t="s">
        <v>4086</v>
      </c>
      <c r="K266" s="284">
        <v>45084</v>
      </c>
      <c r="L266" s="283" t="str">
        <f t="shared" si="60"/>
        <v>-</v>
      </c>
      <c r="M266" s="283" t="str">
        <f t="shared" si="61"/>
        <v>-</v>
      </c>
      <c r="N266" s="283" t="str">
        <f t="shared" si="62"/>
        <v>-</v>
      </c>
      <c r="O266" s="283" t="str">
        <f t="shared" si="63"/>
        <v>-</v>
      </c>
      <c r="P266" s="283" t="str">
        <f t="shared" si="64"/>
        <v>-</v>
      </c>
      <c r="Q266" s="283" t="str">
        <f t="shared" si="65"/>
        <v>-</v>
      </c>
      <c r="R266" s="283" t="str">
        <f t="shared" si="66"/>
        <v>-</v>
      </c>
      <c r="S266" s="283" t="str">
        <f t="shared" si="67"/>
        <v>-</v>
      </c>
      <c r="T266" s="283" t="str">
        <f t="shared" si="68"/>
        <v>-</v>
      </c>
      <c r="U266" s="283" t="str">
        <f t="shared" si="69"/>
        <v>-</v>
      </c>
      <c r="V266" s="283" t="str">
        <f t="shared" si="70"/>
        <v>NG</v>
      </c>
      <c r="W266" s="1" t="str">
        <f t="shared" si="71"/>
        <v>https://www.statistik-berlin-brandenburg.de/a-vi-9-hj/</v>
      </c>
      <c r="X266" s="1" t="str">
        <f t="shared" si="72"/>
        <v>https://www.statistik-berlin-brandenburg.de/</v>
      </c>
      <c r="Y266" s="1" t="str">
        <f t="shared" si="73"/>
        <v>優先3</v>
      </c>
      <c r="Z266" s="1" t="str">
        <f t="shared" si="74"/>
        <v>Amt für Statistik Berlin-Brandenburg . "Erwerbstätige am Arbeitsort in Berlin und Brandenburg – Jahresergebnisse". Accessed 07 June, 2023. https://www.statistik-berlin-brandenburg.de/.</v>
      </c>
    </row>
    <row r="267" spans="2:26">
      <c r="B267" s="285" t="s">
        <v>218</v>
      </c>
      <c r="C267" s="285" t="s">
        <v>464</v>
      </c>
      <c r="D267" s="285" t="s">
        <v>673</v>
      </c>
      <c r="E267" s="285" t="s">
        <v>122</v>
      </c>
      <c r="F267" s="13" t="s">
        <v>3684</v>
      </c>
      <c r="G267" s="13" t="s">
        <v>989</v>
      </c>
      <c r="H267" s="13"/>
      <c r="I267" s="13" t="s">
        <v>3685</v>
      </c>
      <c r="J267" s="13" t="s">
        <v>4087</v>
      </c>
      <c r="K267" s="284">
        <v>45084</v>
      </c>
      <c r="L267" s="283" t="str">
        <f t="shared" si="60"/>
        <v>-</v>
      </c>
      <c r="M267" s="283" t="str">
        <f t="shared" si="61"/>
        <v>-</v>
      </c>
      <c r="N267" s="283" t="str">
        <f t="shared" si="62"/>
        <v>-</v>
      </c>
      <c r="O267" s="283" t="str">
        <f t="shared" si="63"/>
        <v>-</v>
      </c>
      <c r="P267" s="283" t="str">
        <f t="shared" si="64"/>
        <v>-</v>
      </c>
      <c r="Q267" s="283" t="str">
        <f t="shared" si="65"/>
        <v>-</v>
      </c>
      <c r="R267" s="283" t="str">
        <f t="shared" si="66"/>
        <v>-</v>
      </c>
      <c r="S267" s="283" t="str">
        <f t="shared" si="67"/>
        <v>-</v>
      </c>
      <c r="T267" s="283" t="str">
        <f t="shared" si="68"/>
        <v>-</v>
      </c>
      <c r="U267" s="283" t="str">
        <f t="shared" si="69"/>
        <v>-</v>
      </c>
      <c r="V267" s="283" t="str">
        <f t="shared" si="70"/>
        <v>-</v>
      </c>
      <c r="W267" s="1" t="str">
        <f t="shared" si="71"/>
        <v>http://dati.istat.it/Index.aspx?lang=en&amp;SubSessionId=d104278a-334a-4832-a1f0-7e966b0e0cdb#/</v>
      </c>
      <c r="X267" s="1" t="str">
        <f t="shared" si="72"/>
        <v>http://dati.istat.it/</v>
      </c>
      <c r="Y267" s="1" t="str">
        <f t="shared" si="73"/>
        <v>優先3</v>
      </c>
      <c r="Z267" s="1" t="str">
        <f t="shared" si="74"/>
        <v>Italian National Institute of Statistics, Italian Republic. "Enterprises and persons employed : Legal form, economic activity (Nace 3 digit) - prov.". Accessed 07 June, 2023. http://dati.istat.it/.</v>
      </c>
    </row>
    <row r="268" spans="2:26">
      <c r="B268" s="285" t="s">
        <v>218</v>
      </c>
      <c r="C268" s="285" t="s">
        <v>464</v>
      </c>
      <c r="D268" s="285" t="s">
        <v>673</v>
      </c>
      <c r="E268" s="285" t="s">
        <v>124</v>
      </c>
      <c r="F268" s="13" t="s">
        <v>873</v>
      </c>
      <c r="G268" s="13"/>
      <c r="H268" s="13"/>
      <c r="I268" s="13" t="s">
        <v>4083</v>
      </c>
      <c r="J268" s="13" t="s">
        <v>4084</v>
      </c>
      <c r="K268" s="284">
        <v>45084</v>
      </c>
      <c r="L268" s="283">
        <f t="shared" si="60"/>
        <v>2</v>
      </c>
      <c r="M268" s="283" t="str">
        <f t="shared" si="61"/>
        <v>-</v>
      </c>
      <c r="N268" s="283" t="str">
        <f t="shared" si="62"/>
        <v>-</v>
      </c>
      <c r="O268" s="283" t="str">
        <f t="shared" si="63"/>
        <v>-</v>
      </c>
      <c r="P268" s="283" t="str">
        <f t="shared" si="64"/>
        <v>-</v>
      </c>
      <c r="Q268" s="283" t="str">
        <f t="shared" si="65"/>
        <v>-</v>
      </c>
      <c r="R268" s="283" t="str">
        <f t="shared" si="66"/>
        <v>-</v>
      </c>
      <c r="S268" s="283" t="str">
        <f t="shared" si="67"/>
        <v>-</v>
      </c>
      <c r="T268" s="283" t="str">
        <f t="shared" si="68"/>
        <v>-</v>
      </c>
      <c r="U268" s="283" t="str">
        <f t="shared" si="69"/>
        <v>-</v>
      </c>
      <c r="V268" s="283" t="str">
        <f t="shared" si="70"/>
        <v>-</v>
      </c>
      <c r="W268" s="1" t="str">
        <f t="shared" si="71"/>
        <v>https://staedteverband.ch/1103/de/statistik-der-schweizer-stadte-2023-arbeit-und-erwerb?share=1/</v>
      </c>
      <c r="X268" s="1" t="str">
        <f t="shared" si="72"/>
        <v>https://staedteverband.ch/</v>
      </c>
      <c r="Y268" s="1" t="str">
        <f t="shared" si="73"/>
        <v>優先3</v>
      </c>
      <c r="Z268" s="1" t="str">
        <f t="shared" si="74"/>
        <v>Schweizerischer Städteverband. "Statistik der Schweizer Städte 2023". Accessed 07 June, 2023. https://staedteverband.ch/.</v>
      </c>
    </row>
    <row r="269" spans="2:26">
      <c r="B269" s="285" t="s">
        <v>218</v>
      </c>
      <c r="C269" s="285" t="s">
        <v>464</v>
      </c>
      <c r="D269" s="285" t="s">
        <v>673</v>
      </c>
      <c r="E269" s="285" t="s">
        <v>126</v>
      </c>
      <c r="F269" s="13" t="s">
        <v>1263</v>
      </c>
      <c r="G269" s="13"/>
      <c r="H269" s="13"/>
      <c r="I269" s="13" t="s">
        <v>2625</v>
      </c>
      <c r="J269" s="13" t="s">
        <v>1264</v>
      </c>
      <c r="K269" s="284">
        <v>45084</v>
      </c>
      <c r="L269" s="283" t="str">
        <f t="shared" si="60"/>
        <v>-</v>
      </c>
      <c r="M269" s="283" t="str">
        <f t="shared" si="61"/>
        <v>-</v>
      </c>
      <c r="N269" s="283" t="str">
        <f t="shared" si="62"/>
        <v>-</v>
      </c>
      <c r="O269" s="283" t="str">
        <f t="shared" si="63"/>
        <v>-</v>
      </c>
      <c r="P269" s="283" t="str">
        <f t="shared" si="64"/>
        <v>-</v>
      </c>
      <c r="Q269" s="283" t="str">
        <f t="shared" si="65"/>
        <v>-</v>
      </c>
      <c r="R269" s="283" t="str">
        <f t="shared" si="66"/>
        <v>-</v>
      </c>
      <c r="S269" s="283" t="str">
        <f t="shared" si="67"/>
        <v>-</v>
      </c>
      <c r="T269" s="283" t="str">
        <f t="shared" si="68"/>
        <v>-</v>
      </c>
      <c r="U269" s="283" t="str">
        <f t="shared" si="69"/>
        <v>-</v>
      </c>
      <c r="V269" s="283" t="str">
        <f t="shared" si="70"/>
        <v>-</v>
      </c>
      <c r="W269" s="1" t="str">
        <f t="shared" si="71"/>
        <v>https://www.statbank.dk/statbank5a/default.asp?w=1600/</v>
      </c>
      <c r="X269" s="1" t="str">
        <f t="shared" si="72"/>
        <v>https://www.statbank.dk/</v>
      </c>
      <c r="Y269" s="1" t="str">
        <f t="shared" si="73"/>
        <v>優先3</v>
      </c>
      <c r="Z269" s="1" t="str">
        <f t="shared" si="74"/>
        <v>Statbank Denmark. "RAS301: Employed (end November) by region (workplace), industry (DB07), socioeconomic status, age and sex". Accessed 07 June, 2023. https://www.statbank.dk/.</v>
      </c>
    </row>
    <row r="270" spans="2:26">
      <c r="B270" s="285" t="s">
        <v>218</v>
      </c>
      <c r="C270" s="285" t="s">
        <v>464</v>
      </c>
      <c r="D270" s="285" t="s">
        <v>673</v>
      </c>
      <c r="E270" s="285" t="s">
        <v>128</v>
      </c>
      <c r="F270" s="13"/>
      <c r="G270" s="13" t="s">
        <v>1265</v>
      </c>
      <c r="H270" s="13"/>
      <c r="I270" s="13" t="s">
        <v>4088</v>
      </c>
      <c r="J270" s="13" t="s">
        <v>1266</v>
      </c>
      <c r="K270" s="284">
        <v>45084</v>
      </c>
      <c r="L270" s="283" t="str">
        <f t="shared" si="60"/>
        <v>-</v>
      </c>
      <c r="M270" s="283" t="str">
        <f t="shared" si="61"/>
        <v>-</v>
      </c>
      <c r="N270" s="283" t="str">
        <f t="shared" si="62"/>
        <v>-</v>
      </c>
      <c r="O270" s="283" t="str">
        <f t="shared" si="63"/>
        <v>-</v>
      </c>
      <c r="P270" s="283" t="str">
        <f t="shared" si="64"/>
        <v>-</v>
      </c>
      <c r="Q270" s="283" t="str">
        <f t="shared" si="65"/>
        <v>-</v>
      </c>
      <c r="R270" s="283" t="str">
        <f t="shared" si="66"/>
        <v>-</v>
      </c>
      <c r="S270" s="283" t="str">
        <f t="shared" si="67"/>
        <v>-</v>
      </c>
      <c r="T270" s="283" t="str">
        <f t="shared" si="68"/>
        <v>-</v>
      </c>
      <c r="U270" s="283" t="str">
        <f t="shared" si="69"/>
        <v>-</v>
      </c>
      <c r="V270" s="283" t="str">
        <f t="shared" si="70"/>
        <v>-</v>
      </c>
      <c r="W270" s="1" t="str">
        <f t="shared" si="71"/>
        <v>https://www.wien.gv.at/statistik/publikationen/uebersicht-pub.html/</v>
      </c>
      <c r="X270" s="1" t="str">
        <f t="shared" si="72"/>
        <v>https://www.wien.gv.at/</v>
      </c>
      <c r="Y270" s="1" t="str">
        <f t="shared" si="73"/>
        <v>優先3</v>
      </c>
      <c r="Z270" s="1" t="str">
        <f t="shared" si="74"/>
        <v>City of Vienna. "Statistisches Jahrbuch der Stadt Wien 2022". Accessed 07 June, 2023. https://www.wien.gv.at/.</v>
      </c>
    </row>
    <row r="271" spans="2:26">
      <c r="B271" s="285" t="s">
        <v>218</v>
      </c>
      <c r="C271" s="285" t="s">
        <v>464</v>
      </c>
      <c r="D271" s="285" t="s">
        <v>673</v>
      </c>
      <c r="E271" s="285" t="s">
        <v>130</v>
      </c>
      <c r="F271" s="13"/>
      <c r="G271" s="13" t="s">
        <v>988</v>
      </c>
      <c r="H271" s="13"/>
      <c r="I271" s="13" t="s">
        <v>3686</v>
      </c>
      <c r="J271" s="13" t="s">
        <v>1233</v>
      </c>
      <c r="K271" s="284">
        <v>45084</v>
      </c>
      <c r="L271" s="283" t="str">
        <f t="shared" si="60"/>
        <v>-</v>
      </c>
      <c r="M271" s="283" t="str">
        <f t="shared" si="61"/>
        <v>-</v>
      </c>
      <c r="N271" s="283" t="str">
        <f t="shared" si="62"/>
        <v>-</v>
      </c>
      <c r="O271" s="283" t="str">
        <f t="shared" si="63"/>
        <v>-</v>
      </c>
      <c r="P271" s="283" t="str">
        <f t="shared" si="64"/>
        <v>-</v>
      </c>
      <c r="Q271" s="283" t="str">
        <f t="shared" si="65"/>
        <v>-</v>
      </c>
      <c r="R271" s="283" t="str">
        <f t="shared" si="66"/>
        <v>-</v>
      </c>
      <c r="S271" s="283" t="str">
        <f t="shared" si="67"/>
        <v>-</v>
      </c>
      <c r="T271" s="283" t="str">
        <f t="shared" si="68"/>
        <v>-</v>
      </c>
      <c r="U271" s="283" t="str">
        <f t="shared" si="69"/>
        <v>-</v>
      </c>
      <c r="V271" s="283" t="str">
        <f t="shared" si="70"/>
        <v>-</v>
      </c>
      <c r="W271" s="1" t="str">
        <f t="shared" si="71"/>
        <v>https://start.stockholm/om-stockholms-stad/utredningar-statistik-och-fakta/statistik/befolkning/</v>
      </c>
      <c r="X271" s="1" t="str">
        <f t="shared" si="72"/>
        <v>https://start.stockholm/</v>
      </c>
      <c r="Y271" s="1" t="str">
        <f t="shared" si="73"/>
        <v>優先3</v>
      </c>
      <c r="Z271" s="1" t="str">
        <f t="shared" si="74"/>
        <v>Stockholms stad. "Statistik om Stockholm - Förvärvsarbetande i Stockholm 2020". Accessed 07 June, 2023. https://start.stockholm/.</v>
      </c>
    </row>
    <row r="272" spans="2:26">
      <c r="B272" s="285" t="s">
        <v>218</v>
      </c>
      <c r="C272" s="285" t="s">
        <v>464</v>
      </c>
      <c r="D272" s="285" t="s">
        <v>673</v>
      </c>
      <c r="E272" s="285" t="s">
        <v>132</v>
      </c>
      <c r="F272" s="13" t="s">
        <v>787</v>
      </c>
      <c r="G272" s="13"/>
      <c r="H272" s="13"/>
      <c r="I272" s="13" t="s">
        <v>1267</v>
      </c>
      <c r="J272" s="13" t="s">
        <v>1268</v>
      </c>
      <c r="K272" s="284">
        <v>45084</v>
      </c>
      <c r="L272" s="283" t="str">
        <f t="shared" si="60"/>
        <v>-</v>
      </c>
      <c r="M272" s="283" t="str">
        <f t="shared" si="61"/>
        <v>-</v>
      </c>
      <c r="N272" s="283" t="str">
        <f t="shared" si="62"/>
        <v>-</v>
      </c>
      <c r="O272" s="283" t="str">
        <f t="shared" si="63"/>
        <v>-</v>
      </c>
      <c r="P272" s="283" t="str">
        <f t="shared" si="64"/>
        <v>-</v>
      </c>
      <c r="Q272" s="283" t="str">
        <f t="shared" si="65"/>
        <v>-</v>
      </c>
      <c r="R272" s="283" t="str">
        <f t="shared" si="66"/>
        <v>-</v>
      </c>
      <c r="S272" s="283" t="str">
        <f t="shared" si="67"/>
        <v>-</v>
      </c>
      <c r="T272" s="283" t="str">
        <f t="shared" si="68"/>
        <v>NG</v>
      </c>
      <c r="U272" s="283" t="str">
        <f t="shared" si="69"/>
        <v>-</v>
      </c>
      <c r="V272" s="283" t="str">
        <f t="shared" si="70"/>
        <v>-</v>
      </c>
      <c r="W272" s="1" t="str">
        <f t="shared" si="71"/>
        <v>https://biruni.tuik.gov.tr/medas/?kn=72&amp;locale=en/</v>
      </c>
      <c r="X272" s="1" t="str">
        <f t="shared" si="72"/>
        <v>https://biruni.tuik.gov.tr/</v>
      </c>
      <c r="Y272" s="1" t="str">
        <f t="shared" si="73"/>
        <v>優先3</v>
      </c>
      <c r="Z272" s="1" t="str">
        <f t="shared" si="74"/>
        <v>Turkish Statistical Institute. "Labour Force Statistics(2014 and after)". Accessed 07 June, 2023. https://biruni.tuik.gov.tr/.</v>
      </c>
    </row>
    <row r="273" spans="2:26">
      <c r="B273" s="285" t="s">
        <v>218</v>
      </c>
      <c r="C273" s="285" t="s">
        <v>464</v>
      </c>
      <c r="D273" s="285" t="s">
        <v>673</v>
      </c>
      <c r="E273" s="285" t="s">
        <v>134</v>
      </c>
      <c r="F273" s="13" t="s">
        <v>1269</v>
      </c>
      <c r="G273" s="13" t="s">
        <v>844</v>
      </c>
      <c r="H273" s="13"/>
      <c r="I273" s="13" t="s">
        <v>3687</v>
      </c>
      <c r="J273" s="13" t="s">
        <v>1270</v>
      </c>
      <c r="K273" s="284">
        <v>45084</v>
      </c>
      <c r="L273" s="283" t="str">
        <f t="shared" si="60"/>
        <v>-</v>
      </c>
      <c r="M273" s="283" t="str">
        <f t="shared" si="61"/>
        <v>-</v>
      </c>
      <c r="N273" s="283" t="str">
        <f t="shared" si="62"/>
        <v>-</v>
      </c>
      <c r="O273" s="283" t="str">
        <f t="shared" si="63"/>
        <v>-</v>
      </c>
      <c r="P273" s="283" t="str">
        <f t="shared" si="64"/>
        <v>-</v>
      </c>
      <c r="Q273" s="283" t="str">
        <f t="shared" si="65"/>
        <v>-</v>
      </c>
      <c r="R273" s="283" t="str">
        <f t="shared" si="66"/>
        <v>-</v>
      </c>
      <c r="S273" s="283" t="str">
        <f t="shared" si="67"/>
        <v>-</v>
      </c>
      <c r="T273" s="283" t="str">
        <f t="shared" si="68"/>
        <v>-</v>
      </c>
      <c r="U273" s="283" t="str">
        <f t="shared" si="69"/>
        <v>NG</v>
      </c>
      <c r="V273" s="283" t="str">
        <f t="shared" si="70"/>
        <v>-</v>
      </c>
      <c r="W273" s="1" t="str">
        <f t="shared" si="71"/>
        <v>http://www.capmas.gov.eg/Pages/StaticPages.aspx?page_id=5034/</v>
      </c>
      <c r="X273" s="1" t="str">
        <f t="shared" si="72"/>
        <v>http://www.capmas.gov.eg/</v>
      </c>
      <c r="Y273" s="1" t="str">
        <f t="shared" si="73"/>
        <v>優先3</v>
      </c>
      <c r="Z273" s="1" t="str">
        <f t="shared" si="74"/>
        <v xml:space="preserve"> Central Agency for Public Mobilization And Statistics, Arab Republic of Egypt. "Statistical yearbook". Accessed 07 June, 2023. http://www.capmas.gov.eg/.</v>
      </c>
    </row>
    <row r="274" spans="2:26">
      <c r="B274" s="285" t="s">
        <v>218</v>
      </c>
      <c r="C274" s="285" t="s">
        <v>464</v>
      </c>
      <c r="D274" s="285" t="s">
        <v>673</v>
      </c>
      <c r="E274" s="285" t="s">
        <v>136</v>
      </c>
      <c r="F274" s="13" t="s">
        <v>1271</v>
      </c>
      <c r="G274" s="13"/>
      <c r="H274" s="13"/>
      <c r="I274" s="13" t="s">
        <v>4089</v>
      </c>
      <c r="J274" s="13" t="s">
        <v>4090</v>
      </c>
      <c r="K274" s="284">
        <v>45084</v>
      </c>
      <c r="L274" s="283" t="str">
        <f t="shared" si="60"/>
        <v>-</v>
      </c>
      <c r="M274" s="283" t="str">
        <f t="shared" si="61"/>
        <v>-</v>
      </c>
      <c r="N274" s="283" t="str">
        <f t="shared" si="62"/>
        <v>-</v>
      </c>
      <c r="O274" s="283" t="str">
        <f t="shared" si="63"/>
        <v>-</v>
      </c>
      <c r="P274" s="283" t="str">
        <f t="shared" si="64"/>
        <v>-</v>
      </c>
      <c r="Q274" s="283" t="str">
        <f t="shared" si="65"/>
        <v>-</v>
      </c>
      <c r="R274" s="283" t="str">
        <f t="shared" si="66"/>
        <v>-</v>
      </c>
      <c r="S274" s="283" t="str">
        <f t="shared" si="67"/>
        <v>-</v>
      </c>
      <c r="T274" s="283" t="str">
        <f t="shared" si="68"/>
        <v>-</v>
      </c>
      <c r="U274" s="283" t="str">
        <f t="shared" si="69"/>
        <v>-</v>
      </c>
      <c r="V274" s="283" t="str">
        <f t="shared" si="70"/>
        <v>-</v>
      </c>
      <c r="W274" s="1" t="str">
        <f t="shared" si="71"/>
        <v>https://www.ilo.org/shinyapps/bulkexplorer2/?lang=en&amp;id=EMP_2EMP_SEX_ECO_NB_A/</v>
      </c>
      <c r="X274" s="1" t="str">
        <f t="shared" si="72"/>
        <v>https://www.ilo.org/</v>
      </c>
      <c r="Y274" s="1" t="str">
        <f t="shared" si="73"/>
        <v>優先3</v>
      </c>
      <c r="Z274" s="1" t="str">
        <f t="shared" si="74"/>
        <v>Department of Statistics, International Labour Organization. "Employment by sex and economic activity--ILO modelled estimates, Nov. 2022". Accessed 07 June, 2023. https://www.ilo.org/.</v>
      </c>
    </row>
    <row r="275" spans="2:26">
      <c r="B275" s="285" t="s">
        <v>218</v>
      </c>
      <c r="C275" s="285" t="s">
        <v>464</v>
      </c>
      <c r="D275" s="285" t="s">
        <v>673</v>
      </c>
      <c r="E275" s="285" t="s">
        <v>138</v>
      </c>
      <c r="F275" s="13"/>
      <c r="G275" s="13" t="s">
        <v>1014</v>
      </c>
      <c r="H275" s="13"/>
      <c r="I275" s="13" t="s">
        <v>1272</v>
      </c>
      <c r="J275" s="13" t="s">
        <v>1151</v>
      </c>
      <c r="K275" s="284">
        <v>45084</v>
      </c>
      <c r="L275" s="283" t="str">
        <f t="shared" si="60"/>
        <v>-</v>
      </c>
      <c r="M275" s="283" t="str">
        <f t="shared" si="61"/>
        <v>-</v>
      </c>
      <c r="N275" s="283" t="str">
        <f t="shared" si="62"/>
        <v>-</v>
      </c>
      <c r="O275" s="283" t="str">
        <f t="shared" si="63"/>
        <v>-</v>
      </c>
      <c r="P275" s="283" t="str">
        <f t="shared" si="64"/>
        <v>-</v>
      </c>
      <c r="Q275" s="283" t="str">
        <f t="shared" si="65"/>
        <v>-</v>
      </c>
      <c r="R275" s="283" t="str">
        <f t="shared" si="66"/>
        <v>-</v>
      </c>
      <c r="S275" s="283" t="str">
        <f t="shared" si="67"/>
        <v>-</v>
      </c>
      <c r="T275" s="283" t="str">
        <f t="shared" si="68"/>
        <v>-</v>
      </c>
      <c r="U275" s="283" t="str">
        <f t="shared" si="69"/>
        <v>-</v>
      </c>
      <c r="V275" s="283" t="str">
        <f t="shared" si="70"/>
        <v>-</v>
      </c>
      <c r="W275" s="1" t="str">
        <f t="shared" si="71"/>
        <v>https://mahades.maharashtra.gov.in/publications.do?pubId=ESM/</v>
      </c>
      <c r="X275" s="1" t="str">
        <f t="shared" si="72"/>
        <v>https://mahades.maharashtra.gov.in/</v>
      </c>
      <c r="Y275" s="1" t="str">
        <f t="shared" si="73"/>
        <v>優先3</v>
      </c>
      <c r="Z275" s="1" t="str">
        <f t="shared" si="74"/>
        <v>Government of Maharashtra, India. "Economic Survey of Maharashtra 2015-2016". Accessed 07 June, 2023. https://mahades.maharashtra.gov.in/.</v>
      </c>
    </row>
    <row r="276" spans="2:26">
      <c r="B276" s="285" t="s">
        <v>218</v>
      </c>
      <c r="C276" s="285" t="s">
        <v>464</v>
      </c>
      <c r="D276" s="285" t="s">
        <v>673</v>
      </c>
      <c r="E276" s="285" t="s">
        <v>140</v>
      </c>
      <c r="F276" s="13" t="s">
        <v>1239</v>
      </c>
      <c r="G276" s="13" t="s">
        <v>841</v>
      </c>
      <c r="H276" s="13"/>
      <c r="I276" s="13" t="s">
        <v>3688</v>
      </c>
      <c r="J276" s="13" t="s">
        <v>2626</v>
      </c>
      <c r="K276" s="284">
        <v>45084</v>
      </c>
      <c r="L276" s="283" t="str">
        <f t="shared" si="60"/>
        <v>-</v>
      </c>
      <c r="M276" s="283" t="str">
        <f t="shared" si="61"/>
        <v>-</v>
      </c>
      <c r="N276" s="283" t="str">
        <f t="shared" si="62"/>
        <v>-</v>
      </c>
      <c r="O276" s="283" t="str">
        <f t="shared" si="63"/>
        <v>-</v>
      </c>
      <c r="P276" s="283" t="str">
        <f t="shared" si="64"/>
        <v>-</v>
      </c>
      <c r="Q276" s="283" t="str">
        <f t="shared" si="65"/>
        <v>-</v>
      </c>
      <c r="R276" s="283" t="str">
        <f t="shared" si="66"/>
        <v>-</v>
      </c>
      <c r="S276" s="283" t="str">
        <f t="shared" si="67"/>
        <v>-</v>
      </c>
      <c r="T276" s="283" t="str">
        <f t="shared" si="68"/>
        <v>-</v>
      </c>
      <c r="U276" s="283" t="str">
        <f t="shared" si="69"/>
        <v>-</v>
      </c>
      <c r="V276" s="283" t="str">
        <f t="shared" si="70"/>
        <v>-</v>
      </c>
      <c r="W276" s="1" t="str">
        <f t="shared" si="71"/>
        <v>http://www.nso.go.th/sites/2014en/statistics-from-majo-survey/</v>
      </c>
      <c r="X276" s="1" t="str">
        <f t="shared" si="72"/>
        <v>http://www.nso.go.th/</v>
      </c>
      <c r="Y276" s="1" t="str">
        <f t="shared" si="73"/>
        <v>優先3</v>
      </c>
      <c r="Z276" s="1" t="str">
        <f t="shared" si="74"/>
        <v>National Statistical Office of Thailand, Kingdom of Thailand. "Number of employed person by formal/informal employment industry, sex and region: 2021". Accessed 07 June, 2023. http://www.nso.go.th/.</v>
      </c>
    </row>
    <row r="277" spans="2:26">
      <c r="B277" s="285" t="s">
        <v>218</v>
      </c>
      <c r="C277" s="285" t="s">
        <v>464</v>
      </c>
      <c r="D277" s="285" t="s">
        <v>673</v>
      </c>
      <c r="E277" s="285" t="s">
        <v>142</v>
      </c>
      <c r="F277" s="13" t="s">
        <v>818</v>
      </c>
      <c r="G277" s="13" t="s">
        <v>298</v>
      </c>
      <c r="H277" s="13"/>
      <c r="I277" s="13" t="s">
        <v>3689</v>
      </c>
      <c r="J277" s="13" t="s">
        <v>4091</v>
      </c>
      <c r="K277" s="284">
        <v>45084</v>
      </c>
      <c r="L277" s="283" t="str">
        <f t="shared" si="60"/>
        <v>-</v>
      </c>
      <c r="M277" s="283" t="str">
        <f t="shared" si="61"/>
        <v>-</v>
      </c>
      <c r="N277" s="283" t="str">
        <f t="shared" si="62"/>
        <v>-</v>
      </c>
      <c r="O277" s="283" t="str">
        <f t="shared" si="63"/>
        <v>-</v>
      </c>
      <c r="P277" s="283" t="str">
        <f t="shared" si="64"/>
        <v>-</v>
      </c>
      <c r="Q277" s="283" t="str">
        <f t="shared" si="65"/>
        <v>-</v>
      </c>
      <c r="R277" s="283" t="str">
        <f t="shared" si="66"/>
        <v>-</v>
      </c>
      <c r="S277" s="283" t="str">
        <f t="shared" si="67"/>
        <v>-</v>
      </c>
      <c r="T277" s="283" t="str">
        <f t="shared" si="68"/>
        <v>-</v>
      </c>
      <c r="U277" s="283" t="str">
        <f t="shared" si="69"/>
        <v>-</v>
      </c>
      <c r="V277" s="283" t="str">
        <f t="shared" si="70"/>
        <v>-</v>
      </c>
      <c r="W277" s="1" t="str">
        <f t="shared" si="71"/>
        <v>https://www.dosm.gov.my/portal-main/searching-time-series?kategori=34/</v>
      </c>
      <c r="X277" s="1" t="str">
        <f t="shared" si="72"/>
        <v>https://www.dosm.gov.my/</v>
      </c>
      <c r="Y277" s="1" t="str">
        <f t="shared" si="73"/>
        <v>優先3</v>
      </c>
      <c r="Z277" s="1" t="str">
        <f t="shared" si="74"/>
        <v>Department of Statistics, Malaysia. "Employed persons by industry, Malaysia/states, 1982 - 2021". Accessed 07 June, 2023. https://www.dosm.gov.my/.</v>
      </c>
    </row>
    <row r="278" spans="2:26">
      <c r="B278" s="285" t="s">
        <v>218</v>
      </c>
      <c r="C278" s="285" t="s">
        <v>464</v>
      </c>
      <c r="D278" s="285" t="s">
        <v>673</v>
      </c>
      <c r="E278" s="285" t="s">
        <v>144</v>
      </c>
      <c r="F278" s="13" t="s">
        <v>821</v>
      </c>
      <c r="G278" s="13" t="s">
        <v>820</v>
      </c>
      <c r="H278" s="13"/>
      <c r="I278" s="13" t="s">
        <v>4092</v>
      </c>
      <c r="J278" s="13" t="s">
        <v>4093</v>
      </c>
      <c r="K278" s="284">
        <v>45085</v>
      </c>
      <c r="L278" s="283" t="str">
        <f t="shared" si="60"/>
        <v>-</v>
      </c>
      <c r="M278" s="283" t="str">
        <f t="shared" si="61"/>
        <v>-</v>
      </c>
      <c r="N278" s="283" t="str">
        <f t="shared" si="62"/>
        <v>-</v>
      </c>
      <c r="O278" s="283" t="str">
        <f t="shared" si="63"/>
        <v>-</v>
      </c>
      <c r="P278" s="283" t="str">
        <f t="shared" si="64"/>
        <v>-</v>
      </c>
      <c r="Q278" s="283" t="str">
        <f t="shared" si="65"/>
        <v>-</v>
      </c>
      <c r="R278" s="283" t="str">
        <f t="shared" si="66"/>
        <v>-</v>
      </c>
      <c r="S278" s="283" t="str">
        <f t="shared" si="67"/>
        <v>-</v>
      </c>
      <c r="T278" s="283" t="str">
        <f t="shared" si="68"/>
        <v>-</v>
      </c>
      <c r="U278" s="283" t="str">
        <f t="shared" si="69"/>
        <v>-</v>
      </c>
      <c r="V278" s="283" t="str">
        <f t="shared" si="70"/>
        <v>-</v>
      </c>
      <c r="W278" s="1" t="str">
        <f t="shared" si="71"/>
        <v>https://stats.mom.gov.sg/Pages/Labour-Force-In-Singapore-2022.aspx/</v>
      </c>
      <c r="X278" s="1" t="str">
        <f t="shared" si="72"/>
        <v>https://stats.mom.gov.sg/</v>
      </c>
      <c r="Y278" s="1" t="str">
        <f t="shared" si="73"/>
        <v>優先3</v>
      </c>
      <c r="Z278" s="1" t="str">
        <f t="shared" si="74"/>
        <v>Ministry of Manpower, Singapore Government. "Labour Force In Singapore 2022". Accessed 08 June, 2023. https://stats.mom.gov.sg/.</v>
      </c>
    </row>
    <row r="279" spans="2:26">
      <c r="B279" s="285" t="s">
        <v>218</v>
      </c>
      <c r="C279" s="285" t="s">
        <v>464</v>
      </c>
      <c r="D279" s="285" t="s">
        <v>673</v>
      </c>
      <c r="E279" s="285" t="s">
        <v>146</v>
      </c>
      <c r="F279" s="13" t="s">
        <v>1012</v>
      </c>
      <c r="G279" s="13" t="s">
        <v>1273</v>
      </c>
      <c r="H279" s="13" t="s">
        <v>894</v>
      </c>
      <c r="I279" s="13" t="s">
        <v>1190</v>
      </c>
      <c r="J279" s="13" t="s">
        <v>2609</v>
      </c>
      <c r="K279" s="284">
        <v>45085</v>
      </c>
      <c r="L279" s="283" t="str">
        <f t="shared" si="60"/>
        <v>-</v>
      </c>
      <c r="M279" s="283" t="str">
        <f t="shared" si="61"/>
        <v>-</v>
      </c>
      <c r="N279" s="283" t="str">
        <f t="shared" si="62"/>
        <v>-</v>
      </c>
      <c r="O279" s="283" t="str">
        <f t="shared" si="63"/>
        <v>-</v>
      </c>
      <c r="P279" s="283" t="str">
        <f t="shared" si="64"/>
        <v>-</v>
      </c>
      <c r="Q279" s="283" t="str">
        <f t="shared" si="65"/>
        <v>-</v>
      </c>
      <c r="R279" s="283" t="str">
        <f t="shared" si="66"/>
        <v>-</v>
      </c>
      <c r="S279" s="283" t="str">
        <f t="shared" si="67"/>
        <v>-</v>
      </c>
      <c r="T279" s="283" t="str">
        <f t="shared" si="68"/>
        <v>-</v>
      </c>
      <c r="U279" s="283" t="str">
        <f t="shared" si="69"/>
        <v>-</v>
      </c>
      <c r="V279" s="283" t="str">
        <f t="shared" si="70"/>
        <v>-</v>
      </c>
      <c r="W279" s="1" t="str">
        <f t="shared" si="71"/>
        <v>https://www.censtatd.gov.hk/en/EIndexbySubject.html?pcode=B1010006&amp;scode=460/</v>
      </c>
      <c r="X279" s="1" t="str">
        <f t="shared" si="72"/>
        <v>https://www.censtatd.gov.hk/</v>
      </c>
      <c r="Y279" s="1" t="str">
        <f t="shared" si="73"/>
        <v>優先3</v>
      </c>
      <c r="Z279" s="1" t="str">
        <f t="shared" si="74"/>
        <v>Census and Statistics Department, The Government of the Hong Kong Special Administrative Region of the People's Republic of China [政府統計處, 香港特別行政區政府]. "Hong Kong in Figures". Accessed 08 June, 2023. https://www.censtatd.gov.hk/.</v>
      </c>
    </row>
    <row r="280" spans="2:26">
      <c r="B280" s="285" t="s">
        <v>218</v>
      </c>
      <c r="C280" s="285" t="s">
        <v>464</v>
      </c>
      <c r="D280" s="285" t="s">
        <v>673</v>
      </c>
      <c r="E280" s="285" t="s">
        <v>148</v>
      </c>
      <c r="F280" s="13" t="s">
        <v>986</v>
      </c>
      <c r="G280" s="13"/>
      <c r="H280" s="13" t="s">
        <v>985</v>
      </c>
      <c r="I280" s="13" t="s">
        <v>4094</v>
      </c>
      <c r="J280" s="13" t="s">
        <v>4001</v>
      </c>
      <c r="K280" s="284">
        <v>45085</v>
      </c>
      <c r="L280" s="283" t="str">
        <f t="shared" si="60"/>
        <v>-</v>
      </c>
      <c r="M280" s="283" t="str">
        <f t="shared" si="61"/>
        <v>-</v>
      </c>
      <c r="N280" s="283" t="str">
        <f t="shared" si="62"/>
        <v>-</v>
      </c>
      <c r="O280" s="283" t="str">
        <f t="shared" si="63"/>
        <v>-</v>
      </c>
      <c r="P280" s="283" t="str">
        <f t="shared" si="64"/>
        <v>-</v>
      </c>
      <c r="Q280" s="283" t="str">
        <f t="shared" si="65"/>
        <v>-</v>
      </c>
      <c r="R280" s="283" t="str">
        <f t="shared" si="66"/>
        <v>-</v>
      </c>
      <c r="S280" s="283" t="str">
        <f t="shared" si="67"/>
        <v>-</v>
      </c>
      <c r="T280" s="283" t="str">
        <f t="shared" si="68"/>
        <v>-</v>
      </c>
      <c r="U280" s="283" t="str">
        <f t="shared" si="69"/>
        <v>-</v>
      </c>
      <c r="V280" s="283" t="str">
        <f t="shared" si="70"/>
        <v>-</v>
      </c>
      <c r="W280" s="1" t="str">
        <f t="shared" si="71"/>
        <v>https://nj.tjj.beijing.gov.cn/nj/main/2022-tjnj/zk/indexeh.htm/</v>
      </c>
      <c r="X280" s="1" t="str">
        <f t="shared" si="72"/>
        <v>https://nj.tjj.beijing.gov.cn/</v>
      </c>
      <c r="Y280" s="1" t="str">
        <f t="shared" si="73"/>
        <v>優先3</v>
      </c>
      <c r="Z280" s="1" t="str">
        <f t="shared" si="74"/>
        <v>Beijing Municipal Bureau of Statistics - Survey Office of the National Bureau of Statistics in Beijing [北京市统计局 国家统计局北京调查总队]. "BEIJING STATISTICAL YEARBOOK 2022". Accessed 08 June, 2023. https://nj.tjj.beijing.gov.cn/.</v>
      </c>
    </row>
    <row r="281" spans="2:26">
      <c r="B281" s="285" t="s">
        <v>218</v>
      </c>
      <c r="C281" s="285" t="s">
        <v>464</v>
      </c>
      <c r="D281" s="285" t="s">
        <v>673</v>
      </c>
      <c r="E281" s="285" t="s">
        <v>150</v>
      </c>
      <c r="F281" s="13" t="s">
        <v>807</v>
      </c>
      <c r="G281" s="13"/>
      <c r="H281" s="13" t="s">
        <v>893</v>
      </c>
      <c r="I281" s="13" t="s">
        <v>2607</v>
      </c>
      <c r="J281" s="13" t="s">
        <v>2608</v>
      </c>
      <c r="K281" s="284">
        <v>45085</v>
      </c>
      <c r="L281" s="283" t="str">
        <f t="shared" si="60"/>
        <v>-</v>
      </c>
      <c r="M281" s="283" t="str">
        <f t="shared" si="61"/>
        <v>-</v>
      </c>
      <c r="N281" s="283" t="str">
        <f t="shared" si="62"/>
        <v>-</v>
      </c>
      <c r="O281" s="283" t="str">
        <f t="shared" si="63"/>
        <v>-</v>
      </c>
      <c r="P281" s="283" t="str">
        <f t="shared" si="64"/>
        <v>-</v>
      </c>
      <c r="Q281" s="283" t="str">
        <f t="shared" si="65"/>
        <v>-</v>
      </c>
      <c r="R281" s="283" t="str">
        <f t="shared" si="66"/>
        <v>-</v>
      </c>
      <c r="S281" s="283" t="str">
        <f t="shared" si="67"/>
        <v>-</v>
      </c>
      <c r="T281" s="283" t="str">
        <f t="shared" si="68"/>
        <v>-</v>
      </c>
      <c r="U281" s="283" t="str">
        <f t="shared" si="69"/>
        <v>-</v>
      </c>
      <c r="V281" s="283" t="str">
        <f t="shared" si="70"/>
        <v>-</v>
      </c>
      <c r="W281" s="1" t="str">
        <f t="shared" si="71"/>
        <v>http://tjj.sh.gov.cn/tjnj/20210303/2abf188275224739bd5bce9bf128aca8.html/</v>
      </c>
      <c r="X281" s="1" t="str">
        <f t="shared" si="72"/>
        <v>http://tjj.sh.gov.cn/</v>
      </c>
      <c r="Y281" s="1" t="str">
        <f t="shared" si="73"/>
        <v>優先3</v>
      </c>
      <c r="Z281" s="1" t="str">
        <f t="shared" si="74"/>
        <v>Shanghai Municipal Statistics Bureau [上海市统计局 国家统计局上海调查总队]. "Shanghai Statistical Yearbook 2020". Accessed 08 June, 2023. http://tjj.sh.gov.cn/.</v>
      </c>
    </row>
    <row r="282" spans="2:26">
      <c r="B282" s="285" t="s">
        <v>218</v>
      </c>
      <c r="C282" s="285" t="s">
        <v>464</v>
      </c>
      <c r="D282" s="285" t="s">
        <v>673</v>
      </c>
      <c r="E282" s="285" t="s">
        <v>152</v>
      </c>
      <c r="F282" s="13" t="s">
        <v>765</v>
      </c>
      <c r="G282" s="13" t="s">
        <v>764</v>
      </c>
      <c r="H282" s="13" t="s">
        <v>763</v>
      </c>
      <c r="I282" s="13" t="s">
        <v>1274</v>
      </c>
      <c r="J282" s="13" t="s">
        <v>1275</v>
      </c>
      <c r="K282" s="284">
        <v>45085</v>
      </c>
      <c r="L282" s="283" t="str">
        <f t="shared" si="60"/>
        <v>-</v>
      </c>
      <c r="M282" s="283" t="str">
        <f t="shared" si="61"/>
        <v>-</v>
      </c>
      <c r="N282" s="283" t="str">
        <f t="shared" si="62"/>
        <v>-</v>
      </c>
      <c r="O282" s="283" t="str">
        <f t="shared" si="63"/>
        <v>-</v>
      </c>
      <c r="P282" s="283" t="str">
        <f t="shared" si="64"/>
        <v>-</v>
      </c>
      <c r="Q282" s="283" t="str">
        <f t="shared" si="65"/>
        <v>-</v>
      </c>
      <c r="R282" s="283" t="str">
        <f t="shared" si="66"/>
        <v>-</v>
      </c>
      <c r="S282" s="283" t="str">
        <f t="shared" si="67"/>
        <v>-</v>
      </c>
      <c r="T282" s="283" t="str">
        <f t="shared" si="68"/>
        <v>-</v>
      </c>
      <c r="U282" s="283" t="str">
        <f t="shared" si="69"/>
        <v>-</v>
      </c>
      <c r="V282" s="283" t="str">
        <f t="shared" si="70"/>
        <v>-</v>
      </c>
      <c r="W282" s="1" t="str">
        <f t="shared" si="71"/>
        <v>https://dbaseng.gov.taipei/News_Content.aspx?n=88FDFA11268005C0&amp;sms=042CBB893F5D9D7A&amp;s=C1B5D59E1BD15FB8/</v>
      </c>
      <c r="X282" s="1" t="str">
        <f t="shared" si="72"/>
        <v>https://dbaseng.gov.taipei/</v>
      </c>
      <c r="Y282" s="1" t="str">
        <f t="shared" si="73"/>
        <v>優先3</v>
      </c>
      <c r="Z282" s="1" t="str">
        <f t="shared" si="74"/>
        <v>Department of Budget, Accounting and Statistics, Taipei City Government [臺北市政府主計處]. "Taipei City Statistical Yearbook". Accessed 08 June, 2023. https://dbaseng.gov.taipei/.</v>
      </c>
    </row>
    <row r="283" spans="2:26">
      <c r="B283" s="285" t="s">
        <v>218</v>
      </c>
      <c r="C283" s="285" t="s">
        <v>464</v>
      </c>
      <c r="D283" s="285" t="s">
        <v>673</v>
      </c>
      <c r="E283" s="285" t="s">
        <v>154</v>
      </c>
      <c r="F283" s="13" t="s">
        <v>995</v>
      </c>
      <c r="G283" s="13"/>
      <c r="H283" s="13" t="s">
        <v>890</v>
      </c>
      <c r="I283" s="13" t="s">
        <v>1276</v>
      </c>
      <c r="J283" s="13" t="s">
        <v>3690</v>
      </c>
      <c r="K283" s="284">
        <v>45085</v>
      </c>
      <c r="L283" s="283" t="str">
        <f t="shared" si="60"/>
        <v>-</v>
      </c>
      <c r="M283" s="283" t="str">
        <f t="shared" si="61"/>
        <v>-</v>
      </c>
      <c r="N283" s="283" t="str">
        <f t="shared" si="62"/>
        <v>-</v>
      </c>
      <c r="O283" s="283" t="str">
        <f t="shared" si="63"/>
        <v>-</v>
      </c>
      <c r="P283" s="283" t="str">
        <f t="shared" si="64"/>
        <v>-</v>
      </c>
      <c r="Q283" s="283" t="str">
        <f t="shared" si="65"/>
        <v>-</v>
      </c>
      <c r="R283" s="283" t="str">
        <f t="shared" si="66"/>
        <v>-</v>
      </c>
      <c r="S283" s="283" t="str">
        <f t="shared" si="67"/>
        <v>-</v>
      </c>
      <c r="T283" s="283" t="str">
        <f t="shared" si="68"/>
        <v>-</v>
      </c>
      <c r="U283" s="283" t="str">
        <f t="shared" si="69"/>
        <v>-</v>
      </c>
      <c r="V283" s="283" t="str">
        <f t="shared" si="70"/>
        <v>-</v>
      </c>
      <c r="W283" s="1" t="str">
        <f t="shared" si="71"/>
        <v>https://kosis.kr/statHtml/statHtml.do?orgId=101&amp;tblId=DT_1ES3B05S&amp;vw_cd=MT_ETITLE&amp;list_id=B19_EQ13_2&amp;scrId=&amp;language=en&amp;seqNo=&amp;lang_mode=en&amp;obj_var_id=&amp;itm_id=&amp;conn_path=MT_ETITLE&amp;path=%252Feng%252FstatisticsList%252FstatisticsListIndex.do/</v>
      </c>
      <c r="X283" s="1" t="str">
        <f t="shared" si="72"/>
        <v>https://kosis.kr/</v>
      </c>
      <c r="Y283" s="1" t="str">
        <f t="shared" si="73"/>
        <v>優先3</v>
      </c>
      <c r="Z283" s="1" t="str">
        <f t="shared" si="74"/>
        <v>Korean Statistical Information Service [국가통계포털]. "Employed persons by industry". Accessed 08 June, 2023. https://kosis.kr/.</v>
      </c>
    </row>
    <row r="284" spans="2:26">
      <c r="B284" s="285" t="s">
        <v>218</v>
      </c>
      <c r="C284" s="285" t="s">
        <v>464</v>
      </c>
      <c r="D284" s="285" t="s">
        <v>673</v>
      </c>
      <c r="E284" s="285" t="s">
        <v>156</v>
      </c>
      <c r="F284" s="13" t="s">
        <v>817</v>
      </c>
      <c r="G284" s="13" t="s">
        <v>691</v>
      </c>
      <c r="H284" s="13" t="s">
        <v>816</v>
      </c>
      <c r="I284" s="13" t="s">
        <v>4095</v>
      </c>
      <c r="J284" s="13" t="s">
        <v>3691</v>
      </c>
      <c r="K284" s="284">
        <v>45085</v>
      </c>
      <c r="L284" s="283">
        <f t="shared" si="60"/>
        <v>3</v>
      </c>
      <c r="M284" s="283" t="str">
        <f t="shared" si="61"/>
        <v>-</v>
      </c>
      <c r="N284" s="283" t="str">
        <f t="shared" si="62"/>
        <v>-</v>
      </c>
      <c r="O284" s="283" t="str">
        <f t="shared" si="63"/>
        <v>-</v>
      </c>
      <c r="P284" s="283" t="str">
        <f t="shared" si="64"/>
        <v>-</v>
      </c>
      <c r="Q284" s="283" t="str">
        <f t="shared" si="65"/>
        <v>-</v>
      </c>
      <c r="R284" s="283" t="str">
        <f t="shared" si="66"/>
        <v>-</v>
      </c>
      <c r="S284" s="283" t="str">
        <f t="shared" si="67"/>
        <v>-</v>
      </c>
      <c r="T284" s="283" t="str">
        <f t="shared" si="68"/>
        <v>-</v>
      </c>
      <c r="U284" s="283" t="str">
        <f t="shared" si="69"/>
        <v>-</v>
      </c>
      <c r="V284" s="283" t="str">
        <f t="shared" si="70"/>
        <v>-</v>
      </c>
      <c r="W284" s="1" t="str">
        <f t="shared" si="71"/>
        <v>https://www.e-stat.go.jp/stat-search/files?page=1&amp;layout=datalist&amp;toukei=00200553&amp;tstat=000001145590&amp;cycle=0&amp;tclass1=000001145646&amp;tclass2=000001145647&amp;stat_infid=000032203466&amp;tclass3val=0/</v>
      </c>
      <c r="X284" s="1" t="str">
        <f t="shared" si="72"/>
        <v>https://www.e-stat.go.jp/</v>
      </c>
      <c r="Y284" s="1" t="str">
        <f t="shared" si="73"/>
        <v>優先3</v>
      </c>
      <c r="Z284" s="1" t="str">
        <f t="shared" si="74"/>
        <v>Statistics Bureau, Ministry of Internal Affairs and Communications, Government of Japan [総務省統計局]. "令和３年経済センサス‐活動調査". Accessed 08 June, 2023. https://www.e-stat.go.jp/.</v>
      </c>
    </row>
    <row r="285" spans="2:26">
      <c r="B285" s="285" t="s">
        <v>218</v>
      </c>
      <c r="C285" s="285" t="s">
        <v>464</v>
      </c>
      <c r="D285" s="285" t="s">
        <v>673</v>
      </c>
      <c r="E285" s="285" t="s">
        <v>158</v>
      </c>
      <c r="F285" s="13" t="s">
        <v>817</v>
      </c>
      <c r="G285" s="13" t="s">
        <v>691</v>
      </c>
      <c r="H285" s="13" t="s">
        <v>816</v>
      </c>
      <c r="I285" s="13" t="s">
        <v>4095</v>
      </c>
      <c r="J285" s="13" t="s">
        <v>3691</v>
      </c>
      <c r="K285" s="284">
        <v>45085</v>
      </c>
      <c r="L285" s="283">
        <f t="shared" si="60"/>
        <v>3</v>
      </c>
      <c r="M285" s="283" t="str">
        <f t="shared" si="61"/>
        <v>-</v>
      </c>
      <c r="N285" s="283" t="str">
        <f t="shared" si="62"/>
        <v>-</v>
      </c>
      <c r="O285" s="283" t="str">
        <f t="shared" si="63"/>
        <v>-</v>
      </c>
      <c r="P285" s="283" t="str">
        <f t="shared" si="64"/>
        <v>-</v>
      </c>
      <c r="Q285" s="283" t="str">
        <f t="shared" si="65"/>
        <v>-</v>
      </c>
      <c r="R285" s="283" t="str">
        <f t="shared" si="66"/>
        <v>-</v>
      </c>
      <c r="S285" s="283" t="str">
        <f t="shared" si="67"/>
        <v>-</v>
      </c>
      <c r="T285" s="283" t="str">
        <f t="shared" si="68"/>
        <v>-</v>
      </c>
      <c r="U285" s="283" t="str">
        <f t="shared" si="69"/>
        <v>-</v>
      </c>
      <c r="V285" s="283" t="str">
        <f t="shared" si="70"/>
        <v>-</v>
      </c>
      <c r="W285" s="1" t="str">
        <f t="shared" si="71"/>
        <v>https://www.e-stat.go.jp/stat-search/files?page=1&amp;layout=datalist&amp;toukei=00200553&amp;tstat=000001145590&amp;cycle=0&amp;tclass1=000001145646&amp;tclass2=000001145647&amp;stat_infid=000032203466&amp;tclass3val=0/</v>
      </c>
      <c r="X285" s="1" t="str">
        <f t="shared" si="72"/>
        <v>https://www.e-stat.go.jp/</v>
      </c>
      <c r="Y285" s="1" t="str">
        <f t="shared" si="73"/>
        <v>優先3</v>
      </c>
      <c r="Z285" s="1" t="str">
        <f t="shared" si="74"/>
        <v>Statistics Bureau, Ministry of Internal Affairs and Communications, Government of Japan [総務省統計局]. "令和３年経済センサス‐活動調査". Accessed 08 June, 2023. https://www.e-stat.go.jp/.</v>
      </c>
    </row>
    <row r="286" spans="2:26">
      <c r="B286" s="285" t="s">
        <v>218</v>
      </c>
      <c r="C286" s="285" t="s">
        <v>464</v>
      </c>
      <c r="D286" s="285" t="s">
        <v>673</v>
      </c>
      <c r="E286" s="285" t="s">
        <v>160</v>
      </c>
      <c r="F286" s="13" t="s">
        <v>817</v>
      </c>
      <c r="G286" s="13" t="s">
        <v>691</v>
      </c>
      <c r="H286" s="13" t="s">
        <v>816</v>
      </c>
      <c r="I286" s="13" t="s">
        <v>4095</v>
      </c>
      <c r="J286" s="13" t="s">
        <v>3691</v>
      </c>
      <c r="K286" s="284">
        <v>45085</v>
      </c>
      <c r="L286" s="283">
        <f t="shared" si="60"/>
        <v>3</v>
      </c>
      <c r="M286" s="283" t="str">
        <f t="shared" si="61"/>
        <v>-</v>
      </c>
      <c r="N286" s="283" t="str">
        <f t="shared" si="62"/>
        <v>-</v>
      </c>
      <c r="O286" s="283" t="str">
        <f t="shared" si="63"/>
        <v>-</v>
      </c>
      <c r="P286" s="283" t="str">
        <f t="shared" si="64"/>
        <v>-</v>
      </c>
      <c r="Q286" s="283" t="str">
        <f t="shared" si="65"/>
        <v>-</v>
      </c>
      <c r="R286" s="283" t="str">
        <f t="shared" si="66"/>
        <v>-</v>
      </c>
      <c r="S286" s="283" t="str">
        <f t="shared" si="67"/>
        <v>-</v>
      </c>
      <c r="T286" s="283" t="str">
        <f t="shared" si="68"/>
        <v>-</v>
      </c>
      <c r="U286" s="283" t="str">
        <f t="shared" si="69"/>
        <v>-</v>
      </c>
      <c r="V286" s="283" t="str">
        <f t="shared" si="70"/>
        <v>-</v>
      </c>
      <c r="W286" s="1" t="str">
        <f t="shared" si="71"/>
        <v>https://www.e-stat.go.jp/stat-search/files?page=1&amp;layout=datalist&amp;toukei=00200553&amp;tstat=000001145590&amp;cycle=0&amp;tclass1=000001145646&amp;tclass2=000001145647&amp;stat_infid=000032203466&amp;tclass3val=0/</v>
      </c>
      <c r="X286" s="1" t="str">
        <f t="shared" si="72"/>
        <v>https://www.e-stat.go.jp/</v>
      </c>
      <c r="Y286" s="1" t="str">
        <f t="shared" si="73"/>
        <v>優先3</v>
      </c>
      <c r="Z286" s="1" t="str">
        <f t="shared" si="74"/>
        <v>Statistics Bureau, Ministry of Internal Affairs and Communications, Government of Japan [総務省統計局]. "令和３年経済センサス‐活動調査". Accessed 08 June, 2023. https://www.e-stat.go.jp/.</v>
      </c>
    </row>
    <row r="287" spans="2:26">
      <c r="B287" s="285" t="s">
        <v>218</v>
      </c>
      <c r="C287" s="285" t="s">
        <v>464</v>
      </c>
      <c r="D287" s="285" t="s">
        <v>673</v>
      </c>
      <c r="E287" s="285" t="s">
        <v>162</v>
      </c>
      <c r="F287" s="13" t="s">
        <v>811</v>
      </c>
      <c r="G287" s="13" t="s">
        <v>984</v>
      </c>
      <c r="H287" s="13"/>
      <c r="I287" s="13" t="s">
        <v>2627</v>
      </c>
      <c r="J287" s="13" t="s">
        <v>4096</v>
      </c>
      <c r="K287" s="284">
        <v>45085</v>
      </c>
      <c r="L287" s="283">
        <f t="shared" si="60"/>
        <v>2</v>
      </c>
      <c r="M287" s="283" t="str">
        <f t="shared" si="61"/>
        <v>-</v>
      </c>
      <c r="N287" s="283" t="str">
        <f t="shared" si="62"/>
        <v>-</v>
      </c>
      <c r="O287" s="283" t="str">
        <f t="shared" si="63"/>
        <v>-</v>
      </c>
      <c r="P287" s="283" t="str">
        <f t="shared" si="64"/>
        <v>-</v>
      </c>
      <c r="Q287" s="283" t="str">
        <f t="shared" si="65"/>
        <v>-</v>
      </c>
      <c r="R287" s="283" t="str">
        <f t="shared" si="66"/>
        <v>-</v>
      </c>
      <c r="S287" s="283" t="str">
        <f t="shared" si="67"/>
        <v>-</v>
      </c>
      <c r="T287" s="283" t="str">
        <f t="shared" si="68"/>
        <v>-</v>
      </c>
      <c r="U287" s="283" t="str">
        <f t="shared" si="69"/>
        <v>-</v>
      </c>
      <c r="V287" s="283" t="str">
        <f t="shared" si="70"/>
        <v>-</v>
      </c>
      <c r="W287" s="1" t="str">
        <f t="shared" si="71"/>
        <v>https://www.abs.gov.au/statistics/labour/employment-and-unemployment/labour-force-australia-detailed/apr-2023#industry-occupation-and-sector/</v>
      </c>
      <c r="X287" s="1" t="str">
        <f t="shared" si="72"/>
        <v>https://www.abs.gov.au/</v>
      </c>
      <c r="Y287" s="1" t="str">
        <f t="shared" si="73"/>
        <v>優先3</v>
      </c>
      <c r="Z287" s="1" t="str">
        <f t="shared" si="74"/>
        <v>Australian Bureau of Statistics, Government of Australia. "Labour Force, Australia, Detailed". Accessed 08 June, 2023. https://www.abs.gov.au/.</v>
      </c>
    </row>
    <row r="288" spans="2:26">
      <c r="B288" s="285" t="s">
        <v>218</v>
      </c>
      <c r="C288" s="285" t="s">
        <v>464</v>
      </c>
      <c r="D288" s="285" t="s">
        <v>673</v>
      </c>
      <c r="E288" s="285" t="s">
        <v>164</v>
      </c>
      <c r="F288" s="13" t="s">
        <v>814</v>
      </c>
      <c r="G288" s="13" t="s">
        <v>813</v>
      </c>
      <c r="H288" s="13"/>
      <c r="I288" s="13" t="s">
        <v>3630</v>
      </c>
      <c r="J288" s="13" t="s">
        <v>4097</v>
      </c>
      <c r="K288" s="284">
        <v>45085</v>
      </c>
      <c r="L288" s="283">
        <f t="shared" si="60"/>
        <v>2</v>
      </c>
      <c r="M288" s="283" t="str">
        <f t="shared" si="61"/>
        <v>-</v>
      </c>
      <c r="N288" s="283" t="str">
        <f t="shared" si="62"/>
        <v>-</v>
      </c>
      <c r="O288" s="283" t="str">
        <f t="shared" si="63"/>
        <v>-</v>
      </c>
      <c r="P288" s="283" t="str">
        <f t="shared" si="64"/>
        <v>-</v>
      </c>
      <c r="Q288" s="283" t="str">
        <f t="shared" si="65"/>
        <v>-</v>
      </c>
      <c r="R288" s="283" t="str">
        <f t="shared" si="66"/>
        <v>-</v>
      </c>
      <c r="S288" s="283" t="str">
        <f t="shared" si="67"/>
        <v>-</v>
      </c>
      <c r="T288" s="283" t="str">
        <f t="shared" si="68"/>
        <v>-</v>
      </c>
      <c r="U288" s="283" t="str">
        <f t="shared" si="69"/>
        <v>-</v>
      </c>
      <c r="V288" s="283" t="str">
        <f t="shared" si="70"/>
        <v>-</v>
      </c>
      <c r="W288" s="1" t="str">
        <f t="shared" si="71"/>
        <v>https://www12.statcan.gc.ca/census-recensement/2021/dp-pd/prof/details/page.cfm?LANG=E&amp;GENDERlist=1&amp;STATISTIClist=1,4&amp;DGUIDlist=2021A00055915022&amp;HEADERlist=44&amp;SearchText=Vancouver/</v>
      </c>
      <c r="X288" s="1" t="str">
        <f t="shared" si="72"/>
        <v>https://www12.statcan.gc.ca/</v>
      </c>
      <c r="Y288" s="1" t="str">
        <f t="shared" si="73"/>
        <v>優先3</v>
      </c>
      <c r="Z288" s="1" t="str">
        <f t="shared" si="74"/>
        <v>Statistics Canada, Government of Canada. "Census Profile, 2021 Census of Population". Accessed 08 June, 2023. https://www12.statcan.gc.ca/.</v>
      </c>
    </row>
    <row r="289" spans="2:26">
      <c r="B289" s="285" t="s">
        <v>218</v>
      </c>
      <c r="C289" s="285" t="s">
        <v>464</v>
      </c>
      <c r="D289" s="285" t="s">
        <v>673</v>
      </c>
      <c r="E289" s="285" t="s">
        <v>166</v>
      </c>
      <c r="F289" s="13" t="s">
        <v>982</v>
      </c>
      <c r="G289" s="13"/>
      <c r="H289" s="13"/>
      <c r="I289" s="13" t="s">
        <v>4098</v>
      </c>
      <c r="J289" s="13" t="s">
        <v>4099</v>
      </c>
      <c r="K289" s="284">
        <v>45084</v>
      </c>
      <c r="L289" s="283">
        <f t="shared" si="60"/>
        <v>6</v>
      </c>
      <c r="M289" s="283" t="str">
        <f t="shared" si="61"/>
        <v>-</v>
      </c>
      <c r="N289" s="283" t="str">
        <f t="shared" si="62"/>
        <v>-</v>
      </c>
      <c r="O289" s="283" t="str">
        <f t="shared" si="63"/>
        <v>-</v>
      </c>
      <c r="P289" s="283" t="str">
        <f t="shared" si="64"/>
        <v>-</v>
      </c>
      <c r="Q289" s="283" t="str">
        <f t="shared" si="65"/>
        <v>-</v>
      </c>
      <c r="R289" s="283" t="str">
        <f t="shared" si="66"/>
        <v>-</v>
      </c>
      <c r="S289" s="283" t="str">
        <f t="shared" si="67"/>
        <v>NG</v>
      </c>
      <c r="T289" s="283" t="str">
        <f t="shared" si="68"/>
        <v>-</v>
      </c>
      <c r="U289" s="283" t="str">
        <f t="shared" si="69"/>
        <v>-</v>
      </c>
      <c r="V289" s="283" t="str">
        <f t="shared" si="70"/>
        <v>-</v>
      </c>
      <c r="W289" s="1" t="str">
        <f t="shared" si="71"/>
        <v>https://data.census.gov/table?q=selected+economic+characteristics&amp;g=160XX00US0644000,0667000,1150000,1714000,2507000,3651000&amp;tid=ACSDP5Y2021.DP03/</v>
      </c>
      <c r="X289" s="1" t="str">
        <f t="shared" si="72"/>
        <v>https://data.census.gov/</v>
      </c>
      <c r="Y289" s="1" t="str">
        <f t="shared" si="73"/>
        <v>優先3</v>
      </c>
      <c r="Z289" s="1" t="str">
        <f t="shared" si="74"/>
        <v>United States Census Bureau, United States Department of Commerce. "American Community Survey（DP03, 2021: ACS 5-Year Estimates Data Profiles）". Accessed 07 June, 2023. https://data.census.gov/.</v>
      </c>
    </row>
    <row r="290" spans="2:26">
      <c r="B290" s="285" t="s">
        <v>218</v>
      </c>
      <c r="C290" s="285" t="s">
        <v>464</v>
      </c>
      <c r="D290" s="285" t="s">
        <v>673</v>
      </c>
      <c r="E290" s="285" t="s">
        <v>168</v>
      </c>
      <c r="F290" s="13" t="s">
        <v>982</v>
      </c>
      <c r="G290" s="13"/>
      <c r="H290" s="13"/>
      <c r="I290" s="13" t="s">
        <v>4098</v>
      </c>
      <c r="J290" s="13" t="s">
        <v>4099</v>
      </c>
      <c r="K290" s="284">
        <v>45084</v>
      </c>
      <c r="L290" s="283">
        <f t="shared" si="60"/>
        <v>6</v>
      </c>
      <c r="M290" s="283" t="str">
        <f t="shared" si="61"/>
        <v>-</v>
      </c>
      <c r="N290" s="283" t="str">
        <f t="shared" si="62"/>
        <v>-</v>
      </c>
      <c r="O290" s="283" t="str">
        <f t="shared" si="63"/>
        <v>-</v>
      </c>
      <c r="P290" s="283" t="str">
        <f t="shared" si="64"/>
        <v>-</v>
      </c>
      <c r="Q290" s="283" t="str">
        <f t="shared" si="65"/>
        <v>-</v>
      </c>
      <c r="R290" s="283" t="str">
        <f t="shared" si="66"/>
        <v>-</v>
      </c>
      <c r="S290" s="283" t="str">
        <f t="shared" si="67"/>
        <v>NG</v>
      </c>
      <c r="T290" s="283" t="str">
        <f t="shared" si="68"/>
        <v>-</v>
      </c>
      <c r="U290" s="283" t="str">
        <f t="shared" si="69"/>
        <v>-</v>
      </c>
      <c r="V290" s="283" t="str">
        <f t="shared" si="70"/>
        <v>-</v>
      </c>
      <c r="W290" s="1" t="str">
        <f t="shared" si="71"/>
        <v>https://data.census.gov/table?q=selected+economic+characteristics&amp;g=160XX00US0644000,0667000,1150000,1714000,2507000,3651000&amp;tid=ACSDP5Y2021.DP03/</v>
      </c>
      <c r="X290" s="1" t="str">
        <f t="shared" si="72"/>
        <v>https://data.census.gov/</v>
      </c>
      <c r="Y290" s="1" t="str">
        <f t="shared" si="73"/>
        <v>優先3</v>
      </c>
      <c r="Z290" s="1" t="str">
        <f t="shared" si="74"/>
        <v>United States Census Bureau, United States Department of Commerce. "American Community Survey（DP03, 2021: ACS 5-Year Estimates Data Profiles）". Accessed 07 June, 2023. https://data.census.gov/.</v>
      </c>
    </row>
    <row r="291" spans="2:26">
      <c r="B291" s="285" t="s">
        <v>218</v>
      </c>
      <c r="C291" s="285" t="s">
        <v>464</v>
      </c>
      <c r="D291" s="285" t="s">
        <v>673</v>
      </c>
      <c r="E291" s="285" t="s">
        <v>170</v>
      </c>
      <c r="F291" s="13" t="s">
        <v>886</v>
      </c>
      <c r="G291" s="13" t="s">
        <v>833</v>
      </c>
      <c r="H291" s="13"/>
      <c r="I291" s="13" t="s">
        <v>1277</v>
      </c>
      <c r="J291" s="13" t="s">
        <v>1278</v>
      </c>
      <c r="K291" s="284">
        <v>45085</v>
      </c>
      <c r="L291" s="283" t="str">
        <f t="shared" si="60"/>
        <v>-</v>
      </c>
      <c r="M291" s="283" t="str">
        <f t="shared" si="61"/>
        <v>-</v>
      </c>
      <c r="N291" s="283" t="str">
        <f t="shared" si="62"/>
        <v>-</v>
      </c>
      <c r="O291" s="283" t="str">
        <f t="shared" si="63"/>
        <v>-</v>
      </c>
      <c r="P291" s="283" t="str">
        <f t="shared" si="64"/>
        <v>-</v>
      </c>
      <c r="Q291" s="283" t="str">
        <f t="shared" si="65"/>
        <v>-</v>
      </c>
      <c r="R291" s="283" t="str">
        <f t="shared" si="66"/>
        <v>-</v>
      </c>
      <c r="S291" s="283" t="str">
        <f t="shared" si="67"/>
        <v>-</v>
      </c>
      <c r="T291" s="283" t="str">
        <f t="shared" si="68"/>
        <v>-</v>
      </c>
      <c r="U291" s="283" t="str">
        <f t="shared" si="69"/>
        <v>-</v>
      </c>
      <c r="V291" s="283" t="str">
        <f t="shared" si="70"/>
        <v>-</v>
      </c>
      <c r="W291" s="1" t="str">
        <f t="shared" si="71"/>
        <v>http://en.www.inegi.org.mx/app/tabulados/default.html?nc=597/</v>
      </c>
      <c r="X291" s="1" t="str">
        <f t="shared" si="72"/>
        <v>http://en.www.inegi.org.mx/</v>
      </c>
      <c r="Y291" s="1" t="str">
        <f t="shared" si="73"/>
        <v>優先3</v>
      </c>
      <c r="Z291" s="1" t="str">
        <f t="shared" si="74"/>
        <v>Instituto Nacional de Estadística y Geografía, United Mexican States. "Employed population according to sector of economic activity, quarterly national". Accessed 08 June, 2023. http://en.www.inegi.org.mx/.</v>
      </c>
    </row>
    <row r="292" spans="2:26">
      <c r="B292" s="285" t="s">
        <v>218</v>
      </c>
      <c r="C292" s="285" t="s">
        <v>464</v>
      </c>
      <c r="D292" s="285" t="s">
        <v>673</v>
      </c>
      <c r="E292" s="285" t="s">
        <v>172</v>
      </c>
      <c r="F292" s="13" t="s">
        <v>982</v>
      </c>
      <c r="G292" s="13"/>
      <c r="H292" s="13"/>
      <c r="I292" s="13" t="s">
        <v>4098</v>
      </c>
      <c r="J292" s="13" t="s">
        <v>4099</v>
      </c>
      <c r="K292" s="284">
        <v>45084</v>
      </c>
      <c r="L292" s="283">
        <f t="shared" si="60"/>
        <v>6</v>
      </c>
      <c r="M292" s="283" t="str">
        <f t="shared" si="61"/>
        <v>-</v>
      </c>
      <c r="N292" s="283" t="str">
        <f t="shared" si="62"/>
        <v>-</v>
      </c>
      <c r="O292" s="283" t="str">
        <f t="shared" si="63"/>
        <v>-</v>
      </c>
      <c r="P292" s="283" t="str">
        <f t="shared" si="64"/>
        <v>-</v>
      </c>
      <c r="Q292" s="283" t="str">
        <f t="shared" si="65"/>
        <v>-</v>
      </c>
      <c r="R292" s="283" t="str">
        <f t="shared" si="66"/>
        <v>-</v>
      </c>
      <c r="S292" s="283" t="str">
        <f t="shared" si="67"/>
        <v>NG</v>
      </c>
      <c r="T292" s="283" t="str">
        <f t="shared" si="68"/>
        <v>-</v>
      </c>
      <c r="U292" s="283" t="str">
        <f t="shared" si="69"/>
        <v>-</v>
      </c>
      <c r="V292" s="283" t="str">
        <f t="shared" si="70"/>
        <v>-</v>
      </c>
      <c r="W292" s="1" t="str">
        <f t="shared" si="71"/>
        <v>https://data.census.gov/table?q=selected+economic+characteristics&amp;g=160XX00US0644000,0667000,1150000,1714000,2507000,3651000&amp;tid=ACSDP5Y2021.DP03/</v>
      </c>
      <c r="X292" s="1" t="str">
        <f t="shared" si="72"/>
        <v>https://data.census.gov/</v>
      </c>
      <c r="Y292" s="1" t="str">
        <f t="shared" si="73"/>
        <v>優先3</v>
      </c>
      <c r="Z292" s="1" t="str">
        <f t="shared" si="74"/>
        <v>United States Census Bureau, United States Department of Commerce. "American Community Survey（DP03, 2021: ACS 5-Year Estimates Data Profiles）". Accessed 07 June, 2023. https://data.census.gov/.</v>
      </c>
    </row>
    <row r="293" spans="2:26">
      <c r="B293" s="285" t="s">
        <v>218</v>
      </c>
      <c r="C293" s="285" t="s">
        <v>464</v>
      </c>
      <c r="D293" s="285" t="s">
        <v>673</v>
      </c>
      <c r="E293" s="285" t="s">
        <v>174</v>
      </c>
      <c r="F293" s="13" t="s">
        <v>814</v>
      </c>
      <c r="G293" s="13" t="s">
        <v>813</v>
      </c>
      <c r="H293" s="13"/>
      <c r="I293" s="13" t="s">
        <v>3630</v>
      </c>
      <c r="J293" s="13" t="s">
        <v>4100</v>
      </c>
      <c r="K293" s="284">
        <v>45085</v>
      </c>
      <c r="L293" s="283">
        <f t="shared" si="60"/>
        <v>2</v>
      </c>
      <c r="M293" s="283" t="str">
        <f t="shared" si="61"/>
        <v>-</v>
      </c>
      <c r="N293" s="283" t="str">
        <f t="shared" si="62"/>
        <v>-</v>
      </c>
      <c r="O293" s="283" t="str">
        <f t="shared" si="63"/>
        <v>-</v>
      </c>
      <c r="P293" s="283" t="str">
        <f t="shared" si="64"/>
        <v>-</v>
      </c>
      <c r="Q293" s="283" t="str">
        <f t="shared" si="65"/>
        <v>-</v>
      </c>
      <c r="R293" s="283" t="str">
        <f t="shared" si="66"/>
        <v>-</v>
      </c>
      <c r="S293" s="283" t="str">
        <f t="shared" si="67"/>
        <v>-</v>
      </c>
      <c r="T293" s="283" t="str">
        <f t="shared" si="68"/>
        <v>-</v>
      </c>
      <c r="U293" s="283" t="str">
        <f t="shared" si="69"/>
        <v>-</v>
      </c>
      <c r="V293" s="283" t="str">
        <f t="shared" si="70"/>
        <v>-</v>
      </c>
      <c r="W293" s="1" t="str">
        <f t="shared" si="71"/>
        <v>https://www12.statcan.gc.ca/census-recensement/2021/dp-pd/prof/details/download-telecharger.cfm?Lang=E&amp;SearchText=Toronto&amp;DGUIDlist=2021A00053520005&amp;GENDERlist=1&amp;STATISTIClist=1,4&amp;HEADERlist=44/</v>
      </c>
      <c r="X293" s="1" t="str">
        <f t="shared" si="72"/>
        <v>https://www12.statcan.gc.ca/</v>
      </c>
      <c r="Y293" s="1" t="str">
        <f t="shared" si="73"/>
        <v>優先3</v>
      </c>
      <c r="Z293" s="1" t="str">
        <f t="shared" si="74"/>
        <v>Statistics Canada, Government of Canada. "Census Profile, 2021 Census of Population". Accessed 08 June, 2023. https://www12.statcan.gc.ca/.</v>
      </c>
    </row>
    <row r="294" spans="2:26">
      <c r="B294" s="285" t="s">
        <v>218</v>
      </c>
      <c r="C294" s="285" t="s">
        <v>464</v>
      </c>
      <c r="D294" s="285" t="s">
        <v>673</v>
      </c>
      <c r="E294" s="285" t="s">
        <v>373</v>
      </c>
      <c r="F294" s="13" t="s">
        <v>982</v>
      </c>
      <c r="G294" s="13"/>
      <c r="H294" s="13"/>
      <c r="I294" s="13" t="s">
        <v>4098</v>
      </c>
      <c r="J294" s="13" t="s">
        <v>4099</v>
      </c>
      <c r="K294" s="284">
        <v>45084</v>
      </c>
      <c r="L294" s="283">
        <f t="shared" si="60"/>
        <v>6</v>
      </c>
      <c r="M294" s="283" t="str">
        <f t="shared" si="61"/>
        <v>-</v>
      </c>
      <c r="N294" s="283" t="str">
        <f t="shared" si="62"/>
        <v>-</v>
      </c>
      <c r="O294" s="283" t="str">
        <f t="shared" si="63"/>
        <v>-</v>
      </c>
      <c r="P294" s="283" t="str">
        <f t="shared" si="64"/>
        <v>-</v>
      </c>
      <c r="Q294" s="283" t="str">
        <f t="shared" si="65"/>
        <v>-</v>
      </c>
      <c r="R294" s="283" t="str">
        <f t="shared" si="66"/>
        <v>-</v>
      </c>
      <c r="S294" s="283" t="str">
        <f t="shared" si="67"/>
        <v>NG</v>
      </c>
      <c r="T294" s="283" t="str">
        <f t="shared" si="68"/>
        <v>-</v>
      </c>
      <c r="U294" s="283" t="str">
        <f t="shared" si="69"/>
        <v>-</v>
      </c>
      <c r="V294" s="283" t="str">
        <f t="shared" si="70"/>
        <v>-</v>
      </c>
      <c r="W294" s="1" t="str">
        <f t="shared" si="71"/>
        <v>https://data.census.gov/table?q=selected+economic+characteristics&amp;g=160XX00US0644000,0667000,1150000,1714000,2507000,3651000&amp;tid=ACSDP5Y2021.DP03/</v>
      </c>
      <c r="X294" s="1" t="str">
        <f t="shared" si="72"/>
        <v>https://data.census.gov/</v>
      </c>
      <c r="Y294" s="1" t="str">
        <f t="shared" si="73"/>
        <v>優先3</v>
      </c>
      <c r="Z294" s="1" t="str">
        <f t="shared" si="74"/>
        <v>United States Census Bureau, United States Department of Commerce. "American Community Survey（DP03, 2021: ACS 5-Year Estimates Data Profiles）". Accessed 07 June, 2023. https://data.census.gov/.</v>
      </c>
    </row>
    <row r="295" spans="2:26">
      <c r="B295" s="285" t="s">
        <v>218</v>
      </c>
      <c r="C295" s="285" t="s">
        <v>464</v>
      </c>
      <c r="D295" s="285" t="s">
        <v>673</v>
      </c>
      <c r="E295" s="285" t="s">
        <v>178</v>
      </c>
      <c r="F295" s="13" t="s">
        <v>982</v>
      </c>
      <c r="G295" s="13"/>
      <c r="H295" s="13"/>
      <c r="I295" s="13" t="s">
        <v>4098</v>
      </c>
      <c r="J295" s="13" t="s">
        <v>4099</v>
      </c>
      <c r="K295" s="284">
        <v>45084</v>
      </c>
      <c r="L295" s="283">
        <f t="shared" si="60"/>
        <v>6</v>
      </c>
      <c r="M295" s="283" t="str">
        <f t="shared" si="61"/>
        <v>-</v>
      </c>
      <c r="N295" s="283" t="str">
        <f t="shared" si="62"/>
        <v>-</v>
      </c>
      <c r="O295" s="283" t="str">
        <f t="shared" si="63"/>
        <v>-</v>
      </c>
      <c r="P295" s="283" t="str">
        <f t="shared" si="64"/>
        <v>-</v>
      </c>
      <c r="Q295" s="283" t="str">
        <f t="shared" si="65"/>
        <v>-</v>
      </c>
      <c r="R295" s="283" t="str">
        <f t="shared" si="66"/>
        <v>-</v>
      </c>
      <c r="S295" s="283" t="str">
        <f t="shared" si="67"/>
        <v>NG</v>
      </c>
      <c r="T295" s="283" t="str">
        <f t="shared" si="68"/>
        <v>-</v>
      </c>
      <c r="U295" s="283" t="str">
        <f t="shared" si="69"/>
        <v>-</v>
      </c>
      <c r="V295" s="283" t="str">
        <f t="shared" si="70"/>
        <v>-</v>
      </c>
      <c r="W295" s="1" t="str">
        <f t="shared" si="71"/>
        <v>https://data.census.gov/table?q=selected+economic+characteristics&amp;g=160XX00US0644000,0667000,1150000,1714000,2507000,3651000&amp;tid=ACSDP5Y2021.DP03/</v>
      </c>
      <c r="X295" s="1" t="str">
        <f t="shared" si="72"/>
        <v>https://data.census.gov/</v>
      </c>
      <c r="Y295" s="1" t="str">
        <f t="shared" si="73"/>
        <v>優先3</v>
      </c>
      <c r="Z295" s="1" t="str">
        <f t="shared" si="74"/>
        <v>United States Census Bureau, United States Department of Commerce. "American Community Survey（DP03, 2021: ACS 5-Year Estimates Data Profiles）". Accessed 07 June, 2023. https://data.census.gov/.</v>
      </c>
    </row>
    <row r="296" spans="2:26">
      <c r="B296" s="285" t="s">
        <v>218</v>
      </c>
      <c r="C296" s="285" t="s">
        <v>464</v>
      </c>
      <c r="D296" s="285" t="s">
        <v>673</v>
      </c>
      <c r="E296" s="285" t="s">
        <v>180</v>
      </c>
      <c r="F296" s="13" t="s">
        <v>982</v>
      </c>
      <c r="G296" s="13"/>
      <c r="H296" s="13"/>
      <c r="I296" s="13" t="s">
        <v>4098</v>
      </c>
      <c r="J296" s="13" t="s">
        <v>4099</v>
      </c>
      <c r="K296" s="284">
        <v>45084</v>
      </c>
      <c r="L296" s="283">
        <f t="shared" si="60"/>
        <v>6</v>
      </c>
      <c r="M296" s="283" t="str">
        <f t="shared" si="61"/>
        <v>-</v>
      </c>
      <c r="N296" s="283" t="str">
        <f t="shared" si="62"/>
        <v>-</v>
      </c>
      <c r="O296" s="283" t="str">
        <f t="shared" si="63"/>
        <v>-</v>
      </c>
      <c r="P296" s="283" t="str">
        <f t="shared" si="64"/>
        <v>-</v>
      </c>
      <c r="Q296" s="283" t="str">
        <f t="shared" si="65"/>
        <v>-</v>
      </c>
      <c r="R296" s="283" t="str">
        <f t="shared" si="66"/>
        <v>-</v>
      </c>
      <c r="S296" s="283" t="str">
        <f t="shared" si="67"/>
        <v>NG</v>
      </c>
      <c r="T296" s="283" t="str">
        <f t="shared" si="68"/>
        <v>-</v>
      </c>
      <c r="U296" s="283" t="str">
        <f t="shared" si="69"/>
        <v>-</v>
      </c>
      <c r="V296" s="283" t="str">
        <f t="shared" si="70"/>
        <v>-</v>
      </c>
      <c r="W296" s="1" t="str">
        <f t="shared" si="71"/>
        <v>https://data.census.gov/table?q=selected+economic+characteristics&amp;g=160XX00US0644000,0667000,1150000,1714000,2507000,3651000&amp;tid=ACSDP5Y2021.DP03/</v>
      </c>
      <c r="X296" s="1" t="str">
        <f t="shared" si="72"/>
        <v>https://data.census.gov/</v>
      </c>
      <c r="Y296" s="1" t="str">
        <f t="shared" si="73"/>
        <v>優先3</v>
      </c>
      <c r="Z296" s="1" t="str">
        <f t="shared" si="74"/>
        <v>United States Census Bureau, United States Department of Commerce. "American Community Survey（DP03, 2021: ACS 5-Year Estimates Data Profiles）". Accessed 07 June, 2023. https://data.census.gov/.</v>
      </c>
    </row>
    <row r="297" spans="2:26">
      <c r="B297" s="285" t="s">
        <v>218</v>
      </c>
      <c r="C297" s="285" t="s">
        <v>464</v>
      </c>
      <c r="D297" s="285" t="s">
        <v>673</v>
      </c>
      <c r="E297" s="285" t="s">
        <v>182</v>
      </c>
      <c r="F297" s="13" t="s">
        <v>885</v>
      </c>
      <c r="G297" s="13" t="s">
        <v>307</v>
      </c>
      <c r="H297" s="13"/>
      <c r="I297" s="13" t="s">
        <v>2628</v>
      </c>
      <c r="J297" s="13" t="s">
        <v>2629</v>
      </c>
      <c r="K297" s="284">
        <v>45085</v>
      </c>
      <c r="L297" s="283" t="str">
        <f t="shared" si="60"/>
        <v>-</v>
      </c>
      <c r="M297" s="283" t="str">
        <f t="shared" si="61"/>
        <v>-</v>
      </c>
      <c r="N297" s="283" t="str">
        <f t="shared" si="62"/>
        <v>-</v>
      </c>
      <c r="O297" s="283" t="str">
        <f t="shared" si="63"/>
        <v>-</v>
      </c>
      <c r="P297" s="283" t="str">
        <f t="shared" si="64"/>
        <v>-</v>
      </c>
      <c r="Q297" s="283" t="str">
        <f t="shared" si="65"/>
        <v>-</v>
      </c>
      <c r="R297" s="283" t="str">
        <f t="shared" si="66"/>
        <v>-</v>
      </c>
      <c r="S297" s="283" t="str">
        <f t="shared" si="67"/>
        <v>-</v>
      </c>
      <c r="T297" s="283" t="str">
        <f t="shared" si="68"/>
        <v>-</v>
      </c>
      <c r="U297" s="283" t="str">
        <f t="shared" si="69"/>
        <v>-</v>
      </c>
      <c r="V297" s="283" t="str">
        <f t="shared" si="70"/>
        <v>-</v>
      </c>
      <c r="W297" s="1" t="str">
        <f t="shared" si="71"/>
        <v>https://www.ibge.gov.br/en/statistics/social/labor/18704-summary-of-social-indicators.html?=&amp;t=downloads/</v>
      </c>
      <c r="X297" s="1" t="str">
        <f t="shared" si="72"/>
        <v>https://www.ibge.gov.br/</v>
      </c>
      <c r="Y297" s="1" t="str">
        <f t="shared" si="73"/>
        <v>優先3</v>
      </c>
      <c r="Z297" s="1" t="str">
        <f t="shared" si="74"/>
        <v>Instituto Brasileiro de Geografia e Estatística, Brazil. "Summary of Social Indicators - SIS". Accessed 08 June, 2023. https://www.ibge.gov.br/.</v>
      </c>
    </row>
    <row r="298" spans="2:26">
      <c r="B298" s="285" t="s">
        <v>218</v>
      </c>
      <c r="C298" s="285" t="s">
        <v>464</v>
      </c>
      <c r="D298" s="285" t="s">
        <v>673</v>
      </c>
      <c r="E298" s="285" t="s">
        <v>184</v>
      </c>
      <c r="F298" s="13" t="s">
        <v>786</v>
      </c>
      <c r="G298" s="13"/>
      <c r="H298" s="13"/>
      <c r="I298" s="13" t="s">
        <v>4101</v>
      </c>
      <c r="J298" s="13" t="s">
        <v>3692</v>
      </c>
      <c r="K298" s="284">
        <v>45085</v>
      </c>
      <c r="L298" s="283" t="str">
        <f t="shared" si="60"/>
        <v>-</v>
      </c>
      <c r="M298" s="283" t="str">
        <f t="shared" si="61"/>
        <v>-</v>
      </c>
      <c r="N298" s="283" t="str">
        <f t="shared" si="62"/>
        <v>-</v>
      </c>
      <c r="O298" s="283" t="str">
        <f t="shared" si="63"/>
        <v>-</v>
      </c>
      <c r="P298" s="283" t="str">
        <f t="shared" si="64"/>
        <v>-</v>
      </c>
      <c r="Q298" s="283" t="str">
        <f t="shared" si="65"/>
        <v>-</v>
      </c>
      <c r="R298" s="283" t="str">
        <f t="shared" si="66"/>
        <v>-</v>
      </c>
      <c r="S298" s="283" t="str">
        <f t="shared" si="67"/>
        <v>-</v>
      </c>
      <c r="T298" s="283" t="str">
        <f t="shared" si="68"/>
        <v>-</v>
      </c>
      <c r="U298" s="283" t="str">
        <f t="shared" si="69"/>
        <v>-</v>
      </c>
      <c r="V298" s="283" t="str">
        <f t="shared" si="70"/>
        <v>-</v>
      </c>
      <c r="W298" s="1" t="str">
        <f t="shared" si="71"/>
        <v>https://www.statssa.gov.za/?page_id=1854&amp;PPN=P0211/</v>
      </c>
      <c r="X298" s="1" t="str">
        <f t="shared" si="72"/>
        <v>https://www.statssa.gov.za/</v>
      </c>
      <c r="Y298" s="1" t="str">
        <f t="shared" si="73"/>
        <v>優先3</v>
      </c>
      <c r="Z298" s="1" t="str">
        <f t="shared" si="74"/>
        <v>Statistics South Africa. "QLFS Trends 2008-2023Q1". Accessed 08 June, 2023. https://www.statssa.gov.za/.</v>
      </c>
    </row>
    <row r="299" spans="2:26">
      <c r="B299" s="285" t="s">
        <v>218</v>
      </c>
      <c r="C299" s="285" t="s">
        <v>464</v>
      </c>
      <c r="D299" s="285" t="s">
        <v>673</v>
      </c>
      <c r="E299" s="285" t="s">
        <v>186</v>
      </c>
      <c r="F299" s="13" t="s">
        <v>864</v>
      </c>
      <c r="G299" s="13" t="s">
        <v>884</v>
      </c>
      <c r="H299" s="13"/>
      <c r="I299" s="13" t="s">
        <v>4102</v>
      </c>
      <c r="J299" s="13" t="s">
        <v>4103</v>
      </c>
      <c r="K299" s="284">
        <v>45085</v>
      </c>
      <c r="L299" s="283" t="str">
        <f t="shared" si="60"/>
        <v>-</v>
      </c>
      <c r="M299" s="283" t="str">
        <f t="shared" si="61"/>
        <v>-</v>
      </c>
      <c r="N299" s="283" t="str">
        <f t="shared" si="62"/>
        <v>-</v>
      </c>
      <c r="O299" s="283" t="str">
        <f t="shared" si="63"/>
        <v>-</v>
      </c>
      <c r="P299" s="283" t="str">
        <f t="shared" si="64"/>
        <v>-</v>
      </c>
      <c r="Q299" s="283" t="str">
        <f t="shared" si="65"/>
        <v>-</v>
      </c>
      <c r="R299" s="283" t="str">
        <f t="shared" si="66"/>
        <v>-</v>
      </c>
      <c r="S299" s="283" t="str">
        <f t="shared" si="67"/>
        <v>-</v>
      </c>
      <c r="T299" s="283" t="str">
        <f t="shared" si="68"/>
        <v>-</v>
      </c>
      <c r="U299" s="283" t="str">
        <f t="shared" si="69"/>
        <v>-</v>
      </c>
      <c r="V299" s="283" t="str">
        <f t="shared" si="70"/>
        <v>-</v>
      </c>
      <c r="W299" s="1" t="str">
        <f t="shared" si="71"/>
        <v>https://jakarta.bps.go.id/publication/2022/04/28/15da262e48e25ae7242c2bbf/keadaan-angkatan-kerja-provinsi-dki-jakarta-2021.html/</v>
      </c>
      <c r="X299" s="1" t="str">
        <f t="shared" si="72"/>
        <v>https://jakarta.bps.go.id/</v>
      </c>
      <c r="Y299" s="1" t="str">
        <f t="shared" si="73"/>
        <v>優先3</v>
      </c>
      <c r="Z299" s="1" t="str">
        <f t="shared" si="74"/>
        <v>Badan Pusat Statistik, Republic of Indonesia. "Labor Force Situation in DKI Jakarta Province 2021". Accessed 08 June, 2023. https://jakarta.bps.go.id/.</v>
      </c>
    </row>
    <row r="300" spans="2:26">
      <c r="B300" s="285" t="s">
        <v>218</v>
      </c>
      <c r="C300" s="285" t="s">
        <v>464</v>
      </c>
      <c r="D300" s="285" t="s">
        <v>673</v>
      </c>
      <c r="E300" s="285" t="s">
        <v>188</v>
      </c>
      <c r="F300" s="13"/>
      <c r="G300" s="13" t="s">
        <v>1173</v>
      </c>
      <c r="H300" s="13"/>
      <c r="I300" s="13" t="s">
        <v>4041</v>
      </c>
      <c r="J300" s="13" t="s">
        <v>4042</v>
      </c>
      <c r="K300" s="284">
        <v>45085</v>
      </c>
      <c r="L300" s="283" t="str">
        <f t="shared" si="60"/>
        <v>-</v>
      </c>
      <c r="M300" s="283" t="str">
        <f t="shared" si="61"/>
        <v>-</v>
      </c>
      <c r="N300" s="283" t="str">
        <f t="shared" si="62"/>
        <v>-</v>
      </c>
      <c r="O300" s="283" t="str">
        <f t="shared" si="63"/>
        <v>-</v>
      </c>
      <c r="P300" s="283" t="str">
        <f t="shared" si="64"/>
        <v>-</v>
      </c>
      <c r="Q300" s="283" t="str">
        <f t="shared" si="65"/>
        <v>-</v>
      </c>
      <c r="R300" s="283" t="str">
        <f t="shared" si="66"/>
        <v>-</v>
      </c>
      <c r="S300" s="283" t="str">
        <f t="shared" si="67"/>
        <v>-</v>
      </c>
      <c r="T300" s="283" t="str">
        <f t="shared" si="68"/>
        <v>-</v>
      </c>
      <c r="U300" s="283" t="str">
        <f t="shared" si="69"/>
        <v>-</v>
      </c>
      <c r="V300" s="283" t="str">
        <f t="shared" si="70"/>
        <v>-</v>
      </c>
      <c r="W300" s="1" t="str">
        <f t="shared" si="71"/>
        <v>https://www.estadisticaciudad.gob.ar/eyc/?p=140859/</v>
      </c>
      <c r="X300" s="1" t="str">
        <f t="shared" si="72"/>
        <v>https://www.estadisticaciudad.gob.ar/</v>
      </c>
      <c r="Y300" s="1" t="str">
        <f t="shared" si="73"/>
        <v>優先3</v>
      </c>
      <c r="Z300" s="1" t="str">
        <f t="shared" si="74"/>
        <v>Ciudad de Buenos Aires. "Anuario Estadístico de la Ciudad de Buenos Aires 2022". Accessed 08 June, 2023. https://www.estadisticaciudad.gob.ar/.</v>
      </c>
    </row>
    <row r="301" spans="2:26">
      <c r="B301" s="285" t="s">
        <v>218</v>
      </c>
      <c r="C301" s="285" t="s">
        <v>464</v>
      </c>
      <c r="D301" s="285" t="s">
        <v>673</v>
      </c>
      <c r="E301" s="285" t="s">
        <v>190</v>
      </c>
      <c r="F301" s="13" t="s">
        <v>862</v>
      </c>
      <c r="G301" s="13" t="s">
        <v>829</v>
      </c>
      <c r="H301" s="13"/>
      <c r="I301" s="13" t="s">
        <v>2630</v>
      </c>
      <c r="J301" s="13" t="s">
        <v>1279</v>
      </c>
      <c r="K301" s="284">
        <v>45085</v>
      </c>
      <c r="L301" s="283" t="str">
        <f t="shared" si="60"/>
        <v>-</v>
      </c>
      <c r="M301" s="283" t="str">
        <f t="shared" si="61"/>
        <v>-</v>
      </c>
      <c r="N301" s="283" t="str">
        <f t="shared" si="62"/>
        <v>-</v>
      </c>
      <c r="O301" s="283" t="str">
        <f t="shared" si="63"/>
        <v>-</v>
      </c>
      <c r="P301" s="283" t="str">
        <f t="shared" si="64"/>
        <v>-</v>
      </c>
      <c r="Q301" s="283" t="str">
        <f t="shared" si="65"/>
        <v>-</v>
      </c>
      <c r="R301" s="283" t="str">
        <f t="shared" si="66"/>
        <v>-</v>
      </c>
      <c r="S301" s="283" t="str">
        <f t="shared" si="67"/>
        <v>-</v>
      </c>
      <c r="T301" s="283" t="str">
        <f t="shared" si="68"/>
        <v>-</v>
      </c>
      <c r="U301" s="283" t="str">
        <f t="shared" si="69"/>
        <v>-</v>
      </c>
      <c r="V301" s="283" t="str">
        <f t="shared" si="70"/>
        <v>-</v>
      </c>
      <c r="W301" s="1" t="str">
        <f t="shared" si="71"/>
        <v>https://www.dsc.gov.ae/en-us/Themes/Pages/Labour.aspx?Theme=41#DSC_Tab2/</v>
      </c>
      <c r="X301" s="1" t="str">
        <f t="shared" si="72"/>
        <v>https://www.dsc.gov.ae/</v>
      </c>
      <c r="Y301" s="1" t="str">
        <f t="shared" si="73"/>
        <v>優先3</v>
      </c>
      <c r="Z301" s="1" t="str">
        <f t="shared" si="74"/>
        <v>Dubai Statistics Center, Government of Dubai. "Bulletin of Labor Force Survey Results 2019". Accessed 08 June, 2023. https://www.dsc.gov.ae/.</v>
      </c>
    </row>
    <row r="302" spans="2:26">
      <c r="B302" s="285" t="s">
        <v>218</v>
      </c>
      <c r="C302" s="285" t="s">
        <v>464</v>
      </c>
      <c r="D302" s="285" t="s">
        <v>673</v>
      </c>
      <c r="E302" s="285" t="s">
        <v>369</v>
      </c>
      <c r="F302" s="13" t="s">
        <v>881</v>
      </c>
      <c r="G302" s="13"/>
      <c r="H302" s="13"/>
      <c r="I302" s="13" t="s">
        <v>980</v>
      </c>
      <c r="J302" s="13" t="s">
        <v>3693</v>
      </c>
      <c r="K302" s="284">
        <v>45085</v>
      </c>
      <c r="L302" s="283" t="str">
        <f t="shared" si="60"/>
        <v>-</v>
      </c>
      <c r="M302" s="283" t="str">
        <f t="shared" si="61"/>
        <v>-</v>
      </c>
      <c r="N302" s="283" t="str">
        <f t="shared" si="62"/>
        <v>-</v>
      </c>
      <c r="O302" s="283" t="str">
        <f t="shared" si="63"/>
        <v>-</v>
      </c>
      <c r="P302" s="283" t="str">
        <f t="shared" si="64"/>
        <v>-</v>
      </c>
      <c r="Q302" s="283" t="str">
        <f t="shared" si="65"/>
        <v>-</v>
      </c>
      <c r="R302" s="283" t="str">
        <f t="shared" si="66"/>
        <v>-</v>
      </c>
      <c r="S302" s="283" t="str">
        <f t="shared" si="67"/>
        <v>-</v>
      </c>
      <c r="T302" s="283" t="str">
        <f t="shared" si="68"/>
        <v>-</v>
      </c>
      <c r="U302" s="283" t="str">
        <f t="shared" si="69"/>
        <v>-</v>
      </c>
      <c r="V302" s="283" t="str">
        <f t="shared" si="70"/>
        <v>-</v>
      </c>
      <c r="W302" s="1" t="str">
        <f t="shared" si="71"/>
        <v>https://data.cso.ie/#/</v>
      </c>
      <c r="X302" s="1" t="str">
        <f t="shared" si="72"/>
        <v>https://data.cso.ie/</v>
      </c>
      <c r="Y302" s="1" t="str">
        <f t="shared" si="73"/>
        <v>優先3</v>
      </c>
      <c r="Z302" s="1" t="str">
        <f t="shared" si="74"/>
        <v>Central Statistics Office. "Population Aged 15 Years and Over in the Labour Force 2011 to 2016". Accessed 08 June, 2023. https://data.cso.ie/.</v>
      </c>
    </row>
    <row r="303" spans="2:26">
      <c r="B303" s="285" t="s">
        <v>218</v>
      </c>
      <c r="C303" s="285" t="s">
        <v>464</v>
      </c>
      <c r="D303" s="285" t="s">
        <v>673</v>
      </c>
      <c r="E303" s="285" t="s">
        <v>370</v>
      </c>
      <c r="F303" s="13" t="s">
        <v>828</v>
      </c>
      <c r="G303" s="13"/>
      <c r="H303" s="13"/>
      <c r="I303" s="13" t="s">
        <v>2631</v>
      </c>
      <c r="J303" s="13" t="s">
        <v>1401</v>
      </c>
      <c r="K303" s="284">
        <v>45077</v>
      </c>
      <c r="L303" s="283" t="str">
        <f t="shared" si="60"/>
        <v>-</v>
      </c>
      <c r="M303" s="283" t="str">
        <f t="shared" si="61"/>
        <v>-</v>
      </c>
      <c r="N303" s="283" t="str">
        <f t="shared" si="62"/>
        <v>-</v>
      </c>
      <c r="O303" s="283" t="str">
        <f t="shared" si="63"/>
        <v>-</v>
      </c>
      <c r="P303" s="283" t="str">
        <f t="shared" si="64"/>
        <v>-</v>
      </c>
      <c r="Q303" s="283" t="str">
        <f t="shared" si="65"/>
        <v>-</v>
      </c>
      <c r="R303" s="283" t="str">
        <f t="shared" si="66"/>
        <v>-</v>
      </c>
      <c r="S303" s="283" t="str">
        <f t="shared" si="67"/>
        <v>-</v>
      </c>
      <c r="T303" s="283" t="str">
        <f t="shared" si="68"/>
        <v>-</v>
      </c>
      <c r="U303" s="283" t="str">
        <f t="shared" si="69"/>
        <v>-</v>
      </c>
      <c r="V303" s="283" t="str">
        <f t="shared" si="70"/>
        <v>NG</v>
      </c>
      <c r="W303" s="1" t="str">
        <f t="shared" si="71"/>
        <v>https://hri.fi/data/en/dataset/helsingin-tilastollinen-vuosikirja/</v>
      </c>
      <c r="X303" s="1" t="str">
        <f t="shared" si="72"/>
        <v>https://hri.fi/</v>
      </c>
      <c r="Y303" s="1" t="str">
        <f t="shared" si="73"/>
        <v>優先3</v>
      </c>
      <c r="Z303" s="1" t="str">
        <f t="shared" si="74"/>
        <v>Helsinki Region Infoshare . "STATISTICAL YEARBOOK OF HELSINKI". Accessed 31 May, 2023. https://hri.fi/.</v>
      </c>
    </row>
    <row r="304" spans="2:26">
      <c r="B304" s="285" t="s">
        <v>218</v>
      </c>
      <c r="C304" s="285" t="s">
        <v>464</v>
      </c>
      <c r="D304" s="285" t="s">
        <v>673</v>
      </c>
      <c r="E304" s="285" t="s">
        <v>371</v>
      </c>
      <c r="F304" s="13" t="s">
        <v>827</v>
      </c>
      <c r="G304" s="13"/>
      <c r="H304" s="13"/>
      <c r="I304" s="13" t="s">
        <v>1280</v>
      </c>
      <c r="J304" s="13" t="s">
        <v>4104</v>
      </c>
      <c r="K304" s="284">
        <v>45085</v>
      </c>
      <c r="L304" s="283" t="str">
        <f t="shared" si="60"/>
        <v>-</v>
      </c>
      <c r="M304" s="283" t="str">
        <f t="shared" si="61"/>
        <v>-</v>
      </c>
      <c r="N304" s="283" t="str">
        <f t="shared" si="62"/>
        <v>-</v>
      </c>
      <c r="O304" s="283" t="str">
        <f t="shared" si="63"/>
        <v>-</v>
      </c>
      <c r="P304" s="283" t="str">
        <f t="shared" si="64"/>
        <v>-</v>
      </c>
      <c r="Q304" s="283" t="str">
        <f t="shared" si="65"/>
        <v>-</v>
      </c>
      <c r="R304" s="283" t="str">
        <f t="shared" si="66"/>
        <v>-</v>
      </c>
      <c r="S304" s="283" t="str">
        <f t="shared" si="67"/>
        <v>-</v>
      </c>
      <c r="T304" s="283" t="str">
        <f t="shared" si="68"/>
        <v>-</v>
      </c>
      <c r="U304" s="283" t="str">
        <f t="shared" si="69"/>
        <v>-</v>
      </c>
      <c r="V304" s="283" t="str">
        <f t="shared" si="70"/>
        <v>-</v>
      </c>
      <c r="W304" s="1" t="str">
        <f t="shared" si="71"/>
        <v>https://www.boi.org.il/en/economic-roles/statistics/real-economic-activity/labor-market-and-demography/#mainContent/</v>
      </c>
      <c r="X304" s="1" t="str">
        <f t="shared" si="72"/>
        <v>https://www.boi.org.il/</v>
      </c>
      <c r="Y304" s="1" t="str">
        <f t="shared" si="73"/>
        <v>優先3</v>
      </c>
      <c r="Z304" s="1" t="str">
        <f t="shared" si="74"/>
        <v>Bank of Israel. "Employment (Thousand, Seasonally Adjusted, Based On Labor Force Surveys)". Accessed 08 June, 2023. https://www.boi.org.il/.</v>
      </c>
    </row>
    <row r="305" spans="2:26">
      <c r="B305" s="285" t="s">
        <v>218</v>
      </c>
      <c r="C305" s="285" t="s">
        <v>464</v>
      </c>
      <c r="D305" s="285" t="s">
        <v>673</v>
      </c>
      <c r="E305" s="285" t="s">
        <v>372</v>
      </c>
      <c r="F305" s="13" t="s">
        <v>811</v>
      </c>
      <c r="G305" s="13" t="s">
        <v>984</v>
      </c>
      <c r="H305" s="13"/>
      <c r="I305" s="13" t="s">
        <v>2627</v>
      </c>
      <c r="J305" s="13" t="s">
        <v>4096</v>
      </c>
      <c r="K305" s="284">
        <v>45085</v>
      </c>
      <c r="L305" s="283">
        <f t="shared" si="60"/>
        <v>2</v>
      </c>
      <c r="M305" s="283" t="str">
        <f t="shared" si="61"/>
        <v>-</v>
      </c>
      <c r="N305" s="283" t="str">
        <f t="shared" si="62"/>
        <v>-</v>
      </c>
      <c r="O305" s="283" t="str">
        <f t="shared" si="63"/>
        <v>-</v>
      </c>
      <c r="P305" s="283" t="str">
        <f t="shared" si="64"/>
        <v>-</v>
      </c>
      <c r="Q305" s="283" t="str">
        <f t="shared" si="65"/>
        <v>-</v>
      </c>
      <c r="R305" s="283" t="str">
        <f t="shared" si="66"/>
        <v>-</v>
      </c>
      <c r="S305" s="283" t="str">
        <f t="shared" si="67"/>
        <v>-</v>
      </c>
      <c r="T305" s="283" t="str">
        <f t="shared" si="68"/>
        <v>-</v>
      </c>
      <c r="U305" s="283" t="str">
        <f t="shared" si="69"/>
        <v>-</v>
      </c>
      <c r="V305" s="283" t="str">
        <f t="shared" si="70"/>
        <v>-</v>
      </c>
      <c r="W305" s="1" t="str">
        <f t="shared" si="71"/>
        <v>https://www.abs.gov.au/statistics/labour/employment-and-unemployment/labour-force-australia-detailed/apr-2023#industry-occupation-and-sector/</v>
      </c>
      <c r="X305" s="1" t="str">
        <f t="shared" si="72"/>
        <v>https://www.abs.gov.au/</v>
      </c>
      <c r="Y305" s="1" t="str">
        <f t="shared" si="73"/>
        <v>優先3</v>
      </c>
      <c r="Z305" s="1" t="str">
        <f t="shared" si="74"/>
        <v>Australian Bureau of Statistics, Government of Australia. "Labour Force, Australia, Detailed". Accessed 08 June, 2023. https://www.abs.gov.au/.</v>
      </c>
    </row>
    <row r="306" spans="2:26">
      <c r="B306" s="285" t="s">
        <v>218</v>
      </c>
      <c r="C306" s="285" t="s">
        <v>464</v>
      </c>
      <c r="D306" s="285" t="s">
        <v>673</v>
      </c>
      <c r="E306" s="285" t="s">
        <v>116</v>
      </c>
      <c r="F306" s="13" t="s">
        <v>873</v>
      </c>
      <c r="G306" s="13"/>
      <c r="H306" s="13"/>
      <c r="I306" s="13" t="s">
        <v>4105</v>
      </c>
      <c r="J306" s="13" t="s">
        <v>1281</v>
      </c>
      <c r="K306" s="284">
        <v>45084</v>
      </c>
      <c r="L306" s="283">
        <f t="shared" si="60"/>
        <v>2</v>
      </c>
      <c r="M306" s="283" t="str">
        <f t="shared" si="61"/>
        <v>-</v>
      </c>
      <c r="N306" s="283" t="str">
        <f t="shared" si="62"/>
        <v>-</v>
      </c>
      <c r="O306" s="283" t="str">
        <f t="shared" si="63"/>
        <v>-</v>
      </c>
      <c r="P306" s="283" t="str">
        <f t="shared" si="64"/>
        <v>-</v>
      </c>
      <c r="Q306" s="283" t="str">
        <f t="shared" si="65"/>
        <v>-</v>
      </c>
      <c r="R306" s="283" t="str">
        <f t="shared" si="66"/>
        <v>-</v>
      </c>
      <c r="S306" s="283" t="str">
        <f t="shared" si="67"/>
        <v>-</v>
      </c>
      <c r="T306" s="283" t="str">
        <f t="shared" si="68"/>
        <v>-</v>
      </c>
      <c r="U306" s="283" t="str">
        <f t="shared" si="69"/>
        <v>-</v>
      </c>
      <c r="V306" s="283" t="str">
        <f t="shared" si="70"/>
        <v>-</v>
      </c>
      <c r="W306" s="1" t="str">
        <f t="shared" si="71"/>
        <v>https://uniondesvilles.ch/cmsfiles/STST_2013_Web_1.pdf?v=20200720043350/</v>
      </c>
      <c r="X306" s="1" t="str">
        <f t="shared" si="72"/>
        <v>https://uniondesvilles.ch/</v>
      </c>
      <c r="Y306" s="1" t="str">
        <f t="shared" si="73"/>
        <v>優先3</v>
      </c>
      <c r="Z306" s="1" t="str">
        <f t="shared" si="74"/>
        <v>Schweizerischer Städteverband. "Statistik der Schweizer Städte 2013". Accessed 07 June, 2023. https://uniondesvilles.ch/.</v>
      </c>
    </row>
    <row r="307" spans="2:26">
      <c r="B307" s="285" t="s">
        <v>218</v>
      </c>
      <c r="C307" s="285" t="s">
        <v>464</v>
      </c>
      <c r="D307" s="285" t="s">
        <v>673</v>
      </c>
      <c r="E307" s="285" t="s">
        <v>124</v>
      </c>
      <c r="F307" s="13" t="s">
        <v>873</v>
      </c>
      <c r="G307" s="13"/>
      <c r="H307" s="13"/>
      <c r="I307" s="13" t="s">
        <v>4105</v>
      </c>
      <c r="J307" s="13" t="s">
        <v>1281</v>
      </c>
      <c r="K307" s="284">
        <v>45084</v>
      </c>
      <c r="L307" s="283">
        <f t="shared" si="60"/>
        <v>2</v>
      </c>
      <c r="M307" s="283" t="str">
        <f t="shared" si="61"/>
        <v>-</v>
      </c>
      <c r="N307" s="283" t="str">
        <f t="shared" si="62"/>
        <v>-</v>
      </c>
      <c r="O307" s="283" t="str">
        <f t="shared" si="63"/>
        <v>-</v>
      </c>
      <c r="P307" s="283" t="str">
        <f t="shared" si="64"/>
        <v>-</v>
      </c>
      <c r="Q307" s="283" t="str">
        <f t="shared" si="65"/>
        <v>-</v>
      </c>
      <c r="R307" s="283" t="str">
        <f t="shared" si="66"/>
        <v>-</v>
      </c>
      <c r="S307" s="283" t="str">
        <f t="shared" si="67"/>
        <v>-</v>
      </c>
      <c r="T307" s="283" t="str">
        <f t="shared" si="68"/>
        <v>-</v>
      </c>
      <c r="U307" s="283" t="str">
        <f t="shared" si="69"/>
        <v>-</v>
      </c>
      <c r="V307" s="283" t="str">
        <f t="shared" si="70"/>
        <v>-</v>
      </c>
      <c r="W307" s="1" t="str">
        <f t="shared" si="71"/>
        <v>https://uniondesvilles.ch/cmsfiles/STST_2013_Web_1.pdf?v=20200720043350/</v>
      </c>
      <c r="X307" s="1" t="str">
        <f t="shared" si="72"/>
        <v>https://uniondesvilles.ch/</v>
      </c>
      <c r="Y307" s="1" t="str">
        <f t="shared" si="73"/>
        <v>優先3</v>
      </c>
      <c r="Z307" s="1" t="str">
        <f t="shared" si="74"/>
        <v>Schweizerischer Städteverband. "Statistik der Schweizer Städte 2013". Accessed 07 June, 2023. https://uniondesvilles.ch/.</v>
      </c>
    </row>
    <row r="308" spans="2:26">
      <c r="B308" s="285" t="s">
        <v>218</v>
      </c>
      <c r="C308" s="285" t="s">
        <v>464</v>
      </c>
      <c r="D308" s="285" t="s">
        <v>673</v>
      </c>
      <c r="E308" s="285" t="s">
        <v>138</v>
      </c>
      <c r="F308" s="13" t="s">
        <v>1019</v>
      </c>
      <c r="G308" s="13" t="s">
        <v>746</v>
      </c>
      <c r="H308" s="13"/>
      <c r="I308" s="13" t="s">
        <v>3694</v>
      </c>
      <c r="J308" s="13" t="s">
        <v>3674</v>
      </c>
      <c r="K308" s="284">
        <v>45084</v>
      </c>
      <c r="L308" s="283" t="str">
        <f t="shared" si="60"/>
        <v>-</v>
      </c>
      <c r="M308" s="283" t="str">
        <f t="shared" si="61"/>
        <v>-</v>
      </c>
      <c r="N308" s="283" t="str">
        <f t="shared" si="62"/>
        <v>-</v>
      </c>
      <c r="O308" s="283" t="str">
        <f t="shared" si="63"/>
        <v>-</v>
      </c>
      <c r="P308" s="283" t="str">
        <f t="shared" si="64"/>
        <v>-</v>
      </c>
      <c r="Q308" s="283" t="str">
        <f t="shared" si="65"/>
        <v>-</v>
      </c>
      <c r="R308" s="283" t="str">
        <f t="shared" si="66"/>
        <v>-</v>
      </c>
      <c r="S308" s="283" t="str">
        <f t="shared" si="67"/>
        <v>-</v>
      </c>
      <c r="T308" s="283" t="str">
        <f t="shared" si="68"/>
        <v>-</v>
      </c>
      <c r="U308" s="283" t="str">
        <f t="shared" si="69"/>
        <v>-</v>
      </c>
      <c r="V308" s="283" t="str">
        <f t="shared" si="70"/>
        <v>-</v>
      </c>
      <c r="W308" s="1" t="str">
        <f t="shared" si="71"/>
        <v>https://censusindia.gov.in/census.website/data/population-finder/</v>
      </c>
      <c r="X308" s="1" t="str">
        <f t="shared" si="72"/>
        <v>https://censusindia.gov.in/</v>
      </c>
      <c r="Y308" s="1" t="str">
        <f t="shared" si="73"/>
        <v>優先3</v>
      </c>
      <c r="Z308" s="1" t="str">
        <f t="shared" si="74"/>
        <v>Office of the Registrar General &amp; Census Commissioner, Ministry of Home Affairs, Government of India. "Basic Population Figures of India and States, 2011". Accessed 07 June, 2023. https://censusindia.gov.in/.</v>
      </c>
    </row>
    <row r="309" spans="2:26">
      <c r="B309" s="285" t="s">
        <v>219</v>
      </c>
      <c r="C309" s="285" t="s">
        <v>464</v>
      </c>
      <c r="D309" s="285" t="s">
        <v>688</v>
      </c>
      <c r="E309" s="285" t="s">
        <v>688</v>
      </c>
      <c r="F309" s="13" t="s">
        <v>1406</v>
      </c>
      <c r="G309" s="13"/>
      <c r="H309" s="13"/>
      <c r="I309" s="13" t="s">
        <v>37</v>
      </c>
      <c r="J309" s="13" t="s">
        <v>3695</v>
      </c>
      <c r="K309" s="284">
        <v>45097</v>
      </c>
      <c r="L309" s="283" t="str">
        <f t="shared" si="60"/>
        <v>-</v>
      </c>
      <c r="M309" s="283" t="str">
        <f t="shared" si="61"/>
        <v>-</v>
      </c>
      <c r="N309" s="283" t="str">
        <f t="shared" si="62"/>
        <v>-</v>
      </c>
      <c r="O309" s="283" t="str">
        <f t="shared" si="63"/>
        <v>-</v>
      </c>
      <c r="P309" s="283" t="str">
        <f t="shared" si="64"/>
        <v>-</v>
      </c>
      <c r="Q309" s="283" t="str">
        <f t="shared" si="65"/>
        <v>-</v>
      </c>
      <c r="R309" s="283" t="str">
        <f t="shared" si="66"/>
        <v>-</v>
      </c>
      <c r="S309" s="283" t="str">
        <f t="shared" si="67"/>
        <v>-</v>
      </c>
      <c r="T309" s="283" t="str">
        <f t="shared" si="68"/>
        <v>-</v>
      </c>
      <c r="U309" s="283" t="str">
        <f t="shared" si="69"/>
        <v>-</v>
      </c>
      <c r="V309" s="283" t="str">
        <f t="shared" si="70"/>
        <v>-</v>
      </c>
      <c r="W309" s="1" t="str">
        <f t="shared" si="71"/>
        <v>https://www.numbeo.com/cost-of-living/</v>
      </c>
      <c r="X309" s="1" t="str">
        <f t="shared" si="72"/>
        <v>https://www.numbeo.com/</v>
      </c>
      <c r="Y309" s="1" t="str">
        <f t="shared" si="73"/>
        <v>優先1</v>
      </c>
      <c r="Z309" s="1" t="str">
        <f t="shared" si="74"/>
        <v>NUMBEO. "Cost of Living". Accessed 20 June, 2023. https://www.numbeo.com/.</v>
      </c>
    </row>
    <row r="310" spans="2:26">
      <c r="B310" s="285" t="s">
        <v>611</v>
      </c>
      <c r="C310" s="285" t="s">
        <v>464</v>
      </c>
      <c r="D310" s="285" t="s">
        <v>688</v>
      </c>
      <c r="E310" s="285" t="s">
        <v>688</v>
      </c>
      <c r="F310" s="13" t="s">
        <v>979</v>
      </c>
      <c r="G310" s="13"/>
      <c r="H310" s="13"/>
      <c r="I310" s="13" t="s">
        <v>4106</v>
      </c>
      <c r="J310" s="13" t="s">
        <v>3697</v>
      </c>
      <c r="K310" s="284">
        <v>45064</v>
      </c>
      <c r="L310" s="283" t="str">
        <f t="shared" si="60"/>
        <v>-</v>
      </c>
      <c r="M310" s="283" t="str">
        <f t="shared" si="61"/>
        <v>-</v>
      </c>
      <c r="N310" s="283" t="str">
        <f t="shared" si="62"/>
        <v>-</v>
      </c>
      <c r="O310" s="283" t="str">
        <f t="shared" si="63"/>
        <v>-</v>
      </c>
      <c r="P310" s="283" t="str">
        <f t="shared" si="64"/>
        <v>-</v>
      </c>
      <c r="Q310" s="283" t="str">
        <f t="shared" si="65"/>
        <v>-</v>
      </c>
      <c r="R310" s="283" t="str">
        <f t="shared" si="66"/>
        <v>-</v>
      </c>
      <c r="S310" s="283" t="str">
        <f t="shared" si="67"/>
        <v>-</v>
      </c>
      <c r="T310" s="283" t="str">
        <f t="shared" si="68"/>
        <v>-</v>
      </c>
      <c r="U310" s="283" t="str">
        <f t="shared" si="69"/>
        <v>-</v>
      </c>
      <c r="V310" s="283" t="str">
        <f t="shared" si="70"/>
        <v>-</v>
      </c>
      <c r="W310" s="1" t="str">
        <f t="shared" si="71"/>
        <v>https://www.insead.edu/faculty-research/research/gtci/</v>
      </c>
      <c r="X310" s="1" t="str">
        <f t="shared" si="72"/>
        <v>https://www.insead.edu/</v>
      </c>
      <c r="Y310" s="1" t="str">
        <f t="shared" si="73"/>
        <v>優先1</v>
      </c>
      <c r="Z310" s="1" t="str">
        <f t="shared" si="74"/>
        <v>INSEAD. "Global Talent Competitiveness Index 2022". Accessed 18 May, 2023. https://www.insead.edu/.</v>
      </c>
    </row>
    <row r="311" spans="2:26">
      <c r="B311" s="285" t="s">
        <v>611</v>
      </c>
      <c r="C311" s="285" t="s">
        <v>464</v>
      </c>
      <c r="D311" s="285" t="s">
        <v>688</v>
      </c>
      <c r="E311" s="285" t="s">
        <v>688</v>
      </c>
      <c r="F311" s="13" t="s">
        <v>979</v>
      </c>
      <c r="G311" s="13"/>
      <c r="H311" s="13"/>
      <c r="I311" s="13" t="s">
        <v>4107</v>
      </c>
      <c r="J311" s="13" t="s">
        <v>3697</v>
      </c>
      <c r="K311" s="284">
        <v>45065</v>
      </c>
      <c r="L311" s="283" t="str">
        <f t="shared" si="60"/>
        <v>-</v>
      </c>
      <c r="M311" s="283" t="str">
        <f t="shared" si="61"/>
        <v>-</v>
      </c>
      <c r="N311" s="283" t="str">
        <f t="shared" si="62"/>
        <v>-</v>
      </c>
      <c r="O311" s="283" t="str">
        <f t="shared" si="63"/>
        <v>-</v>
      </c>
      <c r="P311" s="283" t="str">
        <f t="shared" si="64"/>
        <v>-</v>
      </c>
      <c r="Q311" s="283" t="str">
        <f t="shared" si="65"/>
        <v>-</v>
      </c>
      <c r="R311" s="283" t="str">
        <f t="shared" si="66"/>
        <v>-</v>
      </c>
      <c r="S311" s="283" t="str">
        <f t="shared" si="67"/>
        <v>-</v>
      </c>
      <c r="T311" s="283" t="str">
        <f t="shared" si="68"/>
        <v>-</v>
      </c>
      <c r="U311" s="283" t="str">
        <f t="shared" si="69"/>
        <v>-</v>
      </c>
      <c r="V311" s="283" t="str">
        <f t="shared" si="70"/>
        <v>-</v>
      </c>
      <c r="W311" s="1" t="str">
        <f t="shared" si="71"/>
        <v>https://www.insead.edu/faculty-research/research/gtci/</v>
      </c>
      <c r="X311" s="1" t="str">
        <f t="shared" si="72"/>
        <v>https://www.insead.edu/</v>
      </c>
      <c r="Y311" s="1" t="str">
        <f t="shared" si="73"/>
        <v>優先1</v>
      </c>
      <c r="Z311" s="1" t="str">
        <f t="shared" si="74"/>
        <v>INSEAD. "Global Talent Competitiveness Index 2022- City and Regions". Accessed 19 May, 2023. https://www.insead.edu/.</v>
      </c>
    </row>
    <row r="312" spans="2:26">
      <c r="B312" s="285" t="s">
        <v>611</v>
      </c>
      <c r="C312" s="285" t="s">
        <v>464</v>
      </c>
      <c r="D312" s="285" t="s">
        <v>688</v>
      </c>
      <c r="E312" s="285" t="s">
        <v>688</v>
      </c>
      <c r="F312" s="13" t="s">
        <v>978</v>
      </c>
      <c r="G312" s="13"/>
      <c r="H312" s="13"/>
      <c r="I312" s="13" t="s">
        <v>977</v>
      </c>
      <c r="J312" s="13" t="s">
        <v>3698</v>
      </c>
      <c r="K312" s="284">
        <v>45076</v>
      </c>
      <c r="L312" s="283" t="str">
        <f t="shared" si="60"/>
        <v>-</v>
      </c>
      <c r="M312" s="283" t="str">
        <f t="shared" si="61"/>
        <v>-</v>
      </c>
      <c r="N312" s="283" t="str">
        <f t="shared" si="62"/>
        <v>-</v>
      </c>
      <c r="O312" s="283" t="str">
        <f t="shared" si="63"/>
        <v>-</v>
      </c>
      <c r="P312" s="283" t="str">
        <f t="shared" si="64"/>
        <v>-</v>
      </c>
      <c r="Q312" s="283" t="str">
        <f t="shared" si="65"/>
        <v>-</v>
      </c>
      <c r="R312" s="283" t="str">
        <f t="shared" si="66"/>
        <v>-</v>
      </c>
      <c r="S312" s="283" t="str">
        <f t="shared" si="67"/>
        <v>-</v>
      </c>
      <c r="T312" s="283" t="str">
        <f t="shared" si="68"/>
        <v>-</v>
      </c>
      <c r="U312" s="283" t="str">
        <f t="shared" si="69"/>
        <v>-</v>
      </c>
      <c r="V312" s="283" t="str">
        <f t="shared" si="70"/>
        <v>-</v>
      </c>
      <c r="W312" s="1" t="str">
        <f t="shared" si="71"/>
        <v>https://www.ef.com/wwen/epi/downloads/</v>
      </c>
      <c r="X312" s="1" t="str">
        <f t="shared" si="72"/>
        <v>https://www.ef.com/</v>
      </c>
      <c r="Y312" s="1" t="str">
        <f t="shared" si="73"/>
        <v>優先1</v>
      </c>
      <c r="Z312" s="1" t="str">
        <f t="shared" si="74"/>
        <v>EF Education First. "English Proficiency Index". Accessed 30 May, 2023. https://www.ef.com/.</v>
      </c>
    </row>
    <row r="313" spans="2:26">
      <c r="B313" s="285" t="s">
        <v>976</v>
      </c>
      <c r="C313" s="285" t="s">
        <v>698</v>
      </c>
      <c r="D313" s="285" t="s">
        <v>688</v>
      </c>
      <c r="E313" s="285" t="s">
        <v>688</v>
      </c>
      <c r="F313" s="13" t="s">
        <v>975</v>
      </c>
      <c r="G313" s="13"/>
      <c r="H313" s="13"/>
      <c r="I313" s="13" t="s">
        <v>4108</v>
      </c>
      <c r="J313" s="13" t="s">
        <v>2632</v>
      </c>
      <c r="K313" s="284">
        <v>45133</v>
      </c>
      <c r="L313" s="283" t="str">
        <f t="shared" si="60"/>
        <v>-</v>
      </c>
      <c r="M313" s="283" t="str">
        <f t="shared" si="61"/>
        <v>-</v>
      </c>
      <c r="N313" s="283" t="str">
        <f t="shared" si="62"/>
        <v>-</v>
      </c>
      <c r="O313" s="283" t="str">
        <f t="shared" si="63"/>
        <v>-</v>
      </c>
      <c r="P313" s="283" t="str">
        <f t="shared" si="64"/>
        <v>-</v>
      </c>
      <c r="Q313" s="283" t="str">
        <f t="shared" si="65"/>
        <v>-</v>
      </c>
      <c r="R313" s="283" t="str">
        <f t="shared" si="66"/>
        <v>-</v>
      </c>
      <c r="S313" s="283" t="str">
        <f t="shared" si="67"/>
        <v>-</v>
      </c>
      <c r="T313" s="283" t="str">
        <f t="shared" si="68"/>
        <v>-</v>
      </c>
      <c r="U313" s="283" t="str">
        <f t="shared" si="69"/>
        <v>-</v>
      </c>
      <c r="V313" s="283" t="str">
        <f t="shared" si="70"/>
        <v>-</v>
      </c>
      <c r="W313" s="1" t="str">
        <f t="shared" si="71"/>
        <v>https://www.coworker.com/</v>
      </c>
      <c r="X313" s="1" t="str">
        <f t="shared" si="72"/>
        <v>https://www.coworker.com/</v>
      </c>
      <c r="Y313" s="1" t="str">
        <f t="shared" si="73"/>
        <v>優先2①</v>
      </c>
      <c r="Z313" s="1" t="str">
        <f t="shared" si="74"/>
        <v>Coworker. "coworker.com". Accessed 26 July, 2023. https://www.coworker.com/.</v>
      </c>
    </row>
    <row r="314" spans="2:26">
      <c r="B314" s="285" t="s">
        <v>976</v>
      </c>
      <c r="C314" s="285" t="s">
        <v>716</v>
      </c>
      <c r="D314" s="285" t="s">
        <v>688</v>
      </c>
      <c r="E314" s="285" t="s">
        <v>688</v>
      </c>
      <c r="F314" s="13" t="s">
        <v>2515</v>
      </c>
      <c r="G314" s="13"/>
      <c r="H314" s="13"/>
      <c r="I314" s="13" t="s">
        <v>4109</v>
      </c>
      <c r="J314" s="13" t="s">
        <v>1283</v>
      </c>
      <c r="K314" s="284">
        <v>45133</v>
      </c>
      <c r="L314" s="283" t="str">
        <f t="shared" si="60"/>
        <v>-</v>
      </c>
      <c r="M314" s="283" t="str">
        <f t="shared" si="61"/>
        <v>-</v>
      </c>
      <c r="N314" s="283" t="str">
        <f t="shared" si="62"/>
        <v>-</v>
      </c>
      <c r="O314" s="283" t="str">
        <f t="shared" si="63"/>
        <v>-</v>
      </c>
      <c r="P314" s="283" t="str">
        <f t="shared" si="64"/>
        <v>-</v>
      </c>
      <c r="Q314" s="283" t="str">
        <f t="shared" si="65"/>
        <v>-</v>
      </c>
      <c r="R314" s="283" t="str">
        <f t="shared" si="66"/>
        <v>-</v>
      </c>
      <c r="S314" s="283" t="str">
        <f t="shared" si="67"/>
        <v>-</v>
      </c>
      <c r="T314" s="283" t="str">
        <f t="shared" si="68"/>
        <v>-</v>
      </c>
      <c r="U314" s="283" t="str">
        <f t="shared" si="69"/>
        <v>-</v>
      </c>
      <c r="V314" s="283" t="str">
        <f t="shared" si="70"/>
        <v>-</v>
      </c>
      <c r="W314" s="1" t="str">
        <f t="shared" si="71"/>
        <v>https://www.speedtest.net/global-index/</v>
      </c>
      <c r="X314" s="1" t="str">
        <f t="shared" si="72"/>
        <v>https://www.speedtest.net/</v>
      </c>
      <c r="Y314" s="1" t="str">
        <f t="shared" si="73"/>
        <v>優先2②</v>
      </c>
      <c r="Z314" s="1" t="str">
        <f t="shared" si="74"/>
        <v>Ookla. "Median City Speeds June 2023". Accessed 26 July, 2023. https://www.speedtest.net/.</v>
      </c>
    </row>
    <row r="315" spans="2:26">
      <c r="B315" s="285" t="s">
        <v>963</v>
      </c>
      <c r="C315" s="285" t="s">
        <v>464</v>
      </c>
      <c r="D315" s="285" t="s">
        <v>688</v>
      </c>
      <c r="E315" s="285" t="s">
        <v>688</v>
      </c>
      <c r="F315" s="13" t="s">
        <v>4110</v>
      </c>
      <c r="G315" s="13"/>
      <c r="H315" s="13"/>
      <c r="I315" s="13" t="s">
        <v>4111</v>
      </c>
      <c r="J315" s="13" t="s">
        <v>4112</v>
      </c>
      <c r="K315" s="284">
        <v>45090</v>
      </c>
      <c r="L315" s="283" t="str">
        <f t="shared" si="60"/>
        <v>-</v>
      </c>
      <c r="M315" s="283" t="str">
        <f t="shared" si="61"/>
        <v>-</v>
      </c>
      <c r="N315" s="283" t="str">
        <f t="shared" si="62"/>
        <v>-</v>
      </c>
      <c r="O315" s="283" t="str">
        <f t="shared" si="63"/>
        <v>-</v>
      </c>
      <c r="P315" s="283" t="str">
        <f t="shared" si="64"/>
        <v>-</v>
      </c>
      <c r="Q315" s="283" t="str">
        <f t="shared" si="65"/>
        <v>-</v>
      </c>
      <c r="R315" s="283" t="str">
        <f t="shared" si="66"/>
        <v>-</v>
      </c>
      <c r="S315" s="283" t="str">
        <f t="shared" si="67"/>
        <v>-</v>
      </c>
      <c r="T315" s="283" t="str">
        <f t="shared" si="68"/>
        <v>-</v>
      </c>
      <c r="U315" s="283" t="str">
        <f t="shared" si="69"/>
        <v>-</v>
      </c>
      <c r="V315" s="283" t="str">
        <f t="shared" si="70"/>
        <v>-</v>
      </c>
      <c r="W315" s="1" t="str">
        <f t="shared" si="71"/>
        <v>https://taxsummaries.pwc.com/quick-charts/corporate-income-tax-cit-rates/</v>
      </c>
      <c r="X315" s="1" t="str">
        <f t="shared" si="72"/>
        <v>https://taxsummaries.pwc.com/</v>
      </c>
      <c r="Y315" s="1" t="str">
        <f t="shared" si="73"/>
        <v>優先1</v>
      </c>
      <c r="Z315" s="1" t="str">
        <f t="shared" si="74"/>
        <v>PricewaterhouseCoopers. "Corporate income tax (CIT) rates". Accessed 13 June, 2023. https://taxsummaries.pwc.com/.</v>
      </c>
    </row>
    <row r="316" spans="2:26">
      <c r="B316" s="285" t="s">
        <v>963</v>
      </c>
      <c r="C316" s="285" t="s">
        <v>464</v>
      </c>
      <c r="D316" s="285" t="s">
        <v>673</v>
      </c>
      <c r="E316" s="285" t="s">
        <v>116</v>
      </c>
      <c r="F316" s="13" t="s">
        <v>974</v>
      </c>
      <c r="G316" s="13"/>
      <c r="H316" s="13"/>
      <c r="I316" s="13" t="s">
        <v>1284</v>
      </c>
      <c r="J316" s="13" t="s">
        <v>4113</v>
      </c>
      <c r="K316" s="284">
        <v>45107</v>
      </c>
      <c r="L316" s="283">
        <f t="shared" si="60"/>
        <v>2</v>
      </c>
      <c r="M316" s="283" t="str">
        <f t="shared" si="61"/>
        <v>-</v>
      </c>
      <c r="N316" s="283" t="str">
        <f t="shared" si="62"/>
        <v>-</v>
      </c>
      <c r="O316" s="283" t="str">
        <f t="shared" si="63"/>
        <v>-</v>
      </c>
      <c r="P316" s="283" t="str">
        <f t="shared" si="64"/>
        <v>-</v>
      </c>
      <c r="Q316" s="283" t="str">
        <f t="shared" si="65"/>
        <v>-</v>
      </c>
      <c r="R316" s="283" t="str">
        <f t="shared" si="66"/>
        <v>-</v>
      </c>
      <c r="S316" s="283" t="str">
        <f t="shared" si="67"/>
        <v>-</v>
      </c>
      <c r="T316" s="283" t="str">
        <f t="shared" si="68"/>
        <v>-</v>
      </c>
      <c r="U316" s="283" t="str">
        <f t="shared" si="69"/>
        <v>-</v>
      </c>
      <c r="V316" s="283" t="str">
        <f t="shared" si="70"/>
        <v>-</v>
      </c>
      <c r="W316" s="1" t="str">
        <f t="shared" si="71"/>
        <v>https://kpmg.com/ch/en/home/services/tax/swiss-taxes.html/</v>
      </c>
      <c r="X316" s="1" t="str">
        <f t="shared" si="72"/>
        <v>https://kpmg.com/</v>
      </c>
      <c r="Y316" s="1" t="str">
        <f t="shared" si="73"/>
        <v>優先3</v>
      </c>
      <c r="Z316" s="1" t="str">
        <f t="shared" si="74"/>
        <v>KPMG. "Clarity on Swiss Taxes". Accessed 30 June, 2023. https://kpmg.com/.</v>
      </c>
    </row>
    <row r="317" spans="2:26">
      <c r="B317" s="285" t="s">
        <v>963</v>
      </c>
      <c r="C317" s="285" t="s">
        <v>464</v>
      </c>
      <c r="D317" s="285" t="s">
        <v>673</v>
      </c>
      <c r="E317" s="285" t="s">
        <v>118</v>
      </c>
      <c r="F317" s="13" t="s">
        <v>970</v>
      </c>
      <c r="G317" s="13"/>
      <c r="H317" s="13" t="s">
        <v>1285</v>
      </c>
      <c r="I317" s="13" t="s">
        <v>2633</v>
      </c>
      <c r="J317" s="13" t="s">
        <v>3699</v>
      </c>
      <c r="K317" s="284">
        <v>45107</v>
      </c>
      <c r="L317" s="283">
        <f t="shared" si="60"/>
        <v>2</v>
      </c>
      <c r="M317" s="283" t="str">
        <f t="shared" si="61"/>
        <v>-</v>
      </c>
      <c r="N317" s="283" t="str">
        <f t="shared" si="62"/>
        <v>-</v>
      </c>
      <c r="O317" s="283" t="str">
        <f t="shared" si="63"/>
        <v>-</v>
      </c>
      <c r="P317" s="283" t="str">
        <f t="shared" si="64"/>
        <v>-</v>
      </c>
      <c r="Q317" s="283" t="str">
        <f t="shared" si="65"/>
        <v>-</v>
      </c>
      <c r="R317" s="283" t="str">
        <f t="shared" si="66"/>
        <v>-</v>
      </c>
      <c r="S317" s="283" t="str">
        <f t="shared" si="67"/>
        <v>-</v>
      </c>
      <c r="T317" s="283" t="str">
        <f t="shared" si="68"/>
        <v>-</v>
      </c>
      <c r="U317" s="283" t="str">
        <f t="shared" si="69"/>
        <v>-</v>
      </c>
      <c r="V317" s="283" t="str">
        <f t="shared" si="70"/>
        <v>-</v>
      </c>
      <c r="W317" s="1" t="str">
        <f t="shared" si="71"/>
        <v>https://www.jetro.go.jp/world/europe/de/invest_04/</v>
      </c>
      <c r="X317" s="1" t="str">
        <f t="shared" si="72"/>
        <v>https://www.jetro.go.jp/</v>
      </c>
      <c r="Y317" s="1" t="str">
        <f t="shared" si="73"/>
        <v>優先3</v>
      </c>
      <c r="Z317" s="1" t="str">
        <f t="shared" si="74"/>
        <v>Japan External Trade Organization [日本貿易振興機構]. "ドイツ - 税制". Accessed 30 June, 2023. https://www.jetro.go.jp/.</v>
      </c>
    </row>
    <row r="318" spans="2:26">
      <c r="B318" s="285" t="s">
        <v>963</v>
      </c>
      <c r="C318" s="285" t="s">
        <v>464</v>
      </c>
      <c r="D318" s="285" t="s">
        <v>673</v>
      </c>
      <c r="E318" s="285" t="s">
        <v>120</v>
      </c>
      <c r="F318" s="13" t="s">
        <v>970</v>
      </c>
      <c r="G318" s="13"/>
      <c r="H318" s="13" t="s">
        <v>1285</v>
      </c>
      <c r="I318" s="13" t="s">
        <v>2633</v>
      </c>
      <c r="J318" s="13" t="s">
        <v>3699</v>
      </c>
      <c r="K318" s="284">
        <v>45107</v>
      </c>
      <c r="L318" s="283">
        <f t="shared" si="60"/>
        <v>2</v>
      </c>
      <c r="M318" s="283" t="str">
        <f t="shared" si="61"/>
        <v>-</v>
      </c>
      <c r="N318" s="283" t="str">
        <f t="shared" si="62"/>
        <v>-</v>
      </c>
      <c r="O318" s="283" t="str">
        <f t="shared" si="63"/>
        <v>-</v>
      </c>
      <c r="P318" s="283" t="str">
        <f t="shared" si="64"/>
        <v>-</v>
      </c>
      <c r="Q318" s="283" t="str">
        <f t="shared" si="65"/>
        <v>-</v>
      </c>
      <c r="R318" s="283" t="str">
        <f t="shared" si="66"/>
        <v>-</v>
      </c>
      <c r="S318" s="283" t="str">
        <f t="shared" si="67"/>
        <v>-</v>
      </c>
      <c r="T318" s="283" t="str">
        <f t="shared" si="68"/>
        <v>-</v>
      </c>
      <c r="U318" s="283" t="str">
        <f t="shared" si="69"/>
        <v>-</v>
      </c>
      <c r="V318" s="283" t="str">
        <f t="shared" si="70"/>
        <v>-</v>
      </c>
      <c r="W318" s="1" t="str">
        <f t="shared" si="71"/>
        <v>https://www.jetro.go.jp/world/europe/de/invest_04/</v>
      </c>
      <c r="X318" s="1" t="str">
        <f t="shared" si="72"/>
        <v>https://www.jetro.go.jp/</v>
      </c>
      <c r="Y318" s="1" t="str">
        <f t="shared" si="73"/>
        <v>優先3</v>
      </c>
      <c r="Z318" s="1" t="str">
        <f t="shared" si="74"/>
        <v>Japan External Trade Organization [日本貿易振興機構]. "ドイツ - 税制". Accessed 30 June, 2023. https://www.jetro.go.jp/.</v>
      </c>
    </row>
    <row r="319" spans="2:26">
      <c r="B319" s="285" t="s">
        <v>963</v>
      </c>
      <c r="C319" s="285" t="s">
        <v>464</v>
      </c>
      <c r="D319" s="285" t="s">
        <v>673</v>
      </c>
      <c r="E319" s="285" t="s">
        <v>122</v>
      </c>
      <c r="F319" s="13" t="s">
        <v>970</v>
      </c>
      <c r="G319" s="13"/>
      <c r="H319" s="13" t="s">
        <v>1285</v>
      </c>
      <c r="I319" s="13" t="s">
        <v>2634</v>
      </c>
      <c r="J319" s="13" t="s">
        <v>2635</v>
      </c>
      <c r="K319" s="284">
        <v>45110</v>
      </c>
      <c r="L319" s="283" t="str">
        <f t="shared" si="60"/>
        <v>-</v>
      </c>
      <c r="M319" s="283" t="str">
        <f t="shared" si="61"/>
        <v>-</v>
      </c>
      <c r="N319" s="283" t="str">
        <f t="shared" si="62"/>
        <v>-</v>
      </c>
      <c r="O319" s="283" t="str">
        <f t="shared" si="63"/>
        <v>-</v>
      </c>
      <c r="P319" s="283" t="str">
        <f t="shared" si="64"/>
        <v>-</v>
      </c>
      <c r="Q319" s="283" t="str">
        <f t="shared" si="65"/>
        <v>-</v>
      </c>
      <c r="R319" s="283" t="str">
        <f t="shared" si="66"/>
        <v>-</v>
      </c>
      <c r="S319" s="283" t="str">
        <f t="shared" si="67"/>
        <v>-</v>
      </c>
      <c r="T319" s="283" t="str">
        <f t="shared" si="68"/>
        <v>-</v>
      </c>
      <c r="U319" s="283" t="str">
        <f t="shared" si="69"/>
        <v>-</v>
      </c>
      <c r="V319" s="283" t="str">
        <f t="shared" si="70"/>
        <v>-</v>
      </c>
      <c r="W319" s="1" t="str">
        <f t="shared" si="71"/>
        <v>https://www.jetro.go.jp/world/europe/it/invest_04.html/</v>
      </c>
      <c r="X319" s="1" t="str">
        <f t="shared" si="72"/>
        <v>https://www.jetro.go.jp/</v>
      </c>
      <c r="Y319" s="1" t="str">
        <f t="shared" si="73"/>
        <v>優先3</v>
      </c>
      <c r="Z319" s="1" t="str">
        <f t="shared" si="74"/>
        <v>Japan External Trade Organization [日本貿易振興機構]. "イタリア - 税制". Accessed 03 July, 2023. https://www.jetro.go.jp/.</v>
      </c>
    </row>
    <row r="320" spans="2:26">
      <c r="B320" s="285" t="s">
        <v>963</v>
      </c>
      <c r="C320" s="285" t="s">
        <v>464</v>
      </c>
      <c r="D320" s="285" t="s">
        <v>673</v>
      </c>
      <c r="E320" s="285" t="s">
        <v>124</v>
      </c>
      <c r="F320" s="13" t="s">
        <v>974</v>
      </c>
      <c r="G320" s="13"/>
      <c r="H320" s="13"/>
      <c r="I320" s="13" t="s">
        <v>1284</v>
      </c>
      <c r="J320" s="13" t="s">
        <v>4113</v>
      </c>
      <c r="K320" s="284">
        <v>45107</v>
      </c>
      <c r="L320" s="283">
        <f t="shared" si="60"/>
        <v>2</v>
      </c>
      <c r="M320" s="283" t="str">
        <f t="shared" si="61"/>
        <v>-</v>
      </c>
      <c r="N320" s="283" t="str">
        <f t="shared" si="62"/>
        <v>-</v>
      </c>
      <c r="O320" s="283" t="str">
        <f t="shared" si="63"/>
        <v>-</v>
      </c>
      <c r="P320" s="283" t="str">
        <f t="shared" si="64"/>
        <v>-</v>
      </c>
      <c r="Q320" s="283" t="str">
        <f t="shared" si="65"/>
        <v>-</v>
      </c>
      <c r="R320" s="283" t="str">
        <f t="shared" si="66"/>
        <v>-</v>
      </c>
      <c r="S320" s="283" t="str">
        <f t="shared" si="67"/>
        <v>-</v>
      </c>
      <c r="T320" s="283" t="str">
        <f t="shared" si="68"/>
        <v>-</v>
      </c>
      <c r="U320" s="283" t="str">
        <f t="shared" si="69"/>
        <v>-</v>
      </c>
      <c r="V320" s="283" t="str">
        <f t="shared" si="70"/>
        <v>-</v>
      </c>
      <c r="W320" s="1" t="str">
        <f t="shared" si="71"/>
        <v>https://kpmg.com/ch/en/home/services/tax/swiss-taxes.html/</v>
      </c>
      <c r="X320" s="1" t="str">
        <f t="shared" si="72"/>
        <v>https://kpmg.com/</v>
      </c>
      <c r="Y320" s="1" t="str">
        <f t="shared" si="73"/>
        <v>優先3</v>
      </c>
      <c r="Z320" s="1" t="str">
        <f t="shared" si="74"/>
        <v>KPMG. "Clarity on Swiss Taxes". Accessed 30 June, 2023. https://kpmg.com/.</v>
      </c>
    </row>
    <row r="321" spans="2:26">
      <c r="B321" s="285" t="s">
        <v>963</v>
      </c>
      <c r="C321" s="285" t="s">
        <v>464</v>
      </c>
      <c r="D321" s="285" t="s">
        <v>673</v>
      </c>
      <c r="E321" s="285" t="s">
        <v>156</v>
      </c>
      <c r="F321" s="13" t="s">
        <v>973</v>
      </c>
      <c r="G321" s="13"/>
      <c r="H321" s="13" t="s">
        <v>972</v>
      </c>
      <c r="I321" s="13" t="s">
        <v>971</v>
      </c>
      <c r="J321" s="13" t="s">
        <v>1286</v>
      </c>
      <c r="K321" s="284">
        <v>45110</v>
      </c>
      <c r="L321" s="283">
        <f t="shared" si="60"/>
        <v>3</v>
      </c>
      <c r="M321" s="283" t="str">
        <f t="shared" si="61"/>
        <v>-</v>
      </c>
      <c r="N321" s="283" t="str">
        <f t="shared" si="62"/>
        <v>-</v>
      </c>
      <c r="O321" s="283" t="str">
        <f t="shared" si="63"/>
        <v>-</v>
      </c>
      <c r="P321" s="283" t="str">
        <f t="shared" si="64"/>
        <v>-</v>
      </c>
      <c r="Q321" s="283" t="str">
        <f t="shared" si="65"/>
        <v>-</v>
      </c>
      <c r="R321" s="283" t="str">
        <f t="shared" si="66"/>
        <v>-</v>
      </c>
      <c r="S321" s="283" t="str">
        <f t="shared" si="67"/>
        <v>-</v>
      </c>
      <c r="T321" s="283" t="str">
        <f t="shared" si="68"/>
        <v>-</v>
      </c>
      <c r="U321" s="283" t="str">
        <f t="shared" si="69"/>
        <v>-</v>
      </c>
      <c r="V321" s="283" t="str">
        <f t="shared" si="70"/>
        <v>-</v>
      </c>
      <c r="W321" s="1" t="str">
        <f t="shared" si="71"/>
        <v>https://www.nta.go.jp/taxes/shiraberu/taxanswer/hojin/5759.htm/</v>
      </c>
      <c r="X321" s="1" t="str">
        <f t="shared" si="72"/>
        <v>https://www.nta.go.jp/</v>
      </c>
      <c r="Y321" s="1" t="str">
        <f t="shared" si="73"/>
        <v>優先3</v>
      </c>
      <c r="Z321" s="1" t="str">
        <f t="shared" si="74"/>
        <v>National Tax Agency [国税庁]. "法人税の税率". Accessed 03 July, 2023. https://www.nta.go.jp/.</v>
      </c>
    </row>
    <row r="322" spans="2:26">
      <c r="B322" s="285" t="s">
        <v>963</v>
      </c>
      <c r="C322" s="285" t="s">
        <v>464</v>
      </c>
      <c r="D322" s="285" t="s">
        <v>673</v>
      </c>
      <c r="E322" s="285" t="s">
        <v>158</v>
      </c>
      <c r="F322" s="13" t="s">
        <v>973</v>
      </c>
      <c r="G322" s="13"/>
      <c r="H322" s="13" t="s">
        <v>972</v>
      </c>
      <c r="I322" s="13" t="s">
        <v>971</v>
      </c>
      <c r="J322" s="13" t="s">
        <v>1286</v>
      </c>
      <c r="K322" s="284">
        <v>45110</v>
      </c>
      <c r="L322" s="283">
        <f t="shared" si="60"/>
        <v>3</v>
      </c>
      <c r="M322" s="283" t="str">
        <f t="shared" si="61"/>
        <v>-</v>
      </c>
      <c r="N322" s="283" t="str">
        <f t="shared" si="62"/>
        <v>-</v>
      </c>
      <c r="O322" s="283" t="str">
        <f t="shared" si="63"/>
        <v>-</v>
      </c>
      <c r="P322" s="283" t="str">
        <f t="shared" si="64"/>
        <v>-</v>
      </c>
      <c r="Q322" s="283" t="str">
        <f t="shared" si="65"/>
        <v>-</v>
      </c>
      <c r="R322" s="283" t="str">
        <f t="shared" si="66"/>
        <v>-</v>
      </c>
      <c r="S322" s="283" t="str">
        <f t="shared" si="67"/>
        <v>-</v>
      </c>
      <c r="T322" s="283" t="str">
        <f t="shared" si="68"/>
        <v>-</v>
      </c>
      <c r="U322" s="283" t="str">
        <f t="shared" si="69"/>
        <v>-</v>
      </c>
      <c r="V322" s="283" t="str">
        <f t="shared" si="70"/>
        <v>-</v>
      </c>
      <c r="W322" s="1" t="str">
        <f t="shared" si="71"/>
        <v>https://www.nta.go.jp/taxes/shiraberu/taxanswer/hojin/5759.htm/</v>
      </c>
      <c r="X322" s="1" t="str">
        <f t="shared" si="72"/>
        <v>https://www.nta.go.jp/</v>
      </c>
      <c r="Y322" s="1" t="str">
        <f t="shared" si="73"/>
        <v>優先3</v>
      </c>
      <c r="Z322" s="1" t="str">
        <f t="shared" si="74"/>
        <v>National Tax Agency [国税庁]. "法人税の税率". Accessed 03 July, 2023. https://www.nta.go.jp/.</v>
      </c>
    </row>
    <row r="323" spans="2:26">
      <c r="B323" s="285" t="s">
        <v>963</v>
      </c>
      <c r="C323" s="285" t="s">
        <v>464</v>
      </c>
      <c r="D323" s="285" t="s">
        <v>673</v>
      </c>
      <c r="E323" s="285" t="s">
        <v>160</v>
      </c>
      <c r="F323" s="13" t="s">
        <v>973</v>
      </c>
      <c r="G323" s="13"/>
      <c r="H323" s="13" t="s">
        <v>972</v>
      </c>
      <c r="I323" s="13" t="s">
        <v>971</v>
      </c>
      <c r="J323" s="13" t="s">
        <v>1286</v>
      </c>
      <c r="K323" s="284">
        <v>45110</v>
      </c>
      <c r="L323" s="283">
        <f t="shared" si="60"/>
        <v>3</v>
      </c>
      <c r="M323" s="283" t="str">
        <f t="shared" si="61"/>
        <v>-</v>
      </c>
      <c r="N323" s="283" t="str">
        <f t="shared" si="62"/>
        <v>-</v>
      </c>
      <c r="O323" s="283" t="str">
        <f t="shared" si="63"/>
        <v>-</v>
      </c>
      <c r="P323" s="283" t="str">
        <f t="shared" si="64"/>
        <v>-</v>
      </c>
      <c r="Q323" s="283" t="str">
        <f t="shared" si="65"/>
        <v>-</v>
      </c>
      <c r="R323" s="283" t="str">
        <f t="shared" si="66"/>
        <v>-</v>
      </c>
      <c r="S323" s="283" t="str">
        <f t="shared" si="67"/>
        <v>-</v>
      </c>
      <c r="T323" s="283" t="str">
        <f t="shared" si="68"/>
        <v>-</v>
      </c>
      <c r="U323" s="283" t="str">
        <f t="shared" si="69"/>
        <v>-</v>
      </c>
      <c r="V323" s="283" t="str">
        <f t="shared" si="70"/>
        <v>-</v>
      </c>
      <c r="W323" s="1" t="str">
        <f t="shared" si="71"/>
        <v>https://www.nta.go.jp/taxes/shiraberu/taxanswer/hojin/5759.htm/</v>
      </c>
      <c r="X323" s="1" t="str">
        <f t="shared" si="72"/>
        <v>https://www.nta.go.jp/</v>
      </c>
      <c r="Y323" s="1" t="str">
        <f t="shared" si="73"/>
        <v>優先3</v>
      </c>
      <c r="Z323" s="1" t="str">
        <f t="shared" si="74"/>
        <v>National Tax Agency [国税庁]. "法人税の税率". Accessed 03 July, 2023. https://www.nta.go.jp/.</v>
      </c>
    </row>
    <row r="324" spans="2:26">
      <c r="B324" s="285" t="s">
        <v>963</v>
      </c>
      <c r="C324" s="285" t="s">
        <v>464</v>
      </c>
      <c r="D324" s="285" t="s">
        <v>673</v>
      </c>
      <c r="E324" s="285" t="s">
        <v>164</v>
      </c>
      <c r="F324" s="13" t="s">
        <v>970</v>
      </c>
      <c r="G324" s="13"/>
      <c r="H324" s="13" t="s">
        <v>1285</v>
      </c>
      <c r="I324" s="13" t="s">
        <v>2636</v>
      </c>
      <c r="J324" s="13" t="s">
        <v>1296</v>
      </c>
      <c r="K324" s="284">
        <v>45110</v>
      </c>
      <c r="L324" s="283">
        <f t="shared" si="60"/>
        <v>2</v>
      </c>
      <c r="M324" s="283" t="str">
        <f t="shared" si="61"/>
        <v>-</v>
      </c>
      <c r="N324" s="283" t="str">
        <f t="shared" si="62"/>
        <v>-</v>
      </c>
      <c r="O324" s="283" t="str">
        <f t="shared" si="63"/>
        <v>-</v>
      </c>
      <c r="P324" s="283" t="str">
        <f t="shared" si="64"/>
        <v>-</v>
      </c>
      <c r="Q324" s="283" t="str">
        <f t="shared" si="65"/>
        <v>-</v>
      </c>
      <c r="R324" s="283" t="str">
        <f t="shared" si="66"/>
        <v>-</v>
      </c>
      <c r="S324" s="283" t="str">
        <f t="shared" si="67"/>
        <v>-</v>
      </c>
      <c r="T324" s="283" t="str">
        <f t="shared" si="68"/>
        <v>-</v>
      </c>
      <c r="U324" s="283" t="str">
        <f t="shared" si="69"/>
        <v>-</v>
      </c>
      <c r="V324" s="283" t="str">
        <f t="shared" si="70"/>
        <v>-</v>
      </c>
      <c r="W324" s="1" t="str">
        <f t="shared" si="71"/>
        <v>https://www.jetro.go.jp/world/n_america/ca/invest_04.html/</v>
      </c>
      <c r="X324" s="1" t="str">
        <f t="shared" si="72"/>
        <v>https://www.jetro.go.jp/</v>
      </c>
      <c r="Y324" s="1" t="str">
        <f t="shared" si="73"/>
        <v>優先3</v>
      </c>
      <c r="Z324" s="1" t="str">
        <f t="shared" si="74"/>
        <v>Japan External Trade Organization [日本貿易振興機構]. "カナダ - 税制". Accessed 03 July, 2023. https://www.jetro.go.jp/.</v>
      </c>
    </row>
    <row r="325" spans="2:26">
      <c r="B325" s="285" t="s">
        <v>963</v>
      </c>
      <c r="C325" s="285" t="s">
        <v>464</v>
      </c>
      <c r="D325" s="285" t="s">
        <v>673</v>
      </c>
      <c r="E325" s="285" t="s">
        <v>166</v>
      </c>
      <c r="F325" s="13" t="s">
        <v>970</v>
      </c>
      <c r="G325" s="13"/>
      <c r="H325" s="13" t="s">
        <v>1285</v>
      </c>
      <c r="I325" s="13" t="s">
        <v>2637</v>
      </c>
      <c r="J325" s="13" t="s">
        <v>1288</v>
      </c>
      <c r="K325" s="284">
        <v>45110</v>
      </c>
      <c r="L325" s="283">
        <f t="shared" si="60"/>
        <v>6</v>
      </c>
      <c r="M325" s="283" t="str">
        <f t="shared" si="61"/>
        <v>-</v>
      </c>
      <c r="N325" s="283" t="str">
        <f t="shared" si="62"/>
        <v>-</v>
      </c>
      <c r="O325" s="283" t="str">
        <f t="shared" si="63"/>
        <v>-</v>
      </c>
      <c r="P325" s="283" t="str">
        <f t="shared" si="64"/>
        <v>-</v>
      </c>
      <c r="Q325" s="283" t="str">
        <f t="shared" si="65"/>
        <v>-</v>
      </c>
      <c r="R325" s="283" t="str">
        <f t="shared" si="66"/>
        <v>-</v>
      </c>
      <c r="S325" s="283" t="str">
        <f t="shared" si="67"/>
        <v>-</v>
      </c>
      <c r="T325" s="283" t="str">
        <f t="shared" si="68"/>
        <v>-</v>
      </c>
      <c r="U325" s="283" t="str">
        <f t="shared" si="69"/>
        <v>-</v>
      </c>
      <c r="V325" s="283" t="str">
        <f t="shared" si="70"/>
        <v>-</v>
      </c>
      <c r="W325" s="1" t="str">
        <f t="shared" si="71"/>
        <v>https://www.jetro.go.jp/world/n_america/us/invest_04.html#block1/</v>
      </c>
      <c r="X325" s="1" t="str">
        <f t="shared" si="72"/>
        <v>https://www.jetro.go.jp/</v>
      </c>
      <c r="Y325" s="1" t="str">
        <f t="shared" si="73"/>
        <v>優先3</v>
      </c>
      <c r="Z325" s="1" t="str">
        <f t="shared" si="74"/>
        <v>Japan External Trade Organization [日本貿易振興機構]. "米国 - 税制". Accessed 03 July, 2023. https://www.jetro.go.jp/.</v>
      </c>
    </row>
    <row r="326" spans="2:26">
      <c r="B326" s="285" t="s">
        <v>963</v>
      </c>
      <c r="C326" s="285" t="s">
        <v>464</v>
      </c>
      <c r="D326" s="285" t="s">
        <v>673</v>
      </c>
      <c r="E326" s="285" t="s">
        <v>168</v>
      </c>
      <c r="F326" s="13" t="s">
        <v>970</v>
      </c>
      <c r="G326" s="13"/>
      <c r="H326" s="13" t="s">
        <v>1285</v>
      </c>
      <c r="I326" s="13" t="s">
        <v>2637</v>
      </c>
      <c r="J326" s="13" t="s">
        <v>1288</v>
      </c>
      <c r="K326" s="284">
        <v>45110</v>
      </c>
      <c r="L326" s="283">
        <f t="shared" ref="L326:L389" si="75">IF(COUNTIFS(B:B,B326,I:I,I326,X:X,X326)&lt;=1,"-",COUNTIFS(B:B,B326,I:I,I326,X:X,X326))</f>
        <v>6</v>
      </c>
      <c r="M326" s="283" t="str">
        <f t="shared" ref="M326:M389" si="76">IF(I326="","書籍","-")</f>
        <v>-</v>
      </c>
      <c r="N326" s="283" t="str">
        <f t="shared" ref="N326:N389" si="77">IF(OR(COUNTIF($F326,"*(*"),COUNTIF($G326,"*(*"),COUNTIF($H326,"*(*")),"NG","-")</f>
        <v>-</v>
      </c>
      <c r="O326" s="283" t="str">
        <f t="shared" ref="O326:O389" si="78">IF(COUNTIF($Z326,"*..*"),"NG","-")</f>
        <v>-</v>
      </c>
      <c r="P326" s="283" t="str">
        <f t="shared" ref="P326:P389" si="79">IF(COUNTIF($Z326,"*""""*"),"NG","-")</f>
        <v>-</v>
      </c>
      <c r="Q326" s="283" t="str">
        <f t="shared" ref="Q326:Q389" si="80">IF(COUNTIF($Z326,"*  *"),"NG","-")</f>
        <v>-</v>
      </c>
      <c r="R326" s="283" t="str">
        <f t="shared" ref="R326:R389" si="81">IF(COUNTIF($Z326,"*　*"),"NG","-")</f>
        <v>-</v>
      </c>
      <c r="S326" s="283" t="str">
        <f t="shared" ref="S326:S389" si="82">IF(COUNTIF($Z326,"*（*"),"NG","-")</f>
        <v>-</v>
      </c>
      <c r="T326" s="283" t="str">
        <f t="shared" ref="T326:T389" si="83">IF(COUNTIF($Z326,"*(*"),IF(COUNTIF($Z326,"* (*"),"-","NG"),"-")</f>
        <v>-</v>
      </c>
      <c r="U326" s="283" t="str">
        <f t="shared" ref="U326:U389" si="84">IF(OR(LEFT(F326,1)=" ",LEFT(G326,1)=" ",LEFT(H326,1)=" ",LEFT(I326,1)=" ",LEFT(J326,1)=" "),"NG","-")</f>
        <v>-</v>
      </c>
      <c r="V326" s="283" t="str">
        <f t="shared" ref="V326:V389" si="85">IF(OR(RIGHT(F326,1)=" ",RIGHT(G326,1)=" ",RIGHT(H326,1)=" ",RIGHT(I326,1)=" ",RIGHT(J326,1)=" "),"NG","-")</f>
        <v>-</v>
      </c>
      <c r="W326" s="1" t="str">
        <f t="shared" ref="W326:W389" si="86">IF(J326="","",IF(RIGHT(J326,1)="/",J326,J326&amp;"/"))</f>
        <v>https://www.jetro.go.jp/world/n_america/us/invest_04.html#block1/</v>
      </c>
      <c r="X326" s="1" t="str">
        <f t="shared" ref="X326:X389" si="87">IF(W326="","",LEFT(W326,FIND("/",W326,FIND("/",W326,FIND("/", W326)+1)+1)))</f>
        <v>https://www.jetro.go.jp/</v>
      </c>
      <c r="Y326" s="1" t="str">
        <f t="shared" ref="Y326:Y389" si="88">IF(AND(C326="-",D326="共通"),"優先1",IF(OR(COUNTIF(C326,"*補助*"),D326&lt;&gt;"共通"),"優先3","優先2"&amp;C326))</f>
        <v>優先3</v>
      </c>
      <c r="Z326" s="1" t="str">
        <f t="shared" ref="Z326:Z389" si="89">IF(X326="",F326,CONCATENATE(IF(F326="",G326,IF(G326="",F326,F326&amp;", "&amp;G326)),IF(H326="",". "," ["&amp;H326&amp;"]. "),"""",I326,""". ","Accessed ",TEXT(K326,"dd mmmm, yyyy"),". ",X326,"."))</f>
        <v>Japan External Trade Organization [日本貿易振興機構]. "米国 - 税制". Accessed 03 July, 2023. https://www.jetro.go.jp/.</v>
      </c>
    </row>
    <row r="327" spans="2:26">
      <c r="B327" s="285" t="s">
        <v>963</v>
      </c>
      <c r="C327" s="285" t="s">
        <v>464</v>
      </c>
      <c r="D327" s="285" t="s">
        <v>673</v>
      </c>
      <c r="E327" s="285" t="s">
        <v>172</v>
      </c>
      <c r="F327" s="13" t="s">
        <v>970</v>
      </c>
      <c r="G327" s="13"/>
      <c r="H327" s="13" t="s">
        <v>1285</v>
      </c>
      <c r="I327" s="13" t="s">
        <v>2637</v>
      </c>
      <c r="J327" s="13" t="s">
        <v>1288</v>
      </c>
      <c r="K327" s="284">
        <v>45110</v>
      </c>
      <c r="L327" s="283">
        <f t="shared" si="75"/>
        <v>6</v>
      </c>
      <c r="M327" s="283" t="str">
        <f t="shared" si="76"/>
        <v>-</v>
      </c>
      <c r="N327" s="283" t="str">
        <f t="shared" si="77"/>
        <v>-</v>
      </c>
      <c r="O327" s="283" t="str">
        <f t="shared" si="78"/>
        <v>-</v>
      </c>
      <c r="P327" s="283" t="str">
        <f t="shared" si="79"/>
        <v>-</v>
      </c>
      <c r="Q327" s="283" t="str">
        <f t="shared" si="80"/>
        <v>-</v>
      </c>
      <c r="R327" s="283" t="str">
        <f t="shared" si="81"/>
        <v>-</v>
      </c>
      <c r="S327" s="283" t="str">
        <f t="shared" si="82"/>
        <v>-</v>
      </c>
      <c r="T327" s="283" t="str">
        <f t="shared" si="83"/>
        <v>-</v>
      </c>
      <c r="U327" s="283" t="str">
        <f t="shared" si="84"/>
        <v>-</v>
      </c>
      <c r="V327" s="283" t="str">
        <f t="shared" si="85"/>
        <v>-</v>
      </c>
      <c r="W327" s="1" t="str">
        <f t="shared" si="86"/>
        <v>https://www.jetro.go.jp/world/n_america/us/invest_04.html#block1/</v>
      </c>
      <c r="X327" s="1" t="str">
        <f t="shared" si="87"/>
        <v>https://www.jetro.go.jp/</v>
      </c>
      <c r="Y327" s="1" t="str">
        <f t="shared" si="88"/>
        <v>優先3</v>
      </c>
      <c r="Z327" s="1" t="str">
        <f t="shared" si="89"/>
        <v>Japan External Trade Organization [日本貿易振興機構]. "米国 - 税制". Accessed 03 July, 2023. https://www.jetro.go.jp/.</v>
      </c>
    </row>
    <row r="328" spans="2:26">
      <c r="B328" s="285" t="s">
        <v>963</v>
      </c>
      <c r="C328" s="285" t="s">
        <v>464</v>
      </c>
      <c r="D328" s="285" t="s">
        <v>673</v>
      </c>
      <c r="E328" s="285" t="s">
        <v>174</v>
      </c>
      <c r="F328" s="13" t="s">
        <v>970</v>
      </c>
      <c r="G328" s="13"/>
      <c r="H328" s="13" t="s">
        <v>1285</v>
      </c>
      <c r="I328" s="13" t="s">
        <v>2636</v>
      </c>
      <c r="J328" s="13" t="s">
        <v>1296</v>
      </c>
      <c r="K328" s="284">
        <v>45110</v>
      </c>
      <c r="L328" s="283">
        <f t="shared" si="75"/>
        <v>2</v>
      </c>
      <c r="M328" s="283" t="str">
        <f t="shared" si="76"/>
        <v>-</v>
      </c>
      <c r="N328" s="283" t="str">
        <f t="shared" si="77"/>
        <v>-</v>
      </c>
      <c r="O328" s="283" t="str">
        <f t="shared" si="78"/>
        <v>-</v>
      </c>
      <c r="P328" s="283" t="str">
        <f t="shared" si="79"/>
        <v>-</v>
      </c>
      <c r="Q328" s="283" t="str">
        <f t="shared" si="80"/>
        <v>-</v>
      </c>
      <c r="R328" s="283" t="str">
        <f t="shared" si="81"/>
        <v>-</v>
      </c>
      <c r="S328" s="283" t="str">
        <f t="shared" si="82"/>
        <v>-</v>
      </c>
      <c r="T328" s="283" t="str">
        <f t="shared" si="83"/>
        <v>-</v>
      </c>
      <c r="U328" s="283" t="str">
        <f t="shared" si="84"/>
        <v>-</v>
      </c>
      <c r="V328" s="283" t="str">
        <f t="shared" si="85"/>
        <v>-</v>
      </c>
      <c r="W328" s="1" t="str">
        <f t="shared" si="86"/>
        <v>https://www.jetro.go.jp/world/n_america/ca/invest_04.html/</v>
      </c>
      <c r="X328" s="1" t="str">
        <f t="shared" si="87"/>
        <v>https://www.jetro.go.jp/</v>
      </c>
      <c r="Y328" s="1" t="str">
        <f t="shared" si="88"/>
        <v>優先3</v>
      </c>
      <c r="Z328" s="1" t="str">
        <f t="shared" si="89"/>
        <v>Japan External Trade Organization [日本貿易振興機構]. "カナダ - 税制". Accessed 03 July, 2023. https://www.jetro.go.jp/.</v>
      </c>
    </row>
    <row r="329" spans="2:26">
      <c r="B329" s="285" t="s">
        <v>963</v>
      </c>
      <c r="C329" s="285" t="s">
        <v>464</v>
      </c>
      <c r="D329" s="285" t="s">
        <v>673</v>
      </c>
      <c r="E329" s="285" t="s">
        <v>373</v>
      </c>
      <c r="F329" s="13" t="s">
        <v>970</v>
      </c>
      <c r="G329" s="13"/>
      <c r="H329" s="13" t="s">
        <v>1285</v>
      </c>
      <c r="I329" s="13" t="s">
        <v>2637</v>
      </c>
      <c r="J329" s="13" t="s">
        <v>1288</v>
      </c>
      <c r="K329" s="284">
        <v>45110</v>
      </c>
      <c r="L329" s="283">
        <f t="shared" si="75"/>
        <v>6</v>
      </c>
      <c r="M329" s="283" t="str">
        <f t="shared" si="76"/>
        <v>-</v>
      </c>
      <c r="N329" s="283" t="str">
        <f t="shared" si="77"/>
        <v>-</v>
      </c>
      <c r="O329" s="283" t="str">
        <f t="shared" si="78"/>
        <v>-</v>
      </c>
      <c r="P329" s="283" t="str">
        <f t="shared" si="79"/>
        <v>-</v>
      </c>
      <c r="Q329" s="283" t="str">
        <f t="shared" si="80"/>
        <v>-</v>
      </c>
      <c r="R329" s="283" t="str">
        <f t="shared" si="81"/>
        <v>-</v>
      </c>
      <c r="S329" s="283" t="str">
        <f t="shared" si="82"/>
        <v>-</v>
      </c>
      <c r="T329" s="283" t="str">
        <f t="shared" si="83"/>
        <v>-</v>
      </c>
      <c r="U329" s="283" t="str">
        <f t="shared" si="84"/>
        <v>-</v>
      </c>
      <c r="V329" s="283" t="str">
        <f t="shared" si="85"/>
        <v>-</v>
      </c>
      <c r="W329" s="1" t="str">
        <f t="shared" si="86"/>
        <v>https://www.jetro.go.jp/world/n_america/us/invest_04.html#block1/</v>
      </c>
      <c r="X329" s="1" t="str">
        <f t="shared" si="87"/>
        <v>https://www.jetro.go.jp/</v>
      </c>
      <c r="Y329" s="1" t="str">
        <f t="shared" si="88"/>
        <v>優先3</v>
      </c>
      <c r="Z329" s="1" t="str">
        <f t="shared" si="89"/>
        <v>Japan External Trade Organization [日本貿易振興機構]. "米国 - 税制". Accessed 03 July, 2023. https://www.jetro.go.jp/.</v>
      </c>
    </row>
    <row r="330" spans="2:26">
      <c r="B330" s="285" t="s">
        <v>963</v>
      </c>
      <c r="C330" s="285" t="s">
        <v>464</v>
      </c>
      <c r="D330" s="285" t="s">
        <v>673</v>
      </c>
      <c r="E330" s="285" t="s">
        <v>178</v>
      </c>
      <c r="F330" s="13" t="s">
        <v>970</v>
      </c>
      <c r="G330" s="13"/>
      <c r="H330" s="13" t="s">
        <v>1285</v>
      </c>
      <c r="I330" s="13" t="s">
        <v>2637</v>
      </c>
      <c r="J330" s="13" t="s">
        <v>1288</v>
      </c>
      <c r="K330" s="284">
        <v>45110</v>
      </c>
      <c r="L330" s="283">
        <f t="shared" si="75"/>
        <v>6</v>
      </c>
      <c r="M330" s="283" t="str">
        <f t="shared" si="76"/>
        <v>-</v>
      </c>
      <c r="N330" s="283" t="str">
        <f t="shared" si="77"/>
        <v>-</v>
      </c>
      <c r="O330" s="283" t="str">
        <f t="shared" si="78"/>
        <v>-</v>
      </c>
      <c r="P330" s="283" t="str">
        <f t="shared" si="79"/>
        <v>-</v>
      </c>
      <c r="Q330" s="283" t="str">
        <f t="shared" si="80"/>
        <v>-</v>
      </c>
      <c r="R330" s="283" t="str">
        <f t="shared" si="81"/>
        <v>-</v>
      </c>
      <c r="S330" s="283" t="str">
        <f t="shared" si="82"/>
        <v>-</v>
      </c>
      <c r="T330" s="283" t="str">
        <f t="shared" si="83"/>
        <v>-</v>
      </c>
      <c r="U330" s="283" t="str">
        <f t="shared" si="84"/>
        <v>-</v>
      </c>
      <c r="V330" s="283" t="str">
        <f t="shared" si="85"/>
        <v>-</v>
      </c>
      <c r="W330" s="1" t="str">
        <f t="shared" si="86"/>
        <v>https://www.jetro.go.jp/world/n_america/us/invest_04.html#block1/</v>
      </c>
      <c r="X330" s="1" t="str">
        <f t="shared" si="87"/>
        <v>https://www.jetro.go.jp/</v>
      </c>
      <c r="Y330" s="1" t="str">
        <f t="shared" si="88"/>
        <v>優先3</v>
      </c>
      <c r="Z330" s="1" t="str">
        <f t="shared" si="89"/>
        <v>Japan External Trade Organization [日本貿易振興機構]. "米国 - 税制". Accessed 03 July, 2023. https://www.jetro.go.jp/.</v>
      </c>
    </row>
    <row r="331" spans="2:26">
      <c r="B331" s="285" t="s">
        <v>963</v>
      </c>
      <c r="C331" s="285" t="s">
        <v>464</v>
      </c>
      <c r="D331" s="285" t="s">
        <v>673</v>
      </c>
      <c r="E331" s="285" t="s">
        <v>180</v>
      </c>
      <c r="F331" s="13" t="s">
        <v>970</v>
      </c>
      <c r="G331" s="13"/>
      <c r="H331" s="13" t="s">
        <v>1285</v>
      </c>
      <c r="I331" s="13" t="s">
        <v>2637</v>
      </c>
      <c r="J331" s="13" t="s">
        <v>1288</v>
      </c>
      <c r="K331" s="284">
        <v>45110</v>
      </c>
      <c r="L331" s="283">
        <f t="shared" si="75"/>
        <v>6</v>
      </c>
      <c r="M331" s="283" t="str">
        <f t="shared" si="76"/>
        <v>-</v>
      </c>
      <c r="N331" s="283" t="str">
        <f t="shared" si="77"/>
        <v>-</v>
      </c>
      <c r="O331" s="283" t="str">
        <f t="shared" si="78"/>
        <v>-</v>
      </c>
      <c r="P331" s="283" t="str">
        <f t="shared" si="79"/>
        <v>-</v>
      </c>
      <c r="Q331" s="283" t="str">
        <f t="shared" si="80"/>
        <v>-</v>
      </c>
      <c r="R331" s="283" t="str">
        <f t="shared" si="81"/>
        <v>-</v>
      </c>
      <c r="S331" s="283" t="str">
        <f t="shared" si="82"/>
        <v>-</v>
      </c>
      <c r="T331" s="283" t="str">
        <f t="shared" si="83"/>
        <v>-</v>
      </c>
      <c r="U331" s="283" t="str">
        <f t="shared" si="84"/>
        <v>-</v>
      </c>
      <c r="V331" s="283" t="str">
        <f t="shared" si="85"/>
        <v>-</v>
      </c>
      <c r="W331" s="1" t="str">
        <f t="shared" si="86"/>
        <v>https://www.jetro.go.jp/world/n_america/us/invest_04.html#block1/</v>
      </c>
      <c r="X331" s="1" t="str">
        <f t="shared" si="87"/>
        <v>https://www.jetro.go.jp/</v>
      </c>
      <c r="Y331" s="1" t="str">
        <f t="shared" si="88"/>
        <v>優先3</v>
      </c>
      <c r="Z331" s="1" t="str">
        <f t="shared" si="89"/>
        <v>Japan External Trade Organization [日本貿易振興機構]. "米国 - 税制". Accessed 03 July, 2023. https://www.jetro.go.jp/.</v>
      </c>
    </row>
    <row r="332" spans="2:26">
      <c r="B332" s="285" t="s">
        <v>963</v>
      </c>
      <c r="C332" s="285" t="s">
        <v>464</v>
      </c>
      <c r="D332" s="285" t="s">
        <v>673</v>
      </c>
      <c r="E332" s="285" t="s">
        <v>190</v>
      </c>
      <c r="F332" s="13" t="s">
        <v>970</v>
      </c>
      <c r="G332" s="13"/>
      <c r="H332" s="13" t="s">
        <v>1285</v>
      </c>
      <c r="I332" s="13" t="s">
        <v>2638</v>
      </c>
      <c r="J332" s="13" t="s">
        <v>1289</v>
      </c>
      <c r="K332" s="284">
        <v>45110</v>
      </c>
      <c r="L332" s="283" t="str">
        <f t="shared" si="75"/>
        <v>-</v>
      </c>
      <c r="M332" s="283" t="str">
        <f t="shared" si="76"/>
        <v>-</v>
      </c>
      <c r="N332" s="283" t="str">
        <f t="shared" si="77"/>
        <v>-</v>
      </c>
      <c r="O332" s="283" t="str">
        <f t="shared" si="78"/>
        <v>-</v>
      </c>
      <c r="P332" s="283" t="str">
        <f t="shared" si="79"/>
        <v>-</v>
      </c>
      <c r="Q332" s="283" t="str">
        <f t="shared" si="80"/>
        <v>-</v>
      </c>
      <c r="R332" s="283" t="str">
        <f t="shared" si="81"/>
        <v>-</v>
      </c>
      <c r="S332" s="283" t="str">
        <f t="shared" si="82"/>
        <v>-</v>
      </c>
      <c r="T332" s="283" t="str">
        <f t="shared" si="83"/>
        <v>-</v>
      </c>
      <c r="U332" s="283" t="str">
        <f t="shared" si="84"/>
        <v>-</v>
      </c>
      <c r="V332" s="283" t="str">
        <f t="shared" si="85"/>
        <v>-</v>
      </c>
      <c r="W332" s="1" t="str">
        <f t="shared" si="86"/>
        <v>https://www.jetro.go.jp/world/middle_east/ae/invest_04.html/</v>
      </c>
      <c r="X332" s="1" t="str">
        <f t="shared" si="87"/>
        <v>https://www.jetro.go.jp/</v>
      </c>
      <c r="Y332" s="1" t="str">
        <f t="shared" si="88"/>
        <v>優先3</v>
      </c>
      <c r="Z332" s="1" t="str">
        <f t="shared" si="89"/>
        <v>Japan External Trade Organization [日本貿易振興機構]. "アラブ首長国連邦 - 税制". Accessed 03 July, 2023. https://www.jetro.go.jp/.</v>
      </c>
    </row>
    <row r="333" spans="2:26">
      <c r="B333" s="285" t="s">
        <v>963</v>
      </c>
      <c r="C333" s="285" t="s">
        <v>784</v>
      </c>
      <c r="D333" s="285" t="s">
        <v>673</v>
      </c>
      <c r="E333" s="285" t="s">
        <v>118</v>
      </c>
      <c r="F333" s="13" t="s">
        <v>969</v>
      </c>
      <c r="G333" s="13"/>
      <c r="H333" s="13"/>
      <c r="I333" s="13" t="s">
        <v>4114</v>
      </c>
      <c r="J333" s="13" t="s">
        <v>3700</v>
      </c>
      <c r="K333" s="284">
        <v>45107</v>
      </c>
      <c r="L333" s="283">
        <f t="shared" si="75"/>
        <v>2</v>
      </c>
      <c r="M333" s="283" t="str">
        <f t="shared" si="76"/>
        <v>-</v>
      </c>
      <c r="N333" s="283" t="str">
        <f t="shared" si="77"/>
        <v>-</v>
      </c>
      <c r="O333" s="283" t="str">
        <f t="shared" si="78"/>
        <v>-</v>
      </c>
      <c r="P333" s="283" t="str">
        <f t="shared" si="79"/>
        <v>-</v>
      </c>
      <c r="Q333" s="283" t="str">
        <f t="shared" si="80"/>
        <v>-</v>
      </c>
      <c r="R333" s="283" t="str">
        <f t="shared" si="81"/>
        <v>-</v>
      </c>
      <c r="S333" s="283" t="str">
        <f t="shared" si="82"/>
        <v>-</v>
      </c>
      <c r="T333" s="283" t="str">
        <f t="shared" si="83"/>
        <v>-</v>
      </c>
      <c r="U333" s="283" t="str">
        <f t="shared" si="84"/>
        <v>-</v>
      </c>
      <c r="V333" s="283" t="str">
        <f t="shared" si="85"/>
        <v>-</v>
      </c>
      <c r="W333" s="1" t="str">
        <f t="shared" si="86"/>
        <v>https://www.dihk.de/de/themen-und-positionen/wirtschaftspolitik/steuer-und-finanzpolitik/hebesaetze-56878/</v>
      </c>
      <c r="X333" s="1" t="str">
        <f t="shared" si="87"/>
        <v>https://www.dihk.de/</v>
      </c>
      <c r="Y333" s="1" t="str">
        <f t="shared" si="88"/>
        <v>優先3</v>
      </c>
      <c r="Z333" s="1" t="str">
        <f t="shared" si="89"/>
        <v>Deutscher Industrie- und Handelskammertag. "Realsteuer-Hebesätze 2022 nach Bundesländern". Accessed 30 June, 2023. https://www.dihk.de/.</v>
      </c>
    </row>
    <row r="334" spans="2:26">
      <c r="B334" s="285" t="s">
        <v>963</v>
      </c>
      <c r="C334" s="285" t="s">
        <v>784</v>
      </c>
      <c r="D334" s="285" t="s">
        <v>673</v>
      </c>
      <c r="E334" s="285" t="s">
        <v>120</v>
      </c>
      <c r="F334" s="13" t="s">
        <v>969</v>
      </c>
      <c r="G334" s="13"/>
      <c r="H334" s="13"/>
      <c r="I334" s="13" t="s">
        <v>4114</v>
      </c>
      <c r="J334" s="13" t="s">
        <v>3700</v>
      </c>
      <c r="K334" s="284">
        <v>45107</v>
      </c>
      <c r="L334" s="283">
        <f t="shared" si="75"/>
        <v>2</v>
      </c>
      <c r="M334" s="283" t="str">
        <f t="shared" si="76"/>
        <v>-</v>
      </c>
      <c r="N334" s="283" t="str">
        <f t="shared" si="77"/>
        <v>-</v>
      </c>
      <c r="O334" s="283" t="str">
        <f t="shared" si="78"/>
        <v>-</v>
      </c>
      <c r="P334" s="283" t="str">
        <f t="shared" si="79"/>
        <v>-</v>
      </c>
      <c r="Q334" s="283" t="str">
        <f t="shared" si="80"/>
        <v>-</v>
      </c>
      <c r="R334" s="283" t="str">
        <f t="shared" si="81"/>
        <v>-</v>
      </c>
      <c r="S334" s="283" t="str">
        <f t="shared" si="82"/>
        <v>-</v>
      </c>
      <c r="T334" s="283" t="str">
        <f t="shared" si="83"/>
        <v>-</v>
      </c>
      <c r="U334" s="283" t="str">
        <f t="shared" si="84"/>
        <v>-</v>
      </c>
      <c r="V334" s="283" t="str">
        <f t="shared" si="85"/>
        <v>-</v>
      </c>
      <c r="W334" s="1" t="str">
        <f t="shared" si="86"/>
        <v>https://www.dihk.de/de/themen-und-positionen/wirtschaftspolitik/steuer-und-finanzpolitik/hebesaetze-56878/</v>
      </c>
      <c r="X334" s="1" t="str">
        <f t="shared" si="87"/>
        <v>https://www.dihk.de/</v>
      </c>
      <c r="Y334" s="1" t="str">
        <f t="shared" si="88"/>
        <v>優先3</v>
      </c>
      <c r="Z334" s="1" t="str">
        <f t="shared" si="89"/>
        <v>Deutscher Industrie- und Handelskammertag. "Realsteuer-Hebesätze 2022 nach Bundesländern". Accessed 30 June, 2023. https://www.dihk.de/.</v>
      </c>
    </row>
    <row r="335" spans="2:26">
      <c r="B335" s="285" t="s">
        <v>963</v>
      </c>
      <c r="C335" s="285" t="s">
        <v>784</v>
      </c>
      <c r="D335" s="285" t="s">
        <v>673</v>
      </c>
      <c r="E335" s="285" t="s">
        <v>122</v>
      </c>
      <c r="F335" s="13" t="s">
        <v>747</v>
      </c>
      <c r="G335" s="13"/>
      <c r="H335" s="13"/>
      <c r="I335" s="13" t="s">
        <v>3701</v>
      </c>
      <c r="J335" s="13" t="s">
        <v>3702</v>
      </c>
      <c r="K335" s="284">
        <v>45110</v>
      </c>
      <c r="L335" s="283" t="str">
        <f t="shared" si="75"/>
        <v>-</v>
      </c>
      <c r="M335" s="283" t="str">
        <f t="shared" si="76"/>
        <v>-</v>
      </c>
      <c r="N335" s="283" t="str">
        <f t="shared" si="77"/>
        <v>-</v>
      </c>
      <c r="O335" s="283" t="str">
        <f t="shared" si="78"/>
        <v>-</v>
      </c>
      <c r="P335" s="283" t="str">
        <f t="shared" si="79"/>
        <v>-</v>
      </c>
      <c r="Q335" s="283" t="str">
        <f t="shared" si="80"/>
        <v>-</v>
      </c>
      <c r="R335" s="283" t="str">
        <f t="shared" si="81"/>
        <v>-</v>
      </c>
      <c r="S335" s="283" t="str">
        <f t="shared" si="82"/>
        <v>-</v>
      </c>
      <c r="T335" s="283" t="str">
        <f t="shared" si="83"/>
        <v>-</v>
      </c>
      <c r="U335" s="283" t="str">
        <f t="shared" si="84"/>
        <v>-</v>
      </c>
      <c r="V335" s="283" t="str">
        <f t="shared" si="85"/>
        <v>-</v>
      </c>
      <c r="W335" s="1" t="str">
        <f t="shared" si="86"/>
        <v>https://www.oecd.org/ctp/tax-policy/tax-database/</v>
      </c>
      <c r="X335" s="1" t="str">
        <f t="shared" si="87"/>
        <v>https://www.oecd.org/</v>
      </c>
      <c r="Y335" s="1" t="str">
        <f t="shared" si="88"/>
        <v>優先3</v>
      </c>
      <c r="Z335" s="1" t="str">
        <f t="shared" si="89"/>
        <v>Organisation for Economic Co-operation and Development. "OECD TAX DATABASE EXPLANATORY ANNEX". Accessed 03 July, 2023. https://www.oecd.org/.</v>
      </c>
    </row>
    <row r="336" spans="2:26">
      <c r="B336" s="285" t="s">
        <v>963</v>
      </c>
      <c r="C336" s="285" t="s">
        <v>784</v>
      </c>
      <c r="D336" s="285" t="s">
        <v>673</v>
      </c>
      <c r="E336" s="285" t="s">
        <v>156</v>
      </c>
      <c r="F336" s="13"/>
      <c r="G336" s="13" t="s">
        <v>968</v>
      </c>
      <c r="H336" s="13" t="s">
        <v>825</v>
      </c>
      <c r="I336" s="13" t="s">
        <v>1290</v>
      </c>
      <c r="J336" s="13" t="s">
        <v>1291</v>
      </c>
      <c r="K336" s="284">
        <v>45110</v>
      </c>
      <c r="L336" s="283" t="str">
        <f t="shared" si="75"/>
        <v>-</v>
      </c>
      <c r="M336" s="283" t="str">
        <f t="shared" si="76"/>
        <v>-</v>
      </c>
      <c r="N336" s="283" t="str">
        <f t="shared" si="77"/>
        <v>-</v>
      </c>
      <c r="O336" s="283" t="str">
        <f t="shared" si="78"/>
        <v>-</v>
      </c>
      <c r="P336" s="283" t="str">
        <f t="shared" si="79"/>
        <v>-</v>
      </c>
      <c r="Q336" s="283" t="str">
        <f t="shared" si="80"/>
        <v>-</v>
      </c>
      <c r="R336" s="283" t="str">
        <f t="shared" si="81"/>
        <v>-</v>
      </c>
      <c r="S336" s="283" t="str">
        <f t="shared" si="82"/>
        <v>-</v>
      </c>
      <c r="T336" s="283" t="str">
        <f t="shared" si="83"/>
        <v>-</v>
      </c>
      <c r="U336" s="283" t="str">
        <f t="shared" si="84"/>
        <v>-</v>
      </c>
      <c r="V336" s="283" t="str">
        <f t="shared" si="85"/>
        <v>-</v>
      </c>
      <c r="W336" s="1" t="str">
        <f t="shared" si="86"/>
        <v>https://www.pref.fukuoka.lg.jp/contents/houjinkenminzei.html/</v>
      </c>
      <c r="X336" s="1" t="str">
        <f t="shared" si="87"/>
        <v>https://www.pref.fukuoka.lg.jp/</v>
      </c>
      <c r="Y336" s="1" t="str">
        <f t="shared" si="88"/>
        <v>優先3</v>
      </c>
      <c r="Z336" s="1" t="str">
        <f t="shared" si="89"/>
        <v>Fukuoka Prefecture [福岡県]. "外形標準課税対象法人の税率表". Accessed 03 July, 2023. https://www.pref.fukuoka.lg.jp/.</v>
      </c>
    </row>
    <row r="337" spans="2:26">
      <c r="B337" s="285" t="s">
        <v>963</v>
      </c>
      <c r="C337" s="285" t="s">
        <v>784</v>
      </c>
      <c r="D337" s="285" t="s">
        <v>673</v>
      </c>
      <c r="E337" s="285" t="s">
        <v>158</v>
      </c>
      <c r="F337" s="13"/>
      <c r="G337" s="13" t="s">
        <v>824</v>
      </c>
      <c r="H337" s="13" t="s">
        <v>823</v>
      </c>
      <c r="I337" s="13" t="s">
        <v>1292</v>
      </c>
      <c r="J337" s="13" t="s">
        <v>1293</v>
      </c>
      <c r="K337" s="284">
        <v>45110</v>
      </c>
      <c r="L337" s="283" t="str">
        <f t="shared" si="75"/>
        <v>-</v>
      </c>
      <c r="M337" s="283" t="str">
        <f t="shared" si="76"/>
        <v>-</v>
      </c>
      <c r="N337" s="283" t="str">
        <f t="shared" si="77"/>
        <v>-</v>
      </c>
      <c r="O337" s="283" t="str">
        <f t="shared" si="78"/>
        <v>-</v>
      </c>
      <c r="P337" s="283" t="str">
        <f t="shared" si="79"/>
        <v>-</v>
      </c>
      <c r="Q337" s="283" t="str">
        <f t="shared" si="80"/>
        <v>-</v>
      </c>
      <c r="R337" s="283" t="str">
        <f t="shared" si="81"/>
        <v>-</v>
      </c>
      <c r="S337" s="283" t="str">
        <f t="shared" si="82"/>
        <v>-</v>
      </c>
      <c r="T337" s="283" t="str">
        <f t="shared" si="83"/>
        <v>-</v>
      </c>
      <c r="U337" s="283" t="str">
        <f t="shared" si="84"/>
        <v>-</v>
      </c>
      <c r="V337" s="283" t="str">
        <f t="shared" si="85"/>
        <v>-</v>
      </c>
      <c r="W337" s="1" t="str">
        <f t="shared" si="86"/>
        <v>http://www.pref.osaka.lg.jp/zei/alacarte/zeiritu.html/</v>
      </c>
      <c r="X337" s="1" t="str">
        <f t="shared" si="87"/>
        <v>http://www.pref.osaka.lg.jp/</v>
      </c>
      <c r="Y337" s="1" t="str">
        <f t="shared" si="88"/>
        <v>優先3</v>
      </c>
      <c r="Z337" s="1" t="str">
        <f t="shared" si="89"/>
        <v>Osaka Prefectural Government [大阪府]. "法人府民税・法人事業税・特別法人事業税・地方法人特別税の税率一覧". Accessed 03 July, 2023. http://www.pref.osaka.lg.jp/.</v>
      </c>
    </row>
    <row r="338" spans="2:26">
      <c r="B338" s="285" t="s">
        <v>963</v>
      </c>
      <c r="C338" s="285" t="s">
        <v>784</v>
      </c>
      <c r="D338" s="285" t="s">
        <v>673</v>
      </c>
      <c r="E338" s="285" t="s">
        <v>160</v>
      </c>
      <c r="F338" s="13" t="s">
        <v>967</v>
      </c>
      <c r="G338" s="13"/>
      <c r="H338" s="13" t="s">
        <v>966</v>
      </c>
      <c r="I338" s="13" t="s">
        <v>1294</v>
      </c>
      <c r="J338" s="13" t="s">
        <v>1295</v>
      </c>
      <c r="K338" s="284">
        <v>45110</v>
      </c>
      <c r="L338" s="283" t="str">
        <f t="shared" si="75"/>
        <v>-</v>
      </c>
      <c r="M338" s="283" t="str">
        <f t="shared" si="76"/>
        <v>-</v>
      </c>
      <c r="N338" s="283" t="str">
        <f t="shared" si="77"/>
        <v>-</v>
      </c>
      <c r="O338" s="283" t="str">
        <f t="shared" si="78"/>
        <v>-</v>
      </c>
      <c r="P338" s="283" t="str">
        <f t="shared" si="79"/>
        <v>-</v>
      </c>
      <c r="Q338" s="283" t="str">
        <f t="shared" si="80"/>
        <v>-</v>
      </c>
      <c r="R338" s="283" t="str">
        <f t="shared" si="81"/>
        <v>-</v>
      </c>
      <c r="S338" s="283" t="str">
        <f t="shared" si="82"/>
        <v>-</v>
      </c>
      <c r="T338" s="283" t="str">
        <f t="shared" si="83"/>
        <v>-</v>
      </c>
      <c r="U338" s="283" t="str">
        <f t="shared" si="84"/>
        <v>-</v>
      </c>
      <c r="V338" s="283" t="str">
        <f t="shared" si="85"/>
        <v>-</v>
      </c>
      <c r="W338" s="1" t="str">
        <f t="shared" si="86"/>
        <v>https://www.tax.metro.tokyo.lg.jp/kazei/houjinji.html#ho_03_02/</v>
      </c>
      <c r="X338" s="1" t="str">
        <f t="shared" si="87"/>
        <v>https://www.tax.metro.tokyo.lg.jp/</v>
      </c>
      <c r="Y338" s="1" t="str">
        <f t="shared" si="88"/>
        <v>優先3</v>
      </c>
      <c r="Z338" s="1" t="str">
        <f t="shared" si="89"/>
        <v>Tokyo Metropolitan Government Bureau of Taxation [東京都主税局]. "法人都民税について". Accessed 03 July, 2023. https://www.tax.metro.tokyo.lg.jp/.</v>
      </c>
    </row>
    <row r="339" spans="2:26">
      <c r="B339" s="285" t="s">
        <v>963</v>
      </c>
      <c r="C339" s="285" t="s">
        <v>784</v>
      </c>
      <c r="D339" s="285" t="s">
        <v>673</v>
      </c>
      <c r="E339" s="285" t="s">
        <v>164</v>
      </c>
      <c r="F339" s="13" t="s">
        <v>2639</v>
      </c>
      <c r="G339" s="13"/>
      <c r="H339" s="13"/>
      <c r="I339" s="13" t="s">
        <v>1287</v>
      </c>
      <c r="J339" s="13" t="s">
        <v>4115</v>
      </c>
      <c r="K339" s="284">
        <v>45110</v>
      </c>
      <c r="L339" s="283" t="str">
        <f t="shared" si="75"/>
        <v>-</v>
      </c>
      <c r="M339" s="283" t="str">
        <f t="shared" si="76"/>
        <v>-</v>
      </c>
      <c r="N339" s="283" t="str">
        <f t="shared" si="77"/>
        <v>-</v>
      </c>
      <c r="O339" s="283" t="str">
        <f t="shared" si="78"/>
        <v>-</v>
      </c>
      <c r="P339" s="283" t="str">
        <f t="shared" si="79"/>
        <v>-</v>
      </c>
      <c r="Q339" s="283" t="str">
        <f t="shared" si="80"/>
        <v>-</v>
      </c>
      <c r="R339" s="283" t="str">
        <f t="shared" si="81"/>
        <v>-</v>
      </c>
      <c r="S339" s="283" t="str">
        <f t="shared" si="82"/>
        <v>-</v>
      </c>
      <c r="T339" s="283" t="str">
        <f t="shared" si="83"/>
        <v>-</v>
      </c>
      <c r="U339" s="283" t="str">
        <f t="shared" si="84"/>
        <v>-</v>
      </c>
      <c r="V339" s="283" t="str">
        <f t="shared" si="85"/>
        <v>-</v>
      </c>
      <c r="W339" s="1" t="str">
        <f t="shared" si="86"/>
        <v>https://www.britishcolumbia.ca/about-british-columbia-canada/competitive-business-costs/</v>
      </c>
      <c r="X339" s="1" t="str">
        <f t="shared" si="87"/>
        <v>https://www.britishcolumbia.ca/</v>
      </c>
      <c r="Y339" s="1" t="str">
        <f t="shared" si="88"/>
        <v>優先3</v>
      </c>
      <c r="Z339" s="1" t="str">
        <f t="shared" si="89"/>
        <v>Trade and Invest British Columbia. "Corporate Income Tax". Accessed 03 July, 2023. https://www.britishcolumbia.ca/.</v>
      </c>
    </row>
    <row r="340" spans="2:26">
      <c r="B340" s="285" t="s">
        <v>963</v>
      </c>
      <c r="C340" s="285" t="s">
        <v>784</v>
      </c>
      <c r="D340" s="285" t="s">
        <v>673</v>
      </c>
      <c r="E340" s="285" t="s">
        <v>166</v>
      </c>
      <c r="F340" s="13" t="s">
        <v>1297</v>
      </c>
      <c r="G340" s="13"/>
      <c r="H340" s="13"/>
      <c r="I340" s="13" t="s">
        <v>4116</v>
      </c>
      <c r="J340" s="13" t="s">
        <v>4117</v>
      </c>
      <c r="K340" s="284">
        <v>45110</v>
      </c>
      <c r="L340" s="283">
        <f t="shared" si="75"/>
        <v>6</v>
      </c>
      <c r="M340" s="283" t="str">
        <f t="shared" si="76"/>
        <v>-</v>
      </c>
      <c r="N340" s="283" t="str">
        <f t="shared" si="77"/>
        <v>-</v>
      </c>
      <c r="O340" s="283" t="str">
        <f t="shared" si="78"/>
        <v>-</v>
      </c>
      <c r="P340" s="283" t="str">
        <f t="shared" si="79"/>
        <v>-</v>
      </c>
      <c r="Q340" s="283" t="str">
        <f t="shared" si="80"/>
        <v>-</v>
      </c>
      <c r="R340" s="283" t="str">
        <f t="shared" si="81"/>
        <v>-</v>
      </c>
      <c r="S340" s="283" t="str">
        <f t="shared" si="82"/>
        <v>-</v>
      </c>
      <c r="T340" s="283" t="str">
        <f t="shared" si="83"/>
        <v>-</v>
      </c>
      <c r="U340" s="283" t="str">
        <f t="shared" si="84"/>
        <v>-</v>
      </c>
      <c r="V340" s="283" t="str">
        <f t="shared" si="85"/>
        <v>-</v>
      </c>
      <c r="W340" s="1" t="str">
        <f t="shared" si="86"/>
        <v>https://taxfoundation.org/state-corporate-income-tax-rates-brackets-2023/</v>
      </c>
      <c r="X340" s="1" t="str">
        <f t="shared" si="87"/>
        <v>https://taxfoundation.org/</v>
      </c>
      <c r="Y340" s="1" t="str">
        <f t="shared" si="88"/>
        <v>優先3</v>
      </c>
      <c r="Z340" s="1" t="str">
        <f t="shared" si="89"/>
        <v>The Tax Foundation. "State Corporate Income Tax Rates and Brackets for 2023". Accessed 03 July, 2023. https://taxfoundation.org/.</v>
      </c>
    </row>
    <row r="341" spans="2:26">
      <c r="B341" s="285" t="s">
        <v>963</v>
      </c>
      <c r="C341" s="285" t="s">
        <v>784</v>
      </c>
      <c r="D341" s="285" t="s">
        <v>673</v>
      </c>
      <c r="E341" s="285" t="s">
        <v>168</v>
      </c>
      <c r="F341" s="13" t="s">
        <v>1297</v>
      </c>
      <c r="G341" s="13"/>
      <c r="H341" s="13"/>
      <c r="I341" s="13" t="s">
        <v>4116</v>
      </c>
      <c r="J341" s="13" t="s">
        <v>4117</v>
      </c>
      <c r="K341" s="284">
        <v>45110</v>
      </c>
      <c r="L341" s="283">
        <f t="shared" si="75"/>
        <v>6</v>
      </c>
      <c r="M341" s="283" t="str">
        <f t="shared" si="76"/>
        <v>-</v>
      </c>
      <c r="N341" s="283" t="str">
        <f t="shared" si="77"/>
        <v>-</v>
      </c>
      <c r="O341" s="283" t="str">
        <f t="shared" si="78"/>
        <v>-</v>
      </c>
      <c r="P341" s="283" t="str">
        <f t="shared" si="79"/>
        <v>-</v>
      </c>
      <c r="Q341" s="283" t="str">
        <f t="shared" si="80"/>
        <v>-</v>
      </c>
      <c r="R341" s="283" t="str">
        <f t="shared" si="81"/>
        <v>-</v>
      </c>
      <c r="S341" s="283" t="str">
        <f t="shared" si="82"/>
        <v>-</v>
      </c>
      <c r="T341" s="283" t="str">
        <f t="shared" si="83"/>
        <v>-</v>
      </c>
      <c r="U341" s="283" t="str">
        <f t="shared" si="84"/>
        <v>-</v>
      </c>
      <c r="V341" s="283" t="str">
        <f t="shared" si="85"/>
        <v>-</v>
      </c>
      <c r="W341" s="1" t="str">
        <f t="shared" si="86"/>
        <v>https://taxfoundation.org/state-corporate-income-tax-rates-brackets-2023/</v>
      </c>
      <c r="X341" s="1" t="str">
        <f t="shared" si="87"/>
        <v>https://taxfoundation.org/</v>
      </c>
      <c r="Y341" s="1" t="str">
        <f t="shared" si="88"/>
        <v>優先3</v>
      </c>
      <c r="Z341" s="1" t="str">
        <f t="shared" si="89"/>
        <v>The Tax Foundation. "State Corporate Income Tax Rates and Brackets for 2023". Accessed 03 July, 2023. https://taxfoundation.org/.</v>
      </c>
    </row>
    <row r="342" spans="2:26">
      <c r="B342" s="285" t="s">
        <v>963</v>
      </c>
      <c r="C342" s="285" t="s">
        <v>784</v>
      </c>
      <c r="D342" s="285" t="s">
        <v>673</v>
      </c>
      <c r="E342" s="285" t="s">
        <v>172</v>
      </c>
      <c r="F342" s="13" t="s">
        <v>1297</v>
      </c>
      <c r="G342" s="13"/>
      <c r="H342" s="13"/>
      <c r="I342" s="13" t="s">
        <v>4116</v>
      </c>
      <c r="J342" s="13" t="s">
        <v>4117</v>
      </c>
      <c r="K342" s="284">
        <v>45110</v>
      </c>
      <c r="L342" s="283">
        <f t="shared" si="75"/>
        <v>6</v>
      </c>
      <c r="M342" s="283" t="str">
        <f t="shared" si="76"/>
        <v>-</v>
      </c>
      <c r="N342" s="283" t="str">
        <f t="shared" si="77"/>
        <v>-</v>
      </c>
      <c r="O342" s="283" t="str">
        <f t="shared" si="78"/>
        <v>-</v>
      </c>
      <c r="P342" s="283" t="str">
        <f t="shared" si="79"/>
        <v>-</v>
      </c>
      <c r="Q342" s="283" t="str">
        <f t="shared" si="80"/>
        <v>-</v>
      </c>
      <c r="R342" s="283" t="str">
        <f t="shared" si="81"/>
        <v>-</v>
      </c>
      <c r="S342" s="283" t="str">
        <f t="shared" si="82"/>
        <v>-</v>
      </c>
      <c r="T342" s="283" t="str">
        <f t="shared" si="83"/>
        <v>-</v>
      </c>
      <c r="U342" s="283" t="str">
        <f t="shared" si="84"/>
        <v>-</v>
      </c>
      <c r="V342" s="283" t="str">
        <f t="shared" si="85"/>
        <v>-</v>
      </c>
      <c r="W342" s="1" t="str">
        <f t="shared" si="86"/>
        <v>https://taxfoundation.org/state-corporate-income-tax-rates-brackets-2023/</v>
      </c>
      <c r="X342" s="1" t="str">
        <f t="shared" si="87"/>
        <v>https://taxfoundation.org/</v>
      </c>
      <c r="Y342" s="1" t="str">
        <f t="shared" si="88"/>
        <v>優先3</v>
      </c>
      <c r="Z342" s="1" t="str">
        <f t="shared" si="89"/>
        <v>The Tax Foundation. "State Corporate Income Tax Rates and Brackets for 2023". Accessed 03 July, 2023. https://taxfoundation.org/.</v>
      </c>
    </row>
    <row r="343" spans="2:26">
      <c r="B343" s="285" t="s">
        <v>963</v>
      </c>
      <c r="C343" s="285" t="s">
        <v>784</v>
      </c>
      <c r="D343" s="285" t="s">
        <v>673</v>
      </c>
      <c r="E343" s="285" t="s">
        <v>174</v>
      </c>
      <c r="F343" s="13" t="s">
        <v>2640</v>
      </c>
      <c r="G343" s="13" t="s">
        <v>2641</v>
      </c>
      <c r="H343" s="13"/>
      <c r="I343" s="13" t="s">
        <v>1287</v>
      </c>
      <c r="J343" s="13" t="s">
        <v>3703</v>
      </c>
      <c r="K343" s="284">
        <v>45110</v>
      </c>
      <c r="L343" s="283" t="str">
        <f t="shared" si="75"/>
        <v>-</v>
      </c>
      <c r="M343" s="283" t="str">
        <f t="shared" si="76"/>
        <v>-</v>
      </c>
      <c r="N343" s="283" t="str">
        <f t="shared" si="77"/>
        <v>-</v>
      </c>
      <c r="O343" s="283" t="str">
        <f t="shared" si="78"/>
        <v>-</v>
      </c>
      <c r="P343" s="283" t="str">
        <f t="shared" si="79"/>
        <v>-</v>
      </c>
      <c r="Q343" s="283" t="str">
        <f t="shared" si="80"/>
        <v>-</v>
      </c>
      <c r="R343" s="283" t="str">
        <f t="shared" si="81"/>
        <v>-</v>
      </c>
      <c r="S343" s="283" t="str">
        <f t="shared" si="82"/>
        <v>-</v>
      </c>
      <c r="T343" s="283" t="str">
        <f t="shared" si="83"/>
        <v>-</v>
      </c>
      <c r="U343" s="283" t="str">
        <f t="shared" si="84"/>
        <v>-</v>
      </c>
      <c r="V343" s="283" t="str">
        <f t="shared" si="85"/>
        <v>-</v>
      </c>
      <c r="W343" s="1" t="str">
        <f t="shared" si="86"/>
        <v>https://www.ontario.ca/document/corporations-tax/corporate-income-tax/</v>
      </c>
      <c r="X343" s="1" t="str">
        <f t="shared" si="87"/>
        <v>https://www.ontario.ca/</v>
      </c>
      <c r="Y343" s="1" t="str">
        <f t="shared" si="88"/>
        <v>優先3</v>
      </c>
      <c r="Z343" s="1" t="str">
        <f t="shared" si="89"/>
        <v>Ministry of Finance, Government of Ontario. "Corporate Income Tax". Accessed 03 July, 2023. https://www.ontario.ca/.</v>
      </c>
    </row>
    <row r="344" spans="2:26">
      <c r="B344" s="285" t="s">
        <v>963</v>
      </c>
      <c r="C344" s="285" t="s">
        <v>784</v>
      </c>
      <c r="D344" s="285" t="s">
        <v>673</v>
      </c>
      <c r="E344" s="285" t="s">
        <v>373</v>
      </c>
      <c r="F344" s="13" t="s">
        <v>1297</v>
      </c>
      <c r="G344" s="13"/>
      <c r="H344" s="13"/>
      <c r="I344" s="13" t="s">
        <v>4116</v>
      </c>
      <c r="J344" s="13" t="s">
        <v>4117</v>
      </c>
      <c r="K344" s="284">
        <v>45110</v>
      </c>
      <c r="L344" s="283">
        <f t="shared" si="75"/>
        <v>6</v>
      </c>
      <c r="M344" s="283" t="str">
        <f t="shared" si="76"/>
        <v>-</v>
      </c>
      <c r="N344" s="283" t="str">
        <f t="shared" si="77"/>
        <v>-</v>
      </c>
      <c r="O344" s="283" t="str">
        <f t="shared" si="78"/>
        <v>-</v>
      </c>
      <c r="P344" s="283" t="str">
        <f t="shared" si="79"/>
        <v>-</v>
      </c>
      <c r="Q344" s="283" t="str">
        <f t="shared" si="80"/>
        <v>-</v>
      </c>
      <c r="R344" s="283" t="str">
        <f t="shared" si="81"/>
        <v>-</v>
      </c>
      <c r="S344" s="283" t="str">
        <f t="shared" si="82"/>
        <v>-</v>
      </c>
      <c r="T344" s="283" t="str">
        <f t="shared" si="83"/>
        <v>-</v>
      </c>
      <c r="U344" s="283" t="str">
        <f t="shared" si="84"/>
        <v>-</v>
      </c>
      <c r="V344" s="283" t="str">
        <f t="shared" si="85"/>
        <v>-</v>
      </c>
      <c r="W344" s="1" t="str">
        <f t="shared" si="86"/>
        <v>https://taxfoundation.org/state-corporate-income-tax-rates-brackets-2023/</v>
      </c>
      <c r="X344" s="1" t="str">
        <f t="shared" si="87"/>
        <v>https://taxfoundation.org/</v>
      </c>
      <c r="Y344" s="1" t="str">
        <f t="shared" si="88"/>
        <v>優先3</v>
      </c>
      <c r="Z344" s="1" t="str">
        <f t="shared" si="89"/>
        <v>The Tax Foundation. "State Corporate Income Tax Rates and Brackets for 2023". Accessed 03 July, 2023. https://taxfoundation.org/.</v>
      </c>
    </row>
    <row r="345" spans="2:26">
      <c r="B345" s="285" t="s">
        <v>963</v>
      </c>
      <c r="C345" s="285" t="s">
        <v>784</v>
      </c>
      <c r="D345" s="285" t="s">
        <v>673</v>
      </c>
      <c r="E345" s="285" t="s">
        <v>178</v>
      </c>
      <c r="F345" s="13" t="s">
        <v>1298</v>
      </c>
      <c r="G345" s="13" t="s">
        <v>737</v>
      </c>
      <c r="H345" s="13"/>
      <c r="I345" s="13" t="s">
        <v>965</v>
      </c>
      <c r="J345" s="13" t="s">
        <v>1299</v>
      </c>
      <c r="K345" s="284">
        <v>45110</v>
      </c>
      <c r="L345" s="283" t="str">
        <f t="shared" si="75"/>
        <v>-</v>
      </c>
      <c r="M345" s="283" t="str">
        <f t="shared" si="76"/>
        <v>-</v>
      </c>
      <c r="N345" s="283" t="str">
        <f t="shared" si="77"/>
        <v>-</v>
      </c>
      <c r="O345" s="283" t="str">
        <f t="shared" si="78"/>
        <v>-</v>
      </c>
      <c r="P345" s="283" t="str">
        <f t="shared" si="79"/>
        <v>-</v>
      </c>
      <c r="Q345" s="283" t="str">
        <f t="shared" si="80"/>
        <v>-</v>
      </c>
      <c r="R345" s="283" t="str">
        <f t="shared" si="81"/>
        <v>-</v>
      </c>
      <c r="S345" s="283" t="str">
        <f t="shared" si="82"/>
        <v>-</v>
      </c>
      <c r="T345" s="283" t="str">
        <f t="shared" si="83"/>
        <v>-</v>
      </c>
      <c r="U345" s="283" t="str">
        <f t="shared" si="84"/>
        <v>-</v>
      </c>
      <c r="V345" s="283" t="str">
        <f t="shared" si="85"/>
        <v>-</v>
      </c>
      <c r="W345" s="1" t="str">
        <f t="shared" si="86"/>
        <v>https://www1.nyc.gov/site/finance/taxes/business-corporation-tax.page/</v>
      </c>
      <c r="X345" s="1" t="str">
        <f t="shared" si="87"/>
        <v>https://www1.nyc.gov/</v>
      </c>
      <c r="Y345" s="1" t="str">
        <f t="shared" si="88"/>
        <v>優先3</v>
      </c>
      <c r="Z345" s="1" t="str">
        <f t="shared" si="89"/>
        <v>Department of Finance, City of New York. "Business Corporation Tax". Accessed 03 July, 2023. https://www1.nyc.gov/.</v>
      </c>
    </row>
    <row r="346" spans="2:26">
      <c r="B346" s="285" t="s">
        <v>963</v>
      </c>
      <c r="C346" s="285" t="s">
        <v>784</v>
      </c>
      <c r="D346" s="285" t="s">
        <v>673</v>
      </c>
      <c r="E346" s="285" t="s">
        <v>180</v>
      </c>
      <c r="F346" s="13" t="s">
        <v>1297</v>
      </c>
      <c r="G346" s="13"/>
      <c r="H346" s="13"/>
      <c r="I346" s="13" t="s">
        <v>4116</v>
      </c>
      <c r="J346" s="13" t="s">
        <v>4117</v>
      </c>
      <c r="K346" s="284">
        <v>45110</v>
      </c>
      <c r="L346" s="283">
        <f t="shared" si="75"/>
        <v>6</v>
      </c>
      <c r="M346" s="283" t="str">
        <f t="shared" si="76"/>
        <v>-</v>
      </c>
      <c r="N346" s="283" t="str">
        <f t="shared" si="77"/>
        <v>-</v>
      </c>
      <c r="O346" s="283" t="str">
        <f t="shared" si="78"/>
        <v>-</v>
      </c>
      <c r="P346" s="283" t="str">
        <f t="shared" si="79"/>
        <v>-</v>
      </c>
      <c r="Q346" s="283" t="str">
        <f t="shared" si="80"/>
        <v>-</v>
      </c>
      <c r="R346" s="283" t="str">
        <f t="shared" si="81"/>
        <v>-</v>
      </c>
      <c r="S346" s="283" t="str">
        <f t="shared" si="82"/>
        <v>-</v>
      </c>
      <c r="T346" s="283" t="str">
        <f t="shared" si="83"/>
        <v>-</v>
      </c>
      <c r="U346" s="283" t="str">
        <f t="shared" si="84"/>
        <v>-</v>
      </c>
      <c r="V346" s="283" t="str">
        <f t="shared" si="85"/>
        <v>-</v>
      </c>
      <c r="W346" s="1" t="str">
        <f t="shared" si="86"/>
        <v>https://taxfoundation.org/state-corporate-income-tax-rates-brackets-2023/</v>
      </c>
      <c r="X346" s="1" t="str">
        <f t="shared" si="87"/>
        <v>https://taxfoundation.org/</v>
      </c>
      <c r="Y346" s="1" t="str">
        <f t="shared" si="88"/>
        <v>優先3</v>
      </c>
      <c r="Z346" s="1" t="str">
        <f t="shared" si="89"/>
        <v>The Tax Foundation. "State Corporate Income Tax Rates and Brackets for 2023". Accessed 03 July, 2023. https://taxfoundation.org/.</v>
      </c>
    </row>
    <row r="347" spans="2:26">
      <c r="B347" s="285" t="s">
        <v>963</v>
      </c>
      <c r="C347" s="285" t="s">
        <v>784</v>
      </c>
      <c r="D347" s="285" t="s">
        <v>673</v>
      </c>
      <c r="E347" s="285" t="s">
        <v>156</v>
      </c>
      <c r="F347" s="13"/>
      <c r="G347" s="13" t="s">
        <v>753</v>
      </c>
      <c r="H347" s="13" t="s">
        <v>752</v>
      </c>
      <c r="I347" s="13" t="s">
        <v>964</v>
      </c>
      <c r="J347" s="13" t="s">
        <v>1300</v>
      </c>
      <c r="K347" s="284">
        <v>45110</v>
      </c>
      <c r="L347" s="283" t="str">
        <f t="shared" si="75"/>
        <v>-</v>
      </c>
      <c r="M347" s="283" t="str">
        <f t="shared" si="76"/>
        <v>-</v>
      </c>
      <c r="N347" s="283" t="str">
        <f t="shared" si="77"/>
        <v>-</v>
      </c>
      <c r="O347" s="283" t="str">
        <f t="shared" si="78"/>
        <v>-</v>
      </c>
      <c r="P347" s="283" t="str">
        <f t="shared" si="79"/>
        <v>-</v>
      </c>
      <c r="Q347" s="283" t="str">
        <f t="shared" si="80"/>
        <v>-</v>
      </c>
      <c r="R347" s="283" t="str">
        <f t="shared" si="81"/>
        <v>-</v>
      </c>
      <c r="S347" s="283" t="str">
        <f t="shared" si="82"/>
        <v>-</v>
      </c>
      <c r="T347" s="283" t="str">
        <f t="shared" si="83"/>
        <v>-</v>
      </c>
      <c r="U347" s="283" t="str">
        <f t="shared" si="84"/>
        <v>-</v>
      </c>
      <c r="V347" s="283" t="str">
        <f t="shared" si="85"/>
        <v>-</v>
      </c>
      <c r="W347" s="1" t="str">
        <f t="shared" si="86"/>
        <v>https://www.city.fukuoka.lg.jp/zaisei/shisanzei/life/002.html#5/</v>
      </c>
      <c r="X347" s="1" t="str">
        <f t="shared" si="87"/>
        <v>https://www.city.fukuoka.lg.jp/</v>
      </c>
      <c r="Y347" s="1" t="str">
        <f t="shared" si="88"/>
        <v>優先3</v>
      </c>
      <c r="Z347" s="1" t="str">
        <f t="shared" si="89"/>
        <v>Fukuoka City [福岡市]. "法人市民税について". Accessed 03 July, 2023. https://www.city.fukuoka.lg.jp/.</v>
      </c>
    </row>
    <row r="348" spans="2:26">
      <c r="B348" s="285" t="s">
        <v>963</v>
      </c>
      <c r="C348" s="285" t="s">
        <v>784</v>
      </c>
      <c r="D348" s="285" t="s">
        <v>673</v>
      </c>
      <c r="E348" s="285" t="s">
        <v>158</v>
      </c>
      <c r="F348" s="13"/>
      <c r="G348" s="13" t="s">
        <v>887</v>
      </c>
      <c r="H348" s="13" t="s">
        <v>750</v>
      </c>
      <c r="I348" s="13" t="s">
        <v>962</v>
      </c>
      <c r="J348" s="13" t="s">
        <v>1301</v>
      </c>
      <c r="K348" s="284">
        <v>45110</v>
      </c>
      <c r="L348" s="283" t="str">
        <f t="shared" si="75"/>
        <v>-</v>
      </c>
      <c r="M348" s="283" t="str">
        <f t="shared" si="76"/>
        <v>-</v>
      </c>
      <c r="N348" s="283" t="str">
        <f t="shared" si="77"/>
        <v>-</v>
      </c>
      <c r="O348" s="283" t="str">
        <f t="shared" si="78"/>
        <v>-</v>
      </c>
      <c r="P348" s="283" t="str">
        <f t="shared" si="79"/>
        <v>-</v>
      </c>
      <c r="Q348" s="283" t="str">
        <f t="shared" si="80"/>
        <v>-</v>
      </c>
      <c r="R348" s="283" t="str">
        <f t="shared" si="81"/>
        <v>-</v>
      </c>
      <c r="S348" s="283" t="str">
        <f t="shared" si="82"/>
        <v>NG</v>
      </c>
      <c r="T348" s="283" t="str">
        <f t="shared" si="83"/>
        <v>-</v>
      </c>
      <c r="U348" s="283" t="str">
        <f t="shared" si="84"/>
        <v>-</v>
      </c>
      <c r="V348" s="283" t="str">
        <f t="shared" si="85"/>
        <v>-</v>
      </c>
      <c r="W348" s="1" t="str">
        <f t="shared" si="86"/>
        <v>https://www.city.osaka.lg.jp/zaisei/page/0000361789.html/</v>
      </c>
      <c r="X348" s="1" t="str">
        <f t="shared" si="87"/>
        <v>https://www.city.osaka.lg.jp/</v>
      </c>
      <c r="Y348" s="1" t="str">
        <f t="shared" si="88"/>
        <v>優先3</v>
      </c>
      <c r="Z348" s="1" t="str">
        <f t="shared" si="89"/>
        <v>City of Osaka [大阪市]. "法人市民税（法人税割）の超過課税について". Accessed 03 July, 2023. https://www.city.osaka.lg.jp/.</v>
      </c>
    </row>
    <row r="349" spans="2:26">
      <c r="B349" s="285" t="s">
        <v>963</v>
      </c>
      <c r="C349" s="285" t="s">
        <v>784</v>
      </c>
      <c r="D349" s="285" t="s">
        <v>673</v>
      </c>
      <c r="E349" s="285" t="s">
        <v>178</v>
      </c>
      <c r="F349" s="13" t="s">
        <v>1302</v>
      </c>
      <c r="G349" s="13" t="s">
        <v>1303</v>
      </c>
      <c r="H349" s="13"/>
      <c r="I349" s="13" t="s">
        <v>4118</v>
      </c>
      <c r="J349" s="13" t="s">
        <v>4119</v>
      </c>
      <c r="K349" s="284">
        <v>45110</v>
      </c>
      <c r="L349" s="283" t="str">
        <f t="shared" si="75"/>
        <v>-</v>
      </c>
      <c r="M349" s="283" t="str">
        <f t="shared" si="76"/>
        <v>-</v>
      </c>
      <c r="N349" s="283" t="str">
        <f t="shared" si="77"/>
        <v>-</v>
      </c>
      <c r="O349" s="283" t="str">
        <f t="shared" si="78"/>
        <v>-</v>
      </c>
      <c r="P349" s="283" t="str">
        <f t="shared" si="79"/>
        <v>-</v>
      </c>
      <c r="Q349" s="283" t="str">
        <f t="shared" si="80"/>
        <v>-</v>
      </c>
      <c r="R349" s="283" t="str">
        <f t="shared" si="81"/>
        <v>-</v>
      </c>
      <c r="S349" s="283" t="str">
        <f t="shared" si="82"/>
        <v>-</v>
      </c>
      <c r="T349" s="283" t="str">
        <f t="shared" si="83"/>
        <v>NG</v>
      </c>
      <c r="U349" s="283" t="str">
        <f t="shared" si="84"/>
        <v>-</v>
      </c>
      <c r="V349" s="283" t="str">
        <f t="shared" si="85"/>
        <v>-</v>
      </c>
      <c r="W349" s="1" t="str">
        <f t="shared" si="86"/>
        <v>https://www.tax.ny.gov/pdf/memos/corporation/m22-2c.pdf/</v>
      </c>
      <c r="X349" s="1" t="str">
        <f t="shared" si="87"/>
        <v>https://www.tax.ny.gov/</v>
      </c>
      <c r="Y349" s="1" t="str">
        <f t="shared" si="88"/>
        <v>優先3</v>
      </c>
      <c r="Z349" s="1" t="str">
        <f t="shared" si="89"/>
        <v>Department of Taxation and Finance, New York State. "TSB-M-22(2)C: 2023 MTA Surcharge Rate and Deriving Receipts Thresholds". Accessed 03 July, 2023. https://www.tax.ny.gov/.</v>
      </c>
    </row>
    <row r="350" spans="2:26">
      <c r="B350" s="285" t="s">
        <v>963</v>
      </c>
      <c r="C350" s="285" t="s">
        <v>464</v>
      </c>
      <c r="D350" s="285" t="s">
        <v>673</v>
      </c>
      <c r="E350" s="285" t="s">
        <v>178</v>
      </c>
      <c r="F350" s="13" t="s">
        <v>1297</v>
      </c>
      <c r="G350" s="13"/>
      <c r="H350" s="13"/>
      <c r="I350" s="13" t="s">
        <v>4116</v>
      </c>
      <c r="J350" s="13" t="s">
        <v>4117</v>
      </c>
      <c r="K350" s="284">
        <v>45110</v>
      </c>
      <c r="L350" s="283">
        <f t="shared" si="75"/>
        <v>6</v>
      </c>
      <c r="M350" s="283" t="str">
        <f t="shared" si="76"/>
        <v>-</v>
      </c>
      <c r="N350" s="283" t="str">
        <f t="shared" si="77"/>
        <v>-</v>
      </c>
      <c r="O350" s="283" t="str">
        <f t="shared" si="78"/>
        <v>-</v>
      </c>
      <c r="P350" s="283" t="str">
        <f t="shared" si="79"/>
        <v>-</v>
      </c>
      <c r="Q350" s="283" t="str">
        <f t="shared" si="80"/>
        <v>-</v>
      </c>
      <c r="R350" s="283" t="str">
        <f t="shared" si="81"/>
        <v>-</v>
      </c>
      <c r="S350" s="283" t="str">
        <f t="shared" si="82"/>
        <v>-</v>
      </c>
      <c r="T350" s="283" t="str">
        <f t="shared" si="83"/>
        <v>-</v>
      </c>
      <c r="U350" s="283" t="str">
        <f t="shared" si="84"/>
        <v>-</v>
      </c>
      <c r="V350" s="283" t="str">
        <f t="shared" si="85"/>
        <v>-</v>
      </c>
      <c r="W350" s="1" t="str">
        <f t="shared" si="86"/>
        <v>https://taxfoundation.org/state-corporate-income-tax-rates-brackets-2023/</v>
      </c>
      <c r="X350" s="1" t="str">
        <f t="shared" si="87"/>
        <v>https://taxfoundation.org/</v>
      </c>
      <c r="Y350" s="1" t="str">
        <f t="shared" si="88"/>
        <v>優先3</v>
      </c>
      <c r="Z350" s="1" t="str">
        <f t="shared" si="89"/>
        <v>The Tax Foundation. "State Corporate Income Tax Rates and Brackets for 2023". Accessed 03 July, 2023. https://taxfoundation.org/.</v>
      </c>
    </row>
    <row r="351" spans="2:26">
      <c r="B351" s="285" t="s">
        <v>961</v>
      </c>
      <c r="C351" s="285" t="s">
        <v>464</v>
      </c>
      <c r="D351" s="285" t="s">
        <v>688</v>
      </c>
      <c r="E351" s="285" t="s">
        <v>688</v>
      </c>
      <c r="F351" s="13" t="s">
        <v>1304</v>
      </c>
      <c r="G351" s="13"/>
      <c r="H351" s="13"/>
      <c r="I351" s="13" t="s">
        <v>1305</v>
      </c>
      <c r="J351" s="13" t="s">
        <v>3704</v>
      </c>
      <c r="K351" s="284">
        <v>45103</v>
      </c>
      <c r="L351" s="283" t="str">
        <f t="shared" si="75"/>
        <v>-</v>
      </c>
      <c r="M351" s="283" t="str">
        <f t="shared" si="76"/>
        <v>-</v>
      </c>
      <c r="N351" s="283" t="str">
        <f t="shared" si="77"/>
        <v>-</v>
      </c>
      <c r="O351" s="283" t="str">
        <f t="shared" si="78"/>
        <v>-</v>
      </c>
      <c r="P351" s="283" t="str">
        <f t="shared" si="79"/>
        <v>-</v>
      </c>
      <c r="Q351" s="283" t="str">
        <f t="shared" si="80"/>
        <v>-</v>
      </c>
      <c r="R351" s="283" t="str">
        <f t="shared" si="81"/>
        <v>-</v>
      </c>
      <c r="S351" s="283" t="str">
        <f t="shared" si="82"/>
        <v>-</v>
      </c>
      <c r="T351" s="283" t="str">
        <f t="shared" si="83"/>
        <v>-</v>
      </c>
      <c r="U351" s="283" t="str">
        <f t="shared" si="84"/>
        <v>-</v>
      </c>
      <c r="V351" s="283" t="str">
        <f t="shared" si="85"/>
        <v>-</v>
      </c>
      <c r="W351" s="1" t="str">
        <f t="shared" si="86"/>
        <v>https://www.worldbank.org/en/programs/business-enabling-environment/doing-business-legacy/</v>
      </c>
      <c r="X351" s="1" t="str">
        <f t="shared" si="87"/>
        <v>https://www.worldbank.org/</v>
      </c>
      <c r="Y351" s="1" t="str">
        <f t="shared" si="88"/>
        <v>優先1</v>
      </c>
      <c r="Z351" s="1" t="str">
        <f t="shared" si="89"/>
        <v>The World Bank. "Doing Business 2020". Accessed 26 June, 2023. https://www.worldbank.org/.</v>
      </c>
    </row>
    <row r="352" spans="2:26">
      <c r="B352" s="285" t="s">
        <v>961</v>
      </c>
      <c r="C352" s="285" t="s">
        <v>464</v>
      </c>
      <c r="D352" s="285" t="s">
        <v>688</v>
      </c>
      <c r="E352" s="285" t="s">
        <v>688</v>
      </c>
      <c r="F352" s="13" t="s">
        <v>960</v>
      </c>
      <c r="G352" s="13"/>
      <c r="H352" s="13"/>
      <c r="I352" s="13" t="s">
        <v>959</v>
      </c>
      <c r="J352" s="13" t="s">
        <v>1306</v>
      </c>
      <c r="K352" s="284">
        <v>45103</v>
      </c>
      <c r="L352" s="283" t="str">
        <f t="shared" si="75"/>
        <v>-</v>
      </c>
      <c r="M352" s="283" t="str">
        <f t="shared" si="76"/>
        <v>-</v>
      </c>
      <c r="N352" s="283" t="str">
        <f t="shared" si="77"/>
        <v>-</v>
      </c>
      <c r="O352" s="283" t="str">
        <f t="shared" si="78"/>
        <v>NG</v>
      </c>
      <c r="P352" s="283" t="str">
        <f t="shared" si="79"/>
        <v>-</v>
      </c>
      <c r="Q352" s="283" t="str">
        <f t="shared" si="80"/>
        <v>-</v>
      </c>
      <c r="R352" s="283" t="str">
        <f t="shared" si="81"/>
        <v>-</v>
      </c>
      <c r="S352" s="283" t="str">
        <f t="shared" si="82"/>
        <v>-</v>
      </c>
      <c r="T352" s="283" t="str">
        <f t="shared" si="83"/>
        <v>-</v>
      </c>
      <c r="U352" s="283" t="str">
        <f t="shared" si="84"/>
        <v>-</v>
      </c>
      <c r="V352" s="283" t="str">
        <f t="shared" si="85"/>
        <v>-</v>
      </c>
      <c r="W352" s="1" t="str">
        <f t="shared" si="86"/>
        <v>https://www.moodys.com/ja/search?keyword=Sovereign%20%26%20Supranational%20Rating%20List/</v>
      </c>
      <c r="X352" s="1" t="str">
        <f t="shared" si="87"/>
        <v>https://www.moodys.com/</v>
      </c>
      <c r="Y352" s="1" t="str">
        <f t="shared" si="88"/>
        <v>優先1</v>
      </c>
      <c r="Z352" s="1" t="str">
        <f t="shared" si="89"/>
        <v>Moody's Investors Service, Inc.. "Sovereign and Supranational rating List". Accessed 26 June, 2023. https://www.moodys.com/.</v>
      </c>
    </row>
    <row r="353" spans="2:26">
      <c r="B353" s="285" t="s">
        <v>956</v>
      </c>
      <c r="C353" s="285" t="s">
        <v>464</v>
      </c>
      <c r="D353" s="285" t="s">
        <v>688</v>
      </c>
      <c r="E353" s="285" t="s">
        <v>688</v>
      </c>
      <c r="F353" s="13" t="s">
        <v>747</v>
      </c>
      <c r="G353" s="13"/>
      <c r="H353" s="13"/>
      <c r="I353" s="13" t="s">
        <v>957</v>
      </c>
      <c r="J353" s="13" t="s">
        <v>3705</v>
      </c>
      <c r="K353" s="284">
        <v>45119</v>
      </c>
      <c r="L353" s="283">
        <f t="shared" si="75"/>
        <v>2</v>
      </c>
      <c r="M353" s="283" t="str">
        <f t="shared" si="76"/>
        <v>-</v>
      </c>
      <c r="N353" s="283" t="str">
        <f t="shared" si="77"/>
        <v>-</v>
      </c>
      <c r="O353" s="283" t="str">
        <f t="shared" si="78"/>
        <v>-</v>
      </c>
      <c r="P353" s="283" t="str">
        <f t="shared" si="79"/>
        <v>-</v>
      </c>
      <c r="Q353" s="283" t="str">
        <f t="shared" si="80"/>
        <v>-</v>
      </c>
      <c r="R353" s="283" t="str">
        <f t="shared" si="81"/>
        <v>-</v>
      </c>
      <c r="S353" s="283" t="str">
        <f t="shared" si="82"/>
        <v>-</v>
      </c>
      <c r="T353" s="283" t="str">
        <f t="shared" si="83"/>
        <v>-</v>
      </c>
      <c r="U353" s="283" t="str">
        <f t="shared" si="84"/>
        <v>-</v>
      </c>
      <c r="V353" s="283" t="str">
        <f t="shared" si="85"/>
        <v>-</v>
      </c>
      <c r="W353" s="1" t="str">
        <f t="shared" si="86"/>
        <v>https://stats.oecd.org/Index.aspx?DataSetCode=PERS_FUNC#/</v>
      </c>
      <c r="X353" s="1" t="str">
        <f t="shared" si="87"/>
        <v>https://stats.oecd.org/</v>
      </c>
      <c r="Y353" s="1" t="str">
        <f t="shared" si="88"/>
        <v>優先1</v>
      </c>
      <c r="Z353" s="1" t="str">
        <f t="shared" si="89"/>
        <v>Organisation for Economic Co-operation and Development. "OECD Statistics". Accessed 12 July, 2023. https://stats.oecd.org/.</v>
      </c>
    </row>
    <row r="354" spans="2:26">
      <c r="B354" s="285" t="s">
        <v>956</v>
      </c>
      <c r="C354" s="285" t="s">
        <v>464</v>
      </c>
      <c r="D354" s="285" t="s">
        <v>673</v>
      </c>
      <c r="E354" s="285" t="s">
        <v>152</v>
      </c>
      <c r="F354" s="13" t="s">
        <v>747</v>
      </c>
      <c r="G354" s="13"/>
      <c r="H354" s="13"/>
      <c r="I354" s="13" t="s">
        <v>957</v>
      </c>
      <c r="J354" s="13" t="s">
        <v>3705</v>
      </c>
      <c r="K354" s="284">
        <v>45119</v>
      </c>
      <c r="L354" s="283">
        <f t="shared" si="75"/>
        <v>2</v>
      </c>
      <c r="M354" s="283" t="str">
        <f t="shared" si="76"/>
        <v>-</v>
      </c>
      <c r="N354" s="283" t="str">
        <f t="shared" si="77"/>
        <v>-</v>
      </c>
      <c r="O354" s="283" t="str">
        <f t="shared" si="78"/>
        <v>-</v>
      </c>
      <c r="P354" s="283" t="str">
        <f t="shared" si="79"/>
        <v>-</v>
      </c>
      <c r="Q354" s="283" t="str">
        <f t="shared" si="80"/>
        <v>-</v>
      </c>
      <c r="R354" s="283" t="str">
        <f t="shared" si="81"/>
        <v>-</v>
      </c>
      <c r="S354" s="283" t="str">
        <f t="shared" si="82"/>
        <v>-</v>
      </c>
      <c r="T354" s="283" t="str">
        <f t="shared" si="83"/>
        <v>-</v>
      </c>
      <c r="U354" s="283" t="str">
        <f t="shared" si="84"/>
        <v>-</v>
      </c>
      <c r="V354" s="283" t="str">
        <f t="shared" si="85"/>
        <v>-</v>
      </c>
      <c r="W354" s="1" t="str">
        <f t="shared" si="86"/>
        <v>https://stats.oecd.org/Index.aspx?DataSetCode=PERS_FUNC#/</v>
      </c>
      <c r="X354" s="1" t="str">
        <f t="shared" si="87"/>
        <v>https://stats.oecd.org/</v>
      </c>
      <c r="Y354" s="1" t="str">
        <f t="shared" si="88"/>
        <v>優先3</v>
      </c>
      <c r="Z354" s="1" t="str">
        <f t="shared" si="89"/>
        <v>Organisation for Economic Co-operation and Development. "OECD Statistics". Accessed 12 July, 2023. https://stats.oecd.org/.</v>
      </c>
    </row>
    <row r="355" spans="2:26">
      <c r="B355" s="285" t="s">
        <v>956</v>
      </c>
      <c r="C355" s="285" t="s">
        <v>464</v>
      </c>
      <c r="D355" s="285" t="s">
        <v>673</v>
      </c>
      <c r="E355" s="285" t="s">
        <v>162</v>
      </c>
      <c r="F355" s="13" t="s">
        <v>2642</v>
      </c>
      <c r="G355" s="13"/>
      <c r="H355" s="13"/>
      <c r="I355" s="13" t="s">
        <v>2643</v>
      </c>
      <c r="J355" s="13" t="s">
        <v>2644</v>
      </c>
      <c r="K355" s="284">
        <v>45119</v>
      </c>
      <c r="L355" s="283">
        <f t="shared" si="75"/>
        <v>2</v>
      </c>
      <c r="M355" s="283" t="str">
        <f t="shared" si="76"/>
        <v>-</v>
      </c>
      <c r="N355" s="283" t="str">
        <f t="shared" si="77"/>
        <v>-</v>
      </c>
      <c r="O355" s="283" t="str">
        <f t="shared" si="78"/>
        <v>-</v>
      </c>
      <c r="P355" s="283" t="str">
        <f t="shared" si="79"/>
        <v>-</v>
      </c>
      <c r="Q355" s="283" t="str">
        <f t="shared" si="80"/>
        <v>-</v>
      </c>
      <c r="R355" s="283" t="str">
        <f t="shared" si="81"/>
        <v>NG</v>
      </c>
      <c r="S355" s="283" t="str">
        <f t="shared" si="82"/>
        <v>-</v>
      </c>
      <c r="T355" s="283" t="str">
        <f t="shared" si="83"/>
        <v>-</v>
      </c>
      <c r="U355" s="283" t="str">
        <f t="shared" si="84"/>
        <v>-</v>
      </c>
      <c r="V355" s="283" t="str">
        <f t="shared" si="85"/>
        <v>-</v>
      </c>
      <c r="W355" s="1" t="str">
        <f t="shared" si="86"/>
        <v>https://www.abs.gov.au/statistics/industry/technology-and-innovation/</v>
      </c>
      <c r="X355" s="1" t="str">
        <f t="shared" si="87"/>
        <v>https://www.abs.gov.au/</v>
      </c>
      <c r="Y355" s="1" t="str">
        <f t="shared" si="88"/>
        <v>優先3</v>
      </c>
      <c r="Z355" s="1" t="str">
        <f t="shared" si="89"/>
        <v>Austrlian Bureau of Statistics. "Research and Experimental Development, Government and Private Non-Profit Organisations/　Higher Education Organisations/ Business, Australia". Accessed 12 July, 2023. https://www.abs.gov.au/.</v>
      </c>
    </row>
    <row r="356" spans="2:26">
      <c r="B356" s="285" t="s">
        <v>956</v>
      </c>
      <c r="C356" s="285" t="s">
        <v>464</v>
      </c>
      <c r="D356" s="285" t="s">
        <v>673</v>
      </c>
      <c r="E356" s="285" t="s">
        <v>371</v>
      </c>
      <c r="F356" s="13" t="s">
        <v>1021</v>
      </c>
      <c r="G356" s="13"/>
      <c r="H356" s="13"/>
      <c r="I356" s="13" t="s">
        <v>4120</v>
      </c>
      <c r="J356" s="13" t="s">
        <v>4121</v>
      </c>
      <c r="K356" s="284">
        <v>45119</v>
      </c>
      <c r="L356" s="283" t="str">
        <f t="shared" si="75"/>
        <v>-</v>
      </c>
      <c r="M356" s="283" t="str">
        <f t="shared" si="76"/>
        <v>-</v>
      </c>
      <c r="N356" s="283" t="str">
        <f t="shared" si="77"/>
        <v>-</v>
      </c>
      <c r="O356" s="283" t="str">
        <f t="shared" si="78"/>
        <v>-</v>
      </c>
      <c r="P356" s="283" t="str">
        <f t="shared" si="79"/>
        <v>-</v>
      </c>
      <c r="Q356" s="283" t="str">
        <f t="shared" si="80"/>
        <v>-</v>
      </c>
      <c r="R356" s="283" t="str">
        <f t="shared" si="81"/>
        <v>-</v>
      </c>
      <c r="S356" s="283" t="str">
        <f t="shared" si="82"/>
        <v>-</v>
      </c>
      <c r="T356" s="283" t="str">
        <f t="shared" si="83"/>
        <v>-</v>
      </c>
      <c r="U356" s="283" t="str">
        <f t="shared" si="84"/>
        <v>-</v>
      </c>
      <c r="V356" s="283" t="str">
        <f t="shared" si="85"/>
        <v>-</v>
      </c>
      <c r="W356" s="1" t="str">
        <f t="shared" si="86"/>
        <v>https://www.cbs.gov.il/en/publications/Pages/2022/Science-Technology-and-Communications-Statistical-Abstract-of-Israel-2022-No.73.aspx/</v>
      </c>
      <c r="X356" s="1" t="str">
        <f t="shared" si="87"/>
        <v>https://www.cbs.gov.il/</v>
      </c>
      <c r="Y356" s="1" t="str">
        <f t="shared" si="88"/>
        <v>優先3</v>
      </c>
      <c r="Z356" s="1" t="str">
        <f t="shared" si="89"/>
        <v>Central Bureau of Statistics. "Science-Technology-and-Communications-Statistical-Abstract-of-Israel-2022-No.73". Accessed 12 July, 2023. https://www.cbs.gov.il/.</v>
      </c>
    </row>
    <row r="357" spans="2:26">
      <c r="B357" s="285" t="s">
        <v>956</v>
      </c>
      <c r="C357" s="285" t="s">
        <v>464</v>
      </c>
      <c r="D357" s="285" t="s">
        <v>673</v>
      </c>
      <c r="E357" s="285" t="s">
        <v>372</v>
      </c>
      <c r="F357" s="13" t="s">
        <v>2642</v>
      </c>
      <c r="G357" s="13"/>
      <c r="H357" s="13"/>
      <c r="I357" s="13" t="s">
        <v>2643</v>
      </c>
      <c r="J357" s="13" t="s">
        <v>2644</v>
      </c>
      <c r="K357" s="284">
        <v>45119</v>
      </c>
      <c r="L357" s="283">
        <f t="shared" si="75"/>
        <v>2</v>
      </c>
      <c r="M357" s="283" t="str">
        <f t="shared" si="76"/>
        <v>-</v>
      </c>
      <c r="N357" s="283" t="str">
        <f t="shared" si="77"/>
        <v>-</v>
      </c>
      <c r="O357" s="283" t="str">
        <f t="shared" si="78"/>
        <v>-</v>
      </c>
      <c r="P357" s="283" t="str">
        <f t="shared" si="79"/>
        <v>-</v>
      </c>
      <c r="Q357" s="283" t="str">
        <f t="shared" si="80"/>
        <v>-</v>
      </c>
      <c r="R357" s="283" t="str">
        <f t="shared" si="81"/>
        <v>NG</v>
      </c>
      <c r="S357" s="283" t="str">
        <f t="shared" si="82"/>
        <v>-</v>
      </c>
      <c r="T357" s="283" t="str">
        <f t="shared" si="83"/>
        <v>-</v>
      </c>
      <c r="U357" s="283" t="str">
        <f t="shared" si="84"/>
        <v>-</v>
      </c>
      <c r="V357" s="283" t="str">
        <f t="shared" si="85"/>
        <v>-</v>
      </c>
      <c r="W357" s="1" t="str">
        <f t="shared" si="86"/>
        <v>https://www.abs.gov.au/statistics/industry/technology-and-innovation/</v>
      </c>
      <c r="X357" s="1" t="str">
        <f t="shared" si="87"/>
        <v>https://www.abs.gov.au/</v>
      </c>
      <c r="Y357" s="1" t="str">
        <f t="shared" si="88"/>
        <v>優先3</v>
      </c>
      <c r="Z357" s="1" t="str">
        <f t="shared" si="89"/>
        <v>Austrlian Bureau of Statistics. "Research and Experimental Development, Government and Private Non-Profit Organisations/　Higher Education Organisations/ Business, Australia". Accessed 12 July, 2023. https://www.abs.gov.au/.</v>
      </c>
    </row>
    <row r="358" spans="2:26">
      <c r="B358" s="285" t="s">
        <v>956</v>
      </c>
      <c r="C358" s="285" t="s">
        <v>784</v>
      </c>
      <c r="D358" s="285" t="s">
        <v>673</v>
      </c>
      <c r="E358" s="285" t="s">
        <v>162</v>
      </c>
      <c r="F358" s="13" t="s">
        <v>919</v>
      </c>
      <c r="G358" s="13"/>
      <c r="H358" s="13"/>
      <c r="I358" s="13" t="s">
        <v>958</v>
      </c>
      <c r="J358" s="13" t="s">
        <v>1307</v>
      </c>
      <c r="K358" s="284">
        <v>44375</v>
      </c>
      <c r="L358" s="283">
        <f t="shared" si="75"/>
        <v>2</v>
      </c>
      <c r="M358" s="283" t="str">
        <f t="shared" si="76"/>
        <v>-</v>
      </c>
      <c r="N358" s="283" t="str">
        <f t="shared" si="77"/>
        <v>-</v>
      </c>
      <c r="O358" s="283" t="str">
        <f t="shared" si="78"/>
        <v>-</v>
      </c>
      <c r="P358" s="283" t="str">
        <f t="shared" si="79"/>
        <v>-</v>
      </c>
      <c r="Q358" s="283" t="str">
        <f t="shared" si="80"/>
        <v>-</v>
      </c>
      <c r="R358" s="283" t="str">
        <f t="shared" si="81"/>
        <v>-</v>
      </c>
      <c r="S358" s="283" t="str">
        <f t="shared" si="82"/>
        <v>-</v>
      </c>
      <c r="T358" s="283" t="str">
        <f t="shared" si="83"/>
        <v>-</v>
      </c>
      <c r="U358" s="283" t="str">
        <f t="shared" si="84"/>
        <v>-</v>
      </c>
      <c r="V358" s="283" t="str">
        <f t="shared" si="85"/>
        <v>-</v>
      </c>
      <c r="W358" s="1" t="str">
        <f t="shared" si="86"/>
        <v>http://data.uis.unesco.org/#/</v>
      </c>
      <c r="X358" s="1" t="str">
        <f t="shared" si="87"/>
        <v>http://data.uis.unesco.org/</v>
      </c>
      <c r="Y358" s="1" t="str">
        <f t="shared" si="88"/>
        <v>優先3</v>
      </c>
      <c r="Z358" s="1" t="str">
        <f t="shared" si="89"/>
        <v>United Nations Educational, Scientific and Cultural Organization. "UNESCO UIS". Accessed 28 June, 2021. http://data.uis.unesco.org/.</v>
      </c>
    </row>
    <row r="359" spans="2:26">
      <c r="B359" s="285" t="s">
        <v>956</v>
      </c>
      <c r="C359" s="285" t="s">
        <v>784</v>
      </c>
      <c r="D359" s="285" t="s">
        <v>673</v>
      </c>
      <c r="E359" s="285" t="s">
        <v>372</v>
      </c>
      <c r="F359" s="13" t="s">
        <v>919</v>
      </c>
      <c r="G359" s="13"/>
      <c r="H359" s="13"/>
      <c r="I359" s="13" t="s">
        <v>958</v>
      </c>
      <c r="J359" s="13" t="s">
        <v>1307</v>
      </c>
      <c r="K359" s="284">
        <v>44375</v>
      </c>
      <c r="L359" s="283">
        <f t="shared" si="75"/>
        <v>2</v>
      </c>
      <c r="M359" s="283" t="str">
        <f t="shared" si="76"/>
        <v>-</v>
      </c>
      <c r="N359" s="283" t="str">
        <f t="shared" si="77"/>
        <v>-</v>
      </c>
      <c r="O359" s="283" t="str">
        <f t="shared" si="78"/>
        <v>-</v>
      </c>
      <c r="P359" s="283" t="str">
        <f t="shared" si="79"/>
        <v>-</v>
      </c>
      <c r="Q359" s="283" t="str">
        <f t="shared" si="80"/>
        <v>-</v>
      </c>
      <c r="R359" s="283" t="str">
        <f t="shared" si="81"/>
        <v>-</v>
      </c>
      <c r="S359" s="283" t="str">
        <f t="shared" si="82"/>
        <v>-</v>
      </c>
      <c r="T359" s="283" t="str">
        <f t="shared" si="83"/>
        <v>-</v>
      </c>
      <c r="U359" s="283" t="str">
        <f t="shared" si="84"/>
        <v>-</v>
      </c>
      <c r="V359" s="283" t="str">
        <f t="shared" si="85"/>
        <v>-</v>
      </c>
      <c r="W359" s="1" t="str">
        <f t="shared" si="86"/>
        <v>http://data.uis.unesco.org/#/</v>
      </c>
      <c r="X359" s="1" t="str">
        <f t="shared" si="87"/>
        <v>http://data.uis.unesco.org/</v>
      </c>
      <c r="Y359" s="1" t="str">
        <f t="shared" si="88"/>
        <v>優先3</v>
      </c>
      <c r="Z359" s="1" t="str">
        <f t="shared" si="89"/>
        <v>United Nations Educational, Scientific and Cultural Organization. "UNESCO UIS". Accessed 28 June, 2021. http://data.uis.unesco.org/.</v>
      </c>
    </row>
    <row r="360" spans="2:26">
      <c r="B360" s="285" t="s">
        <v>953</v>
      </c>
      <c r="C360" s="285" t="s">
        <v>464</v>
      </c>
      <c r="D360" s="285" t="s">
        <v>688</v>
      </c>
      <c r="E360" s="285" t="s">
        <v>688</v>
      </c>
      <c r="F360" s="13" t="s">
        <v>949</v>
      </c>
      <c r="G360" s="13"/>
      <c r="H360" s="13"/>
      <c r="I360" s="13" t="s">
        <v>4122</v>
      </c>
      <c r="J360" s="13" t="s">
        <v>4123</v>
      </c>
      <c r="K360" s="284">
        <v>45132</v>
      </c>
      <c r="L360" s="283" t="str">
        <f t="shared" si="75"/>
        <v>-</v>
      </c>
      <c r="M360" s="283" t="str">
        <f t="shared" si="76"/>
        <v>-</v>
      </c>
      <c r="N360" s="283" t="str">
        <f t="shared" si="77"/>
        <v>-</v>
      </c>
      <c r="O360" s="283" t="str">
        <f t="shared" si="78"/>
        <v>-</v>
      </c>
      <c r="P360" s="283" t="str">
        <f t="shared" si="79"/>
        <v>-</v>
      </c>
      <c r="Q360" s="283" t="str">
        <f t="shared" si="80"/>
        <v>-</v>
      </c>
      <c r="R360" s="283" t="str">
        <f t="shared" si="81"/>
        <v>-</v>
      </c>
      <c r="S360" s="283" t="str">
        <f t="shared" si="82"/>
        <v>-</v>
      </c>
      <c r="T360" s="283" t="str">
        <f t="shared" si="83"/>
        <v>-</v>
      </c>
      <c r="U360" s="283" t="str">
        <f t="shared" si="84"/>
        <v>-</v>
      </c>
      <c r="V360" s="283" t="str">
        <f t="shared" si="85"/>
        <v>-</v>
      </c>
      <c r="W360" s="1" t="str">
        <f t="shared" si="86"/>
        <v>https://www.timeshighereducation.com/world-university-rankings/2023/world-ranking/</v>
      </c>
      <c r="X360" s="1" t="str">
        <f t="shared" si="87"/>
        <v>https://www.timeshighereducation.com/</v>
      </c>
      <c r="Y360" s="1" t="str">
        <f t="shared" si="88"/>
        <v>優先1</v>
      </c>
      <c r="Z360" s="1" t="str">
        <f t="shared" si="89"/>
        <v>Times Higher Education. "World University Rankings 2023". Accessed 25 July, 2023. https://www.timeshighereducation.com/.</v>
      </c>
    </row>
    <row r="361" spans="2:26">
      <c r="B361" s="285" t="s">
        <v>951</v>
      </c>
      <c r="C361" s="285" t="s">
        <v>464</v>
      </c>
      <c r="D361" s="285" t="s">
        <v>688</v>
      </c>
      <c r="E361" s="285" t="s">
        <v>688</v>
      </c>
      <c r="F361" s="13" t="s">
        <v>4124</v>
      </c>
      <c r="G361" s="13"/>
      <c r="H361" s="13"/>
      <c r="I361" s="13" t="s">
        <v>4125</v>
      </c>
      <c r="J361" s="13" t="s">
        <v>4126</v>
      </c>
      <c r="K361" s="284">
        <v>45119</v>
      </c>
      <c r="L361" s="283" t="str">
        <f t="shared" si="75"/>
        <v>-</v>
      </c>
      <c r="M361" s="283" t="str">
        <f t="shared" si="76"/>
        <v>-</v>
      </c>
      <c r="N361" s="283" t="str">
        <f t="shared" si="77"/>
        <v>-</v>
      </c>
      <c r="O361" s="283" t="str">
        <f t="shared" si="78"/>
        <v>-</v>
      </c>
      <c r="P361" s="283" t="str">
        <f t="shared" si="79"/>
        <v>-</v>
      </c>
      <c r="Q361" s="283" t="str">
        <f t="shared" si="80"/>
        <v>-</v>
      </c>
      <c r="R361" s="283" t="str">
        <f t="shared" si="81"/>
        <v>-</v>
      </c>
      <c r="S361" s="283" t="str">
        <f t="shared" si="82"/>
        <v>-</v>
      </c>
      <c r="T361" s="283" t="str">
        <f t="shared" si="83"/>
        <v>-</v>
      </c>
      <c r="U361" s="283" t="str">
        <f t="shared" si="84"/>
        <v>-</v>
      </c>
      <c r="V361" s="283" t="str">
        <f t="shared" si="85"/>
        <v>-</v>
      </c>
      <c r="W361" s="1" t="str">
        <f t="shared" si="86"/>
        <v>http://data.uis.unesco.org/Index.aspx?DataSetCode=SCN_DS#/</v>
      </c>
      <c r="X361" s="1" t="str">
        <f t="shared" si="87"/>
        <v>http://data.uis.unesco.org/</v>
      </c>
      <c r="Y361" s="1" t="str">
        <f t="shared" si="88"/>
        <v>優先1</v>
      </c>
      <c r="Z361" s="1" t="str">
        <f t="shared" si="89"/>
        <v>The UNESCO Institute for Statistics. "Science,technology and innovation". Accessed 12 July, 2023. http://data.uis.unesco.org/.</v>
      </c>
    </row>
    <row r="362" spans="2:26">
      <c r="B362" s="285" t="s">
        <v>951</v>
      </c>
      <c r="C362" s="285" t="s">
        <v>464</v>
      </c>
      <c r="D362" s="285" t="s">
        <v>673</v>
      </c>
      <c r="E362" s="285" t="s">
        <v>110</v>
      </c>
      <c r="F362" s="13" t="s">
        <v>952</v>
      </c>
      <c r="G362" s="13" t="s">
        <v>709</v>
      </c>
      <c r="H362" s="13"/>
      <c r="I362" s="13" t="s">
        <v>4127</v>
      </c>
      <c r="J362" s="13" t="s">
        <v>4128</v>
      </c>
      <c r="K362" s="284">
        <v>45119</v>
      </c>
      <c r="L362" s="283" t="str">
        <f t="shared" si="75"/>
        <v>-</v>
      </c>
      <c r="M362" s="283" t="str">
        <f t="shared" si="76"/>
        <v>-</v>
      </c>
      <c r="N362" s="283" t="str">
        <f t="shared" si="77"/>
        <v>-</v>
      </c>
      <c r="O362" s="283" t="str">
        <f t="shared" si="78"/>
        <v>-</v>
      </c>
      <c r="P362" s="283" t="str">
        <f t="shared" si="79"/>
        <v>-</v>
      </c>
      <c r="Q362" s="283" t="str">
        <f t="shared" si="80"/>
        <v>-</v>
      </c>
      <c r="R362" s="283" t="str">
        <f t="shared" si="81"/>
        <v>-</v>
      </c>
      <c r="S362" s="283" t="str">
        <f t="shared" si="82"/>
        <v>-</v>
      </c>
      <c r="T362" s="283" t="str">
        <f t="shared" si="83"/>
        <v>-</v>
      </c>
      <c r="U362" s="283" t="str">
        <f t="shared" si="84"/>
        <v>-</v>
      </c>
      <c r="V362" s="283" t="str">
        <f t="shared" si="85"/>
        <v>-</v>
      </c>
      <c r="W362" s="1" t="str">
        <f t="shared" si="86"/>
        <v>https://www.enseignementsup-recherche.gouv.fr/fr/depenses-recherche-et-developpement-experimental-en-france-resultats-2020-et-estimations-2021-88624/</v>
      </c>
      <c r="X362" s="1" t="str">
        <f t="shared" si="87"/>
        <v>https://www.enseignementsup-recherche.gouv.fr/</v>
      </c>
      <c r="Y362" s="1" t="str">
        <f t="shared" si="88"/>
        <v>優先3</v>
      </c>
      <c r="Z362" s="1" t="str">
        <f t="shared" si="89"/>
        <v>Ministère de l'enseignement supérieur et de la recherche, French Republic. "Dépenses de recherche et développement expérimental en France : résultats détaillés pour 2020 et premières estimations pour 2021". Accessed 12 July, 2023. https://www.enseignementsup-recherche.gouv.fr/.</v>
      </c>
    </row>
    <row r="363" spans="2:26">
      <c r="B363" s="285" t="s">
        <v>951</v>
      </c>
      <c r="C363" s="285" t="s">
        <v>464</v>
      </c>
      <c r="D363" s="285" t="s">
        <v>673</v>
      </c>
      <c r="E363" s="285" t="s">
        <v>152</v>
      </c>
      <c r="F363" s="13" t="s">
        <v>747</v>
      </c>
      <c r="G363" s="13"/>
      <c r="H363" s="13"/>
      <c r="I363" s="13" t="s">
        <v>4129</v>
      </c>
      <c r="J363" s="13" t="s">
        <v>1308</v>
      </c>
      <c r="K363" s="284">
        <v>45119</v>
      </c>
      <c r="L363" s="283" t="str">
        <f t="shared" si="75"/>
        <v>-</v>
      </c>
      <c r="M363" s="283" t="str">
        <f t="shared" si="76"/>
        <v>-</v>
      </c>
      <c r="N363" s="283" t="str">
        <f t="shared" si="77"/>
        <v>-</v>
      </c>
      <c r="O363" s="283" t="str">
        <f t="shared" si="78"/>
        <v>-</v>
      </c>
      <c r="P363" s="283" t="str">
        <f t="shared" si="79"/>
        <v>-</v>
      </c>
      <c r="Q363" s="283" t="str">
        <f t="shared" si="80"/>
        <v>-</v>
      </c>
      <c r="R363" s="283" t="str">
        <f t="shared" si="81"/>
        <v>-</v>
      </c>
      <c r="S363" s="283" t="str">
        <f t="shared" si="82"/>
        <v>-</v>
      </c>
      <c r="T363" s="283" t="str">
        <f t="shared" si="83"/>
        <v>-</v>
      </c>
      <c r="U363" s="283" t="str">
        <f t="shared" si="84"/>
        <v>-</v>
      </c>
      <c r="V363" s="283" t="str">
        <f t="shared" si="85"/>
        <v>-</v>
      </c>
      <c r="W363" s="1" t="str">
        <f t="shared" si="86"/>
        <v>https://stats.oecd.org/</v>
      </c>
      <c r="X363" s="1" t="str">
        <f t="shared" si="87"/>
        <v>https://stats.oecd.org/</v>
      </c>
      <c r="Y363" s="1" t="str">
        <f t="shared" si="88"/>
        <v>優先3</v>
      </c>
      <c r="Z363" s="1" t="str">
        <f t="shared" si="89"/>
        <v>Organisation for Economic Co-operation and Development. "OECD Science, Technology and Patents". Accessed 12 July, 2023. https://stats.oecd.org/.</v>
      </c>
    </row>
    <row r="364" spans="2:26">
      <c r="B364" s="285" t="s">
        <v>951</v>
      </c>
      <c r="C364" s="285" t="s">
        <v>784</v>
      </c>
      <c r="D364" s="285" t="s">
        <v>673</v>
      </c>
      <c r="E364" s="285" t="s">
        <v>110</v>
      </c>
      <c r="F364" s="13" t="s">
        <v>1309</v>
      </c>
      <c r="G364" s="13"/>
      <c r="H364" s="13"/>
      <c r="I364" s="13" t="s">
        <v>1310</v>
      </c>
      <c r="J364" s="13" t="s">
        <v>4079</v>
      </c>
      <c r="K364" s="284">
        <v>45120</v>
      </c>
      <c r="L364" s="283" t="str">
        <f t="shared" si="75"/>
        <v>-</v>
      </c>
      <c r="M364" s="283" t="str">
        <f t="shared" si="76"/>
        <v>-</v>
      </c>
      <c r="N364" s="283" t="str">
        <f t="shared" si="77"/>
        <v>-</v>
      </c>
      <c r="O364" s="283" t="str">
        <f t="shared" si="78"/>
        <v>-</v>
      </c>
      <c r="P364" s="283" t="str">
        <f t="shared" si="79"/>
        <v>-</v>
      </c>
      <c r="Q364" s="283" t="str">
        <f t="shared" si="80"/>
        <v>-</v>
      </c>
      <c r="R364" s="283" t="str">
        <f t="shared" si="81"/>
        <v>-</v>
      </c>
      <c r="S364" s="283" t="str">
        <f t="shared" si="82"/>
        <v>-</v>
      </c>
      <c r="T364" s="283" t="str">
        <f t="shared" si="83"/>
        <v>-</v>
      </c>
      <c r="U364" s="283" t="str">
        <f t="shared" si="84"/>
        <v>-</v>
      </c>
      <c r="V364" s="283" t="str">
        <f t="shared" si="85"/>
        <v>-</v>
      </c>
      <c r="W364" s="1" t="str">
        <f t="shared" si="86"/>
        <v>https://www.insee.fr/fr/statistiques/6682598?sommaire=4981513/</v>
      </c>
      <c r="X364" s="1" t="str">
        <f t="shared" si="87"/>
        <v>https://www.insee.fr/</v>
      </c>
      <c r="Y364" s="1" t="str">
        <f t="shared" si="88"/>
        <v>優先3</v>
      </c>
      <c r="Z364" s="1" t="str">
        <f t="shared" si="89"/>
        <v>The French National Institute of Statistics and Economic Studies. "T201 : Emploi en fin d'année par département et région de France (hors Mayotte), selon le statut (salarié/non salarié) et le secteur d'activité (A5)". Accessed 13 July, 2023. https://www.insee.fr/.</v>
      </c>
    </row>
    <row r="365" spans="2:26">
      <c r="B365" s="285" t="s">
        <v>950</v>
      </c>
      <c r="C365" s="285" t="s">
        <v>464</v>
      </c>
      <c r="D365" s="285" t="s">
        <v>688</v>
      </c>
      <c r="E365" s="285" t="s">
        <v>688</v>
      </c>
      <c r="F365" s="13" t="s">
        <v>949</v>
      </c>
      <c r="G365" s="13"/>
      <c r="H365" s="13"/>
      <c r="I365" s="13" t="s">
        <v>4122</v>
      </c>
      <c r="J365" s="13" t="s">
        <v>4123</v>
      </c>
      <c r="K365" s="284">
        <v>45132</v>
      </c>
      <c r="L365" s="283" t="str">
        <f t="shared" si="75"/>
        <v>-</v>
      </c>
      <c r="M365" s="283" t="str">
        <f t="shared" si="76"/>
        <v>-</v>
      </c>
      <c r="N365" s="283" t="str">
        <f t="shared" si="77"/>
        <v>-</v>
      </c>
      <c r="O365" s="283" t="str">
        <f t="shared" si="78"/>
        <v>-</v>
      </c>
      <c r="P365" s="283" t="str">
        <f t="shared" si="79"/>
        <v>-</v>
      </c>
      <c r="Q365" s="283" t="str">
        <f t="shared" si="80"/>
        <v>-</v>
      </c>
      <c r="R365" s="283" t="str">
        <f t="shared" si="81"/>
        <v>-</v>
      </c>
      <c r="S365" s="283" t="str">
        <f t="shared" si="82"/>
        <v>-</v>
      </c>
      <c r="T365" s="283" t="str">
        <f t="shared" si="83"/>
        <v>-</v>
      </c>
      <c r="U365" s="283" t="str">
        <f t="shared" si="84"/>
        <v>-</v>
      </c>
      <c r="V365" s="283" t="str">
        <f t="shared" si="85"/>
        <v>-</v>
      </c>
      <c r="W365" s="1" t="str">
        <f t="shared" si="86"/>
        <v>https://www.timeshighereducation.com/world-university-rankings/2023/world-ranking/</v>
      </c>
      <c r="X365" s="1" t="str">
        <f t="shared" si="87"/>
        <v>https://www.timeshighereducation.com/</v>
      </c>
      <c r="Y365" s="1" t="str">
        <f t="shared" si="88"/>
        <v>優先1</v>
      </c>
      <c r="Z365" s="1" t="str">
        <f t="shared" si="89"/>
        <v>Times Higher Education. "World University Rankings 2023". Accessed 25 July, 2023. https://www.timeshighereducation.com/.</v>
      </c>
    </row>
    <row r="366" spans="2:26">
      <c r="B366" s="285" t="s">
        <v>946</v>
      </c>
      <c r="C366" s="285" t="s">
        <v>464</v>
      </c>
      <c r="D366" s="285" t="s">
        <v>688</v>
      </c>
      <c r="E366" s="285" t="s">
        <v>688</v>
      </c>
      <c r="F366" s="13" t="s">
        <v>747</v>
      </c>
      <c r="G366" s="13"/>
      <c r="H366" s="13"/>
      <c r="I366" s="13" t="s">
        <v>1311</v>
      </c>
      <c r="J366" s="13" t="s">
        <v>2645</v>
      </c>
      <c r="K366" s="284">
        <v>44375</v>
      </c>
      <c r="L366" s="283" t="str">
        <f t="shared" si="75"/>
        <v>-</v>
      </c>
      <c r="M366" s="283" t="str">
        <f t="shared" si="76"/>
        <v>-</v>
      </c>
      <c r="N366" s="283" t="str">
        <f t="shared" si="77"/>
        <v>-</v>
      </c>
      <c r="O366" s="283" t="str">
        <f t="shared" si="78"/>
        <v>-</v>
      </c>
      <c r="P366" s="283" t="str">
        <f t="shared" si="79"/>
        <v>-</v>
      </c>
      <c r="Q366" s="283" t="str">
        <f t="shared" si="80"/>
        <v>-</v>
      </c>
      <c r="R366" s="283" t="str">
        <f t="shared" si="81"/>
        <v>-</v>
      </c>
      <c r="S366" s="283" t="str">
        <f t="shared" si="82"/>
        <v>-</v>
      </c>
      <c r="T366" s="283" t="str">
        <f t="shared" si="83"/>
        <v>-</v>
      </c>
      <c r="U366" s="283" t="str">
        <f t="shared" si="84"/>
        <v>-</v>
      </c>
      <c r="V366" s="283" t="str">
        <f t="shared" si="85"/>
        <v>-</v>
      </c>
      <c r="W366" s="1" t="str">
        <f t="shared" si="86"/>
        <v>https://www.oecd.org/pisa/publications/</v>
      </c>
      <c r="X366" s="1" t="str">
        <f t="shared" si="87"/>
        <v>https://www.oecd.org/</v>
      </c>
      <c r="Y366" s="1" t="str">
        <f t="shared" si="88"/>
        <v>優先1</v>
      </c>
      <c r="Z366" s="1" t="str">
        <f t="shared" si="89"/>
        <v>Organisation for Economic Co-operation and Development. "PISA 2018 Results". Accessed 28 June, 2021. https://www.oecd.org/.</v>
      </c>
    </row>
    <row r="367" spans="2:26">
      <c r="B367" s="285" t="s">
        <v>946</v>
      </c>
      <c r="C367" s="285" t="s">
        <v>464</v>
      </c>
      <c r="D367" s="285" t="s">
        <v>673</v>
      </c>
      <c r="E367" s="285" t="s">
        <v>134</v>
      </c>
      <c r="F367" s="13" t="s">
        <v>945</v>
      </c>
      <c r="G367" s="13"/>
      <c r="H367" s="13"/>
      <c r="I367" s="13" t="s">
        <v>2646</v>
      </c>
      <c r="J367" s="13" t="s">
        <v>2647</v>
      </c>
      <c r="K367" s="284">
        <v>45121</v>
      </c>
      <c r="L367" s="283">
        <f t="shared" si="75"/>
        <v>2</v>
      </c>
      <c r="M367" s="283" t="str">
        <f t="shared" si="76"/>
        <v>-</v>
      </c>
      <c r="N367" s="283" t="str">
        <f t="shared" si="77"/>
        <v>-</v>
      </c>
      <c r="O367" s="283" t="str">
        <f t="shared" si="78"/>
        <v>-</v>
      </c>
      <c r="P367" s="283" t="str">
        <f t="shared" si="79"/>
        <v>-</v>
      </c>
      <c r="Q367" s="283" t="str">
        <f t="shared" si="80"/>
        <v>-</v>
      </c>
      <c r="R367" s="283" t="str">
        <f t="shared" si="81"/>
        <v>-</v>
      </c>
      <c r="S367" s="283" t="str">
        <f t="shared" si="82"/>
        <v>-</v>
      </c>
      <c r="T367" s="283" t="str">
        <f t="shared" si="83"/>
        <v>-</v>
      </c>
      <c r="U367" s="283" t="str">
        <f t="shared" si="84"/>
        <v>-</v>
      </c>
      <c r="V367" s="283" t="str">
        <f t="shared" si="85"/>
        <v>-</v>
      </c>
      <c r="W367" s="1" t="str">
        <f t="shared" si="86"/>
        <v>https://timss2019.org/reports/achievement/</v>
      </c>
      <c r="X367" s="1" t="str">
        <f t="shared" si="87"/>
        <v>https://timss2019.org/</v>
      </c>
      <c r="Y367" s="1" t="str">
        <f t="shared" si="88"/>
        <v>優先3</v>
      </c>
      <c r="Z367" s="1" t="str">
        <f t="shared" si="89"/>
        <v>International Association for the Evaluation of Educational Achievement. "TIMSS 2019 International Results in Mathematics and Science (Grade 8)". Accessed 14 July, 2023. https://timss2019.org/.</v>
      </c>
    </row>
    <row r="368" spans="2:26">
      <c r="B368" s="285" t="s">
        <v>946</v>
      </c>
      <c r="C368" s="285" t="s">
        <v>464</v>
      </c>
      <c r="D368" s="285" t="s">
        <v>673</v>
      </c>
      <c r="E368" s="285" t="s">
        <v>138</v>
      </c>
      <c r="F368" s="13" t="s">
        <v>948</v>
      </c>
      <c r="G368" s="13"/>
      <c r="H368" s="13"/>
      <c r="I368" s="13" t="s">
        <v>947</v>
      </c>
      <c r="J368" s="13" t="s">
        <v>1312</v>
      </c>
      <c r="K368" s="284">
        <v>45121</v>
      </c>
      <c r="L368" s="283" t="str">
        <f t="shared" si="75"/>
        <v>-</v>
      </c>
      <c r="M368" s="283" t="str">
        <f t="shared" si="76"/>
        <v>-</v>
      </c>
      <c r="N368" s="283" t="str">
        <f t="shared" si="77"/>
        <v>-</v>
      </c>
      <c r="O368" s="283" t="str">
        <f t="shared" si="78"/>
        <v>-</v>
      </c>
      <c r="P368" s="283" t="str">
        <f t="shared" si="79"/>
        <v>-</v>
      </c>
      <c r="Q368" s="283" t="str">
        <f t="shared" si="80"/>
        <v>-</v>
      </c>
      <c r="R368" s="283" t="str">
        <f t="shared" si="81"/>
        <v>-</v>
      </c>
      <c r="S368" s="283" t="str">
        <f t="shared" si="82"/>
        <v>-</v>
      </c>
      <c r="T368" s="283" t="str">
        <f t="shared" si="83"/>
        <v>-</v>
      </c>
      <c r="U368" s="283" t="str">
        <f t="shared" si="84"/>
        <v>-</v>
      </c>
      <c r="V368" s="283" t="str">
        <f t="shared" si="85"/>
        <v>-</v>
      </c>
      <c r="W368" s="1" t="str">
        <f t="shared" si="86"/>
        <v>https://research.acer.edu.au/cgi/viewcontent.cgi?article=1000&amp;context=pisa/</v>
      </c>
      <c r="X368" s="1" t="str">
        <f t="shared" si="87"/>
        <v>https://research.acer.edu.au/</v>
      </c>
      <c r="Y368" s="1" t="str">
        <f t="shared" si="88"/>
        <v>優先3</v>
      </c>
      <c r="Z368" s="1" t="str">
        <f t="shared" si="89"/>
        <v>Australian Council for Educational Research. "PISA 2009 Plus Results". Accessed 14 July, 2023. https://research.acer.edu.au/.</v>
      </c>
    </row>
    <row r="369" spans="2:26">
      <c r="B369" s="285" t="s">
        <v>946</v>
      </c>
      <c r="C369" s="285" t="s">
        <v>464</v>
      </c>
      <c r="D369" s="285" t="s">
        <v>673</v>
      </c>
      <c r="E369" s="285" t="s">
        <v>184</v>
      </c>
      <c r="F369" s="13" t="s">
        <v>945</v>
      </c>
      <c r="G369" s="13"/>
      <c r="H369" s="13"/>
      <c r="I369" s="13" t="s">
        <v>2646</v>
      </c>
      <c r="J369" s="13" t="s">
        <v>2647</v>
      </c>
      <c r="K369" s="284">
        <v>45121</v>
      </c>
      <c r="L369" s="283">
        <f t="shared" si="75"/>
        <v>2</v>
      </c>
      <c r="M369" s="283" t="str">
        <f t="shared" si="76"/>
        <v>-</v>
      </c>
      <c r="N369" s="283" t="str">
        <f t="shared" si="77"/>
        <v>-</v>
      </c>
      <c r="O369" s="283" t="str">
        <f t="shared" si="78"/>
        <v>-</v>
      </c>
      <c r="P369" s="283" t="str">
        <f t="shared" si="79"/>
        <v>-</v>
      </c>
      <c r="Q369" s="283" t="str">
        <f t="shared" si="80"/>
        <v>-</v>
      </c>
      <c r="R369" s="283" t="str">
        <f t="shared" si="81"/>
        <v>-</v>
      </c>
      <c r="S369" s="283" t="str">
        <f t="shared" si="82"/>
        <v>-</v>
      </c>
      <c r="T369" s="283" t="str">
        <f t="shared" si="83"/>
        <v>-</v>
      </c>
      <c r="U369" s="283" t="str">
        <f t="shared" si="84"/>
        <v>-</v>
      </c>
      <c r="V369" s="283" t="str">
        <f t="shared" si="85"/>
        <v>-</v>
      </c>
      <c r="W369" s="1" t="str">
        <f t="shared" si="86"/>
        <v>https://timss2019.org/reports/achievement/</v>
      </c>
      <c r="X369" s="1" t="str">
        <f t="shared" si="87"/>
        <v>https://timss2019.org/</v>
      </c>
      <c r="Y369" s="1" t="str">
        <f t="shared" si="88"/>
        <v>優先3</v>
      </c>
      <c r="Z369" s="1" t="str">
        <f t="shared" si="89"/>
        <v>International Association for the Evaluation of Educational Achievement. "TIMSS 2019 International Results in Mathematics and Science (Grade 8)". Accessed 14 July, 2023. https://timss2019.org/.</v>
      </c>
    </row>
    <row r="370" spans="2:26">
      <c r="B370" s="285" t="s">
        <v>946</v>
      </c>
      <c r="C370" s="285" t="s">
        <v>464</v>
      </c>
      <c r="D370" s="285" t="s">
        <v>673</v>
      </c>
      <c r="E370" s="285" t="s">
        <v>105</v>
      </c>
      <c r="F370" s="13" t="s">
        <v>945</v>
      </c>
      <c r="G370" s="13"/>
      <c r="H370" s="13"/>
      <c r="I370" s="13" t="s">
        <v>4130</v>
      </c>
      <c r="J370" s="13" t="s">
        <v>4131</v>
      </c>
      <c r="K370" s="284">
        <v>45121</v>
      </c>
      <c r="L370" s="283">
        <f t="shared" si="75"/>
        <v>4</v>
      </c>
      <c r="M370" s="283" t="str">
        <f t="shared" si="76"/>
        <v>-</v>
      </c>
      <c r="N370" s="283" t="str">
        <f t="shared" si="77"/>
        <v>-</v>
      </c>
      <c r="O370" s="283" t="str">
        <f t="shared" si="78"/>
        <v>-</v>
      </c>
      <c r="P370" s="283" t="str">
        <f t="shared" si="79"/>
        <v>-</v>
      </c>
      <c r="Q370" s="283" t="str">
        <f t="shared" si="80"/>
        <v>-</v>
      </c>
      <c r="R370" s="283" t="str">
        <f t="shared" si="81"/>
        <v>-</v>
      </c>
      <c r="S370" s="283" t="str">
        <f t="shared" si="82"/>
        <v>-</v>
      </c>
      <c r="T370" s="283" t="str">
        <f t="shared" si="83"/>
        <v>-</v>
      </c>
      <c r="U370" s="283" t="str">
        <f t="shared" si="84"/>
        <v>-</v>
      </c>
      <c r="V370" s="283" t="str">
        <f t="shared" si="85"/>
        <v>-</v>
      </c>
      <c r="W370" s="1" t="str">
        <f t="shared" si="86"/>
        <v>https://pirls2021.org/results/achievement/</v>
      </c>
      <c r="X370" s="1" t="str">
        <f t="shared" si="87"/>
        <v>https://pirls2021.org/</v>
      </c>
      <c r="Y370" s="1" t="str">
        <f t="shared" si="88"/>
        <v>優先3</v>
      </c>
      <c r="Z370" s="1" t="str">
        <f t="shared" si="89"/>
        <v>International Association for the Evaluation of Educational Achievement. "PIRLS 2021 International Results in Reading". Accessed 14 July, 2023. https://pirls2021.org/.</v>
      </c>
    </row>
    <row r="371" spans="2:26">
      <c r="B371" s="285" t="s">
        <v>946</v>
      </c>
      <c r="C371" s="285" t="s">
        <v>464</v>
      </c>
      <c r="D371" s="285" t="s">
        <v>673</v>
      </c>
      <c r="E371" s="285" t="s">
        <v>106</v>
      </c>
      <c r="F371" s="13" t="s">
        <v>945</v>
      </c>
      <c r="G371" s="13"/>
      <c r="H371" s="13"/>
      <c r="I371" s="13" t="s">
        <v>4130</v>
      </c>
      <c r="J371" s="13" t="s">
        <v>4131</v>
      </c>
      <c r="K371" s="284">
        <v>45121</v>
      </c>
      <c r="L371" s="283">
        <f t="shared" si="75"/>
        <v>4</v>
      </c>
      <c r="M371" s="283" t="str">
        <f t="shared" si="76"/>
        <v>-</v>
      </c>
      <c r="N371" s="283" t="str">
        <f t="shared" si="77"/>
        <v>-</v>
      </c>
      <c r="O371" s="283" t="str">
        <f t="shared" si="78"/>
        <v>-</v>
      </c>
      <c r="P371" s="283" t="str">
        <f t="shared" si="79"/>
        <v>-</v>
      </c>
      <c r="Q371" s="283" t="str">
        <f t="shared" si="80"/>
        <v>-</v>
      </c>
      <c r="R371" s="283" t="str">
        <f t="shared" si="81"/>
        <v>-</v>
      </c>
      <c r="S371" s="283" t="str">
        <f t="shared" si="82"/>
        <v>-</v>
      </c>
      <c r="T371" s="283" t="str">
        <f t="shared" si="83"/>
        <v>-</v>
      </c>
      <c r="U371" s="283" t="str">
        <f t="shared" si="84"/>
        <v>-</v>
      </c>
      <c r="V371" s="283" t="str">
        <f t="shared" si="85"/>
        <v>-</v>
      </c>
      <c r="W371" s="1" t="str">
        <f t="shared" si="86"/>
        <v>https://pirls2021.org/results/achievement/</v>
      </c>
      <c r="X371" s="1" t="str">
        <f t="shared" si="87"/>
        <v>https://pirls2021.org/</v>
      </c>
      <c r="Y371" s="1" t="str">
        <f t="shared" si="88"/>
        <v>優先3</v>
      </c>
      <c r="Z371" s="1" t="str">
        <f t="shared" si="89"/>
        <v>International Association for the Evaluation of Educational Achievement. "PIRLS 2021 International Results in Reading". Accessed 14 July, 2023. https://pirls2021.org/.</v>
      </c>
    </row>
    <row r="372" spans="2:26">
      <c r="B372" s="285" t="s">
        <v>946</v>
      </c>
      <c r="C372" s="285" t="s">
        <v>464</v>
      </c>
      <c r="D372" s="285" t="s">
        <v>673</v>
      </c>
      <c r="E372" s="285" t="s">
        <v>134</v>
      </c>
      <c r="F372" s="13" t="s">
        <v>945</v>
      </c>
      <c r="G372" s="13"/>
      <c r="H372" s="13"/>
      <c r="I372" s="13" t="s">
        <v>4130</v>
      </c>
      <c r="J372" s="13" t="s">
        <v>4131</v>
      </c>
      <c r="K372" s="284">
        <v>45121</v>
      </c>
      <c r="L372" s="283">
        <f t="shared" si="75"/>
        <v>4</v>
      </c>
      <c r="M372" s="283" t="str">
        <f t="shared" si="76"/>
        <v>-</v>
      </c>
      <c r="N372" s="283" t="str">
        <f t="shared" si="77"/>
        <v>-</v>
      </c>
      <c r="O372" s="283" t="str">
        <f t="shared" si="78"/>
        <v>-</v>
      </c>
      <c r="P372" s="283" t="str">
        <f t="shared" si="79"/>
        <v>-</v>
      </c>
      <c r="Q372" s="283" t="str">
        <f t="shared" si="80"/>
        <v>-</v>
      </c>
      <c r="R372" s="283" t="str">
        <f t="shared" si="81"/>
        <v>-</v>
      </c>
      <c r="S372" s="283" t="str">
        <f t="shared" si="82"/>
        <v>-</v>
      </c>
      <c r="T372" s="283" t="str">
        <f t="shared" si="83"/>
        <v>-</v>
      </c>
      <c r="U372" s="283" t="str">
        <f t="shared" si="84"/>
        <v>-</v>
      </c>
      <c r="V372" s="283" t="str">
        <f t="shared" si="85"/>
        <v>-</v>
      </c>
      <c r="W372" s="1" t="str">
        <f t="shared" si="86"/>
        <v>https://pirls2021.org/results/achievement/</v>
      </c>
      <c r="X372" s="1" t="str">
        <f t="shared" si="87"/>
        <v>https://pirls2021.org/</v>
      </c>
      <c r="Y372" s="1" t="str">
        <f t="shared" si="88"/>
        <v>優先3</v>
      </c>
      <c r="Z372" s="1" t="str">
        <f t="shared" si="89"/>
        <v>International Association for the Evaluation of Educational Achievement. "PIRLS 2021 International Results in Reading". Accessed 14 July, 2023. https://pirls2021.org/.</v>
      </c>
    </row>
    <row r="373" spans="2:26">
      <c r="B373" s="285" t="s">
        <v>946</v>
      </c>
      <c r="C373" s="285" t="s">
        <v>464</v>
      </c>
      <c r="D373" s="285" t="s">
        <v>673</v>
      </c>
      <c r="E373" s="285" t="s">
        <v>184</v>
      </c>
      <c r="F373" s="13" t="s">
        <v>945</v>
      </c>
      <c r="G373" s="13"/>
      <c r="H373" s="13"/>
      <c r="I373" s="13" t="s">
        <v>4130</v>
      </c>
      <c r="J373" s="13" t="s">
        <v>4131</v>
      </c>
      <c r="K373" s="284">
        <v>45121</v>
      </c>
      <c r="L373" s="283">
        <f t="shared" si="75"/>
        <v>4</v>
      </c>
      <c r="M373" s="283" t="str">
        <f t="shared" si="76"/>
        <v>-</v>
      </c>
      <c r="N373" s="283" t="str">
        <f t="shared" si="77"/>
        <v>-</v>
      </c>
      <c r="O373" s="283" t="str">
        <f t="shared" si="78"/>
        <v>-</v>
      </c>
      <c r="P373" s="283" t="str">
        <f t="shared" si="79"/>
        <v>-</v>
      </c>
      <c r="Q373" s="283" t="str">
        <f t="shared" si="80"/>
        <v>-</v>
      </c>
      <c r="R373" s="283" t="str">
        <f t="shared" si="81"/>
        <v>-</v>
      </c>
      <c r="S373" s="283" t="str">
        <f t="shared" si="82"/>
        <v>-</v>
      </c>
      <c r="T373" s="283" t="str">
        <f t="shared" si="83"/>
        <v>-</v>
      </c>
      <c r="U373" s="283" t="str">
        <f t="shared" si="84"/>
        <v>-</v>
      </c>
      <c r="V373" s="283" t="str">
        <f t="shared" si="85"/>
        <v>-</v>
      </c>
      <c r="W373" s="1" t="str">
        <f t="shared" si="86"/>
        <v>https://pirls2021.org/results/achievement/</v>
      </c>
      <c r="X373" s="1" t="str">
        <f t="shared" si="87"/>
        <v>https://pirls2021.org/</v>
      </c>
      <c r="Y373" s="1" t="str">
        <f t="shared" si="88"/>
        <v>優先3</v>
      </c>
      <c r="Z373" s="1" t="str">
        <f t="shared" si="89"/>
        <v>International Association for the Evaluation of Educational Achievement. "PIRLS 2021 International Results in Reading". Accessed 14 July, 2023. https://pirls2021.org/.</v>
      </c>
    </row>
    <row r="374" spans="2:26">
      <c r="B374" s="285" t="s">
        <v>942</v>
      </c>
      <c r="C374" s="285" t="s">
        <v>464</v>
      </c>
      <c r="D374" s="285" t="s">
        <v>688</v>
      </c>
      <c r="E374" s="285" t="s">
        <v>688</v>
      </c>
      <c r="F374" s="13" t="s">
        <v>944</v>
      </c>
      <c r="G374" s="13"/>
      <c r="H374" s="13"/>
      <c r="I374" s="13" t="s">
        <v>943</v>
      </c>
      <c r="J374" s="13" t="s">
        <v>3706</v>
      </c>
      <c r="K374" s="284">
        <v>45082</v>
      </c>
      <c r="L374" s="283" t="str">
        <f t="shared" si="75"/>
        <v>-</v>
      </c>
      <c r="M374" s="283" t="str">
        <f t="shared" si="76"/>
        <v>-</v>
      </c>
      <c r="N374" s="283" t="str">
        <f t="shared" si="77"/>
        <v>-</v>
      </c>
      <c r="O374" s="283" t="str">
        <f t="shared" si="78"/>
        <v>-</v>
      </c>
      <c r="P374" s="283" t="str">
        <f t="shared" si="79"/>
        <v>-</v>
      </c>
      <c r="Q374" s="283" t="str">
        <f t="shared" si="80"/>
        <v>-</v>
      </c>
      <c r="R374" s="283" t="str">
        <f t="shared" si="81"/>
        <v>-</v>
      </c>
      <c r="S374" s="283" t="str">
        <f t="shared" si="82"/>
        <v>-</v>
      </c>
      <c r="T374" s="283" t="str">
        <f t="shared" si="83"/>
        <v>-</v>
      </c>
      <c r="U374" s="283" t="str">
        <f t="shared" si="84"/>
        <v>-</v>
      </c>
      <c r="V374" s="283" t="str">
        <f t="shared" si="85"/>
        <v>-</v>
      </c>
      <c r="W374" s="1" t="str">
        <f t="shared" si="86"/>
        <v>https://www3.wipo.int/ipstats/index.htm?tab=patent/</v>
      </c>
      <c r="X374" s="1" t="str">
        <f t="shared" si="87"/>
        <v>https://www3.wipo.int/</v>
      </c>
      <c r="Y374" s="1" t="str">
        <f t="shared" si="88"/>
        <v>優先1</v>
      </c>
      <c r="Z374" s="1" t="str">
        <f t="shared" si="89"/>
        <v>World Intellectual Property Organization. "WIPO Intellectual Property Statistics Data Center". Accessed 05 June, 2023. https://www3.wipo.int/.</v>
      </c>
    </row>
    <row r="375" spans="2:26">
      <c r="B375" s="285" t="s">
        <v>942</v>
      </c>
      <c r="C375" s="285" t="s">
        <v>464</v>
      </c>
      <c r="D375" s="285" t="s">
        <v>673</v>
      </c>
      <c r="E375" s="285" t="s">
        <v>152</v>
      </c>
      <c r="F375" s="13" t="s">
        <v>1313</v>
      </c>
      <c r="G375" s="13" t="s">
        <v>1314</v>
      </c>
      <c r="H375" s="13" t="s">
        <v>1315</v>
      </c>
      <c r="I375" s="13" t="s">
        <v>941</v>
      </c>
      <c r="J375" s="13" t="s">
        <v>1316</v>
      </c>
      <c r="K375" s="284">
        <v>45082</v>
      </c>
      <c r="L375" s="283" t="str">
        <f t="shared" si="75"/>
        <v>-</v>
      </c>
      <c r="M375" s="283" t="str">
        <f t="shared" si="76"/>
        <v>-</v>
      </c>
      <c r="N375" s="283" t="str">
        <f t="shared" si="77"/>
        <v>-</v>
      </c>
      <c r="O375" s="283" t="str">
        <f t="shared" si="78"/>
        <v>-</v>
      </c>
      <c r="P375" s="283" t="str">
        <f t="shared" si="79"/>
        <v>-</v>
      </c>
      <c r="Q375" s="283" t="str">
        <f t="shared" si="80"/>
        <v>-</v>
      </c>
      <c r="R375" s="283" t="str">
        <f t="shared" si="81"/>
        <v>-</v>
      </c>
      <c r="S375" s="283" t="str">
        <f t="shared" si="82"/>
        <v>-</v>
      </c>
      <c r="T375" s="283" t="str">
        <f t="shared" si="83"/>
        <v>-</v>
      </c>
      <c r="U375" s="283" t="str">
        <f t="shared" si="84"/>
        <v>-</v>
      </c>
      <c r="V375" s="283" t="str">
        <f t="shared" si="85"/>
        <v>-</v>
      </c>
      <c r="W375" s="1" t="str">
        <f t="shared" si="86"/>
        <v>https://www.tipo.gov.tw/en/lp-303-2.html/</v>
      </c>
      <c r="X375" s="1" t="str">
        <f t="shared" si="87"/>
        <v>https://www.tipo.gov.tw/</v>
      </c>
      <c r="Y375" s="1" t="str">
        <f t="shared" si="88"/>
        <v>優先3</v>
      </c>
      <c r="Z375" s="1" t="str">
        <f t="shared" si="89"/>
        <v>Intellectual Property Office, Ministry of Economic Affairs, Republic of China [經濟部智慧財產局]. "Annual Statistics". Accessed 05 June, 2023. https://www.tipo.gov.tw/.</v>
      </c>
    </row>
    <row r="376" spans="2:26">
      <c r="B376" s="285" t="s">
        <v>942</v>
      </c>
      <c r="C376" s="285" t="s">
        <v>784</v>
      </c>
      <c r="D376" s="285" t="s">
        <v>673</v>
      </c>
      <c r="E376" s="285" t="s">
        <v>166</v>
      </c>
      <c r="F376" s="13" t="s">
        <v>1162</v>
      </c>
      <c r="G376" s="13" t="s">
        <v>1163</v>
      </c>
      <c r="H376" s="13"/>
      <c r="I376" s="13" t="s">
        <v>954</v>
      </c>
      <c r="J376" s="13" t="s">
        <v>1165</v>
      </c>
      <c r="K376" s="284">
        <v>45082</v>
      </c>
      <c r="L376" s="283">
        <f t="shared" si="75"/>
        <v>6</v>
      </c>
      <c r="M376" s="283" t="str">
        <f t="shared" si="76"/>
        <v>-</v>
      </c>
      <c r="N376" s="283" t="str">
        <f t="shared" si="77"/>
        <v>-</v>
      </c>
      <c r="O376" s="283" t="str">
        <f t="shared" si="78"/>
        <v>-</v>
      </c>
      <c r="P376" s="283" t="str">
        <f t="shared" si="79"/>
        <v>-</v>
      </c>
      <c r="Q376" s="283" t="str">
        <f t="shared" si="80"/>
        <v>-</v>
      </c>
      <c r="R376" s="283" t="str">
        <f t="shared" si="81"/>
        <v>-</v>
      </c>
      <c r="S376" s="283" t="str">
        <f t="shared" si="82"/>
        <v>-</v>
      </c>
      <c r="T376" s="283" t="str">
        <f t="shared" si="83"/>
        <v>-</v>
      </c>
      <c r="U376" s="283" t="str">
        <f t="shared" si="84"/>
        <v>-</v>
      </c>
      <c r="V376" s="283" t="str">
        <f t="shared" si="85"/>
        <v>-</v>
      </c>
      <c r="W376" s="1" t="str">
        <f t="shared" si="86"/>
        <v>https://apps.bea.gov/itable/iTable.cfm?ReqID=70&amp;step=1/</v>
      </c>
      <c r="X376" s="1" t="str">
        <f t="shared" si="87"/>
        <v>https://apps.bea.gov/</v>
      </c>
      <c r="Y376" s="1" t="str">
        <f t="shared" si="88"/>
        <v>優先3</v>
      </c>
      <c r="Z376" s="1" t="str">
        <f t="shared" si="89"/>
        <v>The U.S. Bureau of Economic Analysis, The United States government. "CAEMP25N Total Full-Time and Part-Time Employment by NAICS Industry 1/". Accessed 05 June, 2023. https://apps.bea.gov/.</v>
      </c>
    </row>
    <row r="377" spans="2:26">
      <c r="B377" s="285" t="s">
        <v>942</v>
      </c>
      <c r="C377" s="285" t="s">
        <v>784</v>
      </c>
      <c r="D377" s="285" t="s">
        <v>673</v>
      </c>
      <c r="E377" s="285" t="s">
        <v>168</v>
      </c>
      <c r="F377" s="13" t="s">
        <v>1162</v>
      </c>
      <c r="G377" s="13" t="s">
        <v>1163</v>
      </c>
      <c r="H377" s="13"/>
      <c r="I377" s="13" t="s">
        <v>954</v>
      </c>
      <c r="J377" s="13" t="s">
        <v>1165</v>
      </c>
      <c r="K377" s="284">
        <v>45082</v>
      </c>
      <c r="L377" s="283">
        <f t="shared" si="75"/>
        <v>6</v>
      </c>
      <c r="M377" s="283" t="str">
        <f t="shared" si="76"/>
        <v>-</v>
      </c>
      <c r="N377" s="283" t="str">
        <f t="shared" si="77"/>
        <v>-</v>
      </c>
      <c r="O377" s="283" t="str">
        <f t="shared" si="78"/>
        <v>-</v>
      </c>
      <c r="P377" s="283" t="str">
        <f t="shared" si="79"/>
        <v>-</v>
      </c>
      <c r="Q377" s="283" t="str">
        <f t="shared" si="80"/>
        <v>-</v>
      </c>
      <c r="R377" s="283" t="str">
        <f t="shared" si="81"/>
        <v>-</v>
      </c>
      <c r="S377" s="283" t="str">
        <f t="shared" si="82"/>
        <v>-</v>
      </c>
      <c r="T377" s="283" t="str">
        <f t="shared" si="83"/>
        <v>-</v>
      </c>
      <c r="U377" s="283" t="str">
        <f t="shared" si="84"/>
        <v>-</v>
      </c>
      <c r="V377" s="283" t="str">
        <f t="shared" si="85"/>
        <v>-</v>
      </c>
      <c r="W377" s="1" t="str">
        <f t="shared" si="86"/>
        <v>https://apps.bea.gov/itable/iTable.cfm?ReqID=70&amp;step=1/</v>
      </c>
      <c r="X377" s="1" t="str">
        <f t="shared" si="87"/>
        <v>https://apps.bea.gov/</v>
      </c>
      <c r="Y377" s="1" t="str">
        <f t="shared" si="88"/>
        <v>優先3</v>
      </c>
      <c r="Z377" s="1" t="str">
        <f t="shared" si="89"/>
        <v>The U.S. Bureau of Economic Analysis, The United States government. "CAEMP25N Total Full-Time and Part-Time Employment by NAICS Industry 1/". Accessed 05 June, 2023. https://apps.bea.gov/.</v>
      </c>
    </row>
    <row r="378" spans="2:26">
      <c r="B378" s="285" t="s">
        <v>942</v>
      </c>
      <c r="C378" s="285" t="s">
        <v>784</v>
      </c>
      <c r="D378" s="285" t="s">
        <v>673</v>
      </c>
      <c r="E378" s="285" t="s">
        <v>172</v>
      </c>
      <c r="F378" s="13" t="s">
        <v>1162</v>
      </c>
      <c r="G378" s="13" t="s">
        <v>1163</v>
      </c>
      <c r="H378" s="13"/>
      <c r="I378" s="13" t="s">
        <v>954</v>
      </c>
      <c r="J378" s="13" t="s">
        <v>1165</v>
      </c>
      <c r="K378" s="284">
        <v>45082</v>
      </c>
      <c r="L378" s="283">
        <f t="shared" si="75"/>
        <v>6</v>
      </c>
      <c r="M378" s="283" t="str">
        <f t="shared" si="76"/>
        <v>-</v>
      </c>
      <c r="N378" s="283" t="str">
        <f t="shared" si="77"/>
        <v>-</v>
      </c>
      <c r="O378" s="283" t="str">
        <f t="shared" si="78"/>
        <v>-</v>
      </c>
      <c r="P378" s="283" t="str">
        <f t="shared" si="79"/>
        <v>-</v>
      </c>
      <c r="Q378" s="283" t="str">
        <f t="shared" si="80"/>
        <v>-</v>
      </c>
      <c r="R378" s="283" t="str">
        <f t="shared" si="81"/>
        <v>-</v>
      </c>
      <c r="S378" s="283" t="str">
        <f t="shared" si="82"/>
        <v>-</v>
      </c>
      <c r="T378" s="283" t="str">
        <f t="shared" si="83"/>
        <v>-</v>
      </c>
      <c r="U378" s="283" t="str">
        <f t="shared" si="84"/>
        <v>-</v>
      </c>
      <c r="V378" s="283" t="str">
        <f t="shared" si="85"/>
        <v>-</v>
      </c>
      <c r="W378" s="1" t="str">
        <f t="shared" si="86"/>
        <v>https://apps.bea.gov/itable/iTable.cfm?ReqID=70&amp;step=1/</v>
      </c>
      <c r="X378" s="1" t="str">
        <f t="shared" si="87"/>
        <v>https://apps.bea.gov/</v>
      </c>
      <c r="Y378" s="1" t="str">
        <f t="shared" si="88"/>
        <v>優先3</v>
      </c>
      <c r="Z378" s="1" t="str">
        <f t="shared" si="89"/>
        <v>The U.S. Bureau of Economic Analysis, The United States government. "CAEMP25N Total Full-Time and Part-Time Employment by NAICS Industry 1/". Accessed 05 June, 2023. https://apps.bea.gov/.</v>
      </c>
    </row>
    <row r="379" spans="2:26">
      <c r="B379" s="285" t="s">
        <v>942</v>
      </c>
      <c r="C379" s="285" t="s">
        <v>784</v>
      </c>
      <c r="D379" s="285" t="s">
        <v>673</v>
      </c>
      <c r="E379" s="285" t="s">
        <v>373</v>
      </c>
      <c r="F379" s="13" t="s">
        <v>1162</v>
      </c>
      <c r="G379" s="13" t="s">
        <v>1163</v>
      </c>
      <c r="H379" s="13"/>
      <c r="I379" s="13" t="s">
        <v>954</v>
      </c>
      <c r="J379" s="13" t="s">
        <v>1165</v>
      </c>
      <c r="K379" s="284">
        <v>45082</v>
      </c>
      <c r="L379" s="283">
        <f t="shared" si="75"/>
        <v>6</v>
      </c>
      <c r="M379" s="283" t="str">
        <f t="shared" si="76"/>
        <v>-</v>
      </c>
      <c r="N379" s="283" t="str">
        <f t="shared" si="77"/>
        <v>-</v>
      </c>
      <c r="O379" s="283" t="str">
        <f t="shared" si="78"/>
        <v>-</v>
      </c>
      <c r="P379" s="283" t="str">
        <f t="shared" si="79"/>
        <v>-</v>
      </c>
      <c r="Q379" s="283" t="str">
        <f t="shared" si="80"/>
        <v>-</v>
      </c>
      <c r="R379" s="283" t="str">
        <f t="shared" si="81"/>
        <v>-</v>
      </c>
      <c r="S379" s="283" t="str">
        <f t="shared" si="82"/>
        <v>-</v>
      </c>
      <c r="T379" s="283" t="str">
        <f t="shared" si="83"/>
        <v>-</v>
      </c>
      <c r="U379" s="283" t="str">
        <f t="shared" si="84"/>
        <v>-</v>
      </c>
      <c r="V379" s="283" t="str">
        <f t="shared" si="85"/>
        <v>-</v>
      </c>
      <c r="W379" s="1" t="str">
        <f t="shared" si="86"/>
        <v>https://apps.bea.gov/itable/iTable.cfm?ReqID=70&amp;step=1/</v>
      </c>
      <c r="X379" s="1" t="str">
        <f t="shared" si="87"/>
        <v>https://apps.bea.gov/</v>
      </c>
      <c r="Y379" s="1" t="str">
        <f t="shared" si="88"/>
        <v>優先3</v>
      </c>
      <c r="Z379" s="1" t="str">
        <f t="shared" si="89"/>
        <v>The U.S. Bureau of Economic Analysis, The United States government. "CAEMP25N Total Full-Time and Part-Time Employment by NAICS Industry 1/". Accessed 05 June, 2023. https://apps.bea.gov/.</v>
      </c>
    </row>
    <row r="380" spans="2:26">
      <c r="B380" s="285" t="s">
        <v>942</v>
      </c>
      <c r="C380" s="285" t="s">
        <v>784</v>
      </c>
      <c r="D380" s="285" t="s">
        <v>673</v>
      </c>
      <c r="E380" s="285" t="s">
        <v>178</v>
      </c>
      <c r="F380" s="13" t="s">
        <v>1162</v>
      </c>
      <c r="G380" s="13" t="s">
        <v>1163</v>
      </c>
      <c r="H380" s="13"/>
      <c r="I380" s="13" t="s">
        <v>954</v>
      </c>
      <c r="J380" s="13" t="s">
        <v>1165</v>
      </c>
      <c r="K380" s="284">
        <v>45082</v>
      </c>
      <c r="L380" s="283">
        <f t="shared" si="75"/>
        <v>6</v>
      </c>
      <c r="M380" s="283" t="str">
        <f t="shared" si="76"/>
        <v>-</v>
      </c>
      <c r="N380" s="283" t="str">
        <f t="shared" si="77"/>
        <v>-</v>
      </c>
      <c r="O380" s="283" t="str">
        <f t="shared" si="78"/>
        <v>-</v>
      </c>
      <c r="P380" s="283" t="str">
        <f t="shared" si="79"/>
        <v>-</v>
      </c>
      <c r="Q380" s="283" t="str">
        <f t="shared" si="80"/>
        <v>-</v>
      </c>
      <c r="R380" s="283" t="str">
        <f t="shared" si="81"/>
        <v>-</v>
      </c>
      <c r="S380" s="283" t="str">
        <f t="shared" si="82"/>
        <v>-</v>
      </c>
      <c r="T380" s="283" t="str">
        <f t="shared" si="83"/>
        <v>-</v>
      </c>
      <c r="U380" s="283" t="str">
        <f t="shared" si="84"/>
        <v>-</v>
      </c>
      <c r="V380" s="283" t="str">
        <f t="shared" si="85"/>
        <v>-</v>
      </c>
      <c r="W380" s="1" t="str">
        <f t="shared" si="86"/>
        <v>https://apps.bea.gov/itable/iTable.cfm?ReqID=70&amp;step=1/</v>
      </c>
      <c r="X380" s="1" t="str">
        <f t="shared" si="87"/>
        <v>https://apps.bea.gov/</v>
      </c>
      <c r="Y380" s="1" t="str">
        <f t="shared" si="88"/>
        <v>優先3</v>
      </c>
      <c r="Z380" s="1" t="str">
        <f t="shared" si="89"/>
        <v>The U.S. Bureau of Economic Analysis, The United States government. "CAEMP25N Total Full-Time and Part-Time Employment by NAICS Industry 1/". Accessed 05 June, 2023. https://apps.bea.gov/.</v>
      </c>
    </row>
    <row r="381" spans="2:26">
      <c r="B381" s="285" t="s">
        <v>942</v>
      </c>
      <c r="C381" s="285" t="s">
        <v>784</v>
      </c>
      <c r="D381" s="285" t="s">
        <v>673</v>
      </c>
      <c r="E381" s="285" t="s">
        <v>180</v>
      </c>
      <c r="F381" s="13" t="s">
        <v>1162</v>
      </c>
      <c r="G381" s="13" t="s">
        <v>1163</v>
      </c>
      <c r="H381" s="13"/>
      <c r="I381" s="13" t="s">
        <v>954</v>
      </c>
      <c r="J381" s="13" t="s">
        <v>1165</v>
      </c>
      <c r="K381" s="284">
        <v>45082</v>
      </c>
      <c r="L381" s="283">
        <f t="shared" si="75"/>
        <v>6</v>
      </c>
      <c r="M381" s="283" t="str">
        <f t="shared" si="76"/>
        <v>-</v>
      </c>
      <c r="N381" s="283" t="str">
        <f t="shared" si="77"/>
        <v>-</v>
      </c>
      <c r="O381" s="283" t="str">
        <f t="shared" si="78"/>
        <v>-</v>
      </c>
      <c r="P381" s="283" t="str">
        <f t="shared" si="79"/>
        <v>-</v>
      </c>
      <c r="Q381" s="283" t="str">
        <f t="shared" si="80"/>
        <v>-</v>
      </c>
      <c r="R381" s="283" t="str">
        <f t="shared" si="81"/>
        <v>-</v>
      </c>
      <c r="S381" s="283" t="str">
        <f t="shared" si="82"/>
        <v>-</v>
      </c>
      <c r="T381" s="283" t="str">
        <f t="shared" si="83"/>
        <v>-</v>
      </c>
      <c r="U381" s="283" t="str">
        <f t="shared" si="84"/>
        <v>-</v>
      </c>
      <c r="V381" s="283" t="str">
        <f t="shared" si="85"/>
        <v>-</v>
      </c>
      <c r="W381" s="1" t="str">
        <f t="shared" si="86"/>
        <v>https://apps.bea.gov/itable/iTable.cfm?ReqID=70&amp;step=1/</v>
      </c>
      <c r="X381" s="1" t="str">
        <f t="shared" si="87"/>
        <v>https://apps.bea.gov/</v>
      </c>
      <c r="Y381" s="1" t="str">
        <f t="shared" si="88"/>
        <v>優先3</v>
      </c>
      <c r="Z381" s="1" t="str">
        <f t="shared" si="89"/>
        <v>The U.S. Bureau of Economic Analysis, The United States government. "CAEMP25N Total Full-Time and Part-Time Employment by NAICS Industry 1/". Accessed 05 June, 2023. https://apps.bea.gov/.</v>
      </c>
    </row>
    <row r="382" spans="2:26">
      <c r="B382" s="285" t="s">
        <v>1035</v>
      </c>
      <c r="C382" s="285" t="s">
        <v>464</v>
      </c>
      <c r="D382" s="285" t="s">
        <v>688</v>
      </c>
      <c r="E382" s="285" t="s">
        <v>688</v>
      </c>
      <c r="F382" s="13" t="s">
        <v>1031</v>
      </c>
      <c r="G382" s="13"/>
      <c r="H382" s="13"/>
      <c r="I382" s="13"/>
      <c r="J382" s="13"/>
      <c r="K382" s="284"/>
      <c r="L382" s="283" t="str">
        <f t="shared" si="75"/>
        <v>-</v>
      </c>
      <c r="M382" s="283" t="str">
        <f t="shared" si="76"/>
        <v>書籍</v>
      </c>
      <c r="N382" s="283" t="str">
        <f t="shared" si="77"/>
        <v>-</v>
      </c>
      <c r="O382" s="283" t="str">
        <f t="shared" si="78"/>
        <v>-</v>
      </c>
      <c r="P382" s="283" t="str">
        <f t="shared" si="79"/>
        <v>-</v>
      </c>
      <c r="Q382" s="283" t="str">
        <f t="shared" si="80"/>
        <v>-</v>
      </c>
      <c r="R382" s="283" t="str">
        <f t="shared" si="81"/>
        <v>-</v>
      </c>
      <c r="S382" s="283" t="str">
        <f t="shared" si="82"/>
        <v>-</v>
      </c>
      <c r="T382" s="283" t="str">
        <f t="shared" si="83"/>
        <v>-</v>
      </c>
      <c r="U382" s="283" t="str">
        <f t="shared" si="84"/>
        <v>-</v>
      </c>
      <c r="V382" s="283" t="str">
        <f t="shared" si="85"/>
        <v>-</v>
      </c>
      <c r="W382" s="1" t="str">
        <f t="shared" si="86"/>
        <v/>
      </c>
      <c r="X382" s="1" t="str">
        <f t="shared" si="87"/>
        <v/>
      </c>
      <c r="Y382" s="1" t="str">
        <f t="shared" si="88"/>
        <v>優先1</v>
      </c>
      <c r="Z382" s="1" t="str">
        <f t="shared" si="89"/>
        <v>Source特殊</v>
      </c>
    </row>
    <row r="383" spans="2:26">
      <c r="B383" s="285" t="s">
        <v>938</v>
      </c>
      <c r="C383" s="285" t="s">
        <v>464</v>
      </c>
      <c r="D383" s="285" t="s">
        <v>688</v>
      </c>
      <c r="E383" s="285" t="s">
        <v>688</v>
      </c>
      <c r="F383" s="13" t="s">
        <v>940</v>
      </c>
      <c r="G383" s="13"/>
      <c r="H383" s="13"/>
      <c r="I383" s="13" t="s">
        <v>939</v>
      </c>
      <c r="J383" s="13" t="s">
        <v>2648</v>
      </c>
      <c r="K383" s="284">
        <v>45075</v>
      </c>
      <c r="L383" s="283" t="str">
        <f t="shared" si="75"/>
        <v>-</v>
      </c>
      <c r="M383" s="283" t="str">
        <f t="shared" si="76"/>
        <v>-</v>
      </c>
      <c r="N383" s="283" t="str">
        <f t="shared" si="77"/>
        <v>-</v>
      </c>
      <c r="O383" s="283" t="str">
        <f t="shared" si="78"/>
        <v>-</v>
      </c>
      <c r="P383" s="283" t="str">
        <f t="shared" si="79"/>
        <v>-</v>
      </c>
      <c r="Q383" s="283" t="str">
        <f t="shared" si="80"/>
        <v>-</v>
      </c>
      <c r="R383" s="283" t="str">
        <f t="shared" si="81"/>
        <v>-</v>
      </c>
      <c r="S383" s="283" t="str">
        <f t="shared" si="82"/>
        <v>-</v>
      </c>
      <c r="T383" s="283" t="str">
        <f t="shared" si="83"/>
        <v>-</v>
      </c>
      <c r="U383" s="283" t="str">
        <f t="shared" si="84"/>
        <v>-</v>
      </c>
      <c r="V383" s="283" t="str">
        <f t="shared" si="85"/>
        <v>-</v>
      </c>
      <c r="W383" s="1" t="str">
        <f t="shared" si="86"/>
        <v>https://www.crunchbase.com/search/organization.companies/</v>
      </c>
      <c r="X383" s="1" t="str">
        <f t="shared" si="87"/>
        <v>https://www.crunchbase.com/</v>
      </c>
      <c r="Y383" s="1" t="str">
        <f t="shared" si="88"/>
        <v>優先1</v>
      </c>
      <c r="Z383" s="1" t="str">
        <f t="shared" si="89"/>
        <v>Crunchbase. "Companies | Crunchbase". Accessed 29 May, 2023. https://www.crunchbase.com/.</v>
      </c>
    </row>
    <row r="384" spans="2:26">
      <c r="B384" s="285" t="s">
        <v>1034</v>
      </c>
      <c r="C384" s="285" t="s">
        <v>464</v>
      </c>
      <c r="D384" s="285" t="s">
        <v>688</v>
      </c>
      <c r="E384" s="285" t="s">
        <v>688</v>
      </c>
      <c r="F384" s="13" t="s">
        <v>4132</v>
      </c>
      <c r="G384" s="13"/>
      <c r="H384" s="13"/>
      <c r="I384" s="13"/>
      <c r="J384" s="13"/>
      <c r="K384" s="284">
        <v>45161</v>
      </c>
      <c r="L384" s="283" t="str">
        <f t="shared" si="75"/>
        <v>-</v>
      </c>
      <c r="M384" s="283" t="str">
        <f t="shared" si="76"/>
        <v>書籍</v>
      </c>
      <c r="N384" s="283" t="str">
        <f t="shared" si="77"/>
        <v>NG</v>
      </c>
      <c r="O384" s="283" t="str">
        <f t="shared" si="78"/>
        <v>-</v>
      </c>
      <c r="P384" s="283" t="str">
        <f t="shared" si="79"/>
        <v>-</v>
      </c>
      <c r="Q384" s="283" t="str">
        <f t="shared" si="80"/>
        <v>-</v>
      </c>
      <c r="R384" s="283" t="str">
        <f t="shared" si="81"/>
        <v>-</v>
      </c>
      <c r="S384" s="283" t="str">
        <f t="shared" si="82"/>
        <v>-</v>
      </c>
      <c r="T384" s="283" t="str">
        <f t="shared" si="83"/>
        <v>-</v>
      </c>
      <c r="U384" s="283" t="str">
        <f t="shared" si="84"/>
        <v>-</v>
      </c>
      <c r="V384" s="283" t="str">
        <f t="shared" si="85"/>
        <v>-</v>
      </c>
      <c r="W384" s="1" t="str">
        <f t="shared" si="86"/>
        <v/>
      </c>
      <c r="X384" s="1" t="str">
        <f t="shared" si="87"/>
        <v/>
      </c>
      <c r="Y384" s="1" t="str">
        <f t="shared" si="88"/>
        <v>優先1</v>
      </c>
      <c r="Z384" s="1" t="str">
        <f t="shared" si="89"/>
        <v>Union of International Associations (UIA)</v>
      </c>
    </row>
    <row r="385" spans="2:26">
      <c r="B385" s="285" t="s">
        <v>931</v>
      </c>
      <c r="C385" s="285" t="s">
        <v>698</v>
      </c>
      <c r="D385" s="285" t="s">
        <v>688</v>
      </c>
      <c r="E385" s="285" t="s">
        <v>688</v>
      </c>
      <c r="F385" s="13" t="s">
        <v>937</v>
      </c>
      <c r="G385" s="13"/>
      <c r="H385" s="13"/>
      <c r="I385" s="13" t="s">
        <v>936</v>
      </c>
      <c r="J385" s="13" t="s">
        <v>1317</v>
      </c>
      <c r="K385" s="284">
        <v>45118</v>
      </c>
      <c r="L385" s="283" t="str">
        <f t="shared" si="75"/>
        <v>-</v>
      </c>
      <c r="M385" s="283" t="str">
        <f t="shared" si="76"/>
        <v>-</v>
      </c>
      <c r="N385" s="283" t="str">
        <f t="shared" si="77"/>
        <v>-</v>
      </c>
      <c r="O385" s="283" t="str">
        <f t="shared" si="78"/>
        <v>NG</v>
      </c>
      <c r="P385" s="283" t="str">
        <f t="shared" si="79"/>
        <v>-</v>
      </c>
      <c r="Q385" s="283" t="str">
        <f t="shared" si="80"/>
        <v>-</v>
      </c>
      <c r="R385" s="283" t="str">
        <f t="shared" si="81"/>
        <v>-</v>
      </c>
      <c r="S385" s="283" t="str">
        <f t="shared" si="82"/>
        <v>-</v>
      </c>
      <c r="T385" s="283" t="str">
        <f t="shared" si="83"/>
        <v>-</v>
      </c>
      <c r="U385" s="283" t="str">
        <f t="shared" si="84"/>
        <v>-</v>
      </c>
      <c r="V385" s="283" t="str">
        <f t="shared" si="85"/>
        <v>-</v>
      </c>
      <c r="W385" s="1" t="str">
        <f t="shared" si="86"/>
        <v>http://www.worldtravelguide.net/</v>
      </c>
      <c r="X385" s="1" t="str">
        <f t="shared" si="87"/>
        <v>http://www.worldtravelguide.net/</v>
      </c>
      <c r="Y385" s="1" t="str">
        <f t="shared" si="88"/>
        <v>優先2①</v>
      </c>
      <c r="Z385" s="1" t="str">
        <f t="shared" si="89"/>
        <v>Columbus Travel Media Ltd.. "World Travel Guide-Madrid Events". Accessed 11 July, 2023. http://www.worldtravelguide.net/.</v>
      </c>
    </row>
    <row r="386" spans="2:26">
      <c r="B386" s="285" t="s">
        <v>931</v>
      </c>
      <c r="C386" s="285" t="s">
        <v>716</v>
      </c>
      <c r="D386" s="285" t="s">
        <v>688</v>
      </c>
      <c r="E386" s="285" t="s">
        <v>688</v>
      </c>
      <c r="F386" s="13" t="s">
        <v>935</v>
      </c>
      <c r="G386" s="13"/>
      <c r="H386" s="13"/>
      <c r="I386" s="13" t="s">
        <v>934</v>
      </c>
      <c r="J386" s="13" t="s">
        <v>1318</v>
      </c>
      <c r="K386" s="284">
        <v>45113</v>
      </c>
      <c r="L386" s="283" t="str">
        <f t="shared" si="75"/>
        <v>-</v>
      </c>
      <c r="M386" s="283" t="str">
        <f t="shared" si="76"/>
        <v>-</v>
      </c>
      <c r="N386" s="283" t="str">
        <f t="shared" si="77"/>
        <v>-</v>
      </c>
      <c r="O386" s="283" t="str">
        <f t="shared" si="78"/>
        <v>-</v>
      </c>
      <c r="P386" s="283" t="str">
        <f t="shared" si="79"/>
        <v>-</v>
      </c>
      <c r="Q386" s="283" t="str">
        <f t="shared" si="80"/>
        <v>-</v>
      </c>
      <c r="R386" s="283" t="str">
        <f t="shared" si="81"/>
        <v>-</v>
      </c>
      <c r="S386" s="283" t="str">
        <f t="shared" si="82"/>
        <v>-</v>
      </c>
      <c r="T386" s="283" t="str">
        <f t="shared" si="83"/>
        <v>-</v>
      </c>
      <c r="U386" s="283" t="str">
        <f t="shared" si="84"/>
        <v>-</v>
      </c>
      <c r="V386" s="283" t="str">
        <f t="shared" si="85"/>
        <v>-</v>
      </c>
      <c r="W386" s="1" t="str">
        <f t="shared" si="86"/>
        <v>https://www.olympic.org/olympic-games/</v>
      </c>
      <c r="X386" s="1" t="str">
        <f t="shared" si="87"/>
        <v>https://www.olympic.org/</v>
      </c>
      <c r="Y386" s="1" t="str">
        <f t="shared" si="88"/>
        <v>優先2②</v>
      </c>
      <c r="Z386" s="1" t="str">
        <f t="shared" si="89"/>
        <v>International Olympic Committee. "Olympic Games". Accessed 06 July, 2023. https://www.olympic.org/.</v>
      </c>
    </row>
    <row r="387" spans="2:26">
      <c r="B387" s="285" t="s">
        <v>931</v>
      </c>
      <c r="C387" s="285" t="s">
        <v>774</v>
      </c>
      <c r="D387" s="285" t="s">
        <v>688</v>
      </c>
      <c r="E387" s="285" t="s">
        <v>688</v>
      </c>
      <c r="F387" s="13" t="s">
        <v>933</v>
      </c>
      <c r="G387" s="13"/>
      <c r="H387" s="13"/>
      <c r="I387" s="13" t="s">
        <v>932</v>
      </c>
      <c r="J387" s="13" t="s">
        <v>1319</v>
      </c>
      <c r="K387" s="284">
        <v>45113</v>
      </c>
      <c r="L387" s="283" t="str">
        <f t="shared" si="75"/>
        <v>-</v>
      </c>
      <c r="M387" s="283" t="str">
        <f t="shared" si="76"/>
        <v>-</v>
      </c>
      <c r="N387" s="283" t="str">
        <f t="shared" si="77"/>
        <v>-</v>
      </c>
      <c r="O387" s="283" t="str">
        <f t="shared" si="78"/>
        <v>-</v>
      </c>
      <c r="P387" s="283" t="str">
        <f t="shared" si="79"/>
        <v>-</v>
      </c>
      <c r="Q387" s="283" t="str">
        <f t="shared" si="80"/>
        <v>-</v>
      </c>
      <c r="R387" s="283" t="str">
        <f t="shared" si="81"/>
        <v>-</v>
      </c>
      <c r="S387" s="283" t="str">
        <f t="shared" si="82"/>
        <v>-</v>
      </c>
      <c r="T387" s="283" t="str">
        <f t="shared" si="83"/>
        <v>-</v>
      </c>
      <c r="U387" s="283" t="str">
        <f t="shared" si="84"/>
        <v>-</v>
      </c>
      <c r="V387" s="283" t="str">
        <f t="shared" si="85"/>
        <v>-</v>
      </c>
      <c r="W387" s="1" t="str">
        <f t="shared" si="86"/>
        <v>http://www.bie-paris.org/</v>
      </c>
      <c r="X387" s="1" t="str">
        <f t="shared" si="87"/>
        <v>http://www.bie-paris.org/</v>
      </c>
      <c r="Y387" s="1" t="str">
        <f t="shared" si="88"/>
        <v>優先2③</v>
      </c>
      <c r="Z387" s="1" t="str">
        <f t="shared" si="89"/>
        <v>Bureau International des Expositions. "Expo Timeline". Accessed 06 July, 2023. http://www.bie-paris.org/.</v>
      </c>
    </row>
    <row r="388" spans="2:26">
      <c r="B388" s="285" t="s">
        <v>931</v>
      </c>
      <c r="C388" s="285" t="s">
        <v>771</v>
      </c>
      <c r="D388" s="285" t="s">
        <v>688</v>
      </c>
      <c r="E388" s="285" t="s">
        <v>688</v>
      </c>
      <c r="F388" s="13" t="s">
        <v>930</v>
      </c>
      <c r="G388" s="13"/>
      <c r="H388" s="13"/>
      <c r="I388" s="13" t="s">
        <v>929</v>
      </c>
      <c r="J388" s="13" t="s">
        <v>1320</v>
      </c>
      <c r="K388" s="284">
        <v>45113</v>
      </c>
      <c r="L388" s="283" t="str">
        <f t="shared" si="75"/>
        <v>-</v>
      </c>
      <c r="M388" s="283" t="str">
        <f t="shared" si="76"/>
        <v>-</v>
      </c>
      <c r="N388" s="283" t="str">
        <f t="shared" si="77"/>
        <v>-</v>
      </c>
      <c r="O388" s="283" t="str">
        <f t="shared" si="78"/>
        <v>-</v>
      </c>
      <c r="P388" s="283" t="str">
        <f t="shared" si="79"/>
        <v>-</v>
      </c>
      <c r="Q388" s="283" t="str">
        <f t="shared" si="80"/>
        <v>-</v>
      </c>
      <c r="R388" s="283" t="str">
        <f t="shared" si="81"/>
        <v>-</v>
      </c>
      <c r="S388" s="283" t="str">
        <f t="shared" si="82"/>
        <v>-</v>
      </c>
      <c r="T388" s="283" t="str">
        <f t="shared" si="83"/>
        <v>-</v>
      </c>
      <c r="U388" s="283" t="str">
        <f t="shared" si="84"/>
        <v>-</v>
      </c>
      <c r="V388" s="283" t="str">
        <f t="shared" si="85"/>
        <v>-</v>
      </c>
      <c r="W388" s="1" t="str">
        <f t="shared" si="86"/>
        <v>https://www.fifa.com/worldcup/</v>
      </c>
      <c r="X388" s="1" t="str">
        <f t="shared" si="87"/>
        <v>https://www.fifa.com/</v>
      </c>
      <c r="Y388" s="1" t="str">
        <f t="shared" si="88"/>
        <v>優先2④</v>
      </c>
      <c r="Z388" s="1" t="str">
        <f t="shared" si="89"/>
        <v>Fédération Internationale de Football Association. "FIFA WORLD CUP HISTORY". Accessed 06 July, 2023. https://www.fifa.com/.</v>
      </c>
    </row>
    <row r="389" spans="2:26">
      <c r="B389" s="285" t="s">
        <v>926</v>
      </c>
      <c r="C389" s="285" t="s">
        <v>698</v>
      </c>
      <c r="D389" s="285" t="s">
        <v>688</v>
      </c>
      <c r="E389" s="285" t="s">
        <v>688</v>
      </c>
      <c r="F389" s="13" t="s">
        <v>1321</v>
      </c>
      <c r="G389" s="13"/>
      <c r="H389" s="13"/>
      <c r="I389" s="13" t="s">
        <v>4133</v>
      </c>
      <c r="J389" s="13" t="s">
        <v>3707</v>
      </c>
      <c r="K389" s="284">
        <v>45100</v>
      </c>
      <c r="L389" s="283" t="str">
        <f t="shared" si="75"/>
        <v>-</v>
      </c>
      <c r="M389" s="283" t="str">
        <f t="shared" si="76"/>
        <v>-</v>
      </c>
      <c r="N389" s="283" t="str">
        <f t="shared" si="77"/>
        <v>-</v>
      </c>
      <c r="O389" s="283" t="str">
        <f t="shared" si="78"/>
        <v>-</v>
      </c>
      <c r="P389" s="283" t="str">
        <f t="shared" si="79"/>
        <v>-</v>
      </c>
      <c r="Q389" s="283" t="str">
        <f t="shared" si="80"/>
        <v>-</v>
      </c>
      <c r="R389" s="283" t="str">
        <f t="shared" si="81"/>
        <v>-</v>
      </c>
      <c r="S389" s="283" t="str">
        <f t="shared" si="82"/>
        <v>-</v>
      </c>
      <c r="T389" s="283" t="str">
        <f t="shared" si="83"/>
        <v>-</v>
      </c>
      <c r="U389" s="283" t="str">
        <f t="shared" si="84"/>
        <v>-</v>
      </c>
      <c r="V389" s="283" t="str">
        <f t="shared" si="85"/>
        <v>-</v>
      </c>
      <c r="W389" s="1" t="str">
        <f t="shared" si="86"/>
        <v>https://intracen.org/resources/trade-statistics/</v>
      </c>
      <c r="X389" s="1" t="str">
        <f t="shared" si="87"/>
        <v>https://intracen.org/</v>
      </c>
      <c r="Y389" s="1" t="str">
        <f t="shared" si="88"/>
        <v>優先2①</v>
      </c>
      <c r="Z389" s="1" t="str">
        <f t="shared" si="89"/>
        <v>International Trade Center、Trade Statistics. "International trade in goods statistics by product Exports 2001-2022". Accessed 23 June, 2023. https://intracen.org/.</v>
      </c>
    </row>
    <row r="390" spans="2:26">
      <c r="B390" s="285" t="s">
        <v>926</v>
      </c>
      <c r="C390" s="285" t="s">
        <v>716</v>
      </c>
      <c r="D390" s="285" t="s">
        <v>688</v>
      </c>
      <c r="E390" s="285" t="s">
        <v>688</v>
      </c>
      <c r="F390" s="13" t="s">
        <v>1321</v>
      </c>
      <c r="G390" s="13"/>
      <c r="H390" s="13"/>
      <c r="I390" s="13" t="s">
        <v>4134</v>
      </c>
      <c r="J390" s="13" t="s">
        <v>2649</v>
      </c>
      <c r="K390" s="284">
        <v>45100</v>
      </c>
      <c r="L390" s="283" t="str">
        <f t="shared" ref="L390:L453" si="90">IF(COUNTIFS(B:B,B390,I:I,I390,X:X,X390)&lt;=1,"-",COUNTIFS(B:B,B390,I:I,I390,X:X,X390))</f>
        <v>-</v>
      </c>
      <c r="M390" s="283" t="str">
        <f t="shared" ref="M390:M453" si="91">IF(I390="","書籍","-")</f>
        <v>-</v>
      </c>
      <c r="N390" s="283" t="str">
        <f t="shared" ref="N390:N453" si="92">IF(OR(COUNTIF($F390,"*(*"),COUNTIF($G390,"*(*"),COUNTIF($H390,"*(*")),"NG","-")</f>
        <v>-</v>
      </c>
      <c r="O390" s="283" t="str">
        <f t="shared" ref="O390:O453" si="93">IF(COUNTIF($Z390,"*..*"),"NG","-")</f>
        <v>-</v>
      </c>
      <c r="P390" s="283" t="str">
        <f t="shared" ref="P390:P453" si="94">IF(COUNTIF($Z390,"*""""*"),"NG","-")</f>
        <v>-</v>
      </c>
      <c r="Q390" s="283" t="str">
        <f t="shared" ref="Q390:Q453" si="95">IF(COUNTIF($Z390,"*  *"),"NG","-")</f>
        <v>-</v>
      </c>
      <c r="R390" s="283" t="str">
        <f t="shared" ref="R390:R453" si="96">IF(COUNTIF($Z390,"*　*"),"NG","-")</f>
        <v>-</v>
      </c>
      <c r="S390" s="283" t="str">
        <f t="shared" ref="S390:S453" si="97">IF(COUNTIF($Z390,"*（*"),"NG","-")</f>
        <v>-</v>
      </c>
      <c r="T390" s="283" t="str">
        <f t="shared" ref="T390:T453" si="98">IF(COUNTIF($Z390,"*(*"),IF(COUNTIF($Z390,"* (*"),"-","NG"),"-")</f>
        <v>-</v>
      </c>
      <c r="U390" s="283" t="str">
        <f t="shared" ref="U390:U453" si="99">IF(OR(LEFT(F390,1)=" ",LEFT(G390,1)=" ",LEFT(H390,1)=" ",LEFT(I390,1)=" ",LEFT(J390,1)=" "),"NG","-")</f>
        <v>-</v>
      </c>
      <c r="V390" s="283" t="str">
        <f t="shared" ref="V390:V453" si="100">IF(OR(RIGHT(F390,1)=" ",RIGHT(G390,1)=" ",RIGHT(H390,1)=" ",RIGHT(I390,1)=" ",RIGHT(J390,1)=" "),"NG","-")</f>
        <v>-</v>
      </c>
      <c r="W390" s="1" t="str">
        <f t="shared" ref="W390:W453" si="101">IF(J390="","",IF(RIGHT(J390,1)="/",J390,J390&amp;"/"))</f>
        <v>https://www.intracen.org/itc/market-info-tools/statistics-export-service-country/</v>
      </c>
      <c r="X390" s="1" t="str">
        <f t="shared" ref="X390:X453" si="102">IF(W390="","",LEFT(W390,FIND("/",W390,FIND("/",W390,FIND("/", W390)+1)+1)))</f>
        <v>https://www.intracen.org/</v>
      </c>
      <c r="Y390" s="1" t="str">
        <f t="shared" ref="Y390:Y453" si="103">IF(AND(C390="-",D390="共通"),"優先1",IF(OR(COUNTIF(C390,"*補助*"),D390&lt;&gt;"共通"),"優先3","優先2"&amp;C390))</f>
        <v>優先2②</v>
      </c>
      <c r="Z390" s="1" t="str">
        <f t="shared" ref="Z390:Z453" si="104">IF(X390="",F390,CONCATENATE(IF(F390="",G390,IF(G390="",F390,F390&amp;", "&amp;G390)),IF(H390="",". "," ["&amp;H390&amp;"]. "),"""",I390,""". ","Accessed ",TEXT(K390,"dd mmmm, yyyy"),". ",X390,"."))</f>
        <v>International Trade Center、Trade Statistics. "International trade in services - Exports 2000-2021". Accessed 23 June, 2023. https://www.intracen.org/.</v>
      </c>
    </row>
    <row r="391" spans="2:26">
      <c r="B391" s="285" t="s">
        <v>926</v>
      </c>
      <c r="C391" s="285" t="s">
        <v>716</v>
      </c>
      <c r="D391" s="285" t="s">
        <v>673</v>
      </c>
      <c r="E391" s="285" t="s">
        <v>108</v>
      </c>
      <c r="F391" s="13" t="s">
        <v>857</v>
      </c>
      <c r="G391" s="13" t="s">
        <v>731</v>
      </c>
      <c r="H391" s="13"/>
      <c r="I391" s="13" t="s">
        <v>928</v>
      </c>
      <c r="J391" s="13" t="s">
        <v>1322</v>
      </c>
      <c r="K391" s="284">
        <v>45111</v>
      </c>
      <c r="L391" s="283" t="str">
        <f t="shared" si="90"/>
        <v>-</v>
      </c>
      <c r="M391" s="283" t="str">
        <f t="shared" si="91"/>
        <v>-</v>
      </c>
      <c r="N391" s="283" t="str">
        <f t="shared" si="92"/>
        <v>-</v>
      </c>
      <c r="O391" s="283" t="str">
        <f t="shared" si="93"/>
        <v>-</v>
      </c>
      <c r="P391" s="283" t="str">
        <f t="shared" si="94"/>
        <v>-</v>
      </c>
      <c r="Q391" s="283" t="str">
        <f t="shared" si="95"/>
        <v>-</v>
      </c>
      <c r="R391" s="283" t="str">
        <f t="shared" si="96"/>
        <v>-</v>
      </c>
      <c r="S391" s="283" t="str">
        <f t="shared" si="97"/>
        <v>-</v>
      </c>
      <c r="T391" s="283" t="str">
        <f t="shared" si="98"/>
        <v>-</v>
      </c>
      <c r="U391" s="283" t="str">
        <f t="shared" si="99"/>
        <v>-</v>
      </c>
      <c r="V391" s="283" t="str">
        <f t="shared" si="100"/>
        <v>-</v>
      </c>
      <c r="W391" s="1" t="str">
        <f t="shared" si="101"/>
        <v>https://www.ons.gov.uk/businessindustryandtrade/internationaltrade/datasets/internationaltradeinservicesreferencetables/</v>
      </c>
      <c r="X391" s="1" t="str">
        <f t="shared" si="102"/>
        <v>https://www.ons.gov.uk/</v>
      </c>
      <c r="Y391" s="1" t="str">
        <f t="shared" si="103"/>
        <v>優先3</v>
      </c>
      <c r="Z391" s="1" t="str">
        <f t="shared" si="104"/>
        <v>Office for National Statistics, United Kingdom of Great Britain and Northern Ireland. "International Trade in Services". Accessed 04 July, 2023. https://www.ons.gov.uk/.</v>
      </c>
    </row>
    <row r="392" spans="2:26">
      <c r="B392" s="285" t="s">
        <v>926</v>
      </c>
      <c r="C392" s="285" t="s">
        <v>716</v>
      </c>
      <c r="D392" s="285" t="s">
        <v>673</v>
      </c>
      <c r="E392" s="285" t="s">
        <v>134</v>
      </c>
      <c r="F392" s="13" t="s">
        <v>927</v>
      </c>
      <c r="G392" s="13"/>
      <c r="H392" s="13"/>
      <c r="I392" s="13" t="s">
        <v>1323</v>
      </c>
      <c r="J392" s="13" t="s">
        <v>1324</v>
      </c>
      <c r="K392" s="284">
        <v>44388</v>
      </c>
      <c r="L392" s="283">
        <f t="shared" si="90"/>
        <v>5</v>
      </c>
      <c r="M392" s="283" t="str">
        <f t="shared" si="91"/>
        <v>-</v>
      </c>
      <c r="N392" s="283" t="str">
        <f t="shared" si="92"/>
        <v>-</v>
      </c>
      <c r="O392" s="283" t="str">
        <f t="shared" si="93"/>
        <v>-</v>
      </c>
      <c r="P392" s="283" t="str">
        <f t="shared" si="94"/>
        <v>-</v>
      </c>
      <c r="Q392" s="283" t="str">
        <f t="shared" si="95"/>
        <v>-</v>
      </c>
      <c r="R392" s="283" t="str">
        <f t="shared" si="96"/>
        <v>-</v>
      </c>
      <c r="S392" s="283" t="str">
        <f t="shared" si="97"/>
        <v>-</v>
      </c>
      <c r="T392" s="283" t="str">
        <f t="shared" si="98"/>
        <v>-</v>
      </c>
      <c r="U392" s="283" t="str">
        <f t="shared" si="99"/>
        <v>-</v>
      </c>
      <c r="V392" s="283" t="str">
        <f t="shared" si="100"/>
        <v>-</v>
      </c>
      <c r="W392" s="1" t="str">
        <f t="shared" si="101"/>
        <v>https://comtrade.un.org/data/</v>
      </c>
      <c r="X392" s="1" t="str">
        <f t="shared" si="102"/>
        <v>https://comtrade.un.org/</v>
      </c>
      <c r="Y392" s="1" t="str">
        <f t="shared" si="103"/>
        <v>優先3</v>
      </c>
      <c r="Z392" s="1" t="str">
        <f t="shared" si="104"/>
        <v>United Nations. "UN Comtrade Database". Accessed 11 July, 2021. https://comtrade.un.org/.</v>
      </c>
    </row>
    <row r="393" spans="2:26">
      <c r="B393" s="285" t="s">
        <v>926</v>
      </c>
      <c r="C393" s="285" t="s">
        <v>716</v>
      </c>
      <c r="D393" s="285" t="s">
        <v>673</v>
      </c>
      <c r="E393" s="285" t="s">
        <v>140</v>
      </c>
      <c r="F393" s="13" t="s">
        <v>927</v>
      </c>
      <c r="G393" s="13"/>
      <c r="H393" s="13"/>
      <c r="I393" s="13" t="s">
        <v>1323</v>
      </c>
      <c r="J393" s="13" t="s">
        <v>1324</v>
      </c>
      <c r="K393" s="284">
        <v>44388</v>
      </c>
      <c r="L393" s="283">
        <f t="shared" si="90"/>
        <v>5</v>
      </c>
      <c r="M393" s="283" t="str">
        <f t="shared" si="91"/>
        <v>-</v>
      </c>
      <c r="N393" s="283" t="str">
        <f t="shared" si="92"/>
        <v>-</v>
      </c>
      <c r="O393" s="283" t="str">
        <f t="shared" si="93"/>
        <v>-</v>
      </c>
      <c r="P393" s="283" t="str">
        <f t="shared" si="94"/>
        <v>-</v>
      </c>
      <c r="Q393" s="283" t="str">
        <f t="shared" si="95"/>
        <v>-</v>
      </c>
      <c r="R393" s="283" t="str">
        <f t="shared" si="96"/>
        <v>-</v>
      </c>
      <c r="S393" s="283" t="str">
        <f t="shared" si="97"/>
        <v>-</v>
      </c>
      <c r="T393" s="283" t="str">
        <f t="shared" si="98"/>
        <v>-</v>
      </c>
      <c r="U393" s="283" t="str">
        <f t="shared" si="99"/>
        <v>-</v>
      </c>
      <c r="V393" s="283" t="str">
        <f t="shared" si="100"/>
        <v>-</v>
      </c>
      <c r="W393" s="1" t="str">
        <f t="shared" si="101"/>
        <v>https://comtrade.un.org/data/</v>
      </c>
      <c r="X393" s="1" t="str">
        <f t="shared" si="102"/>
        <v>https://comtrade.un.org/</v>
      </c>
      <c r="Y393" s="1" t="str">
        <f t="shared" si="103"/>
        <v>優先3</v>
      </c>
      <c r="Z393" s="1" t="str">
        <f t="shared" si="104"/>
        <v>United Nations. "UN Comtrade Database". Accessed 11 July, 2021. https://comtrade.un.org/.</v>
      </c>
    </row>
    <row r="394" spans="2:26">
      <c r="B394" s="285" t="s">
        <v>926</v>
      </c>
      <c r="C394" s="285" t="s">
        <v>716</v>
      </c>
      <c r="D394" s="285" t="s">
        <v>673</v>
      </c>
      <c r="E394" s="285" t="s">
        <v>142</v>
      </c>
      <c r="F394" s="13" t="s">
        <v>927</v>
      </c>
      <c r="G394" s="13"/>
      <c r="H394" s="13"/>
      <c r="I394" s="13" t="s">
        <v>1323</v>
      </c>
      <c r="J394" s="13" t="s">
        <v>1324</v>
      </c>
      <c r="K394" s="284">
        <v>44388</v>
      </c>
      <c r="L394" s="283">
        <f t="shared" si="90"/>
        <v>5</v>
      </c>
      <c r="M394" s="283" t="str">
        <f t="shared" si="91"/>
        <v>-</v>
      </c>
      <c r="N394" s="283" t="str">
        <f t="shared" si="92"/>
        <v>-</v>
      </c>
      <c r="O394" s="283" t="str">
        <f t="shared" si="93"/>
        <v>-</v>
      </c>
      <c r="P394" s="283" t="str">
        <f t="shared" si="94"/>
        <v>-</v>
      </c>
      <c r="Q394" s="283" t="str">
        <f t="shared" si="95"/>
        <v>-</v>
      </c>
      <c r="R394" s="283" t="str">
        <f t="shared" si="96"/>
        <v>-</v>
      </c>
      <c r="S394" s="283" t="str">
        <f t="shared" si="97"/>
        <v>-</v>
      </c>
      <c r="T394" s="283" t="str">
        <f t="shared" si="98"/>
        <v>-</v>
      </c>
      <c r="U394" s="283" t="str">
        <f t="shared" si="99"/>
        <v>-</v>
      </c>
      <c r="V394" s="283" t="str">
        <f t="shared" si="100"/>
        <v>-</v>
      </c>
      <c r="W394" s="1" t="str">
        <f t="shared" si="101"/>
        <v>https://comtrade.un.org/data/</v>
      </c>
      <c r="X394" s="1" t="str">
        <f t="shared" si="102"/>
        <v>https://comtrade.un.org/</v>
      </c>
      <c r="Y394" s="1" t="str">
        <f t="shared" si="103"/>
        <v>優先3</v>
      </c>
      <c r="Z394" s="1" t="str">
        <f t="shared" si="104"/>
        <v>United Nations. "UN Comtrade Database". Accessed 11 July, 2021. https://comtrade.un.org/.</v>
      </c>
    </row>
    <row r="395" spans="2:26">
      <c r="B395" s="285" t="s">
        <v>926</v>
      </c>
      <c r="C395" s="285" t="s">
        <v>716</v>
      </c>
      <c r="D395" s="285" t="s">
        <v>673</v>
      </c>
      <c r="E395" s="285" t="s">
        <v>148</v>
      </c>
      <c r="F395" s="13" t="s">
        <v>925</v>
      </c>
      <c r="G395" s="13"/>
      <c r="H395" s="13"/>
      <c r="I395" s="13" t="s">
        <v>1325</v>
      </c>
      <c r="J395" s="13" t="s">
        <v>2650</v>
      </c>
      <c r="K395" s="284">
        <v>45111</v>
      </c>
      <c r="L395" s="283">
        <f t="shared" si="90"/>
        <v>2</v>
      </c>
      <c r="M395" s="283" t="str">
        <f t="shared" si="91"/>
        <v>-</v>
      </c>
      <c r="N395" s="283" t="str">
        <f t="shared" si="92"/>
        <v>-</v>
      </c>
      <c r="O395" s="283" t="str">
        <f t="shared" si="93"/>
        <v>-</v>
      </c>
      <c r="P395" s="283" t="str">
        <f t="shared" si="94"/>
        <v>-</v>
      </c>
      <c r="Q395" s="283" t="str">
        <f t="shared" si="95"/>
        <v>-</v>
      </c>
      <c r="R395" s="283" t="str">
        <f t="shared" si="96"/>
        <v>-</v>
      </c>
      <c r="S395" s="283" t="str">
        <f t="shared" si="97"/>
        <v>-</v>
      </c>
      <c r="T395" s="283" t="str">
        <f t="shared" si="98"/>
        <v>-</v>
      </c>
      <c r="U395" s="283" t="str">
        <f t="shared" si="99"/>
        <v>-</v>
      </c>
      <c r="V395" s="283" t="str">
        <f t="shared" si="100"/>
        <v>-</v>
      </c>
      <c r="W395" s="1" t="str">
        <f t="shared" si="101"/>
        <v>https://www.wto.org/english/res_e/statis_e/tradeserv_stat_e.htm/</v>
      </c>
      <c r="X395" s="1" t="str">
        <f t="shared" si="102"/>
        <v>https://www.wto.org/</v>
      </c>
      <c r="Y395" s="1" t="str">
        <f t="shared" si="103"/>
        <v>優先3</v>
      </c>
      <c r="Z395" s="1" t="str">
        <f t="shared" si="104"/>
        <v>World Trade Organization. "Statistics on trade in commercial services". Accessed 04 July, 2023. https://www.wto.org/.</v>
      </c>
    </row>
    <row r="396" spans="2:26">
      <c r="B396" s="285" t="s">
        <v>926</v>
      </c>
      <c r="C396" s="285" t="s">
        <v>716</v>
      </c>
      <c r="D396" s="285" t="s">
        <v>673</v>
      </c>
      <c r="E396" s="285" t="s">
        <v>150</v>
      </c>
      <c r="F396" s="13" t="s">
        <v>925</v>
      </c>
      <c r="G396" s="13"/>
      <c r="H396" s="13"/>
      <c r="I396" s="13" t="s">
        <v>1325</v>
      </c>
      <c r="J396" s="13" t="s">
        <v>2650</v>
      </c>
      <c r="K396" s="284">
        <v>45111</v>
      </c>
      <c r="L396" s="283">
        <f t="shared" si="90"/>
        <v>2</v>
      </c>
      <c r="M396" s="283" t="str">
        <f t="shared" si="91"/>
        <v>-</v>
      </c>
      <c r="N396" s="283" t="str">
        <f t="shared" si="92"/>
        <v>-</v>
      </c>
      <c r="O396" s="283" t="str">
        <f t="shared" si="93"/>
        <v>-</v>
      </c>
      <c r="P396" s="283" t="str">
        <f t="shared" si="94"/>
        <v>-</v>
      </c>
      <c r="Q396" s="283" t="str">
        <f t="shared" si="95"/>
        <v>-</v>
      </c>
      <c r="R396" s="283" t="str">
        <f t="shared" si="96"/>
        <v>-</v>
      </c>
      <c r="S396" s="283" t="str">
        <f t="shared" si="97"/>
        <v>-</v>
      </c>
      <c r="T396" s="283" t="str">
        <f t="shared" si="98"/>
        <v>-</v>
      </c>
      <c r="U396" s="283" t="str">
        <f t="shared" si="99"/>
        <v>-</v>
      </c>
      <c r="V396" s="283" t="str">
        <f t="shared" si="100"/>
        <v>-</v>
      </c>
      <c r="W396" s="1" t="str">
        <f t="shared" si="101"/>
        <v>https://www.wto.org/english/res_e/statis_e/tradeserv_stat_e.htm/</v>
      </c>
      <c r="X396" s="1" t="str">
        <f t="shared" si="102"/>
        <v>https://www.wto.org/</v>
      </c>
      <c r="Y396" s="1" t="str">
        <f t="shared" si="103"/>
        <v>優先3</v>
      </c>
      <c r="Z396" s="1" t="str">
        <f t="shared" si="104"/>
        <v>World Trade Organization. "Statistics on trade in commercial services". Accessed 04 July, 2023. https://www.wto.org/.</v>
      </c>
    </row>
    <row r="397" spans="2:26">
      <c r="B397" s="285" t="s">
        <v>926</v>
      </c>
      <c r="C397" s="285" t="s">
        <v>716</v>
      </c>
      <c r="D397" s="285" t="s">
        <v>673</v>
      </c>
      <c r="E397" s="285" t="s">
        <v>166</v>
      </c>
      <c r="F397" s="13" t="s">
        <v>955</v>
      </c>
      <c r="G397" s="13"/>
      <c r="H397" s="13"/>
      <c r="I397" s="13" t="s">
        <v>2651</v>
      </c>
      <c r="J397" s="13" t="s">
        <v>4135</v>
      </c>
      <c r="K397" s="284">
        <v>45111</v>
      </c>
      <c r="L397" s="283">
        <f t="shared" si="90"/>
        <v>6</v>
      </c>
      <c r="M397" s="283" t="str">
        <f t="shared" si="91"/>
        <v>-</v>
      </c>
      <c r="N397" s="283" t="str">
        <f t="shared" si="92"/>
        <v>-</v>
      </c>
      <c r="O397" s="283" t="str">
        <f t="shared" si="93"/>
        <v>-</v>
      </c>
      <c r="P397" s="283" t="str">
        <f t="shared" si="94"/>
        <v>-</v>
      </c>
      <c r="Q397" s="283" t="str">
        <f t="shared" si="95"/>
        <v>-</v>
      </c>
      <c r="R397" s="283" t="str">
        <f t="shared" si="96"/>
        <v>-</v>
      </c>
      <c r="S397" s="283" t="str">
        <f t="shared" si="97"/>
        <v>-</v>
      </c>
      <c r="T397" s="283" t="str">
        <f t="shared" si="98"/>
        <v>-</v>
      </c>
      <c r="U397" s="283" t="str">
        <f t="shared" si="99"/>
        <v>-</v>
      </c>
      <c r="V397" s="283" t="str">
        <f t="shared" si="100"/>
        <v>-</v>
      </c>
      <c r="W397" s="1" t="str">
        <f t="shared" si="101"/>
        <v>https://apps.bea.gov/itable/?ReqID=70&amp;step=1/</v>
      </c>
      <c r="X397" s="1" t="str">
        <f t="shared" si="102"/>
        <v>https://apps.bea.gov/</v>
      </c>
      <c r="Y397" s="1" t="str">
        <f t="shared" si="103"/>
        <v>優先3</v>
      </c>
      <c r="Z397" s="1" t="str">
        <f t="shared" si="104"/>
        <v>Bureau of Economic Analysis. "GROSS DOMESTIC PRODUCT (GDP) BY COUNTY AND METROPOLITAN AREA - GDP in current dollars (CAGDP2)". Accessed 04 July, 2023. https://apps.bea.gov/.</v>
      </c>
    </row>
    <row r="398" spans="2:26">
      <c r="B398" s="285" t="s">
        <v>926</v>
      </c>
      <c r="C398" s="285" t="s">
        <v>716</v>
      </c>
      <c r="D398" s="285" t="s">
        <v>673</v>
      </c>
      <c r="E398" s="285" t="s">
        <v>168</v>
      </c>
      <c r="F398" s="13" t="s">
        <v>955</v>
      </c>
      <c r="G398" s="13"/>
      <c r="H398" s="13"/>
      <c r="I398" s="13" t="s">
        <v>2651</v>
      </c>
      <c r="J398" s="13" t="s">
        <v>4135</v>
      </c>
      <c r="K398" s="284">
        <v>45111</v>
      </c>
      <c r="L398" s="283">
        <f t="shared" si="90"/>
        <v>6</v>
      </c>
      <c r="M398" s="283" t="str">
        <f t="shared" si="91"/>
        <v>-</v>
      </c>
      <c r="N398" s="283" t="str">
        <f t="shared" si="92"/>
        <v>-</v>
      </c>
      <c r="O398" s="283" t="str">
        <f t="shared" si="93"/>
        <v>-</v>
      </c>
      <c r="P398" s="283" t="str">
        <f t="shared" si="94"/>
        <v>-</v>
      </c>
      <c r="Q398" s="283" t="str">
        <f t="shared" si="95"/>
        <v>-</v>
      </c>
      <c r="R398" s="283" t="str">
        <f t="shared" si="96"/>
        <v>-</v>
      </c>
      <c r="S398" s="283" t="str">
        <f t="shared" si="97"/>
        <v>-</v>
      </c>
      <c r="T398" s="283" t="str">
        <f t="shared" si="98"/>
        <v>-</v>
      </c>
      <c r="U398" s="283" t="str">
        <f t="shared" si="99"/>
        <v>-</v>
      </c>
      <c r="V398" s="283" t="str">
        <f t="shared" si="100"/>
        <v>-</v>
      </c>
      <c r="W398" s="1" t="str">
        <f t="shared" si="101"/>
        <v>https://apps.bea.gov/itable/?ReqID=70&amp;step=1/</v>
      </c>
      <c r="X398" s="1" t="str">
        <f t="shared" si="102"/>
        <v>https://apps.bea.gov/</v>
      </c>
      <c r="Y398" s="1" t="str">
        <f t="shared" si="103"/>
        <v>優先3</v>
      </c>
      <c r="Z398" s="1" t="str">
        <f t="shared" si="104"/>
        <v>Bureau of Economic Analysis. "GROSS DOMESTIC PRODUCT (GDP) BY COUNTY AND METROPOLITAN AREA - GDP in current dollars (CAGDP2)". Accessed 04 July, 2023. https://apps.bea.gov/.</v>
      </c>
    </row>
    <row r="399" spans="2:26">
      <c r="B399" s="285" t="s">
        <v>926</v>
      </c>
      <c r="C399" s="285" t="s">
        <v>716</v>
      </c>
      <c r="D399" s="285" t="s">
        <v>673</v>
      </c>
      <c r="E399" s="285" t="s">
        <v>170</v>
      </c>
      <c r="F399" s="13" t="s">
        <v>927</v>
      </c>
      <c r="G399" s="13"/>
      <c r="H399" s="13"/>
      <c r="I399" s="13" t="s">
        <v>1323</v>
      </c>
      <c r="J399" s="13" t="s">
        <v>1324</v>
      </c>
      <c r="K399" s="284">
        <v>44388</v>
      </c>
      <c r="L399" s="283">
        <f t="shared" si="90"/>
        <v>5</v>
      </c>
      <c r="M399" s="283" t="str">
        <f t="shared" si="91"/>
        <v>-</v>
      </c>
      <c r="N399" s="283" t="str">
        <f t="shared" si="92"/>
        <v>-</v>
      </c>
      <c r="O399" s="283" t="str">
        <f t="shared" si="93"/>
        <v>-</v>
      </c>
      <c r="P399" s="283" t="str">
        <f t="shared" si="94"/>
        <v>-</v>
      </c>
      <c r="Q399" s="283" t="str">
        <f t="shared" si="95"/>
        <v>-</v>
      </c>
      <c r="R399" s="283" t="str">
        <f t="shared" si="96"/>
        <v>-</v>
      </c>
      <c r="S399" s="283" t="str">
        <f t="shared" si="97"/>
        <v>-</v>
      </c>
      <c r="T399" s="283" t="str">
        <f t="shared" si="98"/>
        <v>-</v>
      </c>
      <c r="U399" s="283" t="str">
        <f t="shared" si="99"/>
        <v>-</v>
      </c>
      <c r="V399" s="283" t="str">
        <f t="shared" si="100"/>
        <v>-</v>
      </c>
      <c r="W399" s="1" t="str">
        <f t="shared" si="101"/>
        <v>https://comtrade.un.org/data/</v>
      </c>
      <c r="X399" s="1" t="str">
        <f t="shared" si="102"/>
        <v>https://comtrade.un.org/</v>
      </c>
      <c r="Y399" s="1" t="str">
        <f t="shared" si="103"/>
        <v>優先3</v>
      </c>
      <c r="Z399" s="1" t="str">
        <f t="shared" si="104"/>
        <v>United Nations. "UN Comtrade Database". Accessed 11 July, 2021. https://comtrade.un.org/.</v>
      </c>
    </row>
    <row r="400" spans="2:26">
      <c r="B400" s="285" t="s">
        <v>926</v>
      </c>
      <c r="C400" s="285" t="s">
        <v>716</v>
      </c>
      <c r="D400" s="285" t="s">
        <v>673</v>
      </c>
      <c r="E400" s="285" t="s">
        <v>172</v>
      </c>
      <c r="F400" s="13" t="s">
        <v>955</v>
      </c>
      <c r="G400" s="13"/>
      <c r="H400" s="13"/>
      <c r="I400" s="13" t="s">
        <v>2651</v>
      </c>
      <c r="J400" s="13" t="s">
        <v>4135</v>
      </c>
      <c r="K400" s="284">
        <v>45111</v>
      </c>
      <c r="L400" s="283">
        <f t="shared" si="90"/>
        <v>6</v>
      </c>
      <c r="M400" s="283" t="str">
        <f t="shared" si="91"/>
        <v>-</v>
      </c>
      <c r="N400" s="283" t="str">
        <f t="shared" si="92"/>
        <v>-</v>
      </c>
      <c r="O400" s="283" t="str">
        <f t="shared" si="93"/>
        <v>-</v>
      </c>
      <c r="P400" s="283" t="str">
        <f t="shared" si="94"/>
        <v>-</v>
      </c>
      <c r="Q400" s="283" t="str">
        <f t="shared" si="95"/>
        <v>-</v>
      </c>
      <c r="R400" s="283" t="str">
        <f t="shared" si="96"/>
        <v>-</v>
      </c>
      <c r="S400" s="283" t="str">
        <f t="shared" si="97"/>
        <v>-</v>
      </c>
      <c r="T400" s="283" t="str">
        <f t="shared" si="98"/>
        <v>-</v>
      </c>
      <c r="U400" s="283" t="str">
        <f t="shared" si="99"/>
        <v>-</v>
      </c>
      <c r="V400" s="283" t="str">
        <f t="shared" si="100"/>
        <v>-</v>
      </c>
      <c r="W400" s="1" t="str">
        <f t="shared" si="101"/>
        <v>https://apps.bea.gov/itable/?ReqID=70&amp;step=1/</v>
      </c>
      <c r="X400" s="1" t="str">
        <f t="shared" si="102"/>
        <v>https://apps.bea.gov/</v>
      </c>
      <c r="Y400" s="1" t="str">
        <f t="shared" si="103"/>
        <v>優先3</v>
      </c>
      <c r="Z400" s="1" t="str">
        <f t="shared" si="104"/>
        <v>Bureau of Economic Analysis. "GROSS DOMESTIC PRODUCT (GDP) BY COUNTY AND METROPOLITAN AREA - GDP in current dollars (CAGDP2)". Accessed 04 July, 2023. https://apps.bea.gov/.</v>
      </c>
    </row>
    <row r="401" spans="2:26">
      <c r="B401" s="285" t="s">
        <v>926</v>
      </c>
      <c r="C401" s="285" t="s">
        <v>716</v>
      </c>
      <c r="D401" s="285" t="s">
        <v>673</v>
      </c>
      <c r="E401" s="285" t="s">
        <v>373</v>
      </c>
      <c r="F401" s="13" t="s">
        <v>955</v>
      </c>
      <c r="G401" s="13"/>
      <c r="H401" s="13"/>
      <c r="I401" s="13" t="s">
        <v>2651</v>
      </c>
      <c r="J401" s="13" t="s">
        <v>4135</v>
      </c>
      <c r="K401" s="284">
        <v>45111</v>
      </c>
      <c r="L401" s="283">
        <f t="shared" si="90"/>
        <v>6</v>
      </c>
      <c r="M401" s="283" t="str">
        <f t="shared" si="91"/>
        <v>-</v>
      </c>
      <c r="N401" s="283" t="str">
        <f t="shared" si="92"/>
        <v>-</v>
      </c>
      <c r="O401" s="283" t="str">
        <f t="shared" si="93"/>
        <v>-</v>
      </c>
      <c r="P401" s="283" t="str">
        <f t="shared" si="94"/>
        <v>-</v>
      </c>
      <c r="Q401" s="283" t="str">
        <f t="shared" si="95"/>
        <v>-</v>
      </c>
      <c r="R401" s="283" t="str">
        <f t="shared" si="96"/>
        <v>-</v>
      </c>
      <c r="S401" s="283" t="str">
        <f t="shared" si="97"/>
        <v>-</v>
      </c>
      <c r="T401" s="283" t="str">
        <f t="shared" si="98"/>
        <v>-</v>
      </c>
      <c r="U401" s="283" t="str">
        <f t="shared" si="99"/>
        <v>-</v>
      </c>
      <c r="V401" s="283" t="str">
        <f t="shared" si="100"/>
        <v>-</v>
      </c>
      <c r="W401" s="1" t="str">
        <f t="shared" si="101"/>
        <v>https://apps.bea.gov/itable/?ReqID=70&amp;step=1/</v>
      </c>
      <c r="X401" s="1" t="str">
        <f t="shared" si="102"/>
        <v>https://apps.bea.gov/</v>
      </c>
      <c r="Y401" s="1" t="str">
        <f t="shared" si="103"/>
        <v>優先3</v>
      </c>
      <c r="Z401" s="1" t="str">
        <f t="shared" si="104"/>
        <v>Bureau of Economic Analysis. "GROSS DOMESTIC PRODUCT (GDP) BY COUNTY AND METROPOLITAN AREA - GDP in current dollars (CAGDP2)". Accessed 04 July, 2023. https://apps.bea.gov/.</v>
      </c>
    </row>
    <row r="402" spans="2:26">
      <c r="B402" s="285" t="s">
        <v>926</v>
      </c>
      <c r="C402" s="285" t="s">
        <v>716</v>
      </c>
      <c r="D402" s="285" t="s">
        <v>673</v>
      </c>
      <c r="E402" s="285" t="s">
        <v>178</v>
      </c>
      <c r="F402" s="13" t="s">
        <v>955</v>
      </c>
      <c r="G402" s="13"/>
      <c r="H402" s="13"/>
      <c r="I402" s="13" t="s">
        <v>2651</v>
      </c>
      <c r="J402" s="13" t="s">
        <v>4135</v>
      </c>
      <c r="K402" s="284">
        <v>45111</v>
      </c>
      <c r="L402" s="283">
        <f t="shared" si="90"/>
        <v>6</v>
      </c>
      <c r="M402" s="283" t="str">
        <f t="shared" si="91"/>
        <v>-</v>
      </c>
      <c r="N402" s="283" t="str">
        <f t="shared" si="92"/>
        <v>-</v>
      </c>
      <c r="O402" s="283" t="str">
        <f t="shared" si="93"/>
        <v>-</v>
      </c>
      <c r="P402" s="283" t="str">
        <f t="shared" si="94"/>
        <v>-</v>
      </c>
      <c r="Q402" s="283" t="str">
        <f t="shared" si="95"/>
        <v>-</v>
      </c>
      <c r="R402" s="283" t="str">
        <f t="shared" si="96"/>
        <v>-</v>
      </c>
      <c r="S402" s="283" t="str">
        <f t="shared" si="97"/>
        <v>-</v>
      </c>
      <c r="T402" s="283" t="str">
        <f t="shared" si="98"/>
        <v>-</v>
      </c>
      <c r="U402" s="283" t="str">
        <f t="shared" si="99"/>
        <v>-</v>
      </c>
      <c r="V402" s="283" t="str">
        <f t="shared" si="100"/>
        <v>-</v>
      </c>
      <c r="W402" s="1" t="str">
        <f t="shared" si="101"/>
        <v>https://apps.bea.gov/itable/?ReqID=70&amp;step=1/</v>
      </c>
      <c r="X402" s="1" t="str">
        <f t="shared" si="102"/>
        <v>https://apps.bea.gov/</v>
      </c>
      <c r="Y402" s="1" t="str">
        <f t="shared" si="103"/>
        <v>優先3</v>
      </c>
      <c r="Z402" s="1" t="str">
        <f t="shared" si="104"/>
        <v>Bureau of Economic Analysis. "GROSS DOMESTIC PRODUCT (GDP) BY COUNTY AND METROPOLITAN AREA - GDP in current dollars (CAGDP2)". Accessed 04 July, 2023. https://apps.bea.gov/.</v>
      </c>
    </row>
    <row r="403" spans="2:26">
      <c r="B403" s="285" t="s">
        <v>926</v>
      </c>
      <c r="C403" s="285" t="s">
        <v>716</v>
      </c>
      <c r="D403" s="285" t="s">
        <v>673</v>
      </c>
      <c r="E403" s="285" t="s">
        <v>180</v>
      </c>
      <c r="F403" s="13" t="s">
        <v>955</v>
      </c>
      <c r="G403" s="13"/>
      <c r="H403" s="13"/>
      <c r="I403" s="13" t="s">
        <v>2651</v>
      </c>
      <c r="J403" s="13" t="s">
        <v>4135</v>
      </c>
      <c r="K403" s="284">
        <v>45111</v>
      </c>
      <c r="L403" s="283">
        <f t="shared" si="90"/>
        <v>6</v>
      </c>
      <c r="M403" s="283" t="str">
        <f t="shared" si="91"/>
        <v>-</v>
      </c>
      <c r="N403" s="283" t="str">
        <f t="shared" si="92"/>
        <v>-</v>
      </c>
      <c r="O403" s="283" t="str">
        <f t="shared" si="93"/>
        <v>-</v>
      </c>
      <c r="P403" s="283" t="str">
        <f t="shared" si="94"/>
        <v>-</v>
      </c>
      <c r="Q403" s="283" t="str">
        <f t="shared" si="95"/>
        <v>-</v>
      </c>
      <c r="R403" s="283" t="str">
        <f t="shared" si="96"/>
        <v>-</v>
      </c>
      <c r="S403" s="283" t="str">
        <f t="shared" si="97"/>
        <v>-</v>
      </c>
      <c r="T403" s="283" t="str">
        <f t="shared" si="98"/>
        <v>-</v>
      </c>
      <c r="U403" s="283" t="str">
        <f t="shared" si="99"/>
        <v>-</v>
      </c>
      <c r="V403" s="283" t="str">
        <f t="shared" si="100"/>
        <v>-</v>
      </c>
      <c r="W403" s="1" t="str">
        <f t="shared" si="101"/>
        <v>https://apps.bea.gov/itable/?ReqID=70&amp;step=1/</v>
      </c>
      <c r="X403" s="1" t="str">
        <f t="shared" si="102"/>
        <v>https://apps.bea.gov/</v>
      </c>
      <c r="Y403" s="1" t="str">
        <f t="shared" si="103"/>
        <v>優先3</v>
      </c>
      <c r="Z403" s="1" t="str">
        <f t="shared" si="104"/>
        <v>Bureau of Economic Analysis. "GROSS DOMESTIC PRODUCT (GDP) BY COUNTY AND METROPOLITAN AREA - GDP in current dollars (CAGDP2)". Accessed 04 July, 2023. https://apps.bea.gov/.</v>
      </c>
    </row>
    <row r="404" spans="2:26">
      <c r="B404" s="285" t="s">
        <v>926</v>
      </c>
      <c r="C404" s="285" t="s">
        <v>716</v>
      </c>
      <c r="D404" s="285" t="s">
        <v>673</v>
      </c>
      <c r="E404" s="285" t="s">
        <v>186</v>
      </c>
      <c r="F404" s="13" t="s">
        <v>927</v>
      </c>
      <c r="G404" s="13"/>
      <c r="H404" s="13"/>
      <c r="I404" s="13" t="s">
        <v>1323</v>
      </c>
      <c r="J404" s="13" t="s">
        <v>1324</v>
      </c>
      <c r="K404" s="284">
        <v>44388</v>
      </c>
      <c r="L404" s="283">
        <f t="shared" si="90"/>
        <v>5</v>
      </c>
      <c r="M404" s="283" t="str">
        <f t="shared" si="91"/>
        <v>-</v>
      </c>
      <c r="N404" s="283" t="str">
        <f t="shared" si="92"/>
        <v>-</v>
      </c>
      <c r="O404" s="283" t="str">
        <f t="shared" si="93"/>
        <v>-</v>
      </c>
      <c r="P404" s="283" t="str">
        <f t="shared" si="94"/>
        <v>-</v>
      </c>
      <c r="Q404" s="283" t="str">
        <f t="shared" si="95"/>
        <v>-</v>
      </c>
      <c r="R404" s="283" t="str">
        <f t="shared" si="96"/>
        <v>-</v>
      </c>
      <c r="S404" s="283" t="str">
        <f t="shared" si="97"/>
        <v>-</v>
      </c>
      <c r="T404" s="283" t="str">
        <f t="shared" si="98"/>
        <v>-</v>
      </c>
      <c r="U404" s="283" t="str">
        <f t="shared" si="99"/>
        <v>-</v>
      </c>
      <c r="V404" s="283" t="str">
        <f t="shared" si="100"/>
        <v>-</v>
      </c>
      <c r="W404" s="1" t="str">
        <f t="shared" si="101"/>
        <v>https://comtrade.un.org/data/</v>
      </c>
      <c r="X404" s="1" t="str">
        <f t="shared" si="102"/>
        <v>https://comtrade.un.org/</v>
      </c>
      <c r="Y404" s="1" t="str">
        <f t="shared" si="103"/>
        <v>優先3</v>
      </c>
      <c r="Z404" s="1" t="str">
        <f t="shared" si="104"/>
        <v>United Nations. "UN Comtrade Database". Accessed 11 July, 2021. https://comtrade.un.org/.</v>
      </c>
    </row>
    <row r="405" spans="2:26">
      <c r="B405" s="285" t="s">
        <v>926</v>
      </c>
      <c r="C405" s="285" t="s">
        <v>784</v>
      </c>
      <c r="D405" s="285" t="s">
        <v>673</v>
      </c>
      <c r="E405" s="285" t="s">
        <v>166</v>
      </c>
      <c r="F405" s="13" t="s">
        <v>925</v>
      </c>
      <c r="G405" s="13"/>
      <c r="H405" s="13"/>
      <c r="I405" s="13" t="s">
        <v>1326</v>
      </c>
      <c r="J405" s="13" t="s">
        <v>1327</v>
      </c>
      <c r="K405" s="284">
        <v>45111</v>
      </c>
      <c r="L405" s="283">
        <f t="shared" si="90"/>
        <v>6</v>
      </c>
      <c r="M405" s="283" t="str">
        <f t="shared" si="91"/>
        <v>-</v>
      </c>
      <c r="N405" s="283" t="str">
        <f t="shared" si="92"/>
        <v>-</v>
      </c>
      <c r="O405" s="283" t="str">
        <f t="shared" si="93"/>
        <v>-</v>
      </c>
      <c r="P405" s="283" t="str">
        <f t="shared" si="94"/>
        <v>-</v>
      </c>
      <c r="Q405" s="283" t="str">
        <f t="shared" si="95"/>
        <v>-</v>
      </c>
      <c r="R405" s="283" t="str">
        <f t="shared" si="96"/>
        <v>-</v>
      </c>
      <c r="S405" s="283" t="str">
        <f t="shared" si="97"/>
        <v>-</v>
      </c>
      <c r="T405" s="283" t="str">
        <f t="shared" si="98"/>
        <v>-</v>
      </c>
      <c r="U405" s="283" t="str">
        <f t="shared" si="99"/>
        <v>-</v>
      </c>
      <c r="V405" s="283" t="str">
        <f t="shared" si="100"/>
        <v>-</v>
      </c>
      <c r="W405" s="1" t="str">
        <f t="shared" si="101"/>
        <v>https://www.wto.org/english/res_e/statis_e/its2012_e/its12_trade_category_e.htm/</v>
      </c>
      <c r="X405" s="1" t="str">
        <f t="shared" si="102"/>
        <v>https://www.wto.org/</v>
      </c>
      <c r="Y405" s="1" t="str">
        <f t="shared" si="103"/>
        <v>優先3</v>
      </c>
      <c r="Z405" s="1" t="str">
        <f t="shared" si="104"/>
        <v>World Trade Organization. "Audio-visual services - Major exporters and importers of audio-visual and related services, 2010 and 2011". Accessed 04 July, 2023. https://www.wto.org/.</v>
      </c>
    </row>
    <row r="406" spans="2:26">
      <c r="B406" s="285" t="s">
        <v>926</v>
      </c>
      <c r="C406" s="285" t="s">
        <v>784</v>
      </c>
      <c r="D406" s="285" t="s">
        <v>673</v>
      </c>
      <c r="E406" s="285" t="s">
        <v>168</v>
      </c>
      <c r="F406" s="13" t="s">
        <v>925</v>
      </c>
      <c r="G406" s="13"/>
      <c r="H406" s="13"/>
      <c r="I406" s="13" t="s">
        <v>1326</v>
      </c>
      <c r="J406" s="13" t="s">
        <v>1327</v>
      </c>
      <c r="K406" s="284">
        <v>45111</v>
      </c>
      <c r="L406" s="283">
        <f t="shared" si="90"/>
        <v>6</v>
      </c>
      <c r="M406" s="283" t="str">
        <f t="shared" si="91"/>
        <v>-</v>
      </c>
      <c r="N406" s="283" t="str">
        <f t="shared" si="92"/>
        <v>-</v>
      </c>
      <c r="O406" s="283" t="str">
        <f t="shared" si="93"/>
        <v>-</v>
      </c>
      <c r="P406" s="283" t="str">
        <f t="shared" si="94"/>
        <v>-</v>
      </c>
      <c r="Q406" s="283" t="str">
        <f t="shared" si="95"/>
        <v>-</v>
      </c>
      <c r="R406" s="283" t="str">
        <f t="shared" si="96"/>
        <v>-</v>
      </c>
      <c r="S406" s="283" t="str">
        <f t="shared" si="97"/>
        <v>-</v>
      </c>
      <c r="T406" s="283" t="str">
        <f t="shared" si="98"/>
        <v>-</v>
      </c>
      <c r="U406" s="283" t="str">
        <f t="shared" si="99"/>
        <v>-</v>
      </c>
      <c r="V406" s="283" t="str">
        <f t="shared" si="100"/>
        <v>-</v>
      </c>
      <c r="W406" s="1" t="str">
        <f t="shared" si="101"/>
        <v>https://www.wto.org/english/res_e/statis_e/its2012_e/its12_trade_category_e.htm/</v>
      </c>
      <c r="X406" s="1" t="str">
        <f t="shared" si="102"/>
        <v>https://www.wto.org/</v>
      </c>
      <c r="Y406" s="1" t="str">
        <f t="shared" si="103"/>
        <v>優先3</v>
      </c>
      <c r="Z406" s="1" t="str">
        <f t="shared" si="104"/>
        <v>World Trade Organization. "Audio-visual services - Major exporters and importers of audio-visual and related services, 2010 and 2011". Accessed 04 July, 2023. https://www.wto.org/.</v>
      </c>
    </row>
    <row r="407" spans="2:26">
      <c r="B407" s="285" t="s">
        <v>926</v>
      </c>
      <c r="C407" s="285" t="s">
        <v>784</v>
      </c>
      <c r="D407" s="285" t="s">
        <v>673</v>
      </c>
      <c r="E407" s="285" t="s">
        <v>172</v>
      </c>
      <c r="F407" s="13" t="s">
        <v>925</v>
      </c>
      <c r="G407" s="13"/>
      <c r="H407" s="13"/>
      <c r="I407" s="13" t="s">
        <v>1326</v>
      </c>
      <c r="J407" s="13" t="s">
        <v>1327</v>
      </c>
      <c r="K407" s="284">
        <v>45111</v>
      </c>
      <c r="L407" s="283">
        <f t="shared" si="90"/>
        <v>6</v>
      </c>
      <c r="M407" s="283" t="str">
        <f t="shared" si="91"/>
        <v>-</v>
      </c>
      <c r="N407" s="283" t="str">
        <f t="shared" si="92"/>
        <v>-</v>
      </c>
      <c r="O407" s="283" t="str">
        <f t="shared" si="93"/>
        <v>-</v>
      </c>
      <c r="P407" s="283" t="str">
        <f t="shared" si="94"/>
        <v>-</v>
      </c>
      <c r="Q407" s="283" t="str">
        <f t="shared" si="95"/>
        <v>-</v>
      </c>
      <c r="R407" s="283" t="str">
        <f t="shared" si="96"/>
        <v>-</v>
      </c>
      <c r="S407" s="283" t="str">
        <f t="shared" si="97"/>
        <v>-</v>
      </c>
      <c r="T407" s="283" t="str">
        <f t="shared" si="98"/>
        <v>-</v>
      </c>
      <c r="U407" s="283" t="str">
        <f t="shared" si="99"/>
        <v>-</v>
      </c>
      <c r="V407" s="283" t="str">
        <f t="shared" si="100"/>
        <v>-</v>
      </c>
      <c r="W407" s="1" t="str">
        <f t="shared" si="101"/>
        <v>https://www.wto.org/english/res_e/statis_e/its2012_e/its12_trade_category_e.htm/</v>
      </c>
      <c r="X407" s="1" t="str">
        <f t="shared" si="102"/>
        <v>https://www.wto.org/</v>
      </c>
      <c r="Y407" s="1" t="str">
        <f t="shared" si="103"/>
        <v>優先3</v>
      </c>
      <c r="Z407" s="1" t="str">
        <f t="shared" si="104"/>
        <v>World Trade Organization. "Audio-visual services - Major exporters and importers of audio-visual and related services, 2010 and 2011". Accessed 04 July, 2023. https://www.wto.org/.</v>
      </c>
    </row>
    <row r="408" spans="2:26">
      <c r="B408" s="285" t="s">
        <v>926</v>
      </c>
      <c r="C408" s="285" t="s">
        <v>784</v>
      </c>
      <c r="D408" s="285" t="s">
        <v>673</v>
      </c>
      <c r="E408" s="285" t="s">
        <v>373</v>
      </c>
      <c r="F408" s="13" t="s">
        <v>925</v>
      </c>
      <c r="G408" s="13"/>
      <c r="H408" s="13"/>
      <c r="I408" s="13" t="s">
        <v>1326</v>
      </c>
      <c r="J408" s="13" t="s">
        <v>1327</v>
      </c>
      <c r="K408" s="284">
        <v>45111</v>
      </c>
      <c r="L408" s="283">
        <f t="shared" si="90"/>
        <v>6</v>
      </c>
      <c r="M408" s="283" t="str">
        <f t="shared" si="91"/>
        <v>-</v>
      </c>
      <c r="N408" s="283" t="str">
        <f t="shared" si="92"/>
        <v>-</v>
      </c>
      <c r="O408" s="283" t="str">
        <f t="shared" si="93"/>
        <v>-</v>
      </c>
      <c r="P408" s="283" t="str">
        <f t="shared" si="94"/>
        <v>-</v>
      </c>
      <c r="Q408" s="283" t="str">
        <f t="shared" si="95"/>
        <v>-</v>
      </c>
      <c r="R408" s="283" t="str">
        <f t="shared" si="96"/>
        <v>-</v>
      </c>
      <c r="S408" s="283" t="str">
        <f t="shared" si="97"/>
        <v>-</v>
      </c>
      <c r="T408" s="283" t="str">
        <f t="shared" si="98"/>
        <v>-</v>
      </c>
      <c r="U408" s="283" t="str">
        <f t="shared" si="99"/>
        <v>-</v>
      </c>
      <c r="V408" s="283" t="str">
        <f t="shared" si="100"/>
        <v>-</v>
      </c>
      <c r="W408" s="1" t="str">
        <f t="shared" si="101"/>
        <v>https://www.wto.org/english/res_e/statis_e/its2012_e/its12_trade_category_e.htm/</v>
      </c>
      <c r="X408" s="1" t="str">
        <f t="shared" si="102"/>
        <v>https://www.wto.org/</v>
      </c>
      <c r="Y408" s="1" t="str">
        <f t="shared" si="103"/>
        <v>優先3</v>
      </c>
      <c r="Z408" s="1" t="str">
        <f t="shared" si="104"/>
        <v>World Trade Organization. "Audio-visual services - Major exporters and importers of audio-visual and related services, 2010 and 2011". Accessed 04 July, 2023. https://www.wto.org/.</v>
      </c>
    </row>
    <row r="409" spans="2:26">
      <c r="B409" s="285" t="s">
        <v>926</v>
      </c>
      <c r="C409" s="285" t="s">
        <v>784</v>
      </c>
      <c r="D409" s="285" t="s">
        <v>673</v>
      </c>
      <c r="E409" s="285" t="s">
        <v>178</v>
      </c>
      <c r="F409" s="13" t="s">
        <v>925</v>
      </c>
      <c r="G409" s="13"/>
      <c r="H409" s="13"/>
      <c r="I409" s="13" t="s">
        <v>1326</v>
      </c>
      <c r="J409" s="13" t="s">
        <v>1327</v>
      </c>
      <c r="K409" s="284">
        <v>45111</v>
      </c>
      <c r="L409" s="283">
        <f t="shared" si="90"/>
        <v>6</v>
      </c>
      <c r="M409" s="283" t="str">
        <f t="shared" si="91"/>
        <v>-</v>
      </c>
      <c r="N409" s="283" t="str">
        <f t="shared" si="92"/>
        <v>-</v>
      </c>
      <c r="O409" s="283" t="str">
        <f t="shared" si="93"/>
        <v>-</v>
      </c>
      <c r="P409" s="283" t="str">
        <f t="shared" si="94"/>
        <v>-</v>
      </c>
      <c r="Q409" s="283" t="str">
        <f t="shared" si="95"/>
        <v>-</v>
      </c>
      <c r="R409" s="283" t="str">
        <f t="shared" si="96"/>
        <v>-</v>
      </c>
      <c r="S409" s="283" t="str">
        <f t="shared" si="97"/>
        <v>-</v>
      </c>
      <c r="T409" s="283" t="str">
        <f t="shared" si="98"/>
        <v>-</v>
      </c>
      <c r="U409" s="283" t="str">
        <f t="shared" si="99"/>
        <v>-</v>
      </c>
      <c r="V409" s="283" t="str">
        <f t="shared" si="100"/>
        <v>-</v>
      </c>
      <c r="W409" s="1" t="str">
        <f t="shared" si="101"/>
        <v>https://www.wto.org/english/res_e/statis_e/its2012_e/its12_trade_category_e.htm/</v>
      </c>
      <c r="X409" s="1" t="str">
        <f t="shared" si="102"/>
        <v>https://www.wto.org/</v>
      </c>
      <c r="Y409" s="1" t="str">
        <f t="shared" si="103"/>
        <v>優先3</v>
      </c>
      <c r="Z409" s="1" t="str">
        <f t="shared" si="104"/>
        <v>World Trade Organization. "Audio-visual services - Major exporters and importers of audio-visual and related services, 2010 and 2011". Accessed 04 July, 2023. https://www.wto.org/.</v>
      </c>
    </row>
    <row r="410" spans="2:26">
      <c r="B410" s="285" t="s">
        <v>926</v>
      </c>
      <c r="C410" s="285" t="s">
        <v>784</v>
      </c>
      <c r="D410" s="285" t="s">
        <v>673</v>
      </c>
      <c r="E410" s="285" t="s">
        <v>180</v>
      </c>
      <c r="F410" s="13" t="s">
        <v>925</v>
      </c>
      <c r="G410" s="13"/>
      <c r="H410" s="13"/>
      <c r="I410" s="13" t="s">
        <v>1326</v>
      </c>
      <c r="J410" s="13" t="s">
        <v>1327</v>
      </c>
      <c r="K410" s="284">
        <v>45111</v>
      </c>
      <c r="L410" s="283">
        <f t="shared" si="90"/>
        <v>6</v>
      </c>
      <c r="M410" s="283" t="str">
        <f t="shared" si="91"/>
        <v>-</v>
      </c>
      <c r="N410" s="283" t="str">
        <f t="shared" si="92"/>
        <v>-</v>
      </c>
      <c r="O410" s="283" t="str">
        <f t="shared" si="93"/>
        <v>-</v>
      </c>
      <c r="P410" s="283" t="str">
        <f t="shared" si="94"/>
        <v>-</v>
      </c>
      <c r="Q410" s="283" t="str">
        <f t="shared" si="95"/>
        <v>-</v>
      </c>
      <c r="R410" s="283" t="str">
        <f t="shared" si="96"/>
        <v>-</v>
      </c>
      <c r="S410" s="283" t="str">
        <f t="shared" si="97"/>
        <v>-</v>
      </c>
      <c r="T410" s="283" t="str">
        <f t="shared" si="98"/>
        <v>-</v>
      </c>
      <c r="U410" s="283" t="str">
        <f t="shared" si="99"/>
        <v>-</v>
      </c>
      <c r="V410" s="283" t="str">
        <f t="shared" si="100"/>
        <v>-</v>
      </c>
      <c r="W410" s="1" t="str">
        <f t="shared" si="101"/>
        <v>https://www.wto.org/english/res_e/statis_e/its2012_e/its12_trade_category_e.htm/</v>
      </c>
      <c r="X410" s="1" t="str">
        <f t="shared" si="102"/>
        <v>https://www.wto.org/</v>
      </c>
      <c r="Y410" s="1" t="str">
        <f t="shared" si="103"/>
        <v>優先3</v>
      </c>
      <c r="Z410" s="1" t="str">
        <f t="shared" si="104"/>
        <v>World Trade Organization. "Audio-visual services - Major exporters and importers of audio-visual and related services, 2010 and 2011". Accessed 04 July, 2023. https://www.wto.org/.</v>
      </c>
    </row>
    <row r="411" spans="2:26">
      <c r="B411" s="285" t="s">
        <v>923</v>
      </c>
      <c r="C411" s="285" t="s">
        <v>698</v>
      </c>
      <c r="D411" s="285" t="s">
        <v>688</v>
      </c>
      <c r="E411" s="285" t="s">
        <v>688</v>
      </c>
      <c r="F411" s="13" t="s">
        <v>924</v>
      </c>
      <c r="G411" s="13"/>
      <c r="H411" s="13"/>
      <c r="I411" s="13" t="s">
        <v>4136</v>
      </c>
      <c r="J411" s="13" t="s">
        <v>4137</v>
      </c>
      <c r="K411" s="284">
        <v>45090</v>
      </c>
      <c r="L411" s="283" t="str">
        <f t="shared" si="90"/>
        <v>-</v>
      </c>
      <c r="M411" s="283" t="str">
        <f t="shared" si="91"/>
        <v>-</v>
      </c>
      <c r="N411" s="283" t="str">
        <f t="shared" si="92"/>
        <v>-</v>
      </c>
      <c r="O411" s="283" t="str">
        <f t="shared" si="93"/>
        <v>-</v>
      </c>
      <c r="P411" s="283" t="str">
        <f t="shared" si="94"/>
        <v>-</v>
      </c>
      <c r="Q411" s="283" t="str">
        <f t="shared" si="95"/>
        <v>-</v>
      </c>
      <c r="R411" s="283" t="str">
        <f t="shared" si="96"/>
        <v>-</v>
      </c>
      <c r="S411" s="283" t="str">
        <f t="shared" si="97"/>
        <v>-</v>
      </c>
      <c r="T411" s="283" t="str">
        <f t="shared" si="98"/>
        <v>-</v>
      </c>
      <c r="U411" s="283" t="str">
        <f t="shared" si="99"/>
        <v>-</v>
      </c>
      <c r="V411" s="283" t="str">
        <f t="shared" si="100"/>
        <v>-</v>
      </c>
      <c r="W411" s="1" t="str">
        <f t="shared" si="101"/>
        <v>https://www.artprice.com/artprice-reports/the-art-market-in-2022/</v>
      </c>
      <c r="X411" s="1" t="str">
        <f t="shared" si="102"/>
        <v>https://www.artprice.com/</v>
      </c>
      <c r="Y411" s="1" t="str">
        <f t="shared" si="103"/>
        <v>優先2①</v>
      </c>
      <c r="Z411" s="1" t="str">
        <f t="shared" si="104"/>
        <v>ARTPRICE.COM. "Top 500 artists by auction turnover (2022)". Accessed 13 June, 2023. https://www.artprice.com/.</v>
      </c>
    </row>
    <row r="412" spans="2:26">
      <c r="B412" s="285" t="s">
        <v>923</v>
      </c>
      <c r="C412" s="285" t="s">
        <v>716</v>
      </c>
      <c r="D412" s="285" t="s">
        <v>688</v>
      </c>
      <c r="E412" s="285" t="s">
        <v>688</v>
      </c>
      <c r="F412" s="13" t="s">
        <v>922</v>
      </c>
      <c r="G412" s="13"/>
      <c r="H412" s="13"/>
      <c r="I412" s="13" t="s">
        <v>2652</v>
      </c>
      <c r="J412" s="13" t="s">
        <v>2653</v>
      </c>
      <c r="K412" s="284">
        <v>44341</v>
      </c>
      <c r="L412" s="283" t="str">
        <f t="shared" si="90"/>
        <v>-</v>
      </c>
      <c r="M412" s="283" t="str">
        <f t="shared" si="91"/>
        <v>-</v>
      </c>
      <c r="N412" s="283" t="str">
        <f t="shared" si="92"/>
        <v>-</v>
      </c>
      <c r="O412" s="283" t="str">
        <f t="shared" si="93"/>
        <v>-</v>
      </c>
      <c r="P412" s="283" t="str">
        <f t="shared" si="94"/>
        <v>-</v>
      </c>
      <c r="Q412" s="283" t="str">
        <f t="shared" si="95"/>
        <v>-</v>
      </c>
      <c r="R412" s="283" t="str">
        <f t="shared" si="96"/>
        <v>-</v>
      </c>
      <c r="S412" s="283" t="str">
        <f t="shared" si="97"/>
        <v>-</v>
      </c>
      <c r="T412" s="283" t="str">
        <f t="shared" si="98"/>
        <v>-</v>
      </c>
      <c r="U412" s="283" t="str">
        <f t="shared" si="99"/>
        <v>-</v>
      </c>
      <c r="V412" s="283" t="str">
        <f t="shared" si="100"/>
        <v>-</v>
      </c>
      <c r="W412" s="1" t="str">
        <f t="shared" si="101"/>
        <v>http://www.artnet.com/galleries/fine-art/</v>
      </c>
      <c r="X412" s="1" t="str">
        <f t="shared" si="102"/>
        <v>http://www.artnet.com/</v>
      </c>
      <c r="Y412" s="1" t="str">
        <f t="shared" si="103"/>
        <v>優先2②</v>
      </c>
      <c r="Z412" s="1" t="str">
        <f t="shared" si="104"/>
        <v>Artnet Worldwide Corporation. "artnet galleries". Accessed 25 May, 2021. http://www.artnet.com/.</v>
      </c>
    </row>
    <row r="413" spans="2:26">
      <c r="B413" s="285" t="s">
        <v>923</v>
      </c>
      <c r="C413" s="285" t="s">
        <v>774</v>
      </c>
      <c r="D413" s="285" t="s">
        <v>688</v>
      </c>
      <c r="E413" s="285" t="s">
        <v>688</v>
      </c>
      <c r="F413" s="13" t="s">
        <v>3708</v>
      </c>
      <c r="G413" s="13"/>
      <c r="H413" s="13"/>
      <c r="I413" s="13" t="s">
        <v>3709</v>
      </c>
      <c r="J413" s="13" t="s">
        <v>3710</v>
      </c>
      <c r="K413" s="284">
        <v>45090</v>
      </c>
      <c r="L413" s="283" t="str">
        <f t="shared" si="90"/>
        <v>-</v>
      </c>
      <c r="M413" s="283" t="str">
        <f t="shared" si="91"/>
        <v>-</v>
      </c>
      <c r="N413" s="283" t="str">
        <f t="shared" si="92"/>
        <v>-</v>
      </c>
      <c r="O413" s="283" t="str">
        <f t="shared" si="93"/>
        <v>-</v>
      </c>
      <c r="P413" s="283" t="str">
        <f t="shared" si="94"/>
        <v>-</v>
      </c>
      <c r="Q413" s="283" t="str">
        <f t="shared" si="95"/>
        <v>-</v>
      </c>
      <c r="R413" s="283" t="str">
        <f t="shared" si="96"/>
        <v>-</v>
      </c>
      <c r="S413" s="283" t="str">
        <f t="shared" si="97"/>
        <v>-</v>
      </c>
      <c r="T413" s="283" t="str">
        <f t="shared" si="98"/>
        <v>-</v>
      </c>
      <c r="U413" s="283" t="str">
        <f t="shared" si="99"/>
        <v>-</v>
      </c>
      <c r="V413" s="283" t="str">
        <f t="shared" si="100"/>
        <v>-</v>
      </c>
      <c r="W413" s="1" t="str">
        <f t="shared" si="101"/>
        <v>https://www.artsy.net/</v>
      </c>
      <c r="X413" s="1" t="str">
        <f t="shared" si="102"/>
        <v>https://www.artsy.net/</v>
      </c>
      <c r="Y413" s="1" t="str">
        <f t="shared" si="103"/>
        <v>優先2③</v>
      </c>
      <c r="Z413" s="1" t="str">
        <f t="shared" si="104"/>
        <v>Artsy.net. "Artwork Location". Accessed 13 June, 2023. https://www.artsy.net/.</v>
      </c>
    </row>
    <row r="414" spans="2:26">
      <c r="B414" s="285" t="s">
        <v>921</v>
      </c>
      <c r="C414" s="285" t="s">
        <v>698</v>
      </c>
      <c r="D414" s="285" t="s">
        <v>688</v>
      </c>
      <c r="E414" s="285" t="s">
        <v>688</v>
      </c>
      <c r="F414" s="13" t="s">
        <v>916</v>
      </c>
      <c r="G414" s="13"/>
      <c r="H414" s="13"/>
      <c r="I414" s="13" t="s">
        <v>915</v>
      </c>
      <c r="J414" s="13" t="s">
        <v>1332</v>
      </c>
      <c r="K414" s="284">
        <v>45091</v>
      </c>
      <c r="L414" s="283" t="str">
        <f t="shared" si="90"/>
        <v>-</v>
      </c>
      <c r="M414" s="283" t="str">
        <f t="shared" si="91"/>
        <v>-</v>
      </c>
      <c r="N414" s="283" t="str">
        <f t="shared" si="92"/>
        <v>-</v>
      </c>
      <c r="O414" s="283" t="str">
        <f t="shared" si="93"/>
        <v>-</v>
      </c>
      <c r="P414" s="283" t="str">
        <f t="shared" si="94"/>
        <v>-</v>
      </c>
      <c r="Q414" s="283" t="str">
        <f t="shared" si="95"/>
        <v>-</v>
      </c>
      <c r="R414" s="283" t="str">
        <f t="shared" si="96"/>
        <v>-</v>
      </c>
      <c r="S414" s="283" t="str">
        <f t="shared" si="97"/>
        <v>-</v>
      </c>
      <c r="T414" s="283" t="str">
        <f t="shared" si="98"/>
        <v>-</v>
      </c>
      <c r="U414" s="283" t="str">
        <f t="shared" si="99"/>
        <v>-</v>
      </c>
      <c r="V414" s="283" t="str">
        <f t="shared" si="100"/>
        <v>-</v>
      </c>
      <c r="W414" s="1" t="str">
        <f t="shared" si="101"/>
        <v>https://www.tripadvisor.com/</v>
      </c>
      <c r="X414" s="1" t="str">
        <f t="shared" si="102"/>
        <v>https://www.tripadvisor.com/</v>
      </c>
      <c r="Y414" s="1" t="str">
        <f t="shared" si="103"/>
        <v>優先2①</v>
      </c>
      <c r="Z414" s="1" t="str">
        <f t="shared" si="104"/>
        <v>TripAdvisor LLC. "Trip Advisor". Accessed 14 June, 2023. https://www.tripadvisor.com/.</v>
      </c>
    </row>
    <row r="415" spans="2:26">
      <c r="B415" s="285" t="s">
        <v>921</v>
      </c>
      <c r="C415" s="285" t="s">
        <v>716</v>
      </c>
      <c r="D415" s="285" t="s">
        <v>688</v>
      </c>
      <c r="E415" s="285" t="s">
        <v>688</v>
      </c>
      <c r="F415" s="13" t="s">
        <v>1029</v>
      </c>
      <c r="G415" s="13"/>
      <c r="H415" s="13"/>
      <c r="I415" s="13"/>
      <c r="J415" s="13"/>
      <c r="K415" s="284"/>
      <c r="L415" s="283" t="str">
        <f t="shared" si="90"/>
        <v>-</v>
      </c>
      <c r="M415" s="283" t="str">
        <f t="shared" si="91"/>
        <v>書籍</v>
      </c>
      <c r="N415" s="283" t="str">
        <f t="shared" si="92"/>
        <v>-</v>
      </c>
      <c r="O415" s="283" t="str">
        <f t="shared" si="93"/>
        <v>-</v>
      </c>
      <c r="P415" s="283" t="str">
        <f t="shared" si="94"/>
        <v>-</v>
      </c>
      <c r="Q415" s="283" t="str">
        <f t="shared" si="95"/>
        <v>-</v>
      </c>
      <c r="R415" s="283" t="str">
        <f t="shared" si="96"/>
        <v>-</v>
      </c>
      <c r="S415" s="283" t="str">
        <f t="shared" si="97"/>
        <v>-</v>
      </c>
      <c r="T415" s="283" t="str">
        <f t="shared" si="98"/>
        <v>-</v>
      </c>
      <c r="U415" s="283" t="str">
        <f t="shared" si="99"/>
        <v>-</v>
      </c>
      <c r="V415" s="283" t="str">
        <f t="shared" si="100"/>
        <v>-</v>
      </c>
      <c r="W415" s="1" t="str">
        <f t="shared" si="101"/>
        <v/>
      </c>
      <c r="X415" s="1" t="str">
        <f t="shared" si="102"/>
        <v/>
      </c>
      <c r="Y415" s="1" t="str">
        <f t="shared" si="103"/>
        <v>優先2②</v>
      </c>
      <c r="Z415" s="1" t="str">
        <f t="shared" si="104"/>
        <v>居住者アンケート</v>
      </c>
    </row>
    <row r="416" spans="2:26">
      <c r="B416" s="285" t="s">
        <v>920</v>
      </c>
      <c r="C416" s="285" t="s">
        <v>464</v>
      </c>
      <c r="D416" s="285" t="s">
        <v>688</v>
      </c>
      <c r="E416" s="285" t="s">
        <v>688</v>
      </c>
      <c r="F416" s="13" t="s">
        <v>919</v>
      </c>
      <c r="G416" s="13"/>
      <c r="H416" s="13"/>
      <c r="I416" s="13" t="s">
        <v>1329</v>
      </c>
      <c r="J416" s="13" t="s">
        <v>1330</v>
      </c>
      <c r="K416" s="284">
        <v>45077</v>
      </c>
      <c r="L416" s="283" t="str">
        <f t="shared" si="90"/>
        <v>-</v>
      </c>
      <c r="M416" s="283" t="str">
        <f t="shared" si="91"/>
        <v>-</v>
      </c>
      <c r="N416" s="283" t="str">
        <f t="shared" si="92"/>
        <v>-</v>
      </c>
      <c r="O416" s="283" t="str">
        <f t="shared" si="93"/>
        <v>-</v>
      </c>
      <c r="P416" s="283" t="str">
        <f t="shared" si="94"/>
        <v>-</v>
      </c>
      <c r="Q416" s="283" t="str">
        <f t="shared" si="95"/>
        <v>-</v>
      </c>
      <c r="R416" s="283" t="str">
        <f t="shared" si="96"/>
        <v>-</v>
      </c>
      <c r="S416" s="283" t="str">
        <f t="shared" si="97"/>
        <v>-</v>
      </c>
      <c r="T416" s="283" t="str">
        <f t="shared" si="98"/>
        <v>-</v>
      </c>
      <c r="U416" s="283" t="str">
        <f t="shared" si="99"/>
        <v>-</v>
      </c>
      <c r="V416" s="283" t="str">
        <f t="shared" si="100"/>
        <v>-</v>
      </c>
      <c r="W416" s="1" t="str">
        <f t="shared" si="101"/>
        <v>https://whc.unesco.org/</v>
      </c>
      <c r="X416" s="1" t="str">
        <f t="shared" si="102"/>
        <v>https://whc.unesco.org/</v>
      </c>
      <c r="Y416" s="1" t="str">
        <f t="shared" si="103"/>
        <v>優先1</v>
      </c>
      <c r="Z416" s="1" t="str">
        <f t="shared" si="104"/>
        <v>United Nations Educational, Scientific and Cultural Organization. "World Heritage List". Accessed 31 May, 2023. https://whc.unesco.org/.</v>
      </c>
    </row>
    <row r="417" spans="2:26">
      <c r="B417" s="285" t="s">
        <v>918</v>
      </c>
      <c r="C417" s="285" t="s">
        <v>698</v>
      </c>
      <c r="D417" s="285" t="s">
        <v>688</v>
      </c>
      <c r="E417" s="285" t="s">
        <v>688</v>
      </c>
      <c r="F417" s="13" t="s">
        <v>916</v>
      </c>
      <c r="G417" s="13"/>
      <c r="H417" s="13"/>
      <c r="I417" s="13" t="s">
        <v>915</v>
      </c>
      <c r="J417" s="13" t="s">
        <v>1332</v>
      </c>
      <c r="K417" s="284">
        <v>45090</v>
      </c>
      <c r="L417" s="283" t="str">
        <f t="shared" si="90"/>
        <v>-</v>
      </c>
      <c r="M417" s="283" t="str">
        <f t="shared" si="91"/>
        <v>-</v>
      </c>
      <c r="N417" s="283" t="str">
        <f t="shared" si="92"/>
        <v>-</v>
      </c>
      <c r="O417" s="283" t="str">
        <f t="shared" si="93"/>
        <v>-</v>
      </c>
      <c r="P417" s="283" t="str">
        <f t="shared" si="94"/>
        <v>-</v>
      </c>
      <c r="Q417" s="283" t="str">
        <f t="shared" si="95"/>
        <v>-</v>
      </c>
      <c r="R417" s="283" t="str">
        <f t="shared" si="96"/>
        <v>-</v>
      </c>
      <c r="S417" s="283" t="str">
        <f t="shared" si="97"/>
        <v>-</v>
      </c>
      <c r="T417" s="283" t="str">
        <f t="shared" si="98"/>
        <v>-</v>
      </c>
      <c r="U417" s="283" t="str">
        <f t="shared" si="99"/>
        <v>-</v>
      </c>
      <c r="V417" s="283" t="str">
        <f t="shared" si="100"/>
        <v>-</v>
      </c>
      <c r="W417" s="1" t="str">
        <f t="shared" si="101"/>
        <v>https://www.tripadvisor.com/</v>
      </c>
      <c r="X417" s="1" t="str">
        <f t="shared" si="102"/>
        <v>https://www.tripadvisor.com/</v>
      </c>
      <c r="Y417" s="1" t="str">
        <f t="shared" si="103"/>
        <v>優先2①</v>
      </c>
      <c r="Z417" s="1" t="str">
        <f t="shared" si="104"/>
        <v>TripAdvisor LLC. "Trip Advisor". Accessed 13 June, 2023. https://www.tripadvisor.com/.</v>
      </c>
    </row>
    <row r="418" spans="2:26">
      <c r="B418" s="285" t="s">
        <v>918</v>
      </c>
      <c r="C418" s="285" t="s">
        <v>464</v>
      </c>
      <c r="D418" s="285" t="s">
        <v>688</v>
      </c>
      <c r="E418" s="285" t="s">
        <v>688</v>
      </c>
      <c r="F418" s="13" t="s">
        <v>1029</v>
      </c>
      <c r="G418" s="13"/>
      <c r="H418" s="13"/>
      <c r="I418" s="13"/>
      <c r="J418" s="13"/>
      <c r="K418" s="284"/>
      <c r="L418" s="283" t="str">
        <f t="shared" si="90"/>
        <v>-</v>
      </c>
      <c r="M418" s="283" t="str">
        <f t="shared" si="91"/>
        <v>書籍</v>
      </c>
      <c r="N418" s="283" t="str">
        <f t="shared" si="92"/>
        <v>-</v>
      </c>
      <c r="O418" s="283" t="str">
        <f t="shared" si="93"/>
        <v>-</v>
      </c>
      <c r="P418" s="283" t="str">
        <f t="shared" si="94"/>
        <v>-</v>
      </c>
      <c r="Q418" s="283" t="str">
        <f t="shared" si="95"/>
        <v>-</v>
      </c>
      <c r="R418" s="283" t="str">
        <f t="shared" si="96"/>
        <v>-</v>
      </c>
      <c r="S418" s="283" t="str">
        <f t="shared" si="97"/>
        <v>-</v>
      </c>
      <c r="T418" s="283" t="str">
        <f t="shared" si="98"/>
        <v>-</v>
      </c>
      <c r="U418" s="283" t="str">
        <f t="shared" si="99"/>
        <v>-</v>
      </c>
      <c r="V418" s="283" t="str">
        <f t="shared" si="100"/>
        <v>-</v>
      </c>
      <c r="W418" s="1" t="str">
        <f t="shared" si="101"/>
        <v/>
      </c>
      <c r="X418" s="1" t="str">
        <f t="shared" si="102"/>
        <v/>
      </c>
      <c r="Y418" s="1" t="str">
        <f t="shared" si="103"/>
        <v>優先1</v>
      </c>
      <c r="Z418" s="1" t="str">
        <f t="shared" si="104"/>
        <v>居住者アンケート</v>
      </c>
    </row>
    <row r="419" spans="2:26">
      <c r="B419" s="285" t="s">
        <v>917</v>
      </c>
      <c r="C419" s="285" t="s">
        <v>716</v>
      </c>
      <c r="D419" s="285" t="s">
        <v>688</v>
      </c>
      <c r="E419" s="285" t="s">
        <v>688</v>
      </c>
      <c r="F419" s="13" t="s">
        <v>705</v>
      </c>
      <c r="G419" s="13"/>
      <c r="H419" s="13"/>
      <c r="I419" s="13" t="s">
        <v>704</v>
      </c>
      <c r="J419" s="13" t="s">
        <v>1484</v>
      </c>
      <c r="K419" s="284">
        <v>45090</v>
      </c>
      <c r="L419" s="283" t="str">
        <f t="shared" si="90"/>
        <v>-</v>
      </c>
      <c r="M419" s="283" t="str">
        <f t="shared" si="91"/>
        <v>-</v>
      </c>
      <c r="N419" s="283" t="str">
        <f t="shared" si="92"/>
        <v>-</v>
      </c>
      <c r="O419" s="283" t="str">
        <f t="shared" si="93"/>
        <v>-</v>
      </c>
      <c r="P419" s="283" t="str">
        <f t="shared" si="94"/>
        <v>-</v>
      </c>
      <c r="Q419" s="283" t="str">
        <f t="shared" si="95"/>
        <v>-</v>
      </c>
      <c r="R419" s="283" t="str">
        <f t="shared" si="96"/>
        <v>-</v>
      </c>
      <c r="S419" s="283" t="str">
        <f t="shared" si="97"/>
        <v>-</v>
      </c>
      <c r="T419" s="283" t="str">
        <f t="shared" si="98"/>
        <v>-</v>
      </c>
      <c r="U419" s="283" t="str">
        <f t="shared" si="99"/>
        <v>-</v>
      </c>
      <c r="V419" s="283" t="str">
        <f t="shared" si="100"/>
        <v>-</v>
      </c>
      <c r="W419" s="1" t="str">
        <f t="shared" si="101"/>
        <v>https://www.openstreetmap.org/</v>
      </c>
      <c r="X419" s="1" t="str">
        <f t="shared" si="102"/>
        <v>https://www.openstreetmap.org/</v>
      </c>
      <c r="Y419" s="1" t="str">
        <f t="shared" si="103"/>
        <v>優先2②</v>
      </c>
      <c r="Z419" s="1" t="str">
        <f t="shared" si="104"/>
        <v>OpenStreetMap contributors. "OpenStreetMap". Accessed 13 June, 2023. https://www.openstreetmap.org/.</v>
      </c>
    </row>
    <row r="420" spans="2:26">
      <c r="B420" s="285" t="s">
        <v>917</v>
      </c>
      <c r="C420" s="285" t="s">
        <v>698</v>
      </c>
      <c r="D420" s="285" t="s">
        <v>688</v>
      </c>
      <c r="E420" s="285" t="s">
        <v>688</v>
      </c>
      <c r="F420" s="13" t="s">
        <v>916</v>
      </c>
      <c r="G420" s="13"/>
      <c r="H420" s="13"/>
      <c r="I420" s="13" t="s">
        <v>915</v>
      </c>
      <c r="J420" s="13" t="s">
        <v>1328</v>
      </c>
      <c r="K420" s="284">
        <v>45153</v>
      </c>
      <c r="L420" s="283" t="str">
        <f t="shared" si="90"/>
        <v>-</v>
      </c>
      <c r="M420" s="283" t="str">
        <f t="shared" si="91"/>
        <v>-</v>
      </c>
      <c r="N420" s="283" t="str">
        <f t="shared" si="92"/>
        <v>-</v>
      </c>
      <c r="O420" s="283" t="str">
        <f t="shared" si="93"/>
        <v>-</v>
      </c>
      <c r="P420" s="283" t="str">
        <f t="shared" si="94"/>
        <v>-</v>
      </c>
      <c r="Q420" s="283" t="str">
        <f t="shared" si="95"/>
        <v>-</v>
      </c>
      <c r="R420" s="283" t="str">
        <f t="shared" si="96"/>
        <v>-</v>
      </c>
      <c r="S420" s="283" t="str">
        <f t="shared" si="97"/>
        <v>-</v>
      </c>
      <c r="T420" s="283" t="str">
        <f t="shared" si="98"/>
        <v>-</v>
      </c>
      <c r="U420" s="283" t="str">
        <f t="shared" si="99"/>
        <v>-</v>
      </c>
      <c r="V420" s="283" t="str">
        <f t="shared" si="100"/>
        <v>-</v>
      </c>
      <c r="W420" s="1" t="str">
        <f t="shared" si="101"/>
        <v>https://www.tripadvisor.com/</v>
      </c>
      <c r="X420" s="1" t="str">
        <f t="shared" si="102"/>
        <v>https://www.tripadvisor.com/</v>
      </c>
      <c r="Y420" s="1" t="str">
        <f t="shared" si="103"/>
        <v>優先2①</v>
      </c>
      <c r="Z420" s="1" t="str">
        <f t="shared" si="104"/>
        <v>TripAdvisor LLC. "Trip Advisor". Accessed 15 August, 2023. https://www.tripadvisor.com/.</v>
      </c>
    </row>
    <row r="421" spans="2:26">
      <c r="B421" s="285" t="s">
        <v>1033</v>
      </c>
      <c r="C421" s="285" t="s">
        <v>464</v>
      </c>
      <c r="D421" s="285" t="s">
        <v>688</v>
      </c>
      <c r="E421" s="285" t="s">
        <v>688</v>
      </c>
      <c r="F421" s="13" t="s">
        <v>4138</v>
      </c>
      <c r="G421" s="13"/>
      <c r="H421" s="13"/>
      <c r="I421" s="13" t="s">
        <v>3711</v>
      </c>
      <c r="J421" s="13" t="s">
        <v>4139</v>
      </c>
      <c r="K421" s="284">
        <v>45113</v>
      </c>
      <c r="L421" s="283" t="str">
        <f t="shared" si="90"/>
        <v>-</v>
      </c>
      <c r="M421" s="283" t="str">
        <f t="shared" si="91"/>
        <v>-</v>
      </c>
      <c r="N421" s="283" t="str">
        <f t="shared" si="92"/>
        <v>-</v>
      </c>
      <c r="O421" s="283" t="str">
        <f t="shared" si="93"/>
        <v>-</v>
      </c>
      <c r="P421" s="283" t="str">
        <f t="shared" si="94"/>
        <v>-</v>
      </c>
      <c r="Q421" s="283" t="str">
        <f t="shared" si="95"/>
        <v>-</v>
      </c>
      <c r="R421" s="283" t="str">
        <f t="shared" si="96"/>
        <v>-</v>
      </c>
      <c r="S421" s="283" t="str">
        <f t="shared" si="97"/>
        <v>-</v>
      </c>
      <c r="T421" s="283" t="str">
        <f t="shared" si="98"/>
        <v>-</v>
      </c>
      <c r="U421" s="283" t="str">
        <f t="shared" si="99"/>
        <v>-</v>
      </c>
      <c r="V421" s="283" t="str">
        <f t="shared" si="100"/>
        <v>-</v>
      </c>
      <c r="W421" s="1" t="str">
        <f t="shared" si="101"/>
        <v>https://doi.org/10.1515/mow/</v>
      </c>
      <c r="X421" s="1" t="str">
        <f t="shared" si="102"/>
        <v>https://doi.org/</v>
      </c>
      <c r="Y421" s="1" t="str">
        <f t="shared" si="103"/>
        <v>優先1</v>
      </c>
      <c r="Z421" s="1" t="str">
        <f t="shared" si="104"/>
        <v>De Gruyter. "Museums of the World". Accessed 06 July, 2023. https://doi.org/.</v>
      </c>
    </row>
    <row r="422" spans="2:26">
      <c r="B422" s="285" t="s">
        <v>914</v>
      </c>
      <c r="C422" s="285" t="s">
        <v>464</v>
      </c>
      <c r="D422" s="285" t="s">
        <v>688</v>
      </c>
      <c r="E422" s="285" t="s">
        <v>688</v>
      </c>
      <c r="F422" s="13" t="s">
        <v>913</v>
      </c>
      <c r="G422" s="13"/>
      <c r="H422" s="13"/>
      <c r="I422" s="13" t="s">
        <v>913</v>
      </c>
      <c r="J422" s="13" t="s">
        <v>1331</v>
      </c>
      <c r="K422" s="284">
        <v>44357</v>
      </c>
      <c r="L422" s="283" t="str">
        <f t="shared" si="90"/>
        <v>-</v>
      </c>
      <c r="M422" s="283" t="str">
        <f t="shared" si="91"/>
        <v>-</v>
      </c>
      <c r="N422" s="283" t="str">
        <f t="shared" si="92"/>
        <v>-</v>
      </c>
      <c r="O422" s="283" t="str">
        <f t="shared" si="93"/>
        <v>-</v>
      </c>
      <c r="P422" s="283" t="str">
        <f t="shared" si="94"/>
        <v>-</v>
      </c>
      <c r="Q422" s="283" t="str">
        <f t="shared" si="95"/>
        <v>-</v>
      </c>
      <c r="R422" s="283" t="str">
        <f t="shared" si="96"/>
        <v>-</v>
      </c>
      <c r="S422" s="283" t="str">
        <f t="shared" si="97"/>
        <v>-</v>
      </c>
      <c r="T422" s="283" t="str">
        <f t="shared" si="98"/>
        <v>-</v>
      </c>
      <c r="U422" s="283" t="str">
        <f t="shared" si="99"/>
        <v>-</v>
      </c>
      <c r="V422" s="283" t="str">
        <f t="shared" si="100"/>
        <v>-</v>
      </c>
      <c r="W422" s="1" t="str">
        <f t="shared" si="101"/>
        <v>http://www.worldstadiums.com/</v>
      </c>
      <c r="X422" s="1" t="str">
        <f t="shared" si="102"/>
        <v>http://www.worldstadiums.com/</v>
      </c>
      <c r="Y422" s="1" t="str">
        <f t="shared" si="103"/>
        <v>優先1</v>
      </c>
      <c r="Z422" s="1" t="str">
        <f t="shared" si="104"/>
        <v>World Stadiums. "World Stadiums". Accessed 10 June, 2021. http://www.worldstadiums.com/.</v>
      </c>
    </row>
    <row r="423" spans="2:26">
      <c r="B423" s="285" t="s">
        <v>914</v>
      </c>
      <c r="C423" s="285" t="s">
        <v>464</v>
      </c>
      <c r="D423" s="285" t="s">
        <v>688</v>
      </c>
      <c r="E423" s="285" t="s">
        <v>688</v>
      </c>
      <c r="F423" s="13" t="s">
        <v>4140</v>
      </c>
      <c r="G423" s="13"/>
      <c r="H423" s="13"/>
      <c r="I423" s="13" t="s">
        <v>4140</v>
      </c>
      <c r="J423" s="13" t="s">
        <v>4141</v>
      </c>
      <c r="K423" s="284">
        <v>45092</v>
      </c>
      <c r="L423" s="283" t="str">
        <f t="shared" si="90"/>
        <v>-</v>
      </c>
      <c r="M423" s="283" t="str">
        <f t="shared" si="91"/>
        <v>-</v>
      </c>
      <c r="N423" s="283" t="str">
        <f t="shared" si="92"/>
        <v>-</v>
      </c>
      <c r="O423" s="283" t="str">
        <f t="shared" si="93"/>
        <v>-</v>
      </c>
      <c r="P423" s="283" t="str">
        <f t="shared" si="94"/>
        <v>-</v>
      </c>
      <c r="Q423" s="283" t="str">
        <f t="shared" si="95"/>
        <v>-</v>
      </c>
      <c r="R423" s="283" t="str">
        <f t="shared" si="96"/>
        <v>-</v>
      </c>
      <c r="S423" s="283" t="str">
        <f t="shared" si="97"/>
        <v>-</v>
      </c>
      <c r="T423" s="283" t="str">
        <f t="shared" si="98"/>
        <v>-</v>
      </c>
      <c r="U423" s="283" t="str">
        <f t="shared" si="99"/>
        <v>-</v>
      </c>
      <c r="V423" s="283" t="str">
        <f t="shared" si="100"/>
        <v>-</v>
      </c>
      <c r="W423" s="1" t="str">
        <f t="shared" si="101"/>
        <v>http://www.worldofstadiums.com/</v>
      </c>
      <c r="X423" s="1" t="str">
        <f t="shared" si="102"/>
        <v>http://www.worldofstadiums.com/</v>
      </c>
      <c r="Y423" s="1" t="str">
        <f t="shared" si="103"/>
        <v>優先1</v>
      </c>
      <c r="Z423" s="1" t="str">
        <f t="shared" si="104"/>
        <v>World of Stadiums. "World of Stadiums". Accessed 15 June, 2023. http://www.worldofstadiums.com/.</v>
      </c>
    </row>
    <row r="424" spans="2:26">
      <c r="B424" s="285" t="s">
        <v>912</v>
      </c>
      <c r="C424" s="285" t="s">
        <v>464</v>
      </c>
      <c r="D424" s="285" t="s">
        <v>688</v>
      </c>
      <c r="E424" s="285" t="s">
        <v>688</v>
      </c>
      <c r="F424" s="13" t="s">
        <v>910</v>
      </c>
      <c r="G424" s="13"/>
      <c r="H424" s="13"/>
      <c r="I424" s="13" t="s">
        <v>909</v>
      </c>
      <c r="J424" s="13" t="s">
        <v>2516</v>
      </c>
      <c r="K424" s="284">
        <v>44739</v>
      </c>
      <c r="L424" s="283" t="str">
        <f t="shared" si="90"/>
        <v>-</v>
      </c>
      <c r="M424" s="283" t="str">
        <f t="shared" si="91"/>
        <v>-</v>
      </c>
      <c r="N424" s="283" t="str">
        <f t="shared" si="92"/>
        <v>-</v>
      </c>
      <c r="O424" s="283" t="str">
        <f t="shared" si="93"/>
        <v>-</v>
      </c>
      <c r="P424" s="283" t="str">
        <f t="shared" si="94"/>
        <v>-</v>
      </c>
      <c r="Q424" s="283" t="str">
        <f t="shared" si="95"/>
        <v>-</v>
      </c>
      <c r="R424" s="283" t="str">
        <f t="shared" si="96"/>
        <v>-</v>
      </c>
      <c r="S424" s="283" t="str">
        <f t="shared" si="97"/>
        <v>-</v>
      </c>
      <c r="T424" s="283" t="str">
        <f t="shared" si="98"/>
        <v>-</v>
      </c>
      <c r="U424" s="283" t="str">
        <f t="shared" si="99"/>
        <v>-</v>
      </c>
      <c r="V424" s="283" t="str">
        <f t="shared" si="100"/>
        <v>-</v>
      </c>
      <c r="W424" s="1" t="str">
        <f t="shared" si="101"/>
        <v>https://www.hotels.com/./</v>
      </c>
      <c r="X424" s="1" t="str">
        <f t="shared" si="102"/>
        <v>https://www.hotels.com/</v>
      </c>
      <c r="Y424" s="1" t="str">
        <f t="shared" si="103"/>
        <v>優先1</v>
      </c>
      <c r="Z424" s="1" t="str">
        <f t="shared" si="104"/>
        <v>Hotels.com, L.P. "Hotels.com". Accessed 27 June, 2022. https://www.hotels.com/.</v>
      </c>
    </row>
    <row r="425" spans="2:26">
      <c r="B425" s="285" t="s">
        <v>911</v>
      </c>
      <c r="C425" s="285" t="s">
        <v>464</v>
      </c>
      <c r="D425" s="285" t="s">
        <v>688</v>
      </c>
      <c r="E425" s="285" t="s">
        <v>688</v>
      </c>
      <c r="F425" s="13" t="s">
        <v>910</v>
      </c>
      <c r="G425" s="13"/>
      <c r="H425" s="13"/>
      <c r="I425" s="13" t="s">
        <v>909</v>
      </c>
      <c r="J425" s="13" t="s">
        <v>2516</v>
      </c>
      <c r="K425" s="284">
        <v>44739</v>
      </c>
      <c r="L425" s="283" t="str">
        <f t="shared" si="90"/>
        <v>-</v>
      </c>
      <c r="M425" s="283" t="str">
        <f t="shared" si="91"/>
        <v>-</v>
      </c>
      <c r="N425" s="283" t="str">
        <f t="shared" si="92"/>
        <v>-</v>
      </c>
      <c r="O425" s="283" t="str">
        <f t="shared" si="93"/>
        <v>-</v>
      </c>
      <c r="P425" s="283" t="str">
        <f t="shared" si="94"/>
        <v>-</v>
      </c>
      <c r="Q425" s="283" t="str">
        <f t="shared" si="95"/>
        <v>-</v>
      </c>
      <c r="R425" s="283" t="str">
        <f t="shared" si="96"/>
        <v>-</v>
      </c>
      <c r="S425" s="283" t="str">
        <f t="shared" si="97"/>
        <v>-</v>
      </c>
      <c r="T425" s="283" t="str">
        <f t="shared" si="98"/>
        <v>-</v>
      </c>
      <c r="U425" s="283" t="str">
        <f t="shared" si="99"/>
        <v>-</v>
      </c>
      <c r="V425" s="283" t="str">
        <f t="shared" si="100"/>
        <v>-</v>
      </c>
      <c r="W425" s="1" t="str">
        <f t="shared" si="101"/>
        <v>https://www.hotels.com/./</v>
      </c>
      <c r="X425" s="1" t="str">
        <f t="shared" si="102"/>
        <v>https://www.hotels.com/</v>
      </c>
      <c r="Y425" s="1" t="str">
        <f t="shared" si="103"/>
        <v>優先1</v>
      </c>
      <c r="Z425" s="1" t="str">
        <f t="shared" si="104"/>
        <v>Hotels.com, L.P. "Hotels.com". Accessed 27 June, 2022. https://www.hotels.com/.</v>
      </c>
    </row>
    <row r="426" spans="2:26">
      <c r="B426" s="285" t="s">
        <v>1032</v>
      </c>
      <c r="C426" s="285" t="s">
        <v>698</v>
      </c>
      <c r="D426" s="285" t="s">
        <v>688</v>
      </c>
      <c r="E426" s="285" t="s">
        <v>688</v>
      </c>
      <c r="F426" s="13" t="s">
        <v>916</v>
      </c>
      <c r="G426" s="13"/>
      <c r="H426" s="13"/>
      <c r="I426" s="13" t="s">
        <v>915</v>
      </c>
      <c r="J426" s="13" t="s">
        <v>1332</v>
      </c>
      <c r="K426" s="284">
        <v>45133</v>
      </c>
      <c r="L426" s="283" t="str">
        <f t="shared" si="90"/>
        <v>-</v>
      </c>
      <c r="M426" s="283" t="str">
        <f t="shared" si="91"/>
        <v>-</v>
      </c>
      <c r="N426" s="283" t="str">
        <f t="shared" si="92"/>
        <v>-</v>
      </c>
      <c r="O426" s="283" t="str">
        <f t="shared" si="93"/>
        <v>-</v>
      </c>
      <c r="P426" s="283" t="str">
        <f t="shared" si="94"/>
        <v>-</v>
      </c>
      <c r="Q426" s="283" t="str">
        <f t="shared" si="95"/>
        <v>-</v>
      </c>
      <c r="R426" s="283" t="str">
        <f t="shared" si="96"/>
        <v>-</v>
      </c>
      <c r="S426" s="283" t="str">
        <f t="shared" si="97"/>
        <v>-</v>
      </c>
      <c r="T426" s="283" t="str">
        <f t="shared" si="98"/>
        <v>-</v>
      </c>
      <c r="U426" s="283" t="str">
        <f t="shared" si="99"/>
        <v>-</v>
      </c>
      <c r="V426" s="283" t="str">
        <f t="shared" si="100"/>
        <v>-</v>
      </c>
      <c r="W426" s="1" t="str">
        <f t="shared" si="101"/>
        <v>https://www.tripadvisor.com/</v>
      </c>
      <c r="X426" s="1" t="str">
        <f t="shared" si="102"/>
        <v>https://www.tripadvisor.com/</v>
      </c>
      <c r="Y426" s="1" t="str">
        <f t="shared" si="103"/>
        <v>優先2①</v>
      </c>
      <c r="Z426" s="1" t="str">
        <f t="shared" si="104"/>
        <v>TripAdvisor LLC. "Trip Advisor". Accessed 26 July, 2023. https://www.tripadvisor.com/.</v>
      </c>
    </row>
    <row r="427" spans="2:26">
      <c r="B427" s="285" t="s">
        <v>1032</v>
      </c>
      <c r="C427" s="285" t="s">
        <v>716</v>
      </c>
      <c r="D427" s="285" t="s">
        <v>688</v>
      </c>
      <c r="E427" s="285" t="s">
        <v>688</v>
      </c>
      <c r="F427" s="13" t="s">
        <v>1029</v>
      </c>
      <c r="G427" s="13"/>
      <c r="H427" s="13"/>
      <c r="I427" s="13"/>
      <c r="J427" s="13"/>
      <c r="K427" s="284"/>
      <c r="L427" s="283" t="str">
        <f t="shared" si="90"/>
        <v>-</v>
      </c>
      <c r="M427" s="283" t="str">
        <f t="shared" si="91"/>
        <v>書籍</v>
      </c>
      <c r="N427" s="283" t="str">
        <f t="shared" si="92"/>
        <v>-</v>
      </c>
      <c r="O427" s="283" t="str">
        <f t="shared" si="93"/>
        <v>-</v>
      </c>
      <c r="P427" s="283" t="str">
        <f t="shared" si="94"/>
        <v>-</v>
      </c>
      <c r="Q427" s="283" t="str">
        <f t="shared" si="95"/>
        <v>-</v>
      </c>
      <c r="R427" s="283" t="str">
        <f t="shared" si="96"/>
        <v>-</v>
      </c>
      <c r="S427" s="283" t="str">
        <f t="shared" si="97"/>
        <v>-</v>
      </c>
      <c r="T427" s="283" t="str">
        <f t="shared" si="98"/>
        <v>-</v>
      </c>
      <c r="U427" s="283" t="str">
        <f t="shared" si="99"/>
        <v>-</v>
      </c>
      <c r="V427" s="283" t="str">
        <f t="shared" si="100"/>
        <v>-</v>
      </c>
      <c r="W427" s="1" t="str">
        <f t="shared" si="101"/>
        <v/>
      </c>
      <c r="X427" s="1" t="str">
        <f t="shared" si="102"/>
        <v/>
      </c>
      <c r="Y427" s="1" t="str">
        <f t="shared" si="103"/>
        <v>優先2②</v>
      </c>
      <c r="Z427" s="1" t="str">
        <f t="shared" si="104"/>
        <v>居住者アンケート</v>
      </c>
    </row>
    <row r="428" spans="2:26">
      <c r="B428" s="285" t="s">
        <v>908</v>
      </c>
      <c r="C428" s="285" t="s">
        <v>698</v>
      </c>
      <c r="D428" s="285" t="s">
        <v>688</v>
      </c>
      <c r="E428" s="285" t="s">
        <v>688</v>
      </c>
      <c r="F428" s="13" t="s">
        <v>907</v>
      </c>
      <c r="G428" s="13"/>
      <c r="H428" s="13"/>
      <c r="I428" s="13" t="s">
        <v>4142</v>
      </c>
      <c r="J428" s="13" t="s">
        <v>3712</v>
      </c>
      <c r="K428" s="284">
        <v>45134</v>
      </c>
      <c r="L428" s="283" t="str">
        <f t="shared" si="90"/>
        <v>-</v>
      </c>
      <c r="M428" s="283" t="str">
        <f t="shared" si="91"/>
        <v>-</v>
      </c>
      <c r="N428" s="283" t="str">
        <f t="shared" si="92"/>
        <v>-</v>
      </c>
      <c r="O428" s="283" t="str">
        <f t="shared" si="93"/>
        <v>-</v>
      </c>
      <c r="P428" s="283" t="str">
        <f t="shared" si="94"/>
        <v>-</v>
      </c>
      <c r="Q428" s="283" t="str">
        <f t="shared" si="95"/>
        <v>-</v>
      </c>
      <c r="R428" s="283" t="str">
        <f t="shared" si="96"/>
        <v>-</v>
      </c>
      <c r="S428" s="283" t="str">
        <f t="shared" si="97"/>
        <v>-</v>
      </c>
      <c r="T428" s="283" t="str">
        <f t="shared" si="98"/>
        <v>-</v>
      </c>
      <c r="U428" s="283" t="str">
        <f t="shared" si="99"/>
        <v>-</v>
      </c>
      <c r="V428" s="283" t="str">
        <f t="shared" si="100"/>
        <v>-</v>
      </c>
      <c r="W428" s="1" t="str">
        <f t="shared" si="101"/>
        <v>https://www.laliste.com/en/laliste/world/</v>
      </c>
      <c r="X428" s="1" t="str">
        <f t="shared" si="102"/>
        <v>https://www.laliste.com/</v>
      </c>
      <c r="Y428" s="1" t="str">
        <f t="shared" si="103"/>
        <v>優先2①</v>
      </c>
      <c r="Z428" s="1" t="str">
        <f t="shared" si="104"/>
        <v>La Liste. "World's Top 1000 Restaurants 2023". Accessed 27 July, 2023. https://www.laliste.com/.</v>
      </c>
    </row>
    <row r="429" spans="2:26">
      <c r="B429" s="285" t="s">
        <v>908</v>
      </c>
      <c r="C429" s="285" t="s">
        <v>716</v>
      </c>
      <c r="D429" s="285" t="s">
        <v>688</v>
      </c>
      <c r="E429" s="285" t="s">
        <v>688</v>
      </c>
      <c r="F429" s="13" t="s">
        <v>1029</v>
      </c>
      <c r="G429" s="13"/>
      <c r="H429" s="13"/>
      <c r="I429" s="13"/>
      <c r="J429" s="13"/>
      <c r="K429" s="284"/>
      <c r="L429" s="283" t="str">
        <f t="shared" si="90"/>
        <v>-</v>
      </c>
      <c r="M429" s="283" t="str">
        <f t="shared" si="91"/>
        <v>書籍</v>
      </c>
      <c r="N429" s="283" t="str">
        <f t="shared" si="92"/>
        <v>-</v>
      </c>
      <c r="O429" s="283" t="str">
        <f t="shared" si="93"/>
        <v>-</v>
      </c>
      <c r="P429" s="283" t="str">
        <f t="shared" si="94"/>
        <v>-</v>
      </c>
      <c r="Q429" s="283" t="str">
        <f t="shared" si="95"/>
        <v>-</v>
      </c>
      <c r="R429" s="283" t="str">
        <f t="shared" si="96"/>
        <v>-</v>
      </c>
      <c r="S429" s="283" t="str">
        <f t="shared" si="97"/>
        <v>-</v>
      </c>
      <c r="T429" s="283" t="str">
        <f t="shared" si="98"/>
        <v>-</v>
      </c>
      <c r="U429" s="283" t="str">
        <f t="shared" si="99"/>
        <v>-</v>
      </c>
      <c r="V429" s="283" t="str">
        <f t="shared" si="100"/>
        <v>-</v>
      </c>
      <c r="W429" s="1" t="str">
        <f t="shared" si="101"/>
        <v/>
      </c>
      <c r="X429" s="1" t="str">
        <f t="shared" si="102"/>
        <v/>
      </c>
      <c r="Y429" s="1" t="str">
        <f t="shared" si="103"/>
        <v>優先2②</v>
      </c>
      <c r="Z429" s="1" t="str">
        <f t="shared" si="104"/>
        <v>居住者アンケート</v>
      </c>
    </row>
    <row r="430" spans="2:26">
      <c r="B430" s="285" t="s">
        <v>877</v>
      </c>
      <c r="C430" s="285" t="s">
        <v>464</v>
      </c>
      <c r="D430" s="285" t="s">
        <v>673</v>
      </c>
      <c r="E430" s="285" t="s">
        <v>105</v>
      </c>
      <c r="F430" s="13" t="s">
        <v>788</v>
      </c>
      <c r="G430" s="13"/>
      <c r="H430" s="13"/>
      <c r="I430" s="13" t="s">
        <v>906</v>
      </c>
      <c r="J430" s="13" t="s">
        <v>2654</v>
      </c>
      <c r="K430" s="284">
        <v>45085</v>
      </c>
      <c r="L430" s="283">
        <f t="shared" si="90"/>
        <v>2</v>
      </c>
      <c r="M430" s="283" t="str">
        <f t="shared" si="91"/>
        <v>-</v>
      </c>
      <c r="N430" s="283" t="str">
        <f t="shared" si="92"/>
        <v>-</v>
      </c>
      <c r="O430" s="283" t="str">
        <f t="shared" si="93"/>
        <v>-</v>
      </c>
      <c r="P430" s="283" t="str">
        <f t="shared" si="94"/>
        <v>-</v>
      </c>
      <c r="Q430" s="283" t="str">
        <f t="shared" si="95"/>
        <v>-</v>
      </c>
      <c r="R430" s="283" t="str">
        <f t="shared" si="96"/>
        <v>-</v>
      </c>
      <c r="S430" s="283" t="str">
        <f t="shared" si="97"/>
        <v>-</v>
      </c>
      <c r="T430" s="283" t="str">
        <f t="shared" si="98"/>
        <v>-</v>
      </c>
      <c r="U430" s="283" t="str">
        <f t="shared" si="99"/>
        <v>-</v>
      </c>
      <c r="V430" s="283" t="str">
        <f t="shared" si="100"/>
        <v>-</v>
      </c>
      <c r="W430" s="1" t="str">
        <f t="shared" si="101"/>
        <v>https://www.ine.es/dyngs/INEbase/en/operacion.htm?c=Estadistica_C&amp;cid=1254736177012&amp;menu=resultados&amp;idp=1254734710990#!tabs-1254736195461/</v>
      </c>
      <c r="X430" s="1" t="str">
        <f t="shared" si="102"/>
        <v>https://www.ine.es/</v>
      </c>
      <c r="Y430" s="1" t="str">
        <f t="shared" si="103"/>
        <v>優先3</v>
      </c>
      <c r="Z430" s="1" t="str">
        <f t="shared" si="104"/>
        <v>Instituto Nacional de Estadistica. "Continuous Municipal Register Statistics". Accessed 08 June, 2023. https://www.ine.es/.</v>
      </c>
    </row>
    <row r="431" spans="2:26">
      <c r="B431" s="285" t="s">
        <v>877</v>
      </c>
      <c r="C431" s="285" t="s">
        <v>464</v>
      </c>
      <c r="D431" s="285" t="s">
        <v>673</v>
      </c>
      <c r="E431" s="285" t="s">
        <v>106</v>
      </c>
      <c r="F431" s="13" t="s">
        <v>788</v>
      </c>
      <c r="G431" s="13"/>
      <c r="H431" s="13"/>
      <c r="I431" s="13" t="s">
        <v>906</v>
      </c>
      <c r="J431" s="13" t="s">
        <v>2654</v>
      </c>
      <c r="K431" s="284">
        <v>45085</v>
      </c>
      <c r="L431" s="283">
        <f t="shared" si="90"/>
        <v>2</v>
      </c>
      <c r="M431" s="283" t="str">
        <f t="shared" si="91"/>
        <v>-</v>
      </c>
      <c r="N431" s="283" t="str">
        <f t="shared" si="92"/>
        <v>-</v>
      </c>
      <c r="O431" s="283" t="str">
        <f t="shared" si="93"/>
        <v>-</v>
      </c>
      <c r="P431" s="283" t="str">
        <f t="shared" si="94"/>
        <v>-</v>
      </c>
      <c r="Q431" s="283" t="str">
        <f t="shared" si="95"/>
        <v>-</v>
      </c>
      <c r="R431" s="283" t="str">
        <f t="shared" si="96"/>
        <v>-</v>
      </c>
      <c r="S431" s="283" t="str">
        <f t="shared" si="97"/>
        <v>-</v>
      </c>
      <c r="T431" s="283" t="str">
        <f t="shared" si="98"/>
        <v>-</v>
      </c>
      <c r="U431" s="283" t="str">
        <f t="shared" si="99"/>
        <v>-</v>
      </c>
      <c r="V431" s="283" t="str">
        <f t="shared" si="100"/>
        <v>-</v>
      </c>
      <c r="W431" s="1" t="str">
        <f t="shared" si="101"/>
        <v>https://www.ine.es/dyngs/INEbase/en/operacion.htm?c=Estadistica_C&amp;cid=1254736177012&amp;menu=resultados&amp;idp=1254734710990#!tabs-1254736195461/</v>
      </c>
      <c r="X431" s="1" t="str">
        <f t="shared" si="102"/>
        <v>https://www.ine.es/</v>
      </c>
      <c r="Y431" s="1" t="str">
        <f t="shared" si="103"/>
        <v>優先3</v>
      </c>
      <c r="Z431" s="1" t="str">
        <f t="shared" si="104"/>
        <v>Instituto Nacional de Estadistica. "Continuous Municipal Register Statistics". Accessed 08 June, 2023. https://www.ine.es/.</v>
      </c>
    </row>
    <row r="432" spans="2:26">
      <c r="B432" s="285" t="s">
        <v>877</v>
      </c>
      <c r="C432" s="285" t="s">
        <v>464</v>
      </c>
      <c r="D432" s="285" t="s">
        <v>673</v>
      </c>
      <c r="E432" s="285" t="s">
        <v>108</v>
      </c>
      <c r="F432" s="13" t="s">
        <v>857</v>
      </c>
      <c r="G432" s="13" t="s">
        <v>858</v>
      </c>
      <c r="H432" s="13"/>
      <c r="I432" s="13" t="s">
        <v>4143</v>
      </c>
      <c r="J432" s="13" t="s">
        <v>4144</v>
      </c>
      <c r="K432" s="284">
        <v>45092</v>
      </c>
      <c r="L432" s="283" t="str">
        <f t="shared" si="90"/>
        <v>-</v>
      </c>
      <c r="M432" s="283" t="str">
        <f t="shared" si="91"/>
        <v>-</v>
      </c>
      <c r="N432" s="283" t="str">
        <f t="shared" si="92"/>
        <v>-</v>
      </c>
      <c r="O432" s="283" t="str">
        <f t="shared" si="93"/>
        <v>-</v>
      </c>
      <c r="P432" s="283" t="str">
        <f t="shared" si="94"/>
        <v>-</v>
      </c>
      <c r="Q432" s="283" t="str">
        <f t="shared" si="95"/>
        <v>-</v>
      </c>
      <c r="R432" s="283" t="str">
        <f t="shared" si="96"/>
        <v>-</v>
      </c>
      <c r="S432" s="283" t="str">
        <f t="shared" si="97"/>
        <v>-</v>
      </c>
      <c r="T432" s="283" t="str">
        <f t="shared" si="98"/>
        <v>-</v>
      </c>
      <c r="U432" s="283" t="str">
        <f t="shared" si="99"/>
        <v>-</v>
      </c>
      <c r="V432" s="283" t="str">
        <f t="shared" si="100"/>
        <v>-</v>
      </c>
      <c r="W432" s="1" t="str">
        <f t="shared" si="101"/>
        <v>https://www.ons.gov.uk/peoplepopulationandcommunity/populationandmigration/internationalmigration/datasets/populationoftheunitedkingdombycountryofbirthandnationality/</v>
      </c>
      <c r="X432" s="1" t="str">
        <f t="shared" si="102"/>
        <v>https://www.ons.gov.uk/</v>
      </c>
      <c r="Y432" s="1" t="str">
        <f t="shared" si="103"/>
        <v>優先3</v>
      </c>
      <c r="Z432" s="1" t="str">
        <f t="shared" si="104"/>
        <v>Office for National Statistics, United Kingdom. "Population by country of birth and nationality". Accessed 15 June, 2023. https://www.ons.gov.uk/.</v>
      </c>
    </row>
    <row r="433" spans="2:26">
      <c r="B433" s="285" t="s">
        <v>877</v>
      </c>
      <c r="C433" s="285" t="s">
        <v>464</v>
      </c>
      <c r="D433" s="285" t="s">
        <v>673</v>
      </c>
      <c r="E433" s="285" t="s">
        <v>110</v>
      </c>
      <c r="F433" s="13" t="s">
        <v>905</v>
      </c>
      <c r="G433" s="13" t="s">
        <v>709</v>
      </c>
      <c r="H433" s="13"/>
      <c r="I433" s="13" t="s">
        <v>4145</v>
      </c>
      <c r="J433" s="13" t="s">
        <v>4146</v>
      </c>
      <c r="K433" s="284">
        <v>45085</v>
      </c>
      <c r="L433" s="283" t="str">
        <f t="shared" si="90"/>
        <v>-</v>
      </c>
      <c r="M433" s="283" t="str">
        <f t="shared" si="91"/>
        <v>-</v>
      </c>
      <c r="N433" s="283" t="str">
        <f t="shared" si="92"/>
        <v>-</v>
      </c>
      <c r="O433" s="283" t="str">
        <f t="shared" si="93"/>
        <v>-</v>
      </c>
      <c r="P433" s="283" t="str">
        <f t="shared" si="94"/>
        <v>-</v>
      </c>
      <c r="Q433" s="283" t="str">
        <f t="shared" si="95"/>
        <v>-</v>
      </c>
      <c r="R433" s="283" t="str">
        <f t="shared" si="96"/>
        <v>-</v>
      </c>
      <c r="S433" s="283" t="str">
        <f t="shared" si="97"/>
        <v>-</v>
      </c>
      <c r="T433" s="283" t="str">
        <f t="shared" si="98"/>
        <v>-</v>
      </c>
      <c r="U433" s="283" t="str">
        <f t="shared" si="99"/>
        <v>-</v>
      </c>
      <c r="V433" s="283" t="str">
        <f t="shared" si="100"/>
        <v>-</v>
      </c>
      <c r="W433" s="1" t="str">
        <f t="shared" si="101"/>
        <v>https://www.insee.fr/fr/statistiques/6455286?geo=DEP-75/</v>
      </c>
      <c r="X433" s="1" t="str">
        <f t="shared" si="102"/>
        <v>https://www.insee.fr/</v>
      </c>
      <c r="Y433" s="1" t="str">
        <f t="shared" si="103"/>
        <v>優先3</v>
      </c>
      <c r="Z433" s="1" t="str">
        <f t="shared" si="104"/>
        <v>Institut National de la Statistique et des études économiques, French Republic. "Étrangers - Immigrés en 2019". Accessed 08 June, 2023. https://www.insee.fr/.</v>
      </c>
    </row>
    <row r="434" spans="2:26">
      <c r="B434" s="285" t="s">
        <v>877</v>
      </c>
      <c r="C434" s="285" t="s">
        <v>464</v>
      </c>
      <c r="D434" s="285" t="s">
        <v>673</v>
      </c>
      <c r="E434" s="285" t="s">
        <v>112</v>
      </c>
      <c r="F434" s="13" t="s">
        <v>1333</v>
      </c>
      <c r="G434" s="13"/>
      <c r="H434" s="13"/>
      <c r="I434" s="13" t="s">
        <v>4147</v>
      </c>
      <c r="J434" s="13" t="s">
        <v>2655</v>
      </c>
      <c r="K434" s="284">
        <v>45085</v>
      </c>
      <c r="L434" s="283" t="str">
        <f t="shared" si="90"/>
        <v>-</v>
      </c>
      <c r="M434" s="283" t="str">
        <f t="shared" si="91"/>
        <v>-</v>
      </c>
      <c r="N434" s="283" t="str">
        <f t="shared" si="92"/>
        <v>-</v>
      </c>
      <c r="O434" s="283" t="str">
        <f t="shared" si="93"/>
        <v>-</v>
      </c>
      <c r="P434" s="283" t="str">
        <f t="shared" si="94"/>
        <v>-</v>
      </c>
      <c r="Q434" s="283" t="str">
        <f t="shared" si="95"/>
        <v>-</v>
      </c>
      <c r="R434" s="283" t="str">
        <f t="shared" si="96"/>
        <v>-</v>
      </c>
      <c r="S434" s="283" t="str">
        <f t="shared" si="97"/>
        <v>-</v>
      </c>
      <c r="T434" s="283" t="str">
        <f t="shared" si="98"/>
        <v>-</v>
      </c>
      <c r="U434" s="283" t="str">
        <f t="shared" si="99"/>
        <v>-</v>
      </c>
      <c r="V434" s="283" t="str">
        <f t="shared" si="100"/>
        <v>-</v>
      </c>
      <c r="W434" s="1" t="str">
        <f t="shared" si="101"/>
        <v>http://ibsa.brussels/publications/mini-bru/</v>
      </c>
      <c r="X434" s="1" t="str">
        <f t="shared" si="102"/>
        <v>http://ibsa.brussels/</v>
      </c>
      <c r="Y434" s="1" t="str">
        <f t="shared" si="103"/>
        <v>優先3</v>
      </c>
      <c r="Z434" s="1" t="str">
        <f t="shared" si="104"/>
        <v>The Brussels Institute of Statistics and Analysis. "Mini-Bru 2023". Accessed 08 June, 2023. http://ibsa.brussels/.</v>
      </c>
    </row>
    <row r="435" spans="2:26">
      <c r="B435" s="285" t="s">
        <v>877</v>
      </c>
      <c r="C435" s="285" t="s">
        <v>464</v>
      </c>
      <c r="D435" s="285" t="s">
        <v>673</v>
      </c>
      <c r="E435" s="285" t="s">
        <v>114</v>
      </c>
      <c r="F435" s="13" t="s">
        <v>904</v>
      </c>
      <c r="G435" s="13"/>
      <c r="H435" s="13"/>
      <c r="I435" s="13" t="s">
        <v>4148</v>
      </c>
      <c r="J435" s="13" t="s">
        <v>4149</v>
      </c>
      <c r="K435" s="284">
        <v>45085</v>
      </c>
      <c r="L435" s="283" t="str">
        <f t="shared" si="90"/>
        <v>-</v>
      </c>
      <c r="M435" s="283" t="str">
        <f t="shared" si="91"/>
        <v>-</v>
      </c>
      <c r="N435" s="283" t="str">
        <f t="shared" si="92"/>
        <v>NG</v>
      </c>
      <c r="O435" s="283" t="str">
        <f t="shared" si="93"/>
        <v>-</v>
      </c>
      <c r="P435" s="283" t="str">
        <f t="shared" si="94"/>
        <v>-</v>
      </c>
      <c r="Q435" s="283" t="str">
        <f t="shared" si="95"/>
        <v>-</v>
      </c>
      <c r="R435" s="283" t="str">
        <f t="shared" si="96"/>
        <v>-</v>
      </c>
      <c r="S435" s="283" t="str">
        <f t="shared" si="97"/>
        <v>-</v>
      </c>
      <c r="T435" s="283" t="str">
        <f t="shared" si="98"/>
        <v>-</v>
      </c>
      <c r="U435" s="283" t="str">
        <f t="shared" si="99"/>
        <v>-</v>
      </c>
      <c r="V435" s="283" t="str">
        <f t="shared" si="100"/>
        <v>-</v>
      </c>
      <c r="W435" s="1" t="str">
        <f t="shared" si="101"/>
        <v>https://onderzoek.amsterdam.nl/dataset/stand-van-de-bevolking-amsterdam/</v>
      </c>
      <c r="X435" s="1" t="str">
        <f t="shared" si="102"/>
        <v>https://onderzoek.amsterdam.nl/</v>
      </c>
      <c r="Y435" s="1" t="str">
        <f t="shared" si="103"/>
        <v>優先3</v>
      </c>
      <c r="Z435" s="1" t="str">
        <f t="shared" si="104"/>
        <v>Onderzoek, Informatie en Statistiek (OIS), Gemeente Amsterdam. "Dataset Stand van de bevolking Amsterdam". Accessed 08 June, 2023. https://onderzoek.amsterdam.nl/.</v>
      </c>
    </row>
    <row r="436" spans="2:26">
      <c r="B436" s="285" t="s">
        <v>877</v>
      </c>
      <c r="C436" s="285" t="s">
        <v>464</v>
      </c>
      <c r="D436" s="285" t="s">
        <v>673</v>
      </c>
      <c r="E436" s="285" t="s">
        <v>116</v>
      </c>
      <c r="F436" s="13" t="s">
        <v>903</v>
      </c>
      <c r="G436" s="13"/>
      <c r="H436" s="13"/>
      <c r="I436" s="13" t="s">
        <v>4150</v>
      </c>
      <c r="J436" s="13" t="s">
        <v>1334</v>
      </c>
      <c r="K436" s="284">
        <v>45086</v>
      </c>
      <c r="L436" s="283" t="str">
        <f t="shared" si="90"/>
        <v>-</v>
      </c>
      <c r="M436" s="283" t="str">
        <f t="shared" si="91"/>
        <v>-</v>
      </c>
      <c r="N436" s="283" t="str">
        <f t="shared" si="92"/>
        <v>NG</v>
      </c>
      <c r="O436" s="283" t="str">
        <f t="shared" si="93"/>
        <v>-</v>
      </c>
      <c r="P436" s="283" t="str">
        <f t="shared" si="94"/>
        <v>-</v>
      </c>
      <c r="Q436" s="283" t="str">
        <f t="shared" si="95"/>
        <v>-</v>
      </c>
      <c r="R436" s="283" t="str">
        <f t="shared" si="96"/>
        <v>-</v>
      </c>
      <c r="S436" s="283" t="str">
        <f t="shared" si="97"/>
        <v>-</v>
      </c>
      <c r="T436" s="283" t="str">
        <f t="shared" si="98"/>
        <v>-</v>
      </c>
      <c r="U436" s="283" t="str">
        <f t="shared" si="99"/>
        <v>-</v>
      </c>
      <c r="V436" s="283" t="str">
        <f t="shared" si="100"/>
        <v>-</v>
      </c>
      <c r="W436" s="1" t="str">
        <f t="shared" si="101"/>
        <v>https://www.ge.ch/statistique/domaines/01/01_01/tableaux.asp#18/</v>
      </c>
      <c r="X436" s="1" t="str">
        <f t="shared" si="102"/>
        <v>https://www.ge.ch/</v>
      </c>
      <c r="Y436" s="1" t="str">
        <f t="shared" si="103"/>
        <v>優先3</v>
      </c>
      <c r="Z436" s="1" t="str">
        <f t="shared" si="104"/>
        <v>Office cantonal de la statistique (OCSTAT), Département des finances et des ressources humaines, République et Canton de Genève. "Etat et évolution de la population". Accessed 09 June, 2023. https://www.ge.ch/.</v>
      </c>
    </row>
    <row r="437" spans="2:26">
      <c r="B437" s="285" t="s">
        <v>877</v>
      </c>
      <c r="C437" s="285" t="s">
        <v>464</v>
      </c>
      <c r="D437" s="285" t="s">
        <v>673</v>
      </c>
      <c r="E437" s="285" t="s">
        <v>118</v>
      </c>
      <c r="F437" s="13" t="s">
        <v>755</v>
      </c>
      <c r="G437" s="13"/>
      <c r="H437" s="13"/>
      <c r="I437" s="13" t="s">
        <v>902</v>
      </c>
      <c r="J437" s="13" t="s">
        <v>1335</v>
      </c>
      <c r="K437" s="284">
        <v>45085</v>
      </c>
      <c r="L437" s="283" t="str">
        <f t="shared" si="90"/>
        <v>-</v>
      </c>
      <c r="M437" s="283" t="str">
        <f t="shared" si="91"/>
        <v>-</v>
      </c>
      <c r="N437" s="283" t="str">
        <f t="shared" si="92"/>
        <v>-</v>
      </c>
      <c r="O437" s="283" t="str">
        <f t="shared" si="93"/>
        <v>-</v>
      </c>
      <c r="P437" s="283" t="str">
        <f t="shared" si="94"/>
        <v>-</v>
      </c>
      <c r="Q437" s="283" t="str">
        <f t="shared" si="95"/>
        <v>-</v>
      </c>
      <c r="R437" s="283" t="str">
        <f t="shared" si="96"/>
        <v>-</v>
      </c>
      <c r="S437" s="283" t="str">
        <f t="shared" si="97"/>
        <v>-</v>
      </c>
      <c r="T437" s="283" t="str">
        <f t="shared" si="98"/>
        <v>-</v>
      </c>
      <c r="U437" s="283" t="str">
        <f t="shared" si="99"/>
        <v>-</v>
      </c>
      <c r="V437" s="283" t="str">
        <f t="shared" si="100"/>
        <v>-</v>
      </c>
      <c r="W437" s="1" t="str">
        <f t="shared" si="101"/>
        <v>https://frankfurt.de/service-und-rathaus/zahlen-daten-fakten/themen/bevoelkerung/</v>
      </c>
      <c r="X437" s="1" t="str">
        <f t="shared" si="102"/>
        <v>https://frankfurt.de/</v>
      </c>
      <c r="Y437" s="1" t="str">
        <f t="shared" si="103"/>
        <v>優先3</v>
      </c>
      <c r="Z437" s="1" t="str">
        <f t="shared" si="104"/>
        <v>Stadt Frankfurt am Main. "Frankfurt Statistik Aktuell (FSA)". Accessed 08 June, 2023. https://frankfurt.de/.</v>
      </c>
    </row>
    <row r="438" spans="2:26">
      <c r="B438" s="285" t="s">
        <v>877</v>
      </c>
      <c r="C438" s="285" t="s">
        <v>464</v>
      </c>
      <c r="D438" s="285" t="s">
        <v>673</v>
      </c>
      <c r="E438" s="285" t="s">
        <v>120</v>
      </c>
      <c r="F438" s="13" t="s">
        <v>874</v>
      </c>
      <c r="G438" s="13"/>
      <c r="H438" s="13"/>
      <c r="I438" s="13" t="s">
        <v>4151</v>
      </c>
      <c r="J438" s="13" t="s">
        <v>4152</v>
      </c>
      <c r="K438" s="284">
        <v>45092</v>
      </c>
      <c r="L438" s="283" t="str">
        <f t="shared" si="90"/>
        <v>-</v>
      </c>
      <c r="M438" s="283" t="str">
        <f t="shared" si="91"/>
        <v>-</v>
      </c>
      <c r="N438" s="283" t="str">
        <f t="shared" si="92"/>
        <v>-</v>
      </c>
      <c r="O438" s="283" t="str">
        <f t="shared" si="93"/>
        <v>-</v>
      </c>
      <c r="P438" s="283" t="str">
        <f t="shared" si="94"/>
        <v>-</v>
      </c>
      <c r="Q438" s="283" t="str">
        <f t="shared" si="95"/>
        <v>-</v>
      </c>
      <c r="R438" s="283" t="str">
        <f t="shared" si="96"/>
        <v>-</v>
      </c>
      <c r="S438" s="283" t="str">
        <f t="shared" si="97"/>
        <v>-</v>
      </c>
      <c r="T438" s="283" t="str">
        <f t="shared" si="98"/>
        <v>-</v>
      </c>
      <c r="U438" s="283" t="str">
        <f t="shared" si="99"/>
        <v>-</v>
      </c>
      <c r="V438" s="283" t="str">
        <f t="shared" si="100"/>
        <v>-</v>
      </c>
      <c r="W438" s="1" t="str">
        <f t="shared" si="101"/>
        <v>https://www.statistik-berlin-brandenburg.de/kommunalstatistik/einwohnerbestand-berlin/</v>
      </c>
      <c r="X438" s="1" t="str">
        <f t="shared" si="102"/>
        <v>https://www.statistik-berlin-brandenburg.de/</v>
      </c>
      <c r="Y438" s="1" t="str">
        <f t="shared" si="103"/>
        <v>優先3</v>
      </c>
      <c r="Z438" s="1" t="str">
        <f t="shared" si="104"/>
        <v>Amt für Statistik Berlin-Brandenburg. "Einwohnerbestand 2011 bis 2022 - Melderechtlich registrierte Einwohner am Ort der Hauptwohnung in Berlin". Accessed 15 June, 2023. https://www.statistik-berlin-brandenburg.de/.</v>
      </c>
    </row>
    <row r="439" spans="2:26">
      <c r="B439" s="285" t="s">
        <v>877</v>
      </c>
      <c r="C439" s="285" t="s">
        <v>464</v>
      </c>
      <c r="D439" s="285" t="s">
        <v>673</v>
      </c>
      <c r="E439" s="285" t="s">
        <v>122</v>
      </c>
      <c r="F439" s="13" t="s">
        <v>901</v>
      </c>
      <c r="G439" s="13"/>
      <c r="H439" s="13"/>
      <c r="I439" s="13" t="s">
        <v>900</v>
      </c>
      <c r="J439" s="13" t="s">
        <v>1123</v>
      </c>
      <c r="K439" s="284">
        <v>45085</v>
      </c>
      <c r="L439" s="283" t="str">
        <f t="shared" si="90"/>
        <v>-</v>
      </c>
      <c r="M439" s="283" t="str">
        <f t="shared" si="91"/>
        <v>-</v>
      </c>
      <c r="N439" s="283" t="str">
        <f t="shared" si="92"/>
        <v>-</v>
      </c>
      <c r="O439" s="283" t="str">
        <f t="shared" si="93"/>
        <v>-</v>
      </c>
      <c r="P439" s="283" t="str">
        <f t="shared" si="94"/>
        <v>-</v>
      </c>
      <c r="Q439" s="283" t="str">
        <f t="shared" si="95"/>
        <v>-</v>
      </c>
      <c r="R439" s="283" t="str">
        <f t="shared" si="96"/>
        <v>-</v>
      </c>
      <c r="S439" s="283" t="str">
        <f t="shared" si="97"/>
        <v>-</v>
      </c>
      <c r="T439" s="283" t="str">
        <f t="shared" si="98"/>
        <v>-</v>
      </c>
      <c r="U439" s="283" t="str">
        <f t="shared" si="99"/>
        <v>-</v>
      </c>
      <c r="V439" s="283" t="str">
        <f t="shared" si="100"/>
        <v>-</v>
      </c>
      <c r="W439" s="1" t="str">
        <f t="shared" si="101"/>
        <v>https://www.comune.milano.it/aree-tematiche/dati-statistici/pubblicazioni/popolazione-residente-a-milano/</v>
      </c>
      <c r="X439" s="1" t="str">
        <f t="shared" si="102"/>
        <v>https://www.comune.milano.it/</v>
      </c>
      <c r="Y439" s="1" t="str">
        <f t="shared" si="103"/>
        <v>優先3</v>
      </c>
      <c r="Z439" s="1" t="str">
        <f t="shared" si="104"/>
        <v>Comune di Milano. "Popolazione residente a Milano". Accessed 08 June, 2023. https://www.comune.milano.it/.</v>
      </c>
    </row>
    <row r="440" spans="2:26">
      <c r="B440" s="285" t="s">
        <v>877</v>
      </c>
      <c r="C440" s="285" t="s">
        <v>464</v>
      </c>
      <c r="D440" s="285" t="s">
        <v>673</v>
      </c>
      <c r="E440" s="285" t="s">
        <v>124</v>
      </c>
      <c r="F440" s="13" t="s">
        <v>849</v>
      </c>
      <c r="G440" s="13"/>
      <c r="H440" s="13"/>
      <c r="I440" s="13" t="s">
        <v>2656</v>
      </c>
      <c r="J440" s="13" t="s">
        <v>3992</v>
      </c>
      <c r="K440" s="284">
        <v>45085</v>
      </c>
      <c r="L440" s="283" t="str">
        <f t="shared" si="90"/>
        <v>-</v>
      </c>
      <c r="M440" s="283" t="str">
        <f t="shared" si="91"/>
        <v>-</v>
      </c>
      <c r="N440" s="283" t="str">
        <f t="shared" si="92"/>
        <v>-</v>
      </c>
      <c r="O440" s="283" t="str">
        <f t="shared" si="93"/>
        <v>-</v>
      </c>
      <c r="P440" s="283" t="str">
        <f t="shared" si="94"/>
        <v>-</v>
      </c>
      <c r="Q440" s="283" t="str">
        <f t="shared" si="95"/>
        <v>-</v>
      </c>
      <c r="R440" s="283" t="str">
        <f t="shared" si="96"/>
        <v>-</v>
      </c>
      <c r="S440" s="283" t="str">
        <f t="shared" si="97"/>
        <v>-</v>
      </c>
      <c r="T440" s="283" t="str">
        <f t="shared" si="98"/>
        <v>-</v>
      </c>
      <c r="U440" s="283" t="str">
        <f t="shared" si="99"/>
        <v>-</v>
      </c>
      <c r="V440" s="283" t="str">
        <f t="shared" si="100"/>
        <v>-</v>
      </c>
      <c r="W440" s="1" t="str">
        <f t="shared" si="101"/>
        <v>https://www.stadt-zuerich.ch/prd/de/index/statistik/themen/bevoelkerung/bevoelkerungsentwicklung/aktueller-bevoelkerungsbestand.html/</v>
      </c>
      <c r="X440" s="1" t="str">
        <f t="shared" si="102"/>
        <v>https://www.stadt-zuerich.ch/</v>
      </c>
      <c r="Y440" s="1" t="str">
        <f t="shared" si="103"/>
        <v>優先3</v>
      </c>
      <c r="Z440" s="1" t="str">
        <f t="shared" si="104"/>
        <v>Stadt Zürich. "Bevölkerungsbestand". Accessed 08 June, 2023. https://www.stadt-zuerich.ch/.</v>
      </c>
    </row>
    <row r="441" spans="2:26">
      <c r="B441" s="285" t="s">
        <v>877</v>
      </c>
      <c r="C441" s="285" t="s">
        <v>464</v>
      </c>
      <c r="D441" s="285" t="s">
        <v>673</v>
      </c>
      <c r="E441" s="285" t="s">
        <v>126</v>
      </c>
      <c r="F441" s="13" t="s">
        <v>2657</v>
      </c>
      <c r="G441" s="13" t="s">
        <v>2658</v>
      </c>
      <c r="H441" s="13"/>
      <c r="I441" s="13" t="s">
        <v>2659</v>
      </c>
      <c r="J441" s="13" t="s">
        <v>2660</v>
      </c>
      <c r="K441" s="284">
        <v>45085</v>
      </c>
      <c r="L441" s="283" t="str">
        <f t="shared" si="90"/>
        <v>-</v>
      </c>
      <c r="M441" s="283" t="str">
        <f t="shared" si="91"/>
        <v>-</v>
      </c>
      <c r="N441" s="283" t="str">
        <f t="shared" si="92"/>
        <v>-</v>
      </c>
      <c r="O441" s="283" t="str">
        <f t="shared" si="93"/>
        <v>-</v>
      </c>
      <c r="P441" s="283" t="str">
        <f t="shared" si="94"/>
        <v>-</v>
      </c>
      <c r="Q441" s="283" t="str">
        <f t="shared" si="95"/>
        <v>-</v>
      </c>
      <c r="R441" s="283" t="str">
        <f t="shared" si="96"/>
        <v>-</v>
      </c>
      <c r="S441" s="283" t="str">
        <f t="shared" si="97"/>
        <v>-</v>
      </c>
      <c r="T441" s="283" t="str">
        <f t="shared" si="98"/>
        <v>-</v>
      </c>
      <c r="U441" s="283" t="str">
        <f t="shared" si="99"/>
        <v>-</v>
      </c>
      <c r="V441" s="283" t="str">
        <f t="shared" si="100"/>
        <v>-</v>
      </c>
      <c r="W441" s="1" t="str">
        <f t="shared" si="101"/>
        <v>https://kk.statistikbank.dk/statbank5a/SelectVarVal/Define.asp?MainTable=KKBEF8&amp;PLanguage=1&amp;PXSId=0&amp;wsid=cflist/</v>
      </c>
      <c r="X441" s="1" t="str">
        <f t="shared" si="102"/>
        <v>https://kk.statistikbank.dk/</v>
      </c>
      <c r="Y441" s="1" t="str">
        <f t="shared" si="103"/>
        <v>優先3</v>
      </c>
      <c r="Z441" s="1" t="str">
        <f t="shared" si="104"/>
        <v>City of Copenhagen: Statbank, City of Copenhagen. "Population by age, sex, district, time and citizenship". Accessed 08 June, 2023. https://kk.statistikbank.dk/.</v>
      </c>
    </row>
    <row r="442" spans="2:26">
      <c r="B442" s="285" t="s">
        <v>877</v>
      </c>
      <c r="C442" s="285" t="s">
        <v>464</v>
      </c>
      <c r="D442" s="285" t="s">
        <v>673</v>
      </c>
      <c r="E442" s="285" t="s">
        <v>128</v>
      </c>
      <c r="F442" s="13" t="s">
        <v>754</v>
      </c>
      <c r="G442" s="13"/>
      <c r="H442" s="13"/>
      <c r="I442" s="13" t="s">
        <v>4153</v>
      </c>
      <c r="J442" s="13" t="s">
        <v>1336</v>
      </c>
      <c r="K442" s="284">
        <v>45086</v>
      </c>
      <c r="L442" s="283" t="str">
        <f t="shared" si="90"/>
        <v>-</v>
      </c>
      <c r="M442" s="283" t="str">
        <f t="shared" si="91"/>
        <v>-</v>
      </c>
      <c r="N442" s="283" t="str">
        <f t="shared" si="92"/>
        <v>-</v>
      </c>
      <c r="O442" s="283" t="str">
        <f t="shared" si="93"/>
        <v>-</v>
      </c>
      <c r="P442" s="283" t="str">
        <f t="shared" si="94"/>
        <v>-</v>
      </c>
      <c r="Q442" s="283" t="str">
        <f t="shared" si="95"/>
        <v>NG</v>
      </c>
      <c r="R442" s="283" t="str">
        <f t="shared" si="96"/>
        <v>-</v>
      </c>
      <c r="S442" s="283" t="str">
        <f t="shared" si="97"/>
        <v>-</v>
      </c>
      <c r="T442" s="283" t="str">
        <f t="shared" si="98"/>
        <v>-</v>
      </c>
      <c r="U442" s="283" t="str">
        <f t="shared" si="99"/>
        <v>-</v>
      </c>
      <c r="V442" s="283" t="str">
        <f t="shared" si="100"/>
        <v>-</v>
      </c>
      <c r="W442" s="1" t="str">
        <f t="shared" si="101"/>
        <v>https://www.wien.gv.at/statistik/publikationen/jahrbuch.html/</v>
      </c>
      <c r="X442" s="1" t="str">
        <f t="shared" si="102"/>
        <v>https://www.wien.gv.at/</v>
      </c>
      <c r="Y442" s="1" t="str">
        <f t="shared" si="103"/>
        <v>優先3</v>
      </c>
      <c r="Z442" s="1" t="str">
        <f t="shared" si="104"/>
        <v>Stadt Wien. "Statistisches Jahrbuch  der Stadt Wien 2022". Accessed 09 June, 2023. https://www.wien.gv.at/.</v>
      </c>
    </row>
    <row r="443" spans="2:26">
      <c r="B443" s="285" t="s">
        <v>877</v>
      </c>
      <c r="C443" s="285" t="s">
        <v>464</v>
      </c>
      <c r="D443" s="285" t="s">
        <v>673</v>
      </c>
      <c r="E443" s="285" t="s">
        <v>130</v>
      </c>
      <c r="F443" s="13" t="s">
        <v>4154</v>
      </c>
      <c r="G443" s="13" t="s">
        <v>898</v>
      </c>
      <c r="H443" s="13"/>
      <c r="I443" s="13" t="s">
        <v>4155</v>
      </c>
      <c r="J443" s="13" t="s">
        <v>1337</v>
      </c>
      <c r="K443" s="284">
        <v>45085</v>
      </c>
      <c r="L443" s="283" t="str">
        <f t="shared" si="90"/>
        <v>-</v>
      </c>
      <c r="M443" s="283" t="str">
        <f t="shared" si="91"/>
        <v>-</v>
      </c>
      <c r="N443" s="283" t="str">
        <f t="shared" si="92"/>
        <v>-</v>
      </c>
      <c r="O443" s="283" t="str">
        <f t="shared" si="93"/>
        <v>-</v>
      </c>
      <c r="P443" s="283" t="str">
        <f t="shared" si="94"/>
        <v>-</v>
      </c>
      <c r="Q443" s="283" t="str">
        <f t="shared" si="95"/>
        <v>-</v>
      </c>
      <c r="R443" s="283" t="str">
        <f t="shared" si="96"/>
        <v>-</v>
      </c>
      <c r="S443" s="283" t="str">
        <f t="shared" si="97"/>
        <v>-</v>
      </c>
      <c r="T443" s="283" t="str">
        <f t="shared" si="98"/>
        <v>-</v>
      </c>
      <c r="U443" s="283" t="str">
        <f t="shared" si="99"/>
        <v>-</v>
      </c>
      <c r="V443" s="283" t="str">
        <f t="shared" si="100"/>
        <v>-</v>
      </c>
      <c r="W443" s="1" t="str">
        <f t="shared" si="101"/>
        <v>http://www.statistikdatabasen.scb.se/pxweb/en/ssd/START__BE__BE0101__BE0101F/UtlmedbTotNK/</v>
      </c>
      <c r="X443" s="1" t="str">
        <f t="shared" si="102"/>
        <v>http://www.statistikdatabasen.scb.se/</v>
      </c>
      <c r="Y443" s="1" t="str">
        <f t="shared" si="103"/>
        <v>優先3</v>
      </c>
      <c r="Z443" s="1" t="str">
        <f t="shared" si="104"/>
        <v>Statistikmyndigheten, Kingdom of Sweden. "Foreign citizens by region and year". Accessed 08 June, 2023. http://www.statistikdatabasen.scb.se/.</v>
      </c>
    </row>
    <row r="444" spans="2:26">
      <c r="B444" s="285" t="s">
        <v>877</v>
      </c>
      <c r="C444" s="285" t="s">
        <v>464</v>
      </c>
      <c r="D444" s="285" t="s">
        <v>673</v>
      </c>
      <c r="E444" s="285" t="s">
        <v>132</v>
      </c>
      <c r="F444" s="13" t="s">
        <v>846</v>
      </c>
      <c r="G444" s="13"/>
      <c r="H444" s="13"/>
      <c r="I444" s="13" t="s">
        <v>4156</v>
      </c>
      <c r="J444" s="13" t="s">
        <v>4157</v>
      </c>
      <c r="K444" s="284">
        <v>45085</v>
      </c>
      <c r="L444" s="283" t="str">
        <f t="shared" si="90"/>
        <v>-</v>
      </c>
      <c r="M444" s="283" t="str">
        <f t="shared" si="91"/>
        <v>-</v>
      </c>
      <c r="N444" s="283" t="str">
        <f t="shared" si="92"/>
        <v>-</v>
      </c>
      <c r="O444" s="283" t="str">
        <f t="shared" si="93"/>
        <v>-</v>
      </c>
      <c r="P444" s="283" t="str">
        <f t="shared" si="94"/>
        <v>-</v>
      </c>
      <c r="Q444" s="283" t="str">
        <f t="shared" si="95"/>
        <v>-</v>
      </c>
      <c r="R444" s="283" t="str">
        <f t="shared" si="96"/>
        <v>-</v>
      </c>
      <c r="S444" s="283" t="str">
        <f t="shared" si="97"/>
        <v>-</v>
      </c>
      <c r="T444" s="283" t="str">
        <f t="shared" si="98"/>
        <v>-</v>
      </c>
      <c r="U444" s="283" t="str">
        <f t="shared" si="99"/>
        <v>-</v>
      </c>
      <c r="V444" s="283" t="str">
        <f t="shared" si="100"/>
        <v>-</v>
      </c>
      <c r="W444" s="1" t="str">
        <f t="shared" si="101"/>
        <v>https://data.tuik.gov.tr/Bulten/Index?p=International-Migration-Statistics-2021-45814/</v>
      </c>
      <c r="X444" s="1" t="str">
        <f t="shared" si="102"/>
        <v>https://data.tuik.gov.tr/</v>
      </c>
      <c r="Y444" s="1" t="str">
        <f t="shared" si="103"/>
        <v>優先3</v>
      </c>
      <c r="Z444" s="1" t="str">
        <f t="shared" si="104"/>
        <v>Türkiye İstatistik Kurumu. "Immigrants and emigrants by citizenship and provinces, 2020, 2021". Accessed 08 June, 2023. https://data.tuik.gov.tr/.</v>
      </c>
    </row>
    <row r="445" spans="2:26">
      <c r="B445" s="285" t="s">
        <v>877</v>
      </c>
      <c r="C445" s="285" t="s">
        <v>464</v>
      </c>
      <c r="D445" s="285" t="s">
        <v>673</v>
      </c>
      <c r="E445" s="285" t="s">
        <v>134</v>
      </c>
      <c r="F445" s="13" t="s">
        <v>897</v>
      </c>
      <c r="G445" s="13"/>
      <c r="H445" s="13"/>
      <c r="I445" s="13" t="s">
        <v>2661</v>
      </c>
      <c r="J445" s="13" t="s">
        <v>1338</v>
      </c>
      <c r="K445" s="284">
        <v>45092</v>
      </c>
      <c r="L445" s="283" t="str">
        <f t="shared" si="90"/>
        <v>-</v>
      </c>
      <c r="M445" s="283" t="str">
        <f t="shared" si="91"/>
        <v>-</v>
      </c>
      <c r="N445" s="283" t="str">
        <f t="shared" si="92"/>
        <v>-</v>
      </c>
      <c r="O445" s="283" t="str">
        <f t="shared" si="93"/>
        <v>-</v>
      </c>
      <c r="P445" s="283" t="str">
        <f t="shared" si="94"/>
        <v>-</v>
      </c>
      <c r="Q445" s="283" t="str">
        <f t="shared" si="95"/>
        <v>-</v>
      </c>
      <c r="R445" s="283" t="str">
        <f t="shared" si="96"/>
        <v>-</v>
      </c>
      <c r="S445" s="283" t="str">
        <f t="shared" si="97"/>
        <v>-</v>
      </c>
      <c r="T445" s="283" t="str">
        <f t="shared" si="98"/>
        <v>-</v>
      </c>
      <c r="U445" s="283" t="str">
        <f t="shared" si="99"/>
        <v>-</v>
      </c>
      <c r="V445" s="283" t="str">
        <f t="shared" si="100"/>
        <v>-</v>
      </c>
      <c r="W445" s="1" t="str">
        <f t="shared" si="101"/>
        <v>https://migrationdataportal.org/?i=stock_abs_&amp;t=2019&amp;cm49=818/</v>
      </c>
      <c r="X445" s="1" t="str">
        <f t="shared" si="102"/>
        <v>https://migrationdataportal.org/</v>
      </c>
      <c r="Y445" s="1" t="str">
        <f t="shared" si="103"/>
        <v>優先3</v>
      </c>
      <c r="Z445" s="1" t="str">
        <f t="shared" si="104"/>
        <v>Global Migration Data Analysis Centre. "Key migration statistics". Accessed 15 June, 2023. https://migrationdataportal.org/.</v>
      </c>
    </row>
    <row r="446" spans="2:26">
      <c r="B446" s="285" t="s">
        <v>877</v>
      </c>
      <c r="C446" s="285" t="s">
        <v>464</v>
      </c>
      <c r="D446" s="285" t="s">
        <v>673</v>
      </c>
      <c r="E446" s="285" t="s">
        <v>136</v>
      </c>
      <c r="F446" s="13" t="s">
        <v>842</v>
      </c>
      <c r="G446" s="13"/>
      <c r="H446" s="13" t="s">
        <v>1339</v>
      </c>
      <c r="I446" s="13" t="s">
        <v>4158</v>
      </c>
      <c r="J446" s="13" t="s">
        <v>4159</v>
      </c>
      <c r="K446" s="284">
        <v>45085</v>
      </c>
      <c r="L446" s="283" t="str">
        <f t="shared" si="90"/>
        <v>-</v>
      </c>
      <c r="M446" s="283" t="str">
        <f t="shared" si="91"/>
        <v>-</v>
      </c>
      <c r="N446" s="283" t="str">
        <f t="shared" si="92"/>
        <v>-</v>
      </c>
      <c r="O446" s="283" t="str">
        <f t="shared" si="93"/>
        <v>-</v>
      </c>
      <c r="P446" s="283" t="str">
        <f t="shared" si="94"/>
        <v>-</v>
      </c>
      <c r="Q446" s="283" t="str">
        <f t="shared" si="95"/>
        <v>-</v>
      </c>
      <c r="R446" s="283" t="str">
        <f t="shared" si="96"/>
        <v>-</v>
      </c>
      <c r="S446" s="283" t="str">
        <f t="shared" si="97"/>
        <v>-</v>
      </c>
      <c r="T446" s="283" t="str">
        <f t="shared" si="98"/>
        <v>-</v>
      </c>
      <c r="U446" s="283" t="str">
        <f t="shared" si="99"/>
        <v>-</v>
      </c>
      <c r="V446" s="283" t="str">
        <f t="shared" si="100"/>
        <v>-</v>
      </c>
      <c r="W446" s="1" t="str">
        <f t="shared" si="101"/>
        <v>https://rosstat.gov.ru/vpn_popul#/</v>
      </c>
      <c r="X446" s="1" t="str">
        <f t="shared" si="102"/>
        <v>https://rosstat.gov.ru/</v>
      </c>
      <c r="Y446" s="1" t="str">
        <f t="shared" si="103"/>
        <v>優先3</v>
      </c>
      <c r="Z446" s="1" t="str">
        <f t="shared" si="104"/>
        <v>Federal State Statistics Service [Федеральная служба государственной статистики]. "Итоги Всероссийской переписи населения 2020 года - Население по гражданству и месту рождения по субъектам Российской Федерации". Accessed 08 June, 2023. https://rosstat.gov.ru/.</v>
      </c>
    </row>
    <row r="447" spans="2:26">
      <c r="B447" s="285" t="s">
        <v>877</v>
      </c>
      <c r="C447" s="285" t="s">
        <v>464</v>
      </c>
      <c r="D447" s="285" t="s">
        <v>673</v>
      </c>
      <c r="E447" s="285" t="s">
        <v>138</v>
      </c>
      <c r="F447" s="13" t="s">
        <v>1237</v>
      </c>
      <c r="G447" s="13" t="s">
        <v>1238</v>
      </c>
      <c r="H447" s="13"/>
      <c r="I447" s="13" t="s">
        <v>1340</v>
      </c>
      <c r="J447" s="13" t="s">
        <v>3713</v>
      </c>
      <c r="K447" s="284">
        <v>45096</v>
      </c>
      <c r="L447" s="283" t="str">
        <f t="shared" si="90"/>
        <v>-</v>
      </c>
      <c r="M447" s="283" t="str">
        <f t="shared" si="91"/>
        <v>-</v>
      </c>
      <c r="N447" s="283" t="str">
        <f t="shared" si="92"/>
        <v>-</v>
      </c>
      <c r="O447" s="283" t="str">
        <f t="shared" si="93"/>
        <v>-</v>
      </c>
      <c r="P447" s="283" t="str">
        <f t="shared" si="94"/>
        <v>-</v>
      </c>
      <c r="Q447" s="283" t="str">
        <f t="shared" si="95"/>
        <v>-</v>
      </c>
      <c r="R447" s="283" t="str">
        <f t="shared" si="96"/>
        <v>-</v>
      </c>
      <c r="S447" s="283" t="str">
        <f t="shared" si="97"/>
        <v>-</v>
      </c>
      <c r="T447" s="283" t="str">
        <f t="shared" si="98"/>
        <v>-</v>
      </c>
      <c r="U447" s="283" t="str">
        <f t="shared" si="99"/>
        <v>-</v>
      </c>
      <c r="V447" s="283" t="str">
        <f t="shared" si="100"/>
        <v>-</v>
      </c>
      <c r="W447" s="1" t="str">
        <f t="shared" si="101"/>
        <v>https://censusindia.gov.in/census.website/data/census-tables/</v>
      </c>
      <c r="X447" s="1" t="str">
        <f t="shared" si="102"/>
        <v>https://censusindia.gov.in/</v>
      </c>
      <c r="Y447" s="1" t="str">
        <f t="shared" si="103"/>
        <v>優先3</v>
      </c>
      <c r="Z447" s="1" t="str">
        <f t="shared" si="104"/>
        <v>Office of the Registrar General &amp; Census Commissioner, India, Ministry of Home Affairs,Government of India. "Population classified by place of birth and Sex - 2011". Accessed 19 June, 2023. https://censusindia.gov.in/.</v>
      </c>
    </row>
    <row r="448" spans="2:26">
      <c r="B448" s="285" t="s">
        <v>877</v>
      </c>
      <c r="C448" s="285" t="s">
        <v>464</v>
      </c>
      <c r="D448" s="285" t="s">
        <v>673</v>
      </c>
      <c r="E448" s="285" t="s">
        <v>140</v>
      </c>
      <c r="F448" s="13" t="s">
        <v>2600</v>
      </c>
      <c r="G448" s="13" t="s">
        <v>841</v>
      </c>
      <c r="H448" s="13"/>
      <c r="I448" s="13" t="s">
        <v>2601</v>
      </c>
      <c r="J448" s="13" t="s">
        <v>2662</v>
      </c>
      <c r="K448" s="284">
        <v>45096</v>
      </c>
      <c r="L448" s="283" t="str">
        <f t="shared" si="90"/>
        <v>-</v>
      </c>
      <c r="M448" s="283" t="str">
        <f t="shared" si="91"/>
        <v>-</v>
      </c>
      <c r="N448" s="283" t="str">
        <f t="shared" si="92"/>
        <v>NG</v>
      </c>
      <c r="O448" s="283" t="str">
        <f t="shared" si="93"/>
        <v>-</v>
      </c>
      <c r="P448" s="283" t="str">
        <f t="shared" si="94"/>
        <v>-</v>
      </c>
      <c r="Q448" s="283" t="str">
        <f t="shared" si="95"/>
        <v>-</v>
      </c>
      <c r="R448" s="283" t="str">
        <f t="shared" si="96"/>
        <v>-</v>
      </c>
      <c r="S448" s="283" t="str">
        <f t="shared" si="97"/>
        <v>-</v>
      </c>
      <c r="T448" s="283" t="str">
        <f t="shared" si="98"/>
        <v>NG</v>
      </c>
      <c r="U448" s="283" t="str">
        <f t="shared" si="99"/>
        <v>-</v>
      </c>
      <c r="V448" s="283" t="str">
        <f t="shared" si="100"/>
        <v>-</v>
      </c>
      <c r="W448" s="1" t="str">
        <f t="shared" si="101"/>
        <v>http://statbbi.nso.go.th/staticreport/Page/sector/en/01.aspx/</v>
      </c>
      <c r="X448" s="1" t="str">
        <f t="shared" si="102"/>
        <v>http://statbbi.nso.go.th/</v>
      </c>
      <c r="Y448" s="1" t="str">
        <f t="shared" si="103"/>
        <v>優先3</v>
      </c>
      <c r="Z448" s="1" t="str">
        <f t="shared" si="104"/>
        <v>National Statistical Office(NSO), Kingdom of Thailand. "Demography Population and Housing Branch". Accessed 19 June, 2023. http://statbbi.nso.go.th/.</v>
      </c>
    </row>
    <row r="449" spans="2:26">
      <c r="B449" s="285" t="s">
        <v>877</v>
      </c>
      <c r="C449" s="285" t="s">
        <v>464</v>
      </c>
      <c r="D449" s="285" t="s">
        <v>673</v>
      </c>
      <c r="E449" s="285" t="s">
        <v>142</v>
      </c>
      <c r="F449" s="13" t="s">
        <v>896</v>
      </c>
      <c r="G449" s="13"/>
      <c r="H449" s="13"/>
      <c r="I449" s="13" t="s">
        <v>4160</v>
      </c>
      <c r="J449" s="13" t="s">
        <v>4161</v>
      </c>
      <c r="K449" s="284">
        <v>45096</v>
      </c>
      <c r="L449" s="283" t="str">
        <f t="shared" si="90"/>
        <v>-</v>
      </c>
      <c r="M449" s="283" t="str">
        <f t="shared" si="91"/>
        <v>-</v>
      </c>
      <c r="N449" s="283" t="str">
        <f t="shared" si="92"/>
        <v>-</v>
      </c>
      <c r="O449" s="283" t="str">
        <f t="shared" si="93"/>
        <v>-</v>
      </c>
      <c r="P449" s="283" t="str">
        <f t="shared" si="94"/>
        <v>-</v>
      </c>
      <c r="Q449" s="283" t="str">
        <f t="shared" si="95"/>
        <v>-</v>
      </c>
      <c r="R449" s="283" t="str">
        <f t="shared" si="96"/>
        <v>-</v>
      </c>
      <c r="S449" s="283" t="str">
        <f t="shared" si="97"/>
        <v>-</v>
      </c>
      <c r="T449" s="283" t="str">
        <f t="shared" si="98"/>
        <v>-</v>
      </c>
      <c r="U449" s="283" t="str">
        <f t="shared" si="99"/>
        <v>-</v>
      </c>
      <c r="V449" s="283" t="str">
        <f t="shared" si="100"/>
        <v>-</v>
      </c>
      <c r="W449" s="1" t="str">
        <f t="shared" si="101"/>
        <v>https://newss.statistics.gov.my/newss-portalx/ep/epFreeDownloadContentSearch.seam?cid=14010/</v>
      </c>
      <c r="X449" s="1" t="str">
        <f t="shared" si="102"/>
        <v>https://newss.statistics.gov.my/</v>
      </c>
      <c r="Y449" s="1" t="str">
        <f t="shared" si="103"/>
        <v>優先3</v>
      </c>
      <c r="Z449" s="1" t="str">
        <f t="shared" si="104"/>
        <v>Department of statistics Malaysia. "PENERBITAN ANGGARAN PENDUDUK SEMASA 2022". Accessed 19 June, 2023. https://newss.statistics.gov.my/.</v>
      </c>
    </row>
    <row r="450" spans="2:26">
      <c r="B450" s="285" t="s">
        <v>877</v>
      </c>
      <c r="C450" s="285" t="s">
        <v>464</v>
      </c>
      <c r="D450" s="285" t="s">
        <v>673</v>
      </c>
      <c r="E450" s="285" t="s">
        <v>144</v>
      </c>
      <c r="F450" s="13" t="s">
        <v>895</v>
      </c>
      <c r="G450" s="13" t="s">
        <v>729</v>
      </c>
      <c r="H450" s="13"/>
      <c r="I450" s="13" t="s">
        <v>4162</v>
      </c>
      <c r="J450" s="13" t="s">
        <v>1341</v>
      </c>
      <c r="K450" s="284">
        <v>45086</v>
      </c>
      <c r="L450" s="283" t="str">
        <f t="shared" si="90"/>
        <v>-</v>
      </c>
      <c r="M450" s="283" t="str">
        <f t="shared" si="91"/>
        <v>-</v>
      </c>
      <c r="N450" s="283" t="str">
        <f t="shared" si="92"/>
        <v>-</v>
      </c>
      <c r="O450" s="283" t="str">
        <f t="shared" si="93"/>
        <v>-</v>
      </c>
      <c r="P450" s="283" t="str">
        <f t="shared" si="94"/>
        <v>-</v>
      </c>
      <c r="Q450" s="283" t="str">
        <f t="shared" si="95"/>
        <v>-</v>
      </c>
      <c r="R450" s="283" t="str">
        <f t="shared" si="96"/>
        <v>-</v>
      </c>
      <c r="S450" s="283" t="str">
        <f t="shared" si="97"/>
        <v>-</v>
      </c>
      <c r="T450" s="283" t="str">
        <f t="shared" si="98"/>
        <v>-</v>
      </c>
      <c r="U450" s="283" t="str">
        <f t="shared" si="99"/>
        <v>-</v>
      </c>
      <c r="V450" s="283" t="str">
        <f t="shared" si="100"/>
        <v>-</v>
      </c>
      <c r="W450" s="1" t="str">
        <f t="shared" si="101"/>
        <v>https://www.strategygroup.gov.sg/media-centre/publications/population-in-brief/</v>
      </c>
      <c r="X450" s="1" t="str">
        <f t="shared" si="102"/>
        <v>https://www.strategygroup.gov.sg/</v>
      </c>
      <c r="Y450" s="1" t="str">
        <f t="shared" si="103"/>
        <v>優先3</v>
      </c>
      <c r="Z450" s="1" t="str">
        <f t="shared" si="104"/>
        <v>Department of Statistics Singapore, Government of Singapore. "Population In Brief 2022". Accessed 09 June, 2023. https://www.strategygroup.gov.sg/.</v>
      </c>
    </row>
    <row r="451" spans="2:26">
      <c r="B451" s="285" t="s">
        <v>877</v>
      </c>
      <c r="C451" s="285" t="s">
        <v>464</v>
      </c>
      <c r="D451" s="285" t="s">
        <v>673</v>
      </c>
      <c r="E451" s="285" t="s">
        <v>146</v>
      </c>
      <c r="F451" s="13" t="s">
        <v>1012</v>
      </c>
      <c r="G451" s="13" t="s">
        <v>1152</v>
      </c>
      <c r="H451" s="13" t="s">
        <v>894</v>
      </c>
      <c r="I451" s="13" t="s">
        <v>3714</v>
      </c>
      <c r="J451" s="13" t="s">
        <v>3715</v>
      </c>
      <c r="K451" s="284">
        <v>45096</v>
      </c>
      <c r="L451" s="283" t="str">
        <f t="shared" si="90"/>
        <v>-</v>
      </c>
      <c r="M451" s="283" t="str">
        <f t="shared" si="91"/>
        <v>-</v>
      </c>
      <c r="N451" s="283" t="str">
        <f t="shared" si="92"/>
        <v>-</v>
      </c>
      <c r="O451" s="283" t="str">
        <f t="shared" si="93"/>
        <v>-</v>
      </c>
      <c r="P451" s="283" t="str">
        <f t="shared" si="94"/>
        <v>-</v>
      </c>
      <c r="Q451" s="283" t="str">
        <f t="shared" si="95"/>
        <v>-</v>
      </c>
      <c r="R451" s="283" t="str">
        <f t="shared" si="96"/>
        <v>-</v>
      </c>
      <c r="S451" s="283" t="str">
        <f t="shared" si="97"/>
        <v>-</v>
      </c>
      <c r="T451" s="283" t="str">
        <f t="shared" si="98"/>
        <v>-</v>
      </c>
      <c r="U451" s="283" t="str">
        <f t="shared" si="99"/>
        <v>-</v>
      </c>
      <c r="V451" s="283" t="str">
        <f t="shared" si="100"/>
        <v>-</v>
      </c>
      <c r="W451" s="1" t="str">
        <f t="shared" si="101"/>
        <v>https://www.censtatd.gov.hk/en/EIndexbySubject.html?pcode=B1120106&amp;scode=600/</v>
      </c>
      <c r="X451" s="1" t="str">
        <f t="shared" si="102"/>
        <v>https://www.censtatd.gov.hk/</v>
      </c>
      <c r="Y451" s="1" t="str">
        <f t="shared" si="103"/>
        <v>優先3</v>
      </c>
      <c r="Z451" s="1" t="str">
        <f t="shared" si="104"/>
        <v>Census and Statistics Department, The Government of the Hong Kong Special Administrative Region [政府統計處, 香港特別行政區政府]. "Hong Kong 2021 Population Census - Summary Results". Accessed 19 June, 2023. https://www.censtatd.gov.hk/.</v>
      </c>
    </row>
    <row r="452" spans="2:26">
      <c r="B452" s="285" t="s">
        <v>877</v>
      </c>
      <c r="C452" s="285" t="s">
        <v>464</v>
      </c>
      <c r="D452" s="285" t="s">
        <v>673</v>
      </c>
      <c r="E452" s="285" t="s">
        <v>148</v>
      </c>
      <c r="F452" s="13" t="s">
        <v>4163</v>
      </c>
      <c r="G452" s="13" t="s">
        <v>4164</v>
      </c>
      <c r="H452" s="13" t="s">
        <v>3716</v>
      </c>
      <c r="I452" s="13" t="s">
        <v>3717</v>
      </c>
      <c r="J452" s="13" t="s">
        <v>4165</v>
      </c>
      <c r="K452" s="284">
        <v>45096</v>
      </c>
      <c r="L452" s="283">
        <f t="shared" si="90"/>
        <v>2</v>
      </c>
      <c r="M452" s="283" t="str">
        <f t="shared" si="91"/>
        <v>-</v>
      </c>
      <c r="N452" s="283" t="str">
        <f t="shared" si="92"/>
        <v>-</v>
      </c>
      <c r="O452" s="283" t="str">
        <f t="shared" si="93"/>
        <v>-</v>
      </c>
      <c r="P452" s="283" t="str">
        <f t="shared" si="94"/>
        <v>-</v>
      </c>
      <c r="Q452" s="283" t="str">
        <f t="shared" si="95"/>
        <v>-</v>
      </c>
      <c r="R452" s="283" t="str">
        <f t="shared" si="96"/>
        <v>-</v>
      </c>
      <c r="S452" s="283" t="str">
        <f t="shared" si="97"/>
        <v>-</v>
      </c>
      <c r="T452" s="283" t="str">
        <f t="shared" si="98"/>
        <v>-</v>
      </c>
      <c r="U452" s="283" t="str">
        <f t="shared" si="99"/>
        <v>-</v>
      </c>
      <c r="V452" s="283" t="str">
        <f t="shared" si="100"/>
        <v>-</v>
      </c>
      <c r="W452" s="1" t="str">
        <f t="shared" si="101"/>
        <v>http://www.gov.cn/guoqing/2021-05/13/content_5606149.htm/</v>
      </c>
      <c r="X452" s="1" t="str">
        <f t="shared" si="102"/>
        <v>http://www.gov.cn/</v>
      </c>
      <c r="Y452" s="1" t="str">
        <f t="shared" si="103"/>
        <v>優先3</v>
      </c>
      <c r="Z452" s="1" t="str">
        <f t="shared" si="104"/>
        <v>The State Council of the People’s Republic of China, The Peoples's Republic of China [中国政府网 中央人民政府门户网站]. "第七次全国人口普查公报". Accessed 19 June, 2023. http://www.gov.cn/.</v>
      </c>
    </row>
    <row r="453" spans="2:26">
      <c r="B453" s="285" t="s">
        <v>877</v>
      </c>
      <c r="C453" s="285" t="s">
        <v>464</v>
      </c>
      <c r="D453" s="285" t="s">
        <v>673</v>
      </c>
      <c r="E453" s="285" t="s">
        <v>150</v>
      </c>
      <c r="F453" s="13" t="s">
        <v>4163</v>
      </c>
      <c r="G453" s="13" t="s">
        <v>4164</v>
      </c>
      <c r="H453" s="13" t="s">
        <v>3716</v>
      </c>
      <c r="I453" s="13" t="s">
        <v>3717</v>
      </c>
      <c r="J453" s="13" t="s">
        <v>4165</v>
      </c>
      <c r="K453" s="284">
        <v>45096</v>
      </c>
      <c r="L453" s="283">
        <f t="shared" si="90"/>
        <v>2</v>
      </c>
      <c r="M453" s="283" t="str">
        <f t="shared" si="91"/>
        <v>-</v>
      </c>
      <c r="N453" s="283" t="str">
        <f t="shared" si="92"/>
        <v>-</v>
      </c>
      <c r="O453" s="283" t="str">
        <f t="shared" si="93"/>
        <v>-</v>
      </c>
      <c r="P453" s="283" t="str">
        <f t="shared" si="94"/>
        <v>-</v>
      </c>
      <c r="Q453" s="283" t="str">
        <f t="shared" si="95"/>
        <v>-</v>
      </c>
      <c r="R453" s="283" t="str">
        <f t="shared" si="96"/>
        <v>-</v>
      </c>
      <c r="S453" s="283" t="str">
        <f t="shared" si="97"/>
        <v>-</v>
      </c>
      <c r="T453" s="283" t="str">
        <f t="shared" si="98"/>
        <v>-</v>
      </c>
      <c r="U453" s="283" t="str">
        <f t="shared" si="99"/>
        <v>-</v>
      </c>
      <c r="V453" s="283" t="str">
        <f t="shared" si="100"/>
        <v>-</v>
      </c>
      <c r="W453" s="1" t="str">
        <f t="shared" si="101"/>
        <v>http://www.gov.cn/guoqing/2021-05/13/content_5606149.htm/</v>
      </c>
      <c r="X453" s="1" t="str">
        <f t="shared" si="102"/>
        <v>http://www.gov.cn/</v>
      </c>
      <c r="Y453" s="1" t="str">
        <f t="shared" si="103"/>
        <v>優先3</v>
      </c>
      <c r="Z453" s="1" t="str">
        <f t="shared" si="104"/>
        <v>The State Council of the People’s Republic of China, The Peoples's Republic of China [中国政府网 中央人民政府门户网站]. "第七次全国人口普查公报". Accessed 19 June, 2023. http://www.gov.cn/.</v>
      </c>
    </row>
    <row r="454" spans="2:26">
      <c r="B454" s="285" t="s">
        <v>877</v>
      </c>
      <c r="C454" s="285" t="s">
        <v>464</v>
      </c>
      <c r="D454" s="285" t="s">
        <v>673</v>
      </c>
      <c r="E454" s="285" t="s">
        <v>152</v>
      </c>
      <c r="F454" s="13" t="s">
        <v>765</v>
      </c>
      <c r="G454" s="13" t="s">
        <v>764</v>
      </c>
      <c r="H454" s="13" t="s">
        <v>763</v>
      </c>
      <c r="I454" s="13" t="s">
        <v>892</v>
      </c>
      <c r="J454" s="13" t="s">
        <v>1342</v>
      </c>
      <c r="K454" s="284">
        <v>45096</v>
      </c>
      <c r="L454" s="283" t="str">
        <f t="shared" ref="L454:L517" si="105">IF(COUNTIFS(B:B,B454,I:I,I454,X:X,X454)&lt;=1,"-",COUNTIFS(B:B,B454,I:I,I454,X:X,X454))</f>
        <v>-</v>
      </c>
      <c r="M454" s="283" t="str">
        <f t="shared" ref="M454:M517" si="106">IF(I454="","書籍","-")</f>
        <v>-</v>
      </c>
      <c r="N454" s="283" t="str">
        <f t="shared" ref="N454:N517" si="107">IF(OR(COUNTIF($F454,"*(*"),COUNTIF($G454,"*(*"),COUNTIF($H454,"*(*")),"NG","-")</f>
        <v>-</v>
      </c>
      <c r="O454" s="283" t="str">
        <f t="shared" ref="O454:O517" si="108">IF(COUNTIF($Z454,"*..*"),"NG","-")</f>
        <v>-</v>
      </c>
      <c r="P454" s="283" t="str">
        <f t="shared" ref="P454:P517" si="109">IF(COUNTIF($Z454,"*""""*"),"NG","-")</f>
        <v>-</v>
      </c>
      <c r="Q454" s="283" t="str">
        <f t="shared" ref="Q454:Q517" si="110">IF(COUNTIF($Z454,"*  *"),"NG","-")</f>
        <v>-</v>
      </c>
      <c r="R454" s="283" t="str">
        <f t="shared" ref="R454:R517" si="111">IF(COUNTIF($Z454,"*　*"),"NG","-")</f>
        <v>-</v>
      </c>
      <c r="S454" s="283" t="str">
        <f t="shared" ref="S454:S517" si="112">IF(COUNTIF($Z454,"*（*"),"NG","-")</f>
        <v>-</v>
      </c>
      <c r="T454" s="283" t="str">
        <f t="shared" ref="T454:T517" si="113">IF(COUNTIF($Z454,"*(*"),IF(COUNTIF($Z454,"* (*"),"-","NG"),"-")</f>
        <v>-</v>
      </c>
      <c r="U454" s="283" t="str">
        <f t="shared" ref="U454:U517" si="114">IF(OR(LEFT(F454,1)=" ",LEFT(G454,1)=" ",LEFT(H454,1)=" ",LEFT(I454,1)=" ",LEFT(J454,1)=" "),"NG","-")</f>
        <v>-</v>
      </c>
      <c r="V454" s="283" t="str">
        <f t="shared" ref="V454:V517" si="115">IF(OR(RIGHT(F454,1)=" ",RIGHT(G454,1)=" ",RIGHT(H454,1)=" ",RIGHT(I454,1)=" ",RIGHT(J454,1)=" "),"NG","-")</f>
        <v>-</v>
      </c>
      <c r="W454" s="1" t="str">
        <f t="shared" ref="W454:W517" si="116">IF(J454="","",IF(RIGHT(J454,1)="/",J454,J454&amp;"/"))</f>
        <v>https://dbas.gov.taipei/News.aspx?n=72EB69FFAC3565DF&amp;sms=96C0B436A542605B/</v>
      </c>
      <c r="X454" s="1" t="str">
        <f t="shared" ref="X454:X517" si="117">IF(W454="","",LEFT(W454,FIND("/",W454,FIND("/",W454,FIND("/", W454)+1)+1)))</f>
        <v>https://dbas.gov.taipei/</v>
      </c>
      <c r="Y454" s="1" t="str">
        <f t="shared" ref="Y454:Y517" si="118">IF(AND(C454="-",D454="共通"),"優先1",IF(OR(COUNTIF(C454,"*補助*"),D454&lt;&gt;"共通"),"優先3","優先2"&amp;C454))</f>
        <v>優先3</v>
      </c>
      <c r="Z454" s="1" t="str">
        <f t="shared" ref="Z454:Z517" si="119">IF(X454="",F454,CONCATENATE(IF(F454="",G454,IF(G454="",F454,F454&amp;", "&amp;G454)),IF(H454="",". "," ["&amp;H454&amp;"]. "),"""",I454,""". ","Accessed ",TEXT(K454,"dd mmmm, yyyy"),". ",X454,"."))</f>
        <v>Department of Budget, Accounting and Statistics, Taipei City Government [臺北市政府主計處]. "臺北市統計年報". Accessed 19 June, 2023. https://dbas.gov.taipei/.</v>
      </c>
    </row>
    <row r="455" spans="2:26">
      <c r="B455" s="285" t="s">
        <v>877</v>
      </c>
      <c r="C455" s="285" t="s">
        <v>464</v>
      </c>
      <c r="D455" s="285" t="s">
        <v>673</v>
      </c>
      <c r="E455" s="285" t="s">
        <v>154</v>
      </c>
      <c r="F455" s="13" t="s">
        <v>891</v>
      </c>
      <c r="G455" s="13"/>
      <c r="H455" s="13" t="s">
        <v>890</v>
      </c>
      <c r="I455" s="13" t="s">
        <v>889</v>
      </c>
      <c r="J455" s="13" t="s">
        <v>1343</v>
      </c>
      <c r="K455" s="284">
        <v>45086</v>
      </c>
      <c r="L455" s="283" t="str">
        <f t="shared" si="105"/>
        <v>-</v>
      </c>
      <c r="M455" s="283" t="str">
        <f t="shared" si="106"/>
        <v>-</v>
      </c>
      <c r="N455" s="283" t="str">
        <f t="shared" si="107"/>
        <v>NG</v>
      </c>
      <c r="O455" s="283" t="str">
        <f t="shared" si="108"/>
        <v>-</v>
      </c>
      <c r="P455" s="283" t="str">
        <f t="shared" si="109"/>
        <v>-</v>
      </c>
      <c r="Q455" s="283" t="str">
        <f t="shared" si="110"/>
        <v>-</v>
      </c>
      <c r="R455" s="283" t="str">
        <f t="shared" si="111"/>
        <v>-</v>
      </c>
      <c r="S455" s="283" t="str">
        <f t="shared" si="112"/>
        <v>-</v>
      </c>
      <c r="T455" s="283" t="str">
        <f t="shared" si="113"/>
        <v>-</v>
      </c>
      <c r="U455" s="283" t="str">
        <f t="shared" si="114"/>
        <v>-</v>
      </c>
      <c r="V455" s="283" t="str">
        <f t="shared" si="115"/>
        <v>-</v>
      </c>
      <c r="W455" s="1" t="str">
        <f t="shared" si="116"/>
        <v>http://kosis.kr/eng/statisticsList/statisticsListIndex.do?menuId=M_01_01&amp;vwcd=MT_ETITLE&amp;parmTabId=M_01_01/</v>
      </c>
      <c r="X455" s="1" t="str">
        <f t="shared" si="117"/>
        <v>http://kosis.kr/</v>
      </c>
      <c r="Y455" s="1" t="str">
        <f t="shared" si="118"/>
        <v>優先3</v>
      </c>
      <c r="Z455" s="1" t="str">
        <f t="shared" si="119"/>
        <v>Korean Statistical Information Service (KOSIS) [국가통계포털]. "Statistics of Registered Foreigners". Accessed 09 June, 2023. http://kosis.kr/.</v>
      </c>
    </row>
    <row r="456" spans="2:26">
      <c r="B456" s="285" t="s">
        <v>877</v>
      </c>
      <c r="C456" s="285" t="s">
        <v>464</v>
      </c>
      <c r="D456" s="285" t="s">
        <v>673</v>
      </c>
      <c r="E456" s="285" t="s">
        <v>156</v>
      </c>
      <c r="F456" s="13" t="s">
        <v>753</v>
      </c>
      <c r="G456" s="13"/>
      <c r="H456" s="13" t="s">
        <v>752</v>
      </c>
      <c r="I456" s="13" t="s">
        <v>888</v>
      </c>
      <c r="J456" s="13" t="s">
        <v>4166</v>
      </c>
      <c r="K456" s="284">
        <v>45086</v>
      </c>
      <c r="L456" s="283" t="str">
        <f t="shared" si="105"/>
        <v>-</v>
      </c>
      <c r="M456" s="283" t="str">
        <f t="shared" si="106"/>
        <v>-</v>
      </c>
      <c r="N456" s="283" t="str">
        <f t="shared" si="107"/>
        <v>-</v>
      </c>
      <c r="O456" s="283" t="str">
        <f t="shared" si="108"/>
        <v>-</v>
      </c>
      <c r="P456" s="283" t="str">
        <f t="shared" si="109"/>
        <v>-</v>
      </c>
      <c r="Q456" s="283" t="str">
        <f t="shared" si="110"/>
        <v>-</v>
      </c>
      <c r="R456" s="283" t="str">
        <f t="shared" si="111"/>
        <v>-</v>
      </c>
      <c r="S456" s="283" t="str">
        <f t="shared" si="112"/>
        <v>-</v>
      </c>
      <c r="T456" s="283" t="str">
        <f t="shared" si="113"/>
        <v>-</v>
      </c>
      <c r="U456" s="283" t="str">
        <f t="shared" si="114"/>
        <v>-</v>
      </c>
      <c r="V456" s="283" t="str">
        <f t="shared" si="115"/>
        <v>-</v>
      </c>
      <c r="W456" s="1" t="str">
        <f t="shared" si="116"/>
        <v>https://www.city.fukuoka.lg.jp/soki/tokeichosa/shisei/toukei/toukeisyo/2022/toukeisyo2022-index.html/</v>
      </c>
      <c r="X456" s="1" t="str">
        <f t="shared" si="117"/>
        <v>https://www.city.fukuoka.lg.jp/</v>
      </c>
      <c r="Y456" s="1" t="str">
        <f t="shared" si="118"/>
        <v>優先3</v>
      </c>
      <c r="Z456" s="1" t="str">
        <f t="shared" si="119"/>
        <v>Fukuoka City [福岡市]. "福岡市統計書". Accessed 09 June, 2023. https://www.city.fukuoka.lg.jp/.</v>
      </c>
    </row>
    <row r="457" spans="2:26">
      <c r="B457" s="285" t="s">
        <v>877</v>
      </c>
      <c r="C457" s="285" t="s">
        <v>464</v>
      </c>
      <c r="D457" s="285" t="s">
        <v>673</v>
      </c>
      <c r="E457" s="285" t="s">
        <v>158</v>
      </c>
      <c r="F457" s="13" t="s">
        <v>887</v>
      </c>
      <c r="G457" s="13"/>
      <c r="H457" s="13" t="s">
        <v>750</v>
      </c>
      <c r="I457" s="13" t="s">
        <v>4167</v>
      </c>
      <c r="J457" s="13" t="s">
        <v>4168</v>
      </c>
      <c r="K457" s="284">
        <v>45086</v>
      </c>
      <c r="L457" s="283" t="str">
        <f t="shared" si="105"/>
        <v>-</v>
      </c>
      <c r="M457" s="283" t="str">
        <f t="shared" si="106"/>
        <v>-</v>
      </c>
      <c r="N457" s="283" t="str">
        <f t="shared" si="107"/>
        <v>-</v>
      </c>
      <c r="O457" s="283" t="str">
        <f t="shared" si="108"/>
        <v>-</v>
      </c>
      <c r="P457" s="283" t="str">
        <f t="shared" si="109"/>
        <v>-</v>
      </c>
      <c r="Q457" s="283" t="str">
        <f t="shared" si="110"/>
        <v>-</v>
      </c>
      <c r="R457" s="283" t="str">
        <f t="shared" si="111"/>
        <v>-</v>
      </c>
      <c r="S457" s="283" t="str">
        <f t="shared" si="112"/>
        <v>-</v>
      </c>
      <c r="T457" s="283" t="str">
        <f t="shared" si="113"/>
        <v>-</v>
      </c>
      <c r="U457" s="283" t="str">
        <f t="shared" si="114"/>
        <v>-</v>
      </c>
      <c r="V457" s="283" t="str">
        <f t="shared" si="115"/>
        <v>-</v>
      </c>
      <c r="W457" s="1" t="str">
        <f t="shared" si="116"/>
        <v>https://www.city.osaka.lg.jp/shimin/page/0000006893.html#05_03/</v>
      </c>
      <c r="X457" s="1" t="str">
        <f t="shared" si="117"/>
        <v>https://www.city.osaka.lg.jp/</v>
      </c>
      <c r="Y457" s="1" t="str">
        <f t="shared" si="118"/>
        <v>優先3</v>
      </c>
      <c r="Z457" s="1" t="str">
        <f t="shared" si="119"/>
        <v>City of Osaka [大阪市]. "住民基本台帳人口・外国人人口". Accessed 09 June, 2023. https://www.city.osaka.lg.jp/.</v>
      </c>
    </row>
    <row r="458" spans="2:26">
      <c r="B458" s="285" t="s">
        <v>877</v>
      </c>
      <c r="C458" s="285" t="s">
        <v>464</v>
      </c>
      <c r="D458" s="285" t="s">
        <v>673</v>
      </c>
      <c r="E458" s="285" t="s">
        <v>160</v>
      </c>
      <c r="F458" s="13" t="s">
        <v>740</v>
      </c>
      <c r="G458" s="13"/>
      <c r="H458" s="13" t="s">
        <v>835</v>
      </c>
      <c r="I458" s="13" t="s">
        <v>2663</v>
      </c>
      <c r="J458" s="13" t="s">
        <v>4169</v>
      </c>
      <c r="K458" s="284">
        <v>45096</v>
      </c>
      <c r="L458" s="283" t="str">
        <f t="shared" si="105"/>
        <v>-</v>
      </c>
      <c r="M458" s="283" t="str">
        <f t="shared" si="106"/>
        <v>-</v>
      </c>
      <c r="N458" s="283" t="str">
        <f t="shared" si="107"/>
        <v>-</v>
      </c>
      <c r="O458" s="283" t="str">
        <f t="shared" si="108"/>
        <v>-</v>
      </c>
      <c r="P458" s="283" t="str">
        <f t="shared" si="109"/>
        <v>-</v>
      </c>
      <c r="Q458" s="283" t="str">
        <f t="shared" si="110"/>
        <v>-</v>
      </c>
      <c r="R458" s="283" t="str">
        <f t="shared" si="111"/>
        <v>-</v>
      </c>
      <c r="S458" s="283" t="str">
        <f t="shared" si="112"/>
        <v>-</v>
      </c>
      <c r="T458" s="283" t="str">
        <f t="shared" si="113"/>
        <v>-</v>
      </c>
      <c r="U458" s="283" t="str">
        <f t="shared" si="114"/>
        <v>-</v>
      </c>
      <c r="V458" s="283" t="str">
        <f t="shared" si="115"/>
        <v>-</v>
      </c>
      <c r="W458" s="1" t="str">
        <f t="shared" si="116"/>
        <v>https://www.toukei.metro.tokyo.lg.jp/gaikoku/2023/ga23010000.htm/</v>
      </c>
      <c r="X458" s="1" t="str">
        <f t="shared" si="117"/>
        <v>https://www.toukei.metro.tokyo.lg.jp/</v>
      </c>
      <c r="Y458" s="1" t="str">
        <f t="shared" si="118"/>
        <v>優先3</v>
      </c>
      <c r="Z458" s="1" t="str">
        <f t="shared" si="119"/>
        <v>Tokyo Metropolitan Government [東京都総務局統計部]. "区市町村、国籍・地域別外国人人口". Accessed 19 June, 2023. https://www.toukei.metro.tokyo.lg.jp/.</v>
      </c>
    </row>
    <row r="459" spans="2:26">
      <c r="B459" s="285" t="s">
        <v>877</v>
      </c>
      <c r="C459" s="285" t="s">
        <v>464</v>
      </c>
      <c r="D459" s="285" t="s">
        <v>673</v>
      </c>
      <c r="E459" s="285" t="s">
        <v>162</v>
      </c>
      <c r="F459" s="13" t="s">
        <v>811</v>
      </c>
      <c r="G459" s="13"/>
      <c r="H459" s="13"/>
      <c r="I459" s="13" t="s">
        <v>4063</v>
      </c>
      <c r="J459" s="13" t="s">
        <v>4064</v>
      </c>
      <c r="K459" s="284">
        <v>45096</v>
      </c>
      <c r="L459" s="283">
        <f t="shared" si="105"/>
        <v>2</v>
      </c>
      <c r="M459" s="283" t="str">
        <f t="shared" si="106"/>
        <v>-</v>
      </c>
      <c r="N459" s="283" t="str">
        <f t="shared" si="107"/>
        <v>-</v>
      </c>
      <c r="O459" s="283" t="str">
        <f t="shared" si="108"/>
        <v>-</v>
      </c>
      <c r="P459" s="283" t="str">
        <f t="shared" si="109"/>
        <v>-</v>
      </c>
      <c r="Q459" s="283" t="str">
        <f t="shared" si="110"/>
        <v>-</v>
      </c>
      <c r="R459" s="283" t="str">
        <f t="shared" si="111"/>
        <v>-</v>
      </c>
      <c r="S459" s="283" t="str">
        <f t="shared" si="112"/>
        <v>-</v>
      </c>
      <c r="T459" s="283" t="str">
        <f t="shared" si="113"/>
        <v>-</v>
      </c>
      <c r="U459" s="283" t="str">
        <f t="shared" si="114"/>
        <v>-</v>
      </c>
      <c r="V459" s="283" t="str">
        <f t="shared" si="115"/>
        <v>-</v>
      </c>
      <c r="W459" s="1" t="str">
        <f t="shared" si="116"/>
        <v>https://www.abs.gov.au/census/find-census-data/quickstats/2021/1GSYD/</v>
      </c>
      <c r="X459" s="1" t="str">
        <f t="shared" si="117"/>
        <v>https://www.abs.gov.au/</v>
      </c>
      <c r="Y459" s="1" t="str">
        <f t="shared" si="118"/>
        <v>優先3</v>
      </c>
      <c r="Z459" s="1" t="str">
        <f t="shared" si="119"/>
        <v>Australian Bureau of Statistics. "2021 Census All persons QuickStats". Accessed 19 June, 2023. https://www.abs.gov.au/.</v>
      </c>
    </row>
    <row r="460" spans="2:26">
      <c r="B460" s="285" t="s">
        <v>877</v>
      </c>
      <c r="C460" s="285" t="s">
        <v>464</v>
      </c>
      <c r="D460" s="285" t="s">
        <v>673</v>
      </c>
      <c r="E460" s="285" t="s">
        <v>164</v>
      </c>
      <c r="F460" s="13" t="s">
        <v>814</v>
      </c>
      <c r="G460" s="13"/>
      <c r="H460" s="13"/>
      <c r="I460" s="13" t="s">
        <v>3630</v>
      </c>
      <c r="J460" s="13" t="s">
        <v>4170</v>
      </c>
      <c r="K460" s="284">
        <v>45086</v>
      </c>
      <c r="L460" s="283">
        <f t="shared" si="105"/>
        <v>2</v>
      </c>
      <c r="M460" s="283" t="str">
        <f t="shared" si="106"/>
        <v>-</v>
      </c>
      <c r="N460" s="283" t="str">
        <f t="shared" si="107"/>
        <v>-</v>
      </c>
      <c r="O460" s="283" t="str">
        <f t="shared" si="108"/>
        <v>-</v>
      </c>
      <c r="P460" s="283" t="str">
        <f t="shared" si="109"/>
        <v>-</v>
      </c>
      <c r="Q460" s="283" t="str">
        <f t="shared" si="110"/>
        <v>-</v>
      </c>
      <c r="R460" s="283" t="str">
        <f t="shared" si="111"/>
        <v>-</v>
      </c>
      <c r="S460" s="283" t="str">
        <f t="shared" si="112"/>
        <v>-</v>
      </c>
      <c r="T460" s="283" t="str">
        <f t="shared" si="113"/>
        <v>-</v>
      </c>
      <c r="U460" s="283" t="str">
        <f t="shared" si="114"/>
        <v>-</v>
      </c>
      <c r="V460" s="283" t="str">
        <f t="shared" si="115"/>
        <v>-</v>
      </c>
      <c r="W460" s="1" t="str">
        <f t="shared" si="116"/>
        <v>https://www12.statcan.gc.ca/census-recensement/2021/dp-pd/prof/details/page.cfm?Lang=E&amp;GENDERlist=1,2,3&amp;STATISTIClist=1,4&amp;HEADERlist=0&amp;DGUIDlist=2021A00055915022&amp;SearchText=Vancouver/</v>
      </c>
      <c r="X460" s="1" t="str">
        <f t="shared" si="117"/>
        <v>https://www12.statcan.gc.ca/</v>
      </c>
      <c r="Y460" s="1" t="str">
        <f t="shared" si="118"/>
        <v>優先3</v>
      </c>
      <c r="Z460" s="1" t="str">
        <f t="shared" si="119"/>
        <v>Statistics Canada. "Census Profile, 2021 Census of Population". Accessed 09 June, 2023. https://www12.statcan.gc.ca/.</v>
      </c>
    </row>
    <row r="461" spans="2:26">
      <c r="B461" s="285" t="s">
        <v>877</v>
      </c>
      <c r="C461" s="285" t="s">
        <v>464</v>
      </c>
      <c r="D461" s="285" t="s">
        <v>673</v>
      </c>
      <c r="E461" s="285" t="s">
        <v>166</v>
      </c>
      <c r="F461" s="13" t="s">
        <v>1344</v>
      </c>
      <c r="G461" s="13"/>
      <c r="H461" s="13"/>
      <c r="I461" s="13" t="s">
        <v>4171</v>
      </c>
      <c r="J461" s="13" t="s">
        <v>4172</v>
      </c>
      <c r="K461" s="284">
        <v>45086</v>
      </c>
      <c r="L461" s="283">
        <f t="shared" si="105"/>
        <v>6</v>
      </c>
      <c r="M461" s="283" t="str">
        <f t="shared" si="106"/>
        <v>-</v>
      </c>
      <c r="N461" s="283" t="str">
        <f t="shared" si="107"/>
        <v>-</v>
      </c>
      <c r="O461" s="283" t="str">
        <f t="shared" si="108"/>
        <v>-</v>
      </c>
      <c r="P461" s="283" t="str">
        <f t="shared" si="109"/>
        <v>-</v>
      </c>
      <c r="Q461" s="283" t="str">
        <f t="shared" si="110"/>
        <v>-</v>
      </c>
      <c r="R461" s="283" t="str">
        <f t="shared" si="111"/>
        <v>-</v>
      </c>
      <c r="S461" s="283" t="str">
        <f t="shared" si="112"/>
        <v>-</v>
      </c>
      <c r="T461" s="283" t="str">
        <f t="shared" si="113"/>
        <v>-</v>
      </c>
      <c r="U461" s="283" t="str">
        <f t="shared" si="114"/>
        <v>-</v>
      </c>
      <c r="V461" s="283" t="str">
        <f t="shared" si="115"/>
        <v>-</v>
      </c>
      <c r="W461" s="1" t="str">
        <f t="shared" si="116"/>
        <v>https://data.census.gov/table?text=DP02&amp;g=160XX00US0644000,0667000,1150000,1714000,2507000,3651000&amp;y=2021&amp;tid=ACSDP1Y2021.DP02/</v>
      </c>
      <c r="X461" s="1" t="str">
        <f t="shared" si="117"/>
        <v>https://data.census.gov/</v>
      </c>
      <c r="Y461" s="1" t="str">
        <f t="shared" si="118"/>
        <v>優先3</v>
      </c>
      <c r="Z461" s="1" t="str">
        <f t="shared" si="119"/>
        <v>United States Census Bureau. "2021: ACS 1-Year Estimates Data Profiles". Accessed 09 June, 2023. https://data.census.gov/.</v>
      </c>
    </row>
    <row r="462" spans="2:26">
      <c r="B462" s="285" t="s">
        <v>877</v>
      </c>
      <c r="C462" s="285" t="s">
        <v>464</v>
      </c>
      <c r="D462" s="285" t="s">
        <v>673</v>
      </c>
      <c r="E462" s="285" t="s">
        <v>168</v>
      </c>
      <c r="F462" s="13" t="s">
        <v>1344</v>
      </c>
      <c r="G462" s="13"/>
      <c r="H462" s="13"/>
      <c r="I462" s="13" t="s">
        <v>4171</v>
      </c>
      <c r="J462" s="13" t="s">
        <v>4172</v>
      </c>
      <c r="K462" s="284">
        <v>45086</v>
      </c>
      <c r="L462" s="283">
        <f t="shared" si="105"/>
        <v>6</v>
      </c>
      <c r="M462" s="283" t="str">
        <f t="shared" si="106"/>
        <v>-</v>
      </c>
      <c r="N462" s="283" t="str">
        <f t="shared" si="107"/>
        <v>-</v>
      </c>
      <c r="O462" s="283" t="str">
        <f t="shared" si="108"/>
        <v>-</v>
      </c>
      <c r="P462" s="283" t="str">
        <f t="shared" si="109"/>
        <v>-</v>
      </c>
      <c r="Q462" s="283" t="str">
        <f t="shared" si="110"/>
        <v>-</v>
      </c>
      <c r="R462" s="283" t="str">
        <f t="shared" si="111"/>
        <v>-</v>
      </c>
      <c r="S462" s="283" t="str">
        <f t="shared" si="112"/>
        <v>-</v>
      </c>
      <c r="T462" s="283" t="str">
        <f t="shared" si="113"/>
        <v>-</v>
      </c>
      <c r="U462" s="283" t="str">
        <f t="shared" si="114"/>
        <v>-</v>
      </c>
      <c r="V462" s="283" t="str">
        <f t="shared" si="115"/>
        <v>-</v>
      </c>
      <c r="W462" s="1" t="str">
        <f t="shared" si="116"/>
        <v>https://data.census.gov/table?text=DP02&amp;g=160XX00US0644000,0667000,1150000,1714000,2507000,3651000&amp;y=2021&amp;tid=ACSDP1Y2021.DP02/</v>
      </c>
      <c r="X462" s="1" t="str">
        <f t="shared" si="117"/>
        <v>https://data.census.gov/</v>
      </c>
      <c r="Y462" s="1" t="str">
        <f t="shared" si="118"/>
        <v>優先3</v>
      </c>
      <c r="Z462" s="1" t="str">
        <f t="shared" si="119"/>
        <v>United States Census Bureau. "2021: ACS 1-Year Estimates Data Profiles". Accessed 09 June, 2023. https://data.census.gov/.</v>
      </c>
    </row>
    <row r="463" spans="2:26">
      <c r="B463" s="285" t="s">
        <v>877</v>
      </c>
      <c r="C463" s="285" t="s">
        <v>464</v>
      </c>
      <c r="D463" s="285" t="s">
        <v>673</v>
      </c>
      <c r="E463" s="285" t="s">
        <v>170</v>
      </c>
      <c r="F463" s="13" t="s">
        <v>886</v>
      </c>
      <c r="G463" s="13" t="s">
        <v>833</v>
      </c>
      <c r="H463" s="13"/>
      <c r="I463" s="13" t="s">
        <v>2664</v>
      </c>
      <c r="J463" s="13" t="s">
        <v>1345</v>
      </c>
      <c r="K463" s="284">
        <v>45096</v>
      </c>
      <c r="L463" s="283" t="str">
        <f t="shared" si="105"/>
        <v>-</v>
      </c>
      <c r="M463" s="283" t="str">
        <f t="shared" si="106"/>
        <v>-</v>
      </c>
      <c r="N463" s="283" t="str">
        <f t="shared" si="107"/>
        <v>-</v>
      </c>
      <c r="O463" s="283" t="str">
        <f t="shared" si="108"/>
        <v>-</v>
      </c>
      <c r="P463" s="283" t="str">
        <f t="shared" si="109"/>
        <v>-</v>
      </c>
      <c r="Q463" s="283" t="str">
        <f t="shared" si="110"/>
        <v>-</v>
      </c>
      <c r="R463" s="283" t="str">
        <f t="shared" si="111"/>
        <v>-</v>
      </c>
      <c r="S463" s="283" t="str">
        <f t="shared" si="112"/>
        <v>-</v>
      </c>
      <c r="T463" s="283" t="str">
        <f t="shared" si="113"/>
        <v>-</v>
      </c>
      <c r="U463" s="283" t="str">
        <f t="shared" si="114"/>
        <v>-</v>
      </c>
      <c r="V463" s="283" t="str">
        <f t="shared" si="115"/>
        <v>-</v>
      </c>
      <c r="W463" s="1" t="str">
        <f t="shared" si="116"/>
        <v>http://en.www.inegi.org.mx/app/tabulados/interactivos/?px=Migracion_03&amp;bd=Migracion/</v>
      </c>
      <c r="X463" s="1" t="str">
        <f t="shared" si="117"/>
        <v>http://en.www.inegi.org.mx/</v>
      </c>
      <c r="Y463" s="1" t="str">
        <f t="shared" si="118"/>
        <v>優先3</v>
      </c>
      <c r="Z463" s="1" t="str">
        <f t="shared" si="119"/>
        <v>Instituto Nacional de Estadística y Geografía, United Mexican States. "International migration". Accessed 19 June, 2023. http://en.www.inegi.org.mx/.</v>
      </c>
    </row>
    <row r="464" spans="2:26">
      <c r="B464" s="285" t="s">
        <v>877</v>
      </c>
      <c r="C464" s="285" t="s">
        <v>464</v>
      </c>
      <c r="D464" s="285" t="s">
        <v>673</v>
      </c>
      <c r="E464" s="285" t="s">
        <v>172</v>
      </c>
      <c r="F464" s="13" t="s">
        <v>1344</v>
      </c>
      <c r="G464" s="13"/>
      <c r="H464" s="13"/>
      <c r="I464" s="13" t="s">
        <v>4171</v>
      </c>
      <c r="J464" s="13" t="s">
        <v>4172</v>
      </c>
      <c r="K464" s="284">
        <v>45086</v>
      </c>
      <c r="L464" s="283">
        <f t="shared" si="105"/>
        <v>6</v>
      </c>
      <c r="M464" s="283" t="str">
        <f t="shared" si="106"/>
        <v>-</v>
      </c>
      <c r="N464" s="283" t="str">
        <f t="shared" si="107"/>
        <v>-</v>
      </c>
      <c r="O464" s="283" t="str">
        <f t="shared" si="108"/>
        <v>-</v>
      </c>
      <c r="P464" s="283" t="str">
        <f t="shared" si="109"/>
        <v>-</v>
      </c>
      <c r="Q464" s="283" t="str">
        <f t="shared" si="110"/>
        <v>-</v>
      </c>
      <c r="R464" s="283" t="str">
        <f t="shared" si="111"/>
        <v>-</v>
      </c>
      <c r="S464" s="283" t="str">
        <f t="shared" si="112"/>
        <v>-</v>
      </c>
      <c r="T464" s="283" t="str">
        <f t="shared" si="113"/>
        <v>-</v>
      </c>
      <c r="U464" s="283" t="str">
        <f t="shared" si="114"/>
        <v>-</v>
      </c>
      <c r="V464" s="283" t="str">
        <f t="shared" si="115"/>
        <v>-</v>
      </c>
      <c r="W464" s="1" t="str">
        <f t="shared" si="116"/>
        <v>https://data.census.gov/table?text=DP02&amp;g=160XX00US0644000,0667000,1150000,1714000,2507000,3651000&amp;y=2021&amp;tid=ACSDP1Y2021.DP02/</v>
      </c>
      <c r="X464" s="1" t="str">
        <f t="shared" si="117"/>
        <v>https://data.census.gov/</v>
      </c>
      <c r="Y464" s="1" t="str">
        <f t="shared" si="118"/>
        <v>優先3</v>
      </c>
      <c r="Z464" s="1" t="str">
        <f t="shared" si="119"/>
        <v>United States Census Bureau. "2021: ACS 1-Year Estimates Data Profiles". Accessed 09 June, 2023. https://data.census.gov/.</v>
      </c>
    </row>
    <row r="465" spans="2:26">
      <c r="B465" s="285" t="s">
        <v>877</v>
      </c>
      <c r="C465" s="285" t="s">
        <v>464</v>
      </c>
      <c r="D465" s="285" t="s">
        <v>673</v>
      </c>
      <c r="E465" s="285" t="s">
        <v>174</v>
      </c>
      <c r="F465" s="13" t="s">
        <v>814</v>
      </c>
      <c r="G465" s="13"/>
      <c r="H465" s="13"/>
      <c r="I465" s="13" t="s">
        <v>3630</v>
      </c>
      <c r="J465" s="13" t="s">
        <v>4173</v>
      </c>
      <c r="K465" s="284">
        <v>45086</v>
      </c>
      <c r="L465" s="283">
        <f t="shared" si="105"/>
        <v>2</v>
      </c>
      <c r="M465" s="283" t="str">
        <f t="shared" si="106"/>
        <v>-</v>
      </c>
      <c r="N465" s="283" t="str">
        <f t="shared" si="107"/>
        <v>-</v>
      </c>
      <c r="O465" s="283" t="str">
        <f t="shared" si="108"/>
        <v>-</v>
      </c>
      <c r="P465" s="283" t="str">
        <f t="shared" si="109"/>
        <v>-</v>
      </c>
      <c r="Q465" s="283" t="str">
        <f t="shared" si="110"/>
        <v>-</v>
      </c>
      <c r="R465" s="283" t="str">
        <f t="shared" si="111"/>
        <v>-</v>
      </c>
      <c r="S465" s="283" t="str">
        <f t="shared" si="112"/>
        <v>-</v>
      </c>
      <c r="T465" s="283" t="str">
        <f t="shared" si="113"/>
        <v>-</v>
      </c>
      <c r="U465" s="283" t="str">
        <f t="shared" si="114"/>
        <v>-</v>
      </c>
      <c r="V465" s="283" t="str">
        <f t="shared" si="115"/>
        <v>-</v>
      </c>
      <c r="W465" s="1" t="str">
        <f t="shared" si="116"/>
        <v>https://www12.statcan.gc.ca/census-recensement/2021/dp-pd/prof/details/page.cfm?Lang=E&amp;GENDERlist=1,2,3&amp;STATISTIClist=1,4&amp;HEADERlist=0&amp;DGUIDlist=2021A00053520005&amp;SearchText=Toronto/</v>
      </c>
      <c r="X465" s="1" t="str">
        <f t="shared" si="117"/>
        <v>https://www12.statcan.gc.ca/</v>
      </c>
      <c r="Y465" s="1" t="str">
        <f t="shared" si="118"/>
        <v>優先3</v>
      </c>
      <c r="Z465" s="1" t="str">
        <f t="shared" si="119"/>
        <v>Statistics Canada. "Census Profile, 2021 Census of Population". Accessed 09 June, 2023. https://www12.statcan.gc.ca/.</v>
      </c>
    </row>
    <row r="466" spans="2:26">
      <c r="B466" s="285" t="s">
        <v>877</v>
      </c>
      <c r="C466" s="285" t="s">
        <v>464</v>
      </c>
      <c r="D466" s="285" t="s">
        <v>673</v>
      </c>
      <c r="E466" s="285" t="s">
        <v>373</v>
      </c>
      <c r="F466" s="13" t="s">
        <v>1344</v>
      </c>
      <c r="G466" s="13"/>
      <c r="H466" s="13"/>
      <c r="I466" s="13" t="s">
        <v>4171</v>
      </c>
      <c r="J466" s="13" t="s">
        <v>4172</v>
      </c>
      <c r="K466" s="284">
        <v>45086</v>
      </c>
      <c r="L466" s="283">
        <f t="shared" si="105"/>
        <v>6</v>
      </c>
      <c r="M466" s="283" t="str">
        <f t="shared" si="106"/>
        <v>-</v>
      </c>
      <c r="N466" s="283" t="str">
        <f t="shared" si="107"/>
        <v>-</v>
      </c>
      <c r="O466" s="283" t="str">
        <f t="shared" si="108"/>
        <v>-</v>
      </c>
      <c r="P466" s="283" t="str">
        <f t="shared" si="109"/>
        <v>-</v>
      </c>
      <c r="Q466" s="283" t="str">
        <f t="shared" si="110"/>
        <v>-</v>
      </c>
      <c r="R466" s="283" t="str">
        <f t="shared" si="111"/>
        <v>-</v>
      </c>
      <c r="S466" s="283" t="str">
        <f t="shared" si="112"/>
        <v>-</v>
      </c>
      <c r="T466" s="283" t="str">
        <f t="shared" si="113"/>
        <v>-</v>
      </c>
      <c r="U466" s="283" t="str">
        <f t="shared" si="114"/>
        <v>-</v>
      </c>
      <c r="V466" s="283" t="str">
        <f t="shared" si="115"/>
        <v>-</v>
      </c>
      <c r="W466" s="1" t="str">
        <f t="shared" si="116"/>
        <v>https://data.census.gov/table?text=DP02&amp;g=160XX00US0644000,0667000,1150000,1714000,2507000,3651000&amp;y=2021&amp;tid=ACSDP1Y2021.DP02/</v>
      </c>
      <c r="X466" s="1" t="str">
        <f t="shared" si="117"/>
        <v>https://data.census.gov/</v>
      </c>
      <c r="Y466" s="1" t="str">
        <f t="shared" si="118"/>
        <v>優先3</v>
      </c>
      <c r="Z466" s="1" t="str">
        <f t="shared" si="119"/>
        <v>United States Census Bureau. "2021: ACS 1-Year Estimates Data Profiles". Accessed 09 June, 2023. https://data.census.gov/.</v>
      </c>
    </row>
    <row r="467" spans="2:26">
      <c r="B467" s="285" t="s">
        <v>877</v>
      </c>
      <c r="C467" s="285" t="s">
        <v>464</v>
      </c>
      <c r="D467" s="285" t="s">
        <v>673</v>
      </c>
      <c r="E467" s="285" t="s">
        <v>178</v>
      </c>
      <c r="F467" s="13" t="s">
        <v>1344</v>
      </c>
      <c r="G467" s="13"/>
      <c r="H467" s="13"/>
      <c r="I467" s="13" t="s">
        <v>4171</v>
      </c>
      <c r="J467" s="13" t="s">
        <v>4172</v>
      </c>
      <c r="K467" s="284">
        <v>45086</v>
      </c>
      <c r="L467" s="283">
        <f t="shared" si="105"/>
        <v>6</v>
      </c>
      <c r="M467" s="283" t="str">
        <f t="shared" si="106"/>
        <v>-</v>
      </c>
      <c r="N467" s="283" t="str">
        <f t="shared" si="107"/>
        <v>-</v>
      </c>
      <c r="O467" s="283" t="str">
        <f t="shared" si="108"/>
        <v>-</v>
      </c>
      <c r="P467" s="283" t="str">
        <f t="shared" si="109"/>
        <v>-</v>
      </c>
      <c r="Q467" s="283" t="str">
        <f t="shared" si="110"/>
        <v>-</v>
      </c>
      <c r="R467" s="283" t="str">
        <f t="shared" si="111"/>
        <v>-</v>
      </c>
      <c r="S467" s="283" t="str">
        <f t="shared" si="112"/>
        <v>-</v>
      </c>
      <c r="T467" s="283" t="str">
        <f t="shared" si="113"/>
        <v>-</v>
      </c>
      <c r="U467" s="283" t="str">
        <f t="shared" si="114"/>
        <v>-</v>
      </c>
      <c r="V467" s="283" t="str">
        <f t="shared" si="115"/>
        <v>-</v>
      </c>
      <c r="W467" s="1" t="str">
        <f t="shared" si="116"/>
        <v>https://data.census.gov/table?text=DP02&amp;g=160XX00US0644000,0667000,1150000,1714000,2507000,3651000&amp;y=2021&amp;tid=ACSDP1Y2021.DP02/</v>
      </c>
      <c r="X467" s="1" t="str">
        <f t="shared" si="117"/>
        <v>https://data.census.gov/</v>
      </c>
      <c r="Y467" s="1" t="str">
        <f t="shared" si="118"/>
        <v>優先3</v>
      </c>
      <c r="Z467" s="1" t="str">
        <f t="shared" si="119"/>
        <v>United States Census Bureau. "2021: ACS 1-Year Estimates Data Profiles". Accessed 09 June, 2023. https://data.census.gov/.</v>
      </c>
    </row>
    <row r="468" spans="2:26">
      <c r="B468" s="285" t="s">
        <v>877</v>
      </c>
      <c r="C468" s="285" t="s">
        <v>464</v>
      </c>
      <c r="D468" s="285" t="s">
        <v>673</v>
      </c>
      <c r="E468" s="285" t="s">
        <v>180</v>
      </c>
      <c r="F468" s="13" t="s">
        <v>1344</v>
      </c>
      <c r="G468" s="13"/>
      <c r="H468" s="13"/>
      <c r="I468" s="13" t="s">
        <v>4171</v>
      </c>
      <c r="J468" s="13" t="s">
        <v>4172</v>
      </c>
      <c r="K468" s="284">
        <v>45086</v>
      </c>
      <c r="L468" s="283">
        <f t="shared" si="105"/>
        <v>6</v>
      </c>
      <c r="M468" s="283" t="str">
        <f t="shared" si="106"/>
        <v>-</v>
      </c>
      <c r="N468" s="283" t="str">
        <f t="shared" si="107"/>
        <v>-</v>
      </c>
      <c r="O468" s="283" t="str">
        <f t="shared" si="108"/>
        <v>-</v>
      </c>
      <c r="P468" s="283" t="str">
        <f t="shared" si="109"/>
        <v>-</v>
      </c>
      <c r="Q468" s="283" t="str">
        <f t="shared" si="110"/>
        <v>-</v>
      </c>
      <c r="R468" s="283" t="str">
        <f t="shared" si="111"/>
        <v>-</v>
      </c>
      <c r="S468" s="283" t="str">
        <f t="shared" si="112"/>
        <v>-</v>
      </c>
      <c r="T468" s="283" t="str">
        <f t="shared" si="113"/>
        <v>-</v>
      </c>
      <c r="U468" s="283" t="str">
        <f t="shared" si="114"/>
        <v>-</v>
      </c>
      <c r="V468" s="283" t="str">
        <f t="shared" si="115"/>
        <v>-</v>
      </c>
      <c r="W468" s="1" t="str">
        <f t="shared" si="116"/>
        <v>https://data.census.gov/table?text=DP02&amp;g=160XX00US0644000,0667000,1150000,1714000,2507000,3651000&amp;y=2021&amp;tid=ACSDP1Y2021.DP02/</v>
      </c>
      <c r="X468" s="1" t="str">
        <f t="shared" si="117"/>
        <v>https://data.census.gov/</v>
      </c>
      <c r="Y468" s="1" t="str">
        <f t="shared" si="118"/>
        <v>優先3</v>
      </c>
      <c r="Z468" s="1" t="str">
        <f t="shared" si="119"/>
        <v>United States Census Bureau. "2021: ACS 1-Year Estimates Data Profiles". Accessed 09 June, 2023. https://data.census.gov/.</v>
      </c>
    </row>
    <row r="469" spans="2:26">
      <c r="B469" s="285" t="s">
        <v>877</v>
      </c>
      <c r="C469" s="285" t="s">
        <v>464</v>
      </c>
      <c r="D469" s="285" t="s">
        <v>673</v>
      </c>
      <c r="E469" s="285" t="s">
        <v>182</v>
      </c>
      <c r="F469" s="13" t="s">
        <v>4174</v>
      </c>
      <c r="G469" s="13"/>
      <c r="H469" s="13"/>
      <c r="I469" s="13" t="s">
        <v>4175</v>
      </c>
      <c r="J469" s="13" t="s">
        <v>4176</v>
      </c>
      <c r="K469" s="284">
        <v>45097</v>
      </c>
      <c r="L469" s="283" t="str">
        <f t="shared" si="105"/>
        <v>-</v>
      </c>
      <c r="M469" s="283" t="str">
        <f t="shared" si="106"/>
        <v>-</v>
      </c>
      <c r="N469" s="283" t="str">
        <f t="shared" si="107"/>
        <v>-</v>
      </c>
      <c r="O469" s="283" t="str">
        <f t="shared" si="108"/>
        <v>-</v>
      </c>
      <c r="P469" s="283" t="str">
        <f t="shared" si="109"/>
        <v>-</v>
      </c>
      <c r="Q469" s="283" t="str">
        <f t="shared" si="110"/>
        <v>-</v>
      </c>
      <c r="R469" s="283" t="str">
        <f t="shared" si="111"/>
        <v>-</v>
      </c>
      <c r="S469" s="283" t="str">
        <f t="shared" si="112"/>
        <v>-</v>
      </c>
      <c r="T469" s="283" t="str">
        <f t="shared" si="113"/>
        <v>-</v>
      </c>
      <c r="U469" s="283" t="str">
        <f t="shared" si="114"/>
        <v>-</v>
      </c>
      <c r="V469" s="283" t="str">
        <f t="shared" si="115"/>
        <v>-</v>
      </c>
      <c r="W469" s="1" t="str">
        <f t="shared" si="116"/>
        <v>https://dados.gov.br/dados/conjuntos-dados/sismigra/</v>
      </c>
      <c r="X469" s="1" t="str">
        <f t="shared" si="117"/>
        <v>https://dados.gov.br/</v>
      </c>
      <c r="Y469" s="1" t="str">
        <f t="shared" si="118"/>
        <v>優先3</v>
      </c>
      <c r="Z469" s="1" t="str">
        <f t="shared" si="119"/>
        <v>Polícia Federal. "SISMIGRA". Accessed 20 June, 2023. https://dados.gov.br/.</v>
      </c>
    </row>
    <row r="470" spans="2:26">
      <c r="B470" s="285" t="s">
        <v>877</v>
      </c>
      <c r="C470" s="285" t="s">
        <v>464</v>
      </c>
      <c r="D470" s="285" t="s">
        <v>673</v>
      </c>
      <c r="E470" s="285" t="s">
        <v>184</v>
      </c>
      <c r="F470" s="13" t="s">
        <v>725</v>
      </c>
      <c r="G470" s="13" t="s">
        <v>725</v>
      </c>
      <c r="H470" s="13"/>
      <c r="I470" s="13" t="s">
        <v>4177</v>
      </c>
      <c r="J470" s="13" t="s">
        <v>4178</v>
      </c>
      <c r="K470" s="284">
        <v>45086</v>
      </c>
      <c r="L470" s="283" t="str">
        <f t="shared" si="105"/>
        <v>-</v>
      </c>
      <c r="M470" s="283" t="str">
        <f t="shared" si="106"/>
        <v>-</v>
      </c>
      <c r="N470" s="283" t="str">
        <f t="shared" si="107"/>
        <v>-</v>
      </c>
      <c r="O470" s="283" t="str">
        <f t="shared" si="108"/>
        <v>-</v>
      </c>
      <c r="P470" s="283" t="str">
        <f t="shared" si="109"/>
        <v>-</v>
      </c>
      <c r="Q470" s="283" t="str">
        <f t="shared" si="110"/>
        <v>-</v>
      </c>
      <c r="R470" s="283" t="str">
        <f t="shared" si="111"/>
        <v>-</v>
      </c>
      <c r="S470" s="283" t="str">
        <f t="shared" si="112"/>
        <v>-</v>
      </c>
      <c r="T470" s="283" t="str">
        <f t="shared" si="113"/>
        <v>-</v>
      </c>
      <c r="U470" s="283" t="str">
        <f t="shared" si="114"/>
        <v>-</v>
      </c>
      <c r="V470" s="283" t="str">
        <f t="shared" si="115"/>
        <v>-</v>
      </c>
      <c r="W470" s="1" t="str">
        <f t="shared" si="116"/>
        <v>https://www.joburg.org.za/documents_/Pages/Key%20Documents/Annual%20Report/Annual-Report-1219-9922.aspx/</v>
      </c>
      <c r="X470" s="1" t="str">
        <f t="shared" si="117"/>
        <v>https://www.joburg.org.za/</v>
      </c>
      <c r="Y470" s="1" t="str">
        <f t="shared" si="118"/>
        <v>優先3</v>
      </c>
      <c r="Z470" s="1" t="str">
        <f t="shared" si="119"/>
        <v>City of Johannesburg, City of Johannesburg. "2021/2022 Integrated Annual Report". Accessed 09 June, 2023. https://www.joburg.org.za/.</v>
      </c>
    </row>
    <row r="471" spans="2:26">
      <c r="B471" s="285" t="s">
        <v>877</v>
      </c>
      <c r="C471" s="285" t="s">
        <v>464</v>
      </c>
      <c r="D471" s="285" t="s">
        <v>673</v>
      </c>
      <c r="E471" s="285" t="s">
        <v>186</v>
      </c>
      <c r="F471" s="13" t="s">
        <v>864</v>
      </c>
      <c r="G471" s="13" t="s">
        <v>3776</v>
      </c>
      <c r="H471" s="13"/>
      <c r="I471" s="13" t="s">
        <v>4179</v>
      </c>
      <c r="J471" s="13" t="s">
        <v>4180</v>
      </c>
      <c r="K471" s="284">
        <v>45097</v>
      </c>
      <c r="L471" s="283" t="str">
        <f t="shared" si="105"/>
        <v>-</v>
      </c>
      <c r="M471" s="283" t="str">
        <f t="shared" si="106"/>
        <v>-</v>
      </c>
      <c r="N471" s="283" t="str">
        <f t="shared" si="107"/>
        <v>-</v>
      </c>
      <c r="O471" s="283" t="str">
        <f t="shared" si="108"/>
        <v>-</v>
      </c>
      <c r="P471" s="283" t="str">
        <f t="shared" si="109"/>
        <v>-</v>
      </c>
      <c r="Q471" s="283" t="str">
        <f t="shared" si="110"/>
        <v>-</v>
      </c>
      <c r="R471" s="283" t="str">
        <f t="shared" si="111"/>
        <v>-</v>
      </c>
      <c r="S471" s="283" t="str">
        <f t="shared" si="112"/>
        <v>-</v>
      </c>
      <c r="T471" s="283" t="str">
        <f t="shared" si="113"/>
        <v>-</v>
      </c>
      <c r="U471" s="283" t="str">
        <f t="shared" si="114"/>
        <v>-</v>
      </c>
      <c r="V471" s="283" t="str">
        <f t="shared" si="115"/>
        <v>-</v>
      </c>
      <c r="W471" s="1" t="str">
        <f t="shared" si="116"/>
        <v>https://statistik.jakarta.go.id/laporan-kategori/produk-statistik/</v>
      </c>
      <c r="X471" s="1" t="str">
        <f t="shared" si="117"/>
        <v>https://statistik.jakarta.go.id/</v>
      </c>
      <c r="Y471" s="1" t="str">
        <f t="shared" si="118"/>
        <v>優先3</v>
      </c>
      <c r="Z471" s="1" t="str">
        <f t="shared" si="119"/>
        <v>Badan Pusat Statistik, DKI Jakarta Province. "Data Statistik Sektoral - Pemerintah Provinsi DKI Jakarta 2022 - Volume 4 Tahun 2022". Accessed 20 June, 2023. https://statistik.jakarta.go.id/.</v>
      </c>
    </row>
    <row r="472" spans="2:26">
      <c r="B472" s="285" t="s">
        <v>877</v>
      </c>
      <c r="C472" s="285" t="s">
        <v>464</v>
      </c>
      <c r="D472" s="285" t="s">
        <v>673</v>
      </c>
      <c r="E472" s="285" t="s">
        <v>188</v>
      </c>
      <c r="F472" s="13" t="s">
        <v>883</v>
      </c>
      <c r="G472" s="13"/>
      <c r="H472" s="13"/>
      <c r="I472" s="13" t="s">
        <v>4009</v>
      </c>
      <c r="J472" s="13" t="s">
        <v>4010</v>
      </c>
      <c r="K472" s="284">
        <v>45097</v>
      </c>
      <c r="L472" s="283" t="str">
        <f t="shared" si="105"/>
        <v>-</v>
      </c>
      <c r="M472" s="283" t="str">
        <f t="shared" si="106"/>
        <v>-</v>
      </c>
      <c r="N472" s="283" t="str">
        <f t="shared" si="107"/>
        <v>-</v>
      </c>
      <c r="O472" s="283" t="str">
        <f t="shared" si="108"/>
        <v>-</v>
      </c>
      <c r="P472" s="283" t="str">
        <f t="shared" si="109"/>
        <v>-</v>
      </c>
      <c r="Q472" s="283" t="str">
        <f t="shared" si="110"/>
        <v>-</v>
      </c>
      <c r="R472" s="283" t="str">
        <f t="shared" si="111"/>
        <v>-</v>
      </c>
      <c r="S472" s="283" t="str">
        <f t="shared" si="112"/>
        <v>-</v>
      </c>
      <c r="T472" s="283" t="str">
        <f t="shared" si="113"/>
        <v>-</v>
      </c>
      <c r="U472" s="283" t="str">
        <f t="shared" si="114"/>
        <v>-</v>
      </c>
      <c r="V472" s="283" t="str">
        <f t="shared" si="115"/>
        <v>-</v>
      </c>
      <c r="W472" s="1" t="str">
        <f t="shared" si="116"/>
        <v>https://www.estadisticaciudad.gob.ar/eyc/?p=132766/</v>
      </c>
      <c r="X472" s="1" t="str">
        <f t="shared" si="117"/>
        <v>https://www.estadisticaciudad.gob.ar/</v>
      </c>
      <c r="Y472" s="1" t="str">
        <f t="shared" si="118"/>
        <v>優先3</v>
      </c>
      <c r="Z472" s="1" t="str">
        <f t="shared" si="119"/>
        <v>Dirección General de Estadística y Censos, Gobierno de la Ciudad de Buenos. "Anuario Estadístico de la Ciudad de Buenos Aires 2021". Accessed 20 June, 2023. https://www.estadisticaciudad.gob.ar/.</v>
      </c>
    </row>
    <row r="473" spans="2:26">
      <c r="B473" s="285" t="s">
        <v>877</v>
      </c>
      <c r="C473" s="285" t="s">
        <v>464</v>
      </c>
      <c r="D473" s="285" t="s">
        <v>673</v>
      </c>
      <c r="E473" s="285" t="s">
        <v>190</v>
      </c>
      <c r="F473" s="13" t="s">
        <v>882</v>
      </c>
      <c r="G473" s="13" t="s">
        <v>829</v>
      </c>
      <c r="H473" s="13"/>
      <c r="I473" s="13" t="s">
        <v>4181</v>
      </c>
      <c r="J473" s="13" t="s">
        <v>1346</v>
      </c>
      <c r="K473" s="284">
        <v>45097</v>
      </c>
      <c r="L473" s="283" t="str">
        <f t="shared" si="105"/>
        <v>-</v>
      </c>
      <c r="M473" s="283" t="str">
        <f t="shared" si="106"/>
        <v>-</v>
      </c>
      <c r="N473" s="283" t="str">
        <f t="shared" si="107"/>
        <v>-</v>
      </c>
      <c r="O473" s="283" t="str">
        <f t="shared" si="108"/>
        <v>-</v>
      </c>
      <c r="P473" s="283" t="str">
        <f t="shared" si="109"/>
        <v>-</v>
      </c>
      <c r="Q473" s="283" t="str">
        <f t="shared" si="110"/>
        <v>-</v>
      </c>
      <c r="R473" s="283" t="str">
        <f t="shared" si="111"/>
        <v>-</v>
      </c>
      <c r="S473" s="283" t="str">
        <f t="shared" si="112"/>
        <v>-</v>
      </c>
      <c r="T473" s="283" t="str">
        <f t="shared" si="113"/>
        <v>-</v>
      </c>
      <c r="U473" s="283" t="str">
        <f t="shared" si="114"/>
        <v>-</v>
      </c>
      <c r="V473" s="283" t="str">
        <f t="shared" si="115"/>
        <v>-</v>
      </c>
      <c r="W473" s="1" t="str">
        <f t="shared" si="116"/>
        <v>https://www.dsc.gov.ae/en-us/Themes/Pages/Population-and-Vital-Statistics.aspx?Theme=42/</v>
      </c>
      <c r="X473" s="1" t="str">
        <f t="shared" si="117"/>
        <v>https://www.dsc.gov.ae/</v>
      </c>
      <c r="Y473" s="1" t="str">
        <f t="shared" si="118"/>
        <v>優先3</v>
      </c>
      <c r="Z473" s="1" t="str">
        <f t="shared" si="119"/>
        <v>Dubai Statistics Center, Government of Dubai, Government of Dubai. "Number of Population Estimated by Nationality". Accessed 20 June, 2023. https://www.dsc.gov.ae/.</v>
      </c>
    </row>
    <row r="474" spans="2:26">
      <c r="B474" s="285" t="s">
        <v>877</v>
      </c>
      <c r="C474" s="285" t="s">
        <v>464</v>
      </c>
      <c r="D474" s="285" t="s">
        <v>673</v>
      </c>
      <c r="E474" s="285" t="s">
        <v>369</v>
      </c>
      <c r="F474" s="13" t="s">
        <v>881</v>
      </c>
      <c r="G474" s="13"/>
      <c r="H474" s="13"/>
      <c r="I474" s="13" t="s">
        <v>880</v>
      </c>
      <c r="J474" s="13" t="s">
        <v>1347</v>
      </c>
      <c r="K474" s="284">
        <v>45097</v>
      </c>
      <c r="L474" s="283" t="str">
        <f t="shared" si="105"/>
        <v>-</v>
      </c>
      <c r="M474" s="283" t="str">
        <f t="shared" si="106"/>
        <v>-</v>
      </c>
      <c r="N474" s="283" t="str">
        <f t="shared" si="107"/>
        <v>-</v>
      </c>
      <c r="O474" s="283" t="str">
        <f t="shared" si="108"/>
        <v>-</v>
      </c>
      <c r="P474" s="283" t="str">
        <f t="shared" si="109"/>
        <v>-</v>
      </c>
      <c r="Q474" s="283" t="str">
        <f t="shared" si="110"/>
        <v>-</v>
      </c>
      <c r="R474" s="283" t="str">
        <f t="shared" si="111"/>
        <v>-</v>
      </c>
      <c r="S474" s="283" t="str">
        <f t="shared" si="112"/>
        <v>-</v>
      </c>
      <c r="T474" s="283" t="str">
        <f t="shared" si="113"/>
        <v>-</v>
      </c>
      <c r="U474" s="283" t="str">
        <f t="shared" si="114"/>
        <v>-</v>
      </c>
      <c r="V474" s="283" t="str">
        <f t="shared" si="115"/>
        <v>-</v>
      </c>
      <c r="W474" s="1" t="str">
        <f t="shared" si="116"/>
        <v>https://www.cso.ie/en/releasesandpublications/ep/p-cp7md/p7md/p7anii/</v>
      </c>
      <c r="X474" s="1" t="str">
        <f t="shared" si="117"/>
        <v>https://www.cso.ie/</v>
      </c>
      <c r="Y474" s="1" t="str">
        <f t="shared" si="118"/>
        <v>優先3</v>
      </c>
      <c r="Z474" s="1" t="str">
        <f t="shared" si="119"/>
        <v>Central Statistics Office. "Census of Population 2016". Accessed 20 June, 2023. https://www.cso.ie/.</v>
      </c>
    </row>
    <row r="475" spans="2:26">
      <c r="B475" s="285" t="s">
        <v>877</v>
      </c>
      <c r="C475" s="285" t="s">
        <v>464</v>
      </c>
      <c r="D475" s="285" t="s">
        <v>673</v>
      </c>
      <c r="E475" s="285" t="s">
        <v>370</v>
      </c>
      <c r="F475" s="13" t="s">
        <v>828</v>
      </c>
      <c r="G475" s="13"/>
      <c r="H475" s="13"/>
      <c r="I475" s="13" t="s">
        <v>4182</v>
      </c>
      <c r="J475" s="13" t="s">
        <v>1348</v>
      </c>
      <c r="K475" s="284">
        <v>45097</v>
      </c>
      <c r="L475" s="283" t="str">
        <f t="shared" si="105"/>
        <v>-</v>
      </c>
      <c r="M475" s="283" t="str">
        <f t="shared" si="106"/>
        <v>-</v>
      </c>
      <c r="N475" s="283" t="str">
        <f t="shared" si="107"/>
        <v>-</v>
      </c>
      <c r="O475" s="283" t="str">
        <f t="shared" si="108"/>
        <v>-</v>
      </c>
      <c r="P475" s="283" t="str">
        <f t="shared" si="109"/>
        <v>-</v>
      </c>
      <c r="Q475" s="283" t="str">
        <f t="shared" si="110"/>
        <v>-</v>
      </c>
      <c r="R475" s="283" t="str">
        <f t="shared" si="111"/>
        <v>-</v>
      </c>
      <c r="S475" s="283" t="str">
        <f t="shared" si="112"/>
        <v>-</v>
      </c>
      <c r="T475" s="283" t="str">
        <f t="shared" si="113"/>
        <v>-</v>
      </c>
      <c r="U475" s="283" t="str">
        <f t="shared" si="114"/>
        <v>-</v>
      </c>
      <c r="V475" s="283" t="str">
        <f t="shared" si="115"/>
        <v>NG</v>
      </c>
      <c r="W475" s="1" t="str">
        <f t="shared" si="116"/>
        <v>https://hri.fi/data/en_GB/dataset/helsingin-tilastollinen-vuosikirja/</v>
      </c>
      <c r="X475" s="1" t="str">
        <f t="shared" si="117"/>
        <v>https://hri.fi/</v>
      </c>
      <c r="Y475" s="1" t="str">
        <f t="shared" si="118"/>
        <v>優先3</v>
      </c>
      <c r="Z475" s="1" t="str">
        <f t="shared" si="119"/>
        <v>Helsinki Region Infoshare . "STATISTICAL YEARBOOK OF HELSINKI - 2022". Accessed 20 June, 2023. https://hri.fi/.</v>
      </c>
    </row>
    <row r="476" spans="2:26">
      <c r="B476" s="285" t="s">
        <v>877</v>
      </c>
      <c r="C476" s="285" t="s">
        <v>464</v>
      </c>
      <c r="D476" s="285" t="s">
        <v>673</v>
      </c>
      <c r="E476" s="285" t="s">
        <v>371</v>
      </c>
      <c r="F476" s="13" t="s">
        <v>879</v>
      </c>
      <c r="G476" s="13"/>
      <c r="H476" s="13"/>
      <c r="I476" s="13" t="s">
        <v>878</v>
      </c>
      <c r="J476" s="13" t="s">
        <v>1349</v>
      </c>
      <c r="K476" s="284">
        <v>45097</v>
      </c>
      <c r="L476" s="283" t="str">
        <f t="shared" si="105"/>
        <v>-</v>
      </c>
      <c r="M476" s="283" t="str">
        <f t="shared" si="106"/>
        <v>-</v>
      </c>
      <c r="N476" s="283" t="str">
        <f t="shared" si="107"/>
        <v>-</v>
      </c>
      <c r="O476" s="283" t="str">
        <f t="shared" si="108"/>
        <v>-</v>
      </c>
      <c r="P476" s="283" t="str">
        <f t="shared" si="109"/>
        <v>-</v>
      </c>
      <c r="Q476" s="283" t="str">
        <f t="shared" si="110"/>
        <v>-</v>
      </c>
      <c r="R476" s="283" t="str">
        <f t="shared" si="111"/>
        <v>-</v>
      </c>
      <c r="S476" s="283" t="str">
        <f t="shared" si="112"/>
        <v>-</v>
      </c>
      <c r="T476" s="283" t="str">
        <f t="shared" si="113"/>
        <v>-</v>
      </c>
      <c r="U476" s="283" t="str">
        <f t="shared" si="114"/>
        <v>-</v>
      </c>
      <c r="V476" s="283" t="str">
        <f t="shared" si="115"/>
        <v>-</v>
      </c>
      <c r="W476" s="1" t="str">
        <f t="shared" si="116"/>
        <v>https://www.tel-aviv.gov.il/en/abouttheCity/Pages/CityinNumbers.aspx/</v>
      </c>
      <c r="X476" s="1" t="str">
        <f t="shared" si="117"/>
        <v>https://www.tel-aviv.gov.il/</v>
      </c>
      <c r="Y476" s="1" t="str">
        <f t="shared" si="118"/>
        <v>優先3</v>
      </c>
      <c r="Z476" s="1" t="str">
        <f t="shared" si="119"/>
        <v>Municipality of Tel Aviv- Yafo. "City in Numbers". Accessed 20 June, 2023. https://www.tel-aviv.gov.il/.</v>
      </c>
    </row>
    <row r="477" spans="2:26">
      <c r="B477" s="285" t="s">
        <v>877</v>
      </c>
      <c r="C477" s="285" t="s">
        <v>464</v>
      </c>
      <c r="D477" s="285" t="s">
        <v>673</v>
      </c>
      <c r="E477" s="285" t="s">
        <v>372</v>
      </c>
      <c r="F477" s="13" t="s">
        <v>811</v>
      </c>
      <c r="G477" s="13"/>
      <c r="H477" s="13"/>
      <c r="I477" s="13" t="s">
        <v>4063</v>
      </c>
      <c r="J477" s="13" t="s">
        <v>3696</v>
      </c>
      <c r="K477" s="284">
        <v>45097</v>
      </c>
      <c r="L477" s="283">
        <f t="shared" si="105"/>
        <v>2</v>
      </c>
      <c r="M477" s="283" t="str">
        <f t="shared" si="106"/>
        <v>-</v>
      </c>
      <c r="N477" s="283" t="str">
        <f t="shared" si="107"/>
        <v>-</v>
      </c>
      <c r="O477" s="283" t="str">
        <f t="shared" si="108"/>
        <v>-</v>
      </c>
      <c r="P477" s="283" t="str">
        <f t="shared" si="109"/>
        <v>-</v>
      </c>
      <c r="Q477" s="283" t="str">
        <f t="shared" si="110"/>
        <v>-</v>
      </c>
      <c r="R477" s="283" t="str">
        <f t="shared" si="111"/>
        <v>-</v>
      </c>
      <c r="S477" s="283" t="str">
        <f t="shared" si="112"/>
        <v>-</v>
      </c>
      <c r="T477" s="283" t="str">
        <f t="shared" si="113"/>
        <v>-</v>
      </c>
      <c r="U477" s="283" t="str">
        <f t="shared" si="114"/>
        <v>-</v>
      </c>
      <c r="V477" s="283" t="str">
        <f t="shared" si="115"/>
        <v>-</v>
      </c>
      <c r="W477" s="1" t="str">
        <f t="shared" si="116"/>
        <v>https://www.abs.gov.au/census/find-census-data/quickstats/2021/2GMEL/</v>
      </c>
      <c r="X477" s="1" t="str">
        <f t="shared" si="117"/>
        <v>https://www.abs.gov.au/</v>
      </c>
      <c r="Y477" s="1" t="str">
        <f t="shared" si="118"/>
        <v>優先3</v>
      </c>
      <c r="Z477" s="1" t="str">
        <f t="shared" si="119"/>
        <v>Australian Bureau of Statistics. "2021 Census All persons QuickStats". Accessed 20 June, 2023. https://www.abs.gov.au/.</v>
      </c>
    </row>
    <row r="478" spans="2:26">
      <c r="B478" s="285" t="s">
        <v>860</v>
      </c>
      <c r="C478" s="285" t="s">
        <v>698</v>
      </c>
      <c r="D478" s="285" t="s">
        <v>673</v>
      </c>
      <c r="E478" s="285" t="s">
        <v>105</v>
      </c>
      <c r="F478" s="13"/>
      <c r="G478" s="13" t="s">
        <v>732</v>
      </c>
      <c r="H478" s="13"/>
      <c r="I478" s="13" t="s">
        <v>1350</v>
      </c>
      <c r="J478" s="13" t="s">
        <v>4183</v>
      </c>
      <c r="K478" s="284">
        <v>45086</v>
      </c>
      <c r="L478" s="283" t="str">
        <f t="shared" si="105"/>
        <v>-</v>
      </c>
      <c r="M478" s="283" t="str">
        <f t="shared" si="106"/>
        <v>-</v>
      </c>
      <c r="N478" s="283" t="str">
        <f t="shared" si="107"/>
        <v>-</v>
      </c>
      <c r="O478" s="283" t="str">
        <f t="shared" si="108"/>
        <v>-</v>
      </c>
      <c r="P478" s="283" t="str">
        <f t="shared" si="109"/>
        <v>NG</v>
      </c>
      <c r="Q478" s="283" t="str">
        <f t="shared" si="110"/>
        <v>-</v>
      </c>
      <c r="R478" s="283" t="str">
        <f t="shared" si="111"/>
        <v>-</v>
      </c>
      <c r="S478" s="283" t="str">
        <f t="shared" si="112"/>
        <v>-</v>
      </c>
      <c r="T478" s="283" t="str">
        <f t="shared" si="113"/>
        <v>-</v>
      </c>
      <c r="U478" s="283" t="str">
        <f t="shared" si="114"/>
        <v>-</v>
      </c>
      <c r="V478" s="283" t="str">
        <f t="shared" si="115"/>
        <v>-</v>
      </c>
      <c r="W478" s="1" t="str">
        <f t="shared" si="116"/>
        <v>https://www-s.madrid.es/CSEBD_WBINTER/seleccionSerie.html?numSerie=1601010100112/</v>
      </c>
      <c r="X478" s="1" t="str">
        <f t="shared" si="117"/>
        <v>https://www-s.madrid.es/</v>
      </c>
      <c r="Y478" s="1" t="str">
        <f t="shared" si="118"/>
        <v>優先3</v>
      </c>
      <c r="Z478" s="1" t="str">
        <f t="shared" si="119"/>
        <v>Ayuntamiento de Madrid. "Estadística - Banco de Datos, "Viajeros en la ciudad de Madrid por País de residencia y Mes"". Accessed 09 June, 2023. https://www-s.madrid.es/.</v>
      </c>
    </row>
    <row r="479" spans="2:26">
      <c r="B479" s="285" t="s">
        <v>860</v>
      </c>
      <c r="C479" s="285" t="s">
        <v>698</v>
      </c>
      <c r="D479" s="285" t="s">
        <v>673</v>
      </c>
      <c r="E479" s="285" t="s">
        <v>106</v>
      </c>
      <c r="F479" s="13" t="s">
        <v>1351</v>
      </c>
      <c r="G479" s="13" t="s">
        <v>1214</v>
      </c>
      <c r="H479" s="13"/>
      <c r="I479" s="13" t="s">
        <v>4184</v>
      </c>
      <c r="J479" s="13" t="s">
        <v>1352</v>
      </c>
      <c r="K479" s="284">
        <v>45096</v>
      </c>
      <c r="L479" s="283" t="str">
        <f t="shared" si="105"/>
        <v>-</v>
      </c>
      <c r="M479" s="283" t="str">
        <f t="shared" si="106"/>
        <v>-</v>
      </c>
      <c r="N479" s="283" t="str">
        <f t="shared" si="107"/>
        <v>-</v>
      </c>
      <c r="O479" s="283" t="str">
        <f t="shared" si="108"/>
        <v>-</v>
      </c>
      <c r="P479" s="283" t="str">
        <f t="shared" si="109"/>
        <v>-</v>
      </c>
      <c r="Q479" s="283" t="str">
        <f t="shared" si="110"/>
        <v>-</v>
      </c>
      <c r="R479" s="283" t="str">
        <f t="shared" si="111"/>
        <v>-</v>
      </c>
      <c r="S479" s="283" t="str">
        <f t="shared" si="112"/>
        <v>-</v>
      </c>
      <c r="T479" s="283" t="str">
        <f t="shared" si="113"/>
        <v>-</v>
      </c>
      <c r="U479" s="283" t="str">
        <f t="shared" si="114"/>
        <v>-</v>
      </c>
      <c r="V479" s="283" t="str">
        <f t="shared" si="115"/>
        <v>-</v>
      </c>
      <c r="W479" s="1" t="str">
        <f t="shared" si="116"/>
        <v>https://www.observatoriturisme.barcelona/en/</v>
      </c>
      <c r="X479" s="1" t="str">
        <f t="shared" si="117"/>
        <v>https://www.observatoriturisme.barcelona/</v>
      </c>
      <c r="Y479" s="1" t="str">
        <f t="shared" si="118"/>
        <v>優先3</v>
      </c>
      <c r="Z479" s="1" t="str">
        <f t="shared" si="119"/>
        <v>The Observatori del Turisme a Barcelona, Barcelona City Council. "Barcelona Tourism activity report 2022". Accessed 19 June, 2023. https://www.observatoriturisme.barcelona/.</v>
      </c>
    </row>
    <row r="480" spans="2:26">
      <c r="B480" s="285" t="s">
        <v>860</v>
      </c>
      <c r="C480" s="285" t="s">
        <v>698</v>
      </c>
      <c r="D480" s="285" t="s">
        <v>673</v>
      </c>
      <c r="E480" s="285" t="s">
        <v>108</v>
      </c>
      <c r="F480" s="13" t="s">
        <v>857</v>
      </c>
      <c r="G480" s="13" t="s">
        <v>858</v>
      </c>
      <c r="H480" s="13"/>
      <c r="I480" s="13" t="s">
        <v>876</v>
      </c>
      <c r="J480" s="13" t="s">
        <v>1353</v>
      </c>
      <c r="K480" s="284">
        <v>45086</v>
      </c>
      <c r="L480" s="283" t="str">
        <f t="shared" si="105"/>
        <v>-</v>
      </c>
      <c r="M480" s="283" t="str">
        <f t="shared" si="106"/>
        <v>-</v>
      </c>
      <c r="N480" s="283" t="str">
        <f t="shared" si="107"/>
        <v>-</v>
      </c>
      <c r="O480" s="283" t="str">
        <f t="shared" si="108"/>
        <v>-</v>
      </c>
      <c r="P480" s="283" t="str">
        <f t="shared" si="109"/>
        <v>-</v>
      </c>
      <c r="Q480" s="283" t="str">
        <f t="shared" si="110"/>
        <v>-</v>
      </c>
      <c r="R480" s="283" t="str">
        <f t="shared" si="111"/>
        <v>-</v>
      </c>
      <c r="S480" s="283" t="str">
        <f t="shared" si="112"/>
        <v>-</v>
      </c>
      <c r="T480" s="283" t="str">
        <f t="shared" si="113"/>
        <v>-</v>
      </c>
      <c r="U480" s="283" t="str">
        <f t="shared" si="114"/>
        <v>-</v>
      </c>
      <c r="V480" s="283" t="str">
        <f t="shared" si="115"/>
        <v>-</v>
      </c>
      <c r="W480" s="1" t="str">
        <f t="shared" si="116"/>
        <v>https://www.ons.gov.uk/peoplepopulationandcommunity/leisureandtourism/datasets/overseasresidentsvisitstotheuk/</v>
      </c>
      <c r="X480" s="1" t="str">
        <f t="shared" si="117"/>
        <v>https://www.ons.gov.uk/</v>
      </c>
      <c r="Y480" s="1" t="str">
        <f t="shared" si="118"/>
        <v>優先3</v>
      </c>
      <c r="Z480" s="1" t="str">
        <f t="shared" si="119"/>
        <v>Office for National Statistics, United Kingdom. "Travel trends estimates: overseas residents in the UK". Accessed 09 June, 2023. https://www.ons.gov.uk/.</v>
      </c>
    </row>
    <row r="481" spans="2:26">
      <c r="B481" s="285" t="s">
        <v>860</v>
      </c>
      <c r="C481" s="285" t="s">
        <v>698</v>
      </c>
      <c r="D481" s="285" t="s">
        <v>673</v>
      </c>
      <c r="E481" s="285" t="s">
        <v>110</v>
      </c>
      <c r="F481" s="13" t="s">
        <v>1354</v>
      </c>
      <c r="G481" s="13"/>
      <c r="H481" s="13"/>
      <c r="I481" s="13" t="s">
        <v>3718</v>
      </c>
      <c r="J481" s="13" t="s">
        <v>4185</v>
      </c>
      <c r="K481" s="284">
        <v>45086</v>
      </c>
      <c r="L481" s="283" t="str">
        <f t="shared" si="105"/>
        <v>-</v>
      </c>
      <c r="M481" s="283" t="str">
        <f t="shared" si="106"/>
        <v>-</v>
      </c>
      <c r="N481" s="283" t="str">
        <f t="shared" si="107"/>
        <v>-</v>
      </c>
      <c r="O481" s="283" t="str">
        <f t="shared" si="108"/>
        <v>-</v>
      </c>
      <c r="P481" s="283" t="str">
        <f t="shared" si="109"/>
        <v>-</v>
      </c>
      <c r="Q481" s="283" t="str">
        <f t="shared" si="110"/>
        <v>-</v>
      </c>
      <c r="R481" s="283" t="str">
        <f t="shared" si="111"/>
        <v>-</v>
      </c>
      <c r="S481" s="283" t="str">
        <f t="shared" si="112"/>
        <v>-</v>
      </c>
      <c r="T481" s="283" t="str">
        <f t="shared" si="113"/>
        <v>-</v>
      </c>
      <c r="U481" s="283" t="str">
        <f t="shared" si="114"/>
        <v>-</v>
      </c>
      <c r="V481" s="283" t="str">
        <f t="shared" si="115"/>
        <v>-</v>
      </c>
      <c r="W481" s="1" t="str">
        <f t="shared" si="116"/>
        <v>https://press.parisinfo.com/key-figures/Tourism-in-Paris-Key-Figures2/</v>
      </c>
      <c r="X481" s="1" t="str">
        <f t="shared" si="117"/>
        <v>https://press.parisinfo.com/</v>
      </c>
      <c r="Y481" s="1" t="str">
        <f t="shared" si="118"/>
        <v>優先3</v>
      </c>
      <c r="Z481" s="1" t="str">
        <f t="shared" si="119"/>
        <v>Paris Convention and Visitors Bureau. "Tourism in Paris - Key Figures". Accessed 09 June, 2023. https://press.parisinfo.com/.</v>
      </c>
    </row>
    <row r="482" spans="2:26">
      <c r="B482" s="285" t="s">
        <v>860</v>
      </c>
      <c r="C482" s="285" t="s">
        <v>698</v>
      </c>
      <c r="D482" s="285" t="s">
        <v>673</v>
      </c>
      <c r="E482" s="285" t="s">
        <v>112</v>
      </c>
      <c r="F482" s="13" t="s">
        <v>1355</v>
      </c>
      <c r="G482" s="13"/>
      <c r="H482" s="13"/>
      <c r="I482" s="13" t="s">
        <v>875</v>
      </c>
      <c r="J482" s="13" t="s">
        <v>1356</v>
      </c>
      <c r="K482" s="284">
        <v>45086</v>
      </c>
      <c r="L482" s="283" t="str">
        <f t="shared" si="105"/>
        <v>-</v>
      </c>
      <c r="M482" s="283" t="str">
        <f t="shared" si="106"/>
        <v>-</v>
      </c>
      <c r="N482" s="283" t="str">
        <f t="shared" si="107"/>
        <v>-</v>
      </c>
      <c r="O482" s="283" t="str">
        <f t="shared" si="108"/>
        <v>-</v>
      </c>
      <c r="P482" s="283" t="str">
        <f t="shared" si="109"/>
        <v>-</v>
      </c>
      <c r="Q482" s="283" t="str">
        <f t="shared" si="110"/>
        <v>-</v>
      </c>
      <c r="R482" s="283" t="str">
        <f t="shared" si="111"/>
        <v>-</v>
      </c>
      <c r="S482" s="283" t="str">
        <f t="shared" si="112"/>
        <v>-</v>
      </c>
      <c r="T482" s="283" t="str">
        <f t="shared" si="113"/>
        <v>-</v>
      </c>
      <c r="U482" s="283" t="str">
        <f t="shared" si="114"/>
        <v>-</v>
      </c>
      <c r="V482" s="283" t="str">
        <f t="shared" si="115"/>
        <v>-</v>
      </c>
      <c r="W482" s="1" t="str">
        <f t="shared" si="116"/>
        <v>https://bisa.brussels/themas/toerisme-en-cultuur/toerisme/</v>
      </c>
      <c r="X482" s="1" t="str">
        <f t="shared" si="117"/>
        <v>https://bisa.brussels/</v>
      </c>
      <c r="Y482" s="1" t="str">
        <f t="shared" si="118"/>
        <v>優先3</v>
      </c>
      <c r="Z482" s="1" t="str">
        <f t="shared" si="119"/>
        <v>Brussels instituut voor statistiek en analyse. "Toerisme en Cultuur". Accessed 09 June, 2023. https://bisa.brussels/.</v>
      </c>
    </row>
    <row r="483" spans="2:26">
      <c r="B483" s="285" t="s">
        <v>860</v>
      </c>
      <c r="C483" s="285" t="s">
        <v>698</v>
      </c>
      <c r="D483" s="285" t="s">
        <v>673</v>
      </c>
      <c r="E483" s="285" t="s">
        <v>114</v>
      </c>
      <c r="F483" s="13" t="s">
        <v>854</v>
      </c>
      <c r="G483" s="13" t="s">
        <v>1017</v>
      </c>
      <c r="H483" s="13"/>
      <c r="I483" s="13" t="s">
        <v>1357</v>
      </c>
      <c r="J483" s="13" t="s">
        <v>4186</v>
      </c>
      <c r="K483" s="284">
        <v>45062</v>
      </c>
      <c r="L483" s="283" t="str">
        <f t="shared" si="105"/>
        <v>-</v>
      </c>
      <c r="M483" s="283" t="str">
        <f t="shared" si="106"/>
        <v>-</v>
      </c>
      <c r="N483" s="283" t="str">
        <f t="shared" si="107"/>
        <v>NG</v>
      </c>
      <c r="O483" s="283" t="str">
        <f t="shared" si="108"/>
        <v>-</v>
      </c>
      <c r="P483" s="283" t="str">
        <f t="shared" si="109"/>
        <v>-</v>
      </c>
      <c r="Q483" s="283" t="str">
        <f t="shared" si="110"/>
        <v>-</v>
      </c>
      <c r="R483" s="283" t="str">
        <f t="shared" si="111"/>
        <v>-</v>
      </c>
      <c r="S483" s="283" t="str">
        <f t="shared" si="112"/>
        <v>-</v>
      </c>
      <c r="T483" s="283" t="str">
        <f t="shared" si="113"/>
        <v>-</v>
      </c>
      <c r="U483" s="283" t="str">
        <f t="shared" si="114"/>
        <v>-</v>
      </c>
      <c r="V483" s="283" t="str">
        <f t="shared" si="115"/>
        <v>-</v>
      </c>
      <c r="W483" s="1" t="str">
        <f t="shared" si="116"/>
        <v>https://opendata.cbs.nl/statline/#/CBS/en/dataset/82061ENG/table?ts=1684211644338/</v>
      </c>
      <c r="X483" s="1" t="str">
        <f t="shared" si="117"/>
        <v>https://opendata.cbs.nl/</v>
      </c>
      <c r="Y483" s="1" t="str">
        <f t="shared" si="118"/>
        <v>優先3</v>
      </c>
      <c r="Z483" s="1" t="str">
        <f t="shared" si="119"/>
        <v>Statistics Netherlands (CBS), Kingdom of the Netherlands. "Hotels; guests, overnight stays, country of residence, region". Accessed 16 May, 2023. https://opendata.cbs.nl/.</v>
      </c>
    </row>
    <row r="484" spans="2:26">
      <c r="B484" s="285" t="s">
        <v>860</v>
      </c>
      <c r="C484" s="285" t="s">
        <v>698</v>
      </c>
      <c r="D484" s="285" t="s">
        <v>673</v>
      </c>
      <c r="E484" s="285" t="s">
        <v>116</v>
      </c>
      <c r="F484" s="13" t="s">
        <v>1358</v>
      </c>
      <c r="G484" s="13" t="s">
        <v>1359</v>
      </c>
      <c r="H484" s="13"/>
      <c r="I484" s="13" t="s">
        <v>1360</v>
      </c>
      <c r="J484" s="13" t="s">
        <v>4187</v>
      </c>
      <c r="K484" s="284">
        <v>45086</v>
      </c>
      <c r="L484" s="283">
        <f t="shared" si="105"/>
        <v>2</v>
      </c>
      <c r="M484" s="283" t="str">
        <f t="shared" si="106"/>
        <v>-</v>
      </c>
      <c r="N484" s="283" t="str">
        <f t="shared" si="107"/>
        <v>-</v>
      </c>
      <c r="O484" s="283" t="str">
        <f t="shared" si="108"/>
        <v>-</v>
      </c>
      <c r="P484" s="283" t="str">
        <f t="shared" si="109"/>
        <v>-</v>
      </c>
      <c r="Q484" s="283" t="str">
        <f t="shared" si="110"/>
        <v>-</v>
      </c>
      <c r="R484" s="283" t="str">
        <f t="shared" si="111"/>
        <v>-</v>
      </c>
      <c r="S484" s="283" t="str">
        <f t="shared" si="112"/>
        <v>-</v>
      </c>
      <c r="T484" s="283" t="str">
        <f t="shared" si="113"/>
        <v>-</v>
      </c>
      <c r="U484" s="283" t="str">
        <f t="shared" si="114"/>
        <v>-</v>
      </c>
      <c r="V484" s="283" t="str">
        <f t="shared" si="115"/>
        <v>-</v>
      </c>
      <c r="W484" s="1" t="str">
        <f t="shared" si="116"/>
        <v>https://www.bfs.admin.ch/bfs/de/home/statistiken/kataloge-datenbanken/tabellen.assetdetail.25265179.html/</v>
      </c>
      <c r="X484" s="1" t="str">
        <f t="shared" si="117"/>
        <v>https://www.bfs.admin.ch/</v>
      </c>
      <c r="Y484" s="1" t="str">
        <f t="shared" si="118"/>
        <v>優先3</v>
      </c>
      <c r="Z484" s="1" t="str">
        <f t="shared" si="119"/>
        <v>The Swiss Federal Statistical Office, Federal Department of Home Affairs. "Hotels und Kurbetriebe: Gäste nach Inland-Ausland und nach Gemeinde (kumulierte Ergebnisse)". Accessed 09 June, 2023. https://www.bfs.admin.ch/.</v>
      </c>
    </row>
    <row r="485" spans="2:26">
      <c r="B485" s="285" t="s">
        <v>860</v>
      </c>
      <c r="C485" s="285" t="s">
        <v>698</v>
      </c>
      <c r="D485" s="285" t="s">
        <v>673</v>
      </c>
      <c r="E485" s="285" t="s">
        <v>118</v>
      </c>
      <c r="F485" s="13" t="s">
        <v>755</v>
      </c>
      <c r="G485" s="13"/>
      <c r="H485" s="13"/>
      <c r="I485" s="13" t="s">
        <v>3668</v>
      </c>
      <c r="J485" s="13" t="s">
        <v>1361</v>
      </c>
      <c r="K485" s="284">
        <v>45086</v>
      </c>
      <c r="L485" s="283" t="str">
        <f t="shared" si="105"/>
        <v>-</v>
      </c>
      <c r="M485" s="283" t="str">
        <f t="shared" si="106"/>
        <v>-</v>
      </c>
      <c r="N485" s="283" t="str">
        <f t="shared" si="107"/>
        <v>-</v>
      </c>
      <c r="O485" s="283" t="str">
        <f t="shared" si="108"/>
        <v>-</v>
      </c>
      <c r="P485" s="283" t="str">
        <f t="shared" si="109"/>
        <v>-</v>
      </c>
      <c r="Q485" s="283" t="str">
        <f t="shared" si="110"/>
        <v>-</v>
      </c>
      <c r="R485" s="283" t="str">
        <f t="shared" si="111"/>
        <v>-</v>
      </c>
      <c r="S485" s="283" t="str">
        <f t="shared" si="112"/>
        <v>-</v>
      </c>
      <c r="T485" s="283" t="str">
        <f t="shared" si="113"/>
        <v>-</v>
      </c>
      <c r="U485" s="283" t="str">
        <f t="shared" si="114"/>
        <v>-</v>
      </c>
      <c r="V485" s="283" t="str">
        <f t="shared" si="115"/>
        <v>-</v>
      </c>
      <c r="W485" s="1" t="str">
        <f t="shared" si="116"/>
        <v>https://frankfurt.de/service-und-rathaus/zahlen-daten-fakten/publikationen/statistisches-jahrbuch/</v>
      </c>
      <c r="X485" s="1" t="str">
        <f t="shared" si="117"/>
        <v>https://frankfurt.de/</v>
      </c>
      <c r="Y485" s="1" t="str">
        <f t="shared" si="118"/>
        <v>優先3</v>
      </c>
      <c r="Z485" s="1" t="str">
        <f t="shared" si="119"/>
        <v>Stadt Frankfurt am Main. "Statistisches Jahrbuch Frankfurt am Main 2021". Accessed 09 June, 2023. https://frankfurt.de/.</v>
      </c>
    </row>
    <row r="486" spans="2:26">
      <c r="B486" s="285" t="s">
        <v>860</v>
      </c>
      <c r="C486" s="285" t="s">
        <v>698</v>
      </c>
      <c r="D486" s="285" t="s">
        <v>673</v>
      </c>
      <c r="E486" s="285" t="s">
        <v>120</v>
      </c>
      <c r="F486" s="13" t="s">
        <v>874</v>
      </c>
      <c r="G486" s="13"/>
      <c r="H486" s="13"/>
      <c r="I486" s="13" t="s">
        <v>3719</v>
      </c>
      <c r="J486" s="13" t="s">
        <v>3720</v>
      </c>
      <c r="K486" s="284">
        <v>45086</v>
      </c>
      <c r="L486" s="283" t="str">
        <f t="shared" si="105"/>
        <v>-</v>
      </c>
      <c r="M486" s="283" t="str">
        <f t="shared" si="106"/>
        <v>-</v>
      </c>
      <c r="N486" s="283" t="str">
        <f t="shared" si="107"/>
        <v>-</v>
      </c>
      <c r="O486" s="283" t="str">
        <f t="shared" si="108"/>
        <v>-</v>
      </c>
      <c r="P486" s="283" t="str">
        <f t="shared" si="109"/>
        <v>-</v>
      </c>
      <c r="Q486" s="283" t="str">
        <f t="shared" si="110"/>
        <v>-</v>
      </c>
      <c r="R486" s="283" t="str">
        <f t="shared" si="111"/>
        <v>-</v>
      </c>
      <c r="S486" s="283" t="str">
        <f t="shared" si="112"/>
        <v>-</v>
      </c>
      <c r="T486" s="283" t="str">
        <f t="shared" si="113"/>
        <v>-</v>
      </c>
      <c r="U486" s="283" t="str">
        <f t="shared" si="114"/>
        <v>-</v>
      </c>
      <c r="V486" s="283" t="str">
        <f t="shared" si="115"/>
        <v>-</v>
      </c>
      <c r="W486" s="1" t="str">
        <f t="shared" si="116"/>
        <v>https://statis.statistik-berlin-brandenburg.de/webapi/jsf/tableView/tableView.xhtml/</v>
      </c>
      <c r="X486" s="1" t="str">
        <f t="shared" si="117"/>
        <v>https://statis.statistik-berlin-brandenburg.de/</v>
      </c>
      <c r="Y486" s="1" t="str">
        <f t="shared" si="118"/>
        <v>優先3</v>
      </c>
      <c r="Z486" s="1" t="str">
        <f t="shared" si="119"/>
        <v>Amt für Statistik Berlin-Brandenburg. "Daten &amp; Karten - Handel, Gastronomie, Tourismus". Accessed 09 June, 2023. https://statis.statistik-berlin-brandenburg.de/.</v>
      </c>
    </row>
    <row r="487" spans="2:26">
      <c r="B487" s="285" t="s">
        <v>860</v>
      </c>
      <c r="C487" s="285" t="s">
        <v>698</v>
      </c>
      <c r="D487" s="285" t="s">
        <v>673</v>
      </c>
      <c r="E487" s="285" t="s">
        <v>122</v>
      </c>
      <c r="F487" s="13" t="s">
        <v>1002</v>
      </c>
      <c r="G487" s="13" t="s">
        <v>901</v>
      </c>
      <c r="H487" s="13"/>
      <c r="I487" s="13" t="s">
        <v>2665</v>
      </c>
      <c r="J487" s="13" t="s">
        <v>1226</v>
      </c>
      <c r="K487" s="284">
        <v>45089</v>
      </c>
      <c r="L487" s="283" t="str">
        <f t="shared" si="105"/>
        <v>-</v>
      </c>
      <c r="M487" s="283" t="str">
        <f t="shared" si="106"/>
        <v>-</v>
      </c>
      <c r="N487" s="283" t="str">
        <f t="shared" si="107"/>
        <v>-</v>
      </c>
      <c r="O487" s="283" t="str">
        <f t="shared" si="108"/>
        <v>-</v>
      </c>
      <c r="P487" s="283" t="str">
        <f t="shared" si="109"/>
        <v>-</v>
      </c>
      <c r="Q487" s="283" t="str">
        <f t="shared" si="110"/>
        <v>-</v>
      </c>
      <c r="R487" s="283" t="str">
        <f t="shared" si="111"/>
        <v>-</v>
      </c>
      <c r="S487" s="283" t="str">
        <f t="shared" si="112"/>
        <v>-</v>
      </c>
      <c r="T487" s="283" t="str">
        <f t="shared" si="113"/>
        <v>-</v>
      </c>
      <c r="U487" s="283" t="str">
        <f t="shared" si="114"/>
        <v>-</v>
      </c>
      <c r="V487" s="283" t="str">
        <f t="shared" si="115"/>
        <v>NG</v>
      </c>
      <c r="W487" s="1" t="str">
        <f t="shared" si="116"/>
        <v>http://sisi.comune.milano.it/</v>
      </c>
      <c r="X487" s="1" t="str">
        <f t="shared" si="117"/>
        <v>http://sisi.comune.milano.it/</v>
      </c>
      <c r="Y487" s="1" t="str">
        <f t="shared" si="118"/>
        <v>優先3</v>
      </c>
      <c r="Z487" s="1" t="str">
        <f t="shared" si="119"/>
        <v>Sistema Statistico Integrato, Comune di Milano. "Movimenti Negli Esercizi Ricettivi (2000-2020) ". Accessed 12 June, 2023. http://sisi.comune.milano.it/.</v>
      </c>
    </row>
    <row r="488" spans="2:26">
      <c r="B488" s="285" t="s">
        <v>860</v>
      </c>
      <c r="C488" s="285" t="s">
        <v>698</v>
      </c>
      <c r="D488" s="285" t="s">
        <v>673</v>
      </c>
      <c r="E488" s="285" t="s">
        <v>124</v>
      </c>
      <c r="F488" s="13" t="s">
        <v>1358</v>
      </c>
      <c r="G488" s="13" t="s">
        <v>1359</v>
      </c>
      <c r="H488" s="13"/>
      <c r="I488" s="13" t="s">
        <v>1360</v>
      </c>
      <c r="J488" s="13" t="s">
        <v>4187</v>
      </c>
      <c r="K488" s="284">
        <v>45086</v>
      </c>
      <c r="L488" s="283">
        <f t="shared" si="105"/>
        <v>2</v>
      </c>
      <c r="M488" s="283" t="str">
        <f t="shared" si="106"/>
        <v>-</v>
      </c>
      <c r="N488" s="283" t="str">
        <f t="shared" si="107"/>
        <v>-</v>
      </c>
      <c r="O488" s="283" t="str">
        <f t="shared" si="108"/>
        <v>-</v>
      </c>
      <c r="P488" s="283" t="str">
        <f t="shared" si="109"/>
        <v>-</v>
      </c>
      <c r="Q488" s="283" t="str">
        <f t="shared" si="110"/>
        <v>-</v>
      </c>
      <c r="R488" s="283" t="str">
        <f t="shared" si="111"/>
        <v>-</v>
      </c>
      <c r="S488" s="283" t="str">
        <f t="shared" si="112"/>
        <v>-</v>
      </c>
      <c r="T488" s="283" t="str">
        <f t="shared" si="113"/>
        <v>-</v>
      </c>
      <c r="U488" s="283" t="str">
        <f t="shared" si="114"/>
        <v>-</v>
      </c>
      <c r="V488" s="283" t="str">
        <f t="shared" si="115"/>
        <v>-</v>
      </c>
      <c r="W488" s="1" t="str">
        <f t="shared" si="116"/>
        <v>https://www.bfs.admin.ch/bfs/de/home/statistiken/kataloge-datenbanken/tabellen.assetdetail.25265179.html/</v>
      </c>
      <c r="X488" s="1" t="str">
        <f t="shared" si="117"/>
        <v>https://www.bfs.admin.ch/</v>
      </c>
      <c r="Y488" s="1" t="str">
        <f t="shared" si="118"/>
        <v>優先3</v>
      </c>
      <c r="Z488" s="1" t="str">
        <f t="shared" si="119"/>
        <v>The Swiss Federal Statistical Office, Federal Department of Home Affairs. "Hotels und Kurbetriebe: Gäste nach Inland-Ausland und nach Gemeinde (kumulierte Ergebnisse)". Accessed 09 June, 2023. https://www.bfs.admin.ch/.</v>
      </c>
    </row>
    <row r="489" spans="2:26">
      <c r="B489" s="285" t="s">
        <v>860</v>
      </c>
      <c r="C489" s="285" t="s">
        <v>698</v>
      </c>
      <c r="D489" s="285" t="s">
        <v>673</v>
      </c>
      <c r="E489" s="285" t="s">
        <v>126</v>
      </c>
      <c r="F489" s="13" t="s">
        <v>848</v>
      </c>
      <c r="G489" s="13" t="s">
        <v>290</v>
      </c>
      <c r="H489" s="13"/>
      <c r="I489" s="13" t="s">
        <v>3721</v>
      </c>
      <c r="J489" s="13" t="s">
        <v>1362</v>
      </c>
      <c r="K489" s="284">
        <v>45089</v>
      </c>
      <c r="L489" s="283" t="str">
        <f t="shared" si="105"/>
        <v>-</v>
      </c>
      <c r="M489" s="283" t="str">
        <f t="shared" si="106"/>
        <v>-</v>
      </c>
      <c r="N489" s="283" t="str">
        <f t="shared" si="107"/>
        <v>-</v>
      </c>
      <c r="O489" s="283" t="str">
        <f t="shared" si="108"/>
        <v>-</v>
      </c>
      <c r="P489" s="283" t="str">
        <f t="shared" si="109"/>
        <v>-</v>
      </c>
      <c r="Q489" s="283" t="str">
        <f t="shared" si="110"/>
        <v>-</v>
      </c>
      <c r="R489" s="283" t="str">
        <f t="shared" si="111"/>
        <v>-</v>
      </c>
      <c r="S489" s="283" t="str">
        <f t="shared" si="112"/>
        <v>-</v>
      </c>
      <c r="T489" s="283" t="str">
        <f t="shared" si="113"/>
        <v>-</v>
      </c>
      <c r="U489" s="283" t="str">
        <f t="shared" si="114"/>
        <v>-</v>
      </c>
      <c r="V489" s="283" t="str">
        <f t="shared" si="115"/>
        <v>-</v>
      </c>
      <c r="W489" s="1" t="str">
        <f t="shared" si="116"/>
        <v>http://www.statbank.dk/TURIST/</v>
      </c>
      <c r="X489" s="1" t="str">
        <f t="shared" si="117"/>
        <v>http://www.statbank.dk/</v>
      </c>
      <c r="Y489" s="1" t="str">
        <f t="shared" si="118"/>
        <v>優先3</v>
      </c>
      <c r="Z489" s="1" t="str">
        <f t="shared" si="119"/>
        <v>Statistics Denmark, Denmark. "Overnight stay for all types of accommodation by type of accommodation, region, nationality and period". Accessed 12 June, 2023. http://www.statbank.dk/.</v>
      </c>
    </row>
    <row r="490" spans="2:26">
      <c r="B490" s="285" t="s">
        <v>860</v>
      </c>
      <c r="C490" s="285" t="s">
        <v>698</v>
      </c>
      <c r="D490" s="285" t="s">
        <v>673</v>
      </c>
      <c r="E490" s="285" t="s">
        <v>128</v>
      </c>
      <c r="F490" s="13" t="s">
        <v>1363</v>
      </c>
      <c r="G490" s="13"/>
      <c r="H490" s="13"/>
      <c r="I490" s="13" t="s">
        <v>4188</v>
      </c>
      <c r="J490" s="13" t="s">
        <v>4189</v>
      </c>
      <c r="K490" s="284">
        <v>45089</v>
      </c>
      <c r="L490" s="283" t="str">
        <f t="shared" si="105"/>
        <v>-</v>
      </c>
      <c r="M490" s="283" t="str">
        <f t="shared" si="106"/>
        <v>-</v>
      </c>
      <c r="N490" s="283" t="str">
        <f t="shared" si="107"/>
        <v>-</v>
      </c>
      <c r="O490" s="283" t="str">
        <f t="shared" si="108"/>
        <v>-</v>
      </c>
      <c r="P490" s="283" t="str">
        <f t="shared" si="109"/>
        <v>-</v>
      </c>
      <c r="Q490" s="283" t="str">
        <f t="shared" si="110"/>
        <v>-</v>
      </c>
      <c r="R490" s="283" t="str">
        <f t="shared" si="111"/>
        <v>-</v>
      </c>
      <c r="S490" s="283" t="str">
        <f t="shared" si="112"/>
        <v>-</v>
      </c>
      <c r="T490" s="283" t="str">
        <f t="shared" si="113"/>
        <v>-</v>
      </c>
      <c r="U490" s="283" t="str">
        <f t="shared" si="114"/>
        <v>-</v>
      </c>
      <c r="V490" s="283" t="str">
        <f t="shared" si="115"/>
        <v>-</v>
      </c>
      <c r="W490" s="1" t="str">
        <f t="shared" si="116"/>
        <v>https://b2b.wien.info/de/statistik/daten/ankuenfte-naechtigungen-2022-420612#/</v>
      </c>
      <c r="X490" s="1" t="str">
        <f t="shared" si="117"/>
        <v>https://b2b.wien.info/</v>
      </c>
      <c r="Y490" s="1" t="str">
        <f t="shared" si="118"/>
        <v>優先3</v>
      </c>
      <c r="Z490" s="1" t="str">
        <f t="shared" si="119"/>
        <v>Wiener Tourismusverband. "Ankünfte &amp; Nächtigungen / Arrivals &amp; bednights 2022". Accessed 12 June, 2023. https://b2b.wien.info/.</v>
      </c>
    </row>
    <row r="491" spans="2:26">
      <c r="B491" s="285" t="s">
        <v>860</v>
      </c>
      <c r="C491" s="285" t="s">
        <v>698</v>
      </c>
      <c r="D491" s="285" t="s">
        <v>673</v>
      </c>
      <c r="E491" s="285" t="s">
        <v>130</v>
      </c>
      <c r="F491" s="13" t="s">
        <v>872</v>
      </c>
      <c r="G491" s="13"/>
      <c r="H491" s="13"/>
      <c r="I491" s="13" t="s">
        <v>3722</v>
      </c>
      <c r="J491" s="13" t="s">
        <v>1364</v>
      </c>
      <c r="K491" s="284">
        <v>45089</v>
      </c>
      <c r="L491" s="283" t="str">
        <f t="shared" si="105"/>
        <v>-</v>
      </c>
      <c r="M491" s="283" t="str">
        <f t="shared" si="106"/>
        <v>-</v>
      </c>
      <c r="N491" s="283" t="str">
        <f t="shared" si="107"/>
        <v>-</v>
      </c>
      <c r="O491" s="283" t="str">
        <f t="shared" si="108"/>
        <v>-</v>
      </c>
      <c r="P491" s="283" t="str">
        <f t="shared" si="109"/>
        <v>-</v>
      </c>
      <c r="Q491" s="283" t="str">
        <f t="shared" si="110"/>
        <v>-</v>
      </c>
      <c r="R491" s="283" t="str">
        <f t="shared" si="111"/>
        <v>-</v>
      </c>
      <c r="S491" s="283" t="str">
        <f t="shared" si="112"/>
        <v>-</v>
      </c>
      <c r="T491" s="283" t="str">
        <f t="shared" si="113"/>
        <v>-</v>
      </c>
      <c r="U491" s="283" t="str">
        <f t="shared" si="114"/>
        <v>-</v>
      </c>
      <c r="V491" s="283" t="str">
        <f t="shared" si="115"/>
        <v>-</v>
      </c>
      <c r="W491" s="1" t="str">
        <f t="shared" si="116"/>
        <v>http://www.statistikdatabasen.scb.se/pxweb/en/ssd/START__NV__NV1701__NV1701A/NV1701T910Ar/</v>
      </c>
      <c r="X491" s="1" t="str">
        <f t="shared" si="117"/>
        <v>http://www.statistikdatabasen.scb.se/</v>
      </c>
      <c r="Y491" s="1" t="str">
        <f t="shared" si="118"/>
        <v>優先3</v>
      </c>
      <c r="Z491" s="1" t="str">
        <f t="shared" si="119"/>
        <v>Statistics Sweden. "Nights spent. All hotels, holiday villages, hostels, camping sites, commercially arranged private cottages and apartments by region/county Year 2008 - 2021". Accessed 12 June, 2023. http://www.statistikdatabasen.scb.se/.</v>
      </c>
    </row>
    <row r="492" spans="2:26">
      <c r="B492" s="285" t="s">
        <v>860</v>
      </c>
      <c r="C492" s="285" t="s">
        <v>698</v>
      </c>
      <c r="D492" s="285" t="s">
        <v>673</v>
      </c>
      <c r="E492" s="285" t="s">
        <v>132</v>
      </c>
      <c r="F492" s="13" t="s">
        <v>3723</v>
      </c>
      <c r="G492" s="13" t="s">
        <v>3724</v>
      </c>
      <c r="H492" s="13"/>
      <c r="I492" s="13" t="s">
        <v>4190</v>
      </c>
      <c r="J492" s="13" t="s">
        <v>4191</v>
      </c>
      <c r="K492" s="284">
        <v>45089</v>
      </c>
      <c r="L492" s="283" t="str">
        <f t="shared" si="105"/>
        <v>-</v>
      </c>
      <c r="M492" s="283" t="str">
        <f t="shared" si="106"/>
        <v>-</v>
      </c>
      <c r="N492" s="283" t="str">
        <f t="shared" si="107"/>
        <v>-</v>
      </c>
      <c r="O492" s="283" t="str">
        <f t="shared" si="108"/>
        <v>-</v>
      </c>
      <c r="P492" s="283" t="str">
        <f t="shared" si="109"/>
        <v>-</v>
      </c>
      <c r="Q492" s="283" t="str">
        <f t="shared" si="110"/>
        <v>-</v>
      </c>
      <c r="R492" s="283" t="str">
        <f t="shared" si="111"/>
        <v>-</v>
      </c>
      <c r="S492" s="283" t="str">
        <f t="shared" si="112"/>
        <v>-</v>
      </c>
      <c r="T492" s="283" t="str">
        <f t="shared" si="113"/>
        <v>-</v>
      </c>
      <c r="U492" s="283" t="str">
        <f t="shared" si="114"/>
        <v>-</v>
      </c>
      <c r="V492" s="283" t="str">
        <f t="shared" si="115"/>
        <v>-</v>
      </c>
      <c r="W492" s="1" t="str">
        <f t="shared" si="116"/>
        <v>https://istanbul.ktb.gov.tr/TR-338436/istanbul-turizm-istatistikleri---2023.html/</v>
      </c>
      <c r="X492" s="1" t="str">
        <f t="shared" si="117"/>
        <v>https://istanbul.ktb.gov.tr/</v>
      </c>
      <c r="Y492" s="1" t="str">
        <f t="shared" si="118"/>
        <v>優先3</v>
      </c>
      <c r="Z492" s="1" t="str">
        <f t="shared" si="119"/>
        <v>Istanbul Directrate of Culture and Tourism, Republic of Turkiye Ministry of Culture and Tourism. "İstanbul Turizm İstatistikleri - 2023". Accessed 12 June, 2023. https://istanbul.ktb.gov.tr/.</v>
      </c>
    </row>
    <row r="493" spans="2:26">
      <c r="B493" s="285" t="s">
        <v>860</v>
      </c>
      <c r="C493" s="285" t="s">
        <v>698</v>
      </c>
      <c r="D493" s="285" t="s">
        <v>673</v>
      </c>
      <c r="E493" s="285" t="s">
        <v>134</v>
      </c>
      <c r="F493" s="13" t="s">
        <v>1018</v>
      </c>
      <c r="G493" s="13" t="s">
        <v>844</v>
      </c>
      <c r="H493" s="13"/>
      <c r="I493" s="13" t="s">
        <v>4192</v>
      </c>
      <c r="J493" s="13" t="s">
        <v>4193</v>
      </c>
      <c r="K493" s="284">
        <v>45089</v>
      </c>
      <c r="L493" s="283" t="str">
        <f t="shared" si="105"/>
        <v>-</v>
      </c>
      <c r="M493" s="283" t="str">
        <f t="shared" si="106"/>
        <v>-</v>
      </c>
      <c r="N493" s="283" t="str">
        <f t="shared" si="107"/>
        <v>-</v>
      </c>
      <c r="O493" s="283" t="str">
        <f t="shared" si="108"/>
        <v>-</v>
      </c>
      <c r="P493" s="283" t="str">
        <f t="shared" si="109"/>
        <v>-</v>
      </c>
      <c r="Q493" s="283" t="str">
        <f t="shared" si="110"/>
        <v>-</v>
      </c>
      <c r="R493" s="283" t="str">
        <f t="shared" si="111"/>
        <v>-</v>
      </c>
      <c r="S493" s="283" t="str">
        <f t="shared" si="112"/>
        <v>-</v>
      </c>
      <c r="T493" s="283" t="str">
        <f t="shared" si="113"/>
        <v>-</v>
      </c>
      <c r="U493" s="283" t="str">
        <f t="shared" si="114"/>
        <v>-</v>
      </c>
      <c r="V493" s="283" t="str">
        <f t="shared" si="115"/>
        <v>-</v>
      </c>
      <c r="W493" s="1" t="str">
        <f t="shared" si="116"/>
        <v>https://www.capmas.gov.eg/Pages/StaticPages.aspx?page_id=5034/</v>
      </c>
      <c r="X493" s="1" t="str">
        <f t="shared" si="117"/>
        <v>https://www.capmas.gov.eg/</v>
      </c>
      <c r="Y493" s="1" t="str">
        <f t="shared" si="118"/>
        <v>優先3</v>
      </c>
      <c r="Z493" s="1" t="str">
        <f t="shared" si="119"/>
        <v>Central Agency for Public Mobilization and Statistics, Arab Republic of Egypt. "Statistical Yearbook". Accessed 12 June, 2023. https://www.capmas.gov.eg/.</v>
      </c>
    </row>
    <row r="494" spans="2:26">
      <c r="B494" s="285" t="s">
        <v>860</v>
      </c>
      <c r="C494" s="285" t="s">
        <v>698</v>
      </c>
      <c r="D494" s="285" t="s">
        <v>673</v>
      </c>
      <c r="E494" s="285" t="s">
        <v>136</v>
      </c>
      <c r="F494" s="13" t="s">
        <v>1234</v>
      </c>
      <c r="G494" s="13" t="s">
        <v>1235</v>
      </c>
      <c r="H494" s="13" t="s">
        <v>1339</v>
      </c>
      <c r="I494" s="13" t="s">
        <v>4194</v>
      </c>
      <c r="J494" s="13" t="s">
        <v>4195</v>
      </c>
      <c r="K494" s="284">
        <v>45089</v>
      </c>
      <c r="L494" s="283" t="str">
        <f t="shared" si="105"/>
        <v>-</v>
      </c>
      <c r="M494" s="283" t="str">
        <f t="shared" si="106"/>
        <v>-</v>
      </c>
      <c r="N494" s="283" t="str">
        <f t="shared" si="107"/>
        <v>NG</v>
      </c>
      <c r="O494" s="283" t="str">
        <f t="shared" si="108"/>
        <v>-</v>
      </c>
      <c r="P494" s="283" t="str">
        <f t="shared" si="109"/>
        <v>-</v>
      </c>
      <c r="Q494" s="283" t="str">
        <f t="shared" si="110"/>
        <v>-</v>
      </c>
      <c r="R494" s="283" t="str">
        <f t="shared" si="111"/>
        <v>-</v>
      </c>
      <c r="S494" s="283" t="str">
        <f t="shared" si="112"/>
        <v>-</v>
      </c>
      <c r="T494" s="283" t="str">
        <f t="shared" si="113"/>
        <v>-</v>
      </c>
      <c r="U494" s="283" t="str">
        <f t="shared" si="114"/>
        <v>-</v>
      </c>
      <c r="V494" s="283" t="str">
        <f t="shared" si="115"/>
        <v>-</v>
      </c>
      <c r="W494" s="1" t="str">
        <f t="shared" si="116"/>
        <v>https://rosstat.gov.ru/statistics/turizm/</v>
      </c>
      <c r="X494" s="1" t="str">
        <f t="shared" si="117"/>
        <v>https://rosstat.gov.ru/</v>
      </c>
      <c r="Y494" s="1" t="str">
        <f t="shared" si="118"/>
        <v>優先3</v>
      </c>
      <c r="Z494" s="1" t="str">
        <f t="shared" si="119"/>
        <v>Federal State Statistics Service(Rosstat), The Ministry of Economic Development of the Russian Federation [Федеральная служба государственной статистики]. "Въездные и выездные туристские поездки (с 2014 г.)". Accessed 12 June, 2023. https://rosstat.gov.ru/.</v>
      </c>
    </row>
    <row r="495" spans="2:26">
      <c r="B495" s="285" t="s">
        <v>860</v>
      </c>
      <c r="C495" s="285" t="s">
        <v>698</v>
      </c>
      <c r="D495" s="285" t="s">
        <v>673</v>
      </c>
      <c r="E495" s="285" t="s">
        <v>138</v>
      </c>
      <c r="F495" s="13" t="s">
        <v>871</v>
      </c>
      <c r="G495" s="13" t="s">
        <v>746</v>
      </c>
      <c r="H495" s="13"/>
      <c r="I495" s="13" t="s">
        <v>4196</v>
      </c>
      <c r="J495" s="13" t="s">
        <v>2666</v>
      </c>
      <c r="K495" s="284">
        <v>45089</v>
      </c>
      <c r="L495" s="283" t="str">
        <f t="shared" si="105"/>
        <v>-</v>
      </c>
      <c r="M495" s="283" t="str">
        <f t="shared" si="106"/>
        <v>-</v>
      </c>
      <c r="N495" s="283" t="str">
        <f t="shared" si="107"/>
        <v>-</v>
      </c>
      <c r="O495" s="283" t="str">
        <f t="shared" si="108"/>
        <v>-</v>
      </c>
      <c r="P495" s="283" t="str">
        <f t="shared" si="109"/>
        <v>-</v>
      </c>
      <c r="Q495" s="283" t="str">
        <f t="shared" si="110"/>
        <v>-</v>
      </c>
      <c r="R495" s="283" t="str">
        <f t="shared" si="111"/>
        <v>-</v>
      </c>
      <c r="S495" s="283" t="str">
        <f t="shared" si="112"/>
        <v>-</v>
      </c>
      <c r="T495" s="283" t="str">
        <f t="shared" si="113"/>
        <v>-</v>
      </c>
      <c r="U495" s="283" t="str">
        <f t="shared" si="114"/>
        <v>-</v>
      </c>
      <c r="V495" s="283" t="str">
        <f t="shared" si="115"/>
        <v>-</v>
      </c>
      <c r="W495" s="1" t="str">
        <f t="shared" si="116"/>
        <v>https://tourism.gov.in/market-research-and-statistics/</v>
      </c>
      <c r="X495" s="1" t="str">
        <f t="shared" si="117"/>
        <v>https://tourism.gov.in/</v>
      </c>
      <c r="Y495" s="1" t="str">
        <f t="shared" si="118"/>
        <v>優先3</v>
      </c>
      <c r="Z495" s="1" t="str">
        <f t="shared" si="119"/>
        <v>Ministry of Tourism, Government of India. "India Tourism Statistics 2022". Accessed 12 June, 2023. https://tourism.gov.in/.</v>
      </c>
    </row>
    <row r="496" spans="2:26">
      <c r="B496" s="285" t="s">
        <v>860</v>
      </c>
      <c r="C496" s="285" t="s">
        <v>698</v>
      </c>
      <c r="D496" s="285" t="s">
        <v>673</v>
      </c>
      <c r="E496" s="285" t="s">
        <v>140</v>
      </c>
      <c r="F496" s="13" t="s">
        <v>1365</v>
      </c>
      <c r="G496" s="13" t="s">
        <v>297</v>
      </c>
      <c r="H496" s="13"/>
      <c r="I496" s="13" t="s">
        <v>4197</v>
      </c>
      <c r="J496" s="13" t="s">
        <v>4198</v>
      </c>
      <c r="K496" s="284">
        <v>45089</v>
      </c>
      <c r="L496" s="283" t="str">
        <f t="shared" si="105"/>
        <v>-</v>
      </c>
      <c r="M496" s="283" t="str">
        <f t="shared" si="106"/>
        <v>-</v>
      </c>
      <c r="N496" s="283" t="str">
        <f t="shared" si="107"/>
        <v>-</v>
      </c>
      <c r="O496" s="283" t="str">
        <f t="shared" si="108"/>
        <v>-</v>
      </c>
      <c r="P496" s="283" t="str">
        <f t="shared" si="109"/>
        <v>-</v>
      </c>
      <c r="Q496" s="283" t="str">
        <f t="shared" si="110"/>
        <v>-</v>
      </c>
      <c r="R496" s="283" t="str">
        <f t="shared" si="111"/>
        <v>-</v>
      </c>
      <c r="S496" s="283" t="str">
        <f t="shared" si="112"/>
        <v>-</v>
      </c>
      <c r="T496" s="283" t="str">
        <f t="shared" si="113"/>
        <v>-</v>
      </c>
      <c r="U496" s="283" t="str">
        <f t="shared" si="114"/>
        <v>-</v>
      </c>
      <c r="V496" s="283" t="str">
        <f t="shared" si="115"/>
        <v>-</v>
      </c>
      <c r="W496" s="1" t="str">
        <f t="shared" si="116"/>
        <v>https://www.mots.go.th/news/category/657/</v>
      </c>
      <c r="X496" s="1" t="str">
        <f t="shared" si="117"/>
        <v>https://www.mots.go.th/</v>
      </c>
      <c r="Y496" s="1" t="str">
        <f t="shared" si="118"/>
        <v>優先3</v>
      </c>
      <c r="Z496" s="1" t="str">
        <f t="shared" si="119"/>
        <v>Ministry of Tourism &amp; Sports, Thailand. "Domestic Tourism Statistics (Classify by region and province 2022)". Accessed 12 June, 2023. https://www.mots.go.th/.</v>
      </c>
    </row>
    <row r="497" spans="2:26">
      <c r="B497" s="285" t="s">
        <v>860</v>
      </c>
      <c r="C497" s="285" t="s">
        <v>698</v>
      </c>
      <c r="D497" s="285" t="s">
        <v>673</v>
      </c>
      <c r="E497" s="285" t="s">
        <v>142</v>
      </c>
      <c r="F497" s="13" t="s">
        <v>870</v>
      </c>
      <c r="G497" s="13"/>
      <c r="H497" s="13"/>
      <c r="I497" s="13" t="s">
        <v>869</v>
      </c>
      <c r="J497" s="13" t="s">
        <v>3725</v>
      </c>
      <c r="K497" s="284">
        <v>45075</v>
      </c>
      <c r="L497" s="283" t="str">
        <f t="shared" si="105"/>
        <v>-</v>
      </c>
      <c r="M497" s="283" t="str">
        <f t="shared" si="106"/>
        <v>-</v>
      </c>
      <c r="N497" s="283" t="str">
        <f t="shared" si="107"/>
        <v>-</v>
      </c>
      <c r="O497" s="283" t="str">
        <f t="shared" si="108"/>
        <v>-</v>
      </c>
      <c r="P497" s="283" t="str">
        <f t="shared" si="109"/>
        <v>-</v>
      </c>
      <c r="Q497" s="283" t="str">
        <f t="shared" si="110"/>
        <v>-</v>
      </c>
      <c r="R497" s="283" t="str">
        <f t="shared" si="111"/>
        <v>-</v>
      </c>
      <c r="S497" s="283" t="str">
        <f t="shared" si="112"/>
        <v>-</v>
      </c>
      <c r="T497" s="283" t="str">
        <f t="shared" si="113"/>
        <v>-</v>
      </c>
      <c r="U497" s="283" t="str">
        <f t="shared" si="114"/>
        <v>-</v>
      </c>
      <c r="V497" s="283" t="str">
        <f t="shared" si="115"/>
        <v>-</v>
      </c>
      <c r="W497" s="1" t="str">
        <f t="shared" si="116"/>
        <v>http://mytourismdata.tourism.gov.my/?page_id=362#!from=2020&amp;to=2021&amp;destination=34MY/</v>
      </c>
      <c r="X497" s="1" t="str">
        <f t="shared" si="117"/>
        <v>http://mytourismdata.tourism.gov.my/</v>
      </c>
      <c r="Y497" s="1" t="str">
        <f t="shared" si="118"/>
        <v>優先3</v>
      </c>
      <c r="Z497" s="1" t="str">
        <f t="shared" si="119"/>
        <v>Tourism Malaysia. "Hotel Guests by States". Accessed 29 May, 2023. http://mytourismdata.tourism.gov.my/.</v>
      </c>
    </row>
    <row r="498" spans="2:26">
      <c r="B498" s="285" t="s">
        <v>860</v>
      </c>
      <c r="C498" s="285" t="s">
        <v>698</v>
      </c>
      <c r="D498" s="285" t="s">
        <v>673</v>
      </c>
      <c r="E498" s="285" t="s">
        <v>144</v>
      </c>
      <c r="F498" s="13" t="s">
        <v>2667</v>
      </c>
      <c r="G498" s="13" t="s">
        <v>729</v>
      </c>
      <c r="H498" s="13"/>
      <c r="I498" s="13" t="s">
        <v>3726</v>
      </c>
      <c r="J498" s="13" t="s">
        <v>2668</v>
      </c>
      <c r="K498" s="284">
        <v>45089</v>
      </c>
      <c r="L498" s="283" t="str">
        <f t="shared" si="105"/>
        <v>-</v>
      </c>
      <c r="M498" s="283" t="str">
        <f t="shared" si="106"/>
        <v>-</v>
      </c>
      <c r="N498" s="283" t="str">
        <f t="shared" si="107"/>
        <v>-</v>
      </c>
      <c r="O498" s="283" t="str">
        <f t="shared" si="108"/>
        <v>-</v>
      </c>
      <c r="P498" s="283" t="str">
        <f t="shared" si="109"/>
        <v>-</v>
      </c>
      <c r="Q498" s="283" t="str">
        <f t="shared" si="110"/>
        <v>-</v>
      </c>
      <c r="R498" s="283" t="str">
        <f t="shared" si="111"/>
        <v>-</v>
      </c>
      <c r="S498" s="283" t="str">
        <f t="shared" si="112"/>
        <v>-</v>
      </c>
      <c r="T498" s="283" t="str">
        <f t="shared" si="113"/>
        <v>-</v>
      </c>
      <c r="U498" s="283" t="str">
        <f t="shared" si="114"/>
        <v>-</v>
      </c>
      <c r="V498" s="283" t="str">
        <f t="shared" si="115"/>
        <v>-</v>
      </c>
      <c r="W498" s="1" t="str">
        <f t="shared" si="116"/>
        <v>https://stan.stb.gov.sg/public/sense/app/877a079c-e05f-4871-8d87-8e6cc1963b02/sheet/38bcc4ea-c597-4fda-8469-c5702ac7104f/state/analysis/</v>
      </c>
      <c r="X498" s="1" t="str">
        <f t="shared" si="117"/>
        <v>https://stan.stb.gov.sg/</v>
      </c>
      <c r="Y498" s="1" t="str">
        <f t="shared" si="118"/>
        <v>優先3</v>
      </c>
      <c r="Z498" s="1" t="str">
        <f t="shared" si="119"/>
        <v>Singapore Tourism Analytics Network, Government of Singapore. "Visitor Arrivals - Ad-hoc Report". Accessed 12 June, 2023. https://stan.stb.gov.sg/.</v>
      </c>
    </row>
    <row r="499" spans="2:26">
      <c r="B499" s="285" t="s">
        <v>860</v>
      </c>
      <c r="C499" s="285" t="s">
        <v>698</v>
      </c>
      <c r="D499" s="285" t="s">
        <v>673</v>
      </c>
      <c r="E499" s="285" t="s">
        <v>146</v>
      </c>
      <c r="F499" s="13" t="s">
        <v>1012</v>
      </c>
      <c r="G499" s="13" t="s">
        <v>767</v>
      </c>
      <c r="H499" s="13" t="s">
        <v>1366</v>
      </c>
      <c r="I499" s="13" t="s">
        <v>4199</v>
      </c>
      <c r="J499" s="13" t="s">
        <v>1367</v>
      </c>
      <c r="K499" s="284">
        <v>45089</v>
      </c>
      <c r="L499" s="283" t="str">
        <f t="shared" si="105"/>
        <v>-</v>
      </c>
      <c r="M499" s="283" t="str">
        <f t="shared" si="106"/>
        <v>-</v>
      </c>
      <c r="N499" s="283" t="str">
        <f t="shared" si="107"/>
        <v>-</v>
      </c>
      <c r="O499" s="283" t="str">
        <f t="shared" si="108"/>
        <v>-</v>
      </c>
      <c r="P499" s="283" t="str">
        <f t="shared" si="109"/>
        <v>-</v>
      </c>
      <c r="Q499" s="283" t="str">
        <f t="shared" si="110"/>
        <v>-</v>
      </c>
      <c r="R499" s="283" t="str">
        <f t="shared" si="111"/>
        <v>-</v>
      </c>
      <c r="S499" s="283" t="str">
        <f t="shared" si="112"/>
        <v>-</v>
      </c>
      <c r="T499" s="283" t="str">
        <f t="shared" si="113"/>
        <v>-</v>
      </c>
      <c r="U499" s="283" t="str">
        <f t="shared" si="114"/>
        <v>-</v>
      </c>
      <c r="V499" s="283" t="str">
        <f t="shared" si="115"/>
        <v>-</v>
      </c>
      <c r="W499" s="1" t="str">
        <f t="shared" si="116"/>
        <v>https://www.censtatd.gov.hk/hkstat/sub/sp140.jsp?productCode=B1010006/</v>
      </c>
      <c r="X499" s="1" t="str">
        <f t="shared" si="117"/>
        <v>https://www.censtatd.gov.hk/</v>
      </c>
      <c r="Y499" s="1" t="str">
        <f t="shared" si="118"/>
        <v>優先3</v>
      </c>
      <c r="Z499" s="1" t="str">
        <f t="shared" si="119"/>
        <v>Census and Statistics Department, Hong Kong Special Administrative Region [中華人民共和國香港特別行政區政府]. "Hong Kong in Figures, 2023 Edition". Accessed 12 June, 2023. https://www.censtatd.gov.hk/.</v>
      </c>
    </row>
    <row r="500" spans="2:26">
      <c r="B500" s="285" t="s">
        <v>860</v>
      </c>
      <c r="C500" s="285" t="s">
        <v>698</v>
      </c>
      <c r="D500" s="285" t="s">
        <v>673</v>
      </c>
      <c r="E500" s="285" t="s">
        <v>148</v>
      </c>
      <c r="F500" s="13" t="s">
        <v>1368</v>
      </c>
      <c r="G500" s="13"/>
      <c r="H500" s="13" t="s">
        <v>1369</v>
      </c>
      <c r="I500" s="13" t="s">
        <v>3727</v>
      </c>
      <c r="J500" s="13" t="s">
        <v>4200</v>
      </c>
      <c r="K500" s="284">
        <v>45089</v>
      </c>
      <c r="L500" s="283" t="str">
        <f t="shared" si="105"/>
        <v>-</v>
      </c>
      <c r="M500" s="283" t="str">
        <f t="shared" si="106"/>
        <v>-</v>
      </c>
      <c r="N500" s="283" t="str">
        <f t="shared" si="107"/>
        <v>-</v>
      </c>
      <c r="O500" s="283" t="str">
        <f t="shared" si="108"/>
        <v>-</v>
      </c>
      <c r="P500" s="283" t="str">
        <f t="shared" si="109"/>
        <v>-</v>
      </c>
      <c r="Q500" s="283" t="str">
        <f t="shared" si="110"/>
        <v>-</v>
      </c>
      <c r="R500" s="283" t="str">
        <f t="shared" si="111"/>
        <v>-</v>
      </c>
      <c r="S500" s="283" t="str">
        <f t="shared" si="112"/>
        <v>-</v>
      </c>
      <c r="T500" s="283" t="str">
        <f t="shared" si="113"/>
        <v>-</v>
      </c>
      <c r="U500" s="283" t="str">
        <f t="shared" si="114"/>
        <v>-</v>
      </c>
      <c r="V500" s="283" t="str">
        <f t="shared" si="115"/>
        <v>-</v>
      </c>
      <c r="W500" s="1" t="str">
        <f t="shared" si="116"/>
        <v>http://whlyj.beijing.gov.cn/zwgk/zxgs/tjxx/history/2022/rjlyqk/202302/t20230210_2949345.html/</v>
      </c>
      <c r="X500" s="1" t="str">
        <f t="shared" si="117"/>
        <v>http://whlyj.beijing.gov.cn/</v>
      </c>
      <c r="Y500" s="1" t="str">
        <f t="shared" si="118"/>
        <v>優先3</v>
      </c>
      <c r="Z500" s="1" t="str">
        <f t="shared" si="119"/>
        <v>Beijing Municipal Bureau of Culture and Tourism [北京市文化和旅游局]. "北京市接待入境旅游者情况". Accessed 12 June, 2023. http://whlyj.beijing.gov.cn/.</v>
      </c>
    </row>
    <row r="501" spans="2:26">
      <c r="B501" s="285" t="s">
        <v>860</v>
      </c>
      <c r="C501" s="285" t="s">
        <v>698</v>
      </c>
      <c r="D501" s="285" t="s">
        <v>673</v>
      </c>
      <c r="E501" s="285" t="s">
        <v>150</v>
      </c>
      <c r="F501" s="13" t="s">
        <v>1370</v>
      </c>
      <c r="G501" s="13"/>
      <c r="H501" s="13" t="s">
        <v>868</v>
      </c>
      <c r="I501" s="13" t="s">
        <v>4037</v>
      </c>
      <c r="J501" s="13" t="s">
        <v>4038</v>
      </c>
      <c r="K501" s="284">
        <v>45089</v>
      </c>
      <c r="L501" s="283" t="str">
        <f t="shared" si="105"/>
        <v>-</v>
      </c>
      <c r="M501" s="283" t="str">
        <f t="shared" si="106"/>
        <v>-</v>
      </c>
      <c r="N501" s="283" t="str">
        <f t="shared" si="107"/>
        <v>-</v>
      </c>
      <c r="O501" s="283" t="str">
        <f t="shared" si="108"/>
        <v>-</v>
      </c>
      <c r="P501" s="283" t="str">
        <f t="shared" si="109"/>
        <v>-</v>
      </c>
      <c r="Q501" s="283" t="str">
        <f t="shared" si="110"/>
        <v>-</v>
      </c>
      <c r="R501" s="283" t="str">
        <f t="shared" si="111"/>
        <v>-</v>
      </c>
      <c r="S501" s="283" t="str">
        <f t="shared" si="112"/>
        <v>-</v>
      </c>
      <c r="T501" s="283" t="str">
        <f t="shared" si="113"/>
        <v>-</v>
      </c>
      <c r="U501" s="283" t="str">
        <f t="shared" si="114"/>
        <v>-</v>
      </c>
      <c r="V501" s="283" t="str">
        <f t="shared" si="115"/>
        <v>-</v>
      </c>
      <c r="W501" s="1" t="str">
        <f t="shared" si="116"/>
        <v>https://tjj.sh.gov.cn/tjnj/20230206/804acea250d44d2187f2e37d2e5d36ba.html/</v>
      </c>
      <c r="X501" s="1" t="str">
        <f t="shared" si="117"/>
        <v>https://tjj.sh.gov.cn/</v>
      </c>
      <c r="Y501" s="1" t="str">
        <f t="shared" si="118"/>
        <v>優先3</v>
      </c>
      <c r="Z501" s="1" t="str">
        <f t="shared" si="119"/>
        <v>Shanghai Municipal Statistics Bureau and Survey Office of the National Bureau of Statistics in Shanghai [上海市统计局、国家统计局上海调查总队]. "Shanghai Statistical Yearbook 2022". Accessed 12 June, 2023. https://tjj.sh.gov.cn/.</v>
      </c>
    </row>
    <row r="502" spans="2:26">
      <c r="B502" s="285" t="s">
        <v>860</v>
      </c>
      <c r="C502" s="285" t="s">
        <v>698</v>
      </c>
      <c r="D502" s="285" t="s">
        <v>673</v>
      </c>
      <c r="E502" s="285" t="s">
        <v>152</v>
      </c>
      <c r="F502" s="13" t="s">
        <v>867</v>
      </c>
      <c r="G502" s="13" t="s">
        <v>728</v>
      </c>
      <c r="H502" s="13" t="s">
        <v>1371</v>
      </c>
      <c r="I502" s="13" t="s">
        <v>4201</v>
      </c>
      <c r="J502" s="13" t="s">
        <v>4202</v>
      </c>
      <c r="K502" s="284">
        <v>45089</v>
      </c>
      <c r="L502" s="283" t="str">
        <f t="shared" si="105"/>
        <v>-</v>
      </c>
      <c r="M502" s="283" t="str">
        <f t="shared" si="106"/>
        <v>-</v>
      </c>
      <c r="N502" s="283" t="str">
        <f t="shared" si="107"/>
        <v>NG</v>
      </c>
      <c r="O502" s="283" t="str">
        <f t="shared" si="108"/>
        <v>-</v>
      </c>
      <c r="P502" s="283" t="str">
        <f t="shared" si="109"/>
        <v>-</v>
      </c>
      <c r="Q502" s="283" t="str">
        <f t="shared" si="110"/>
        <v>-</v>
      </c>
      <c r="R502" s="283" t="str">
        <f t="shared" si="111"/>
        <v>-</v>
      </c>
      <c r="S502" s="283" t="str">
        <f t="shared" si="112"/>
        <v>-</v>
      </c>
      <c r="T502" s="283" t="str">
        <f t="shared" si="113"/>
        <v>-</v>
      </c>
      <c r="U502" s="283" t="str">
        <f t="shared" si="114"/>
        <v>-</v>
      </c>
      <c r="V502" s="283" t="str">
        <f t="shared" si="115"/>
        <v>-</v>
      </c>
      <c r="W502" s="1" t="str">
        <f t="shared" si="116"/>
        <v>https://admin.taiwan.net.tw/english/info/FilePage?a=18095/</v>
      </c>
      <c r="X502" s="1" t="str">
        <f t="shared" si="117"/>
        <v>https://admin.taiwan.net.tw/</v>
      </c>
      <c r="Y502" s="1" t="str">
        <f t="shared" si="118"/>
        <v>優先3</v>
      </c>
      <c r="Z502" s="1" t="str">
        <f t="shared" si="119"/>
        <v>Tourism Bureau, Ministry of Transportation and Communications, Republic of China (Taiwan) [中華民國交通部觀光局]. "2022 Visitor Arrivals by Year(1956～)". Accessed 12 June, 2023. https://admin.taiwan.net.tw/.</v>
      </c>
    </row>
    <row r="503" spans="2:26">
      <c r="B503" s="285" t="s">
        <v>860</v>
      </c>
      <c r="C503" s="285" t="s">
        <v>698</v>
      </c>
      <c r="D503" s="285" t="s">
        <v>673</v>
      </c>
      <c r="E503" s="285" t="s">
        <v>154</v>
      </c>
      <c r="F503" s="13" t="s">
        <v>3728</v>
      </c>
      <c r="G503" s="13"/>
      <c r="H503" s="13" t="s">
        <v>3729</v>
      </c>
      <c r="I503" s="13" t="s">
        <v>4203</v>
      </c>
      <c r="J503" s="13" t="s">
        <v>4204</v>
      </c>
      <c r="K503" s="284">
        <v>45089</v>
      </c>
      <c r="L503" s="283" t="str">
        <f t="shared" si="105"/>
        <v>-</v>
      </c>
      <c r="M503" s="283" t="str">
        <f t="shared" si="106"/>
        <v>-</v>
      </c>
      <c r="N503" s="283" t="str">
        <f t="shared" si="107"/>
        <v>-</v>
      </c>
      <c r="O503" s="283" t="str">
        <f t="shared" si="108"/>
        <v>-</v>
      </c>
      <c r="P503" s="283" t="str">
        <f t="shared" si="109"/>
        <v>-</v>
      </c>
      <c r="Q503" s="283" t="str">
        <f t="shared" si="110"/>
        <v>-</v>
      </c>
      <c r="R503" s="283" t="str">
        <f t="shared" si="111"/>
        <v>-</v>
      </c>
      <c r="S503" s="283" t="str">
        <f t="shared" si="112"/>
        <v>-</v>
      </c>
      <c r="T503" s="283" t="str">
        <f t="shared" si="113"/>
        <v>-</v>
      </c>
      <c r="U503" s="283" t="str">
        <f t="shared" si="114"/>
        <v>-</v>
      </c>
      <c r="V503" s="283" t="str">
        <f t="shared" si="115"/>
        <v>-</v>
      </c>
      <c r="W503" s="1" t="str">
        <f t="shared" si="116"/>
        <v>https://datalab.visitkorea.or.kr/site/portal/ex/bbs/View.do?cbIdx=1127&amp;bcIdx=304593&amp;pageIndex=1&amp;tgtTypeCd=CATE_CONT&amp;searchKey=&amp;searchKey2=spt05&amp;tabFlag=N&amp;subFlag=N&amp;cateCont=spt05/</v>
      </c>
      <c r="X503" s="1" t="str">
        <f t="shared" si="117"/>
        <v>https://datalab.visitkorea.or.kr/</v>
      </c>
      <c r="Y503" s="1" t="str">
        <f t="shared" si="118"/>
        <v>優先3</v>
      </c>
      <c r="Z503" s="1" t="str">
        <f t="shared" si="119"/>
        <v>Korea Tourism Organization [한국관광공사]. "2022 International Visitor Survey". Accessed 12 June, 2023. https://datalab.visitkorea.or.kr/.</v>
      </c>
    </row>
    <row r="504" spans="2:26">
      <c r="B504" s="285" t="s">
        <v>860</v>
      </c>
      <c r="C504" s="285" t="s">
        <v>698</v>
      </c>
      <c r="D504" s="285" t="s">
        <v>673</v>
      </c>
      <c r="E504" s="285" t="s">
        <v>156</v>
      </c>
      <c r="F504" s="13"/>
      <c r="G504" s="13" t="s">
        <v>753</v>
      </c>
      <c r="H504" s="13" t="s">
        <v>752</v>
      </c>
      <c r="I504" s="13" t="s">
        <v>4205</v>
      </c>
      <c r="J504" s="13" t="s">
        <v>4206</v>
      </c>
      <c r="K504" s="284">
        <v>45089</v>
      </c>
      <c r="L504" s="283" t="str">
        <f t="shared" si="105"/>
        <v>-</v>
      </c>
      <c r="M504" s="283" t="str">
        <f t="shared" si="106"/>
        <v>-</v>
      </c>
      <c r="N504" s="283" t="str">
        <f t="shared" si="107"/>
        <v>-</v>
      </c>
      <c r="O504" s="283" t="str">
        <f t="shared" si="108"/>
        <v>-</v>
      </c>
      <c r="P504" s="283" t="str">
        <f t="shared" si="109"/>
        <v>-</v>
      </c>
      <c r="Q504" s="283" t="str">
        <f t="shared" si="110"/>
        <v>-</v>
      </c>
      <c r="R504" s="283" t="str">
        <f t="shared" si="111"/>
        <v>NG</v>
      </c>
      <c r="S504" s="283" t="str">
        <f t="shared" si="112"/>
        <v>NG</v>
      </c>
      <c r="T504" s="283" t="str">
        <f t="shared" si="113"/>
        <v>-</v>
      </c>
      <c r="U504" s="283" t="str">
        <f t="shared" si="114"/>
        <v>-</v>
      </c>
      <c r="V504" s="283" t="str">
        <f t="shared" si="115"/>
        <v>-</v>
      </c>
      <c r="W504" s="1" t="str">
        <f t="shared" si="116"/>
        <v>https://www.city.fukuoka.lg.jp/keizai/kankou-s/shisei/kankoutoukei2022_2.html/</v>
      </c>
      <c r="X504" s="1" t="str">
        <f t="shared" si="117"/>
        <v>https://www.city.fukuoka.lg.jp/</v>
      </c>
      <c r="Y504" s="1" t="str">
        <f t="shared" si="118"/>
        <v>優先3</v>
      </c>
      <c r="Z504" s="1" t="str">
        <f t="shared" si="119"/>
        <v>Fukuoka City [福岡市]. "福岡市の観光・MICE　2023年版（福岡市観光統計）". Accessed 12 June, 2023. https://www.city.fukuoka.lg.jp/.</v>
      </c>
    </row>
    <row r="505" spans="2:26">
      <c r="B505" s="285" t="s">
        <v>860</v>
      </c>
      <c r="C505" s="285" t="s">
        <v>698</v>
      </c>
      <c r="D505" s="285" t="s">
        <v>673</v>
      </c>
      <c r="E505" s="285" t="s">
        <v>158</v>
      </c>
      <c r="F505" s="13"/>
      <c r="G505" s="13" t="s">
        <v>866</v>
      </c>
      <c r="H505" s="13" t="s">
        <v>823</v>
      </c>
      <c r="I505" s="13" t="s">
        <v>1372</v>
      </c>
      <c r="J505" s="13" t="s">
        <v>4207</v>
      </c>
      <c r="K505" s="284">
        <v>45089</v>
      </c>
      <c r="L505" s="283" t="str">
        <f t="shared" si="105"/>
        <v>-</v>
      </c>
      <c r="M505" s="283" t="str">
        <f t="shared" si="106"/>
        <v>-</v>
      </c>
      <c r="N505" s="283" t="str">
        <f t="shared" si="107"/>
        <v>-</v>
      </c>
      <c r="O505" s="283" t="str">
        <f t="shared" si="108"/>
        <v>-</v>
      </c>
      <c r="P505" s="283" t="str">
        <f t="shared" si="109"/>
        <v>-</v>
      </c>
      <c r="Q505" s="283" t="str">
        <f t="shared" si="110"/>
        <v>-</v>
      </c>
      <c r="R505" s="283" t="str">
        <f t="shared" si="111"/>
        <v>-</v>
      </c>
      <c r="S505" s="283" t="str">
        <f t="shared" si="112"/>
        <v>-</v>
      </c>
      <c r="T505" s="283" t="str">
        <f t="shared" si="113"/>
        <v>-</v>
      </c>
      <c r="U505" s="283" t="str">
        <f t="shared" si="114"/>
        <v>-</v>
      </c>
      <c r="V505" s="283" t="str">
        <f t="shared" si="115"/>
        <v>-</v>
      </c>
      <c r="W505" s="1" t="str">
        <f t="shared" si="116"/>
        <v>https://www.pref.osaka.lg.jp/kanko/toukei/index.html/</v>
      </c>
      <c r="X505" s="1" t="str">
        <f t="shared" si="117"/>
        <v>https://www.pref.osaka.lg.jp/</v>
      </c>
      <c r="Y505" s="1" t="str">
        <f t="shared" si="118"/>
        <v>優先3</v>
      </c>
      <c r="Z505" s="1" t="str">
        <f t="shared" si="119"/>
        <v>Osaka Prefecture [大阪府]. "観光統計調査/大阪の延べ宿泊者数・外国人延べ宿泊者数". Accessed 12 June, 2023. https://www.pref.osaka.lg.jp/.</v>
      </c>
    </row>
    <row r="506" spans="2:26">
      <c r="B506" s="285" t="s">
        <v>860</v>
      </c>
      <c r="C506" s="285" t="s">
        <v>698</v>
      </c>
      <c r="D506" s="285" t="s">
        <v>673</v>
      </c>
      <c r="E506" s="285" t="s">
        <v>160</v>
      </c>
      <c r="F506" s="13" t="s">
        <v>1373</v>
      </c>
      <c r="G506" s="13" t="s">
        <v>740</v>
      </c>
      <c r="H506" s="13" t="s">
        <v>1374</v>
      </c>
      <c r="I506" s="13" t="s">
        <v>2669</v>
      </c>
      <c r="J506" s="13" t="s">
        <v>2670</v>
      </c>
      <c r="K506" s="284">
        <v>45089</v>
      </c>
      <c r="L506" s="283" t="str">
        <f t="shared" si="105"/>
        <v>-</v>
      </c>
      <c r="M506" s="283" t="str">
        <f t="shared" si="106"/>
        <v>-</v>
      </c>
      <c r="N506" s="283" t="str">
        <f t="shared" si="107"/>
        <v>-</v>
      </c>
      <c r="O506" s="283" t="str">
        <f t="shared" si="108"/>
        <v>-</v>
      </c>
      <c r="P506" s="283" t="str">
        <f t="shared" si="109"/>
        <v>-</v>
      </c>
      <c r="Q506" s="283" t="str">
        <f t="shared" si="110"/>
        <v>-</v>
      </c>
      <c r="R506" s="283" t="str">
        <f t="shared" si="111"/>
        <v>-</v>
      </c>
      <c r="S506" s="283" t="str">
        <f t="shared" si="112"/>
        <v>-</v>
      </c>
      <c r="T506" s="283" t="str">
        <f t="shared" si="113"/>
        <v>-</v>
      </c>
      <c r="U506" s="283" t="str">
        <f t="shared" si="114"/>
        <v>-</v>
      </c>
      <c r="V506" s="283" t="str">
        <f t="shared" si="115"/>
        <v>-</v>
      </c>
      <c r="W506" s="1" t="str">
        <f t="shared" si="116"/>
        <v>https://www.sangyo-rodo.metro.tokyo.lg.jp/toukei/tourism/jittai/cat5889/index.html/</v>
      </c>
      <c r="X506" s="1" t="str">
        <f t="shared" si="117"/>
        <v>https://www.sangyo-rodo.metro.tokyo.lg.jp/</v>
      </c>
      <c r="Y506" s="1" t="str">
        <f t="shared" si="118"/>
        <v>優先3</v>
      </c>
      <c r="Z506" s="1" t="str">
        <f t="shared" si="119"/>
        <v>Bureau of Industrial and Labor Affairs, Tokyo Metropolitan Government [東京都産業労働局]. "令和2年東京都観光客数等実態調査". Accessed 12 June, 2023. https://www.sangyo-rodo.metro.tokyo.lg.jp/.</v>
      </c>
    </row>
    <row r="507" spans="2:26">
      <c r="B507" s="285" t="s">
        <v>860</v>
      </c>
      <c r="C507" s="285" t="s">
        <v>698</v>
      </c>
      <c r="D507" s="285" t="s">
        <v>673</v>
      </c>
      <c r="E507" s="285" t="s">
        <v>162</v>
      </c>
      <c r="F507" s="13" t="s">
        <v>865</v>
      </c>
      <c r="G507" s="13" t="s">
        <v>1375</v>
      </c>
      <c r="H507" s="13"/>
      <c r="I507" s="13" t="s">
        <v>4208</v>
      </c>
      <c r="J507" s="13" t="s">
        <v>1376</v>
      </c>
      <c r="K507" s="284">
        <v>45065</v>
      </c>
      <c r="L507" s="283" t="str">
        <f t="shared" si="105"/>
        <v>-</v>
      </c>
      <c r="M507" s="283" t="str">
        <f t="shared" si="106"/>
        <v>-</v>
      </c>
      <c r="N507" s="283" t="str">
        <f t="shared" si="107"/>
        <v>-</v>
      </c>
      <c r="O507" s="283" t="str">
        <f t="shared" si="108"/>
        <v>-</v>
      </c>
      <c r="P507" s="283" t="str">
        <f t="shared" si="109"/>
        <v>-</v>
      </c>
      <c r="Q507" s="283" t="str">
        <f t="shared" si="110"/>
        <v>-</v>
      </c>
      <c r="R507" s="283" t="str">
        <f t="shared" si="111"/>
        <v>-</v>
      </c>
      <c r="S507" s="283" t="str">
        <f t="shared" si="112"/>
        <v>-</v>
      </c>
      <c r="T507" s="283" t="str">
        <f t="shared" si="113"/>
        <v>-</v>
      </c>
      <c r="U507" s="283" t="str">
        <f t="shared" si="114"/>
        <v>-</v>
      </c>
      <c r="V507" s="283" t="str">
        <f t="shared" si="115"/>
        <v>-</v>
      </c>
      <c r="W507" s="1" t="str">
        <f t="shared" si="116"/>
        <v>https://www.destinationnsw.com.au/tourism/facts-and-figures/sydney-tourism-statistics/</v>
      </c>
      <c r="X507" s="1" t="str">
        <f t="shared" si="117"/>
        <v>https://www.destinationnsw.com.au/</v>
      </c>
      <c r="Y507" s="1" t="str">
        <f t="shared" si="118"/>
        <v>優先3</v>
      </c>
      <c r="Z507" s="1" t="str">
        <f t="shared" si="119"/>
        <v>Destination NSW, New South Wales Government. "Travel to Sydney Time Series December 2022". Accessed 19 May, 2023. https://www.destinationnsw.com.au/.</v>
      </c>
    </row>
    <row r="508" spans="2:26">
      <c r="B508" s="285" t="s">
        <v>860</v>
      </c>
      <c r="C508" s="285" t="s">
        <v>698</v>
      </c>
      <c r="D508" s="285" t="s">
        <v>673</v>
      </c>
      <c r="E508" s="285" t="s">
        <v>164</v>
      </c>
      <c r="F508" s="13" t="s">
        <v>1377</v>
      </c>
      <c r="G508" s="13" t="s">
        <v>1378</v>
      </c>
      <c r="H508" s="13"/>
      <c r="I508" s="13" t="s">
        <v>2671</v>
      </c>
      <c r="J508" s="13" t="s">
        <v>3730</v>
      </c>
      <c r="K508" s="284">
        <v>45089</v>
      </c>
      <c r="L508" s="283" t="str">
        <f t="shared" si="105"/>
        <v>-</v>
      </c>
      <c r="M508" s="283" t="str">
        <f t="shared" si="106"/>
        <v>-</v>
      </c>
      <c r="N508" s="283" t="str">
        <f t="shared" si="107"/>
        <v>-</v>
      </c>
      <c r="O508" s="283" t="str">
        <f t="shared" si="108"/>
        <v>-</v>
      </c>
      <c r="P508" s="283" t="str">
        <f t="shared" si="109"/>
        <v>-</v>
      </c>
      <c r="Q508" s="283" t="str">
        <f t="shared" si="110"/>
        <v>-</v>
      </c>
      <c r="R508" s="283" t="str">
        <f t="shared" si="111"/>
        <v>-</v>
      </c>
      <c r="S508" s="283" t="str">
        <f t="shared" si="112"/>
        <v>-</v>
      </c>
      <c r="T508" s="283" t="str">
        <f t="shared" si="113"/>
        <v>-</v>
      </c>
      <c r="U508" s="283" t="str">
        <f t="shared" si="114"/>
        <v>-</v>
      </c>
      <c r="V508" s="283" t="str">
        <f t="shared" si="115"/>
        <v>-</v>
      </c>
      <c r="W508" s="1" t="str">
        <f t="shared" si="116"/>
        <v>https://www.destinationvancouver.com/about/research/</v>
      </c>
      <c r="X508" s="1" t="str">
        <f t="shared" si="117"/>
        <v>https://www.destinationvancouver.com/</v>
      </c>
      <c r="Y508" s="1" t="str">
        <f t="shared" si="118"/>
        <v>優先3</v>
      </c>
      <c r="Z508" s="1" t="str">
        <f t="shared" si="119"/>
        <v>Tourism Vancouver, The Metro Vancouver Convention and Visitors Bureau. "Historical Overnight Visitors to Metro Vancouver by Geographic Origin - year-to-date". Accessed 12 June, 2023. https://www.destinationvancouver.com/.</v>
      </c>
    </row>
    <row r="509" spans="2:26">
      <c r="B509" s="285" t="s">
        <v>860</v>
      </c>
      <c r="C509" s="285" t="s">
        <v>698</v>
      </c>
      <c r="D509" s="285" t="s">
        <v>673</v>
      </c>
      <c r="E509" s="285" t="s">
        <v>166</v>
      </c>
      <c r="F509" s="13" t="s">
        <v>3731</v>
      </c>
      <c r="G509" s="13" t="s">
        <v>1379</v>
      </c>
      <c r="H509" s="13"/>
      <c r="I509" s="13" t="s">
        <v>3732</v>
      </c>
      <c r="J509" s="13" t="s">
        <v>3733</v>
      </c>
      <c r="K509" s="284">
        <v>45089</v>
      </c>
      <c r="L509" s="283">
        <f t="shared" si="105"/>
        <v>6</v>
      </c>
      <c r="M509" s="283" t="str">
        <f t="shared" si="106"/>
        <v>-</v>
      </c>
      <c r="N509" s="283" t="str">
        <f t="shared" si="107"/>
        <v>-</v>
      </c>
      <c r="O509" s="283" t="str">
        <f t="shared" si="108"/>
        <v>-</v>
      </c>
      <c r="P509" s="283" t="str">
        <f t="shared" si="109"/>
        <v>-</v>
      </c>
      <c r="Q509" s="283" t="str">
        <f t="shared" si="110"/>
        <v>-</v>
      </c>
      <c r="R509" s="283" t="str">
        <f t="shared" si="111"/>
        <v>-</v>
      </c>
      <c r="S509" s="283" t="str">
        <f t="shared" si="112"/>
        <v>-</v>
      </c>
      <c r="T509" s="283" t="str">
        <f t="shared" si="113"/>
        <v>-</v>
      </c>
      <c r="U509" s="283" t="str">
        <f t="shared" si="114"/>
        <v>-</v>
      </c>
      <c r="V509" s="283" t="str">
        <f t="shared" si="115"/>
        <v>-</v>
      </c>
      <c r="W509" s="1" t="str">
        <f t="shared" si="116"/>
        <v>https://www.trade.gov/i-94-arrivals-historical-data/</v>
      </c>
      <c r="X509" s="1" t="str">
        <f t="shared" si="117"/>
        <v>https://www.trade.gov/</v>
      </c>
      <c r="Y509" s="1" t="str">
        <f t="shared" si="118"/>
        <v>優先3</v>
      </c>
      <c r="Z509" s="1" t="str">
        <f t="shared" si="119"/>
        <v>International Trade Administration, U.S. Government. "Historical “Summary &amp; Analysis” I-94 Visitor Data". Accessed 12 June, 2023. https://www.trade.gov/.</v>
      </c>
    </row>
    <row r="510" spans="2:26">
      <c r="B510" s="285" t="s">
        <v>860</v>
      </c>
      <c r="C510" s="285" t="s">
        <v>698</v>
      </c>
      <c r="D510" s="285" t="s">
        <v>673</v>
      </c>
      <c r="E510" s="285" t="s">
        <v>168</v>
      </c>
      <c r="F510" s="13" t="s">
        <v>3731</v>
      </c>
      <c r="G510" s="13" t="s">
        <v>1379</v>
      </c>
      <c r="H510" s="13"/>
      <c r="I510" s="13" t="s">
        <v>3732</v>
      </c>
      <c r="J510" s="13" t="s">
        <v>3733</v>
      </c>
      <c r="K510" s="284">
        <v>45089</v>
      </c>
      <c r="L510" s="283">
        <f t="shared" si="105"/>
        <v>6</v>
      </c>
      <c r="M510" s="283" t="str">
        <f t="shared" si="106"/>
        <v>-</v>
      </c>
      <c r="N510" s="283" t="str">
        <f t="shared" si="107"/>
        <v>-</v>
      </c>
      <c r="O510" s="283" t="str">
        <f t="shared" si="108"/>
        <v>-</v>
      </c>
      <c r="P510" s="283" t="str">
        <f t="shared" si="109"/>
        <v>-</v>
      </c>
      <c r="Q510" s="283" t="str">
        <f t="shared" si="110"/>
        <v>-</v>
      </c>
      <c r="R510" s="283" t="str">
        <f t="shared" si="111"/>
        <v>-</v>
      </c>
      <c r="S510" s="283" t="str">
        <f t="shared" si="112"/>
        <v>-</v>
      </c>
      <c r="T510" s="283" t="str">
        <f t="shared" si="113"/>
        <v>-</v>
      </c>
      <c r="U510" s="283" t="str">
        <f t="shared" si="114"/>
        <v>-</v>
      </c>
      <c r="V510" s="283" t="str">
        <f t="shared" si="115"/>
        <v>-</v>
      </c>
      <c r="W510" s="1" t="str">
        <f t="shared" si="116"/>
        <v>https://www.trade.gov/i-94-arrivals-historical-data/</v>
      </c>
      <c r="X510" s="1" t="str">
        <f t="shared" si="117"/>
        <v>https://www.trade.gov/</v>
      </c>
      <c r="Y510" s="1" t="str">
        <f t="shared" si="118"/>
        <v>優先3</v>
      </c>
      <c r="Z510" s="1" t="str">
        <f t="shared" si="119"/>
        <v>International Trade Administration, U.S. Government. "Historical “Summary &amp; Analysis” I-94 Visitor Data". Accessed 12 June, 2023. https://www.trade.gov/.</v>
      </c>
    </row>
    <row r="511" spans="2:26">
      <c r="B511" s="285" t="s">
        <v>860</v>
      </c>
      <c r="C511" s="285" t="s">
        <v>698</v>
      </c>
      <c r="D511" s="285" t="s">
        <v>673</v>
      </c>
      <c r="E511" s="285" t="s">
        <v>170</v>
      </c>
      <c r="F511" s="13" t="s">
        <v>1380</v>
      </c>
      <c r="G511" s="13" t="s">
        <v>726</v>
      </c>
      <c r="H511" s="13"/>
      <c r="I511" s="13" t="s">
        <v>3734</v>
      </c>
      <c r="J511" s="13" t="s">
        <v>1381</v>
      </c>
      <c r="K511" s="284">
        <v>45089</v>
      </c>
      <c r="L511" s="283" t="str">
        <f t="shared" si="105"/>
        <v>-</v>
      </c>
      <c r="M511" s="283" t="str">
        <f t="shared" si="106"/>
        <v>-</v>
      </c>
      <c r="N511" s="283" t="str">
        <f t="shared" si="107"/>
        <v>-</v>
      </c>
      <c r="O511" s="283" t="str">
        <f t="shared" si="108"/>
        <v>-</v>
      </c>
      <c r="P511" s="283" t="str">
        <f t="shared" si="109"/>
        <v>-</v>
      </c>
      <c r="Q511" s="283" t="str">
        <f t="shared" si="110"/>
        <v>-</v>
      </c>
      <c r="R511" s="283" t="str">
        <f t="shared" si="111"/>
        <v>-</v>
      </c>
      <c r="S511" s="283" t="str">
        <f t="shared" si="112"/>
        <v>-</v>
      </c>
      <c r="T511" s="283" t="str">
        <f t="shared" si="113"/>
        <v>-</v>
      </c>
      <c r="U511" s="283" t="str">
        <f t="shared" si="114"/>
        <v>-</v>
      </c>
      <c r="V511" s="283" t="str">
        <f t="shared" si="115"/>
        <v>-</v>
      </c>
      <c r="W511" s="1" t="str">
        <f t="shared" si="116"/>
        <v>https://turismo.cdmx.gob.mx/actividad-turistica/estadisticas-de-la-actividad-turistica/</v>
      </c>
      <c r="X511" s="1" t="str">
        <f t="shared" si="117"/>
        <v>https://turismo.cdmx.gob.mx/</v>
      </c>
      <c r="Y511" s="1" t="str">
        <f t="shared" si="118"/>
        <v>優先3</v>
      </c>
      <c r="Z511" s="1" t="str">
        <f t="shared" si="119"/>
        <v>Secretaría de Turismo, Ciudad de México. "Estadísticas de la actividad turística". Accessed 12 June, 2023. https://turismo.cdmx.gob.mx/.</v>
      </c>
    </row>
    <row r="512" spans="2:26">
      <c r="B512" s="285" t="s">
        <v>860</v>
      </c>
      <c r="C512" s="285" t="s">
        <v>698</v>
      </c>
      <c r="D512" s="285" t="s">
        <v>673</v>
      </c>
      <c r="E512" s="285" t="s">
        <v>172</v>
      </c>
      <c r="F512" s="13" t="s">
        <v>3731</v>
      </c>
      <c r="G512" s="13" t="s">
        <v>1379</v>
      </c>
      <c r="H512" s="13"/>
      <c r="I512" s="13" t="s">
        <v>3732</v>
      </c>
      <c r="J512" s="13" t="s">
        <v>3733</v>
      </c>
      <c r="K512" s="284">
        <v>45089</v>
      </c>
      <c r="L512" s="283">
        <f t="shared" si="105"/>
        <v>6</v>
      </c>
      <c r="M512" s="283" t="str">
        <f t="shared" si="106"/>
        <v>-</v>
      </c>
      <c r="N512" s="283" t="str">
        <f t="shared" si="107"/>
        <v>-</v>
      </c>
      <c r="O512" s="283" t="str">
        <f t="shared" si="108"/>
        <v>-</v>
      </c>
      <c r="P512" s="283" t="str">
        <f t="shared" si="109"/>
        <v>-</v>
      </c>
      <c r="Q512" s="283" t="str">
        <f t="shared" si="110"/>
        <v>-</v>
      </c>
      <c r="R512" s="283" t="str">
        <f t="shared" si="111"/>
        <v>-</v>
      </c>
      <c r="S512" s="283" t="str">
        <f t="shared" si="112"/>
        <v>-</v>
      </c>
      <c r="T512" s="283" t="str">
        <f t="shared" si="113"/>
        <v>-</v>
      </c>
      <c r="U512" s="283" t="str">
        <f t="shared" si="114"/>
        <v>-</v>
      </c>
      <c r="V512" s="283" t="str">
        <f t="shared" si="115"/>
        <v>-</v>
      </c>
      <c r="W512" s="1" t="str">
        <f t="shared" si="116"/>
        <v>https://www.trade.gov/i-94-arrivals-historical-data/</v>
      </c>
      <c r="X512" s="1" t="str">
        <f t="shared" si="117"/>
        <v>https://www.trade.gov/</v>
      </c>
      <c r="Y512" s="1" t="str">
        <f t="shared" si="118"/>
        <v>優先3</v>
      </c>
      <c r="Z512" s="1" t="str">
        <f t="shared" si="119"/>
        <v>International Trade Administration, U.S. Government. "Historical “Summary &amp; Analysis” I-94 Visitor Data". Accessed 12 June, 2023. https://www.trade.gov/.</v>
      </c>
    </row>
    <row r="513" spans="2:26">
      <c r="B513" s="285" t="s">
        <v>860</v>
      </c>
      <c r="C513" s="285" t="s">
        <v>698</v>
      </c>
      <c r="D513" s="285" t="s">
        <v>673</v>
      </c>
      <c r="E513" s="285" t="s">
        <v>174</v>
      </c>
      <c r="F513" s="13" t="s">
        <v>1382</v>
      </c>
      <c r="G513" s="13"/>
      <c r="H513" s="13"/>
      <c r="I513" s="13" t="s">
        <v>4209</v>
      </c>
      <c r="J513" s="13" t="s">
        <v>4210</v>
      </c>
      <c r="K513" s="284">
        <v>45089</v>
      </c>
      <c r="L513" s="283" t="str">
        <f t="shared" si="105"/>
        <v>-</v>
      </c>
      <c r="M513" s="283" t="str">
        <f t="shared" si="106"/>
        <v>-</v>
      </c>
      <c r="N513" s="283" t="str">
        <f t="shared" si="107"/>
        <v>-</v>
      </c>
      <c r="O513" s="283" t="str">
        <f t="shared" si="108"/>
        <v>-</v>
      </c>
      <c r="P513" s="283" t="str">
        <f t="shared" si="109"/>
        <v>-</v>
      </c>
      <c r="Q513" s="283" t="str">
        <f t="shared" si="110"/>
        <v>-</v>
      </c>
      <c r="R513" s="283" t="str">
        <f t="shared" si="111"/>
        <v>-</v>
      </c>
      <c r="S513" s="283" t="str">
        <f t="shared" si="112"/>
        <v>-</v>
      </c>
      <c r="T513" s="283" t="str">
        <f t="shared" si="113"/>
        <v>-</v>
      </c>
      <c r="U513" s="283" t="str">
        <f t="shared" si="114"/>
        <v>-</v>
      </c>
      <c r="V513" s="283" t="str">
        <f t="shared" si="115"/>
        <v>-</v>
      </c>
      <c r="W513" s="1" t="str">
        <f t="shared" si="116"/>
        <v>https://toronto.visme.co/view/ojv3ywv1-g8nlq7o6ezkd2m9d#s1/</v>
      </c>
      <c r="X513" s="1" t="str">
        <f t="shared" si="117"/>
        <v>https://toronto.visme.co/</v>
      </c>
      <c r="Y513" s="1" t="str">
        <f t="shared" si="118"/>
        <v>優先3</v>
      </c>
      <c r="Z513" s="1" t="str">
        <f t="shared" si="119"/>
        <v>Destination Toronto. "Destination Toronto Annual Report 2022". Accessed 12 June, 2023. https://toronto.visme.co/.</v>
      </c>
    </row>
    <row r="514" spans="2:26">
      <c r="B514" s="285" t="s">
        <v>860</v>
      </c>
      <c r="C514" s="285" t="s">
        <v>698</v>
      </c>
      <c r="D514" s="285" t="s">
        <v>673</v>
      </c>
      <c r="E514" s="285" t="s">
        <v>373</v>
      </c>
      <c r="F514" s="13" t="s">
        <v>3731</v>
      </c>
      <c r="G514" s="13" t="s">
        <v>1379</v>
      </c>
      <c r="H514" s="13"/>
      <c r="I514" s="13" t="s">
        <v>3732</v>
      </c>
      <c r="J514" s="13" t="s">
        <v>3733</v>
      </c>
      <c r="K514" s="284">
        <v>45089</v>
      </c>
      <c r="L514" s="283">
        <f t="shared" si="105"/>
        <v>6</v>
      </c>
      <c r="M514" s="283" t="str">
        <f t="shared" si="106"/>
        <v>-</v>
      </c>
      <c r="N514" s="283" t="str">
        <f t="shared" si="107"/>
        <v>-</v>
      </c>
      <c r="O514" s="283" t="str">
        <f t="shared" si="108"/>
        <v>-</v>
      </c>
      <c r="P514" s="283" t="str">
        <f t="shared" si="109"/>
        <v>-</v>
      </c>
      <c r="Q514" s="283" t="str">
        <f t="shared" si="110"/>
        <v>-</v>
      </c>
      <c r="R514" s="283" t="str">
        <f t="shared" si="111"/>
        <v>-</v>
      </c>
      <c r="S514" s="283" t="str">
        <f t="shared" si="112"/>
        <v>-</v>
      </c>
      <c r="T514" s="283" t="str">
        <f t="shared" si="113"/>
        <v>-</v>
      </c>
      <c r="U514" s="283" t="str">
        <f t="shared" si="114"/>
        <v>-</v>
      </c>
      <c r="V514" s="283" t="str">
        <f t="shared" si="115"/>
        <v>-</v>
      </c>
      <c r="W514" s="1" t="str">
        <f t="shared" si="116"/>
        <v>https://www.trade.gov/i-94-arrivals-historical-data/</v>
      </c>
      <c r="X514" s="1" t="str">
        <f t="shared" si="117"/>
        <v>https://www.trade.gov/</v>
      </c>
      <c r="Y514" s="1" t="str">
        <f t="shared" si="118"/>
        <v>優先3</v>
      </c>
      <c r="Z514" s="1" t="str">
        <f t="shared" si="119"/>
        <v>International Trade Administration, U.S. Government. "Historical “Summary &amp; Analysis” I-94 Visitor Data". Accessed 12 June, 2023. https://www.trade.gov/.</v>
      </c>
    </row>
    <row r="515" spans="2:26">
      <c r="B515" s="285" t="s">
        <v>860</v>
      </c>
      <c r="C515" s="285" t="s">
        <v>698</v>
      </c>
      <c r="D515" s="285" t="s">
        <v>673</v>
      </c>
      <c r="E515" s="285" t="s">
        <v>178</v>
      </c>
      <c r="F515" s="13" t="s">
        <v>3731</v>
      </c>
      <c r="G515" s="13" t="s">
        <v>1379</v>
      </c>
      <c r="H515" s="13"/>
      <c r="I515" s="13" t="s">
        <v>3732</v>
      </c>
      <c r="J515" s="13" t="s">
        <v>3733</v>
      </c>
      <c r="K515" s="284">
        <v>45089</v>
      </c>
      <c r="L515" s="283">
        <f t="shared" si="105"/>
        <v>6</v>
      </c>
      <c r="M515" s="283" t="str">
        <f t="shared" si="106"/>
        <v>-</v>
      </c>
      <c r="N515" s="283" t="str">
        <f t="shared" si="107"/>
        <v>-</v>
      </c>
      <c r="O515" s="283" t="str">
        <f t="shared" si="108"/>
        <v>-</v>
      </c>
      <c r="P515" s="283" t="str">
        <f t="shared" si="109"/>
        <v>-</v>
      </c>
      <c r="Q515" s="283" t="str">
        <f t="shared" si="110"/>
        <v>-</v>
      </c>
      <c r="R515" s="283" t="str">
        <f t="shared" si="111"/>
        <v>-</v>
      </c>
      <c r="S515" s="283" t="str">
        <f t="shared" si="112"/>
        <v>-</v>
      </c>
      <c r="T515" s="283" t="str">
        <f t="shared" si="113"/>
        <v>-</v>
      </c>
      <c r="U515" s="283" t="str">
        <f t="shared" si="114"/>
        <v>-</v>
      </c>
      <c r="V515" s="283" t="str">
        <f t="shared" si="115"/>
        <v>-</v>
      </c>
      <c r="W515" s="1" t="str">
        <f t="shared" si="116"/>
        <v>https://www.trade.gov/i-94-arrivals-historical-data/</v>
      </c>
      <c r="X515" s="1" t="str">
        <f t="shared" si="117"/>
        <v>https://www.trade.gov/</v>
      </c>
      <c r="Y515" s="1" t="str">
        <f t="shared" si="118"/>
        <v>優先3</v>
      </c>
      <c r="Z515" s="1" t="str">
        <f t="shared" si="119"/>
        <v>International Trade Administration, U.S. Government. "Historical “Summary &amp; Analysis” I-94 Visitor Data". Accessed 12 June, 2023. https://www.trade.gov/.</v>
      </c>
    </row>
    <row r="516" spans="2:26">
      <c r="B516" s="285" t="s">
        <v>860</v>
      </c>
      <c r="C516" s="285" t="s">
        <v>698</v>
      </c>
      <c r="D516" s="285" t="s">
        <v>673</v>
      </c>
      <c r="E516" s="285" t="s">
        <v>180</v>
      </c>
      <c r="F516" s="13" t="s">
        <v>3731</v>
      </c>
      <c r="G516" s="13" t="s">
        <v>1379</v>
      </c>
      <c r="H516" s="13"/>
      <c r="I516" s="13" t="s">
        <v>3732</v>
      </c>
      <c r="J516" s="13" t="s">
        <v>3733</v>
      </c>
      <c r="K516" s="284">
        <v>45089</v>
      </c>
      <c r="L516" s="283">
        <f t="shared" si="105"/>
        <v>6</v>
      </c>
      <c r="M516" s="283" t="str">
        <f t="shared" si="106"/>
        <v>-</v>
      </c>
      <c r="N516" s="283" t="str">
        <f t="shared" si="107"/>
        <v>-</v>
      </c>
      <c r="O516" s="283" t="str">
        <f t="shared" si="108"/>
        <v>-</v>
      </c>
      <c r="P516" s="283" t="str">
        <f t="shared" si="109"/>
        <v>-</v>
      </c>
      <c r="Q516" s="283" t="str">
        <f t="shared" si="110"/>
        <v>-</v>
      </c>
      <c r="R516" s="283" t="str">
        <f t="shared" si="111"/>
        <v>-</v>
      </c>
      <c r="S516" s="283" t="str">
        <f t="shared" si="112"/>
        <v>-</v>
      </c>
      <c r="T516" s="283" t="str">
        <f t="shared" si="113"/>
        <v>-</v>
      </c>
      <c r="U516" s="283" t="str">
        <f t="shared" si="114"/>
        <v>-</v>
      </c>
      <c r="V516" s="283" t="str">
        <f t="shared" si="115"/>
        <v>-</v>
      </c>
      <c r="W516" s="1" t="str">
        <f t="shared" si="116"/>
        <v>https://www.trade.gov/i-94-arrivals-historical-data/</v>
      </c>
      <c r="X516" s="1" t="str">
        <f t="shared" si="117"/>
        <v>https://www.trade.gov/</v>
      </c>
      <c r="Y516" s="1" t="str">
        <f t="shared" si="118"/>
        <v>優先3</v>
      </c>
      <c r="Z516" s="1" t="str">
        <f t="shared" si="119"/>
        <v>International Trade Administration, U.S. Government. "Historical “Summary &amp; Analysis” I-94 Visitor Data". Accessed 12 June, 2023. https://www.trade.gov/.</v>
      </c>
    </row>
    <row r="517" spans="2:26">
      <c r="B517" s="285" t="s">
        <v>860</v>
      </c>
      <c r="C517" s="285" t="s">
        <v>698</v>
      </c>
      <c r="D517" s="285" t="s">
        <v>673</v>
      </c>
      <c r="E517" s="285" t="s">
        <v>182</v>
      </c>
      <c r="F517" s="13" t="s">
        <v>4211</v>
      </c>
      <c r="G517" s="13" t="s">
        <v>4212</v>
      </c>
      <c r="H517" s="13"/>
      <c r="I517" s="13" t="s">
        <v>4213</v>
      </c>
      <c r="J517" s="13" t="s">
        <v>4214</v>
      </c>
      <c r="K517" s="284">
        <v>45089</v>
      </c>
      <c r="L517" s="283" t="str">
        <f t="shared" si="105"/>
        <v>-</v>
      </c>
      <c r="M517" s="283" t="str">
        <f t="shared" si="106"/>
        <v>-</v>
      </c>
      <c r="N517" s="283" t="str">
        <f t="shared" si="107"/>
        <v>-</v>
      </c>
      <c r="O517" s="283" t="str">
        <f t="shared" si="108"/>
        <v>-</v>
      </c>
      <c r="P517" s="283" t="str">
        <f t="shared" si="109"/>
        <v>-</v>
      </c>
      <c r="Q517" s="283" t="str">
        <f t="shared" si="110"/>
        <v>-</v>
      </c>
      <c r="R517" s="283" t="str">
        <f t="shared" si="111"/>
        <v>-</v>
      </c>
      <c r="S517" s="283" t="str">
        <f t="shared" si="112"/>
        <v>-</v>
      </c>
      <c r="T517" s="283" t="str">
        <f t="shared" si="113"/>
        <v>-</v>
      </c>
      <c r="U517" s="283" t="str">
        <f t="shared" si="114"/>
        <v>-</v>
      </c>
      <c r="V517" s="283" t="str">
        <f t="shared" si="115"/>
        <v>-</v>
      </c>
      <c r="W517" s="1" t="str">
        <f t="shared" si="116"/>
        <v>https://www.gov.br/turismo/pt-br/acesso-a-informacao/acoes-e-programas/observatorio/anuario-estatistico/</v>
      </c>
      <c r="X517" s="1" t="str">
        <f t="shared" si="117"/>
        <v>https://www.gov.br/</v>
      </c>
      <c r="Y517" s="1" t="str">
        <f t="shared" si="118"/>
        <v>優先3</v>
      </c>
      <c r="Z517" s="1" t="str">
        <f t="shared" si="119"/>
        <v>Ministério do Turismo, Presidência da República. "Anuário Estatístico de Turismo 2022 - Ano Base 2021". Accessed 12 June, 2023. https://www.gov.br/.</v>
      </c>
    </row>
    <row r="518" spans="2:26">
      <c r="B518" s="285" t="s">
        <v>860</v>
      </c>
      <c r="C518" s="285" t="s">
        <v>698</v>
      </c>
      <c r="D518" s="285" t="s">
        <v>673</v>
      </c>
      <c r="E518" s="285" t="s">
        <v>184</v>
      </c>
      <c r="F518" s="13" t="s">
        <v>1171</v>
      </c>
      <c r="G518" s="13" t="s">
        <v>733</v>
      </c>
      <c r="H518" s="13"/>
      <c r="I518" s="13" t="s">
        <v>4215</v>
      </c>
      <c r="J518" s="13" t="s">
        <v>4216</v>
      </c>
      <c r="K518" s="284">
        <v>45090</v>
      </c>
      <c r="L518" s="283" t="str">
        <f t="shared" ref="L518:L581" si="120">IF(COUNTIFS(B:B,B518,I:I,I518,X:X,X518)&lt;=1,"-",COUNTIFS(B:B,B518,I:I,I518,X:X,X518))</f>
        <v>-</v>
      </c>
      <c r="M518" s="283" t="str">
        <f t="shared" ref="M518:M581" si="121">IF(I518="","書籍","-")</f>
        <v>-</v>
      </c>
      <c r="N518" s="283" t="str">
        <f t="shared" ref="N518:N581" si="122">IF(OR(COUNTIF($F518,"*(*"),COUNTIF($G518,"*(*"),COUNTIF($H518,"*(*")),"NG","-")</f>
        <v>-</v>
      </c>
      <c r="O518" s="283" t="str">
        <f t="shared" ref="O518:O581" si="123">IF(COUNTIF($Z518,"*..*"),"NG","-")</f>
        <v>-</v>
      </c>
      <c r="P518" s="283" t="str">
        <f t="shared" ref="P518:P581" si="124">IF(COUNTIF($Z518,"*""""*"),"NG","-")</f>
        <v>-</v>
      </c>
      <c r="Q518" s="283" t="str">
        <f t="shared" ref="Q518:Q581" si="125">IF(COUNTIF($Z518,"*  *"),"NG","-")</f>
        <v>-</v>
      </c>
      <c r="R518" s="283" t="str">
        <f t="shared" ref="R518:R581" si="126">IF(COUNTIF($Z518,"*　*"),"NG","-")</f>
        <v>-</v>
      </c>
      <c r="S518" s="283" t="str">
        <f t="shared" ref="S518:S581" si="127">IF(COUNTIF($Z518,"*（*"),"NG","-")</f>
        <v>-</v>
      </c>
      <c r="T518" s="283" t="str">
        <f t="shared" ref="T518:T581" si="128">IF(COUNTIF($Z518,"*(*"),IF(COUNTIF($Z518,"* (*"),"-","NG"),"-")</f>
        <v>-</v>
      </c>
      <c r="U518" s="283" t="str">
        <f t="shared" ref="U518:U581" si="129">IF(OR(LEFT(F518,1)=" ",LEFT(G518,1)=" ",LEFT(H518,1)=" ",LEFT(I518,1)=" ",LEFT(J518,1)=" "),"NG","-")</f>
        <v>-</v>
      </c>
      <c r="V518" s="283" t="str">
        <f t="shared" ref="V518:V581" si="130">IF(OR(RIGHT(F518,1)=" ",RIGHT(G518,1)=" ",RIGHT(H518,1)=" ",RIGHT(I518,1)=" ",RIGHT(J518,1)=" "),"NG","-")</f>
        <v>-</v>
      </c>
      <c r="W518" s="1" t="str">
        <f t="shared" ref="W518:W581" si="131">IF(J518="","",IF(RIGHT(J518,1)="/",J518,J518&amp;"/"))</f>
        <v>https://www.statssa.gov.za/?page_id=1854&amp;PPN=Report-03-51-02&amp;SCH=73614/</v>
      </c>
      <c r="X518" s="1" t="str">
        <f t="shared" ref="X518:X581" si="132">IF(W518="","",LEFT(W518,FIND("/",W518,FIND("/",W518,FIND("/", W518)+1)+1)))</f>
        <v>https://www.statssa.gov.za/</v>
      </c>
      <c r="Y518" s="1" t="str">
        <f t="shared" ref="Y518:Y581" si="133">IF(AND(C518="-",D518="共通"),"優先1",IF(OR(COUNTIF(C518,"*補助*"),D518&lt;&gt;"共通"),"優先3","優先2"&amp;C518))</f>
        <v>優先3</v>
      </c>
      <c r="Z518" s="1" t="str">
        <f t="shared" ref="Z518:Z581" si="134">IF(X518="",F518,CONCATENATE(IF(F518="",G518,IF(G518="",F518,F518&amp;", "&amp;G518)),IF(H518="",". "," ["&amp;H518&amp;"]. "),"""",I518,""". ","Accessed ",TEXT(K518,"dd mmmm, yyyy"),". ",X518,"."))</f>
        <v>Department Statistics South Africa, Republic of South Africa. "Tourism, 2022". Accessed 13 June, 2023. https://www.statssa.gov.za/.</v>
      </c>
    </row>
    <row r="519" spans="2:26">
      <c r="B519" s="285" t="s">
        <v>860</v>
      </c>
      <c r="C519" s="285" t="s">
        <v>698</v>
      </c>
      <c r="D519" s="285" t="s">
        <v>673</v>
      </c>
      <c r="E519" s="285" t="s">
        <v>186</v>
      </c>
      <c r="F519" s="13" t="s">
        <v>864</v>
      </c>
      <c r="G519" s="13" t="s">
        <v>1383</v>
      </c>
      <c r="H519" s="13"/>
      <c r="I519" s="13" t="s">
        <v>4217</v>
      </c>
      <c r="J519" s="13" t="s">
        <v>4218</v>
      </c>
      <c r="K519" s="284">
        <v>45090</v>
      </c>
      <c r="L519" s="283" t="str">
        <f t="shared" si="120"/>
        <v>-</v>
      </c>
      <c r="M519" s="283" t="str">
        <f t="shared" si="121"/>
        <v>-</v>
      </c>
      <c r="N519" s="283" t="str">
        <f t="shared" si="122"/>
        <v>-</v>
      </c>
      <c r="O519" s="283" t="str">
        <f t="shared" si="123"/>
        <v>-</v>
      </c>
      <c r="P519" s="283" t="str">
        <f t="shared" si="124"/>
        <v>-</v>
      </c>
      <c r="Q519" s="283" t="str">
        <f t="shared" si="125"/>
        <v>-</v>
      </c>
      <c r="R519" s="283" t="str">
        <f t="shared" si="126"/>
        <v>-</v>
      </c>
      <c r="S519" s="283" t="str">
        <f t="shared" si="127"/>
        <v>-</v>
      </c>
      <c r="T519" s="283" t="str">
        <f t="shared" si="128"/>
        <v>-</v>
      </c>
      <c r="U519" s="283" t="str">
        <f t="shared" si="129"/>
        <v>-</v>
      </c>
      <c r="V519" s="283" t="str">
        <f t="shared" si="130"/>
        <v>NG</v>
      </c>
      <c r="W519" s="1" t="str">
        <f t="shared" si="131"/>
        <v>https://jakarta.bps.go.id/pressrelease/2023/02/01/1055/di-penghujung-tahun--jumlah-kunjungan-wisman-ke-jakarta-kembali-naik.html/</v>
      </c>
      <c r="X519" s="1" t="str">
        <f t="shared" si="132"/>
        <v>https://jakarta.bps.go.id/</v>
      </c>
      <c r="Y519" s="1" t="str">
        <f t="shared" si="133"/>
        <v>優先3</v>
      </c>
      <c r="Z519" s="1" t="str">
        <f t="shared" si="134"/>
        <v>Badan Pusat Statistik, Indonesia Government. "At The End of The Year, Jakarta Foreign Tourists Rise ". Accessed 13 June, 2023. https://jakarta.bps.go.id/.</v>
      </c>
    </row>
    <row r="520" spans="2:26">
      <c r="B520" s="285" t="s">
        <v>860</v>
      </c>
      <c r="C520" s="285" t="s">
        <v>698</v>
      </c>
      <c r="D520" s="285" t="s">
        <v>673</v>
      </c>
      <c r="E520" s="285" t="s">
        <v>188</v>
      </c>
      <c r="F520" s="13" t="s">
        <v>863</v>
      </c>
      <c r="G520" s="13"/>
      <c r="H520" s="13"/>
      <c r="I520" s="13" t="s">
        <v>3735</v>
      </c>
      <c r="J520" s="13" t="s">
        <v>3736</v>
      </c>
      <c r="K520" s="284">
        <v>45090</v>
      </c>
      <c r="L520" s="283" t="str">
        <f t="shared" si="120"/>
        <v>-</v>
      </c>
      <c r="M520" s="283" t="str">
        <f t="shared" si="121"/>
        <v>-</v>
      </c>
      <c r="N520" s="283" t="str">
        <f t="shared" si="122"/>
        <v>-</v>
      </c>
      <c r="O520" s="283" t="str">
        <f t="shared" si="123"/>
        <v>-</v>
      </c>
      <c r="P520" s="283" t="str">
        <f t="shared" si="124"/>
        <v>-</v>
      </c>
      <c r="Q520" s="283" t="str">
        <f t="shared" si="125"/>
        <v>-</v>
      </c>
      <c r="R520" s="283" t="str">
        <f t="shared" si="126"/>
        <v>-</v>
      </c>
      <c r="S520" s="283" t="str">
        <f t="shared" si="127"/>
        <v>-</v>
      </c>
      <c r="T520" s="283" t="str">
        <f t="shared" si="128"/>
        <v>-</v>
      </c>
      <c r="U520" s="283" t="str">
        <f t="shared" si="129"/>
        <v>-</v>
      </c>
      <c r="V520" s="283" t="str">
        <f t="shared" si="130"/>
        <v>-</v>
      </c>
      <c r="W520" s="1" t="str">
        <f t="shared" si="131"/>
        <v>https://www.unwto.org/tourism-statistics/key-tourism-statistics/</v>
      </c>
      <c r="X520" s="1" t="str">
        <f t="shared" si="132"/>
        <v>https://www.unwto.org/</v>
      </c>
      <c r="Y520" s="1" t="str">
        <f t="shared" si="133"/>
        <v>優先3</v>
      </c>
      <c r="Z520" s="1" t="str">
        <f t="shared" si="134"/>
        <v>United Nations World Tourism Organization. "145 Key Tourism Statistics". Accessed 13 June, 2023. https://www.unwto.org/.</v>
      </c>
    </row>
    <row r="521" spans="2:26">
      <c r="B521" s="285" t="s">
        <v>860</v>
      </c>
      <c r="C521" s="285" t="s">
        <v>698</v>
      </c>
      <c r="D521" s="285" t="s">
        <v>673</v>
      </c>
      <c r="E521" s="285" t="s">
        <v>190</v>
      </c>
      <c r="F521" s="13" t="s">
        <v>862</v>
      </c>
      <c r="G521" s="13" t="s">
        <v>829</v>
      </c>
      <c r="H521" s="13"/>
      <c r="I521" s="13" t="s">
        <v>861</v>
      </c>
      <c r="J521" s="13" t="s">
        <v>1384</v>
      </c>
      <c r="K521" s="284">
        <v>45090</v>
      </c>
      <c r="L521" s="283" t="str">
        <f t="shared" si="120"/>
        <v>-</v>
      </c>
      <c r="M521" s="283" t="str">
        <f t="shared" si="121"/>
        <v>-</v>
      </c>
      <c r="N521" s="283" t="str">
        <f t="shared" si="122"/>
        <v>-</v>
      </c>
      <c r="O521" s="283" t="str">
        <f t="shared" si="123"/>
        <v>-</v>
      </c>
      <c r="P521" s="283" t="str">
        <f t="shared" si="124"/>
        <v>-</v>
      </c>
      <c r="Q521" s="283" t="str">
        <f t="shared" si="125"/>
        <v>-</v>
      </c>
      <c r="R521" s="283" t="str">
        <f t="shared" si="126"/>
        <v>-</v>
      </c>
      <c r="S521" s="283" t="str">
        <f t="shared" si="127"/>
        <v>-</v>
      </c>
      <c r="T521" s="283" t="str">
        <f t="shared" si="128"/>
        <v>-</v>
      </c>
      <c r="U521" s="283" t="str">
        <f t="shared" si="129"/>
        <v>-</v>
      </c>
      <c r="V521" s="283" t="str">
        <f t="shared" si="130"/>
        <v>-</v>
      </c>
      <c r="W521" s="1" t="str">
        <f t="shared" si="131"/>
        <v>https://www.dsc.gov.ae/en-us/Themes/Pages/Tourism.aspx?Theme=30/</v>
      </c>
      <c r="X521" s="1" t="str">
        <f t="shared" si="132"/>
        <v>https://www.dsc.gov.ae/</v>
      </c>
      <c r="Y521" s="1" t="str">
        <f t="shared" si="133"/>
        <v>優先3</v>
      </c>
      <c r="Z521" s="1" t="str">
        <f t="shared" si="134"/>
        <v>Dubai Statistics Center, Government of Dubai. "Visitor by Nationality". Accessed 13 June, 2023. https://www.dsc.gov.ae/.</v>
      </c>
    </row>
    <row r="522" spans="2:26">
      <c r="B522" s="285" t="s">
        <v>860</v>
      </c>
      <c r="C522" s="285" t="s">
        <v>698</v>
      </c>
      <c r="D522" s="285" t="s">
        <v>673</v>
      </c>
      <c r="E522" s="285" t="s">
        <v>369</v>
      </c>
      <c r="F522" s="13" t="s">
        <v>881</v>
      </c>
      <c r="G522" s="13" t="s">
        <v>312</v>
      </c>
      <c r="H522" s="13"/>
      <c r="I522" s="13" t="s">
        <v>4219</v>
      </c>
      <c r="J522" s="13" t="s">
        <v>4220</v>
      </c>
      <c r="K522" s="284">
        <v>45090</v>
      </c>
      <c r="L522" s="283" t="str">
        <f t="shared" si="120"/>
        <v>-</v>
      </c>
      <c r="M522" s="283" t="str">
        <f t="shared" si="121"/>
        <v>-</v>
      </c>
      <c r="N522" s="283" t="str">
        <f t="shared" si="122"/>
        <v>-</v>
      </c>
      <c r="O522" s="283" t="str">
        <f t="shared" si="123"/>
        <v>-</v>
      </c>
      <c r="P522" s="283" t="str">
        <f t="shared" si="124"/>
        <v>-</v>
      </c>
      <c r="Q522" s="283" t="str">
        <f t="shared" si="125"/>
        <v>-</v>
      </c>
      <c r="R522" s="283" t="str">
        <f t="shared" si="126"/>
        <v>-</v>
      </c>
      <c r="S522" s="283" t="str">
        <f t="shared" si="127"/>
        <v>-</v>
      </c>
      <c r="T522" s="283" t="str">
        <f t="shared" si="128"/>
        <v>-</v>
      </c>
      <c r="U522" s="283" t="str">
        <f t="shared" si="129"/>
        <v>-</v>
      </c>
      <c r="V522" s="283" t="str">
        <f t="shared" si="130"/>
        <v>-</v>
      </c>
      <c r="W522" s="1" t="str">
        <f t="shared" si="131"/>
        <v>https://www.cso.ie/en/releasesandpublications/er/tt/tourismandtravelquarter42019/</v>
      </c>
      <c r="X522" s="1" t="str">
        <f t="shared" si="132"/>
        <v>https://www.cso.ie/</v>
      </c>
      <c r="Y522" s="1" t="str">
        <f t="shared" si="133"/>
        <v>優先3</v>
      </c>
      <c r="Z522" s="1" t="str">
        <f t="shared" si="134"/>
        <v>Central Statistics Office, Ireland. "Number of overseas trips to Ireland by non-residents classified by mode of travel, type of trip, route of travel, area of residence and reason for journey, 2017 - Quarter 4 2019". Accessed 13 June, 2023. https://www.cso.ie/.</v>
      </c>
    </row>
    <row r="523" spans="2:26">
      <c r="B523" s="285" t="s">
        <v>860</v>
      </c>
      <c r="C523" s="285" t="s">
        <v>698</v>
      </c>
      <c r="D523" s="285" t="s">
        <v>673</v>
      </c>
      <c r="E523" s="285" t="s">
        <v>370</v>
      </c>
      <c r="F523" s="13" t="s">
        <v>3737</v>
      </c>
      <c r="G523" s="13" t="s">
        <v>3738</v>
      </c>
      <c r="H523" s="13"/>
      <c r="I523" s="13" t="s">
        <v>4221</v>
      </c>
      <c r="J523" s="13" t="s">
        <v>3739</v>
      </c>
      <c r="K523" s="284">
        <v>45090</v>
      </c>
      <c r="L523" s="283" t="str">
        <f t="shared" si="120"/>
        <v>-</v>
      </c>
      <c r="M523" s="283" t="str">
        <f t="shared" si="121"/>
        <v>-</v>
      </c>
      <c r="N523" s="283" t="str">
        <f t="shared" si="122"/>
        <v>-</v>
      </c>
      <c r="O523" s="283" t="str">
        <f t="shared" si="123"/>
        <v>-</v>
      </c>
      <c r="P523" s="283" t="str">
        <f t="shared" si="124"/>
        <v>-</v>
      </c>
      <c r="Q523" s="283" t="str">
        <f t="shared" si="125"/>
        <v>-</v>
      </c>
      <c r="R523" s="283" t="str">
        <f t="shared" si="126"/>
        <v>-</v>
      </c>
      <c r="S523" s="283" t="str">
        <f t="shared" si="127"/>
        <v>-</v>
      </c>
      <c r="T523" s="283" t="str">
        <f t="shared" si="128"/>
        <v>-</v>
      </c>
      <c r="U523" s="283" t="str">
        <f t="shared" si="129"/>
        <v>-</v>
      </c>
      <c r="V523" s="283" t="str">
        <f t="shared" si="130"/>
        <v>-</v>
      </c>
      <c r="W523" s="1" t="str">
        <f t="shared" si="131"/>
        <v>http://visitfinland.stat.fi/PXWeb/pxweb/en/VisitFinland/VisitFinland__Majoitustilastot/visitfinland_matk_pxt_116t.px/</v>
      </c>
      <c r="X523" s="1" t="str">
        <f t="shared" si="132"/>
        <v>http://visitfinland.stat.fi/</v>
      </c>
      <c r="Y523" s="1" t="str">
        <f t="shared" si="133"/>
        <v>優先3</v>
      </c>
      <c r="Z523" s="1" t="str">
        <f t="shared" si="134"/>
        <v>Ministry of Economic Affairs and Employment of Finland, Finnish Government. "Visit Finland - Yearly nights spent and arrivals by country of residence, 1995-2023". Accessed 13 June, 2023. http://visitfinland.stat.fi/.</v>
      </c>
    </row>
    <row r="524" spans="2:26">
      <c r="B524" s="285" t="s">
        <v>860</v>
      </c>
      <c r="C524" s="285" t="s">
        <v>698</v>
      </c>
      <c r="D524" s="285" t="s">
        <v>673</v>
      </c>
      <c r="E524" s="285" t="s">
        <v>371</v>
      </c>
      <c r="F524" s="13" t="s">
        <v>3740</v>
      </c>
      <c r="G524" s="13" t="s">
        <v>1138</v>
      </c>
      <c r="H524" s="13"/>
      <c r="I524" s="13" t="s">
        <v>4222</v>
      </c>
      <c r="J524" s="13" t="s">
        <v>4223</v>
      </c>
      <c r="K524" s="284">
        <v>45090</v>
      </c>
      <c r="L524" s="283" t="str">
        <f t="shared" si="120"/>
        <v>-</v>
      </c>
      <c r="M524" s="283" t="str">
        <f t="shared" si="121"/>
        <v>-</v>
      </c>
      <c r="N524" s="283" t="str">
        <f t="shared" si="122"/>
        <v>-</v>
      </c>
      <c r="O524" s="283" t="str">
        <f t="shared" si="123"/>
        <v>-</v>
      </c>
      <c r="P524" s="283" t="str">
        <f t="shared" si="124"/>
        <v>-</v>
      </c>
      <c r="Q524" s="283" t="str">
        <f t="shared" si="125"/>
        <v>-</v>
      </c>
      <c r="R524" s="283" t="str">
        <f t="shared" si="126"/>
        <v>-</v>
      </c>
      <c r="S524" s="283" t="str">
        <f t="shared" si="127"/>
        <v>-</v>
      </c>
      <c r="T524" s="283" t="str">
        <f t="shared" si="128"/>
        <v>-</v>
      </c>
      <c r="U524" s="283" t="str">
        <f t="shared" si="129"/>
        <v>-</v>
      </c>
      <c r="V524" s="283" t="str">
        <f t="shared" si="130"/>
        <v>-</v>
      </c>
      <c r="W524" s="1" t="str">
        <f t="shared" si="131"/>
        <v>https://www.cbs.gov.il/en/publications/Pages/2022/Tourism-and-Accomodation-Services-Statistical-Abstract-of-Israel-2022-No.73.aspx/</v>
      </c>
      <c r="X524" s="1" t="str">
        <f t="shared" si="132"/>
        <v>https://www.cbs.gov.il/</v>
      </c>
      <c r="Y524" s="1" t="str">
        <f t="shared" si="133"/>
        <v>優先3</v>
      </c>
      <c r="Z524" s="1" t="str">
        <f t="shared" si="134"/>
        <v>Central Buraeau Statistics, State of Israel. "Statistical Abstract of Israel 2022". Accessed 13 June, 2023. https://www.cbs.gov.il/.</v>
      </c>
    </row>
    <row r="525" spans="2:26">
      <c r="B525" s="285" t="s">
        <v>860</v>
      </c>
      <c r="C525" s="285" t="s">
        <v>698</v>
      </c>
      <c r="D525" s="285" t="s">
        <v>673</v>
      </c>
      <c r="E525" s="285" t="s">
        <v>372</v>
      </c>
      <c r="F525" s="13" t="s">
        <v>1385</v>
      </c>
      <c r="G525" s="13" t="s">
        <v>1386</v>
      </c>
      <c r="H525" s="13"/>
      <c r="I525" s="13" t="s">
        <v>4224</v>
      </c>
      <c r="J525" s="13" t="s">
        <v>1387</v>
      </c>
      <c r="K525" s="284">
        <v>45090</v>
      </c>
      <c r="L525" s="283" t="str">
        <f t="shared" si="120"/>
        <v>-</v>
      </c>
      <c r="M525" s="283" t="str">
        <f t="shared" si="121"/>
        <v>-</v>
      </c>
      <c r="N525" s="283" t="str">
        <f t="shared" si="122"/>
        <v>-</v>
      </c>
      <c r="O525" s="283" t="str">
        <f t="shared" si="123"/>
        <v>-</v>
      </c>
      <c r="P525" s="283" t="str">
        <f t="shared" si="124"/>
        <v>-</v>
      </c>
      <c r="Q525" s="283" t="str">
        <f t="shared" si="125"/>
        <v>-</v>
      </c>
      <c r="R525" s="283" t="str">
        <f t="shared" si="126"/>
        <v>-</v>
      </c>
      <c r="S525" s="283" t="str">
        <f t="shared" si="127"/>
        <v>-</v>
      </c>
      <c r="T525" s="283" t="str">
        <f t="shared" si="128"/>
        <v>-</v>
      </c>
      <c r="U525" s="283" t="str">
        <f t="shared" si="129"/>
        <v>-</v>
      </c>
      <c r="V525" s="283" t="str">
        <f t="shared" si="130"/>
        <v>-</v>
      </c>
      <c r="W525" s="1" t="str">
        <f t="shared" si="131"/>
        <v>https://www.tra.gov.au/data-and-research/</v>
      </c>
      <c r="X525" s="1" t="str">
        <f t="shared" si="132"/>
        <v>https://www.tra.gov.au/</v>
      </c>
      <c r="Y525" s="1" t="str">
        <f t="shared" si="133"/>
        <v>優先3</v>
      </c>
      <c r="Z525" s="1" t="str">
        <f t="shared" si="134"/>
        <v>Tourism Research Australia, Australian Government. "International Visitor Survey year ending December 2022 - 2021 comparison". Accessed 13 June, 2023. https://www.tra.gov.au/.</v>
      </c>
    </row>
    <row r="526" spans="2:26">
      <c r="B526" s="285" t="s">
        <v>860</v>
      </c>
      <c r="C526" s="285" t="s">
        <v>716</v>
      </c>
      <c r="D526" s="285" t="s">
        <v>673</v>
      </c>
      <c r="E526" s="285" t="s">
        <v>138</v>
      </c>
      <c r="F526" s="13" t="s">
        <v>1019</v>
      </c>
      <c r="G526" s="13" t="s">
        <v>746</v>
      </c>
      <c r="H526" s="13"/>
      <c r="I526" s="13" t="s">
        <v>3741</v>
      </c>
      <c r="J526" s="13" t="s">
        <v>3674</v>
      </c>
      <c r="K526" s="284">
        <v>45062</v>
      </c>
      <c r="L526" s="283" t="str">
        <f t="shared" si="120"/>
        <v>-</v>
      </c>
      <c r="M526" s="283" t="str">
        <f t="shared" si="121"/>
        <v>-</v>
      </c>
      <c r="N526" s="283" t="str">
        <f t="shared" si="122"/>
        <v>-</v>
      </c>
      <c r="O526" s="283" t="str">
        <f t="shared" si="123"/>
        <v>-</v>
      </c>
      <c r="P526" s="283" t="str">
        <f t="shared" si="124"/>
        <v>-</v>
      </c>
      <c r="Q526" s="283" t="str">
        <f t="shared" si="125"/>
        <v>-</v>
      </c>
      <c r="R526" s="283" t="str">
        <f t="shared" si="126"/>
        <v>-</v>
      </c>
      <c r="S526" s="283" t="str">
        <f t="shared" si="127"/>
        <v>-</v>
      </c>
      <c r="T526" s="283" t="str">
        <f t="shared" si="128"/>
        <v>-</v>
      </c>
      <c r="U526" s="283" t="str">
        <f t="shared" si="129"/>
        <v>-</v>
      </c>
      <c r="V526" s="283" t="str">
        <f t="shared" si="130"/>
        <v>-</v>
      </c>
      <c r="W526" s="1" t="str">
        <f t="shared" si="131"/>
        <v>https://censusindia.gov.in/census.website/data/population-finder/</v>
      </c>
      <c r="X526" s="1" t="str">
        <f t="shared" si="132"/>
        <v>https://censusindia.gov.in/</v>
      </c>
      <c r="Y526" s="1" t="str">
        <f t="shared" si="133"/>
        <v>優先3</v>
      </c>
      <c r="Z526" s="1" t="str">
        <f t="shared" si="134"/>
        <v>Office of the Registrar General &amp; Census Commissioner, Ministry of Home Affairs, Government of India. "Census of 2011". Accessed 16 May, 2023. https://censusindia.gov.in/.</v>
      </c>
    </row>
    <row r="527" spans="2:26">
      <c r="B527" s="285" t="s">
        <v>860</v>
      </c>
      <c r="C527" s="285" t="s">
        <v>774</v>
      </c>
      <c r="D527" s="285" t="s">
        <v>688</v>
      </c>
      <c r="E527" s="285" t="s">
        <v>688</v>
      </c>
      <c r="F527" s="13" t="s">
        <v>1483</v>
      </c>
      <c r="G527" s="13"/>
      <c r="H527" s="13"/>
      <c r="I527" s="13" t="s">
        <v>4225</v>
      </c>
      <c r="J527" s="13"/>
      <c r="K527" s="284">
        <v>45125</v>
      </c>
      <c r="L527" s="283" t="str">
        <f t="shared" si="120"/>
        <v>-</v>
      </c>
      <c r="M527" s="283" t="str">
        <f t="shared" si="121"/>
        <v>-</v>
      </c>
      <c r="N527" s="283" t="str">
        <f t="shared" si="122"/>
        <v>-</v>
      </c>
      <c r="O527" s="283" t="str">
        <f t="shared" si="123"/>
        <v>-</v>
      </c>
      <c r="P527" s="283" t="str">
        <f t="shared" si="124"/>
        <v>-</v>
      </c>
      <c r="Q527" s="283" t="str">
        <f t="shared" si="125"/>
        <v>-</v>
      </c>
      <c r="R527" s="283" t="str">
        <f t="shared" si="126"/>
        <v>-</v>
      </c>
      <c r="S527" s="283" t="str">
        <f t="shared" si="127"/>
        <v>-</v>
      </c>
      <c r="T527" s="283" t="str">
        <f t="shared" si="128"/>
        <v>-</v>
      </c>
      <c r="U527" s="283" t="str">
        <f t="shared" si="129"/>
        <v>-</v>
      </c>
      <c r="V527" s="283" t="str">
        <f t="shared" si="130"/>
        <v>-</v>
      </c>
      <c r="W527" s="1" t="str">
        <f t="shared" si="131"/>
        <v/>
      </c>
      <c r="X527" s="1" t="str">
        <f t="shared" si="132"/>
        <v/>
      </c>
      <c r="Y527" s="1" t="str">
        <f t="shared" si="133"/>
        <v>優先2③</v>
      </c>
      <c r="Z527" s="1" t="str">
        <f t="shared" si="134"/>
        <v>Airports Council International</v>
      </c>
    </row>
    <row r="528" spans="2:26">
      <c r="B528" s="285" t="s">
        <v>826</v>
      </c>
      <c r="C528" s="285" t="s">
        <v>464</v>
      </c>
      <c r="D528" s="285" t="s">
        <v>673</v>
      </c>
      <c r="E528" s="285" t="s">
        <v>105</v>
      </c>
      <c r="F528" s="13" t="s">
        <v>732</v>
      </c>
      <c r="G528" s="13" t="s">
        <v>859</v>
      </c>
      <c r="H528" s="13"/>
      <c r="I528" s="13" t="s">
        <v>2672</v>
      </c>
      <c r="J528" s="13" t="s">
        <v>1388</v>
      </c>
      <c r="K528" s="284">
        <v>45118</v>
      </c>
      <c r="L528" s="283" t="str">
        <f t="shared" si="120"/>
        <v>-</v>
      </c>
      <c r="M528" s="283" t="str">
        <f t="shared" si="121"/>
        <v>-</v>
      </c>
      <c r="N528" s="283" t="str">
        <f t="shared" si="122"/>
        <v>-</v>
      </c>
      <c r="O528" s="283" t="str">
        <f t="shared" si="123"/>
        <v>-</v>
      </c>
      <c r="P528" s="283" t="str">
        <f t="shared" si="124"/>
        <v>-</v>
      </c>
      <c r="Q528" s="283" t="str">
        <f t="shared" si="125"/>
        <v>-</v>
      </c>
      <c r="R528" s="283" t="str">
        <f t="shared" si="126"/>
        <v>-</v>
      </c>
      <c r="S528" s="283" t="str">
        <f t="shared" si="127"/>
        <v>-</v>
      </c>
      <c r="T528" s="283" t="str">
        <f t="shared" si="128"/>
        <v>-</v>
      </c>
      <c r="U528" s="283" t="str">
        <f t="shared" si="129"/>
        <v>-</v>
      </c>
      <c r="V528" s="283" t="str">
        <f t="shared" si="130"/>
        <v>-</v>
      </c>
      <c r="W528" s="1" t="str">
        <f t="shared" si="131"/>
        <v>http://portalestadistico.com/municipioencifras/?pn=madrid&amp;pc=ZTV21&amp;idp=&amp;idioma=eng&amp;idpl=1331&amp;Id_Territorio=28079/</v>
      </c>
      <c r="X528" s="1" t="str">
        <f t="shared" si="132"/>
        <v>http://portalestadistico.com/</v>
      </c>
      <c r="Y528" s="1" t="str">
        <f t="shared" si="133"/>
        <v>優先3</v>
      </c>
      <c r="Z528" s="1" t="str">
        <f t="shared" si="134"/>
        <v>Ayuntamiento de Madrid, Kingdom of Spain. "The city in Figures". Accessed 11 July, 2023. http://portalestadistico.com/.</v>
      </c>
    </row>
    <row r="529" spans="2:26">
      <c r="B529" s="285" t="s">
        <v>826</v>
      </c>
      <c r="C529" s="285" t="s">
        <v>464</v>
      </c>
      <c r="D529" s="285" t="s">
        <v>673</v>
      </c>
      <c r="E529" s="285" t="s">
        <v>106</v>
      </c>
      <c r="F529" s="13" t="s">
        <v>2673</v>
      </c>
      <c r="G529" s="13" t="s">
        <v>2674</v>
      </c>
      <c r="H529" s="13"/>
      <c r="I529" s="13" t="s">
        <v>1389</v>
      </c>
      <c r="J529" s="13" t="s">
        <v>4226</v>
      </c>
      <c r="K529" s="284">
        <v>45118</v>
      </c>
      <c r="L529" s="283" t="str">
        <f t="shared" si="120"/>
        <v>-</v>
      </c>
      <c r="M529" s="283" t="str">
        <f t="shared" si="121"/>
        <v>-</v>
      </c>
      <c r="N529" s="283" t="str">
        <f t="shared" si="122"/>
        <v>-</v>
      </c>
      <c r="O529" s="283" t="str">
        <f t="shared" si="123"/>
        <v>-</v>
      </c>
      <c r="P529" s="283" t="str">
        <f t="shared" si="124"/>
        <v>-</v>
      </c>
      <c r="Q529" s="283" t="str">
        <f t="shared" si="125"/>
        <v>-</v>
      </c>
      <c r="R529" s="283" t="str">
        <f t="shared" si="126"/>
        <v>-</v>
      </c>
      <c r="S529" s="283" t="str">
        <f t="shared" si="127"/>
        <v>-</v>
      </c>
      <c r="T529" s="283" t="str">
        <f t="shared" si="128"/>
        <v>-</v>
      </c>
      <c r="U529" s="283" t="str">
        <f t="shared" si="129"/>
        <v>-</v>
      </c>
      <c r="V529" s="283" t="str">
        <f t="shared" si="130"/>
        <v>-</v>
      </c>
      <c r="W529" s="1" t="str">
        <f t="shared" si="131"/>
        <v>https://www.idescat.cat/indicadors/?id=aec&amp;n=15296&amp;tema=treba&amp;lang=en/</v>
      </c>
      <c r="X529" s="1" t="str">
        <f t="shared" si="132"/>
        <v>https://www.idescat.cat/</v>
      </c>
      <c r="Y529" s="1" t="str">
        <f t="shared" si="133"/>
        <v>優先3</v>
      </c>
      <c r="Z529" s="1" t="str">
        <f t="shared" si="134"/>
        <v>Information, procedures and services, Government of Catalonia. "Statistical Yearbook of Catalonia". Accessed 11 July, 2023. https://www.idescat.cat/.</v>
      </c>
    </row>
    <row r="530" spans="2:26">
      <c r="B530" s="285" t="s">
        <v>826</v>
      </c>
      <c r="C530" s="285" t="s">
        <v>464</v>
      </c>
      <c r="D530" s="285" t="s">
        <v>673</v>
      </c>
      <c r="E530" s="285" t="s">
        <v>108</v>
      </c>
      <c r="F530" s="13" t="s">
        <v>2599</v>
      </c>
      <c r="G530" s="13" t="s">
        <v>2675</v>
      </c>
      <c r="H530" s="13"/>
      <c r="I530" s="13" t="s">
        <v>857</v>
      </c>
      <c r="J530" s="13" t="s">
        <v>1390</v>
      </c>
      <c r="K530" s="284">
        <v>45120</v>
      </c>
      <c r="L530" s="283" t="str">
        <f t="shared" si="120"/>
        <v>-</v>
      </c>
      <c r="M530" s="283" t="str">
        <f t="shared" si="121"/>
        <v>-</v>
      </c>
      <c r="N530" s="283" t="str">
        <f t="shared" si="122"/>
        <v>-</v>
      </c>
      <c r="O530" s="283" t="str">
        <f t="shared" si="123"/>
        <v>-</v>
      </c>
      <c r="P530" s="283" t="str">
        <f t="shared" si="124"/>
        <v>-</v>
      </c>
      <c r="Q530" s="283" t="str">
        <f t="shared" si="125"/>
        <v>-</v>
      </c>
      <c r="R530" s="283" t="str">
        <f t="shared" si="126"/>
        <v>-</v>
      </c>
      <c r="S530" s="283" t="str">
        <f t="shared" si="127"/>
        <v>-</v>
      </c>
      <c r="T530" s="283" t="str">
        <f t="shared" si="128"/>
        <v>-</v>
      </c>
      <c r="U530" s="283" t="str">
        <f t="shared" si="129"/>
        <v>-</v>
      </c>
      <c r="V530" s="283" t="str">
        <f t="shared" si="130"/>
        <v>-</v>
      </c>
      <c r="W530" s="1" t="str">
        <f t="shared" si="131"/>
        <v>https://data.london.gov.uk/dataset/unemployment-rate-region/</v>
      </c>
      <c r="X530" s="1" t="str">
        <f t="shared" si="132"/>
        <v>https://data.london.gov.uk/</v>
      </c>
      <c r="Y530" s="1" t="str">
        <f t="shared" si="133"/>
        <v>優先3</v>
      </c>
      <c r="Z530" s="1" t="str">
        <f t="shared" si="134"/>
        <v>Greater London Authority, Mayor of London, London Assembly. "Office for National Statistics". Accessed 13 July, 2023. https://data.london.gov.uk/.</v>
      </c>
    </row>
    <row r="531" spans="2:26">
      <c r="B531" s="285" t="s">
        <v>826</v>
      </c>
      <c r="C531" s="285" t="s">
        <v>464</v>
      </c>
      <c r="D531" s="285" t="s">
        <v>673</v>
      </c>
      <c r="E531" s="285" t="s">
        <v>110</v>
      </c>
      <c r="F531" s="13" t="s">
        <v>856</v>
      </c>
      <c r="G531" s="13"/>
      <c r="H531" s="13"/>
      <c r="I531" s="13" t="s">
        <v>2676</v>
      </c>
      <c r="J531" s="13" t="s">
        <v>1391</v>
      </c>
      <c r="K531" s="284">
        <v>45118</v>
      </c>
      <c r="L531" s="283" t="str">
        <f t="shared" si="120"/>
        <v>-</v>
      </c>
      <c r="M531" s="283" t="str">
        <f t="shared" si="121"/>
        <v>-</v>
      </c>
      <c r="N531" s="283" t="str">
        <f t="shared" si="122"/>
        <v>-</v>
      </c>
      <c r="O531" s="283" t="str">
        <f t="shared" si="123"/>
        <v>-</v>
      </c>
      <c r="P531" s="283" t="str">
        <f t="shared" si="124"/>
        <v>-</v>
      </c>
      <c r="Q531" s="283" t="str">
        <f t="shared" si="125"/>
        <v>-</v>
      </c>
      <c r="R531" s="283" t="str">
        <f t="shared" si="126"/>
        <v>-</v>
      </c>
      <c r="S531" s="283" t="str">
        <f t="shared" si="127"/>
        <v>-</v>
      </c>
      <c r="T531" s="283" t="str">
        <f t="shared" si="128"/>
        <v>-</v>
      </c>
      <c r="U531" s="283" t="str">
        <f t="shared" si="129"/>
        <v>-</v>
      </c>
      <c r="V531" s="283" t="str">
        <f t="shared" si="130"/>
        <v>NG</v>
      </c>
      <c r="W531" s="1" t="str">
        <f t="shared" si="131"/>
        <v>https://www.insee.fr/en/statistiques/serie/001515940/</v>
      </c>
      <c r="X531" s="1" t="str">
        <f t="shared" si="132"/>
        <v>https://www.insee.fr/</v>
      </c>
      <c r="Y531" s="1" t="str">
        <f t="shared" si="133"/>
        <v>優先3</v>
      </c>
      <c r="Z531" s="1" t="str">
        <f t="shared" si="134"/>
        <v>Institut national de la statistique et des études économiques . "Unemployment rates lacalized by department - Paris". Accessed 11 July, 2023. https://www.insee.fr/.</v>
      </c>
    </row>
    <row r="532" spans="2:26">
      <c r="B532" s="285" t="s">
        <v>826</v>
      </c>
      <c r="C532" s="285" t="s">
        <v>464</v>
      </c>
      <c r="D532" s="285" t="s">
        <v>673</v>
      </c>
      <c r="E532" s="285" t="s">
        <v>112</v>
      </c>
      <c r="F532" s="13" t="s">
        <v>2677</v>
      </c>
      <c r="G532" s="13" t="s">
        <v>855</v>
      </c>
      <c r="H532" s="13"/>
      <c r="I532" s="13" t="s">
        <v>3742</v>
      </c>
      <c r="J532" s="13" t="s">
        <v>1392</v>
      </c>
      <c r="K532" s="284">
        <v>45120</v>
      </c>
      <c r="L532" s="283" t="str">
        <f t="shared" si="120"/>
        <v>-</v>
      </c>
      <c r="M532" s="283" t="str">
        <f t="shared" si="121"/>
        <v>-</v>
      </c>
      <c r="N532" s="283" t="str">
        <f t="shared" si="122"/>
        <v>-</v>
      </c>
      <c r="O532" s="283" t="str">
        <f t="shared" si="123"/>
        <v>-</v>
      </c>
      <c r="P532" s="283" t="str">
        <f t="shared" si="124"/>
        <v>-</v>
      </c>
      <c r="Q532" s="283" t="str">
        <f t="shared" si="125"/>
        <v>-</v>
      </c>
      <c r="R532" s="283" t="str">
        <f t="shared" si="126"/>
        <v>-</v>
      </c>
      <c r="S532" s="283" t="str">
        <f t="shared" si="127"/>
        <v>-</v>
      </c>
      <c r="T532" s="283" t="str">
        <f t="shared" si="128"/>
        <v>-</v>
      </c>
      <c r="U532" s="283" t="str">
        <f t="shared" si="129"/>
        <v>-</v>
      </c>
      <c r="V532" s="283" t="str">
        <f t="shared" si="130"/>
        <v>-</v>
      </c>
      <c r="W532" s="1" t="str">
        <f t="shared" si="131"/>
        <v>https://statbel.fgov.be/fr/themes/emploi-formation/marche-du-travail/emploi-et-chomage/plus/</v>
      </c>
      <c r="X532" s="1" t="str">
        <f t="shared" si="132"/>
        <v>https://statbel.fgov.be/</v>
      </c>
      <c r="Y532" s="1" t="str">
        <f t="shared" si="133"/>
        <v>優先3</v>
      </c>
      <c r="Z532" s="1" t="str">
        <f t="shared" si="134"/>
        <v>Belgian statistical office, Belgian Federal Government. "Statbel - Chômage et indicateurs complémentaires 2021". Accessed 13 July, 2023. https://statbel.fgov.be/.</v>
      </c>
    </row>
    <row r="533" spans="2:26">
      <c r="B533" s="285" t="s">
        <v>826</v>
      </c>
      <c r="C533" s="285" t="s">
        <v>464</v>
      </c>
      <c r="D533" s="285" t="s">
        <v>673</v>
      </c>
      <c r="E533" s="285" t="s">
        <v>114</v>
      </c>
      <c r="F533" s="13" t="s">
        <v>4227</v>
      </c>
      <c r="G533" s="13" t="s">
        <v>990</v>
      </c>
      <c r="H533" s="13"/>
      <c r="I533" s="13" t="s">
        <v>4228</v>
      </c>
      <c r="J533" s="13" t="s">
        <v>4229</v>
      </c>
      <c r="K533" s="284">
        <v>45121</v>
      </c>
      <c r="L533" s="283" t="str">
        <f t="shared" si="120"/>
        <v>-</v>
      </c>
      <c r="M533" s="283" t="str">
        <f t="shared" si="121"/>
        <v>-</v>
      </c>
      <c r="N533" s="283" t="str">
        <f t="shared" si="122"/>
        <v>-</v>
      </c>
      <c r="O533" s="283" t="str">
        <f t="shared" si="123"/>
        <v>-</v>
      </c>
      <c r="P533" s="283" t="str">
        <f t="shared" si="124"/>
        <v>-</v>
      </c>
      <c r="Q533" s="283" t="str">
        <f t="shared" si="125"/>
        <v>-</v>
      </c>
      <c r="R533" s="283" t="str">
        <f t="shared" si="126"/>
        <v>-</v>
      </c>
      <c r="S533" s="283" t="str">
        <f t="shared" si="127"/>
        <v>-</v>
      </c>
      <c r="T533" s="283" t="str">
        <f t="shared" si="128"/>
        <v>-</v>
      </c>
      <c r="U533" s="283" t="str">
        <f t="shared" si="129"/>
        <v>-</v>
      </c>
      <c r="V533" s="283" t="str">
        <f t="shared" si="130"/>
        <v>-</v>
      </c>
      <c r="W533" s="1" t="str">
        <f t="shared" si="131"/>
        <v>https://onderzoek.amsterdam.nl/dataset/arbeid-en-arbeidsmarkt/</v>
      </c>
      <c r="X533" s="1" t="str">
        <f t="shared" si="132"/>
        <v>https://onderzoek.amsterdam.nl/</v>
      </c>
      <c r="Y533" s="1" t="str">
        <f t="shared" si="133"/>
        <v>優先3</v>
      </c>
      <c r="Z533" s="1" t="str">
        <f t="shared" si="134"/>
        <v>Onderzoek en Statistiek, Gemeente Amsterdam. "Dataset Arbeid en arbeidsmarkt". Accessed 14 July, 2023. https://onderzoek.amsterdam.nl/.</v>
      </c>
    </row>
    <row r="534" spans="2:26">
      <c r="B534" s="285" t="s">
        <v>826</v>
      </c>
      <c r="C534" s="285" t="s">
        <v>464</v>
      </c>
      <c r="D534" s="285" t="s">
        <v>673</v>
      </c>
      <c r="E534" s="285" t="s">
        <v>116</v>
      </c>
      <c r="F534" s="13" t="s">
        <v>853</v>
      </c>
      <c r="G534" s="13" t="s">
        <v>852</v>
      </c>
      <c r="H534" s="13"/>
      <c r="I534" s="13" t="s">
        <v>2579</v>
      </c>
      <c r="J534" s="13" t="s">
        <v>3743</v>
      </c>
      <c r="K534" s="284">
        <v>45120</v>
      </c>
      <c r="L534" s="283" t="str">
        <f t="shared" si="120"/>
        <v>-</v>
      </c>
      <c r="M534" s="283" t="str">
        <f t="shared" si="121"/>
        <v>-</v>
      </c>
      <c r="N534" s="283" t="str">
        <f t="shared" si="122"/>
        <v>-</v>
      </c>
      <c r="O534" s="283" t="str">
        <f t="shared" si="123"/>
        <v>-</v>
      </c>
      <c r="P534" s="283" t="str">
        <f t="shared" si="124"/>
        <v>-</v>
      </c>
      <c r="Q534" s="283" t="str">
        <f t="shared" si="125"/>
        <v>-</v>
      </c>
      <c r="R534" s="283" t="str">
        <f t="shared" si="126"/>
        <v>-</v>
      </c>
      <c r="S534" s="283" t="str">
        <f t="shared" si="127"/>
        <v>-</v>
      </c>
      <c r="T534" s="283" t="str">
        <f t="shared" si="128"/>
        <v>-</v>
      </c>
      <c r="U534" s="283" t="str">
        <f t="shared" si="129"/>
        <v>-</v>
      </c>
      <c r="V534" s="283" t="str">
        <f t="shared" si="130"/>
        <v>-</v>
      </c>
      <c r="W534" s="1" t="str">
        <f t="shared" si="131"/>
        <v>https://statistique.ge.ch/conjoncture/graph_conj.asp#GCONJ.13/</v>
      </c>
      <c r="X534" s="1" t="str">
        <f t="shared" si="132"/>
        <v>https://statistique.ge.ch/</v>
      </c>
      <c r="Y534" s="1" t="str">
        <f t="shared" si="133"/>
        <v>優先3</v>
      </c>
      <c r="Z534" s="1" t="str">
        <f t="shared" si="134"/>
        <v>Office Cantonal de la Statistique, République et Canton de Genéve. "STATISTIQUES CANTONALES". Accessed 13 July, 2023. https://statistique.ge.ch/.</v>
      </c>
    </row>
    <row r="535" spans="2:26">
      <c r="B535" s="285" t="s">
        <v>826</v>
      </c>
      <c r="C535" s="285" t="s">
        <v>464</v>
      </c>
      <c r="D535" s="285" t="s">
        <v>673</v>
      </c>
      <c r="E535" s="285" t="s">
        <v>118</v>
      </c>
      <c r="F535" s="13" t="s">
        <v>2678</v>
      </c>
      <c r="G535" s="13" t="s">
        <v>850</v>
      </c>
      <c r="H535" s="13"/>
      <c r="I535" s="13" t="s">
        <v>2679</v>
      </c>
      <c r="J535" s="13" t="s">
        <v>4230</v>
      </c>
      <c r="K535" s="284">
        <v>45120</v>
      </c>
      <c r="L535" s="283" t="str">
        <f t="shared" si="120"/>
        <v>-</v>
      </c>
      <c r="M535" s="283" t="str">
        <f t="shared" si="121"/>
        <v>-</v>
      </c>
      <c r="N535" s="283" t="str">
        <f t="shared" si="122"/>
        <v>-</v>
      </c>
      <c r="O535" s="283" t="str">
        <f t="shared" si="123"/>
        <v>-</v>
      </c>
      <c r="P535" s="283" t="str">
        <f t="shared" si="124"/>
        <v>-</v>
      </c>
      <c r="Q535" s="283" t="str">
        <f t="shared" si="125"/>
        <v>-</v>
      </c>
      <c r="R535" s="283" t="str">
        <f t="shared" si="126"/>
        <v>-</v>
      </c>
      <c r="S535" s="283" t="str">
        <f t="shared" si="127"/>
        <v>-</v>
      </c>
      <c r="T535" s="283" t="str">
        <f t="shared" si="128"/>
        <v>-</v>
      </c>
      <c r="U535" s="283" t="str">
        <f t="shared" si="129"/>
        <v>-</v>
      </c>
      <c r="V535" s="283" t="str">
        <f t="shared" si="130"/>
        <v>-</v>
      </c>
      <c r="W535" s="1" t="str">
        <f t="shared" si="131"/>
        <v>https://statistik.arbeitsagentur.de/Auswahl/raeumlicher-Geltungsbereich/Politische-Gebietsstruktur/Kreise/Hessen/06412-Frankfurt-am-Main-Stadt.html?nn=25856&amp;year_month=202304/</v>
      </c>
      <c r="X535" s="1" t="str">
        <f t="shared" si="132"/>
        <v>https://statistik.arbeitsagentur.de/</v>
      </c>
      <c r="Y535" s="1" t="str">
        <f t="shared" si="133"/>
        <v>優先3</v>
      </c>
      <c r="Z535" s="1" t="str">
        <f t="shared" si="134"/>
        <v>Bundesagentur für Arbeit, Federal Republic of Germany. "Statistiken nach Regionen - Frankfurt am Main, Stadt". Accessed 13 July, 2023. https://statistik.arbeitsagentur.de/.</v>
      </c>
    </row>
    <row r="536" spans="2:26">
      <c r="B536" s="285" t="s">
        <v>826</v>
      </c>
      <c r="C536" s="285" t="s">
        <v>464</v>
      </c>
      <c r="D536" s="285" t="s">
        <v>673</v>
      </c>
      <c r="E536" s="285" t="s">
        <v>120</v>
      </c>
      <c r="F536" s="13" t="s">
        <v>851</v>
      </c>
      <c r="G536" s="13" t="s">
        <v>850</v>
      </c>
      <c r="H536" s="13"/>
      <c r="I536" s="13" t="s">
        <v>2680</v>
      </c>
      <c r="J536" s="13" t="s">
        <v>3744</v>
      </c>
      <c r="K536" s="284">
        <v>45120</v>
      </c>
      <c r="L536" s="283" t="str">
        <f t="shared" si="120"/>
        <v>-</v>
      </c>
      <c r="M536" s="283" t="str">
        <f t="shared" si="121"/>
        <v>-</v>
      </c>
      <c r="N536" s="283" t="str">
        <f t="shared" si="122"/>
        <v>-</v>
      </c>
      <c r="O536" s="283" t="str">
        <f t="shared" si="123"/>
        <v>-</v>
      </c>
      <c r="P536" s="283" t="str">
        <f t="shared" si="124"/>
        <v>-</v>
      </c>
      <c r="Q536" s="283" t="str">
        <f t="shared" si="125"/>
        <v>-</v>
      </c>
      <c r="R536" s="283" t="str">
        <f t="shared" si="126"/>
        <v>-</v>
      </c>
      <c r="S536" s="283" t="str">
        <f t="shared" si="127"/>
        <v>-</v>
      </c>
      <c r="T536" s="283" t="str">
        <f t="shared" si="128"/>
        <v>-</v>
      </c>
      <c r="U536" s="283" t="str">
        <f t="shared" si="129"/>
        <v>-</v>
      </c>
      <c r="V536" s="283" t="str">
        <f t="shared" si="130"/>
        <v>-</v>
      </c>
      <c r="W536" s="1" t="str">
        <f t="shared" si="131"/>
        <v>https://www-genesis.destatis.de/genesis/online?operation=abruftabelleBearbeiten&amp;levelindex=2&amp;levelid=1656652371165&amp;auswahloperation=abruftabelleAuspraegungAuswaehlen&amp;auswahlverzeichnis=ordnungsstruktur&amp;auswahlziel=werteabruf&amp;code=13211-0007&amp;auswahltext=&amp;werteabruf=Werteabruf#abreadcrumb/</v>
      </c>
      <c r="X536" s="1" t="str">
        <f t="shared" si="132"/>
        <v>https://www-genesis.destatis.de/</v>
      </c>
      <c r="Y536" s="1" t="str">
        <f t="shared" si="133"/>
        <v>優先3</v>
      </c>
      <c r="Z536" s="1" t="str">
        <f t="shared" si="134"/>
        <v>Statistisches Bundesamt, Federal Republic of Germany. "Arbeitslose, Arbeitslosenquoten, Gemeldete Arbeitsstellen: Bundesländer, Jahre". Accessed 13 July, 2023. https://www-genesis.destatis.de/.</v>
      </c>
    </row>
    <row r="537" spans="2:26">
      <c r="B537" s="285" t="s">
        <v>826</v>
      </c>
      <c r="C537" s="285" t="s">
        <v>464</v>
      </c>
      <c r="D537" s="285" t="s">
        <v>673</v>
      </c>
      <c r="E537" s="285" t="s">
        <v>122</v>
      </c>
      <c r="F537" s="13" t="s">
        <v>2681</v>
      </c>
      <c r="G537" s="13"/>
      <c r="H537" s="13"/>
      <c r="I537" s="13" t="s">
        <v>2682</v>
      </c>
      <c r="J537" s="13" t="s">
        <v>4231</v>
      </c>
      <c r="K537" s="284">
        <v>45120</v>
      </c>
      <c r="L537" s="283" t="str">
        <f t="shared" si="120"/>
        <v>-</v>
      </c>
      <c r="M537" s="283" t="str">
        <f t="shared" si="121"/>
        <v>-</v>
      </c>
      <c r="N537" s="283" t="str">
        <f t="shared" si="122"/>
        <v>NG</v>
      </c>
      <c r="O537" s="283" t="str">
        <f t="shared" si="123"/>
        <v>-</v>
      </c>
      <c r="P537" s="283" t="str">
        <f t="shared" si="124"/>
        <v>-</v>
      </c>
      <c r="Q537" s="283" t="str">
        <f t="shared" si="125"/>
        <v>-</v>
      </c>
      <c r="R537" s="283" t="str">
        <f t="shared" si="126"/>
        <v>-</v>
      </c>
      <c r="S537" s="283" t="str">
        <f t="shared" si="127"/>
        <v>-</v>
      </c>
      <c r="T537" s="283" t="str">
        <f t="shared" si="128"/>
        <v>-</v>
      </c>
      <c r="U537" s="283" t="str">
        <f t="shared" si="129"/>
        <v>-</v>
      </c>
      <c r="V537" s="283" t="str">
        <f t="shared" si="130"/>
        <v>-</v>
      </c>
      <c r="W537" s="1" t="str">
        <f t="shared" si="131"/>
        <v>https://esploradati.istat.it/databrowser/#/en/dw/categories/IT1,Z0500LAB,1.0/LAB_OFFER/LAB_OFF_UNEMPLOY/DCCV_TAXDISOCCU1/IT1,151_914_DF_DCCV_TAXDISOCCU1_8,1.0/</v>
      </c>
      <c r="X537" s="1" t="str">
        <f t="shared" si="132"/>
        <v>https://esploradati.istat.it/</v>
      </c>
      <c r="Y537" s="1" t="str">
        <f t="shared" si="133"/>
        <v>優先3</v>
      </c>
      <c r="Z537" s="1" t="str">
        <f t="shared" si="134"/>
        <v>Istituto Nazionale di Statistica (Istat). "Unemployment rate : Provincial data". Accessed 13 July, 2023. https://esploradati.istat.it/.</v>
      </c>
    </row>
    <row r="538" spans="2:26">
      <c r="B538" s="285" t="s">
        <v>826</v>
      </c>
      <c r="C538" s="285" t="s">
        <v>464</v>
      </c>
      <c r="D538" s="285" t="s">
        <v>673</v>
      </c>
      <c r="E538" s="285" t="s">
        <v>124</v>
      </c>
      <c r="F538" s="13" t="s">
        <v>2683</v>
      </c>
      <c r="G538" s="13" t="s">
        <v>849</v>
      </c>
      <c r="H538" s="13"/>
      <c r="I538" s="13" t="s">
        <v>2684</v>
      </c>
      <c r="J538" s="13" t="s">
        <v>1393</v>
      </c>
      <c r="K538" s="284">
        <v>45120</v>
      </c>
      <c r="L538" s="283" t="str">
        <f t="shared" si="120"/>
        <v>-</v>
      </c>
      <c r="M538" s="283" t="str">
        <f t="shared" si="121"/>
        <v>-</v>
      </c>
      <c r="N538" s="283" t="str">
        <f t="shared" si="122"/>
        <v>-</v>
      </c>
      <c r="O538" s="283" t="str">
        <f t="shared" si="123"/>
        <v>-</v>
      </c>
      <c r="P538" s="283" t="str">
        <f t="shared" si="124"/>
        <v>-</v>
      </c>
      <c r="Q538" s="283" t="str">
        <f t="shared" si="125"/>
        <v>-</v>
      </c>
      <c r="R538" s="283" t="str">
        <f t="shared" si="126"/>
        <v>-</v>
      </c>
      <c r="S538" s="283" t="str">
        <f t="shared" si="127"/>
        <v>-</v>
      </c>
      <c r="T538" s="283" t="str">
        <f t="shared" si="128"/>
        <v>-</v>
      </c>
      <c r="U538" s="283" t="str">
        <f t="shared" si="129"/>
        <v>-</v>
      </c>
      <c r="V538" s="283" t="str">
        <f t="shared" si="130"/>
        <v>-</v>
      </c>
      <c r="W538" s="1" t="str">
        <f t="shared" si="131"/>
        <v>https://www.stadt-zuerich.ch/prd/de/index/statistik/themen/wirtschaft/arbeitsmarkt/arbeitslose-stellensuchende.html/</v>
      </c>
      <c r="X538" s="1" t="str">
        <f t="shared" si="132"/>
        <v>https://www.stadt-zuerich.ch/</v>
      </c>
      <c r="Y538" s="1" t="str">
        <f t="shared" si="133"/>
        <v>優先3</v>
      </c>
      <c r="Z538" s="1" t="str">
        <f t="shared" si="134"/>
        <v>Präsidialdepartements, Stadt Zürich. "Arbeitslose Stadt Zürich". Accessed 13 July, 2023. https://www.stadt-zuerich.ch/.</v>
      </c>
    </row>
    <row r="539" spans="2:26">
      <c r="B539" s="285" t="s">
        <v>826</v>
      </c>
      <c r="C539" s="285" t="s">
        <v>464</v>
      </c>
      <c r="D539" s="285" t="s">
        <v>673</v>
      </c>
      <c r="E539" s="285" t="s">
        <v>126</v>
      </c>
      <c r="F539" s="13" t="s">
        <v>848</v>
      </c>
      <c r="G539" s="13"/>
      <c r="H539" s="13"/>
      <c r="I539" s="13" t="s">
        <v>1394</v>
      </c>
      <c r="J539" s="13" t="s">
        <v>1395</v>
      </c>
      <c r="K539" s="284">
        <v>45120</v>
      </c>
      <c r="L539" s="283" t="str">
        <f t="shared" si="120"/>
        <v>-</v>
      </c>
      <c r="M539" s="283" t="str">
        <f t="shared" si="121"/>
        <v>-</v>
      </c>
      <c r="N539" s="283" t="str">
        <f t="shared" si="122"/>
        <v>-</v>
      </c>
      <c r="O539" s="283" t="str">
        <f t="shared" si="123"/>
        <v>-</v>
      </c>
      <c r="P539" s="283" t="str">
        <f t="shared" si="124"/>
        <v>-</v>
      </c>
      <c r="Q539" s="283" t="str">
        <f t="shared" si="125"/>
        <v>-</v>
      </c>
      <c r="R539" s="283" t="str">
        <f t="shared" si="126"/>
        <v>-</v>
      </c>
      <c r="S539" s="283" t="str">
        <f t="shared" si="127"/>
        <v>-</v>
      </c>
      <c r="T539" s="283" t="str">
        <f t="shared" si="128"/>
        <v>-</v>
      </c>
      <c r="U539" s="283" t="str">
        <f t="shared" si="129"/>
        <v>-</v>
      </c>
      <c r="V539" s="283" t="str">
        <f t="shared" si="130"/>
        <v>-</v>
      </c>
      <c r="W539" s="1" t="str">
        <f t="shared" si="131"/>
        <v>https://www.statbank.dk/statbank5a/default.asp?w=1920/</v>
      </c>
      <c r="X539" s="1" t="str">
        <f t="shared" si="132"/>
        <v>https://www.statbank.dk/</v>
      </c>
      <c r="Y539" s="1" t="str">
        <f t="shared" si="133"/>
        <v>優先3</v>
      </c>
      <c r="Z539" s="1" t="str">
        <f t="shared" si="134"/>
        <v>Statistics Denmark. "LABOUR, INCOME AND WEALTH". Accessed 13 July, 2023. https://www.statbank.dk/.</v>
      </c>
    </row>
    <row r="540" spans="2:26">
      <c r="B540" s="285" t="s">
        <v>826</v>
      </c>
      <c r="C540" s="285" t="s">
        <v>464</v>
      </c>
      <c r="D540" s="285" t="s">
        <v>673</v>
      </c>
      <c r="E540" s="285" t="s">
        <v>128</v>
      </c>
      <c r="F540" s="13" t="s">
        <v>847</v>
      </c>
      <c r="G540" s="13"/>
      <c r="H540" s="13"/>
      <c r="I540" s="13" t="s">
        <v>2685</v>
      </c>
      <c r="J540" s="13" t="s">
        <v>2686</v>
      </c>
      <c r="K540" s="284">
        <v>45120</v>
      </c>
      <c r="L540" s="283" t="str">
        <f t="shared" si="120"/>
        <v>-</v>
      </c>
      <c r="M540" s="283" t="str">
        <f t="shared" si="121"/>
        <v>-</v>
      </c>
      <c r="N540" s="283" t="str">
        <f t="shared" si="122"/>
        <v>-</v>
      </c>
      <c r="O540" s="283" t="str">
        <f t="shared" si="123"/>
        <v>-</v>
      </c>
      <c r="P540" s="283" t="str">
        <f t="shared" si="124"/>
        <v>-</v>
      </c>
      <c r="Q540" s="283" t="str">
        <f t="shared" si="125"/>
        <v>-</v>
      </c>
      <c r="R540" s="283" t="str">
        <f t="shared" si="126"/>
        <v>-</v>
      </c>
      <c r="S540" s="283" t="str">
        <f t="shared" si="127"/>
        <v>-</v>
      </c>
      <c r="T540" s="283" t="str">
        <f t="shared" si="128"/>
        <v>-</v>
      </c>
      <c r="U540" s="283" t="str">
        <f t="shared" si="129"/>
        <v>-</v>
      </c>
      <c r="V540" s="283" t="str">
        <f t="shared" si="130"/>
        <v>-</v>
      </c>
      <c r="W540" s="1" t="str">
        <f t="shared" si="131"/>
        <v>https://www.ams.at/arbeitsmarktdaten-und-medien/arbeitsmarkt-daten-und-arbeitsmarkt-forschung/berichte-und-auswertungen#auswertungen/</v>
      </c>
      <c r="X540" s="1" t="str">
        <f t="shared" si="132"/>
        <v>https://www.ams.at/</v>
      </c>
      <c r="Y540" s="1" t="str">
        <f t="shared" si="133"/>
        <v>優先3</v>
      </c>
      <c r="Z540" s="1" t="str">
        <f t="shared" si="134"/>
        <v>Arbeitsmarktservice Österreich. "Statistik - Berichte und Ausbertigen". Accessed 13 July, 2023. https://www.ams.at/.</v>
      </c>
    </row>
    <row r="541" spans="2:26">
      <c r="B541" s="285" t="s">
        <v>826</v>
      </c>
      <c r="C541" s="285" t="s">
        <v>464</v>
      </c>
      <c r="D541" s="285" t="s">
        <v>673</v>
      </c>
      <c r="E541" s="285" t="s">
        <v>130</v>
      </c>
      <c r="F541" s="13" t="s">
        <v>2687</v>
      </c>
      <c r="G541" s="13"/>
      <c r="H541" s="13"/>
      <c r="I541" s="13" t="s">
        <v>4232</v>
      </c>
      <c r="J541" s="13" t="s">
        <v>2688</v>
      </c>
      <c r="K541" s="284">
        <v>45120</v>
      </c>
      <c r="L541" s="283" t="str">
        <f t="shared" si="120"/>
        <v>-</v>
      </c>
      <c r="M541" s="283" t="str">
        <f t="shared" si="121"/>
        <v>-</v>
      </c>
      <c r="N541" s="283" t="str">
        <f t="shared" si="122"/>
        <v>-</v>
      </c>
      <c r="O541" s="283" t="str">
        <f t="shared" si="123"/>
        <v>-</v>
      </c>
      <c r="P541" s="283" t="str">
        <f t="shared" si="124"/>
        <v>-</v>
      </c>
      <c r="Q541" s="283" t="str">
        <f t="shared" si="125"/>
        <v>-</v>
      </c>
      <c r="R541" s="283" t="str">
        <f t="shared" si="126"/>
        <v>-</v>
      </c>
      <c r="S541" s="283" t="str">
        <f t="shared" si="127"/>
        <v>-</v>
      </c>
      <c r="T541" s="283" t="str">
        <f t="shared" si="128"/>
        <v>-</v>
      </c>
      <c r="U541" s="283" t="str">
        <f t="shared" si="129"/>
        <v>-</v>
      </c>
      <c r="V541" s="283" t="str">
        <f t="shared" si="130"/>
        <v>-</v>
      </c>
      <c r="W541" s="1" t="str">
        <f t="shared" si="131"/>
        <v>https://start.stockholm/om-stockholms-stad/utredningar-statistik-och-fakta/statistik/statistisk-arsbok/</v>
      </c>
      <c r="X541" s="1" t="str">
        <f t="shared" si="132"/>
        <v>https://start.stockholm/</v>
      </c>
      <c r="Y541" s="1" t="str">
        <f t="shared" si="133"/>
        <v>優先3</v>
      </c>
      <c r="Z541" s="1" t="str">
        <f t="shared" si="134"/>
        <v>City of Stockholm. "Statistisk årsbok for Stockholm 2023". Accessed 13 July, 2023. https://start.stockholm/.</v>
      </c>
    </row>
    <row r="542" spans="2:26">
      <c r="B542" s="285" t="s">
        <v>826</v>
      </c>
      <c r="C542" s="285" t="s">
        <v>464</v>
      </c>
      <c r="D542" s="285" t="s">
        <v>673</v>
      </c>
      <c r="E542" s="285" t="s">
        <v>132</v>
      </c>
      <c r="F542" s="13" t="s">
        <v>787</v>
      </c>
      <c r="G542" s="13"/>
      <c r="H542" s="13"/>
      <c r="I542" s="13" t="s">
        <v>2689</v>
      </c>
      <c r="J542" s="13" t="s">
        <v>1396</v>
      </c>
      <c r="K542" s="284">
        <v>45120</v>
      </c>
      <c r="L542" s="283" t="str">
        <f t="shared" si="120"/>
        <v>-</v>
      </c>
      <c r="M542" s="283" t="str">
        <f t="shared" si="121"/>
        <v>-</v>
      </c>
      <c r="N542" s="283" t="str">
        <f t="shared" si="122"/>
        <v>-</v>
      </c>
      <c r="O542" s="283" t="str">
        <f t="shared" si="123"/>
        <v>-</v>
      </c>
      <c r="P542" s="283" t="str">
        <f t="shared" si="124"/>
        <v>-</v>
      </c>
      <c r="Q542" s="283" t="str">
        <f t="shared" si="125"/>
        <v>-</v>
      </c>
      <c r="R542" s="283" t="str">
        <f t="shared" si="126"/>
        <v>-</v>
      </c>
      <c r="S542" s="283" t="str">
        <f t="shared" si="127"/>
        <v>-</v>
      </c>
      <c r="T542" s="283" t="str">
        <f t="shared" si="128"/>
        <v>-</v>
      </c>
      <c r="U542" s="283" t="str">
        <f t="shared" si="129"/>
        <v>-</v>
      </c>
      <c r="V542" s="283" t="str">
        <f t="shared" si="130"/>
        <v>-</v>
      </c>
      <c r="W542" s="1" t="str">
        <f t="shared" si="131"/>
        <v>https://biruni.tuik.gov.tr/medas/?kn=102&amp;locale=en/</v>
      </c>
      <c r="X542" s="1" t="str">
        <f t="shared" si="132"/>
        <v>https://biruni.tuik.gov.tr/</v>
      </c>
      <c r="Y542" s="1" t="str">
        <f t="shared" si="133"/>
        <v>優先3</v>
      </c>
      <c r="Z542" s="1" t="str">
        <f t="shared" si="134"/>
        <v>Turkish Statistical Institute. "Regional Results of Labour Force Statistics (2014 and onwards)". Accessed 13 July, 2023. https://biruni.tuik.gov.tr/.</v>
      </c>
    </row>
    <row r="543" spans="2:26">
      <c r="B543" s="285" t="s">
        <v>826</v>
      </c>
      <c r="C543" s="285" t="s">
        <v>464</v>
      </c>
      <c r="D543" s="285" t="s">
        <v>673</v>
      </c>
      <c r="E543" s="285" t="s">
        <v>134</v>
      </c>
      <c r="F543" s="13" t="s">
        <v>1018</v>
      </c>
      <c r="G543" s="13" t="s">
        <v>844</v>
      </c>
      <c r="H543" s="13"/>
      <c r="I543" s="13" t="s">
        <v>3672</v>
      </c>
      <c r="J543" s="13" t="s">
        <v>2583</v>
      </c>
      <c r="K543" s="284">
        <v>45120</v>
      </c>
      <c r="L543" s="283" t="str">
        <f t="shared" si="120"/>
        <v>-</v>
      </c>
      <c r="M543" s="283" t="str">
        <f t="shared" si="121"/>
        <v>-</v>
      </c>
      <c r="N543" s="283" t="str">
        <f t="shared" si="122"/>
        <v>-</v>
      </c>
      <c r="O543" s="283" t="str">
        <f t="shared" si="123"/>
        <v>-</v>
      </c>
      <c r="P543" s="283" t="str">
        <f t="shared" si="124"/>
        <v>-</v>
      </c>
      <c r="Q543" s="283" t="str">
        <f t="shared" si="125"/>
        <v>-</v>
      </c>
      <c r="R543" s="283" t="str">
        <f t="shared" si="126"/>
        <v>-</v>
      </c>
      <c r="S543" s="283" t="str">
        <f t="shared" si="127"/>
        <v>-</v>
      </c>
      <c r="T543" s="283" t="str">
        <f t="shared" si="128"/>
        <v>-</v>
      </c>
      <c r="U543" s="283" t="str">
        <f t="shared" si="129"/>
        <v>-</v>
      </c>
      <c r="V543" s="283" t="str">
        <f t="shared" si="130"/>
        <v>-</v>
      </c>
      <c r="W543" s="1" t="str">
        <f t="shared" si="131"/>
        <v>https://www.capmas.gov.eg/Pages/StaticPages.aspx?page_id=5035/</v>
      </c>
      <c r="X543" s="1" t="str">
        <f t="shared" si="132"/>
        <v>https://www.capmas.gov.eg/</v>
      </c>
      <c r="Y543" s="1" t="str">
        <f t="shared" si="133"/>
        <v>優先3</v>
      </c>
      <c r="Z543" s="1" t="str">
        <f t="shared" si="134"/>
        <v>Central Agency for Public Mobilization and Statistics, Arab Republic of Egypt. "Egypt in Figures 2022". Accessed 13 July, 2023. https://www.capmas.gov.eg/.</v>
      </c>
    </row>
    <row r="544" spans="2:26">
      <c r="B544" s="285" t="s">
        <v>826</v>
      </c>
      <c r="C544" s="285" t="s">
        <v>464</v>
      </c>
      <c r="D544" s="285" t="s">
        <v>673</v>
      </c>
      <c r="E544" s="285" t="s">
        <v>136</v>
      </c>
      <c r="F544" s="13" t="s">
        <v>842</v>
      </c>
      <c r="G544" s="13"/>
      <c r="H544" s="13"/>
      <c r="I544" s="13" t="s">
        <v>4233</v>
      </c>
      <c r="J544" s="13" t="s">
        <v>3745</v>
      </c>
      <c r="K544" s="284">
        <v>45120</v>
      </c>
      <c r="L544" s="283" t="str">
        <f t="shared" si="120"/>
        <v>-</v>
      </c>
      <c r="M544" s="283" t="str">
        <f t="shared" si="121"/>
        <v>-</v>
      </c>
      <c r="N544" s="283" t="str">
        <f t="shared" si="122"/>
        <v>-</v>
      </c>
      <c r="O544" s="283" t="str">
        <f t="shared" si="123"/>
        <v>-</v>
      </c>
      <c r="P544" s="283" t="str">
        <f t="shared" si="124"/>
        <v>-</v>
      </c>
      <c r="Q544" s="283" t="str">
        <f t="shared" si="125"/>
        <v>-</v>
      </c>
      <c r="R544" s="283" t="str">
        <f t="shared" si="126"/>
        <v>-</v>
      </c>
      <c r="S544" s="283" t="str">
        <f t="shared" si="127"/>
        <v>-</v>
      </c>
      <c r="T544" s="283" t="str">
        <f t="shared" si="128"/>
        <v>-</v>
      </c>
      <c r="U544" s="283" t="str">
        <f t="shared" si="129"/>
        <v>-</v>
      </c>
      <c r="V544" s="283" t="str">
        <f t="shared" si="130"/>
        <v>-</v>
      </c>
      <c r="W544" s="1" t="str">
        <f t="shared" si="131"/>
        <v>https://rosstat.gov.ru/folder/210/document/12994/</v>
      </c>
      <c r="X544" s="1" t="str">
        <f t="shared" si="132"/>
        <v>https://rosstat.gov.ru/</v>
      </c>
      <c r="Y544" s="1" t="str">
        <f t="shared" si="133"/>
        <v>優先3</v>
      </c>
      <c r="Z544" s="1" t="str">
        <f t="shared" si="134"/>
        <v>Federal State Statistics Service. "Russian Statistical Yearbook 2022". Accessed 13 July, 2023. https://rosstat.gov.ru/.</v>
      </c>
    </row>
    <row r="545" spans="2:26">
      <c r="B545" s="285" t="s">
        <v>826</v>
      </c>
      <c r="C545" s="285" t="s">
        <v>464</v>
      </c>
      <c r="D545" s="285" t="s">
        <v>673</v>
      </c>
      <c r="E545" s="285" t="s">
        <v>138</v>
      </c>
      <c r="F545" s="13" t="s">
        <v>4234</v>
      </c>
      <c r="G545" s="13" t="s">
        <v>987</v>
      </c>
      <c r="H545" s="13"/>
      <c r="I545" s="13" t="s">
        <v>4235</v>
      </c>
      <c r="J545" s="13" t="s">
        <v>4236</v>
      </c>
      <c r="K545" s="284">
        <v>45120</v>
      </c>
      <c r="L545" s="283" t="str">
        <f t="shared" si="120"/>
        <v>-</v>
      </c>
      <c r="M545" s="283" t="str">
        <f t="shared" si="121"/>
        <v>-</v>
      </c>
      <c r="N545" s="283" t="str">
        <f t="shared" si="122"/>
        <v>-</v>
      </c>
      <c r="O545" s="283" t="str">
        <f t="shared" si="123"/>
        <v>-</v>
      </c>
      <c r="P545" s="283" t="str">
        <f t="shared" si="124"/>
        <v>-</v>
      </c>
      <c r="Q545" s="283" t="str">
        <f t="shared" si="125"/>
        <v>-</v>
      </c>
      <c r="R545" s="283" t="str">
        <f t="shared" si="126"/>
        <v>-</v>
      </c>
      <c r="S545" s="283" t="str">
        <f t="shared" si="127"/>
        <v>-</v>
      </c>
      <c r="T545" s="283" t="str">
        <f t="shared" si="128"/>
        <v>-</v>
      </c>
      <c r="U545" s="283" t="str">
        <f t="shared" si="129"/>
        <v>-</v>
      </c>
      <c r="V545" s="283" t="str">
        <f t="shared" si="130"/>
        <v>-</v>
      </c>
      <c r="W545" s="1" t="str">
        <f t="shared" si="131"/>
        <v>https://www.mospi.gov.in/download-reports/</v>
      </c>
      <c r="X545" s="1" t="str">
        <f t="shared" si="132"/>
        <v>https://www.mospi.gov.in/</v>
      </c>
      <c r="Y545" s="1" t="str">
        <f t="shared" si="133"/>
        <v>優先3</v>
      </c>
      <c r="Z545" s="1" t="str">
        <f t="shared" si="134"/>
        <v>Ministry of Statistics and Program Implementation, Government of Maharashtra. "Annual Report PLFS 2021-22". Accessed 13 July, 2023. https://www.mospi.gov.in/.</v>
      </c>
    </row>
    <row r="546" spans="2:26">
      <c r="B546" s="285" t="s">
        <v>826</v>
      </c>
      <c r="C546" s="285" t="s">
        <v>464</v>
      </c>
      <c r="D546" s="285" t="s">
        <v>673</v>
      </c>
      <c r="E546" s="285" t="s">
        <v>140</v>
      </c>
      <c r="F546" s="13" t="s">
        <v>840</v>
      </c>
      <c r="G546" s="13" t="s">
        <v>841</v>
      </c>
      <c r="H546" s="13"/>
      <c r="I546" s="13" t="s">
        <v>4057</v>
      </c>
      <c r="J546" s="13" t="s">
        <v>1240</v>
      </c>
      <c r="K546" s="284">
        <v>45120</v>
      </c>
      <c r="L546" s="283" t="str">
        <f t="shared" si="120"/>
        <v>-</v>
      </c>
      <c r="M546" s="283" t="str">
        <f t="shared" si="121"/>
        <v>-</v>
      </c>
      <c r="N546" s="283" t="str">
        <f t="shared" si="122"/>
        <v>-</v>
      </c>
      <c r="O546" s="283" t="str">
        <f t="shared" si="123"/>
        <v>-</v>
      </c>
      <c r="P546" s="283" t="str">
        <f t="shared" si="124"/>
        <v>-</v>
      </c>
      <c r="Q546" s="283" t="str">
        <f t="shared" si="125"/>
        <v>-</v>
      </c>
      <c r="R546" s="283" t="str">
        <f t="shared" si="126"/>
        <v>-</v>
      </c>
      <c r="S546" s="283" t="str">
        <f t="shared" si="127"/>
        <v>-</v>
      </c>
      <c r="T546" s="283" t="str">
        <f t="shared" si="128"/>
        <v>-</v>
      </c>
      <c r="U546" s="283" t="str">
        <f t="shared" si="129"/>
        <v>-</v>
      </c>
      <c r="V546" s="283" t="str">
        <f t="shared" si="130"/>
        <v>-</v>
      </c>
      <c r="W546" s="1" t="str">
        <f t="shared" si="131"/>
        <v>http://statbbi.nso.go.th/staticreport/page/sector/en/02.aspx/</v>
      </c>
      <c r="X546" s="1" t="str">
        <f t="shared" si="132"/>
        <v>http://statbbi.nso.go.th/</v>
      </c>
      <c r="Y546" s="1" t="str">
        <f t="shared" si="133"/>
        <v>優先3</v>
      </c>
      <c r="Z546" s="1" t="str">
        <f t="shared" si="134"/>
        <v>National Statistical Office, Kingdom of Thailand. "Population by Labor Force Status Sex and Province: 2022". Accessed 13 July, 2023. http://statbbi.nso.go.th/.</v>
      </c>
    </row>
    <row r="547" spans="2:26">
      <c r="B547" s="285" t="s">
        <v>826</v>
      </c>
      <c r="C547" s="285" t="s">
        <v>464</v>
      </c>
      <c r="D547" s="285" t="s">
        <v>673</v>
      </c>
      <c r="E547" s="285" t="s">
        <v>142</v>
      </c>
      <c r="F547" s="13" t="s">
        <v>2690</v>
      </c>
      <c r="G547" s="13"/>
      <c r="H547" s="13"/>
      <c r="I547" s="13" t="s">
        <v>3746</v>
      </c>
      <c r="J547" s="13" t="s">
        <v>4059</v>
      </c>
      <c r="K547" s="284">
        <v>45120</v>
      </c>
      <c r="L547" s="283" t="str">
        <f t="shared" si="120"/>
        <v>-</v>
      </c>
      <c r="M547" s="283" t="str">
        <f t="shared" si="121"/>
        <v>-</v>
      </c>
      <c r="N547" s="283" t="str">
        <f t="shared" si="122"/>
        <v>-</v>
      </c>
      <c r="O547" s="283" t="str">
        <f t="shared" si="123"/>
        <v>-</v>
      </c>
      <c r="P547" s="283" t="str">
        <f t="shared" si="124"/>
        <v>-</v>
      </c>
      <c r="Q547" s="283" t="str">
        <f t="shared" si="125"/>
        <v>-</v>
      </c>
      <c r="R547" s="283" t="str">
        <f t="shared" si="126"/>
        <v>-</v>
      </c>
      <c r="S547" s="283" t="str">
        <f t="shared" si="127"/>
        <v>-</v>
      </c>
      <c r="T547" s="283" t="str">
        <f t="shared" si="128"/>
        <v>-</v>
      </c>
      <c r="U547" s="283" t="str">
        <f t="shared" si="129"/>
        <v>-</v>
      </c>
      <c r="V547" s="283" t="str">
        <f t="shared" si="130"/>
        <v>-</v>
      </c>
      <c r="W547" s="1" t="str">
        <f t="shared" si="131"/>
        <v>https://www.dosm.gov.my/portal-main/time-series/</v>
      </c>
      <c r="X547" s="1" t="str">
        <f t="shared" si="132"/>
        <v>https://www.dosm.gov.my/</v>
      </c>
      <c r="Y547" s="1" t="str">
        <f t="shared" si="133"/>
        <v>優先3</v>
      </c>
      <c r="Z547" s="1" t="str">
        <f t="shared" si="134"/>
        <v>Department of Statistics Malaysia. "Principal statistics of the labour force, Malaysia/states, 1982 - 2021". Accessed 13 July, 2023. https://www.dosm.gov.my/.</v>
      </c>
    </row>
    <row r="548" spans="2:26">
      <c r="B548" s="285" t="s">
        <v>826</v>
      </c>
      <c r="C548" s="285" t="s">
        <v>464</v>
      </c>
      <c r="D548" s="285" t="s">
        <v>673</v>
      </c>
      <c r="E548" s="285" t="s">
        <v>144</v>
      </c>
      <c r="F548" s="13" t="s">
        <v>821</v>
      </c>
      <c r="G548" s="13" t="s">
        <v>729</v>
      </c>
      <c r="H548" s="13"/>
      <c r="I548" s="13" t="s">
        <v>2691</v>
      </c>
      <c r="J548" s="13" t="s">
        <v>2692</v>
      </c>
      <c r="K548" s="284">
        <v>45120</v>
      </c>
      <c r="L548" s="283" t="str">
        <f t="shared" si="120"/>
        <v>-</v>
      </c>
      <c r="M548" s="283" t="str">
        <f t="shared" si="121"/>
        <v>-</v>
      </c>
      <c r="N548" s="283" t="str">
        <f t="shared" si="122"/>
        <v>-</v>
      </c>
      <c r="O548" s="283" t="str">
        <f t="shared" si="123"/>
        <v>-</v>
      </c>
      <c r="P548" s="283" t="str">
        <f t="shared" si="124"/>
        <v>-</v>
      </c>
      <c r="Q548" s="283" t="str">
        <f t="shared" si="125"/>
        <v>-</v>
      </c>
      <c r="R548" s="283" t="str">
        <f t="shared" si="126"/>
        <v>-</v>
      </c>
      <c r="S548" s="283" t="str">
        <f t="shared" si="127"/>
        <v>-</v>
      </c>
      <c r="T548" s="283" t="str">
        <f t="shared" si="128"/>
        <v>-</v>
      </c>
      <c r="U548" s="283" t="str">
        <f t="shared" si="129"/>
        <v>-</v>
      </c>
      <c r="V548" s="283" t="str">
        <f t="shared" si="130"/>
        <v>-</v>
      </c>
      <c r="W548" s="1" t="str">
        <f t="shared" si="131"/>
        <v>https://stats.mom.gov.sg/Pages/Unemployment-Summary-Table.aspx/</v>
      </c>
      <c r="X548" s="1" t="str">
        <f t="shared" si="132"/>
        <v>https://stats.mom.gov.sg/</v>
      </c>
      <c r="Y548" s="1" t="str">
        <f t="shared" si="133"/>
        <v>優先3</v>
      </c>
      <c r="Z548" s="1" t="str">
        <f t="shared" si="134"/>
        <v>Ministry of Manpower, Government of Singapore. "Summary Table: Unemployment". Accessed 13 July, 2023. https://stats.mom.gov.sg/.</v>
      </c>
    </row>
    <row r="549" spans="2:26">
      <c r="B549" s="285" t="s">
        <v>826</v>
      </c>
      <c r="C549" s="285" t="s">
        <v>464</v>
      </c>
      <c r="D549" s="285" t="s">
        <v>673</v>
      </c>
      <c r="E549" s="285" t="s">
        <v>146</v>
      </c>
      <c r="F549" s="13" t="s">
        <v>1012</v>
      </c>
      <c r="G549" s="13" t="s">
        <v>767</v>
      </c>
      <c r="H549" s="13" t="s">
        <v>2693</v>
      </c>
      <c r="I549" s="13" t="s">
        <v>4237</v>
      </c>
      <c r="J549" s="13" t="s">
        <v>2609</v>
      </c>
      <c r="K549" s="284">
        <v>45120</v>
      </c>
      <c r="L549" s="283" t="str">
        <f t="shared" si="120"/>
        <v>-</v>
      </c>
      <c r="M549" s="283" t="str">
        <f t="shared" si="121"/>
        <v>-</v>
      </c>
      <c r="N549" s="283" t="str">
        <f t="shared" si="122"/>
        <v>-</v>
      </c>
      <c r="O549" s="283" t="str">
        <f t="shared" si="123"/>
        <v>-</v>
      </c>
      <c r="P549" s="283" t="str">
        <f t="shared" si="124"/>
        <v>-</v>
      </c>
      <c r="Q549" s="283" t="str">
        <f t="shared" si="125"/>
        <v>-</v>
      </c>
      <c r="R549" s="283" t="str">
        <f t="shared" si="126"/>
        <v>-</v>
      </c>
      <c r="S549" s="283" t="str">
        <f t="shared" si="127"/>
        <v>-</v>
      </c>
      <c r="T549" s="283" t="str">
        <f t="shared" si="128"/>
        <v>-</v>
      </c>
      <c r="U549" s="283" t="str">
        <f t="shared" si="129"/>
        <v>-</v>
      </c>
      <c r="V549" s="283" t="str">
        <f t="shared" si="130"/>
        <v>-</v>
      </c>
      <c r="W549" s="1" t="str">
        <f t="shared" si="131"/>
        <v>https://www.censtatd.gov.hk/en/EIndexbySubject.html?pcode=B1010006&amp;scode=460/</v>
      </c>
      <c r="X549" s="1" t="str">
        <f t="shared" si="132"/>
        <v>https://www.censtatd.gov.hk/</v>
      </c>
      <c r="Y549" s="1" t="str">
        <f t="shared" si="133"/>
        <v>優先3</v>
      </c>
      <c r="Z549" s="1" t="str">
        <f t="shared" si="134"/>
        <v>Census and Statistics Department, Hong Kong Special Administrative Region [香港特別行政區 政府統計處]. "Hong Kong in Figures, 2023Edition". Accessed 13 July, 2023. https://www.censtatd.gov.hk/.</v>
      </c>
    </row>
    <row r="550" spans="2:26">
      <c r="B550" s="285" t="s">
        <v>826</v>
      </c>
      <c r="C550" s="285" t="s">
        <v>464</v>
      </c>
      <c r="D550" s="285" t="s">
        <v>673</v>
      </c>
      <c r="E550" s="285" t="s">
        <v>148</v>
      </c>
      <c r="F550" s="13" t="s">
        <v>2694</v>
      </c>
      <c r="G550" s="13"/>
      <c r="H550" s="13" t="s">
        <v>985</v>
      </c>
      <c r="I550" s="13" t="s">
        <v>3747</v>
      </c>
      <c r="J550" s="13" t="s">
        <v>4062</v>
      </c>
      <c r="K550" s="284">
        <v>45120</v>
      </c>
      <c r="L550" s="283" t="str">
        <f t="shared" si="120"/>
        <v>-</v>
      </c>
      <c r="M550" s="283" t="str">
        <f t="shared" si="121"/>
        <v>-</v>
      </c>
      <c r="N550" s="283" t="str">
        <f t="shared" si="122"/>
        <v>-</v>
      </c>
      <c r="O550" s="283" t="str">
        <f t="shared" si="123"/>
        <v>-</v>
      </c>
      <c r="P550" s="283" t="str">
        <f t="shared" si="124"/>
        <v>-</v>
      </c>
      <c r="Q550" s="283" t="str">
        <f t="shared" si="125"/>
        <v>NG</v>
      </c>
      <c r="R550" s="283" t="str">
        <f t="shared" si="126"/>
        <v>-</v>
      </c>
      <c r="S550" s="283" t="str">
        <f t="shared" si="127"/>
        <v>-</v>
      </c>
      <c r="T550" s="283" t="str">
        <f t="shared" si="128"/>
        <v>-</v>
      </c>
      <c r="U550" s="283" t="str">
        <f t="shared" si="129"/>
        <v>-</v>
      </c>
      <c r="V550" s="283" t="str">
        <f t="shared" si="130"/>
        <v>-</v>
      </c>
      <c r="W550" s="1" t="str">
        <f t="shared" si="131"/>
        <v>https://nj.tjj.beijing.gov.cn/nj/main/2022-tjnj/zk/indexch.htm/</v>
      </c>
      <c r="X550" s="1" t="str">
        <f t="shared" si="132"/>
        <v>https://nj.tjj.beijing.gov.cn/</v>
      </c>
      <c r="Y550" s="1" t="str">
        <f t="shared" si="133"/>
        <v>優先3</v>
      </c>
      <c r="Z550" s="1" t="str">
        <f t="shared" si="134"/>
        <v>Beijing Municipal Bureau of Statistics and  Survey Office oft the National Bureau of Statistics in Beijing [北京市统计局 国家统计局北京调查总队]. "北京市統計年鑑". Accessed 13 July, 2023. https://nj.tjj.beijing.gov.cn/.</v>
      </c>
    </row>
    <row r="551" spans="2:26">
      <c r="B551" s="285" t="s">
        <v>826</v>
      </c>
      <c r="C551" s="285" t="s">
        <v>464</v>
      </c>
      <c r="D551" s="285" t="s">
        <v>673</v>
      </c>
      <c r="E551" s="285" t="s">
        <v>150</v>
      </c>
      <c r="F551" s="13" t="s">
        <v>2695</v>
      </c>
      <c r="G551" s="13"/>
      <c r="H551" s="13" t="s">
        <v>839</v>
      </c>
      <c r="I551" s="13" t="s">
        <v>4037</v>
      </c>
      <c r="J551" s="13" t="s">
        <v>4038</v>
      </c>
      <c r="K551" s="284">
        <v>45120</v>
      </c>
      <c r="L551" s="283" t="str">
        <f t="shared" si="120"/>
        <v>-</v>
      </c>
      <c r="M551" s="283" t="str">
        <f t="shared" si="121"/>
        <v>-</v>
      </c>
      <c r="N551" s="283" t="str">
        <f t="shared" si="122"/>
        <v>-</v>
      </c>
      <c r="O551" s="283" t="str">
        <f t="shared" si="123"/>
        <v>-</v>
      </c>
      <c r="P551" s="283" t="str">
        <f t="shared" si="124"/>
        <v>-</v>
      </c>
      <c r="Q551" s="283" t="str">
        <f t="shared" si="125"/>
        <v>-</v>
      </c>
      <c r="R551" s="283" t="str">
        <f t="shared" si="126"/>
        <v>-</v>
      </c>
      <c r="S551" s="283" t="str">
        <f t="shared" si="127"/>
        <v>-</v>
      </c>
      <c r="T551" s="283" t="str">
        <f t="shared" si="128"/>
        <v>-</v>
      </c>
      <c r="U551" s="283" t="str">
        <f t="shared" si="129"/>
        <v>-</v>
      </c>
      <c r="V551" s="283" t="str">
        <f t="shared" si="130"/>
        <v>-</v>
      </c>
      <c r="W551" s="1" t="str">
        <f t="shared" si="131"/>
        <v>https://tjj.sh.gov.cn/tjnj/20230206/804acea250d44d2187f2e37d2e5d36ba.html/</v>
      </c>
      <c r="X551" s="1" t="str">
        <f t="shared" si="132"/>
        <v>https://tjj.sh.gov.cn/</v>
      </c>
      <c r="Y551" s="1" t="str">
        <f t="shared" si="133"/>
        <v>優先3</v>
      </c>
      <c r="Z551" s="1" t="str">
        <f t="shared" si="134"/>
        <v>Shanghai Municipal Bureau of Statistics [上海市統計局]. "Shanghai Statistical Yearbook 2022". Accessed 13 July, 2023. https://tjj.sh.gov.cn/.</v>
      </c>
    </row>
    <row r="552" spans="2:26">
      <c r="B552" s="285" t="s">
        <v>826</v>
      </c>
      <c r="C552" s="285" t="s">
        <v>464</v>
      </c>
      <c r="D552" s="285" t="s">
        <v>673</v>
      </c>
      <c r="E552" s="285" t="s">
        <v>152</v>
      </c>
      <c r="F552" s="13" t="s">
        <v>765</v>
      </c>
      <c r="G552" s="13" t="s">
        <v>764</v>
      </c>
      <c r="H552" s="13" t="s">
        <v>763</v>
      </c>
      <c r="I552" s="13" t="s">
        <v>996</v>
      </c>
      <c r="J552" s="13" t="s">
        <v>1249</v>
      </c>
      <c r="K552" s="284">
        <v>45120</v>
      </c>
      <c r="L552" s="283" t="str">
        <f t="shared" si="120"/>
        <v>-</v>
      </c>
      <c r="M552" s="283" t="str">
        <f t="shared" si="121"/>
        <v>-</v>
      </c>
      <c r="N552" s="283" t="str">
        <f t="shared" si="122"/>
        <v>-</v>
      </c>
      <c r="O552" s="283" t="str">
        <f t="shared" si="123"/>
        <v>-</v>
      </c>
      <c r="P552" s="283" t="str">
        <f t="shared" si="124"/>
        <v>-</v>
      </c>
      <c r="Q552" s="283" t="str">
        <f t="shared" si="125"/>
        <v>-</v>
      </c>
      <c r="R552" s="283" t="str">
        <f t="shared" si="126"/>
        <v>-</v>
      </c>
      <c r="S552" s="283" t="str">
        <f t="shared" si="127"/>
        <v>-</v>
      </c>
      <c r="T552" s="283" t="str">
        <f t="shared" si="128"/>
        <v>-</v>
      </c>
      <c r="U552" s="283" t="str">
        <f t="shared" si="129"/>
        <v>-</v>
      </c>
      <c r="V552" s="283" t="str">
        <f t="shared" si="130"/>
        <v>-</v>
      </c>
      <c r="W552" s="1" t="str">
        <f t="shared" si="131"/>
        <v>https://dbaseng.gov.taipei/Content_List.aspx?n=ED952FC77E9A7D4B/</v>
      </c>
      <c r="X552" s="1" t="str">
        <f t="shared" si="132"/>
        <v>https://dbaseng.gov.taipei/</v>
      </c>
      <c r="Y552" s="1" t="str">
        <f t="shared" si="133"/>
        <v>優先3</v>
      </c>
      <c r="Z552" s="1" t="str">
        <f t="shared" si="134"/>
        <v>Department of Budget, Accounting and Statistics, Taipei City Government [臺北市政府主計處]. "Short Report on Important Statistics of Taipei City". Accessed 13 July, 2023. https://dbaseng.gov.taipei/.</v>
      </c>
    </row>
    <row r="553" spans="2:26">
      <c r="B553" s="285" t="s">
        <v>826</v>
      </c>
      <c r="C553" s="285" t="s">
        <v>464</v>
      </c>
      <c r="D553" s="285" t="s">
        <v>673</v>
      </c>
      <c r="E553" s="285" t="s">
        <v>154</v>
      </c>
      <c r="F553" s="13" t="s">
        <v>838</v>
      </c>
      <c r="G553" s="13"/>
      <c r="H553" s="13" t="s">
        <v>1397</v>
      </c>
      <c r="I553" s="13" t="s">
        <v>4238</v>
      </c>
      <c r="J553" s="13" t="s">
        <v>4239</v>
      </c>
      <c r="K553" s="284">
        <v>45120</v>
      </c>
      <c r="L553" s="283" t="str">
        <f t="shared" si="120"/>
        <v>-</v>
      </c>
      <c r="M553" s="283" t="str">
        <f t="shared" si="121"/>
        <v>-</v>
      </c>
      <c r="N553" s="283" t="str">
        <f t="shared" si="122"/>
        <v>-</v>
      </c>
      <c r="O553" s="283" t="str">
        <f t="shared" si="123"/>
        <v>-</v>
      </c>
      <c r="P553" s="283" t="str">
        <f t="shared" si="124"/>
        <v>-</v>
      </c>
      <c r="Q553" s="283" t="str">
        <f t="shared" si="125"/>
        <v>-</v>
      </c>
      <c r="R553" s="283" t="str">
        <f t="shared" si="126"/>
        <v>-</v>
      </c>
      <c r="S553" s="283" t="str">
        <f t="shared" si="127"/>
        <v>-</v>
      </c>
      <c r="T553" s="283" t="str">
        <f t="shared" si="128"/>
        <v>-</v>
      </c>
      <c r="U553" s="283" t="str">
        <f t="shared" si="129"/>
        <v>-</v>
      </c>
      <c r="V553" s="283" t="str">
        <f t="shared" si="130"/>
        <v>-</v>
      </c>
      <c r="W553" s="1" t="str">
        <f t="shared" si="131"/>
        <v>https://kostat.go.kr/board.es?mid=a30301010200&amp;bid=5106&amp;act=view&amp;list_no=422967/</v>
      </c>
      <c r="X553" s="1" t="str">
        <f t="shared" si="132"/>
        <v>https://kostat.go.kr/</v>
      </c>
      <c r="Y553" s="1" t="str">
        <f t="shared" si="133"/>
        <v>優先3</v>
      </c>
      <c r="Z553" s="1" t="str">
        <f t="shared" si="134"/>
        <v>Statistics Korea [경인지방통계청]. "2022년 12월 및 연간 서울특별시 고용동향". Accessed 13 July, 2023. https://kostat.go.kr/.</v>
      </c>
    </row>
    <row r="554" spans="2:26">
      <c r="B554" s="285" t="s">
        <v>826</v>
      </c>
      <c r="C554" s="285" t="s">
        <v>464</v>
      </c>
      <c r="D554" s="285" t="s">
        <v>673</v>
      </c>
      <c r="E554" s="285" t="s">
        <v>156</v>
      </c>
      <c r="F554" s="13" t="s">
        <v>2696</v>
      </c>
      <c r="G554" s="13"/>
      <c r="H554" s="13" t="s">
        <v>816</v>
      </c>
      <c r="I554" s="13" t="s">
        <v>837</v>
      </c>
      <c r="J554" s="13" t="s">
        <v>4240</v>
      </c>
      <c r="K554" s="284">
        <v>45120</v>
      </c>
      <c r="L554" s="283">
        <f t="shared" si="120"/>
        <v>2</v>
      </c>
      <c r="M554" s="283" t="str">
        <f t="shared" si="121"/>
        <v>-</v>
      </c>
      <c r="N554" s="283" t="str">
        <f t="shared" si="122"/>
        <v>-</v>
      </c>
      <c r="O554" s="283" t="str">
        <f t="shared" si="123"/>
        <v>-</v>
      </c>
      <c r="P554" s="283" t="str">
        <f t="shared" si="124"/>
        <v>-</v>
      </c>
      <c r="Q554" s="283" t="str">
        <f t="shared" si="125"/>
        <v>-</v>
      </c>
      <c r="R554" s="283" t="str">
        <f t="shared" si="126"/>
        <v>-</v>
      </c>
      <c r="S554" s="283" t="str">
        <f t="shared" si="127"/>
        <v>NG</v>
      </c>
      <c r="T554" s="283" t="str">
        <f t="shared" si="128"/>
        <v>-</v>
      </c>
      <c r="U554" s="283" t="str">
        <f t="shared" si="129"/>
        <v>-</v>
      </c>
      <c r="V554" s="283" t="str">
        <f t="shared" si="130"/>
        <v>-</v>
      </c>
      <c r="W554" s="1" t="str">
        <f t="shared" si="131"/>
        <v>https://www.stat.go.jp/data/roudou/pref/index.html/</v>
      </c>
      <c r="X554" s="1" t="str">
        <f t="shared" si="132"/>
        <v>https://www.stat.go.jp/</v>
      </c>
      <c r="Y554" s="1" t="str">
        <f t="shared" si="133"/>
        <v>優先3</v>
      </c>
      <c r="Z554" s="1" t="str">
        <f t="shared" si="134"/>
        <v>Statistics Bureau of Japan [総務省統計局]. "労働力調査（基本集計）都道府県別結果". Accessed 13 July, 2023. https://www.stat.go.jp/.</v>
      </c>
    </row>
    <row r="555" spans="2:26">
      <c r="B555" s="285" t="s">
        <v>826</v>
      </c>
      <c r="C555" s="285" t="s">
        <v>464</v>
      </c>
      <c r="D555" s="285" t="s">
        <v>673</v>
      </c>
      <c r="E555" s="285" t="s">
        <v>158</v>
      </c>
      <c r="F555" s="13" t="s">
        <v>2696</v>
      </c>
      <c r="G555" s="13"/>
      <c r="H555" s="13" t="s">
        <v>816</v>
      </c>
      <c r="I555" s="13" t="s">
        <v>837</v>
      </c>
      <c r="J555" s="13" t="s">
        <v>4240</v>
      </c>
      <c r="K555" s="284">
        <v>45120</v>
      </c>
      <c r="L555" s="283">
        <f t="shared" si="120"/>
        <v>2</v>
      </c>
      <c r="M555" s="283" t="str">
        <f t="shared" si="121"/>
        <v>-</v>
      </c>
      <c r="N555" s="283" t="str">
        <f t="shared" si="122"/>
        <v>-</v>
      </c>
      <c r="O555" s="283" t="str">
        <f t="shared" si="123"/>
        <v>-</v>
      </c>
      <c r="P555" s="283" t="str">
        <f t="shared" si="124"/>
        <v>-</v>
      </c>
      <c r="Q555" s="283" t="str">
        <f t="shared" si="125"/>
        <v>-</v>
      </c>
      <c r="R555" s="283" t="str">
        <f t="shared" si="126"/>
        <v>-</v>
      </c>
      <c r="S555" s="283" t="str">
        <f t="shared" si="127"/>
        <v>NG</v>
      </c>
      <c r="T555" s="283" t="str">
        <f t="shared" si="128"/>
        <v>-</v>
      </c>
      <c r="U555" s="283" t="str">
        <f t="shared" si="129"/>
        <v>-</v>
      </c>
      <c r="V555" s="283" t="str">
        <f t="shared" si="130"/>
        <v>-</v>
      </c>
      <c r="W555" s="1" t="str">
        <f t="shared" si="131"/>
        <v>https://www.stat.go.jp/data/roudou/pref/index.html/</v>
      </c>
      <c r="X555" s="1" t="str">
        <f t="shared" si="132"/>
        <v>https://www.stat.go.jp/</v>
      </c>
      <c r="Y555" s="1" t="str">
        <f t="shared" si="133"/>
        <v>優先3</v>
      </c>
      <c r="Z555" s="1" t="str">
        <f t="shared" si="134"/>
        <v>Statistics Bureau of Japan [総務省統計局]. "労働力調査（基本集計）都道府県別結果". Accessed 13 July, 2023. https://www.stat.go.jp/.</v>
      </c>
    </row>
    <row r="556" spans="2:26">
      <c r="B556" s="285" t="s">
        <v>826</v>
      </c>
      <c r="C556" s="285" t="s">
        <v>464</v>
      </c>
      <c r="D556" s="285" t="s">
        <v>673</v>
      </c>
      <c r="E556" s="285" t="s">
        <v>160</v>
      </c>
      <c r="F556" s="13" t="s">
        <v>836</v>
      </c>
      <c r="G556" s="13" t="s">
        <v>740</v>
      </c>
      <c r="H556" s="13" t="s">
        <v>835</v>
      </c>
      <c r="I556" s="13" t="s">
        <v>2697</v>
      </c>
      <c r="J556" s="13" t="s">
        <v>4241</v>
      </c>
      <c r="K556" s="284">
        <v>45120</v>
      </c>
      <c r="L556" s="283" t="str">
        <f t="shared" si="120"/>
        <v>-</v>
      </c>
      <c r="M556" s="283" t="str">
        <f t="shared" si="121"/>
        <v>-</v>
      </c>
      <c r="N556" s="283" t="str">
        <f t="shared" si="122"/>
        <v>-</v>
      </c>
      <c r="O556" s="283" t="str">
        <f t="shared" si="123"/>
        <v>-</v>
      </c>
      <c r="P556" s="283" t="str">
        <f t="shared" si="124"/>
        <v>-</v>
      </c>
      <c r="Q556" s="283" t="str">
        <f t="shared" si="125"/>
        <v>-</v>
      </c>
      <c r="R556" s="283" t="str">
        <f t="shared" si="126"/>
        <v>-</v>
      </c>
      <c r="S556" s="283" t="str">
        <f t="shared" si="127"/>
        <v>-</v>
      </c>
      <c r="T556" s="283" t="str">
        <f t="shared" si="128"/>
        <v>-</v>
      </c>
      <c r="U556" s="283" t="str">
        <f t="shared" si="129"/>
        <v>-</v>
      </c>
      <c r="V556" s="283" t="str">
        <f t="shared" si="130"/>
        <v>-</v>
      </c>
      <c r="W556" s="1" t="str">
        <f t="shared" si="131"/>
        <v>https://www.toukei.metro.tokyo.lg.jp/roudou/2022/rd22qd1000.htm/</v>
      </c>
      <c r="X556" s="1" t="str">
        <f t="shared" si="132"/>
        <v>https://www.toukei.metro.tokyo.lg.jp/</v>
      </c>
      <c r="Y556" s="1" t="str">
        <f t="shared" si="133"/>
        <v>優先3</v>
      </c>
      <c r="Z556" s="1" t="str">
        <f t="shared" si="134"/>
        <v>Statistics Division, Bureau of General Affairs, Tokyo Metropolitan Government [東京都総務局統計部]. "東京都、南関東及び全国の完全失業率". Accessed 13 July, 2023. https://www.toukei.metro.tokyo.lg.jp/.</v>
      </c>
    </row>
    <row r="557" spans="2:26">
      <c r="B557" s="285" t="s">
        <v>826</v>
      </c>
      <c r="C557" s="285" t="s">
        <v>464</v>
      </c>
      <c r="D557" s="285" t="s">
        <v>673</v>
      </c>
      <c r="E557" s="285" t="s">
        <v>162</v>
      </c>
      <c r="F557" s="13" t="s">
        <v>834</v>
      </c>
      <c r="G557" s="13"/>
      <c r="H557" s="13"/>
      <c r="I557" s="13" t="s">
        <v>2698</v>
      </c>
      <c r="J557" s="13" t="s">
        <v>1398</v>
      </c>
      <c r="K557" s="284">
        <v>45120</v>
      </c>
      <c r="L557" s="283" t="str">
        <f t="shared" si="120"/>
        <v>-</v>
      </c>
      <c r="M557" s="283" t="str">
        <f t="shared" si="121"/>
        <v>-</v>
      </c>
      <c r="N557" s="283" t="str">
        <f t="shared" si="122"/>
        <v>-</v>
      </c>
      <c r="O557" s="283" t="str">
        <f t="shared" si="123"/>
        <v>-</v>
      </c>
      <c r="P557" s="283" t="str">
        <f t="shared" si="124"/>
        <v>-</v>
      </c>
      <c r="Q557" s="283" t="str">
        <f t="shared" si="125"/>
        <v>-</v>
      </c>
      <c r="R557" s="283" t="str">
        <f t="shared" si="126"/>
        <v>-</v>
      </c>
      <c r="S557" s="283" t="str">
        <f t="shared" si="127"/>
        <v>-</v>
      </c>
      <c r="T557" s="283" t="str">
        <f t="shared" si="128"/>
        <v>-</v>
      </c>
      <c r="U557" s="283" t="str">
        <f t="shared" si="129"/>
        <v>-</v>
      </c>
      <c r="V557" s="283" t="str">
        <f t="shared" si="130"/>
        <v>-</v>
      </c>
      <c r="W557" s="1" t="str">
        <f t="shared" si="131"/>
        <v>https://www.parliament.nsw.gov.au/researchpapers/Pages/NSW-regional-labour-force-data---interactive-portal.aspx/</v>
      </c>
      <c r="X557" s="1" t="str">
        <f t="shared" si="132"/>
        <v>https://www.parliament.nsw.gov.au/</v>
      </c>
      <c r="Y557" s="1" t="str">
        <f t="shared" si="133"/>
        <v>優先3</v>
      </c>
      <c r="Z557" s="1" t="str">
        <f t="shared" si="134"/>
        <v>Parliament of New South Wales. "Regional labour force trends and NSW electorates". Accessed 13 July, 2023. https://www.parliament.nsw.gov.au/.</v>
      </c>
    </row>
    <row r="558" spans="2:26">
      <c r="B558" s="285" t="s">
        <v>826</v>
      </c>
      <c r="C558" s="285" t="s">
        <v>464</v>
      </c>
      <c r="D558" s="285" t="s">
        <v>673</v>
      </c>
      <c r="E558" s="285" t="s">
        <v>164</v>
      </c>
      <c r="F558" s="13" t="s">
        <v>813</v>
      </c>
      <c r="G558" s="13"/>
      <c r="H558" s="13"/>
      <c r="I558" s="13" t="s">
        <v>2699</v>
      </c>
      <c r="J558" s="13" t="s">
        <v>1399</v>
      </c>
      <c r="K558" s="284">
        <v>45120</v>
      </c>
      <c r="L558" s="283" t="str">
        <f t="shared" si="120"/>
        <v>-</v>
      </c>
      <c r="M558" s="283" t="str">
        <f t="shared" si="121"/>
        <v>-</v>
      </c>
      <c r="N558" s="283" t="str">
        <f t="shared" si="122"/>
        <v>-</v>
      </c>
      <c r="O558" s="283" t="str">
        <f t="shared" si="123"/>
        <v>-</v>
      </c>
      <c r="P558" s="283" t="str">
        <f t="shared" si="124"/>
        <v>-</v>
      </c>
      <c r="Q558" s="283" t="str">
        <f t="shared" si="125"/>
        <v>-</v>
      </c>
      <c r="R558" s="283" t="str">
        <f t="shared" si="126"/>
        <v>-</v>
      </c>
      <c r="S558" s="283" t="str">
        <f t="shared" si="127"/>
        <v>-</v>
      </c>
      <c r="T558" s="283" t="str">
        <f t="shared" si="128"/>
        <v>-</v>
      </c>
      <c r="U558" s="283" t="str">
        <f t="shared" si="129"/>
        <v>-</v>
      </c>
      <c r="V558" s="283" t="str">
        <f t="shared" si="130"/>
        <v>-</v>
      </c>
      <c r="W558" s="1" t="str">
        <f t="shared" si="131"/>
        <v>https://srv129.services.gc.ca/ei_regions/eng/tab.aspx/</v>
      </c>
      <c r="X558" s="1" t="str">
        <f t="shared" si="132"/>
        <v>https://srv129.services.gc.ca/</v>
      </c>
      <c r="Y558" s="1" t="str">
        <f t="shared" si="133"/>
        <v>優先3</v>
      </c>
      <c r="Z558" s="1" t="str">
        <f t="shared" si="134"/>
        <v>Government of Canada. "Information on Employment Insurance (EI) Economic Regions". Accessed 13 July, 2023. https://srv129.services.gc.ca/.</v>
      </c>
    </row>
    <row r="559" spans="2:26">
      <c r="B559" s="285" t="s">
        <v>826</v>
      </c>
      <c r="C559" s="285" t="s">
        <v>464</v>
      </c>
      <c r="D559" s="285" t="s">
        <v>673</v>
      </c>
      <c r="E559" s="285" t="s">
        <v>166</v>
      </c>
      <c r="F559" s="13" t="s">
        <v>832</v>
      </c>
      <c r="G559" s="13" t="s">
        <v>710</v>
      </c>
      <c r="H559" s="13"/>
      <c r="I559" s="13" t="s">
        <v>2700</v>
      </c>
      <c r="J559" s="13" t="s">
        <v>4242</v>
      </c>
      <c r="K559" s="284">
        <v>45120</v>
      </c>
      <c r="L559" s="283">
        <f t="shared" si="120"/>
        <v>6</v>
      </c>
      <c r="M559" s="283" t="str">
        <f t="shared" si="121"/>
        <v>-</v>
      </c>
      <c r="N559" s="283" t="str">
        <f t="shared" si="122"/>
        <v>-</v>
      </c>
      <c r="O559" s="283" t="str">
        <f t="shared" si="123"/>
        <v>-</v>
      </c>
      <c r="P559" s="283" t="str">
        <f t="shared" si="124"/>
        <v>-</v>
      </c>
      <c r="Q559" s="283" t="str">
        <f t="shared" si="125"/>
        <v>-</v>
      </c>
      <c r="R559" s="283" t="str">
        <f t="shared" si="126"/>
        <v>-</v>
      </c>
      <c r="S559" s="283" t="str">
        <f t="shared" si="127"/>
        <v>-</v>
      </c>
      <c r="T559" s="283" t="str">
        <f t="shared" si="128"/>
        <v>-</v>
      </c>
      <c r="U559" s="283" t="str">
        <f t="shared" si="129"/>
        <v>-</v>
      </c>
      <c r="V559" s="283" t="str">
        <f t="shared" si="130"/>
        <v>-</v>
      </c>
      <c r="W559" s="1" t="str">
        <f t="shared" si="131"/>
        <v>https://www.bls.gov/lau/lacilg22.htm/</v>
      </c>
      <c r="X559" s="1" t="str">
        <f t="shared" si="132"/>
        <v>https://www.bls.gov/</v>
      </c>
      <c r="Y559" s="1" t="str">
        <f t="shared" si="133"/>
        <v>優先3</v>
      </c>
      <c r="Z559" s="1" t="str">
        <f t="shared" si="134"/>
        <v>Bureau of Labor Statistics, United States. "Local Area Unemployment Statistics (LAUS)". Accessed 13 July, 2023. https://www.bls.gov/.</v>
      </c>
    </row>
    <row r="560" spans="2:26">
      <c r="B560" s="285" t="s">
        <v>826</v>
      </c>
      <c r="C560" s="285" t="s">
        <v>464</v>
      </c>
      <c r="D560" s="285" t="s">
        <v>673</v>
      </c>
      <c r="E560" s="285" t="s">
        <v>168</v>
      </c>
      <c r="F560" s="13" t="s">
        <v>832</v>
      </c>
      <c r="G560" s="13" t="s">
        <v>710</v>
      </c>
      <c r="H560" s="13"/>
      <c r="I560" s="13" t="s">
        <v>2700</v>
      </c>
      <c r="J560" s="13" t="s">
        <v>4242</v>
      </c>
      <c r="K560" s="284">
        <v>45120</v>
      </c>
      <c r="L560" s="283">
        <f t="shared" si="120"/>
        <v>6</v>
      </c>
      <c r="M560" s="283" t="str">
        <f t="shared" si="121"/>
        <v>-</v>
      </c>
      <c r="N560" s="283" t="str">
        <f t="shared" si="122"/>
        <v>-</v>
      </c>
      <c r="O560" s="283" t="str">
        <f t="shared" si="123"/>
        <v>-</v>
      </c>
      <c r="P560" s="283" t="str">
        <f t="shared" si="124"/>
        <v>-</v>
      </c>
      <c r="Q560" s="283" t="str">
        <f t="shared" si="125"/>
        <v>-</v>
      </c>
      <c r="R560" s="283" t="str">
        <f t="shared" si="126"/>
        <v>-</v>
      </c>
      <c r="S560" s="283" t="str">
        <f t="shared" si="127"/>
        <v>-</v>
      </c>
      <c r="T560" s="283" t="str">
        <f t="shared" si="128"/>
        <v>-</v>
      </c>
      <c r="U560" s="283" t="str">
        <f t="shared" si="129"/>
        <v>-</v>
      </c>
      <c r="V560" s="283" t="str">
        <f t="shared" si="130"/>
        <v>-</v>
      </c>
      <c r="W560" s="1" t="str">
        <f t="shared" si="131"/>
        <v>https://www.bls.gov/lau/lacilg22.htm/</v>
      </c>
      <c r="X560" s="1" t="str">
        <f t="shared" si="132"/>
        <v>https://www.bls.gov/</v>
      </c>
      <c r="Y560" s="1" t="str">
        <f t="shared" si="133"/>
        <v>優先3</v>
      </c>
      <c r="Z560" s="1" t="str">
        <f t="shared" si="134"/>
        <v>Bureau of Labor Statistics, United States. "Local Area Unemployment Statistics (LAUS)". Accessed 13 July, 2023. https://www.bls.gov/.</v>
      </c>
    </row>
    <row r="561" spans="2:26">
      <c r="B561" s="285" t="s">
        <v>826</v>
      </c>
      <c r="C561" s="285" t="s">
        <v>464</v>
      </c>
      <c r="D561" s="285" t="s">
        <v>673</v>
      </c>
      <c r="E561" s="285" t="s">
        <v>170</v>
      </c>
      <c r="F561" s="13" t="s">
        <v>4243</v>
      </c>
      <c r="G561" s="13"/>
      <c r="H561" s="13" t="s">
        <v>4244</v>
      </c>
      <c r="I561" s="13" t="s">
        <v>4245</v>
      </c>
      <c r="J561" s="13" t="s">
        <v>4246</v>
      </c>
      <c r="K561" s="284">
        <v>45120</v>
      </c>
      <c r="L561" s="283" t="str">
        <f t="shared" si="120"/>
        <v>-</v>
      </c>
      <c r="M561" s="283" t="str">
        <f t="shared" si="121"/>
        <v>-</v>
      </c>
      <c r="N561" s="283" t="str">
        <f t="shared" si="122"/>
        <v>-</v>
      </c>
      <c r="O561" s="283" t="str">
        <f t="shared" si="123"/>
        <v>-</v>
      </c>
      <c r="P561" s="283" t="str">
        <f t="shared" si="124"/>
        <v>-</v>
      </c>
      <c r="Q561" s="283" t="str">
        <f t="shared" si="125"/>
        <v>-</v>
      </c>
      <c r="R561" s="283" t="str">
        <f t="shared" si="126"/>
        <v>-</v>
      </c>
      <c r="S561" s="283" t="str">
        <f t="shared" si="127"/>
        <v>-</v>
      </c>
      <c r="T561" s="283" t="str">
        <f t="shared" si="128"/>
        <v>-</v>
      </c>
      <c r="U561" s="283" t="str">
        <f t="shared" si="129"/>
        <v>-</v>
      </c>
      <c r="V561" s="283" t="str">
        <f t="shared" si="130"/>
        <v>-</v>
      </c>
      <c r="W561" s="1" t="str">
        <f t="shared" si="131"/>
        <v>https://datamexico.org/es/profile/geo/ciudad-de-mexico-cx/</v>
      </c>
      <c r="X561" s="1" t="str">
        <f t="shared" si="132"/>
        <v>https://datamexico.org/</v>
      </c>
      <c r="Y561" s="1" t="str">
        <f t="shared" si="133"/>
        <v>優先3</v>
      </c>
      <c r="Z561" s="1" t="str">
        <f t="shared" si="134"/>
        <v>Government of Mexico [Gobierno de México]. "Población Económicamente Activa (PEA)". Accessed 13 July, 2023. https://datamexico.org/.</v>
      </c>
    </row>
    <row r="562" spans="2:26">
      <c r="B562" s="285" t="s">
        <v>826</v>
      </c>
      <c r="C562" s="285" t="s">
        <v>464</v>
      </c>
      <c r="D562" s="285" t="s">
        <v>673</v>
      </c>
      <c r="E562" s="285" t="s">
        <v>172</v>
      </c>
      <c r="F562" s="13" t="s">
        <v>832</v>
      </c>
      <c r="G562" s="13" t="s">
        <v>710</v>
      </c>
      <c r="H562" s="13"/>
      <c r="I562" s="13" t="s">
        <v>2700</v>
      </c>
      <c r="J562" s="13" t="s">
        <v>4242</v>
      </c>
      <c r="K562" s="284">
        <v>45120</v>
      </c>
      <c r="L562" s="283">
        <f t="shared" si="120"/>
        <v>6</v>
      </c>
      <c r="M562" s="283" t="str">
        <f t="shared" si="121"/>
        <v>-</v>
      </c>
      <c r="N562" s="283" t="str">
        <f t="shared" si="122"/>
        <v>-</v>
      </c>
      <c r="O562" s="283" t="str">
        <f t="shared" si="123"/>
        <v>-</v>
      </c>
      <c r="P562" s="283" t="str">
        <f t="shared" si="124"/>
        <v>-</v>
      </c>
      <c r="Q562" s="283" t="str">
        <f t="shared" si="125"/>
        <v>-</v>
      </c>
      <c r="R562" s="283" t="str">
        <f t="shared" si="126"/>
        <v>-</v>
      </c>
      <c r="S562" s="283" t="str">
        <f t="shared" si="127"/>
        <v>-</v>
      </c>
      <c r="T562" s="283" t="str">
        <f t="shared" si="128"/>
        <v>-</v>
      </c>
      <c r="U562" s="283" t="str">
        <f t="shared" si="129"/>
        <v>-</v>
      </c>
      <c r="V562" s="283" t="str">
        <f t="shared" si="130"/>
        <v>-</v>
      </c>
      <c r="W562" s="1" t="str">
        <f t="shared" si="131"/>
        <v>https://www.bls.gov/lau/lacilg22.htm/</v>
      </c>
      <c r="X562" s="1" t="str">
        <f t="shared" si="132"/>
        <v>https://www.bls.gov/</v>
      </c>
      <c r="Y562" s="1" t="str">
        <f t="shared" si="133"/>
        <v>優先3</v>
      </c>
      <c r="Z562" s="1" t="str">
        <f t="shared" si="134"/>
        <v>Bureau of Labor Statistics, United States. "Local Area Unemployment Statistics (LAUS)". Accessed 13 July, 2023. https://www.bls.gov/.</v>
      </c>
    </row>
    <row r="563" spans="2:26">
      <c r="B563" s="285" t="s">
        <v>826</v>
      </c>
      <c r="C563" s="285" t="s">
        <v>464</v>
      </c>
      <c r="D563" s="285" t="s">
        <v>673</v>
      </c>
      <c r="E563" s="285" t="s">
        <v>174</v>
      </c>
      <c r="F563" s="13" t="s">
        <v>814</v>
      </c>
      <c r="G563" s="13"/>
      <c r="H563" s="13"/>
      <c r="I563" s="13" t="s">
        <v>3748</v>
      </c>
      <c r="J563" s="13" t="s">
        <v>3749</v>
      </c>
      <c r="K563" s="284">
        <v>45120</v>
      </c>
      <c r="L563" s="283" t="str">
        <f t="shared" si="120"/>
        <v>-</v>
      </c>
      <c r="M563" s="283" t="str">
        <f t="shared" si="121"/>
        <v>-</v>
      </c>
      <c r="N563" s="283" t="str">
        <f t="shared" si="122"/>
        <v>-</v>
      </c>
      <c r="O563" s="283" t="str">
        <f t="shared" si="123"/>
        <v>-</v>
      </c>
      <c r="P563" s="283" t="str">
        <f t="shared" si="124"/>
        <v>-</v>
      </c>
      <c r="Q563" s="283" t="str">
        <f t="shared" si="125"/>
        <v>-</v>
      </c>
      <c r="R563" s="283" t="str">
        <f t="shared" si="126"/>
        <v>-</v>
      </c>
      <c r="S563" s="283" t="str">
        <f t="shared" si="127"/>
        <v>-</v>
      </c>
      <c r="T563" s="283" t="str">
        <f t="shared" si="128"/>
        <v>-</v>
      </c>
      <c r="U563" s="283" t="str">
        <f t="shared" si="129"/>
        <v>-</v>
      </c>
      <c r="V563" s="283" t="str">
        <f t="shared" si="130"/>
        <v>-</v>
      </c>
      <c r="W563" s="1" t="str">
        <f t="shared" si="131"/>
        <v>https://www150.statcan.gc.ca/t1/tbl1/en/tv.action?pid=1410038501/</v>
      </c>
      <c r="X563" s="1" t="str">
        <f t="shared" si="132"/>
        <v>https://www150.statcan.gc.ca/</v>
      </c>
      <c r="Y563" s="1" t="str">
        <f t="shared" si="133"/>
        <v>優先3</v>
      </c>
      <c r="Z563" s="1" t="str">
        <f t="shared" si="134"/>
        <v>Statistics Canada. "Labour force characteristics, annual". Accessed 13 July, 2023. https://www150.statcan.gc.ca/.</v>
      </c>
    </row>
    <row r="564" spans="2:26">
      <c r="B564" s="285" t="s">
        <v>826</v>
      </c>
      <c r="C564" s="285" t="s">
        <v>464</v>
      </c>
      <c r="D564" s="285" t="s">
        <v>673</v>
      </c>
      <c r="E564" s="285" t="s">
        <v>373</v>
      </c>
      <c r="F564" s="13" t="s">
        <v>832</v>
      </c>
      <c r="G564" s="13" t="s">
        <v>710</v>
      </c>
      <c r="H564" s="13"/>
      <c r="I564" s="13" t="s">
        <v>2700</v>
      </c>
      <c r="J564" s="13" t="s">
        <v>4242</v>
      </c>
      <c r="K564" s="284">
        <v>45120</v>
      </c>
      <c r="L564" s="283">
        <f t="shared" si="120"/>
        <v>6</v>
      </c>
      <c r="M564" s="283" t="str">
        <f t="shared" si="121"/>
        <v>-</v>
      </c>
      <c r="N564" s="283" t="str">
        <f t="shared" si="122"/>
        <v>-</v>
      </c>
      <c r="O564" s="283" t="str">
        <f t="shared" si="123"/>
        <v>-</v>
      </c>
      <c r="P564" s="283" t="str">
        <f t="shared" si="124"/>
        <v>-</v>
      </c>
      <c r="Q564" s="283" t="str">
        <f t="shared" si="125"/>
        <v>-</v>
      </c>
      <c r="R564" s="283" t="str">
        <f t="shared" si="126"/>
        <v>-</v>
      </c>
      <c r="S564" s="283" t="str">
        <f t="shared" si="127"/>
        <v>-</v>
      </c>
      <c r="T564" s="283" t="str">
        <f t="shared" si="128"/>
        <v>-</v>
      </c>
      <c r="U564" s="283" t="str">
        <f t="shared" si="129"/>
        <v>-</v>
      </c>
      <c r="V564" s="283" t="str">
        <f t="shared" si="130"/>
        <v>-</v>
      </c>
      <c r="W564" s="1" t="str">
        <f t="shared" si="131"/>
        <v>https://www.bls.gov/lau/lacilg22.htm/</v>
      </c>
      <c r="X564" s="1" t="str">
        <f t="shared" si="132"/>
        <v>https://www.bls.gov/</v>
      </c>
      <c r="Y564" s="1" t="str">
        <f t="shared" si="133"/>
        <v>優先3</v>
      </c>
      <c r="Z564" s="1" t="str">
        <f t="shared" si="134"/>
        <v>Bureau of Labor Statistics, United States. "Local Area Unemployment Statistics (LAUS)". Accessed 13 July, 2023. https://www.bls.gov/.</v>
      </c>
    </row>
    <row r="565" spans="2:26">
      <c r="B565" s="285" t="s">
        <v>826</v>
      </c>
      <c r="C565" s="285" t="s">
        <v>464</v>
      </c>
      <c r="D565" s="285" t="s">
        <v>673</v>
      </c>
      <c r="E565" s="285" t="s">
        <v>178</v>
      </c>
      <c r="F565" s="13" t="s">
        <v>832</v>
      </c>
      <c r="G565" s="13" t="s">
        <v>710</v>
      </c>
      <c r="H565" s="13"/>
      <c r="I565" s="13" t="s">
        <v>2700</v>
      </c>
      <c r="J565" s="13" t="s">
        <v>4242</v>
      </c>
      <c r="K565" s="284">
        <v>45120</v>
      </c>
      <c r="L565" s="283">
        <f t="shared" si="120"/>
        <v>6</v>
      </c>
      <c r="M565" s="283" t="str">
        <f t="shared" si="121"/>
        <v>-</v>
      </c>
      <c r="N565" s="283" t="str">
        <f t="shared" si="122"/>
        <v>-</v>
      </c>
      <c r="O565" s="283" t="str">
        <f t="shared" si="123"/>
        <v>-</v>
      </c>
      <c r="P565" s="283" t="str">
        <f t="shared" si="124"/>
        <v>-</v>
      </c>
      <c r="Q565" s="283" t="str">
        <f t="shared" si="125"/>
        <v>-</v>
      </c>
      <c r="R565" s="283" t="str">
        <f t="shared" si="126"/>
        <v>-</v>
      </c>
      <c r="S565" s="283" t="str">
        <f t="shared" si="127"/>
        <v>-</v>
      </c>
      <c r="T565" s="283" t="str">
        <f t="shared" si="128"/>
        <v>-</v>
      </c>
      <c r="U565" s="283" t="str">
        <f t="shared" si="129"/>
        <v>-</v>
      </c>
      <c r="V565" s="283" t="str">
        <f t="shared" si="130"/>
        <v>-</v>
      </c>
      <c r="W565" s="1" t="str">
        <f t="shared" si="131"/>
        <v>https://www.bls.gov/lau/lacilg22.htm/</v>
      </c>
      <c r="X565" s="1" t="str">
        <f t="shared" si="132"/>
        <v>https://www.bls.gov/</v>
      </c>
      <c r="Y565" s="1" t="str">
        <f t="shared" si="133"/>
        <v>優先3</v>
      </c>
      <c r="Z565" s="1" t="str">
        <f t="shared" si="134"/>
        <v>Bureau of Labor Statistics, United States. "Local Area Unemployment Statistics (LAUS)". Accessed 13 July, 2023. https://www.bls.gov/.</v>
      </c>
    </row>
    <row r="566" spans="2:26">
      <c r="B566" s="285" t="s">
        <v>826</v>
      </c>
      <c r="C566" s="285" t="s">
        <v>464</v>
      </c>
      <c r="D566" s="285" t="s">
        <v>673</v>
      </c>
      <c r="E566" s="285" t="s">
        <v>180</v>
      </c>
      <c r="F566" s="13" t="s">
        <v>832</v>
      </c>
      <c r="G566" s="13" t="s">
        <v>710</v>
      </c>
      <c r="H566" s="13"/>
      <c r="I566" s="13" t="s">
        <v>2700</v>
      </c>
      <c r="J566" s="13" t="s">
        <v>4242</v>
      </c>
      <c r="K566" s="284">
        <v>45120</v>
      </c>
      <c r="L566" s="283">
        <f t="shared" si="120"/>
        <v>6</v>
      </c>
      <c r="M566" s="283" t="str">
        <f t="shared" si="121"/>
        <v>-</v>
      </c>
      <c r="N566" s="283" t="str">
        <f t="shared" si="122"/>
        <v>-</v>
      </c>
      <c r="O566" s="283" t="str">
        <f t="shared" si="123"/>
        <v>-</v>
      </c>
      <c r="P566" s="283" t="str">
        <f t="shared" si="124"/>
        <v>-</v>
      </c>
      <c r="Q566" s="283" t="str">
        <f t="shared" si="125"/>
        <v>-</v>
      </c>
      <c r="R566" s="283" t="str">
        <f t="shared" si="126"/>
        <v>-</v>
      </c>
      <c r="S566" s="283" t="str">
        <f t="shared" si="127"/>
        <v>-</v>
      </c>
      <c r="T566" s="283" t="str">
        <f t="shared" si="128"/>
        <v>-</v>
      </c>
      <c r="U566" s="283" t="str">
        <f t="shared" si="129"/>
        <v>-</v>
      </c>
      <c r="V566" s="283" t="str">
        <f t="shared" si="130"/>
        <v>-</v>
      </c>
      <c r="W566" s="1" t="str">
        <f t="shared" si="131"/>
        <v>https://www.bls.gov/lau/lacilg22.htm/</v>
      </c>
      <c r="X566" s="1" t="str">
        <f t="shared" si="132"/>
        <v>https://www.bls.gov/</v>
      </c>
      <c r="Y566" s="1" t="str">
        <f t="shared" si="133"/>
        <v>優先3</v>
      </c>
      <c r="Z566" s="1" t="str">
        <f t="shared" si="134"/>
        <v>Bureau of Labor Statistics, United States. "Local Area Unemployment Statistics (LAUS)". Accessed 13 July, 2023. https://www.bls.gov/.</v>
      </c>
    </row>
    <row r="567" spans="2:26">
      <c r="B567" s="285" t="s">
        <v>826</v>
      </c>
      <c r="C567" s="285" t="s">
        <v>464</v>
      </c>
      <c r="D567" s="285" t="s">
        <v>673</v>
      </c>
      <c r="E567" s="285" t="s">
        <v>182</v>
      </c>
      <c r="F567" s="13" t="s">
        <v>2623</v>
      </c>
      <c r="G567" s="13"/>
      <c r="H567" s="13"/>
      <c r="I567" s="13" t="s">
        <v>2624</v>
      </c>
      <c r="J567" s="13" t="s">
        <v>3681</v>
      </c>
      <c r="K567" s="284">
        <v>45120</v>
      </c>
      <c r="L567" s="283" t="str">
        <f t="shared" si="120"/>
        <v>-</v>
      </c>
      <c r="M567" s="283" t="str">
        <f t="shared" si="121"/>
        <v>-</v>
      </c>
      <c r="N567" s="283" t="str">
        <f t="shared" si="122"/>
        <v>-</v>
      </c>
      <c r="O567" s="283" t="str">
        <f t="shared" si="123"/>
        <v>-</v>
      </c>
      <c r="P567" s="283" t="str">
        <f t="shared" si="124"/>
        <v>-</v>
      </c>
      <c r="Q567" s="283" t="str">
        <f t="shared" si="125"/>
        <v>-</v>
      </c>
      <c r="R567" s="283" t="str">
        <f t="shared" si="126"/>
        <v>-</v>
      </c>
      <c r="S567" s="283" t="str">
        <f t="shared" si="127"/>
        <v>-</v>
      </c>
      <c r="T567" s="283" t="str">
        <f t="shared" si="128"/>
        <v>-</v>
      </c>
      <c r="U567" s="283" t="str">
        <f t="shared" si="129"/>
        <v>-</v>
      </c>
      <c r="V567" s="283" t="str">
        <f t="shared" si="130"/>
        <v>NG</v>
      </c>
      <c r="W567" s="1" t="str">
        <f t="shared" si="131"/>
        <v>https://www.ibge.gov.br/en/statistics/social/labor/18704-summary-of-social-indicators.html?edicao=29455&amp;t=downloads/</v>
      </c>
      <c r="X567" s="1" t="str">
        <f t="shared" si="132"/>
        <v>https://www.ibge.gov.br/</v>
      </c>
      <c r="Y567" s="1" t="str">
        <f t="shared" si="133"/>
        <v>優先3</v>
      </c>
      <c r="Z567" s="1" t="str">
        <f t="shared" si="134"/>
        <v>Instituto Brasileiro de Geografia e Estatistica. "Summary of Social Indicators ". Accessed 13 July, 2023. https://www.ibge.gov.br/.</v>
      </c>
    </row>
    <row r="568" spans="2:26">
      <c r="B568" s="285" t="s">
        <v>826</v>
      </c>
      <c r="C568" s="285" t="s">
        <v>464</v>
      </c>
      <c r="D568" s="285" t="s">
        <v>673</v>
      </c>
      <c r="E568" s="285" t="s">
        <v>184</v>
      </c>
      <c r="F568" s="13" t="s">
        <v>786</v>
      </c>
      <c r="G568" s="13" t="s">
        <v>733</v>
      </c>
      <c r="H568" s="13"/>
      <c r="I568" s="13" t="s">
        <v>2701</v>
      </c>
      <c r="J568" s="13" t="s">
        <v>3692</v>
      </c>
      <c r="K568" s="284">
        <v>45120</v>
      </c>
      <c r="L568" s="283" t="str">
        <f t="shared" si="120"/>
        <v>-</v>
      </c>
      <c r="M568" s="283" t="str">
        <f t="shared" si="121"/>
        <v>-</v>
      </c>
      <c r="N568" s="283" t="str">
        <f t="shared" si="122"/>
        <v>-</v>
      </c>
      <c r="O568" s="283" t="str">
        <f t="shared" si="123"/>
        <v>-</v>
      </c>
      <c r="P568" s="283" t="str">
        <f t="shared" si="124"/>
        <v>-</v>
      </c>
      <c r="Q568" s="283" t="str">
        <f t="shared" si="125"/>
        <v>-</v>
      </c>
      <c r="R568" s="283" t="str">
        <f t="shared" si="126"/>
        <v>-</v>
      </c>
      <c r="S568" s="283" t="str">
        <f t="shared" si="127"/>
        <v>-</v>
      </c>
      <c r="T568" s="283" t="str">
        <f t="shared" si="128"/>
        <v>-</v>
      </c>
      <c r="U568" s="283" t="str">
        <f t="shared" si="129"/>
        <v>-</v>
      </c>
      <c r="V568" s="283" t="str">
        <f t="shared" si="130"/>
        <v>-</v>
      </c>
      <c r="W568" s="1" t="str">
        <f t="shared" si="131"/>
        <v>https://www.statssa.gov.za/?page_id=1854&amp;PPN=P0211/</v>
      </c>
      <c r="X568" s="1" t="str">
        <f t="shared" si="132"/>
        <v>https://www.statssa.gov.za/</v>
      </c>
      <c r="Y568" s="1" t="str">
        <f t="shared" si="133"/>
        <v>優先3</v>
      </c>
      <c r="Z568" s="1" t="str">
        <f t="shared" si="134"/>
        <v>Statistics South Africa, Republic of South Africa. "Quarterly Labour Force Survey (QLFS)". Accessed 13 July, 2023. https://www.statssa.gov.za/.</v>
      </c>
    </row>
    <row r="569" spans="2:26">
      <c r="B569" s="285" t="s">
        <v>826</v>
      </c>
      <c r="C569" s="285" t="s">
        <v>464</v>
      </c>
      <c r="D569" s="285" t="s">
        <v>673</v>
      </c>
      <c r="E569" s="285" t="s">
        <v>186</v>
      </c>
      <c r="F569" s="13" t="s">
        <v>830</v>
      </c>
      <c r="G569" s="13"/>
      <c r="H569" s="13"/>
      <c r="I569" s="13" t="s">
        <v>4247</v>
      </c>
      <c r="J569" s="13" t="s">
        <v>4248</v>
      </c>
      <c r="K569" s="284">
        <v>45120</v>
      </c>
      <c r="L569" s="283" t="str">
        <f t="shared" si="120"/>
        <v>-</v>
      </c>
      <c r="M569" s="283" t="str">
        <f t="shared" si="121"/>
        <v>-</v>
      </c>
      <c r="N569" s="283" t="str">
        <f t="shared" si="122"/>
        <v>-</v>
      </c>
      <c r="O569" s="283" t="str">
        <f t="shared" si="123"/>
        <v>-</v>
      </c>
      <c r="P569" s="283" t="str">
        <f t="shared" si="124"/>
        <v>-</v>
      </c>
      <c r="Q569" s="283" t="str">
        <f t="shared" si="125"/>
        <v>-</v>
      </c>
      <c r="R569" s="283" t="str">
        <f t="shared" si="126"/>
        <v>-</v>
      </c>
      <c r="S569" s="283" t="str">
        <f t="shared" si="127"/>
        <v>-</v>
      </c>
      <c r="T569" s="283" t="str">
        <f t="shared" si="128"/>
        <v>-</v>
      </c>
      <c r="U569" s="283" t="str">
        <f t="shared" si="129"/>
        <v>-</v>
      </c>
      <c r="V569" s="283" t="str">
        <f t="shared" si="130"/>
        <v>-</v>
      </c>
      <c r="W569" s="1" t="str">
        <f t="shared" si="131"/>
        <v>https://jakarta.bps.go.id/publication.html?Publikasi%5BtahunJudul%5D=&amp;Publikasi%5BkataKunci%5D=Keadaan+Angkatan+Kerja+&amp;Publikasi%5BcekJudul%5D=0&amp;yt0=Tampilkan/</v>
      </c>
      <c r="X569" s="1" t="str">
        <f t="shared" si="132"/>
        <v>https://jakarta.bps.go.id/</v>
      </c>
      <c r="Y569" s="1" t="str">
        <f t="shared" si="133"/>
        <v>優先3</v>
      </c>
      <c r="Z569" s="1" t="str">
        <f t="shared" si="134"/>
        <v>Badan Pusat Statistik Provinsi DKI Jakarta. "Keadaan Angkatan Kerja Provinsi DKI Jakarta 2022". Accessed 13 July, 2023. https://jakarta.bps.go.id/.</v>
      </c>
    </row>
    <row r="570" spans="2:26">
      <c r="B570" s="285" t="s">
        <v>826</v>
      </c>
      <c r="C570" s="285" t="s">
        <v>464</v>
      </c>
      <c r="D570" s="285" t="s">
        <v>673</v>
      </c>
      <c r="E570" s="285" t="s">
        <v>188</v>
      </c>
      <c r="F570" s="13" t="s">
        <v>2702</v>
      </c>
      <c r="G570" s="13"/>
      <c r="H570" s="13"/>
      <c r="I570" s="13" t="s">
        <v>4249</v>
      </c>
      <c r="J570" s="13" t="s">
        <v>2703</v>
      </c>
      <c r="K570" s="284">
        <v>45120</v>
      </c>
      <c r="L570" s="283" t="str">
        <f t="shared" si="120"/>
        <v>-</v>
      </c>
      <c r="M570" s="283" t="str">
        <f t="shared" si="121"/>
        <v>-</v>
      </c>
      <c r="N570" s="283" t="str">
        <f t="shared" si="122"/>
        <v>-</v>
      </c>
      <c r="O570" s="283" t="str">
        <f t="shared" si="123"/>
        <v>-</v>
      </c>
      <c r="P570" s="283" t="str">
        <f t="shared" si="124"/>
        <v>-</v>
      </c>
      <c r="Q570" s="283" t="str">
        <f t="shared" si="125"/>
        <v>-</v>
      </c>
      <c r="R570" s="283" t="str">
        <f t="shared" si="126"/>
        <v>-</v>
      </c>
      <c r="S570" s="283" t="str">
        <f t="shared" si="127"/>
        <v>-</v>
      </c>
      <c r="T570" s="283" t="str">
        <f t="shared" si="128"/>
        <v>-</v>
      </c>
      <c r="U570" s="283" t="str">
        <f t="shared" si="129"/>
        <v>-</v>
      </c>
      <c r="V570" s="283" t="str">
        <f t="shared" si="130"/>
        <v>-</v>
      </c>
      <c r="W570" s="1" t="str">
        <f t="shared" si="131"/>
        <v>https://www.indec.gob.ar/indec/web/Institucional-Indec-Publicaciones-2/</v>
      </c>
      <c r="X570" s="1" t="str">
        <f t="shared" si="132"/>
        <v>https://www.indec.gob.ar/</v>
      </c>
      <c r="Y570" s="1" t="str">
        <f t="shared" si="133"/>
        <v>優先3</v>
      </c>
      <c r="Z570" s="1" t="str">
        <f t="shared" si="134"/>
        <v>National Institute of Statistics and Censuses. "Anuario Estadístico de la República Argentina 2021". Accessed 13 July, 2023. https://www.indec.gob.ar/.</v>
      </c>
    </row>
    <row r="571" spans="2:26">
      <c r="B571" s="285" t="s">
        <v>826</v>
      </c>
      <c r="C571" s="285" t="s">
        <v>464</v>
      </c>
      <c r="D571" s="285" t="s">
        <v>673</v>
      </c>
      <c r="E571" s="285" t="s">
        <v>190</v>
      </c>
      <c r="F571" s="13" t="s">
        <v>862</v>
      </c>
      <c r="G571" s="13" t="s">
        <v>829</v>
      </c>
      <c r="H571" s="13"/>
      <c r="I571" s="13" t="s">
        <v>4250</v>
      </c>
      <c r="J571" s="13" t="s">
        <v>1254</v>
      </c>
      <c r="K571" s="284">
        <v>45120</v>
      </c>
      <c r="L571" s="283" t="str">
        <f t="shared" si="120"/>
        <v>-</v>
      </c>
      <c r="M571" s="283" t="str">
        <f t="shared" si="121"/>
        <v>-</v>
      </c>
      <c r="N571" s="283" t="str">
        <f t="shared" si="122"/>
        <v>-</v>
      </c>
      <c r="O571" s="283" t="str">
        <f t="shared" si="123"/>
        <v>-</v>
      </c>
      <c r="P571" s="283" t="str">
        <f t="shared" si="124"/>
        <v>-</v>
      </c>
      <c r="Q571" s="283" t="str">
        <f t="shared" si="125"/>
        <v>-</v>
      </c>
      <c r="R571" s="283" t="str">
        <f t="shared" si="126"/>
        <v>-</v>
      </c>
      <c r="S571" s="283" t="str">
        <f t="shared" si="127"/>
        <v>-</v>
      </c>
      <c r="T571" s="283" t="str">
        <f t="shared" si="128"/>
        <v>-</v>
      </c>
      <c r="U571" s="283" t="str">
        <f t="shared" si="129"/>
        <v>-</v>
      </c>
      <c r="V571" s="283" t="str">
        <f t="shared" si="130"/>
        <v>-</v>
      </c>
      <c r="W571" s="1" t="str">
        <f t="shared" si="131"/>
        <v>https://www.dsc.gov.ae/en-us/Themes/Pages/Labour.aspx?Theme=41/</v>
      </c>
      <c r="X571" s="1" t="str">
        <f t="shared" si="132"/>
        <v>https://www.dsc.gov.ae/</v>
      </c>
      <c r="Y571" s="1" t="str">
        <f t="shared" si="133"/>
        <v>優先3</v>
      </c>
      <c r="Z571" s="1" t="str">
        <f t="shared" si="134"/>
        <v>Dubai Statistics Center, Government of Dubai. "Percentage Distribution of Economically Active Persons 15 Years and Over (Employment and Unemployment Rate)". Accessed 13 July, 2023. https://www.dsc.gov.ae/.</v>
      </c>
    </row>
    <row r="572" spans="2:26">
      <c r="B572" s="285" t="s">
        <v>826</v>
      </c>
      <c r="C572" s="285" t="s">
        <v>464</v>
      </c>
      <c r="D572" s="285" t="s">
        <v>673</v>
      </c>
      <c r="E572" s="285" t="s">
        <v>369</v>
      </c>
      <c r="F572" s="13" t="s">
        <v>881</v>
      </c>
      <c r="G572" s="13" t="s">
        <v>312</v>
      </c>
      <c r="H572" s="13"/>
      <c r="I572" s="13" t="s">
        <v>1400</v>
      </c>
      <c r="J572" s="13" t="s">
        <v>2598</v>
      </c>
      <c r="K572" s="284">
        <v>45120</v>
      </c>
      <c r="L572" s="283" t="str">
        <f t="shared" si="120"/>
        <v>-</v>
      </c>
      <c r="M572" s="283" t="str">
        <f t="shared" si="121"/>
        <v>-</v>
      </c>
      <c r="N572" s="283" t="str">
        <f t="shared" si="122"/>
        <v>-</v>
      </c>
      <c r="O572" s="283" t="str">
        <f t="shared" si="123"/>
        <v>-</v>
      </c>
      <c r="P572" s="283" t="str">
        <f t="shared" si="124"/>
        <v>-</v>
      </c>
      <c r="Q572" s="283" t="str">
        <f t="shared" si="125"/>
        <v>-</v>
      </c>
      <c r="R572" s="283" t="str">
        <f t="shared" si="126"/>
        <v>-</v>
      </c>
      <c r="S572" s="283" t="str">
        <f t="shared" si="127"/>
        <v>-</v>
      </c>
      <c r="T572" s="283" t="str">
        <f t="shared" si="128"/>
        <v>-</v>
      </c>
      <c r="U572" s="283" t="str">
        <f t="shared" si="129"/>
        <v>-</v>
      </c>
      <c r="V572" s="283" t="str">
        <f t="shared" si="130"/>
        <v>-</v>
      </c>
      <c r="W572" s="1" t="str">
        <f t="shared" si="131"/>
        <v>https://data.cso.ie/</v>
      </c>
      <c r="X572" s="1" t="str">
        <f t="shared" si="132"/>
        <v>https://data.cso.ie/</v>
      </c>
      <c r="Y572" s="1" t="str">
        <f t="shared" si="133"/>
        <v>優先3</v>
      </c>
      <c r="Z572" s="1" t="str">
        <f t="shared" si="134"/>
        <v>Central Statistics Office, Ireland. "Labour Force Survey (LFS)". Accessed 13 July, 2023. https://data.cso.ie/.</v>
      </c>
    </row>
    <row r="573" spans="2:26">
      <c r="B573" s="285" t="s">
        <v>826</v>
      </c>
      <c r="C573" s="285" t="s">
        <v>464</v>
      </c>
      <c r="D573" s="285" t="s">
        <v>673</v>
      </c>
      <c r="E573" s="285" t="s">
        <v>370</v>
      </c>
      <c r="F573" s="13" t="s">
        <v>828</v>
      </c>
      <c r="G573" s="13"/>
      <c r="H573" s="13"/>
      <c r="I573" s="13" t="s">
        <v>2704</v>
      </c>
      <c r="J573" s="13" t="s">
        <v>1401</v>
      </c>
      <c r="K573" s="284">
        <v>45120</v>
      </c>
      <c r="L573" s="283" t="str">
        <f t="shared" si="120"/>
        <v>-</v>
      </c>
      <c r="M573" s="283" t="str">
        <f t="shared" si="121"/>
        <v>-</v>
      </c>
      <c r="N573" s="283" t="str">
        <f t="shared" si="122"/>
        <v>-</v>
      </c>
      <c r="O573" s="283" t="str">
        <f t="shared" si="123"/>
        <v>-</v>
      </c>
      <c r="P573" s="283" t="str">
        <f t="shared" si="124"/>
        <v>-</v>
      </c>
      <c r="Q573" s="283" t="str">
        <f t="shared" si="125"/>
        <v>-</v>
      </c>
      <c r="R573" s="283" t="str">
        <f t="shared" si="126"/>
        <v>-</v>
      </c>
      <c r="S573" s="283" t="str">
        <f t="shared" si="127"/>
        <v>-</v>
      </c>
      <c r="T573" s="283" t="str">
        <f t="shared" si="128"/>
        <v>-</v>
      </c>
      <c r="U573" s="283" t="str">
        <f t="shared" si="129"/>
        <v>-</v>
      </c>
      <c r="V573" s="283" t="str">
        <f t="shared" si="130"/>
        <v>NG</v>
      </c>
      <c r="W573" s="1" t="str">
        <f t="shared" si="131"/>
        <v>https://hri.fi/data/en/dataset/helsingin-tilastollinen-vuosikirja/</v>
      </c>
      <c r="X573" s="1" t="str">
        <f t="shared" si="132"/>
        <v>https://hri.fi/</v>
      </c>
      <c r="Y573" s="1" t="str">
        <f t="shared" si="133"/>
        <v>優先3</v>
      </c>
      <c r="Z573" s="1" t="str">
        <f t="shared" si="134"/>
        <v>Helsinki Region Infoshare . "Statistical Yearbook of Helsinki". Accessed 13 July, 2023. https://hri.fi/.</v>
      </c>
    </row>
    <row r="574" spans="2:26">
      <c r="B574" s="285" t="s">
        <v>826</v>
      </c>
      <c r="C574" s="285" t="s">
        <v>464</v>
      </c>
      <c r="D574" s="285" t="s">
        <v>673</v>
      </c>
      <c r="E574" s="285" t="s">
        <v>371</v>
      </c>
      <c r="F574" s="13" t="s">
        <v>827</v>
      </c>
      <c r="G574" s="13"/>
      <c r="H574" s="13"/>
      <c r="I574" s="13" t="s">
        <v>4251</v>
      </c>
      <c r="J574" s="13" t="s">
        <v>4104</v>
      </c>
      <c r="K574" s="284">
        <v>45120</v>
      </c>
      <c r="L574" s="283" t="str">
        <f t="shared" si="120"/>
        <v>-</v>
      </c>
      <c r="M574" s="283" t="str">
        <f t="shared" si="121"/>
        <v>-</v>
      </c>
      <c r="N574" s="283" t="str">
        <f t="shared" si="122"/>
        <v>-</v>
      </c>
      <c r="O574" s="283" t="str">
        <f t="shared" si="123"/>
        <v>-</v>
      </c>
      <c r="P574" s="283" t="str">
        <f t="shared" si="124"/>
        <v>-</v>
      </c>
      <c r="Q574" s="283" t="str">
        <f t="shared" si="125"/>
        <v>-</v>
      </c>
      <c r="R574" s="283" t="str">
        <f t="shared" si="126"/>
        <v>-</v>
      </c>
      <c r="S574" s="283" t="str">
        <f t="shared" si="127"/>
        <v>-</v>
      </c>
      <c r="T574" s="283" t="str">
        <f t="shared" si="128"/>
        <v>-</v>
      </c>
      <c r="U574" s="283" t="str">
        <f t="shared" si="129"/>
        <v>-</v>
      </c>
      <c r="V574" s="283" t="str">
        <f t="shared" si="130"/>
        <v>-</v>
      </c>
      <c r="W574" s="1" t="str">
        <f t="shared" si="131"/>
        <v>https://www.boi.org.il/en/economic-roles/statistics/real-economic-activity/labor-market-and-demography/#mainContent/</v>
      </c>
      <c r="X574" s="1" t="str">
        <f t="shared" si="132"/>
        <v>https://www.boi.org.il/</v>
      </c>
      <c r="Y574" s="1" t="str">
        <f t="shared" si="133"/>
        <v>優先3</v>
      </c>
      <c r="Z574" s="1" t="str">
        <f t="shared" si="134"/>
        <v>Bank of Israel. "Labor market and demography". Accessed 13 July, 2023. https://www.boi.org.il/.</v>
      </c>
    </row>
    <row r="575" spans="2:26">
      <c r="B575" s="285" t="s">
        <v>826</v>
      </c>
      <c r="C575" s="285" t="s">
        <v>464</v>
      </c>
      <c r="D575" s="285" t="s">
        <v>673</v>
      </c>
      <c r="E575" s="285" t="s">
        <v>372</v>
      </c>
      <c r="F575" s="13" t="s">
        <v>811</v>
      </c>
      <c r="G575" s="13"/>
      <c r="H575" s="13"/>
      <c r="I575" s="13" t="s">
        <v>2627</v>
      </c>
      <c r="J575" s="13" t="s">
        <v>4252</v>
      </c>
      <c r="K575" s="284">
        <v>45120</v>
      </c>
      <c r="L575" s="283" t="str">
        <f t="shared" si="120"/>
        <v>-</v>
      </c>
      <c r="M575" s="283" t="str">
        <f t="shared" si="121"/>
        <v>-</v>
      </c>
      <c r="N575" s="283" t="str">
        <f t="shared" si="122"/>
        <v>-</v>
      </c>
      <c r="O575" s="283" t="str">
        <f t="shared" si="123"/>
        <v>-</v>
      </c>
      <c r="P575" s="283" t="str">
        <f t="shared" si="124"/>
        <v>-</v>
      </c>
      <c r="Q575" s="283" t="str">
        <f t="shared" si="125"/>
        <v>-</v>
      </c>
      <c r="R575" s="283" t="str">
        <f t="shared" si="126"/>
        <v>-</v>
      </c>
      <c r="S575" s="283" t="str">
        <f t="shared" si="127"/>
        <v>-</v>
      </c>
      <c r="T575" s="283" t="str">
        <f t="shared" si="128"/>
        <v>-</v>
      </c>
      <c r="U575" s="283" t="str">
        <f t="shared" si="129"/>
        <v>-</v>
      </c>
      <c r="V575" s="283" t="str">
        <f t="shared" si="130"/>
        <v>-</v>
      </c>
      <c r="W575" s="1" t="str">
        <f t="shared" si="131"/>
        <v>https://www.abs.gov.au/statistics/labour/employment-and-unemployment/labour-force-australia-detailed/may-2023#data-downloads/</v>
      </c>
      <c r="X575" s="1" t="str">
        <f t="shared" si="132"/>
        <v>https://www.abs.gov.au/</v>
      </c>
      <c r="Y575" s="1" t="str">
        <f t="shared" si="133"/>
        <v>優先3</v>
      </c>
      <c r="Z575" s="1" t="str">
        <f t="shared" si="134"/>
        <v>Australian Bureau of Statistics. "Labour Force, Australia, Detailed". Accessed 13 July, 2023. https://www.abs.gov.au/.</v>
      </c>
    </row>
    <row r="576" spans="2:26">
      <c r="B576" s="285" t="s">
        <v>822</v>
      </c>
      <c r="C576" s="285" t="s">
        <v>698</v>
      </c>
      <c r="D576" s="285" t="s">
        <v>688</v>
      </c>
      <c r="E576" s="285" t="s">
        <v>688</v>
      </c>
      <c r="F576" s="13" t="s">
        <v>687</v>
      </c>
      <c r="G576" s="13"/>
      <c r="H576" s="13"/>
      <c r="I576" s="13" t="s">
        <v>686</v>
      </c>
      <c r="J576" s="13" t="s">
        <v>1282</v>
      </c>
      <c r="K576" s="284">
        <v>43978</v>
      </c>
      <c r="L576" s="283" t="str">
        <f t="shared" si="120"/>
        <v>-</v>
      </c>
      <c r="M576" s="283" t="str">
        <f t="shared" si="121"/>
        <v>-</v>
      </c>
      <c r="N576" s="283" t="str">
        <f t="shared" si="122"/>
        <v>-</v>
      </c>
      <c r="O576" s="283" t="str">
        <f t="shared" si="123"/>
        <v>-</v>
      </c>
      <c r="P576" s="283" t="str">
        <f t="shared" si="124"/>
        <v>-</v>
      </c>
      <c r="Q576" s="283" t="str">
        <f t="shared" si="125"/>
        <v>-</v>
      </c>
      <c r="R576" s="283" t="str">
        <f t="shared" si="126"/>
        <v>-</v>
      </c>
      <c r="S576" s="283" t="str">
        <f t="shared" si="127"/>
        <v>-</v>
      </c>
      <c r="T576" s="283" t="str">
        <f t="shared" si="128"/>
        <v>-</v>
      </c>
      <c r="U576" s="283" t="str">
        <f t="shared" si="129"/>
        <v>-</v>
      </c>
      <c r="V576" s="283" t="str">
        <f t="shared" si="130"/>
        <v>-</v>
      </c>
      <c r="W576" s="1" t="str">
        <f t="shared" si="131"/>
        <v>https://www.ubs.com/minisites/prices-earnings/en/open-data/</v>
      </c>
      <c r="X576" s="1" t="str">
        <f t="shared" si="132"/>
        <v>https://www.ubs.com/</v>
      </c>
      <c r="Y576" s="1" t="str">
        <f t="shared" si="133"/>
        <v>優先2①</v>
      </c>
      <c r="Z576" s="1" t="str">
        <f t="shared" si="134"/>
        <v>UBS. "Prices and earnings 2018". Accessed 27 May, 2020. https://www.ubs.com/.</v>
      </c>
    </row>
    <row r="577" spans="2:26">
      <c r="B577" s="285" t="s">
        <v>822</v>
      </c>
      <c r="C577" s="285" t="s">
        <v>698</v>
      </c>
      <c r="D577" s="285" t="s">
        <v>673</v>
      </c>
      <c r="E577" s="285" t="s">
        <v>144</v>
      </c>
      <c r="F577" s="13" t="s">
        <v>3750</v>
      </c>
      <c r="G577" s="13" t="s">
        <v>729</v>
      </c>
      <c r="H577" s="13"/>
      <c r="I577" s="13" t="s">
        <v>3751</v>
      </c>
      <c r="J577" s="13" t="s">
        <v>3752</v>
      </c>
      <c r="K577" s="284">
        <v>45099</v>
      </c>
      <c r="L577" s="283" t="str">
        <f t="shared" si="120"/>
        <v>-</v>
      </c>
      <c r="M577" s="283" t="str">
        <f t="shared" si="121"/>
        <v>-</v>
      </c>
      <c r="N577" s="283" t="str">
        <f t="shared" si="122"/>
        <v>-</v>
      </c>
      <c r="O577" s="283" t="str">
        <f t="shared" si="123"/>
        <v>-</v>
      </c>
      <c r="P577" s="283" t="str">
        <f t="shared" si="124"/>
        <v>-</v>
      </c>
      <c r="Q577" s="283" t="str">
        <f t="shared" si="125"/>
        <v>-</v>
      </c>
      <c r="R577" s="283" t="str">
        <f t="shared" si="126"/>
        <v>-</v>
      </c>
      <c r="S577" s="283" t="str">
        <f t="shared" si="127"/>
        <v>-</v>
      </c>
      <c r="T577" s="283" t="str">
        <f t="shared" si="128"/>
        <v>-</v>
      </c>
      <c r="U577" s="283" t="str">
        <f t="shared" si="129"/>
        <v>-</v>
      </c>
      <c r="V577" s="283" t="str">
        <f t="shared" si="130"/>
        <v>-</v>
      </c>
      <c r="W577" s="1" t="str">
        <f t="shared" si="131"/>
        <v>https://stats.mom.gov.sg/Pages/Hours-Worked-Summary-Table.aspx/</v>
      </c>
      <c r="X577" s="1" t="str">
        <f t="shared" si="132"/>
        <v>https://stats.mom.gov.sg/</v>
      </c>
      <c r="Y577" s="1" t="str">
        <f t="shared" si="133"/>
        <v>優先3</v>
      </c>
      <c r="Z577" s="1" t="str">
        <f t="shared" si="134"/>
        <v>Ministry of manpower, Government of Singapore. "Summary Table: Hours Worked". Accessed 22 June, 2023. https://stats.mom.gov.sg/.</v>
      </c>
    </row>
    <row r="578" spans="2:26">
      <c r="B578" s="285" t="s">
        <v>822</v>
      </c>
      <c r="C578" s="285" t="s">
        <v>698</v>
      </c>
      <c r="D578" s="285" t="s">
        <v>673</v>
      </c>
      <c r="E578" s="285" t="s">
        <v>156</v>
      </c>
      <c r="F578" s="13" t="s">
        <v>3753</v>
      </c>
      <c r="G578" s="13"/>
      <c r="H578" s="13" t="s">
        <v>825</v>
      </c>
      <c r="I578" s="13" t="s">
        <v>4253</v>
      </c>
      <c r="J578" s="13" t="s">
        <v>4254</v>
      </c>
      <c r="K578" s="284">
        <v>45099</v>
      </c>
      <c r="L578" s="283" t="str">
        <f t="shared" si="120"/>
        <v>-</v>
      </c>
      <c r="M578" s="283" t="str">
        <f t="shared" si="121"/>
        <v>-</v>
      </c>
      <c r="N578" s="283" t="str">
        <f t="shared" si="122"/>
        <v>-</v>
      </c>
      <c r="O578" s="283" t="str">
        <f t="shared" si="123"/>
        <v>-</v>
      </c>
      <c r="P578" s="283" t="str">
        <f t="shared" si="124"/>
        <v>-</v>
      </c>
      <c r="Q578" s="283" t="str">
        <f t="shared" si="125"/>
        <v>-</v>
      </c>
      <c r="R578" s="283" t="str">
        <f t="shared" si="126"/>
        <v>-</v>
      </c>
      <c r="S578" s="283" t="str">
        <f t="shared" si="127"/>
        <v>NG</v>
      </c>
      <c r="T578" s="283" t="str">
        <f t="shared" si="128"/>
        <v>-</v>
      </c>
      <c r="U578" s="283" t="str">
        <f t="shared" si="129"/>
        <v>-</v>
      </c>
      <c r="V578" s="283" t="str">
        <f t="shared" si="130"/>
        <v>-</v>
      </c>
      <c r="W578" s="1" t="str">
        <f t="shared" si="131"/>
        <v>https://ckan.open-governmentdata.org/dataset/401000_kinroutoukeichihou-yearreiwa04/</v>
      </c>
      <c r="X578" s="1" t="str">
        <f t="shared" si="132"/>
        <v>https://ckan.open-governmentdata.org/</v>
      </c>
      <c r="Y578" s="1" t="str">
        <f t="shared" si="133"/>
        <v>優先3</v>
      </c>
      <c r="Z578" s="1" t="str">
        <f t="shared" si="134"/>
        <v>Fukuoka Prefectural Government [福岡県]. "毎月勤労統計調査地方調査年報（令和4年）". Accessed 22 June, 2023. https://ckan.open-governmentdata.org/.</v>
      </c>
    </row>
    <row r="579" spans="2:26">
      <c r="B579" s="285" t="s">
        <v>822</v>
      </c>
      <c r="C579" s="285" t="s">
        <v>698</v>
      </c>
      <c r="D579" s="285" t="s">
        <v>673</v>
      </c>
      <c r="E579" s="285" t="s">
        <v>158</v>
      </c>
      <c r="F579" s="13" t="s">
        <v>824</v>
      </c>
      <c r="G579" s="13"/>
      <c r="H579" s="13" t="s">
        <v>823</v>
      </c>
      <c r="I579" s="13" t="s">
        <v>3754</v>
      </c>
      <c r="J579" s="13" t="s">
        <v>4255</v>
      </c>
      <c r="K579" s="284">
        <v>45099</v>
      </c>
      <c r="L579" s="283" t="str">
        <f t="shared" si="120"/>
        <v>-</v>
      </c>
      <c r="M579" s="283" t="str">
        <f t="shared" si="121"/>
        <v>-</v>
      </c>
      <c r="N579" s="283" t="str">
        <f t="shared" si="122"/>
        <v>-</v>
      </c>
      <c r="O579" s="283" t="str">
        <f t="shared" si="123"/>
        <v>-</v>
      </c>
      <c r="P579" s="283" t="str">
        <f t="shared" si="124"/>
        <v>-</v>
      </c>
      <c r="Q579" s="283" t="str">
        <f t="shared" si="125"/>
        <v>-</v>
      </c>
      <c r="R579" s="283" t="str">
        <f t="shared" si="126"/>
        <v>-</v>
      </c>
      <c r="S579" s="283" t="str">
        <f t="shared" si="127"/>
        <v>NG</v>
      </c>
      <c r="T579" s="283" t="str">
        <f t="shared" si="128"/>
        <v>-</v>
      </c>
      <c r="U579" s="283" t="str">
        <f t="shared" si="129"/>
        <v>-</v>
      </c>
      <c r="V579" s="283" t="str">
        <f t="shared" si="130"/>
        <v>-</v>
      </c>
      <c r="W579" s="1" t="str">
        <f t="shared" si="131"/>
        <v>https://www.pref.osaka.lg.jp/toukei/maikin_n/maikin_ne.html/</v>
      </c>
      <c r="X579" s="1" t="str">
        <f t="shared" si="132"/>
        <v>https://www.pref.osaka.lg.jp/</v>
      </c>
      <c r="Y579" s="1" t="str">
        <f t="shared" si="133"/>
        <v>優先3</v>
      </c>
      <c r="Z579" s="1" t="str">
        <f t="shared" si="134"/>
        <v>Osaka Prefectural Government [大阪府]. "大阪の賃金、労働時間及び雇用の動き（年報）". Accessed 22 June, 2023. https://www.pref.osaka.lg.jp/.</v>
      </c>
    </row>
    <row r="580" spans="2:26">
      <c r="B580" s="285" t="s">
        <v>822</v>
      </c>
      <c r="C580" s="285" t="s">
        <v>698</v>
      </c>
      <c r="D580" s="285" t="s">
        <v>673</v>
      </c>
      <c r="E580" s="285" t="s">
        <v>164</v>
      </c>
      <c r="F580" s="13" t="s">
        <v>814</v>
      </c>
      <c r="G580" s="13"/>
      <c r="H580" s="13"/>
      <c r="I580" s="13" t="s">
        <v>3755</v>
      </c>
      <c r="J580" s="13" t="s">
        <v>3756</v>
      </c>
      <c r="K580" s="284">
        <v>45099</v>
      </c>
      <c r="L580" s="283" t="str">
        <f t="shared" si="120"/>
        <v>-</v>
      </c>
      <c r="M580" s="283" t="str">
        <f t="shared" si="121"/>
        <v>-</v>
      </c>
      <c r="N580" s="283" t="str">
        <f t="shared" si="122"/>
        <v>-</v>
      </c>
      <c r="O580" s="283" t="str">
        <f t="shared" si="123"/>
        <v>-</v>
      </c>
      <c r="P580" s="283" t="str">
        <f t="shared" si="124"/>
        <v>-</v>
      </c>
      <c r="Q580" s="283" t="str">
        <f t="shared" si="125"/>
        <v>-</v>
      </c>
      <c r="R580" s="283" t="str">
        <f t="shared" si="126"/>
        <v>-</v>
      </c>
      <c r="S580" s="283" t="str">
        <f t="shared" si="127"/>
        <v>-</v>
      </c>
      <c r="T580" s="283" t="str">
        <f t="shared" si="128"/>
        <v>-</v>
      </c>
      <c r="U580" s="283" t="str">
        <f t="shared" si="129"/>
        <v>-</v>
      </c>
      <c r="V580" s="283" t="str">
        <f t="shared" si="130"/>
        <v>-</v>
      </c>
      <c r="W580" s="1" t="str">
        <f t="shared" si="131"/>
        <v>https://www150.statcan.gc.ca/t1/tbl1/en/cv.action?pid=1410022201/</v>
      </c>
      <c r="X580" s="1" t="str">
        <f t="shared" si="132"/>
        <v>https://www150.statcan.gc.ca/</v>
      </c>
      <c r="Y580" s="1" t="str">
        <f t="shared" si="133"/>
        <v>優先3</v>
      </c>
      <c r="Z580" s="1" t="str">
        <f t="shared" si="134"/>
        <v>Statistics Canada. "Employment, average hourly and weekly earnings (including overtime), and average weekly hours for the industrial aggregate excluding unclassified businesses, monthly, seasonally adjusted". Accessed 22 June, 2023. https://www150.statcan.gc.ca/.</v>
      </c>
    </row>
    <row r="581" spans="2:26">
      <c r="B581" s="285" t="s">
        <v>822</v>
      </c>
      <c r="C581" s="285" t="s">
        <v>698</v>
      </c>
      <c r="D581" s="285" t="s">
        <v>673</v>
      </c>
      <c r="E581" s="285" t="s">
        <v>166</v>
      </c>
      <c r="F581" s="13" t="s">
        <v>3757</v>
      </c>
      <c r="G581" s="13" t="s">
        <v>1402</v>
      </c>
      <c r="H581" s="13"/>
      <c r="I581" s="13" t="s">
        <v>3758</v>
      </c>
      <c r="J581" s="13" t="s">
        <v>3759</v>
      </c>
      <c r="K581" s="284">
        <v>45099</v>
      </c>
      <c r="L581" s="283">
        <f t="shared" si="120"/>
        <v>3</v>
      </c>
      <c r="M581" s="283" t="str">
        <f t="shared" si="121"/>
        <v>-</v>
      </c>
      <c r="N581" s="283" t="str">
        <f t="shared" si="122"/>
        <v>-</v>
      </c>
      <c r="O581" s="283" t="str">
        <f t="shared" si="123"/>
        <v>-</v>
      </c>
      <c r="P581" s="283" t="str">
        <f t="shared" si="124"/>
        <v>-</v>
      </c>
      <c r="Q581" s="283" t="str">
        <f t="shared" si="125"/>
        <v>-</v>
      </c>
      <c r="R581" s="283" t="str">
        <f t="shared" si="126"/>
        <v>-</v>
      </c>
      <c r="S581" s="283" t="str">
        <f t="shared" si="127"/>
        <v>-</v>
      </c>
      <c r="T581" s="283" t="str">
        <f t="shared" si="128"/>
        <v>-</v>
      </c>
      <c r="U581" s="283" t="str">
        <f t="shared" si="129"/>
        <v>-</v>
      </c>
      <c r="V581" s="283" t="str">
        <f t="shared" si="130"/>
        <v>-</v>
      </c>
      <c r="W581" s="1" t="str">
        <f t="shared" si="131"/>
        <v>https://www.bls.gov/sae/tables/annual-average/table-4-average-hours-and-earnings-of-all-employees-on-private-nonfarm-payrolls-by-state.htm/</v>
      </c>
      <c r="X581" s="1" t="str">
        <f t="shared" si="132"/>
        <v>https://www.bls.gov/</v>
      </c>
      <c r="Y581" s="1" t="str">
        <f t="shared" si="133"/>
        <v>優先3</v>
      </c>
      <c r="Z581" s="1" t="str">
        <f t="shared" si="134"/>
        <v>Bureau of Labor Statistics, Department of Labor, United States of America. "State and Metro Area Employment, Hours, &amp; Earnings". Accessed 22 June, 2023. https://www.bls.gov/.</v>
      </c>
    </row>
    <row r="582" spans="2:26">
      <c r="B582" s="285" t="s">
        <v>822</v>
      </c>
      <c r="C582" s="285" t="s">
        <v>698</v>
      </c>
      <c r="D582" s="285" t="s">
        <v>673</v>
      </c>
      <c r="E582" s="285" t="s">
        <v>373</v>
      </c>
      <c r="F582" s="13" t="s">
        <v>3757</v>
      </c>
      <c r="G582" s="13" t="s">
        <v>1402</v>
      </c>
      <c r="H582" s="13"/>
      <c r="I582" s="13" t="s">
        <v>3758</v>
      </c>
      <c r="J582" s="13" t="s">
        <v>3759</v>
      </c>
      <c r="K582" s="284">
        <v>45099</v>
      </c>
      <c r="L582" s="283">
        <f t="shared" ref="L582:L645" si="135">IF(COUNTIFS(B:B,B582,I:I,I582,X:X,X582)&lt;=1,"-",COUNTIFS(B:B,B582,I:I,I582,X:X,X582))</f>
        <v>3</v>
      </c>
      <c r="M582" s="283" t="str">
        <f t="shared" ref="M582:M645" si="136">IF(I582="","書籍","-")</f>
        <v>-</v>
      </c>
      <c r="N582" s="283" t="str">
        <f t="shared" ref="N582:N645" si="137">IF(OR(COUNTIF($F582,"*(*"),COUNTIF($G582,"*(*"),COUNTIF($H582,"*(*")),"NG","-")</f>
        <v>-</v>
      </c>
      <c r="O582" s="283" t="str">
        <f t="shared" ref="O582:O645" si="138">IF(COUNTIF($Z582,"*..*"),"NG","-")</f>
        <v>-</v>
      </c>
      <c r="P582" s="283" t="str">
        <f t="shared" ref="P582:P645" si="139">IF(COUNTIF($Z582,"*""""*"),"NG","-")</f>
        <v>-</v>
      </c>
      <c r="Q582" s="283" t="str">
        <f t="shared" ref="Q582:Q645" si="140">IF(COUNTIF($Z582,"*  *"),"NG","-")</f>
        <v>-</v>
      </c>
      <c r="R582" s="283" t="str">
        <f t="shared" ref="R582:R645" si="141">IF(COUNTIF($Z582,"*　*"),"NG","-")</f>
        <v>-</v>
      </c>
      <c r="S582" s="283" t="str">
        <f t="shared" ref="S582:S645" si="142">IF(COUNTIF($Z582,"*（*"),"NG","-")</f>
        <v>-</v>
      </c>
      <c r="T582" s="283" t="str">
        <f t="shared" ref="T582:T645" si="143">IF(COUNTIF($Z582,"*(*"),IF(COUNTIF($Z582,"* (*"),"-","NG"),"-")</f>
        <v>-</v>
      </c>
      <c r="U582" s="283" t="str">
        <f t="shared" ref="U582:U645" si="144">IF(OR(LEFT(F582,1)=" ",LEFT(G582,1)=" ",LEFT(H582,1)=" ",LEFT(I582,1)=" ",LEFT(J582,1)=" "),"NG","-")</f>
        <v>-</v>
      </c>
      <c r="V582" s="283" t="str">
        <f t="shared" ref="V582:V645" si="145">IF(OR(RIGHT(F582,1)=" ",RIGHT(G582,1)=" ",RIGHT(H582,1)=" ",RIGHT(I582,1)=" ",RIGHT(J582,1)=" "),"NG","-")</f>
        <v>-</v>
      </c>
      <c r="W582" s="1" t="str">
        <f t="shared" ref="W582:W645" si="146">IF(J582="","",IF(RIGHT(J582,1)="/",J582,J582&amp;"/"))</f>
        <v>https://www.bls.gov/sae/tables/annual-average/table-4-average-hours-and-earnings-of-all-employees-on-private-nonfarm-payrolls-by-state.htm/</v>
      </c>
      <c r="X582" s="1" t="str">
        <f t="shared" ref="X582:X645" si="147">IF(W582="","",LEFT(W582,FIND("/",W582,FIND("/",W582,FIND("/", W582)+1)+1)))</f>
        <v>https://www.bls.gov/</v>
      </c>
      <c r="Y582" s="1" t="str">
        <f t="shared" ref="Y582:Y645" si="148">IF(AND(C582="-",D582="共通"),"優先1",IF(OR(COUNTIF(C582,"*補助*"),D582&lt;&gt;"共通"),"優先3","優先2"&amp;C582))</f>
        <v>優先3</v>
      </c>
      <c r="Z582" s="1" t="str">
        <f t="shared" ref="Z582:Z645" si="149">IF(X582="",F582,CONCATENATE(IF(F582="",G582,IF(G582="",F582,F582&amp;", "&amp;G582)),IF(H582="",". "," ["&amp;H582&amp;"]. "),"""",I582,""". ","Accessed ",TEXT(K582,"dd mmmm, yyyy"),". ",X582,"."))</f>
        <v>Bureau of Labor Statistics, Department of Labor, United States of America. "State and Metro Area Employment, Hours, &amp; Earnings". Accessed 22 June, 2023. https://www.bls.gov/.</v>
      </c>
    </row>
    <row r="583" spans="2:26">
      <c r="B583" s="285" t="s">
        <v>822</v>
      </c>
      <c r="C583" s="285" t="s">
        <v>698</v>
      </c>
      <c r="D583" s="285" t="s">
        <v>673</v>
      </c>
      <c r="E583" s="285" t="s">
        <v>180</v>
      </c>
      <c r="F583" s="13" t="s">
        <v>3757</v>
      </c>
      <c r="G583" s="13" t="s">
        <v>1402</v>
      </c>
      <c r="H583" s="13"/>
      <c r="I583" s="13" t="s">
        <v>3758</v>
      </c>
      <c r="J583" s="13" t="s">
        <v>3759</v>
      </c>
      <c r="K583" s="284">
        <v>45099</v>
      </c>
      <c r="L583" s="283">
        <f t="shared" si="135"/>
        <v>3</v>
      </c>
      <c r="M583" s="283" t="str">
        <f t="shared" si="136"/>
        <v>-</v>
      </c>
      <c r="N583" s="283" t="str">
        <f t="shared" si="137"/>
        <v>-</v>
      </c>
      <c r="O583" s="283" t="str">
        <f t="shared" si="138"/>
        <v>-</v>
      </c>
      <c r="P583" s="283" t="str">
        <f t="shared" si="139"/>
        <v>-</v>
      </c>
      <c r="Q583" s="283" t="str">
        <f t="shared" si="140"/>
        <v>-</v>
      </c>
      <c r="R583" s="283" t="str">
        <f t="shared" si="141"/>
        <v>-</v>
      </c>
      <c r="S583" s="283" t="str">
        <f t="shared" si="142"/>
        <v>-</v>
      </c>
      <c r="T583" s="283" t="str">
        <f t="shared" si="143"/>
        <v>-</v>
      </c>
      <c r="U583" s="283" t="str">
        <f t="shared" si="144"/>
        <v>-</v>
      </c>
      <c r="V583" s="283" t="str">
        <f t="shared" si="145"/>
        <v>-</v>
      </c>
      <c r="W583" s="1" t="str">
        <f t="shared" si="146"/>
        <v>https://www.bls.gov/sae/tables/annual-average/table-4-average-hours-and-earnings-of-all-employees-on-private-nonfarm-payrolls-by-state.htm/</v>
      </c>
      <c r="X583" s="1" t="str">
        <f t="shared" si="147"/>
        <v>https://www.bls.gov/</v>
      </c>
      <c r="Y583" s="1" t="str">
        <f t="shared" si="148"/>
        <v>優先3</v>
      </c>
      <c r="Z583" s="1" t="str">
        <f t="shared" si="149"/>
        <v>Bureau of Labor Statistics, Department of Labor, United States of America. "State and Metro Area Employment, Hours, &amp; Earnings". Accessed 22 June, 2023. https://www.bls.gov/.</v>
      </c>
    </row>
    <row r="584" spans="2:26">
      <c r="B584" s="285" t="s">
        <v>822</v>
      </c>
      <c r="C584" s="285" t="s">
        <v>698</v>
      </c>
      <c r="D584" s="285" t="s">
        <v>673</v>
      </c>
      <c r="E584" s="285" t="s">
        <v>372</v>
      </c>
      <c r="F584" s="13" t="s">
        <v>811</v>
      </c>
      <c r="G584" s="13"/>
      <c r="H584" s="13"/>
      <c r="I584" s="13" t="s">
        <v>3760</v>
      </c>
      <c r="J584" s="13" t="s">
        <v>4256</v>
      </c>
      <c r="K584" s="284">
        <v>45099</v>
      </c>
      <c r="L584" s="283" t="str">
        <f t="shared" si="135"/>
        <v>-</v>
      </c>
      <c r="M584" s="283" t="str">
        <f t="shared" si="136"/>
        <v>-</v>
      </c>
      <c r="N584" s="283" t="str">
        <f t="shared" si="137"/>
        <v>-</v>
      </c>
      <c r="O584" s="283" t="str">
        <f t="shared" si="138"/>
        <v>-</v>
      </c>
      <c r="P584" s="283" t="str">
        <f t="shared" si="139"/>
        <v>-</v>
      </c>
      <c r="Q584" s="283" t="str">
        <f t="shared" si="140"/>
        <v>-</v>
      </c>
      <c r="R584" s="283" t="str">
        <f t="shared" si="141"/>
        <v>-</v>
      </c>
      <c r="S584" s="283" t="str">
        <f t="shared" si="142"/>
        <v>-</v>
      </c>
      <c r="T584" s="283" t="str">
        <f t="shared" si="143"/>
        <v>-</v>
      </c>
      <c r="U584" s="283" t="str">
        <f t="shared" si="144"/>
        <v>-</v>
      </c>
      <c r="V584" s="283" t="str">
        <f t="shared" si="145"/>
        <v>-</v>
      </c>
      <c r="W584" s="1" t="str">
        <f t="shared" si="146"/>
        <v>https://www.abs.gov.au/census/find-census-data/community-profiles/2021/2GMEL/</v>
      </c>
      <c r="X584" s="1" t="str">
        <f t="shared" si="147"/>
        <v>https://www.abs.gov.au/</v>
      </c>
      <c r="Y584" s="1" t="str">
        <f t="shared" si="148"/>
        <v>優先3</v>
      </c>
      <c r="Z584" s="1" t="str">
        <f t="shared" si="149"/>
        <v>Australian Bureau of Statistics. "Working Population Profile". Accessed 22 June, 2023. https://www.abs.gov.au/.</v>
      </c>
    </row>
    <row r="585" spans="2:26">
      <c r="B585" s="285" t="s">
        <v>822</v>
      </c>
      <c r="C585" s="285" t="s">
        <v>716</v>
      </c>
      <c r="D585" s="285" t="s">
        <v>688</v>
      </c>
      <c r="E585" s="285" t="s">
        <v>688</v>
      </c>
      <c r="F585" s="13" t="s">
        <v>2705</v>
      </c>
      <c r="G585" s="13"/>
      <c r="H585" s="13"/>
      <c r="I585" s="13" t="s">
        <v>3761</v>
      </c>
      <c r="J585" s="13" t="s">
        <v>3762</v>
      </c>
      <c r="K585" s="284">
        <v>45104</v>
      </c>
      <c r="L585" s="283" t="str">
        <f t="shared" si="135"/>
        <v>-</v>
      </c>
      <c r="M585" s="283" t="str">
        <f t="shared" si="136"/>
        <v>-</v>
      </c>
      <c r="N585" s="283" t="str">
        <f t="shared" si="137"/>
        <v>-</v>
      </c>
      <c r="O585" s="283" t="str">
        <f t="shared" si="138"/>
        <v>-</v>
      </c>
      <c r="P585" s="283" t="str">
        <f t="shared" si="139"/>
        <v>-</v>
      </c>
      <c r="Q585" s="283" t="str">
        <f t="shared" si="140"/>
        <v>-</v>
      </c>
      <c r="R585" s="283" t="str">
        <f t="shared" si="141"/>
        <v>-</v>
      </c>
      <c r="S585" s="283" t="str">
        <f t="shared" si="142"/>
        <v>-</v>
      </c>
      <c r="T585" s="283" t="str">
        <f t="shared" si="143"/>
        <v>NG</v>
      </c>
      <c r="U585" s="283" t="str">
        <f t="shared" si="144"/>
        <v>-</v>
      </c>
      <c r="V585" s="283" t="str">
        <f t="shared" si="145"/>
        <v>-</v>
      </c>
      <c r="W585" s="1" t="str">
        <f t="shared" si="146"/>
        <v>https://www.ilo.org/shinyapps/bulkexplorer26/</v>
      </c>
      <c r="X585" s="1" t="str">
        <f t="shared" si="147"/>
        <v>https://www.ilo.org/</v>
      </c>
      <c r="Y585" s="1" t="str">
        <f t="shared" si="148"/>
        <v>優先2②</v>
      </c>
      <c r="Z585" s="1" t="str">
        <f t="shared" si="149"/>
        <v>International Labour Organization. "ILOSTAT explorer - Total weekly hours worked of employed persons, by sex - ILO modelled estimates(thousand)-Annual". Accessed 27 June, 2023. https://www.ilo.org/.</v>
      </c>
    </row>
    <row r="586" spans="2:26">
      <c r="B586" s="285" t="s">
        <v>1030</v>
      </c>
      <c r="C586" s="285" t="s">
        <v>464</v>
      </c>
      <c r="D586" s="285" t="s">
        <v>688</v>
      </c>
      <c r="E586" s="285" t="s">
        <v>688</v>
      </c>
      <c r="F586" s="13" t="s">
        <v>1029</v>
      </c>
      <c r="G586" s="13"/>
      <c r="H586" s="13"/>
      <c r="I586" s="13"/>
      <c r="J586" s="13"/>
      <c r="K586" s="284"/>
      <c r="L586" s="283" t="str">
        <f t="shared" si="135"/>
        <v>-</v>
      </c>
      <c r="M586" s="283" t="str">
        <f t="shared" si="136"/>
        <v>書籍</v>
      </c>
      <c r="N586" s="283" t="str">
        <f t="shared" si="137"/>
        <v>-</v>
      </c>
      <c r="O586" s="283" t="str">
        <f t="shared" si="138"/>
        <v>-</v>
      </c>
      <c r="P586" s="283" t="str">
        <f t="shared" si="139"/>
        <v>-</v>
      </c>
      <c r="Q586" s="283" t="str">
        <f t="shared" si="140"/>
        <v>-</v>
      </c>
      <c r="R586" s="283" t="str">
        <f t="shared" si="141"/>
        <v>-</v>
      </c>
      <c r="S586" s="283" t="str">
        <f t="shared" si="142"/>
        <v>-</v>
      </c>
      <c r="T586" s="283" t="str">
        <f t="shared" si="143"/>
        <v>-</v>
      </c>
      <c r="U586" s="283" t="str">
        <f t="shared" si="144"/>
        <v>-</v>
      </c>
      <c r="V586" s="283" t="str">
        <f t="shared" si="145"/>
        <v>-</v>
      </c>
      <c r="W586" s="1" t="str">
        <f t="shared" si="146"/>
        <v/>
      </c>
      <c r="X586" s="1" t="str">
        <f t="shared" si="147"/>
        <v/>
      </c>
      <c r="Y586" s="1" t="str">
        <f t="shared" si="148"/>
        <v>優先1</v>
      </c>
      <c r="Z586" s="1" t="str">
        <f t="shared" si="149"/>
        <v>居住者アンケート</v>
      </c>
    </row>
    <row r="587" spans="2:26">
      <c r="B587" s="285" t="s">
        <v>819</v>
      </c>
      <c r="C587" s="285" t="s">
        <v>464</v>
      </c>
      <c r="D587" s="285" t="s">
        <v>688</v>
      </c>
      <c r="E587" s="285" t="s">
        <v>688</v>
      </c>
      <c r="F587" s="13" t="s">
        <v>1406</v>
      </c>
      <c r="G587" s="13"/>
      <c r="H587" s="13"/>
      <c r="I587" s="13" t="s">
        <v>37</v>
      </c>
      <c r="J587" s="13" t="s">
        <v>3695</v>
      </c>
      <c r="K587" s="284">
        <v>45134</v>
      </c>
      <c r="L587" s="283" t="str">
        <f t="shared" si="135"/>
        <v>-</v>
      </c>
      <c r="M587" s="283" t="str">
        <f t="shared" si="136"/>
        <v>-</v>
      </c>
      <c r="N587" s="283" t="str">
        <f t="shared" si="137"/>
        <v>-</v>
      </c>
      <c r="O587" s="283" t="str">
        <f t="shared" si="138"/>
        <v>-</v>
      </c>
      <c r="P587" s="283" t="str">
        <f t="shared" si="139"/>
        <v>-</v>
      </c>
      <c r="Q587" s="283" t="str">
        <f t="shared" si="140"/>
        <v>-</v>
      </c>
      <c r="R587" s="283" t="str">
        <f t="shared" si="141"/>
        <v>-</v>
      </c>
      <c r="S587" s="283" t="str">
        <f t="shared" si="142"/>
        <v>-</v>
      </c>
      <c r="T587" s="283" t="str">
        <f t="shared" si="143"/>
        <v>-</v>
      </c>
      <c r="U587" s="283" t="str">
        <f t="shared" si="144"/>
        <v>-</v>
      </c>
      <c r="V587" s="283" t="str">
        <f t="shared" si="145"/>
        <v>-</v>
      </c>
      <c r="W587" s="1" t="str">
        <f t="shared" si="146"/>
        <v>https://www.numbeo.com/cost-of-living/</v>
      </c>
      <c r="X587" s="1" t="str">
        <f t="shared" si="147"/>
        <v>https://www.numbeo.com/</v>
      </c>
      <c r="Y587" s="1" t="str">
        <f t="shared" si="148"/>
        <v>優先1</v>
      </c>
      <c r="Z587" s="1" t="str">
        <f t="shared" si="149"/>
        <v>NUMBEO. "Cost of Living". Accessed 27 July, 2023. https://www.numbeo.com/.</v>
      </c>
    </row>
    <row r="588" spans="2:26">
      <c r="B588" s="285" t="s">
        <v>812</v>
      </c>
      <c r="C588" s="285" t="s">
        <v>464</v>
      </c>
      <c r="D588" s="285" t="s">
        <v>688</v>
      </c>
      <c r="E588" s="285" t="s">
        <v>688</v>
      </c>
      <c r="F588" s="13" t="s">
        <v>3763</v>
      </c>
      <c r="G588" s="13"/>
      <c r="H588" s="13"/>
      <c r="I588" s="13" t="s">
        <v>3764</v>
      </c>
      <c r="J588" s="13" t="s">
        <v>3765</v>
      </c>
      <c r="K588" s="284">
        <v>45131</v>
      </c>
      <c r="L588" s="283" t="str">
        <f t="shared" si="135"/>
        <v>-</v>
      </c>
      <c r="M588" s="283" t="str">
        <f t="shared" si="136"/>
        <v>-</v>
      </c>
      <c r="N588" s="283" t="str">
        <f t="shared" si="137"/>
        <v>-</v>
      </c>
      <c r="O588" s="283" t="str">
        <f t="shared" si="138"/>
        <v>-</v>
      </c>
      <c r="P588" s="283" t="str">
        <f t="shared" si="139"/>
        <v>-</v>
      </c>
      <c r="Q588" s="283" t="str">
        <f t="shared" si="140"/>
        <v>-</v>
      </c>
      <c r="R588" s="283" t="str">
        <f t="shared" si="141"/>
        <v>-</v>
      </c>
      <c r="S588" s="283" t="str">
        <f t="shared" si="142"/>
        <v>-</v>
      </c>
      <c r="T588" s="283" t="str">
        <f t="shared" si="143"/>
        <v>-</v>
      </c>
      <c r="U588" s="283" t="str">
        <f t="shared" si="144"/>
        <v>-</v>
      </c>
      <c r="V588" s="283" t="str">
        <f t="shared" si="145"/>
        <v>-</v>
      </c>
      <c r="W588" s="1" t="str">
        <f t="shared" si="146"/>
        <v>https://www.expatistan.com/cost-of-living/index/</v>
      </c>
      <c r="X588" s="1" t="str">
        <f t="shared" si="147"/>
        <v>https://www.expatistan.com/</v>
      </c>
      <c r="Y588" s="1" t="str">
        <f t="shared" si="148"/>
        <v>優先1</v>
      </c>
      <c r="Z588" s="1" t="str">
        <f t="shared" si="149"/>
        <v>Expatistan.com. "Expatistan Cost of Living Index". Accessed 24 July, 2023. https://www.expatistan.com/.</v>
      </c>
    </row>
    <row r="589" spans="2:26">
      <c r="B589" s="285" t="s">
        <v>812</v>
      </c>
      <c r="C589" s="285" t="s">
        <v>464</v>
      </c>
      <c r="D589" s="285" t="s">
        <v>688</v>
      </c>
      <c r="E589" s="285" t="s">
        <v>688</v>
      </c>
      <c r="F589" s="13" t="s">
        <v>687</v>
      </c>
      <c r="G589" s="13"/>
      <c r="H589" s="13"/>
      <c r="I589" s="13" t="s">
        <v>686</v>
      </c>
      <c r="J589" s="13" t="s">
        <v>1282</v>
      </c>
      <c r="K589" s="284">
        <v>43978</v>
      </c>
      <c r="L589" s="283" t="str">
        <f t="shared" si="135"/>
        <v>-</v>
      </c>
      <c r="M589" s="283" t="str">
        <f t="shared" si="136"/>
        <v>-</v>
      </c>
      <c r="N589" s="283" t="str">
        <f t="shared" si="137"/>
        <v>-</v>
      </c>
      <c r="O589" s="283" t="str">
        <f t="shared" si="138"/>
        <v>-</v>
      </c>
      <c r="P589" s="283" t="str">
        <f t="shared" si="139"/>
        <v>-</v>
      </c>
      <c r="Q589" s="283" t="str">
        <f t="shared" si="140"/>
        <v>-</v>
      </c>
      <c r="R589" s="283" t="str">
        <f t="shared" si="141"/>
        <v>-</v>
      </c>
      <c r="S589" s="283" t="str">
        <f t="shared" si="142"/>
        <v>-</v>
      </c>
      <c r="T589" s="283" t="str">
        <f t="shared" si="143"/>
        <v>-</v>
      </c>
      <c r="U589" s="283" t="str">
        <f t="shared" si="144"/>
        <v>-</v>
      </c>
      <c r="V589" s="283" t="str">
        <f t="shared" si="145"/>
        <v>-</v>
      </c>
      <c r="W589" s="1" t="str">
        <f t="shared" si="146"/>
        <v>https://www.ubs.com/minisites/prices-earnings/en/open-data/</v>
      </c>
      <c r="X589" s="1" t="str">
        <f t="shared" si="147"/>
        <v>https://www.ubs.com/</v>
      </c>
      <c r="Y589" s="1" t="str">
        <f t="shared" si="148"/>
        <v>優先1</v>
      </c>
      <c r="Z589" s="1" t="str">
        <f t="shared" si="149"/>
        <v>UBS. "Prices and earnings 2018". Accessed 27 May, 2020. https://www.ubs.com/.</v>
      </c>
    </row>
    <row r="590" spans="2:26">
      <c r="B590" s="285" t="s">
        <v>812</v>
      </c>
      <c r="C590" s="285" t="s">
        <v>464</v>
      </c>
      <c r="D590" s="285" t="s">
        <v>673</v>
      </c>
      <c r="E590" s="285" t="s">
        <v>144</v>
      </c>
      <c r="F590" s="13" t="s">
        <v>2706</v>
      </c>
      <c r="G590" s="13" t="s">
        <v>729</v>
      </c>
      <c r="H590" s="13"/>
      <c r="I590" s="13" t="s">
        <v>2707</v>
      </c>
      <c r="J590" s="13" t="s">
        <v>2708</v>
      </c>
      <c r="K590" s="284">
        <v>43620</v>
      </c>
      <c r="L590" s="283" t="str">
        <f t="shared" si="135"/>
        <v>-</v>
      </c>
      <c r="M590" s="283" t="str">
        <f t="shared" si="136"/>
        <v>-</v>
      </c>
      <c r="N590" s="283" t="str">
        <f t="shared" si="137"/>
        <v>-</v>
      </c>
      <c r="O590" s="283" t="str">
        <f t="shared" si="138"/>
        <v>-</v>
      </c>
      <c r="P590" s="283" t="str">
        <f t="shared" si="139"/>
        <v>-</v>
      </c>
      <c r="Q590" s="283" t="str">
        <f t="shared" si="140"/>
        <v>-</v>
      </c>
      <c r="R590" s="283" t="str">
        <f t="shared" si="141"/>
        <v>-</v>
      </c>
      <c r="S590" s="283" t="str">
        <f t="shared" si="142"/>
        <v>-</v>
      </c>
      <c r="T590" s="283" t="str">
        <f t="shared" si="143"/>
        <v>-</v>
      </c>
      <c r="U590" s="283" t="str">
        <f t="shared" si="144"/>
        <v>-</v>
      </c>
      <c r="V590" s="283" t="str">
        <f t="shared" si="145"/>
        <v>-</v>
      </c>
      <c r="W590" s="1" t="str">
        <f t="shared" si="146"/>
        <v>https://www.singstat.gov.sg/find-data/search-by-theme?type=publications/</v>
      </c>
      <c r="X590" s="1" t="str">
        <f t="shared" si="147"/>
        <v>https://www.singstat.gov.sg/</v>
      </c>
      <c r="Y590" s="1" t="str">
        <f t="shared" si="148"/>
        <v>優先3</v>
      </c>
      <c r="Z590" s="1" t="str">
        <f t="shared" si="149"/>
        <v>Statistics Singapore, Government of Singapore. "Monthly Consumer Price Index, Singapore". Accessed 04 June, 2019. https://www.singstat.gov.sg/.</v>
      </c>
    </row>
    <row r="591" spans="2:26">
      <c r="B591" s="285" t="s">
        <v>812</v>
      </c>
      <c r="C591" s="285" t="s">
        <v>464</v>
      </c>
      <c r="D591" s="285" t="s">
        <v>673</v>
      </c>
      <c r="E591" s="285" t="s">
        <v>156</v>
      </c>
      <c r="F591" s="13" t="s">
        <v>817</v>
      </c>
      <c r="G591" s="13" t="s">
        <v>691</v>
      </c>
      <c r="H591" s="13" t="s">
        <v>816</v>
      </c>
      <c r="I591" s="13" t="s">
        <v>815</v>
      </c>
      <c r="J591" s="13" t="s">
        <v>1403</v>
      </c>
      <c r="K591" s="284">
        <v>43984</v>
      </c>
      <c r="L591" s="283">
        <f t="shared" si="135"/>
        <v>2</v>
      </c>
      <c r="M591" s="283" t="str">
        <f t="shared" si="136"/>
        <v>-</v>
      </c>
      <c r="N591" s="283" t="str">
        <f t="shared" si="137"/>
        <v>-</v>
      </c>
      <c r="O591" s="283" t="str">
        <f t="shared" si="138"/>
        <v>-</v>
      </c>
      <c r="P591" s="283" t="str">
        <f t="shared" si="139"/>
        <v>-</v>
      </c>
      <c r="Q591" s="283" t="str">
        <f t="shared" si="140"/>
        <v>-</v>
      </c>
      <c r="R591" s="283" t="str">
        <f t="shared" si="141"/>
        <v>-</v>
      </c>
      <c r="S591" s="283" t="str">
        <f t="shared" si="142"/>
        <v>-</v>
      </c>
      <c r="T591" s="283" t="str">
        <f t="shared" si="143"/>
        <v>-</v>
      </c>
      <c r="U591" s="283" t="str">
        <f t="shared" si="144"/>
        <v>-</v>
      </c>
      <c r="V591" s="283" t="str">
        <f t="shared" si="145"/>
        <v>-</v>
      </c>
      <c r="W591" s="1" t="str">
        <f t="shared" si="146"/>
        <v>https://www.e-stat.go.jp/stat-search/files?page=1&amp;layout=datalist&amp;toukei=00200571&amp;bunya_l=07&amp;tstat=000001067253&amp;cycle=7&amp;year=20180&amp;month=0&amp;result_back=1&amp;result_page=1&amp;tclass1val=0/</v>
      </c>
      <c r="X591" s="1" t="str">
        <f t="shared" si="147"/>
        <v>https://www.e-stat.go.jp/</v>
      </c>
      <c r="Y591" s="1" t="str">
        <f t="shared" si="148"/>
        <v>優先3</v>
      </c>
      <c r="Z591" s="1" t="str">
        <f t="shared" si="149"/>
        <v>Statistics Bureau, Ministry of Internal Affairs and Communications, Government of Japan [総務省統計局]. "10大費目別消費者物価地域差指数 (全国平均＝100) － 全国，地方，都道府県，都道府県庁所在市及び政令指定都市". Accessed 02 June, 2020. https://www.e-stat.go.jp/.</v>
      </c>
    </row>
    <row r="592" spans="2:26">
      <c r="B592" s="285" t="s">
        <v>812</v>
      </c>
      <c r="C592" s="285" t="s">
        <v>464</v>
      </c>
      <c r="D592" s="285" t="s">
        <v>673</v>
      </c>
      <c r="E592" s="285" t="s">
        <v>158</v>
      </c>
      <c r="F592" s="13" t="s">
        <v>817</v>
      </c>
      <c r="G592" s="13" t="s">
        <v>691</v>
      </c>
      <c r="H592" s="13" t="s">
        <v>816</v>
      </c>
      <c r="I592" s="13" t="s">
        <v>815</v>
      </c>
      <c r="J592" s="13" t="s">
        <v>1403</v>
      </c>
      <c r="K592" s="284">
        <v>43984</v>
      </c>
      <c r="L592" s="283">
        <f t="shared" si="135"/>
        <v>2</v>
      </c>
      <c r="M592" s="283" t="str">
        <f t="shared" si="136"/>
        <v>-</v>
      </c>
      <c r="N592" s="283" t="str">
        <f t="shared" si="137"/>
        <v>-</v>
      </c>
      <c r="O592" s="283" t="str">
        <f t="shared" si="138"/>
        <v>-</v>
      </c>
      <c r="P592" s="283" t="str">
        <f t="shared" si="139"/>
        <v>-</v>
      </c>
      <c r="Q592" s="283" t="str">
        <f t="shared" si="140"/>
        <v>-</v>
      </c>
      <c r="R592" s="283" t="str">
        <f t="shared" si="141"/>
        <v>-</v>
      </c>
      <c r="S592" s="283" t="str">
        <f t="shared" si="142"/>
        <v>-</v>
      </c>
      <c r="T592" s="283" t="str">
        <f t="shared" si="143"/>
        <v>-</v>
      </c>
      <c r="U592" s="283" t="str">
        <f t="shared" si="144"/>
        <v>-</v>
      </c>
      <c r="V592" s="283" t="str">
        <f t="shared" si="145"/>
        <v>-</v>
      </c>
      <c r="W592" s="1" t="str">
        <f t="shared" si="146"/>
        <v>https://www.e-stat.go.jp/stat-search/files?page=1&amp;layout=datalist&amp;toukei=00200571&amp;bunya_l=07&amp;tstat=000001067253&amp;cycle=7&amp;year=20180&amp;month=0&amp;result_back=1&amp;result_page=1&amp;tclass1val=0/</v>
      </c>
      <c r="X592" s="1" t="str">
        <f t="shared" si="147"/>
        <v>https://www.e-stat.go.jp/</v>
      </c>
      <c r="Y592" s="1" t="str">
        <f t="shared" si="148"/>
        <v>優先3</v>
      </c>
      <c r="Z592" s="1" t="str">
        <f t="shared" si="149"/>
        <v>Statistics Bureau, Ministry of Internal Affairs and Communications, Government of Japan [総務省統計局]. "10大費目別消費者物価地域差指数 (全国平均＝100) － 全国，地方，都道府県，都道府県庁所在市及び政令指定都市". Accessed 02 June, 2020. https://www.e-stat.go.jp/.</v>
      </c>
    </row>
    <row r="593" spans="2:26">
      <c r="B593" s="285" t="s">
        <v>812</v>
      </c>
      <c r="C593" s="285" t="s">
        <v>464</v>
      </c>
      <c r="D593" s="285" t="s">
        <v>673</v>
      </c>
      <c r="E593" s="285" t="s">
        <v>164</v>
      </c>
      <c r="F593" s="13" t="s">
        <v>814</v>
      </c>
      <c r="G593" s="13" t="s">
        <v>813</v>
      </c>
      <c r="H593" s="13" t="s">
        <v>1208</v>
      </c>
      <c r="I593" s="13" t="s">
        <v>1404</v>
      </c>
      <c r="J593" s="13" t="s">
        <v>1405</v>
      </c>
      <c r="K593" s="284">
        <v>43984</v>
      </c>
      <c r="L593" s="283" t="str">
        <f t="shared" si="135"/>
        <v>-</v>
      </c>
      <c r="M593" s="283" t="str">
        <f t="shared" si="136"/>
        <v>-</v>
      </c>
      <c r="N593" s="283" t="str">
        <f t="shared" si="137"/>
        <v>-</v>
      </c>
      <c r="O593" s="283" t="str">
        <f t="shared" si="138"/>
        <v>-</v>
      </c>
      <c r="P593" s="283" t="str">
        <f t="shared" si="139"/>
        <v>-</v>
      </c>
      <c r="Q593" s="283" t="str">
        <f t="shared" si="140"/>
        <v>-</v>
      </c>
      <c r="R593" s="283" t="str">
        <f t="shared" si="141"/>
        <v>-</v>
      </c>
      <c r="S593" s="283" t="str">
        <f t="shared" si="142"/>
        <v>-</v>
      </c>
      <c r="T593" s="283" t="str">
        <f t="shared" si="143"/>
        <v>-</v>
      </c>
      <c r="U593" s="283" t="str">
        <f t="shared" si="144"/>
        <v>-</v>
      </c>
      <c r="V593" s="283" t="str">
        <f t="shared" si="145"/>
        <v>-</v>
      </c>
      <c r="W593" s="1" t="str">
        <f t="shared" si="146"/>
        <v>https://www150.statcan.gc.ca/t1/tbl1/en/cv.action?pid=1810000301/</v>
      </c>
      <c r="X593" s="1" t="str">
        <f t="shared" si="147"/>
        <v>https://www150.statcan.gc.ca/</v>
      </c>
      <c r="Y593" s="1" t="str">
        <f t="shared" si="148"/>
        <v>優先3</v>
      </c>
      <c r="Z593" s="1" t="str">
        <f t="shared" si="149"/>
        <v>Statistics Canada, Government of Canada [－]. "Inter-city indexes of price differentials of consumer goods and services, annual". Accessed 02 June, 2020. https://www150.statcan.gc.ca/.</v>
      </c>
    </row>
    <row r="594" spans="2:26">
      <c r="B594" s="285" t="s">
        <v>812</v>
      </c>
      <c r="C594" s="285" t="s">
        <v>464</v>
      </c>
      <c r="D594" s="285" t="s">
        <v>673</v>
      </c>
      <c r="E594" s="285" t="s">
        <v>166</v>
      </c>
      <c r="F594" s="13" t="s">
        <v>832</v>
      </c>
      <c r="G594" s="13" t="s">
        <v>2709</v>
      </c>
      <c r="H594" s="13"/>
      <c r="I594" s="13" t="s">
        <v>2710</v>
      </c>
      <c r="J594" s="13" t="s">
        <v>2711</v>
      </c>
      <c r="K594" s="284">
        <v>43620</v>
      </c>
      <c r="L594" s="283">
        <f t="shared" si="135"/>
        <v>3</v>
      </c>
      <c r="M594" s="283" t="str">
        <f t="shared" si="136"/>
        <v>-</v>
      </c>
      <c r="N594" s="283" t="str">
        <f t="shared" si="137"/>
        <v>-</v>
      </c>
      <c r="O594" s="283" t="str">
        <f t="shared" si="138"/>
        <v>-</v>
      </c>
      <c r="P594" s="283" t="str">
        <f t="shared" si="139"/>
        <v>-</v>
      </c>
      <c r="Q594" s="283" t="str">
        <f t="shared" si="140"/>
        <v>-</v>
      </c>
      <c r="R594" s="283" t="str">
        <f t="shared" si="141"/>
        <v>-</v>
      </c>
      <c r="S594" s="283" t="str">
        <f t="shared" si="142"/>
        <v>-</v>
      </c>
      <c r="T594" s="283" t="str">
        <f t="shared" si="143"/>
        <v>-</v>
      </c>
      <c r="U594" s="283" t="str">
        <f t="shared" si="144"/>
        <v>-</v>
      </c>
      <c r="V594" s="283" t="str">
        <f t="shared" si="145"/>
        <v>-</v>
      </c>
      <c r="W594" s="1" t="str">
        <f t="shared" si="146"/>
        <v>https://www.bls.gov/cpi/regional-resources.htm/</v>
      </c>
      <c r="X594" s="1" t="str">
        <f t="shared" si="147"/>
        <v>https://www.bls.gov/</v>
      </c>
      <c r="Y594" s="1" t="str">
        <f t="shared" si="148"/>
        <v>優先3</v>
      </c>
      <c r="Z594" s="1" t="str">
        <f t="shared" si="149"/>
        <v>Bureau of Labor Statistics, U.S. government. "Consumer Price Index - Regional Resources". Accessed 04 June, 2019. https://www.bls.gov/.</v>
      </c>
    </row>
    <row r="595" spans="2:26">
      <c r="B595" s="285" t="s">
        <v>812</v>
      </c>
      <c r="C595" s="285" t="s">
        <v>464</v>
      </c>
      <c r="D595" s="285" t="s">
        <v>673</v>
      </c>
      <c r="E595" s="285" t="s">
        <v>373</v>
      </c>
      <c r="F595" s="13" t="s">
        <v>832</v>
      </c>
      <c r="G595" s="13" t="s">
        <v>2709</v>
      </c>
      <c r="H595" s="13"/>
      <c r="I595" s="13" t="s">
        <v>2710</v>
      </c>
      <c r="J595" s="13" t="s">
        <v>2711</v>
      </c>
      <c r="K595" s="284">
        <v>43620</v>
      </c>
      <c r="L595" s="283">
        <f t="shared" si="135"/>
        <v>3</v>
      </c>
      <c r="M595" s="283" t="str">
        <f t="shared" si="136"/>
        <v>-</v>
      </c>
      <c r="N595" s="283" t="str">
        <f t="shared" si="137"/>
        <v>-</v>
      </c>
      <c r="O595" s="283" t="str">
        <f t="shared" si="138"/>
        <v>-</v>
      </c>
      <c r="P595" s="283" t="str">
        <f t="shared" si="139"/>
        <v>-</v>
      </c>
      <c r="Q595" s="283" t="str">
        <f t="shared" si="140"/>
        <v>-</v>
      </c>
      <c r="R595" s="283" t="str">
        <f t="shared" si="141"/>
        <v>-</v>
      </c>
      <c r="S595" s="283" t="str">
        <f t="shared" si="142"/>
        <v>-</v>
      </c>
      <c r="T595" s="283" t="str">
        <f t="shared" si="143"/>
        <v>-</v>
      </c>
      <c r="U595" s="283" t="str">
        <f t="shared" si="144"/>
        <v>-</v>
      </c>
      <c r="V595" s="283" t="str">
        <f t="shared" si="145"/>
        <v>-</v>
      </c>
      <c r="W595" s="1" t="str">
        <f t="shared" si="146"/>
        <v>https://www.bls.gov/cpi/regional-resources.htm/</v>
      </c>
      <c r="X595" s="1" t="str">
        <f t="shared" si="147"/>
        <v>https://www.bls.gov/</v>
      </c>
      <c r="Y595" s="1" t="str">
        <f t="shared" si="148"/>
        <v>優先3</v>
      </c>
      <c r="Z595" s="1" t="str">
        <f t="shared" si="149"/>
        <v>Bureau of Labor Statistics, U.S. government. "Consumer Price Index - Regional Resources". Accessed 04 June, 2019. https://www.bls.gov/.</v>
      </c>
    </row>
    <row r="596" spans="2:26">
      <c r="B596" s="285" t="s">
        <v>812</v>
      </c>
      <c r="C596" s="285" t="s">
        <v>464</v>
      </c>
      <c r="D596" s="285" t="s">
        <v>673</v>
      </c>
      <c r="E596" s="285" t="s">
        <v>180</v>
      </c>
      <c r="F596" s="13" t="s">
        <v>832</v>
      </c>
      <c r="G596" s="13" t="s">
        <v>2709</v>
      </c>
      <c r="H596" s="13"/>
      <c r="I596" s="13" t="s">
        <v>2710</v>
      </c>
      <c r="J596" s="13" t="s">
        <v>2711</v>
      </c>
      <c r="K596" s="284">
        <v>43620</v>
      </c>
      <c r="L596" s="283">
        <f t="shared" si="135"/>
        <v>3</v>
      </c>
      <c r="M596" s="283" t="str">
        <f t="shared" si="136"/>
        <v>-</v>
      </c>
      <c r="N596" s="283" t="str">
        <f t="shared" si="137"/>
        <v>-</v>
      </c>
      <c r="O596" s="283" t="str">
        <f t="shared" si="138"/>
        <v>-</v>
      </c>
      <c r="P596" s="283" t="str">
        <f t="shared" si="139"/>
        <v>-</v>
      </c>
      <c r="Q596" s="283" t="str">
        <f t="shared" si="140"/>
        <v>-</v>
      </c>
      <c r="R596" s="283" t="str">
        <f t="shared" si="141"/>
        <v>-</v>
      </c>
      <c r="S596" s="283" t="str">
        <f t="shared" si="142"/>
        <v>-</v>
      </c>
      <c r="T596" s="283" t="str">
        <f t="shared" si="143"/>
        <v>-</v>
      </c>
      <c r="U596" s="283" t="str">
        <f t="shared" si="144"/>
        <v>-</v>
      </c>
      <c r="V596" s="283" t="str">
        <f t="shared" si="145"/>
        <v>-</v>
      </c>
      <c r="W596" s="1" t="str">
        <f t="shared" si="146"/>
        <v>https://www.bls.gov/cpi/regional-resources.htm/</v>
      </c>
      <c r="X596" s="1" t="str">
        <f t="shared" si="147"/>
        <v>https://www.bls.gov/</v>
      </c>
      <c r="Y596" s="1" t="str">
        <f t="shared" si="148"/>
        <v>優先3</v>
      </c>
      <c r="Z596" s="1" t="str">
        <f t="shared" si="149"/>
        <v>Bureau of Labor Statistics, U.S. government. "Consumer Price Index - Regional Resources". Accessed 04 June, 2019. https://www.bls.gov/.</v>
      </c>
    </row>
    <row r="597" spans="2:26">
      <c r="B597" s="285" t="s">
        <v>812</v>
      </c>
      <c r="C597" s="285" t="s">
        <v>464</v>
      </c>
      <c r="D597" s="285" t="s">
        <v>673</v>
      </c>
      <c r="E597" s="285" t="s">
        <v>372</v>
      </c>
      <c r="F597" s="13" t="s">
        <v>811</v>
      </c>
      <c r="G597" s="13"/>
      <c r="H597" s="13"/>
      <c r="I597" s="13" t="s">
        <v>2712</v>
      </c>
      <c r="J597" s="13" t="s">
        <v>2713</v>
      </c>
      <c r="K597" s="284">
        <v>44442</v>
      </c>
      <c r="L597" s="283" t="str">
        <f t="shared" si="135"/>
        <v>-</v>
      </c>
      <c r="M597" s="283" t="str">
        <f t="shared" si="136"/>
        <v>-</v>
      </c>
      <c r="N597" s="283" t="str">
        <f t="shared" si="137"/>
        <v>-</v>
      </c>
      <c r="O597" s="283" t="str">
        <f t="shared" si="138"/>
        <v>-</v>
      </c>
      <c r="P597" s="283" t="str">
        <f t="shared" si="139"/>
        <v>-</v>
      </c>
      <c r="Q597" s="283" t="str">
        <f t="shared" si="140"/>
        <v>-</v>
      </c>
      <c r="R597" s="283" t="str">
        <f t="shared" si="141"/>
        <v>-</v>
      </c>
      <c r="S597" s="283" t="str">
        <f t="shared" si="142"/>
        <v>-</v>
      </c>
      <c r="T597" s="283" t="str">
        <f t="shared" si="143"/>
        <v>-</v>
      </c>
      <c r="U597" s="283" t="str">
        <f t="shared" si="144"/>
        <v>-</v>
      </c>
      <c r="V597" s="283" t="str">
        <f t="shared" si="145"/>
        <v>-</v>
      </c>
      <c r="W597" s="1" t="str">
        <f t="shared" si="146"/>
        <v>https://www.abs.gov.au/statistics/economy/price-indexes-and-inflation/consumer-price-index-australia/latest-release#data-download/</v>
      </c>
      <c r="X597" s="1" t="str">
        <f t="shared" si="147"/>
        <v>https://www.abs.gov.au/</v>
      </c>
      <c r="Y597" s="1" t="str">
        <f t="shared" si="148"/>
        <v>優先3</v>
      </c>
      <c r="Z597" s="1" t="str">
        <f t="shared" si="149"/>
        <v>Australian Bureau of Statistics. "Consumer Price Index, Australia". Accessed 03 September, 2021. https://www.abs.gov.au/.</v>
      </c>
    </row>
    <row r="598" spans="2:26">
      <c r="B598" s="285" t="s">
        <v>785</v>
      </c>
      <c r="C598" s="285" t="s">
        <v>464</v>
      </c>
      <c r="D598" s="285" t="s">
        <v>688</v>
      </c>
      <c r="E598" s="285" t="s">
        <v>688</v>
      </c>
      <c r="F598" s="13" t="s">
        <v>790</v>
      </c>
      <c r="G598" s="13"/>
      <c r="H598" s="13"/>
      <c r="I598" s="13" t="s">
        <v>1407</v>
      </c>
      <c r="J598" s="13" t="s">
        <v>4257</v>
      </c>
      <c r="K598" s="284">
        <v>45117</v>
      </c>
      <c r="L598" s="283" t="str">
        <f t="shared" si="135"/>
        <v>-</v>
      </c>
      <c r="M598" s="283" t="str">
        <f t="shared" si="136"/>
        <v>-</v>
      </c>
      <c r="N598" s="283" t="str">
        <f t="shared" si="137"/>
        <v>-</v>
      </c>
      <c r="O598" s="283" t="str">
        <f t="shared" si="138"/>
        <v>-</v>
      </c>
      <c r="P598" s="283" t="str">
        <f t="shared" si="139"/>
        <v>-</v>
      </c>
      <c r="Q598" s="283" t="str">
        <f t="shared" si="140"/>
        <v>-</v>
      </c>
      <c r="R598" s="283" t="str">
        <f t="shared" si="141"/>
        <v>-</v>
      </c>
      <c r="S598" s="283" t="str">
        <f t="shared" si="142"/>
        <v>-</v>
      </c>
      <c r="T598" s="283" t="str">
        <f t="shared" si="143"/>
        <v>-</v>
      </c>
      <c r="U598" s="283" t="str">
        <f t="shared" si="144"/>
        <v>-</v>
      </c>
      <c r="V598" s="283" t="str">
        <f t="shared" si="145"/>
        <v>-</v>
      </c>
      <c r="W598" s="1" t="str">
        <f t="shared" si="146"/>
        <v>https://ec.europa.eu/eurostat/databrowser/view/CRIM_HOM_OCIT/default/table?lang=en/</v>
      </c>
      <c r="X598" s="1" t="str">
        <f t="shared" si="147"/>
        <v>https://ec.europa.eu/</v>
      </c>
      <c r="Y598" s="1" t="str">
        <f t="shared" si="148"/>
        <v>優先1</v>
      </c>
      <c r="Z598" s="1" t="str">
        <f t="shared" si="149"/>
        <v>European Commission. "eurostat - Intentional homicide offences in largest cities". Accessed 10 July, 2023. https://ec.europa.eu/.</v>
      </c>
    </row>
    <row r="599" spans="2:26">
      <c r="B599" s="285" t="s">
        <v>785</v>
      </c>
      <c r="C599" s="285" t="s">
        <v>464</v>
      </c>
      <c r="D599" s="285" t="s">
        <v>673</v>
      </c>
      <c r="E599" s="285" t="s">
        <v>106</v>
      </c>
      <c r="F599" s="13" t="s">
        <v>1408</v>
      </c>
      <c r="G599" s="13" t="s">
        <v>282</v>
      </c>
      <c r="H599" s="13"/>
      <c r="I599" s="13" t="s">
        <v>4258</v>
      </c>
      <c r="J599" s="13" t="s">
        <v>2714</v>
      </c>
      <c r="K599" s="284">
        <v>45117</v>
      </c>
      <c r="L599" s="283" t="str">
        <f t="shared" si="135"/>
        <v>-</v>
      </c>
      <c r="M599" s="283" t="str">
        <f t="shared" si="136"/>
        <v>-</v>
      </c>
      <c r="N599" s="283" t="str">
        <f t="shared" si="137"/>
        <v>-</v>
      </c>
      <c r="O599" s="283" t="str">
        <f t="shared" si="138"/>
        <v>-</v>
      </c>
      <c r="P599" s="283" t="str">
        <f t="shared" si="139"/>
        <v>-</v>
      </c>
      <c r="Q599" s="283" t="str">
        <f t="shared" si="140"/>
        <v>-</v>
      </c>
      <c r="R599" s="283" t="str">
        <f t="shared" si="141"/>
        <v>-</v>
      </c>
      <c r="S599" s="283" t="str">
        <f t="shared" si="142"/>
        <v>-</v>
      </c>
      <c r="T599" s="283" t="str">
        <f t="shared" si="143"/>
        <v>-</v>
      </c>
      <c r="U599" s="283" t="str">
        <f t="shared" si="144"/>
        <v>NG</v>
      </c>
      <c r="V599" s="283" t="str">
        <f t="shared" si="145"/>
        <v>-</v>
      </c>
      <c r="W599" s="1" t="str">
        <f t="shared" si="146"/>
        <v>https://www.ine.es/jaxiT3/Tabla.htm?t=25997&amp;L=1/</v>
      </c>
      <c r="X599" s="1" t="str">
        <f t="shared" si="147"/>
        <v>https://www.ine.es/</v>
      </c>
      <c r="Y599" s="1" t="str">
        <f t="shared" si="148"/>
        <v>優先3</v>
      </c>
      <c r="Z599" s="1" t="str">
        <f t="shared" si="149"/>
        <v xml:space="preserve"> National Statistics Institute, Spain. "Convicted persons statistics: Adults. Year 2021". Accessed 10 July, 2023. https://www.ine.es/.</v>
      </c>
    </row>
    <row r="600" spans="2:26">
      <c r="B600" s="285" t="s">
        <v>785</v>
      </c>
      <c r="C600" s="285" t="s">
        <v>464</v>
      </c>
      <c r="D600" s="285" t="s">
        <v>673</v>
      </c>
      <c r="E600" s="285" t="s">
        <v>108</v>
      </c>
      <c r="F600" s="13" t="s">
        <v>857</v>
      </c>
      <c r="G600" s="13"/>
      <c r="H600" s="13"/>
      <c r="I600" s="13" t="s">
        <v>4259</v>
      </c>
      <c r="J600" s="13" t="s">
        <v>4260</v>
      </c>
      <c r="K600" s="284">
        <v>45117</v>
      </c>
      <c r="L600" s="283" t="str">
        <f t="shared" si="135"/>
        <v>-</v>
      </c>
      <c r="M600" s="283" t="str">
        <f t="shared" si="136"/>
        <v>-</v>
      </c>
      <c r="N600" s="283" t="str">
        <f t="shared" si="137"/>
        <v>-</v>
      </c>
      <c r="O600" s="283" t="str">
        <f t="shared" si="138"/>
        <v>-</v>
      </c>
      <c r="P600" s="283" t="str">
        <f t="shared" si="139"/>
        <v>-</v>
      </c>
      <c r="Q600" s="283" t="str">
        <f t="shared" si="140"/>
        <v>-</v>
      </c>
      <c r="R600" s="283" t="str">
        <f t="shared" si="141"/>
        <v>-</v>
      </c>
      <c r="S600" s="283" t="str">
        <f t="shared" si="142"/>
        <v>-</v>
      </c>
      <c r="T600" s="283" t="str">
        <f t="shared" si="143"/>
        <v>-</v>
      </c>
      <c r="U600" s="283" t="str">
        <f t="shared" si="144"/>
        <v>-</v>
      </c>
      <c r="V600" s="283" t="str">
        <f t="shared" si="145"/>
        <v>-</v>
      </c>
      <c r="W600" s="1" t="str">
        <f t="shared" si="146"/>
        <v>https://www.ons.gov.uk/peoplepopulationandcommunity/crimeandjustice/datalist?filter=datasets/</v>
      </c>
      <c r="X600" s="1" t="str">
        <f t="shared" si="147"/>
        <v>https://www.ons.gov.uk/</v>
      </c>
      <c r="Y600" s="1" t="str">
        <f t="shared" si="148"/>
        <v>優先3</v>
      </c>
      <c r="Z600" s="1" t="str">
        <f t="shared" si="149"/>
        <v>Office for National Statistics. "Crime in England and Wales: Police Force Area data tables". Accessed 10 July, 2023. https://www.ons.gov.uk/.</v>
      </c>
    </row>
    <row r="601" spans="2:26">
      <c r="B601" s="285" t="s">
        <v>785</v>
      </c>
      <c r="C601" s="285" t="s">
        <v>464</v>
      </c>
      <c r="D601" s="285" t="s">
        <v>673</v>
      </c>
      <c r="E601" s="285" t="s">
        <v>116</v>
      </c>
      <c r="F601" s="13" t="s">
        <v>1409</v>
      </c>
      <c r="G601" s="13"/>
      <c r="H601" s="13"/>
      <c r="I601" s="13" t="s">
        <v>1410</v>
      </c>
      <c r="J601" s="13" t="s">
        <v>3766</v>
      </c>
      <c r="K601" s="284">
        <v>45117</v>
      </c>
      <c r="L601" s="283">
        <f t="shared" si="135"/>
        <v>4</v>
      </c>
      <c r="M601" s="283" t="str">
        <f t="shared" si="136"/>
        <v>-</v>
      </c>
      <c r="N601" s="283" t="str">
        <f t="shared" si="137"/>
        <v>NG</v>
      </c>
      <c r="O601" s="283" t="str">
        <f t="shared" si="138"/>
        <v>-</v>
      </c>
      <c r="P601" s="283" t="str">
        <f t="shared" si="139"/>
        <v>-</v>
      </c>
      <c r="Q601" s="283" t="str">
        <f t="shared" si="140"/>
        <v>-</v>
      </c>
      <c r="R601" s="283" t="str">
        <f t="shared" si="141"/>
        <v>-</v>
      </c>
      <c r="S601" s="283" t="str">
        <f t="shared" si="142"/>
        <v>-</v>
      </c>
      <c r="T601" s="283" t="str">
        <f t="shared" si="143"/>
        <v>NG</v>
      </c>
      <c r="U601" s="283" t="str">
        <f t="shared" si="144"/>
        <v>-</v>
      </c>
      <c r="V601" s="283" t="str">
        <f t="shared" si="145"/>
        <v>-</v>
      </c>
      <c r="W601" s="1" t="str">
        <f t="shared" si="146"/>
        <v>https://dataunodc.un.org/dp-intentional-homicide-city/</v>
      </c>
      <c r="X601" s="1" t="str">
        <f t="shared" si="147"/>
        <v>https://dataunodc.un.org/</v>
      </c>
      <c r="Y601" s="1" t="str">
        <f t="shared" si="148"/>
        <v>優先3</v>
      </c>
      <c r="Z601" s="1" t="str">
        <f t="shared" si="149"/>
        <v>United Nations Office on Drugs and Crime(UNODC). "Victims of intentional homicide in cities, counts and rates, per 100,000 population". Accessed 10 July, 2023. https://dataunodc.un.org/.</v>
      </c>
    </row>
    <row r="602" spans="2:26">
      <c r="B602" s="285" t="s">
        <v>785</v>
      </c>
      <c r="C602" s="285" t="s">
        <v>464</v>
      </c>
      <c r="D602" s="285" t="s">
        <v>673</v>
      </c>
      <c r="E602" s="285" t="s">
        <v>118</v>
      </c>
      <c r="F602" s="13"/>
      <c r="G602" s="13" t="s">
        <v>755</v>
      </c>
      <c r="H602" s="13"/>
      <c r="I602" s="13" t="s">
        <v>3668</v>
      </c>
      <c r="J602" s="13" t="s">
        <v>1361</v>
      </c>
      <c r="K602" s="284">
        <v>45117</v>
      </c>
      <c r="L602" s="283" t="str">
        <f t="shared" si="135"/>
        <v>-</v>
      </c>
      <c r="M602" s="283" t="str">
        <f t="shared" si="136"/>
        <v>-</v>
      </c>
      <c r="N602" s="283" t="str">
        <f t="shared" si="137"/>
        <v>-</v>
      </c>
      <c r="O602" s="283" t="str">
        <f t="shared" si="138"/>
        <v>-</v>
      </c>
      <c r="P602" s="283" t="str">
        <f t="shared" si="139"/>
        <v>-</v>
      </c>
      <c r="Q602" s="283" t="str">
        <f t="shared" si="140"/>
        <v>-</v>
      </c>
      <c r="R602" s="283" t="str">
        <f t="shared" si="141"/>
        <v>-</v>
      </c>
      <c r="S602" s="283" t="str">
        <f t="shared" si="142"/>
        <v>-</v>
      </c>
      <c r="T602" s="283" t="str">
        <f t="shared" si="143"/>
        <v>-</v>
      </c>
      <c r="U602" s="283" t="str">
        <f t="shared" si="144"/>
        <v>-</v>
      </c>
      <c r="V602" s="283" t="str">
        <f t="shared" si="145"/>
        <v>-</v>
      </c>
      <c r="W602" s="1" t="str">
        <f t="shared" si="146"/>
        <v>https://frankfurt.de/service-und-rathaus/zahlen-daten-fakten/publikationen/statistisches-jahrbuch/</v>
      </c>
      <c r="X602" s="1" t="str">
        <f t="shared" si="147"/>
        <v>https://frankfurt.de/</v>
      </c>
      <c r="Y602" s="1" t="str">
        <f t="shared" si="148"/>
        <v>優先3</v>
      </c>
      <c r="Z602" s="1" t="str">
        <f t="shared" si="149"/>
        <v>Stadt Frankfurt am Main. "Statistisches Jahrbuch Frankfurt am Main 2021". Accessed 10 July, 2023. https://frankfurt.de/.</v>
      </c>
    </row>
    <row r="603" spans="2:26">
      <c r="B603" s="285" t="s">
        <v>785</v>
      </c>
      <c r="C603" s="285" t="s">
        <v>464</v>
      </c>
      <c r="D603" s="285" t="s">
        <v>673</v>
      </c>
      <c r="E603" s="285" t="s">
        <v>122</v>
      </c>
      <c r="F603" s="13" t="s">
        <v>3684</v>
      </c>
      <c r="G603" s="13"/>
      <c r="H603" s="13"/>
      <c r="I603" s="13" t="s">
        <v>3767</v>
      </c>
      <c r="J603" s="13" t="s">
        <v>4261</v>
      </c>
      <c r="K603" s="284">
        <v>45117</v>
      </c>
      <c r="L603" s="283" t="str">
        <f t="shared" si="135"/>
        <v>-</v>
      </c>
      <c r="M603" s="283" t="str">
        <f t="shared" si="136"/>
        <v>-</v>
      </c>
      <c r="N603" s="283" t="str">
        <f t="shared" si="137"/>
        <v>-</v>
      </c>
      <c r="O603" s="283" t="str">
        <f t="shared" si="138"/>
        <v>-</v>
      </c>
      <c r="P603" s="283" t="str">
        <f t="shared" si="139"/>
        <v>-</v>
      </c>
      <c r="Q603" s="283" t="str">
        <f t="shared" si="140"/>
        <v>-</v>
      </c>
      <c r="R603" s="283" t="str">
        <f t="shared" si="141"/>
        <v>-</v>
      </c>
      <c r="S603" s="283" t="str">
        <f t="shared" si="142"/>
        <v>-</v>
      </c>
      <c r="T603" s="283" t="str">
        <f t="shared" si="143"/>
        <v>-</v>
      </c>
      <c r="U603" s="283" t="str">
        <f t="shared" si="144"/>
        <v>-</v>
      </c>
      <c r="V603" s="283" t="str">
        <f t="shared" si="145"/>
        <v>-</v>
      </c>
      <c r="W603" s="1" t="str">
        <f t="shared" si="146"/>
        <v>https://esploradati.istat.it/databrowser/#/en/</v>
      </c>
      <c r="X603" s="1" t="str">
        <f t="shared" si="147"/>
        <v>https://esploradati.istat.it/</v>
      </c>
      <c r="Y603" s="1" t="str">
        <f t="shared" si="148"/>
        <v>優先3</v>
      </c>
      <c r="Z603" s="1" t="str">
        <f t="shared" si="149"/>
        <v>Italian National Institute of Statistics. "Crimes reported by the police forces to the judicial authority : With known offender, type and reference period of crime". Accessed 10 July, 2023. https://esploradati.istat.it/.</v>
      </c>
    </row>
    <row r="604" spans="2:26">
      <c r="B604" s="285" t="s">
        <v>785</v>
      </c>
      <c r="C604" s="285" t="s">
        <v>464</v>
      </c>
      <c r="D604" s="285" t="s">
        <v>673</v>
      </c>
      <c r="E604" s="285" t="s">
        <v>130</v>
      </c>
      <c r="F604" s="13" t="s">
        <v>1411</v>
      </c>
      <c r="G604" s="13"/>
      <c r="H604" s="13"/>
      <c r="I604" s="13" t="s">
        <v>4262</v>
      </c>
      <c r="J604" s="13" t="s">
        <v>3768</v>
      </c>
      <c r="K604" s="284">
        <v>45120</v>
      </c>
      <c r="L604" s="283" t="str">
        <f t="shared" si="135"/>
        <v>-</v>
      </c>
      <c r="M604" s="283" t="str">
        <f t="shared" si="136"/>
        <v>-</v>
      </c>
      <c r="N604" s="283" t="str">
        <f t="shared" si="137"/>
        <v>-</v>
      </c>
      <c r="O604" s="283" t="str">
        <f t="shared" si="138"/>
        <v>-</v>
      </c>
      <c r="P604" s="283" t="str">
        <f t="shared" si="139"/>
        <v>-</v>
      </c>
      <c r="Q604" s="283" t="str">
        <f t="shared" si="140"/>
        <v>NG</v>
      </c>
      <c r="R604" s="283" t="str">
        <f t="shared" si="141"/>
        <v>-</v>
      </c>
      <c r="S604" s="283" t="str">
        <f t="shared" si="142"/>
        <v>-</v>
      </c>
      <c r="T604" s="283" t="str">
        <f t="shared" si="143"/>
        <v>-</v>
      </c>
      <c r="U604" s="283" t="str">
        <f t="shared" si="144"/>
        <v>-</v>
      </c>
      <c r="V604" s="283" t="str">
        <f t="shared" si="145"/>
        <v>-</v>
      </c>
      <c r="W604" s="1" t="str">
        <f t="shared" si="146"/>
        <v>https://bra.se/statistik/kriminalstatistik/anmalda-brott.html/</v>
      </c>
      <c r="X604" s="1" t="str">
        <f t="shared" si="147"/>
        <v>https://bra.se/</v>
      </c>
      <c r="Y604" s="1" t="str">
        <f t="shared" si="148"/>
        <v>優先3</v>
      </c>
      <c r="Z604" s="1" t="str">
        <f t="shared" si="149"/>
        <v>Swedish National Council for Crime Prevention. "Anmälda brott, efter brottstyp, totalt och per 100 000 invånare, i kommunerna i  region Stockholm, 2022.". Accessed 13 July, 2023. https://bra.se/.</v>
      </c>
    </row>
    <row r="605" spans="2:26">
      <c r="B605" s="285" t="s">
        <v>785</v>
      </c>
      <c r="C605" s="285" t="s">
        <v>464</v>
      </c>
      <c r="D605" s="285" t="s">
        <v>673</v>
      </c>
      <c r="E605" s="285" t="s">
        <v>132</v>
      </c>
      <c r="F605" s="13" t="s">
        <v>1409</v>
      </c>
      <c r="G605" s="13"/>
      <c r="H605" s="13"/>
      <c r="I605" s="13" t="s">
        <v>3769</v>
      </c>
      <c r="J605" s="13" t="s">
        <v>3770</v>
      </c>
      <c r="K605" s="284">
        <v>45117</v>
      </c>
      <c r="L605" s="283">
        <f t="shared" si="135"/>
        <v>5</v>
      </c>
      <c r="M605" s="283" t="str">
        <f t="shared" si="136"/>
        <v>-</v>
      </c>
      <c r="N605" s="283" t="str">
        <f t="shared" si="137"/>
        <v>NG</v>
      </c>
      <c r="O605" s="283" t="str">
        <f t="shared" si="138"/>
        <v>-</v>
      </c>
      <c r="P605" s="283" t="str">
        <f t="shared" si="139"/>
        <v>-</v>
      </c>
      <c r="Q605" s="283" t="str">
        <f t="shared" si="140"/>
        <v>-</v>
      </c>
      <c r="R605" s="283" t="str">
        <f t="shared" si="141"/>
        <v>-</v>
      </c>
      <c r="S605" s="283" t="str">
        <f t="shared" si="142"/>
        <v>-</v>
      </c>
      <c r="T605" s="283" t="str">
        <f t="shared" si="143"/>
        <v>NG</v>
      </c>
      <c r="U605" s="283" t="str">
        <f t="shared" si="144"/>
        <v>-</v>
      </c>
      <c r="V605" s="283" t="str">
        <f t="shared" si="145"/>
        <v>-</v>
      </c>
      <c r="W605" s="1" t="str">
        <f t="shared" si="146"/>
        <v>https://dataunodc.un.org/dp-intentional-homicide-victims/</v>
      </c>
      <c r="X605" s="1" t="str">
        <f t="shared" si="147"/>
        <v>https://dataunodc.un.org/</v>
      </c>
      <c r="Y605" s="1" t="str">
        <f t="shared" si="148"/>
        <v>優先3</v>
      </c>
      <c r="Z605" s="1" t="str">
        <f t="shared" si="149"/>
        <v>United Nations Office on Drugs and Crime(UNODC). "Victims of intentional homicide". Accessed 10 July, 2023. https://dataunodc.un.org/.</v>
      </c>
    </row>
    <row r="606" spans="2:26">
      <c r="B606" s="285" t="s">
        <v>785</v>
      </c>
      <c r="C606" s="285" t="s">
        <v>464</v>
      </c>
      <c r="D606" s="285" t="s">
        <v>673</v>
      </c>
      <c r="E606" s="285" t="s">
        <v>134</v>
      </c>
      <c r="F606" s="13" t="s">
        <v>2715</v>
      </c>
      <c r="G606" s="13"/>
      <c r="H606" s="13" t="s">
        <v>2716</v>
      </c>
      <c r="I606" s="13" t="s">
        <v>2717</v>
      </c>
      <c r="J606" s="13" t="s">
        <v>2718</v>
      </c>
      <c r="K606" s="284">
        <v>45117</v>
      </c>
      <c r="L606" s="283" t="str">
        <f t="shared" si="135"/>
        <v>-</v>
      </c>
      <c r="M606" s="283" t="str">
        <f t="shared" si="136"/>
        <v>-</v>
      </c>
      <c r="N606" s="283" t="str">
        <f t="shared" si="137"/>
        <v>-</v>
      </c>
      <c r="O606" s="283" t="str">
        <f t="shared" si="138"/>
        <v>NG</v>
      </c>
      <c r="P606" s="283" t="str">
        <f t="shared" si="139"/>
        <v>-</v>
      </c>
      <c r="Q606" s="283" t="str">
        <f t="shared" si="140"/>
        <v>-</v>
      </c>
      <c r="R606" s="283" t="str">
        <f t="shared" si="141"/>
        <v>-</v>
      </c>
      <c r="S606" s="283" t="str">
        <f t="shared" si="142"/>
        <v>-</v>
      </c>
      <c r="T606" s="283" t="str">
        <f t="shared" si="143"/>
        <v>-</v>
      </c>
      <c r="U606" s="283" t="str">
        <f t="shared" si="144"/>
        <v>-</v>
      </c>
      <c r="V606" s="283" t="str">
        <f t="shared" si="145"/>
        <v>-</v>
      </c>
      <c r="W606" s="1" t="str">
        <f t="shared" si="146"/>
        <v>https://gate.ahram.org.eg/News/2552521.aspx/</v>
      </c>
      <c r="X606" s="1" t="str">
        <f t="shared" si="147"/>
        <v>https://gate.ahram.org.eg/</v>
      </c>
      <c r="Y606" s="1" t="str">
        <f t="shared" si="148"/>
        <v>優先3</v>
      </c>
      <c r="Z606" s="1" t="str">
        <f t="shared" si="149"/>
        <v>Al-Ahram [Arabic]. "338 بقعة سوداء.. السجل الكامل لجرائم القتل بالقاهرة الكبرى في «عام كورونا»| فيديو". Accessed 10 July, 2023. https://gate.ahram.org.eg/.</v>
      </c>
    </row>
    <row r="607" spans="2:26">
      <c r="B607" s="285" t="s">
        <v>785</v>
      </c>
      <c r="C607" s="285" t="s">
        <v>464</v>
      </c>
      <c r="D607" s="285" t="s">
        <v>673</v>
      </c>
      <c r="E607" s="285" t="s">
        <v>136</v>
      </c>
      <c r="F607" s="13" t="s">
        <v>1409</v>
      </c>
      <c r="G607" s="13"/>
      <c r="H607" s="13"/>
      <c r="I607" s="13" t="s">
        <v>1410</v>
      </c>
      <c r="J607" s="13" t="s">
        <v>3766</v>
      </c>
      <c r="K607" s="284">
        <v>45117</v>
      </c>
      <c r="L607" s="283">
        <f t="shared" si="135"/>
        <v>4</v>
      </c>
      <c r="M607" s="283" t="str">
        <f t="shared" si="136"/>
        <v>-</v>
      </c>
      <c r="N607" s="283" t="str">
        <f t="shared" si="137"/>
        <v>NG</v>
      </c>
      <c r="O607" s="283" t="str">
        <f t="shared" si="138"/>
        <v>-</v>
      </c>
      <c r="P607" s="283" t="str">
        <f t="shared" si="139"/>
        <v>-</v>
      </c>
      <c r="Q607" s="283" t="str">
        <f t="shared" si="140"/>
        <v>-</v>
      </c>
      <c r="R607" s="283" t="str">
        <f t="shared" si="141"/>
        <v>-</v>
      </c>
      <c r="S607" s="283" t="str">
        <f t="shared" si="142"/>
        <v>-</v>
      </c>
      <c r="T607" s="283" t="str">
        <f t="shared" si="143"/>
        <v>NG</v>
      </c>
      <c r="U607" s="283" t="str">
        <f t="shared" si="144"/>
        <v>-</v>
      </c>
      <c r="V607" s="283" t="str">
        <f t="shared" si="145"/>
        <v>-</v>
      </c>
      <c r="W607" s="1" t="str">
        <f t="shared" si="146"/>
        <v>https://dataunodc.un.org/dp-intentional-homicide-city/</v>
      </c>
      <c r="X607" s="1" t="str">
        <f t="shared" si="147"/>
        <v>https://dataunodc.un.org/</v>
      </c>
      <c r="Y607" s="1" t="str">
        <f t="shared" si="148"/>
        <v>優先3</v>
      </c>
      <c r="Z607" s="1" t="str">
        <f t="shared" si="149"/>
        <v>United Nations Office on Drugs and Crime(UNODC). "Victims of intentional homicide in cities, counts and rates, per 100,000 population". Accessed 10 July, 2023. https://dataunodc.un.org/.</v>
      </c>
    </row>
    <row r="608" spans="2:26">
      <c r="B608" s="285" t="s">
        <v>785</v>
      </c>
      <c r="C608" s="285" t="s">
        <v>464</v>
      </c>
      <c r="D608" s="285" t="s">
        <v>673</v>
      </c>
      <c r="E608" s="285" t="s">
        <v>138</v>
      </c>
      <c r="F608" s="13" t="s">
        <v>1412</v>
      </c>
      <c r="G608" s="13"/>
      <c r="H608" s="13"/>
      <c r="I608" s="13" t="s">
        <v>4263</v>
      </c>
      <c r="J608" s="13" t="s">
        <v>1413</v>
      </c>
      <c r="K608" s="284">
        <v>45117</v>
      </c>
      <c r="L608" s="283" t="str">
        <f t="shared" si="135"/>
        <v>-</v>
      </c>
      <c r="M608" s="283" t="str">
        <f t="shared" si="136"/>
        <v>-</v>
      </c>
      <c r="N608" s="283" t="str">
        <f t="shared" si="137"/>
        <v>-</v>
      </c>
      <c r="O608" s="283" t="str">
        <f t="shared" si="138"/>
        <v>-</v>
      </c>
      <c r="P608" s="283" t="str">
        <f t="shared" si="139"/>
        <v>-</v>
      </c>
      <c r="Q608" s="283" t="str">
        <f t="shared" si="140"/>
        <v>-</v>
      </c>
      <c r="R608" s="283" t="str">
        <f t="shared" si="141"/>
        <v>-</v>
      </c>
      <c r="S608" s="283" t="str">
        <f t="shared" si="142"/>
        <v>-</v>
      </c>
      <c r="T608" s="283" t="str">
        <f t="shared" si="143"/>
        <v>-</v>
      </c>
      <c r="U608" s="283" t="str">
        <f t="shared" si="144"/>
        <v>-</v>
      </c>
      <c r="V608" s="283" t="str">
        <f t="shared" si="145"/>
        <v>-</v>
      </c>
      <c r="W608" s="1" t="str">
        <f t="shared" si="146"/>
        <v>https://mumbaipolice.gov.in/CrimeStatistics/</v>
      </c>
      <c r="X608" s="1" t="str">
        <f t="shared" si="147"/>
        <v>https://mumbaipolice.gov.in/</v>
      </c>
      <c r="Y608" s="1" t="str">
        <f t="shared" si="148"/>
        <v>優先3</v>
      </c>
      <c r="Z608" s="1" t="str">
        <f t="shared" si="149"/>
        <v>Greater Mumbai Police. "Crime Statistics - Monthly Crime Statistical Report Of Month". Accessed 10 July, 2023. https://mumbaipolice.gov.in/.</v>
      </c>
    </row>
    <row r="609" spans="2:26">
      <c r="B609" s="285" t="s">
        <v>785</v>
      </c>
      <c r="C609" s="285" t="s">
        <v>464</v>
      </c>
      <c r="D609" s="285" t="s">
        <v>673</v>
      </c>
      <c r="E609" s="285" t="s">
        <v>140</v>
      </c>
      <c r="F609" s="13" t="s">
        <v>840</v>
      </c>
      <c r="G609" s="13" t="s">
        <v>841</v>
      </c>
      <c r="H609" s="13"/>
      <c r="I609" s="13" t="s">
        <v>3771</v>
      </c>
      <c r="J609" s="13" t="s">
        <v>3772</v>
      </c>
      <c r="K609" s="284">
        <v>45117</v>
      </c>
      <c r="L609" s="283" t="str">
        <f t="shared" si="135"/>
        <v>-</v>
      </c>
      <c r="M609" s="283" t="str">
        <f t="shared" si="136"/>
        <v>-</v>
      </c>
      <c r="N609" s="283" t="str">
        <f t="shared" si="137"/>
        <v>-</v>
      </c>
      <c r="O609" s="283" t="str">
        <f t="shared" si="138"/>
        <v>-</v>
      </c>
      <c r="P609" s="283" t="str">
        <f t="shared" si="139"/>
        <v>-</v>
      </c>
      <c r="Q609" s="283" t="str">
        <f t="shared" si="140"/>
        <v>-</v>
      </c>
      <c r="R609" s="283" t="str">
        <f t="shared" si="141"/>
        <v>-</v>
      </c>
      <c r="S609" s="283" t="str">
        <f t="shared" si="142"/>
        <v>-</v>
      </c>
      <c r="T609" s="283" t="str">
        <f t="shared" si="143"/>
        <v>-</v>
      </c>
      <c r="U609" s="283" t="str">
        <f t="shared" si="144"/>
        <v>-</v>
      </c>
      <c r="V609" s="283" t="str">
        <f t="shared" si="145"/>
        <v>-</v>
      </c>
      <c r="W609" s="1" t="str">
        <f t="shared" si="146"/>
        <v>http://statbbi.nso.go.th/staticreport/Page/sector/en/09.aspx/</v>
      </c>
      <c r="X609" s="1" t="str">
        <f t="shared" si="147"/>
        <v>http://statbbi.nso.go.th/</v>
      </c>
      <c r="Y609" s="1" t="str">
        <f t="shared" si="148"/>
        <v>優先3</v>
      </c>
      <c r="Z609" s="1" t="str">
        <f t="shared" si="149"/>
        <v>National Statistical Office, Kingdom of Thailand. "Statistics of Crimes against Person by Type of Crimes and Province: 2017 - 2021". Accessed 10 July, 2023. http://statbbi.nso.go.th/.</v>
      </c>
    </row>
    <row r="610" spans="2:26">
      <c r="B610" s="285" t="s">
        <v>785</v>
      </c>
      <c r="C610" s="285" t="s">
        <v>464</v>
      </c>
      <c r="D610" s="285" t="s">
        <v>673</v>
      </c>
      <c r="E610" s="285" t="s">
        <v>142</v>
      </c>
      <c r="F610" s="13" t="s">
        <v>1409</v>
      </c>
      <c r="G610" s="13"/>
      <c r="H610" s="13"/>
      <c r="I610" s="13" t="s">
        <v>3769</v>
      </c>
      <c r="J610" s="13" t="s">
        <v>3770</v>
      </c>
      <c r="K610" s="284">
        <v>45117</v>
      </c>
      <c r="L610" s="283">
        <f t="shared" si="135"/>
        <v>5</v>
      </c>
      <c r="M610" s="283" t="str">
        <f t="shared" si="136"/>
        <v>-</v>
      </c>
      <c r="N610" s="283" t="str">
        <f t="shared" si="137"/>
        <v>NG</v>
      </c>
      <c r="O610" s="283" t="str">
        <f t="shared" si="138"/>
        <v>-</v>
      </c>
      <c r="P610" s="283" t="str">
        <f t="shared" si="139"/>
        <v>-</v>
      </c>
      <c r="Q610" s="283" t="str">
        <f t="shared" si="140"/>
        <v>-</v>
      </c>
      <c r="R610" s="283" t="str">
        <f t="shared" si="141"/>
        <v>-</v>
      </c>
      <c r="S610" s="283" t="str">
        <f t="shared" si="142"/>
        <v>-</v>
      </c>
      <c r="T610" s="283" t="str">
        <f t="shared" si="143"/>
        <v>NG</v>
      </c>
      <c r="U610" s="283" t="str">
        <f t="shared" si="144"/>
        <v>-</v>
      </c>
      <c r="V610" s="283" t="str">
        <f t="shared" si="145"/>
        <v>-</v>
      </c>
      <c r="W610" s="1" t="str">
        <f t="shared" si="146"/>
        <v>https://dataunodc.un.org/dp-intentional-homicide-victims/</v>
      </c>
      <c r="X610" s="1" t="str">
        <f t="shared" si="147"/>
        <v>https://dataunodc.un.org/</v>
      </c>
      <c r="Y610" s="1" t="str">
        <f t="shared" si="148"/>
        <v>優先3</v>
      </c>
      <c r="Z610" s="1" t="str">
        <f t="shared" si="149"/>
        <v>United Nations Office on Drugs and Crime(UNODC). "Victims of intentional homicide". Accessed 10 July, 2023. https://dataunodc.un.org/.</v>
      </c>
    </row>
    <row r="611" spans="2:26">
      <c r="B611" s="285" t="s">
        <v>785</v>
      </c>
      <c r="C611" s="285" t="s">
        <v>464</v>
      </c>
      <c r="D611" s="285" t="s">
        <v>673</v>
      </c>
      <c r="E611" s="285" t="s">
        <v>144</v>
      </c>
      <c r="F611" s="13" t="s">
        <v>1409</v>
      </c>
      <c r="G611" s="13"/>
      <c r="H611" s="13"/>
      <c r="I611" s="13" t="s">
        <v>3769</v>
      </c>
      <c r="J611" s="13" t="s">
        <v>3770</v>
      </c>
      <c r="K611" s="284">
        <v>45117</v>
      </c>
      <c r="L611" s="283">
        <f t="shared" si="135"/>
        <v>5</v>
      </c>
      <c r="M611" s="283" t="str">
        <f t="shared" si="136"/>
        <v>-</v>
      </c>
      <c r="N611" s="283" t="str">
        <f t="shared" si="137"/>
        <v>NG</v>
      </c>
      <c r="O611" s="283" t="str">
        <f t="shared" si="138"/>
        <v>-</v>
      </c>
      <c r="P611" s="283" t="str">
        <f t="shared" si="139"/>
        <v>-</v>
      </c>
      <c r="Q611" s="283" t="str">
        <f t="shared" si="140"/>
        <v>-</v>
      </c>
      <c r="R611" s="283" t="str">
        <f t="shared" si="141"/>
        <v>-</v>
      </c>
      <c r="S611" s="283" t="str">
        <f t="shared" si="142"/>
        <v>-</v>
      </c>
      <c r="T611" s="283" t="str">
        <f t="shared" si="143"/>
        <v>NG</v>
      </c>
      <c r="U611" s="283" t="str">
        <f t="shared" si="144"/>
        <v>-</v>
      </c>
      <c r="V611" s="283" t="str">
        <f t="shared" si="145"/>
        <v>-</v>
      </c>
      <c r="W611" s="1" t="str">
        <f t="shared" si="146"/>
        <v>https://dataunodc.un.org/dp-intentional-homicide-victims/</v>
      </c>
      <c r="X611" s="1" t="str">
        <f t="shared" si="147"/>
        <v>https://dataunodc.un.org/</v>
      </c>
      <c r="Y611" s="1" t="str">
        <f t="shared" si="148"/>
        <v>優先3</v>
      </c>
      <c r="Z611" s="1" t="str">
        <f t="shared" si="149"/>
        <v>United Nations Office on Drugs and Crime(UNODC). "Victims of intentional homicide". Accessed 10 July, 2023. https://dataunodc.un.org/.</v>
      </c>
    </row>
    <row r="612" spans="2:26">
      <c r="B612" s="285" t="s">
        <v>785</v>
      </c>
      <c r="C612" s="285" t="s">
        <v>464</v>
      </c>
      <c r="D612" s="285" t="s">
        <v>673</v>
      </c>
      <c r="E612" s="285" t="s">
        <v>146</v>
      </c>
      <c r="F612" s="13" t="s">
        <v>810</v>
      </c>
      <c r="G612" s="13" t="s">
        <v>1414</v>
      </c>
      <c r="H612" s="13"/>
      <c r="I612" s="13" t="s">
        <v>809</v>
      </c>
      <c r="J612" s="13" t="s">
        <v>3773</v>
      </c>
      <c r="K612" s="284">
        <v>45117</v>
      </c>
      <c r="L612" s="283" t="str">
        <f t="shared" si="135"/>
        <v>-</v>
      </c>
      <c r="M612" s="283" t="str">
        <f t="shared" si="136"/>
        <v>-</v>
      </c>
      <c r="N612" s="283" t="str">
        <f t="shared" si="137"/>
        <v>-</v>
      </c>
      <c r="O612" s="283" t="str">
        <f t="shared" si="138"/>
        <v>-</v>
      </c>
      <c r="P612" s="283" t="str">
        <f t="shared" si="139"/>
        <v>-</v>
      </c>
      <c r="Q612" s="283" t="str">
        <f t="shared" si="140"/>
        <v>-</v>
      </c>
      <c r="R612" s="283" t="str">
        <f t="shared" si="141"/>
        <v>-</v>
      </c>
      <c r="S612" s="283" t="str">
        <f t="shared" si="142"/>
        <v>-</v>
      </c>
      <c r="T612" s="283" t="str">
        <f t="shared" si="143"/>
        <v>-</v>
      </c>
      <c r="U612" s="283" t="str">
        <f t="shared" si="144"/>
        <v>-</v>
      </c>
      <c r="V612" s="283" t="str">
        <f t="shared" si="145"/>
        <v>-</v>
      </c>
      <c r="W612" s="1" t="str">
        <f t="shared" si="146"/>
        <v>https://www.police.gov.hk/ppp_en/09_statistics/csc_2020_2021.html/</v>
      </c>
      <c r="X612" s="1" t="str">
        <f t="shared" si="147"/>
        <v>https://www.police.gov.hk/</v>
      </c>
      <c r="Y612" s="1" t="str">
        <f t="shared" si="148"/>
        <v>優先3</v>
      </c>
      <c r="Z612" s="1" t="str">
        <f t="shared" si="149"/>
        <v>Hong Kong Police Force, Government of Hong Kong SAR. "Crime Statistics Comparison". Accessed 10 July, 2023. https://www.police.gov.hk/.</v>
      </c>
    </row>
    <row r="613" spans="2:26">
      <c r="B613" s="285" t="s">
        <v>785</v>
      </c>
      <c r="C613" s="285" t="s">
        <v>464</v>
      </c>
      <c r="D613" s="285" t="s">
        <v>673</v>
      </c>
      <c r="E613" s="285" t="s">
        <v>148</v>
      </c>
      <c r="F613" s="13" t="s">
        <v>808</v>
      </c>
      <c r="G613" s="13"/>
      <c r="H613" s="13"/>
      <c r="I613" s="13" t="s">
        <v>4264</v>
      </c>
      <c r="J613" s="13" t="s">
        <v>4265</v>
      </c>
      <c r="K613" s="284">
        <v>45117</v>
      </c>
      <c r="L613" s="283" t="str">
        <f t="shared" si="135"/>
        <v>-</v>
      </c>
      <c r="M613" s="283" t="str">
        <f t="shared" si="136"/>
        <v>-</v>
      </c>
      <c r="N613" s="283" t="str">
        <f t="shared" si="137"/>
        <v>-</v>
      </c>
      <c r="O613" s="283" t="str">
        <f t="shared" si="138"/>
        <v>-</v>
      </c>
      <c r="P613" s="283" t="str">
        <f t="shared" si="139"/>
        <v>-</v>
      </c>
      <c r="Q613" s="283" t="str">
        <f t="shared" si="140"/>
        <v>-</v>
      </c>
      <c r="R613" s="283" t="str">
        <f t="shared" si="141"/>
        <v>-</v>
      </c>
      <c r="S613" s="283" t="str">
        <f t="shared" si="142"/>
        <v>-</v>
      </c>
      <c r="T613" s="283" t="str">
        <f t="shared" si="143"/>
        <v>-</v>
      </c>
      <c r="U613" s="283" t="str">
        <f t="shared" si="144"/>
        <v>-</v>
      </c>
      <c r="V613" s="283" t="str">
        <f t="shared" si="145"/>
        <v>-</v>
      </c>
      <c r="W613" s="1" t="str">
        <f t="shared" si="146"/>
        <v>http://www.stats.gov.cn/sj/ndsj/</v>
      </c>
      <c r="X613" s="1" t="str">
        <f t="shared" si="147"/>
        <v>http://www.stats.gov.cn/</v>
      </c>
      <c r="Y613" s="1" t="str">
        <f t="shared" si="148"/>
        <v>優先3</v>
      </c>
      <c r="Z613" s="1" t="str">
        <f t="shared" si="149"/>
        <v>National Bureau of Statistics of China. "China Statistical Yearbook 2022". Accessed 10 July, 2023. http://www.stats.gov.cn/.</v>
      </c>
    </row>
    <row r="614" spans="2:26">
      <c r="B614" s="285" t="s">
        <v>785</v>
      </c>
      <c r="C614" s="285" t="s">
        <v>464</v>
      </c>
      <c r="D614" s="285" t="s">
        <v>673</v>
      </c>
      <c r="E614" s="285" t="s">
        <v>150</v>
      </c>
      <c r="F614" s="13" t="s">
        <v>4266</v>
      </c>
      <c r="G614" s="13" t="s">
        <v>150</v>
      </c>
      <c r="H614" s="13" t="s">
        <v>806</v>
      </c>
      <c r="I614" s="13" t="s">
        <v>4002</v>
      </c>
      <c r="J614" s="13" t="s">
        <v>4038</v>
      </c>
      <c r="K614" s="284">
        <v>45117</v>
      </c>
      <c r="L614" s="283" t="str">
        <f t="shared" si="135"/>
        <v>-</v>
      </c>
      <c r="M614" s="283" t="str">
        <f t="shared" si="136"/>
        <v>-</v>
      </c>
      <c r="N614" s="283" t="str">
        <f t="shared" si="137"/>
        <v>-</v>
      </c>
      <c r="O614" s="283" t="str">
        <f t="shared" si="138"/>
        <v>-</v>
      </c>
      <c r="P614" s="283" t="str">
        <f t="shared" si="139"/>
        <v>-</v>
      </c>
      <c r="Q614" s="283" t="str">
        <f t="shared" si="140"/>
        <v>NG</v>
      </c>
      <c r="R614" s="283" t="str">
        <f t="shared" si="141"/>
        <v>-</v>
      </c>
      <c r="S614" s="283" t="str">
        <f t="shared" si="142"/>
        <v>-</v>
      </c>
      <c r="T614" s="283" t="str">
        <f t="shared" si="143"/>
        <v>-</v>
      </c>
      <c r="U614" s="283" t="str">
        <f t="shared" si="144"/>
        <v>-</v>
      </c>
      <c r="V614" s="283" t="str">
        <f t="shared" si="145"/>
        <v>-</v>
      </c>
      <c r="W614" s="1" t="str">
        <f t="shared" si="146"/>
        <v>https://tjj.sh.gov.cn/tjnj/20230206/804acea250d44d2187f2e37d2e5d36ba.html/</v>
      </c>
      <c r="X614" s="1" t="str">
        <f t="shared" si="147"/>
        <v>https://tjj.sh.gov.cn/</v>
      </c>
      <c r="Y614" s="1" t="str">
        <f t="shared" si="148"/>
        <v>優先3</v>
      </c>
      <c r="Z614" s="1" t="str">
        <f t="shared" si="149"/>
        <v>Shanghai Municipal Bureau of  Statistics, Shanghai [上海市统计局]. "2022年上海统计年鉴". Accessed 10 July, 2023. https://tjj.sh.gov.cn/.</v>
      </c>
    </row>
    <row r="615" spans="2:26">
      <c r="B615" s="285" t="s">
        <v>785</v>
      </c>
      <c r="C615" s="285" t="s">
        <v>464</v>
      </c>
      <c r="D615" s="285" t="s">
        <v>673</v>
      </c>
      <c r="E615" s="285" t="s">
        <v>152</v>
      </c>
      <c r="F615" s="13" t="s">
        <v>765</v>
      </c>
      <c r="G615" s="13" t="s">
        <v>764</v>
      </c>
      <c r="H615" s="13" t="s">
        <v>805</v>
      </c>
      <c r="I615" s="13" t="s">
        <v>892</v>
      </c>
      <c r="J615" s="13" t="s">
        <v>1415</v>
      </c>
      <c r="K615" s="284">
        <v>45117</v>
      </c>
      <c r="L615" s="283" t="str">
        <f t="shared" si="135"/>
        <v>-</v>
      </c>
      <c r="M615" s="283" t="str">
        <f t="shared" si="136"/>
        <v>-</v>
      </c>
      <c r="N615" s="283" t="str">
        <f t="shared" si="137"/>
        <v>-</v>
      </c>
      <c r="O615" s="283" t="str">
        <f t="shared" si="138"/>
        <v>-</v>
      </c>
      <c r="P615" s="283" t="str">
        <f t="shared" si="139"/>
        <v>-</v>
      </c>
      <c r="Q615" s="283" t="str">
        <f t="shared" si="140"/>
        <v>-</v>
      </c>
      <c r="R615" s="283" t="str">
        <f t="shared" si="141"/>
        <v>-</v>
      </c>
      <c r="S615" s="283" t="str">
        <f t="shared" si="142"/>
        <v>-</v>
      </c>
      <c r="T615" s="283" t="str">
        <f t="shared" si="143"/>
        <v>-</v>
      </c>
      <c r="U615" s="283" t="str">
        <f t="shared" si="144"/>
        <v>-</v>
      </c>
      <c r="V615" s="283" t="str">
        <f t="shared" si="145"/>
        <v>NG</v>
      </c>
      <c r="W615" s="1" t="str">
        <f t="shared" si="146"/>
        <v>https://dbas.gov.taipei/News_Content.aspx?n=72EB69FFAC3565DF&amp;sms=96C0B436A542605B&amp;s=C6AE4934B889F185/</v>
      </c>
      <c r="X615" s="1" t="str">
        <f t="shared" si="147"/>
        <v>https://dbas.gov.taipei/</v>
      </c>
      <c r="Y615" s="1" t="str">
        <f t="shared" si="148"/>
        <v>優先3</v>
      </c>
      <c r="Z615" s="1" t="str">
        <f t="shared" si="149"/>
        <v>Department of Budget, Accounting and Statistics, Taipei City Government [臺北市政府主計處 ]. "臺北市統計年報". Accessed 10 July, 2023. https://dbas.gov.taipei/.</v>
      </c>
    </row>
    <row r="616" spans="2:26">
      <c r="B616" s="285" t="s">
        <v>785</v>
      </c>
      <c r="C616" s="285" t="s">
        <v>464</v>
      </c>
      <c r="D616" s="285" t="s">
        <v>673</v>
      </c>
      <c r="E616" s="285" t="s">
        <v>154</v>
      </c>
      <c r="F616" s="13" t="s">
        <v>804</v>
      </c>
      <c r="G616" s="13"/>
      <c r="H616" s="13" t="s">
        <v>803</v>
      </c>
      <c r="I616" s="13" t="s">
        <v>4267</v>
      </c>
      <c r="J616" s="13" t="s">
        <v>4268</v>
      </c>
      <c r="K616" s="284">
        <v>45117</v>
      </c>
      <c r="L616" s="283" t="str">
        <f t="shared" si="135"/>
        <v>-</v>
      </c>
      <c r="M616" s="283" t="str">
        <f t="shared" si="136"/>
        <v>-</v>
      </c>
      <c r="N616" s="283" t="str">
        <f t="shared" si="137"/>
        <v>-</v>
      </c>
      <c r="O616" s="283" t="str">
        <f t="shared" si="138"/>
        <v>-</v>
      </c>
      <c r="P616" s="283" t="str">
        <f t="shared" si="139"/>
        <v>-</v>
      </c>
      <c r="Q616" s="283" t="str">
        <f t="shared" si="140"/>
        <v>-</v>
      </c>
      <c r="R616" s="283" t="str">
        <f t="shared" si="141"/>
        <v>-</v>
      </c>
      <c r="S616" s="283" t="str">
        <f t="shared" si="142"/>
        <v>-</v>
      </c>
      <c r="T616" s="283" t="str">
        <f t="shared" si="143"/>
        <v>-</v>
      </c>
      <c r="U616" s="283" t="str">
        <f t="shared" si="144"/>
        <v>-</v>
      </c>
      <c r="V616" s="283" t="str">
        <f t="shared" si="145"/>
        <v>-</v>
      </c>
      <c r="W616" s="1" t="str">
        <f t="shared" si="146"/>
        <v>https://www.police.go.kr/user/bbs/BD_selectBbsList.do?q_bbsCode=1115&amp;estnColumn2=%EB%85%84%EB%8F%84&amp;q_searchKeyTy=estnColumn1___1001&amp;q_searchVal=2021%EB%85%84/</v>
      </c>
      <c r="X616" s="1" t="str">
        <f t="shared" si="147"/>
        <v>https://www.police.go.kr/</v>
      </c>
      <c r="Y616" s="1" t="str">
        <f t="shared" si="148"/>
        <v>優先3</v>
      </c>
      <c r="Z616" s="1" t="str">
        <f t="shared" si="149"/>
        <v>Korean National Police Agency [경찰청]. "Korean Police Crime Statistics in 2021". Accessed 10 July, 2023. https://www.police.go.kr/.</v>
      </c>
    </row>
    <row r="617" spans="2:26">
      <c r="B617" s="285" t="s">
        <v>785</v>
      </c>
      <c r="C617" s="285" t="s">
        <v>464</v>
      </c>
      <c r="D617" s="285" t="s">
        <v>673</v>
      </c>
      <c r="E617" s="285" t="s">
        <v>156</v>
      </c>
      <c r="F617" s="13" t="s">
        <v>802</v>
      </c>
      <c r="G617" s="13"/>
      <c r="H617" s="13" t="s">
        <v>801</v>
      </c>
      <c r="I617" s="13" t="s">
        <v>1416</v>
      </c>
      <c r="J617" s="13" t="s">
        <v>1417</v>
      </c>
      <c r="K617" s="284">
        <v>45117</v>
      </c>
      <c r="L617" s="283" t="str">
        <f t="shared" si="135"/>
        <v>-</v>
      </c>
      <c r="M617" s="283" t="str">
        <f t="shared" si="136"/>
        <v>-</v>
      </c>
      <c r="N617" s="283" t="str">
        <f t="shared" si="137"/>
        <v>-</v>
      </c>
      <c r="O617" s="283" t="str">
        <f t="shared" si="138"/>
        <v>-</v>
      </c>
      <c r="P617" s="283" t="str">
        <f t="shared" si="139"/>
        <v>-</v>
      </c>
      <c r="Q617" s="283" t="str">
        <f t="shared" si="140"/>
        <v>-</v>
      </c>
      <c r="R617" s="283" t="str">
        <f t="shared" si="141"/>
        <v>-</v>
      </c>
      <c r="S617" s="283" t="str">
        <f t="shared" si="142"/>
        <v>-</v>
      </c>
      <c r="T617" s="283" t="str">
        <f t="shared" si="143"/>
        <v>-</v>
      </c>
      <c r="U617" s="283" t="str">
        <f t="shared" si="144"/>
        <v>-</v>
      </c>
      <c r="V617" s="283" t="str">
        <f t="shared" si="145"/>
        <v>-</v>
      </c>
      <c r="W617" s="1" t="str">
        <f t="shared" si="146"/>
        <v>https://www.police.pref.fukuoka.jp/tokei/index.html/</v>
      </c>
      <c r="X617" s="1" t="str">
        <f t="shared" si="147"/>
        <v>https://www.police.pref.fukuoka.jp/</v>
      </c>
      <c r="Y617" s="1" t="str">
        <f t="shared" si="148"/>
        <v>優先3</v>
      </c>
      <c r="Z617" s="1" t="str">
        <f t="shared" si="149"/>
        <v>Fukuoka Prefectural Police [福岡県警察]. "犯罪統計". Accessed 10 July, 2023. https://www.police.pref.fukuoka.jp/.</v>
      </c>
    </row>
    <row r="618" spans="2:26">
      <c r="B618" s="285" t="s">
        <v>785</v>
      </c>
      <c r="C618" s="285" t="s">
        <v>464</v>
      </c>
      <c r="D618" s="285" t="s">
        <v>673</v>
      </c>
      <c r="E618" s="285" t="s">
        <v>158</v>
      </c>
      <c r="F618" s="13" t="s">
        <v>1418</v>
      </c>
      <c r="G618" s="13"/>
      <c r="H618" s="13" t="s">
        <v>800</v>
      </c>
      <c r="I618" s="13" t="s">
        <v>799</v>
      </c>
      <c r="J618" s="13" t="s">
        <v>4269</v>
      </c>
      <c r="K618" s="284">
        <v>45070</v>
      </c>
      <c r="L618" s="283" t="str">
        <f t="shared" si="135"/>
        <v>-</v>
      </c>
      <c r="M618" s="283" t="str">
        <f t="shared" si="136"/>
        <v>-</v>
      </c>
      <c r="N618" s="283" t="str">
        <f t="shared" si="137"/>
        <v>-</v>
      </c>
      <c r="O618" s="283" t="str">
        <f t="shared" si="138"/>
        <v>-</v>
      </c>
      <c r="P618" s="283" t="str">
        <f t="shared" si="139"/>
        <v>-</v>
      </c>
      <c r="Q618" s="283" t="str">
        <f t="shared" si="140"/>
        <v>-</v>
      </c>
      <c r="R618" s="283" t="str">
        <f t="shared" si="141"/>
        <v>-</v>
      </c>
      <c r="S618" s="283" t="str">
        <f t="shared" si="142"/>
        <v>-</v>
      </c>
      <c r="T618" s="283" t="str">
        <f t="shared" si="143"/>
        <v>-</v>
      </c>
      <c r="U618" s="283" t="str">
        <f t="shared" si="144"/>
        <v>-</v>
      </c>
      <c r="V618" s="283" t="str">
        <f t="shared" si="145"/>
        <v>-</v>
      </c>
      <c r="W618" s="1" t="str">
        <f t="shared" si="146"/>
        <v>https://www.police.pref.osaka.lg.jp/cgi-bin/inquiry.php/7?page_no=893/</v>
      </c>
      <c r="X618" s="1" t="str">
        <f t="shared" si="147"/>
        <v>https://www.police.pref.osaka.lg.jp/</v>
      </c>
      <c r="Y618" s="1" t="str">
        <f t="shared" si="148"/>
        <v>優先3</v>
      </c>
      <c r="Z618" s="1" t="str">
        <f t="shared" si="149"/>
        <v>Osaka Prefectural Police [大阪府警察]. "刑法犯罪種及び手口別発生市区町村別検挙件数". Accessed 24 May, 2023. https://www.police.pref.osaka.lg.jp/.</v>
      </c>
    </row>
    <row r="619" spans="2:26">
      <c r="B619" s="285" t="s">
        <v>785</v>
      </c>
      <c r="C619" s="285" t="s">
        <v>464</v>
      </c>
      <c r="D619" s="285" t="s">
        <v>673</v>
      </c>
      <c r="E619" s="285" t="s">
        <v>160</v>
      </c>
      <c r="F619" s="13" t="s">
        <v>798</v>
      </c>
      <c r="G619" s="13"/>
      <c r="H619" s="13" t="s">
        <v>1419</v>
      </c>
      <c r="I619" s="13" t="s">
        <v>4270</v>
      </c>
      <c r="J619" s="13" t="s">
        <v>4271</v>
      </c>
      <c r="K619" s="284">
        <v>45117</v>
      </c>
      <c r="L619" s="283" t="str">
        <f t="shared" si="135"/>
        <v>-</v>
      </c>
      <c r="M619" s="283" t="str">
        <f t="shared" si="136"/>
        <v>-</v>
      </c>
      <c r="N619" s="283" t="str">
        <f t="shared" si="137"/>
        <v>-</v>
      </c>
      <c r="O619" s="283" t="str">
        <f t="shared" si="138"/>
        <v>-</v>
      </c>
      <c r="P619" s="283" t="str">
        <f t="shared" si="139"/>
        <v>-</v>
      </c>
      <c r="Q619" s="283" t="str">
        <f t="shared" si="140"/>
        <v>-</v>
      </c>
      <c r="R619" s="283" t="str">
        <f t="shared" si="141"/>
        <v>-</v>
      </c>
      <c r="S619" s="283" t="str">
        <f t="shared" si="142"/>
        <v>NG</v>
      </c>
      <c r="T619" s="283" t="str">
        <f t="shared" si="143"/>
        <v>-</v>
      </c>
      <c r="U619" s="283" t="str">
        <f t="shared" si="144"/>
        <v>-</v>
      </c>
      <c r="V619" s="283" t="str">
        <f t="shared" si="145"/>
        <v>-</v>
      </c>
      <c r="W619" s="1" t="str">
        <f t="shared" si="146"/>
        <v>https://www.keishicho.metro.tokyo.lg.jp/about_mpd/jokyo_tokei/tokei/k_tokei03.html/</v>
      </c>
      <c r="X619" s="1" t="str">
        <f t="shared" si="147"/>
        <v>https://www.keishicho.metro.tokyo.lg.jp/</v>
      </c>
      <c r="Y619" s="1" t="str">
        <f t="shared" si="148"/>
        <v>優先3</v>
      </c>
      <c r="Z619" s="1" t="str">
        <f t="shared" si="149"/>
        <v>Tokyo Metropolitan Police Department [警視庁]. "警視庁の統計（令和3年）". Accessed 10 July, 2023. https://www.keishicho.metro.tokyo.lg.jp/.</v>
      </c>
    </row>
    <row r="620" spans="2:26">
      <c r="B620" s="285" t="s">
        <v>785</v>
      </c>
      <c r="C620" s="285" t="s">
        <v>464</v>
      </c>
      <c r="D620" s="285" t="s">
        <v>673</v>
      </c>
      <c r="E620" s="285" t="s">
        <v>162</v>
      </c>
      <c r="F620" s="13" t="s">
        <v>797</v>
      </c>
      <c r="G620" s="13" t="s">
        <v>1420</v>
      </c>
      <c r="H620" s="13"/>
      <c r="I620" s="13" t="s">
        <v>4272</v>
      </c>
      <c r="J620" s="13" t="s">
        <v>1421</v>
      </c>
      <c r="K620" s="284">
        <v>45117</v>
      </c>
      <c r="L620" s="283" t="str">
        <f t="shared" si="135"/>
        <v>-</v>
      </c>
      <c r="M620" s="283" t="str">
        <f t="shared" si="136"/>
        <v>-</v>
      </c>
      <c r="N620" s="283" t="str">
        <f t="shared" si="137"/>
        <v>-</v>
      </c>
      <c r="O620" s="283" t="str">
        <f t="shared" si="138"/>
        <v>-</v>
      </c>
      <c r="P620" s="283" t="str">
        <f t="shared" si="139"/>
        <v>-</v>
      </c>
      <c r="Q620" s="283" t="str">
        <f t="shared" si="140"/>
        <v>-</v>
      </c>
      <c r="R620" s="283" t="str">
        <f t="shared" si="141"/>
        <v>-</v>
      </c>
      <c r="S620" s="283" t="str">
        <f t="shared" si="142"/>
        <v>-</v>
      </c>
      <c r="T620" s="283" t="str">
        <f t="shared" si="143"/>
        <v>-</v>
      </c>
      <c r="U620" s="283" t="str">
        <f t="shared" si="144"/>
        <v>-</v>
      </c>
      <c r="V620" s="283" t="str">
        <f t="shared" si="145"/>
        <v>-</v>
      </c>
      <c r="W620" s="1" t="str">
        <f t="shared" si="146"/>
        <v>https://www.bocsar.nsw.gov.au/Pages/bocsar_crime_stats/bocsar_lgaexceltables.aspx/</v>
      </c>
      <c r="X620" s="1" t="str">
        <f t="shared" si="147"/>
        <v>https://www.bocsar.nsw.gov.au/</v>
      </c>
      <c r="Y620" s="1" t="str">
        <f t="shared" si="148"/>
        <v>優先3</v>
      </c>
      <c r="Z620" s="1" t="str">
        <f t="shared" si="149"/>
        <v>Bureau of Crime Statistics and Research, State of New South Wales. "NSW Recorded Crime Statistics 2018 - 2022". Accessed 10 July, 2023. https://www.bocsar.nsw.gov.au/.</v>
      </c>
    </row>
    <row r="621" spans="2:26">
      <c r="B621" s="285" t="s">
        <v>785</v>
      </c>
      <c r="C621" s="285" t="s">
        <v>464</v>
      </c>
      <c r="D621" s="285" t="s">
        <v>673</v>
      </c>
      <c r="E621" s="285" t="s">
        <v>164</v>
      </c>
      <c r="F621" s="13" t="s">
        <v>796</v>
      </c>
      <c r="G621" s="13" t="s">
        <v>1422</v>
      </c>
      <c r="H621" s="13"/>
      <c r="I621" s="13" t="s">
        <v>1423</v>
      </c>
      <c r="J621" s="13" t="s">
        <v>2719</v>
      </c>
      <c r="K621" s="284">
        <v>45117</v>
      </c>
      <c r="L621" s="283" t="str">
        <f t="shared" si="135"/>
        <v>-</v>
      </c>
      <c r="M621" s="283" t="str">
        <f t="shared" si="136"/>
        <v>-</v>
      </c>
      <c r="N621" s="283" t="str">
        <f t="shared" si="137"/>
        <v>-</v>
      </c>
      <c r="O621" s="283" t="str">
        <f t="shared" si="138"/>
        <v>-</v>
      </c>
      <c r="P621" s="283" t="str">
        <f t="shared" si="139"/>
        <v>-</v>
      </c>
      <c r="Q621" s="283" t="str">
        <f t="shared" si="140"/>
        <v>-</v>
      </c>
      <c r="R621" s="283" t="str">
        <f t="shared" si="141"/>
        <v>-</v>
      </c>
      <c r="S621" s="283" t="str">
        <f t="shared" si="142"/>
        <v>-</v>
      </c>
      <c r="T621" s="283" t="str">
        <f t="shared" si="143"/>
        <v>-</v>
      </c>
      <c r="U621" s="283" t="str">
        <f t="shared" si="144"/>
        <v>-</v>
      </c>
      <c r="V621" s="283" t="str">
        <f t="shared" si="145"/>
        <v>-</v>
      </c>
      <c r="W621" s="1" t="str">
        <f t="shared" si="146"/>
        <v>https://vpd.ca/crime-statistics/</v>
      </c>
      <c r="X621" s="1" t="str">
        <f t="shared" si="147"/>
        <v>https://vpd.ca/</v>
      </c>
      <c r="Y621" s="1" t="str">
        <f t="shared" si="148"/>
        <v>優先3</v>
      </c>
      <c r="Z621" s="1" t="str">
        <f t="shared" si="149"/>
        <v>Vancouver Police Department, City of Vancouver. "Vancouver Police Department Reported Crime Incident Statistics". Accessed 10 July, 2023. https://vpd.ca/.</v>
      </c>
    </row>
    <row r="622" spans="2:26">
      <c r="B622" s="285" t="s">
        <v>785</v>
      </c>
      <c r="C622" s="285" t="s">
        <v>464</v>
      </c>
      <c r="D622" s="285" t="s">
        <v>673</v>
      </c>
      <c r="E622" s="285" t="s">
        <v>166</v>
      </c>
      <c r="F622" s="13" t="s">
        <v>793</v>
      </c>
      <c r="G622" s="13" t="s">
        <v>1402</v>
      </c>
      <c r="H622" s="13"/>
      <c r="I622" s="13" t="s">
        <v>792</v>
      </c>
      <c r="J622" s="13" t="s">
        <v>4273</v>
      </c>
      <c r="K622" s="284">
        <v>45118</v>
      </c>
      <c r="L622" s="283">
        <f t="shared" si="135"/>
        <v>6</v>
      </c>
      <c r="M622" s="283" t="str">
        <f t="shared" si="136"/>
        <v>-</v>
      </c>
      <c r="N622" s="283" t="str">
        <f t="shared" si="137"/>
        <v>-</v>
      </c>
      <c r="O622" s="283" t="str">
        <f t="shared" si="138"/>
        <v>-</v>
      </c>
      <c r="P622" s="283" t="str">
        <f t="shared" si="139"/>
        <v>-</v>
      </c>
      <c r="Q622" s="283" t="str">
        <f t="shared" si="140"/>
        <v>-</v>
      </c>
      <c r="R622" s="283" t="str">
        <f t="shared" si="141"/>
        <v>-</v>
      </c>
      <c r="S622" s="283" t="str">
        <f t="shared" si="142"/>
        <v>-</v>
      </c>
      <c r="T622" s="283" t="str">
        <f t="shared" si="143"/>
        <v>-</v>
      </c>
      <c r="U622" s="283" t="str">
        <f t="shared" si="144"/>
        <v>-</v>
      </c>
      <c r="V622" s="283" t="str">
        <f t="shared" si="145"/>
        <v>-</v>
      </c>
      <c r="W622" s="1" t="str">
        <f t="shared" si="146"/>
        <v>https://cde.ucr.cjis.gov/LATEST/webapp/#/pages/downloads/</v>
      </c>
      <c r="X622" s="1" t="str">
        <f t="shared" si="147"/>
        <v>https://cde.ucr.cjis.gov/</v>
      </c>
      <c r="Y622" s="1" t="str">
        <f t="shared" si="148"/>
        <v>優先3</v>
      </c>
      <c r="Z622" s="1" t="str">
        <f t="shared" si="149"/>
        <v>Federal Bureau of Investigation, United States of America. "Offenses Known to Law Enforcement". Accessed 11 July, 2023. https://cde.ucr.cjis.gov/.</v>
      </c>
    </row>
    <row r="623" spans="2:26">
      <c r="B623" s="285" t="s">
        <v>785</v>
      </c>
      <c r="C623" s="285" t="s">
        <v>464</v>
      </c>
      <c r="D623" s="285" t="s">
        <v>673</v>
      </c>
      <c r="E623" s="285" t="s">
        <v>168</v>
      </c>
      <c r="F623" s="13" t="s">
        <v>793</v>
      </c>
      <c r="G623" s="13" t="s">
        <v>1402</v>
      </c>
      <c r="H623" s="13"/>
      <c r="I623" s="13" t="s">
        <v>792</v>
      </c>
      <c r="J623" s="13" t="s">
        <v>4273</v>
      </c>
      <c r="K623" s="284">
        <v>45118</v>
      </c>
      <c r="L623" s="283">
        <f t="shared" si="135"/>
        <v>6</v>
      </c>
      <c r="M623" s="283" t="str">
        <f t="shared" si="136"/>
        <v>-</v>
      </c>
      <c r="N623" s="283" t="str">
        <f t="shared" si="137"/>
        <v>-</v>
      </c>
      <c r="O623" s="283" t="str">
        <f t="shared" si="138"/>
        <v>-</v>
      </c>
      <c r="P623" s="283" t="str">
        <f t="shared" si="139"/>
        <v>-</v>
      </c>
      <c r="Q623" s="283" t="str">
        <f t="shared" si="140"/>
        <v>-</v>
      </c>
      <c r="R623" s="283" t="str">
        <f t="shared" si="141"/>
        <v>-</v>
      </c>
      <c r="S623" s="283" t="str">
        <f t="shared" si="142"/>
        <v>-</v>
      </c>
      <c r="T623" s="283" t="str">
        <f t="shared" si="143"/>
        <v>-</v>
      </c>
      <c r="U623" s="283" t="str">
        <f t="shared" si="144"/>
        <v>-</v>
      </c>
      <c r="V623" s="283" t="str">
        <f t="shared" si="145"/>
        <v>-</v>
      </c>
      <c r="W623" s="1" t="str">
        <f t="shared" si="146"/>
        <v>https://cde.ucr.cjis.gov/LATEST/webapp/#/pages/downloads/</v>
      </c>
      <c r="X623" s="1" t="str">
        <f t="shared" si="147"/>
        <v>https://cde.ucr.cjis.gov/</v>
      </c>
      <c r="Y623" s="1" t="str">
        <f t="shared" si="148"/>
        <v>優先3</v>
      </c>
      <c r="Z623" s="1" t="str">
        <f t="shared" si="149"/>
        <v>Federal Bureau of Investigation, United States of America. "Offenses Known to Law Enforcement". Accessed 11 July, 2023. https://cde.ucr.cjis.gov/.</v>
      </c>
    </row>
    <row r="624" spans="2:26">
      <c r="B624" s="285" t="s">
        <v>785</v>
      </c>
      <c r="C624" s="285" t="s">
        <v>464</v>
      </c>
      <c r="D624" s="285" t="s">
        <v>673</v>
      </c>
      <c r="E624" s="285" t="s">
        <v>170</v>
      </c>
      <c r="F624" s="13" t="s">
        <v>1409</v>
      </c>
      <c r="G624" s="13"/>
      <c r="H624" s="13"/>
      <c r="I624" s="13" t="s">
        <v>1410</v>
      </c>
      <c r="J624" s="13" t="s">
        <v>3766</v>
      </c>
      <c r="K624" s="284">
        <v>45117</v>
      </c>
      <c r="L624" s="283">
        <f t="shared" si="135"/>
        <v>4</v>
      </c>
      <c r="M624" s="283" t="str">
        <f t="shared" si="136"/>
        <v>-</v>
      </c>
      <c r="N624" s="283" t="str">
        <f t="shared" si="137"/>
        <v>NG</v>
      </c>
      <c r="O624" s="283" t="str">
        <f t="shared" si="138"/>
        <v>-</v>
      </c>
      <c r="P624" s="283" t="str">
        <f t="shared" si="139"/>
        <v>-</v>
      </c>
      <c r="Q624" s="283" t="str">
        <f t="shared" si="140"/>
        <v>-</v>
      </c>
      <c r="R624" s="283" t="str">
        <f t="shared" si="141"/>
        <v>-</v>
      </c>
      <c r="S624" s="283" t="str">
        <f t="shared" si="142"/>
        <v>-</v>
      </c>
      <c r="T624" s="283" t="str">
        <f t="shared" si="143"/>
        <v>NG</v>
      </c>
      <c r="U624" s="283" t="str">
        <f t="shared" si="144"/>
        <v>-</v>
      </c>
      <c r="V624" s="283" t="str">
        <f t="shared" si="145"/>
        <v>-</v>
      </c>
      <c r="W624" s="1" t="str">
        <f t="shared" si="146"/>
        <v>https://dataunodc.un.org/dp-intentional-homicide-city/</v>
      </c>
      <c r="X624" s="1" t="str">
        <f t="shared" si="147"/>
        <v>https://dataunodc.un.org/</v>
      </c>
      <c r="Y624" s="1" t="str">
        <f t="shared" si="148"/>
        <v>優先3</v>
      </c>
      <c r="Z624" s="1" t="str">
        <f t="shared" si="149"/>
        <v>United Nations Office on Drugs and Crime(UNODC). "Victims of intentional homicide in cities, counts and rates, per 100,000 population". Accessed 10 July, 2023. https://dataunodc.un.org/.</v>
      </c>
    </row>
    <row r="625" spans="2:26">
      <c r="B625" s="285" t="s">
        <v>785</v>
      </c>
      <c r="C625" s="285" t="s">
        <v>464</v>
      </c>
      <c r="D625" s="285" t="s">
        <v>673</v>
      </c>
      <c r="E625" s="285" t="s">
        <v>172</v>
      </c>
      <c r="F625" s="13" t="s">
        <v>793</v>
      </c>
      <c r="G625" s="13" t="s">
        <v>1402</v>
      </c>
      <c r="H625" s="13"/>
      <c r="I625" s="13" t="s">
        <v>792</v>
      </c>
      <c r="J625" s="13" t="s">
        <v>4273</v>
      </c>
      <c r="K625" s="284">
        <v>45118</v>
      </c>
      <c r="L625" s="283">
        <f t="shared" si="135"/>
        <v>6</v>
      </c>
      <c r="M625" s="283" t="str">
        <f t="shared" si="136"/>
        <v>-</v>
      </c>
      <c r="N625" s="283" t="str">
        <f t="shared" si="137"/>
        <v>-</v>
      </c>
      <c r="O625" s="283" t="str">
        <f t="shared" si="138"/>
        <v>-</v>
      </c>
      <c r="P625" s="283" t="str">
        <f t="shared" si="139"/>
        <v>-</v>
      </c>
      <c r="Q625" s="283" t="str">
        <f t="shared" si="140"/>
        <v>-</v>
      </c>
      <c r="R625" s="283" t="str">
        <f t="shared" si="141"/>
        <v>-</v>
      </c>
      <c r="S625" s="283" t="str">
        <f t="shared" si="142"/>
        <v>-</v>
      </c>
      <c r="T625" s="283" t="str">
        <f t="shared" si="143"/>
        <v>-</v>
      </c>
      <c r="U625" s="283" t="str">
        <f t="shared" si="144"/>
        <v>-</v>
      </c>
      <c r="V625" s="283" t="str">
        <f t="shared" si="145"/>
        <v>-</v>
      </c>
      <c r="W625" s="1" t="str">
        <f t="shared" si="146"/>
        <v>https://cde.ucr.cjis.gov/LATEST/webapp/#/pages/downloads/</v>
      </c>
      <c r="X625" s="1" t="str">
        <f t="shared" si="147"/>
        <v>https://cde.ucr.cjis.gov/</v>
      </c>
      <c r="Y625" s="1" t="str">
        <f t="shared" si="148"/>
        <v>優先3</v>
      </c>
      <c r="Z625" s="1" t="str">
        <f t="shared" si="149"/>
        <v>Federal Bureau of Investigation, United States of America. "Offenses Known to Law Enforcement". Accessed 11 July, 2023. https://cde.ucr.cjis.gov/.</v>
      </c>
    </row>
    <row r="626" spans="2:26">
      <c r="B626" s="285" t="s">
        <v>785</v>
      </c>
      <c r="C626" s="285" t="s">
        <v>464</v>
      </c>
      <c r="D626" s="285" t="s">
        <v>673</v>
      </c>
      <c r="E626" s="285" t="s">
        <v>174</v>
      </c>
      <c r="F626" s="13" t="s">
        <v>795</v>
      </c>
      <c r="G626" s="13"/>
      <c r="H626" s="13"/>
      <c r="I626" s="13" t="s">
        <v>794</v>
      </c>
      <c r="J626" s="13" t="s">
        <v>3774</v>
      </c>
      <c r="K626" s="284">
        <v>45117</v>
      </c>
      <c r="L626" s="283" t="str">
        <f t="shared" si="135"/>
        <v>-</v>
      </c>
      <c r="M626" s="283" t="str">
        <f t="shared" si="136"/>
        <v>-</v>
      </c>
      <c r="N626" s="283" t="str">
        <f t="shared" si="137"/>
        <v>-</v>
      </c>
      <c r="O626" s="283" t="str">
        <f t="shared" si="138"/>
        <v>-</v>
      </c>
      <c r="P626" s="283" t="str">
        <f t="shared" si="139"/>
        <v>-</v>
      </c>
      <c r="Q626" s="283" t="str">
        <f t="shared" si="140"/>
        <v>-</v>
      </c>
      <c r="R626" s="283" t="str">
        <f t="shared" si="141"/>
        <v>-</v>
      </c>
      <c r="S626" s="283" t="str">
        <f t="shared" si="142"/>
        <v>-</v>
      </c>
      <c r="T626" s="283" t="str">
        <f t="shared" si="143"/>
        <v>-</v>
      </c>
      <c r="U626" s="283" t="str">
        <f t="shared" si="144"/>
        <v>-</v>
      </c>
      <c r="V626" s="283" t="str">
        <f t="shared" si="145"/>
        <v>-</v>
      </c>
      <c r="W626" s="1" t="str">
        <f t="shared" si="146"/>
        <v>https://www.tps.ca/data-maps/data-analytics/homicide/</v>
      </c>
      <c r="X626" s="1" t="str">
        <f t="shared" si="147"/>
        <v>https://www.tps.ca/</v>
      </c>
      <c r="Y626" s="1" t="str">
        <f t="shared" si="148"/>
        <v>優先3</v>
      </c>
      <c r="Z626" s="1" t="str">
        <f t="shared" si="149"/>
        <v>Toronto Police Service. "TPS Crime Statistics - Homicide". Accessed 10 July, 2023. https://www.tps.ca/.</v>
      </c>
    </row>
    <row r="627" spans="2:26">
      <c r="B627" s="285" t="s">
        <v>785</v>
      </c>
      <c r="C627" s="285" t="s">
        <v>464</v>
      </c>
      <c r="D627" s="285" t="s">
        <v>673</v>
      </c>
      <c r="E627" s="285" t="s">
        <v>373</v>
      </c>
      <c r="F627" s="13" t="s">
        <v>793</v>
      </c>
      <c r="G627" s="13" t="s">
        <v>1402</v>
      </c>
      <c r="H627" s="13"/>
      <c r="I627" s="13" t="s">
        <v>792</v>
      </c>
      <c r="J627" s="13" t="s">
        <v>4273</v>
      </c>
      <c r="K627" s="284">
        <v>45118</v>
      </c>
      <c r="L627" s="283">
        <f t="shared" si="135"/>
        <v>6</v>
      </c>
      <c r="M627" s="283" t="str">
        <f t="shared" si="136"/>
        <v>-</v>
      </c>
      <c r="N627" s="283" t="str">
        <f t="shared" si="137"/>
        <v>-</v>
      </c>
      <c r="O627" s="283" t="str">
        <f t="shared" si="138"/>
        <v>-</v>
      </c>
      <c r="P627" s="283" t="str">
        <f t="shared" si="139"/>
        <v>-</v>
      </c>
      <c r="Q627" s="283" t="str">
        <f t="shared" si="140"/>
        <v>-</v>
      </c>
      <c r="R627" s="283" t="str">
        <f t="shared" si="141"/>
        <v>-</v>
      </c>
      <c r="S627" s="283" t="str">
        <f t="shared" si="142"/>
        <v>-</v>
      </c>
      <c r="T627" s="283" t="str">
        <f t="shared" si="143"/>
        <v>-</v>
      </c>
      <c r="U627" s="283" t="str">
        <f t="shared" si="144"/>
        <v>-</v>
      </c>
      <c r="V627" s="283" t="str">
        <f t="shared" si="145"/>
        <v>-</v>
      </c>
      <c r="W627" s="1" t="str">
        <f t="shared" si="146"/>
        <v>https://cde.ucr.cjis.gov/LATEST/webapp/#/pages/downloads/</v>
      </c>
      <c r="X627" s="1" t="str">
        <f t="shared" si="147"/>
        <v>https://cde.ucr.cjis.gov/</v>
      </c>
      <c r="Y627" s="1" t="str">
        <f t="shared" si="148"/>
        <v>優先3</v>
      </c>
      <c r="Z627" s="1" t="str">
        <f t="shared" si="149"/>
        <v>Federal Bureau of Investigation, United States of America. "Offenses Known to Law Enforcement". Accessed 11 July, 2023. https://cde.ucr.cjis.gov/.</v>
      </c>
    </row>
    <row r="628" spans="2:26">
      <c r="B628" s="285" t="s">
        <v>785</v>
      </c>
      <c r="C628" s="285" t="s">
        <v>464</v>
      </c>
      <c r="D628" s="285" t="s">
        <v>673</v>
      </c>
      <c r="E628" s="285" t="s">
        <v>178</v>
      </c>
      <c r="F628" s="13" t="s">
        <v>793</v>
      </c>
      <c r="G628" s="13" t="s">
        <v>1402</v>
      </c>
      <c r="H628" s="13"/>
      <c r="I628" s="13" t="s">
        <v>792</v>
      </c>
      <c r="J628" s="13" t="s">
        <v>4273</v>
      </c>
      <c r="K628" s="284">
        <v>45118</v>
      </c>
      <c r="L628" s="283">
        <f t="shared" si="135"/>
        <v>6</v>
      </c>
      <c r="M628" s="283" t="str">
        <f t="shared" si="136"/>
        <v>-</v>
      </c>
      <c r="N628" s="283" t="str">
        <f t="shared" si="137"/>
        <v>-</v>
      </c>
      <c r="O628" s="283" t="str">
        <f t="shared" si="138"/>
        <v>-</v>
      </c>
      <c r="P628" s="283" t="str">
        <f t="shared" si="139"/>
        <v>-</v>
      </c>
      <c r="Q628" s="283" t="str">
        <f t="shared" si="140"/>
        <v>-</v>
      </c>
      <c r="R628" s="283" t="str">
        <f t="shared" si="141"/>
        <v>-</v>
      </c>
      <c r="S628" s="283" t="str">
        <f t="shared" si="142"/>
        <v>-</v>
      </c>
      <c r="T628" s="283" t="str">
        <f t="shared" si="143"/>
        <v>-</v>
      </c>
      <c r="U628" s="283" t="str">
        <f t="shared" si="144"/>
        <v>-</v>
      </c>
      <c r="V628" s="283" t="str">
        <f t="shared" si="145"/>
        <v>-</v>
      </c>
      <c r="W628" s="1" t="str">
        <f t="shared" si="146"/>
        <v>https://cde.ucr.cjis.gov/LATEST/webapp/#/pages/downloads/</v>
      </c>
      <c r="X628" s="1" t="str">
        <f t="shared" si="147"/>
        <v>https://cde.ucr.cjis.gov/</v>
      </c>
      <c r="Y628" s="1" t="str">
        <f t="shared" si="148"/>
        <v>優先3</v>
      </c>
      <c r="Z628" s="1" t="str">
        <f t="shared" si="149"/>
        <v>Federal Bureau of Investigation, United States of America. "Offenses Known to Law Enforcement". Accessed 11 July, 2023. https://cde.ucr.cjis.gov/.</v>
      </c>
    </row>
    <row r="629" spans="2:26">
      <c r="B629" s="285" t="s">
        <v>785</v>
      </c>
      <c r="C629" s="285" t="s">
        <v>464</v>
      </c>
      <c r="D629" s="285" t="s">
        <v>673</v>
      </c>
      <c r="E629" s="285" t="s">
        <v>180</v>
      </c>
      <c r="F629" s="13" t="s">
        <v>793</v>
      </c>
      <c r="G629" s="13" t="s">
        <v>1402</v>
      </c>
      <c r="H629" s="13"/>
      <c r="I629" s="13" t="s">
        <v>792</v>
      </c>
      <c r="J629" s="13" t="s">
        <v>4273</v>
      </c>
      <c r="K629" s="284">
        <v>45118</v>
      </c>
      <c r="L629" s="283">
        <f t="shared" si="135"/>
        <v>6</v>
      </c>
      <c r="M629" s="283" t="str">
        <f t="shared" si="136"/>
        <v>-</v>
      </c>
      <c r="N629" s="283" t="str">
        <f t="shared" si="137"/>
        <v>-</v>
      </c>
      <c r="O629" s="283" t="str">
        <f t="shared" si="138"/>
        <v>-</v>
      </c>
      <c r="P629" s="283" t="str">
        <f t="shared" si="139"/>
        <v>-</v>
      </c>
      <c r="Q629" s="283" t="str">
        <f t="shared" si="140"/>
        <v>-</v>
      </c>
      <c r="R629" s="283" t="str">
        <f t="shared" si="141"/>
        <v>-</v>
      </c>
      <c r="S629" s="283" t="str">
        <f t="shared" si="142"/>
        <v>-</v>
      </c>
      <c r="T629" s="283" t="str">
        <f t="shared" si="143"/>
        <v>-</v>
      </c>
      <c r="U629" s="283" t="str">
        <f t="shared" si="144"/>
        <v>-</v>
      </c>
      <c r="V629" s="283" t="str">
        <f t="shared" si="145"/>
        <v>-</v>
      </c>
      <c r="W629" s="1" t="str">
        <f t="shared" si="146"/>
        <v>https://cde.ucr.cjis.gov/LATEST/webapp/#/pages/downloads/</v>
      </c>
      <c r="X629" s="1" t="str">
        <f t="shared" si="147"/>
        <v>https://cde.ucr.cjis.gov/</v>
      </c>
      <c r="Y629" s="1" t="str">
        <f t="shared" si="148"/>
        <v>優先3</v>
      </c>
      <c r="Z629" s="1" t="str">
        <f t="shared" si="149"/>
        <v>Federal Bureau of Investigation, United States of America. "Offenses Known to Law Enforcement". Accessed 11 July, 2023. https://cde.ucr.cjis.gov/.</v>
      </c>
    </row>
    <row r="630" spans="2:26">
      <c r="B630" s="285" t="s">
        <v>785</v>
      </c>
      <c r="C630" s="285" t="s">
        <v>464</v>
      </c>
      <c r="D630" s="285" t="s">
        <v>673</v>
      </c>
      <c r="E630" s="285" t="s">
        <v>182</v>
      </c>
      <c r="F630" s="13" t="s">
        <v>1424</v>
      </c>
      <c r="G630" s="13"/>
      <c r="H630" s="13" t="s">
        <v>791</v>
      </c>
      <c r="I630" s="13" t="s">
        <v>3775</v>
      </c>
      <c r="J630" s="13" t="s">
        <v>1425</v>
      </c>
      <c r="K630" s="284">
        <v>45117</v>
      </c>
      <c r="L630" s="283" t="str">
        <f t="shared" si="135"/>
        <v>-</v>
      </c>
      <c r="M630" s="283" t="str">
        <f t="shared" si="136"/>
        <v>-</v>
      </c>
      <c r="N630" s="283" t="str">
        <f t="shared" si="137"/>
        <v>-</v>
      </c>
      <c r="O630" s="283" t="str">
        <f t="shared" si="138"/>
        <v>-</v>
      </c>
      <c r="P630" s="283" t="str">
        <f t="shared" si="139"/>
        <v>-</v>
      </c>
      <c r="Q630" s="283" t="str">
        <f t="shared" si="140"/>
        <v>NG</v>
      </c>
      <c r="R630" s="283" t="str">
        <f t="shared" si="141"/>
        <v>-</v>
      </c>
      <c r="S630" s="283" t="str">
        <f t="shared" si="142"/>
        <v>-</v>
      </c>
      <c r="T630" s="283" t="str">
        <f t="shared" si="143"/>
        <v>-</v>
      </c>
      <c r="U630" s="283" t="str">
        <f t="shared" si="144"/>
        <v>-</v>
      </c>
      <c r="V630" s="283" t="str">
        <f t="shared" si="145"/>
        <v>NG</v>
      </c>
      <c r="W630" s="1" t="str">
        <f t="shared" si="146"/>
        <v>https://www.sp.br.emb-japan.go.jp/itpr_ja/SegSP_jp.html/</v>
      </c>
      <c r="X630" s="1" t="str">
        <f t="shared" si="147"/>
        <v>https://www.sp.br.emb-japan.go.jp/</v>
      </c>
      <c r="Y630" s="1" t="str">
        <f t="shared" si="148"/>
        <v>優先3</v>
      </c>
      <c r="Z630" s="1" t="str">
        <f t="shared" si="149"/>
        <v>Consulate General of Japan in Sao Paulo  [在サンパウロ日本国総領事館]. "サンパウロにおける「安全の手引き」". Accessed 10 July, 2023. https://www.sp.br.emb-japan.go.jp/.</v>
      </c>
    </row>
    <row r="631" spans="2:26">
      <c r="B631" s="285" t="s">
        <v>785</v>
      </c>
      <c r="C631" s="285" t="s">
        <v>464</v>
      </c>
      <c r="D631" s="285" t="s">
        <v>673</v>
      </c>
      <c r="E631" s="285" t="s">
        <v>184</v>
      </c>
      <c r="F631" s="13" t="s">
        <v>1426</v>
      </c>
      <c r="G631" s="13"/>
      <c r="H631" s="13"/>
      <c r="I631" s="13" t="s">
        <v>1427</v>
      </c>
      <c r="J631" s="13" t="s">
        <v>1428</v>
      </c>
      <c r="K631" s="284">
        <v>45117</v>
      </c>
      <c r="L631" s="283" t="str">
        <f t="shared" si="135"/>
        <v>-</v>
      </c>
      <c r="M631" s="283" t="str">
        <f t="shared" si="136"/>
        <v>-</v>
      </c>
      <c r="N631" s="283" t="str">
        <f t="shared" si="137"/>
        <v>-</v>
      </c>
      <c r="O631" s="283" t="str">
        <f t="shared" si="138"/>
        <v>-</v>
      </c>
      <c r="P631" s="283" t="str">
        <f t="shared" si="139"/>
        <v>-</v>
      </c>
      <c r="Q631" s="283" t="str">
        <f t="shared" si="140"/>
        <v>-</v>
      </c>
      <c r="R631" s="283" t="str">
        <f t="shared" si="141"/>
        <v>-</v>
      </c>
      <c r="S631" s="283" t="str">
        <f t="shared" si="142"/>
        <v>-</v>
      </c>
      <c r="T631" s="283" t="str">
        <f t="shared" si="143"/>
        <v>-</v>
      </c>
      <c r="U631" s="283" t="str">
        <f t="shared" si="144"/>
        <v>-</v>
      </c>
      <c r="V631" s="283" t="str">
        <f t="shared" si="145"/>
        <v>-</v>
      </c>
      <c r="W631" s="1" t="str">
        <f t="shared" si="146"/>
        <v>https://www.saps.gov.za/services/crimestats.php/</v>
      </c>
      <c r="X631" s="1" t="str">
        <f t="shared" si="147"/>
        <v>https://www.saps.gov.za/</v>
      </c>
      <c r="Y631" s="1" t="str">
        <f t="shared" si="148"/>
        <v>優先3</v>
      </c>
      <c r="Z631" s="1" t="str">
        <f t="shared" si="149"/>
        <v>South African Police Service. "CRIME STATISTICS". Accessed 10 July, 2023. https://www.saps.gov.za/.</v>
      </c>
    </row>
    <row r="632" spans="2:26">
      <c r="B632" s="285" t="s">
        <v>785</v>
      </c>
      <c r="C632" s="285" t="s">
        <v>464</v>
      </c>
      <c r="D632" s="285" t="s">
        <v>673</v>
      </c>
      <c r="E632" s="285" t="s">
        <v>186</v>
      </c>
      <c r="F632" s="13" t="s">
        <v>830</v>
      </c>
      <c r="G632" s="13" t="s">
        <v>3776</v>
      </c>
      <c r="H632" s="13"/>
      <c r="I632" s="13" t="s">
        <v>4274</v>
      </c>
      <c r="J632" s="13" t="s">
        <v>4275</v>
      </c>
      <c r="K632" s="284">
        <v>45120</v>
      </c>
      <c r="L632" s="283" t="str">
        <f t="shared" si="135"/>
        <v>-</v>
      </c>
      <c r="M632" s="283" t="str">
        <f t="shared" si="136"/>
        <v>-</v>
      </c>
      <c r="N632" s="283" t="str">
        <f t="shared" si="137"/>
        <v>-</v>
      </c>
      <c r="O632" s="283" t="str">
        <f t="shared" si="138"/>
        <v>-</v>
      </c>
      <c r="P632" s="283" t="str">
        <f t="shared" si="139"/>
        <v>-</v>
      </c>
      <c r="Q632" s="283" t="str">
        <f t="shared" si="140"/>
        <v>-</v>
      </c>
      <c r="R632" s="283" t="str">
        <f t="shared" si="141"/>
        <v>-</v>
      </c>
      <c r="S632" s="283" t="str">
        <f t="shared" si="142"/>
        <v>-</v>
      </c>
      <c r="T632" s="283" t="str">
        <f t="shared" si="143"/>
        <v>-</v>
      </c>
      <c r="U632" s="283" t="str">
        <f t="shared" si="144"/>
        <v>-</v>
      </c>
      <c r="V632" s="283" t="str">
        <f t="shared" si="145"/>
        <v>-</v>
      </c>
      <c r="W632" s="1" t="str">
        <f t="shared" si="146"/>
        <v>https://jakarta.bps.go.id/publication/2022/10/10/78c5fb2c0930642850b4d9d1/crime-statistics-of-dki-jakarta-province-2021.html/</v>
      </c>
      <c r="X632" s="1" t="str">
        <f t="shared" si="147"/>
        <v>https://jakarta.bps.go.id/</v>
      </c>
      <c r="Y632" s="1" t="str">
        <f t="shared" si="148"/>
        <v>優先3</v>
      </c>
      <c r="Z632" s="1" t="str">
        <f t="shared" si="149"/>
        <v>Badan Pusat Statistik Provinsi DKI Jakarta, DKI Jakarta Province. "Crime Statistics of DKI Jakarta Province 2021". Accessed 13 July, 2023. https://jakarta.bps.go.id/.</v>
      </c>
    </row>
    <row r="633" spans="2:26">
      <c r="B633" s="285" t="s">
        <v>785</v>
      </c>
      <c r="C633" s="285" t="s">
        <v>464</v>
      </c>
      <c r="D633" s="285" t="s">
        <v>673</v>
      </c>
      <c r="E633" s="285" t="s">
        <v>188</v>
      </c>
      <c r="F633" s="13" t="s">
        <v>1409</v>
      </c>
      <c r="G633" s="13"/>
      <c r="H633" s="13"/>
      <c r="I633" s="13" t="s">
        <v>1410</v>
      </c>
      <c r="J633" s="13" t="s">
        <v>3766</v>
      </c>
      <c r="K633" s="284">
        <v>45117</v>
      </c>
      <c r="L633" s="283">
        <f t="shared" si="135"/>
        <v>4</v>
      </c>
      <c r="M633" s="283" t="str">
        <f t="shared" si="136"/>
        <v>-</v>
      </c>
      <c r="N633" s="283" t="str">
        <f t="shared" si="137"/>
        <v>NG</v>
      </c>
      <c r="O633" s="283" t="str">
        <f t="shared" si="138"/>
        <v>-</v>
      </c>
      <c r="P633" s="283" t="str">
        <f t="shared" si="139"/>
        <v>-</v>
      </c>
      <c r="Q633" s="283" t="str">
        <f t="shared" si="140"/>
        <v>-</v>
      </c>
      <c r="R633" s="283" t="str">
        <f t="shared" si="141"/>
        <v>-</v>
      </c>
      <c r="S633" s="283" t="str">
        <f t="shared" si="142"/>
        <v>-</v>
      </c>
      <c r="T633" s="283" t="str">
        <f t="shared" si="143"/>
        <v>NG</v>
      </c>
      <c r="U633" s="283" t="str">
        <f t="shared" si="144"/>
        <v>-</v>
      </c>
      <c r="V633" s="283" t="str">
        <f t="shared" si="145"/>
        <v>-</v>
      </c>
      <c r="W633" s="1" t="str">
        <f t="shared" si="146"/>
        <v>https://dataunodc.un.org/dp-intentional-homicide-city/</v>
      </c>
      <c r="X633" s="1" t="str">
        <f t="shared" si="147"/>
        <v>https://dataunodc.un.org/</v>
      </c>
      <c r="Y633" s="1" t="str">
        <f t="shared" si="148"/>
        <v>優先3</v>
      </c>
      <c r="Z633" s="1" t="str">
        <f t="shared" si="149"/>
        <v>United Nations Office on Drugs and Crime(UNODC). "Victims of intentional homicide in cities, counts and rates, per 100,000 population". Accessed 10 July, 2023. https://dataunodc.un.org/.</v>
      </c>
    </row>
    <row r="634" spans="2:26">
      <c r="B634" s="285" t="s">
        <v>785</v>
      </c>
      <c r="C634" s="285" t="s">
        <v>464</v>
      </c>
      <c r="D634" s="285" t="s">
        <v>673</v>
      </c>
      <c r="E634" s="285" t="s">
        <v>190</v>
      </c>
      <c r="F634" s="13" t="s">
        <v>1409</v>
      </c>
      <c r="G634" s="13"/>
      <c r="H634" s="13"/>
      <c r="I634" s="13" t="s">
        <v>3769</v>
      </c>
      <c r="J634" s="13" t="s">
        <v>3770</v>
      </c>
      <c r="K634" s="284">
        <v>45117</v>
      </c>
      <c r="L634" s="283">
        <f t="shared" si="135"/>
        <v>5</v>
      </c>
      <c r="M634" s="283" t="str">
        <f t="shared" si="136"/>
        <v>-</v>
      </c>
      <c r="N634" s="283" t="str">
        <f t="shared" si="137"/>
        <v>NG</v>
      </c>
      <c r="O634" s="283" t="str">
        <f t="shared" si="138"/>
        <v>-</v>
      </c>
      <c r="P634" s="283" t="str">
        <f t="shared" si="139"/>
        <v>-</v>
      </c>
      <c r="Q634" s="283" t="str">
        <f t="shared" si="140"/>
        <v>-</v>
      </c>
      <c r="R634" s="283" t="str">
        <f t="shared" si="141"/>
        <v>-</v>
      </c>
      <c r="S634" s="283" t="str">
        <f t="shared" si="142"/>
        <v>-</v>
      </c>
      <c r="T634" s="283" t="str">
        <f t="shared" si="143"/>
        <v>NG</v>
      </c>
      <c r="U634" s="283" t="str">
        <f t="shared" si="144"/>
        <v>-</v>
      </c>
      <c r="V634" s="283" t="str">
        <f t="shared" si="145"/>
        <v>-</v>
      </c>
      <c r="W634" s="1" t="str">
        <f t="shared" si="146"/>
        <v>https://dataunodc.un.org/dp-intentional-homicide-victims/</v>
      </c>
      <c r="X634" s="1" t="str">
        <f t="shared" si="147"/>
        <v>https://dataunodc.un.org/</v>
      </c>
      <c r="Y634" s="1" t="str">
        <f t="shared" si="148"/>
        <v>優先3</v>
      </c>
      <c r="Z634" s="1" t="str">
        <f t="shared" si="149"/>
        <v>United Nations Office on Drugs and Crime(UNODC). "Victims of intentional homicide". Accessed 10 July, 2023. https://dataunodc.un.org/.</v>
      </c>
    </row>
    <row r="635" spans="2:26">
      <c r="B635" s="285" t="s">
        <v>785</v>
      </c>
      <c r="C635" s="285" t="s">
        <v>464</v>
      </c>
      <c r="D635" s="285" t="s">
        <v>673</v>
      </c>
      <c r="E635" s="285" t="s">
        <v>369</v>
      </c>
      <c r="F635" s="13" t="s">
        <v>881</v>
      </c>
      <c r="G635" s="13" t="s">
        <v>312</v>
      </c>
      <c r="H635" s="13"/>
      <c r="I635" s="13" t="s">
        <v>4276</v>
      </c>
      <c r="J635" s="13" t="s">
        <v>4277</v>
      </c>
      <c r="K635" s="284">
        <v>45117</v>
      </c>
      <c r="L635" s="283" t="str">
        <f t="shared" si="135"/>
        <v>-</v>
      </c>
      <c r="M635" s="283" t="str">
        <f t="shared" si="136"/>
        <v>-</v>
      </c>
      <c r="N635" s="283" t="str">
        <f t="shared" si="137"/>
        <v>-</v>
      </c>
      <c r="O635" s="283" t="str">
        <f t="shared" si="138"/>
        <v>-</v>
      </c>
      <c r="P635" s="283" t="str">
        <f t="shared" si="139"/>
        <v>-</v>
      </c>
      <c r="Q635" s="283" t="str">
        <f t="shared" si="140"/>
        <v>-</v>
      </c>
      <c r="R635" s="283" t="str">
        <f t="shared" si="141"/>
        <v>-</v>
      </c>
      <c r="S635" s="283" t="str">
        <f t="shared" si="142"/>
        <v>-</v>
      </c>
      <c r="T635" s="283" t="str">
        <f t="shared" si="143"/>
        <v>-</v>
      </c>
      <c r="U635" s="283" t="str">
        <f t="shared" si="144"/>
        <v>-</v>
      </c>
      <c r="V635" s="283" t="str">
        <f t="shared" si="145"/>
        <v>-</v>
      </c>
      <c r="W635" s="1" t="str">
        <f t="shared" si="146"/>
        <v>https://www.cso.ie/en/releasesandpublications/ep/p-rc/recordedcrimeq12023/</v>
      </c>
      <c r="X635" s="1" t="str">
        <f t="shared" si="147"/>
        <v>https://www.cso.ie/</v>
      </c>
      <c r="Y635" s="1" t="str">
        <f t="shared" si="148"/>
        <v>優先3</v>
      </c>
      <c r="Z635" s="1" t="str">
        <f t="shared" si="149"/>
        <v>Central Statistics Office, Ireland. "Recorded Crime Q1 2023 - Statistics Under Reservation". Accessed 10 July, 2023. https://www.cso.ie/.</v>
      </c>
    </row>
    <row r="636" spans="2:26">
      <c r="B636" s="285" t="s">
        <v>785</v>
      </c>
      <c r="C636" s="285" t="s">
        <v>464</v>
      </c>
      <c r="D636" s="285" t="s">
        <v>673</v>
      </c>
      <c r="E636" s="285" t="s">
        <v>371</v>
      </c>
      <c r="F636" s="13" t="s">
        <v>1409</v>
      </c>
      <c r="G636" s="13"/>
      <c r="H636" s="13"/>
      <c r="I636" s="13" t="s">
        <v>3769</v>
      </c>
      <c r="J636" s="13" t="s">
        <v>3770</v>
      </c>
      <c r="K636" s="284">
        <v>45117</v>
      </c>
      <c r="L636" s="283">
        <f t="shared" si="135"/>
        <v>5</v>
      </c>
      <c r="M636" s="283" t="str">
        <f t="shared" si="136"/>
        <v>-</v>
      </c>
      <c r="N636" s="283" t="str">
        <f t="shared" si="137"/>
        <v>NG</v>
      </c>
      <c r="O636" s="283" t="str">
        <f t="shared" si="138"/>
        <v>-</v>
      </c>
      <c r="P636" s="283" t="str">
        <f t="shared" si="139"/>
        <v>-</v>
      </c>
      <c r="Q636" s="283" t="str">
        <f t="shared" si="140"/>
        <v>-</v>
      </c>
      <c r="R636" s="283" t="str">
        <f t="shared" si="141"/>
        <v>-</v>
      </c>
      <c r="S636" s="283" t="str">
        <f t="shared" si="142"/>
        <v>-</v>
      </c>
      <c r="T636" s="283" t="str">
        <f t="shared" si="143"/>
        <v>NG</v>
      </c>
      <c r="U636" s="283" t="str">
        <f t="shared" si="144"/>
        <v>-</v>
      </c>
      <c r="V636" s="283" t="str">
        <f t="shared" si="145"/>
        <v>-</v>
      </c>
      <c r="W636" s="1" t="str">
        <f t="shared" si="146"/>
        <v>https://dataunodc.un.org/dp-intentional-homicide-victims/</v>
      </c>
      <c r="X636" s="1" t="str">
        <f t="shared" si="147"/>
        <v>https://dataunodc.un.org/</v>
      </c>
      <c r="Y636" s="1" t="str">
        <f t="shared" si="148"/>
        <v>優先3</v>
      </c>
      <c r="Z636" s="1" t="str">
        <f t="shared" si="149"/>
        <v>United Nations Office on Drugs and Crime(UNODC). "Victims of intentional homicide". Accessed 10 July, 2023. https://dataunodc.un.org/.</v>
      </c>
    </row>
    <row r="637" spans="2:26">
      <c r="B637" s="285" t="s">
        <v>785</v>
      </c>
      <c r="C637" s="285" t="s">
        <v>464</v>
      </c>
      <c r="D637" s="285" t="s">
        <v>673</v>
      </c>
      <c r="E637" s="285" t="s">
        <v>372</v>
      </c>
      <c r="F637" s="13" t="s">
        <v>789</v>
      </c>
      <c r="G637" s="13" t="s">
        <v>1429</v>
      </c>
      <c r="H637" s="13"/>
      <c r="I637" s="13" t="s">
        <v>4278</v>
      </c>
      <c r="J637" s="13" t="s">
        <v>2720</v>
      </c>
      <c r="K637" s="284">
        <v>45117</v>
      </c>
      <c r="L637" s="283" t="str">
        <f t="shared" si="135"/>
        <v>-</v>
      </c>
      <c r="M637" s="283" t="str">
        <f t="shared" si="136"/>
        <v>-</v>
      </c>
      <c r="N637" s="283" t="str">
        <f t="shared" si="137"/>
        <v>-</v>
      </c>
      <c r="O637" s="283" t="str">
        <f t="shared" si="138"/>
        <v>-</v>
      </c>
      <c r="P637" s="283" t="str">
        <f t="shared" si="139"/>
        <v>-</v>
      </c>
      <c r="Q637" s="283" t="str">
        <f t="shared" si="140"/>
        <v>-</v>
      </c>
      <c r="R637" s="283" t="str">
        <f t="shared" si="141"/>
        <v>-</v>
      </c>
      <c r="S637" s="283" t="str">
        <f t="shared" si="142"/>
        <v>-</v>
      </c>
      <c r="T637" s="283" t="str">
        <f t="shared" si="143"/>
        <v>-</v>
      </c>
      <c r="U637" s="283" t="str">
        <f t="shared" si="144"/>
        <v>-</v>
      </c>
      <c r="V637" s="283" t="str">
        <f t="shared" si="145"/>
        <v>-</v>
      </c>
      <c r="W637" s="1" t="str">
        <f t="shared" si="146"/>
        <v>https://www.crimestatistics.vic.gov.au/crime-statistics/latest-victorian-crime-data/download-data/</v>
      </c>
      <c r="X637" s="1" t="str">
        <f t="shared" si="147"/>
        <v>https://www.crimestatistics.vic.gov.au/</v>
      </c>
      <c r="Y637" s="1" t="str">
        <f t="shared" si="148"/>
        <v>優先3</v>
      </c>
      <c r="Z637" s="1" t="str">
        <f t="shared" si="149"/>
        <v>Crime Statistics Agency, State of Victoria. "Crime Statistics, Data Tables LGA Criminal Incidents Year Ending December 2023". Accessed 10 July, 2023. https://www.crimestatistics.vic.gov.au/.</v>
      </c>
    </row>
    <row r="638" spans="2:26">
      <c r="B638" s="285" t="s">
        <v>785</v>
      </c>
      <c r="C638" s="285" t="s">
        <v>784</v>
      </c>
      <c r="D638" s="285" t="s">
        <v>673</v>
      </c>
      <c r="E638" s="285" t="s">
        <v>138</v>
      </c>
      <c r="F638" s="13"/>
      <c r="G638" s="13" t="s">
        <v>1430</v>
      </c>
      <c r="H638" s="13"/>
      <c r="I638" s="13" t="s">
        <v>2721</v>
      </c>
      <c r="J638" s="13" t="s">
        <v>1431</v>
      </c>
      <c r="K638" s="284">
        <v>45117</v>
      </c>
      <c r="L638" s="283" t="str">
        <f t="shared" si="135"/>
        <v>-</v>
      </c>
      <c r="M638" s="283" t="str">
        <f t="shared" si="136"/>
        <v>-</v>
      </c>
      <c r="N638" s="283" t="str">
        <f t="shared" si="137"/>
        <v>-</v>
      </c>
      <c r="O638" s="283" t="str">
        <f t="shared" si="138"/>
        <v>-</v>
      </c>
      <c r="P638" s="283" t="str">
        <f t="shared" si="139"/>
        <v>-</v>
      </c>
      <c r="Q638" s="283" t="str">
        <f t="shared" si="140"/>
        <v>-</v>
      </c>
      <c r="R638" s="283" t="str">
        <f t="shared" si="141"/>
        <v>-</v>
      </c>
      <c r="S638" s="283" t="str">
        <f t="shared" si="142"/>
        <v>-</v>
      </c>
      <c r="T638" s="283" t="str">
        <f t="shared" si="143"/>
        <v>-</v>
      </c>
      <c r="U638" s="283" t="str">
        <f t="shared" si="144"/>
        <v>-</v>
      </c>
      <c r="V638" s="283" t="str">
        <f t="shared" si="145"/>
        <v>-</v>
      </c>
      <c r="W638" s="1" t="str">
        <f t="shared" si="146"/>
        <v>https://portal.mcgm.gov.in/irj/portal/anonymous/qlvitalstatsreport?guest_user=english/</v>
      </c>
      <c r="X638" s="1" t="str">
        <f t="shared" si="147"/>
        <v>https://portal.mcgm.gov.in/</v>
      </c>
      <c r="Y638" s="1" t="str">
        <f t="shared" si="148"/>
        <v>優先3</v>
      </c>
      <c r="Z638" s="1" t="str">
        <f t="shared" si="149"/>
        <v>Municipal Corporation of Greater Mumbai. "Mid Year Estimated Population 2020". Accessed 10 July, 2023. https://portal.mcgm.gov.in/.</v>
      </c>
    </row>
    <row r="639" spans="2:26">
      <c r="B639" s="285" t="s">
        <v>785</v>
      </c>
      <c r="C639" s="285" t="s">
        <v>784</v>
      </c>
      <c r="D639" s="285" t="s">
        <v>673</v>
      </c>
      <c r="E639" s="285" t="s">
        <v>184</v>
      </c>
      <c r="F639" s="13" t="s">
        <v>786</v>
      </c>
      <c r="G639" s="13" t="s">
        <v>733</v>
      </c>
      <c r="H639" s="13"/>
      <c r="I639" s="13" t="s">
        <v>4279</v>
      </c>
      <c r="J639" s="13" t="s">
        <v>4280</v>
      </c>
      <c r="K639" s="284">
        <v>45117</v>
      </c>
      <c r="L639" s="283" t="str">
        <f t="shared" si="135"/>
        <v>-</v>
      </c>
      <c r="M639" s="283" t="str">
        <f t="shared" si="136"/>
        <v>-</v>
      </c>
      <c r="N639" s="283" t="str">
        <f t="shared" si="137"/>
        <v>-</v>
      </c>
      <c r="O639" s="283" t="str">
        <f t="shared" si="138"/>
        <v>-</v>
      </c>
      <c r="P639" s="283" t="str">
        <f t="shared" si="139"/>
        <v>-</v>
      </c>
      <c r="Q639" s="283" t="str">
        <f t="shared" si="140"/>
        <v>-</v>
      </c>
      <c r="R639" s="283" t="str">
        <f t="shared" si="141"/>
        <v>-</v>
      </c>
      <c r="S639" s="283" t="str">
        <f t="shared" si="142"/>
        <v>-</v>
      </c>
      <c r="T639" s="283" t="str">
        <f t="shared" si="143"/>
        <v>-</v>
      </c>
      <c r="U639" s="283" t="str">
        <f t="shared" si="144"/>
        <v>-</v>
      </c>
      <c r="V639" s="283" t="str">
        <f t="shared" si="145"/>
        <v>-</v>
      </c>
      <c r="W639" s="1" t="str">
        <f t="shared" si="146"/>
        <v>https://www.statssa.gov.za/?page_id=1854&amp;PPN=P0302/</v>
      </c>
      <c r="X639" s="1" t="str">
        <f t="shared" si="147"/>
        <v>https://www.statssa.gov.za/</v>
      </c>
      <c r="Y639" s="1" t="str">
        <f t="shared" si="148"/>
        <v>優先3</v>
      </c>
      <c r="Z639" s="1" t="str">
        <f t="shared" si="149"/>
        <v>Statistics South Africa, Republic of South Africa. "Mid-year population estimates 2022". Accessed 10 July, 2023. https://www.statssa.gov.za/.</v>
      </c>
    </row>
    <row r="640" spans="2:26">
      <c r="B640" s="285" t="s">
        <v>783</v>
      </c>
      <c r="C640" s="285" t="s">
        <v>464</v>
      </c>
      <c r="D640" s="285" t="s">
        <v>688</v>
      </c>
      <c r="E640" s="285" t="s">
        <v>688</v>
      </c>
      <c r="F640" s="13" t="s">
        <v>782</v>
      </c>
      <c r="G640" s="13"/>
      <c r="H640" s="13"/>
      <c r="I640" s="13" t="s">
        <v>781</v>
      </c>
      <c r="J640" s="13" t="s">
        <v>1432</v>
      </c>
      <c r="K640" s="284">
        <v>43972</v>
      </c>
      <c r="L640" s="283" t="str">
        <f t="shared" si="135"/>
        <v>-</v>
      </c>
      <c r="M640" s="283" t="str">
        <f t="shared" si="136"/>
        <v>-</v>
      </c>
      <c r="N640" s="283" t="str">
        <f t="shared" si="137"/>
        <v>-</v>
      </c>
      <c r="O640" s="283" t="str">
        <f t="shared" si="138"/>
        <v>-</v>
      </c>
      <c r="P640" s="283" t="str">
        <f t="shared" si="139"/>
        <v>-</v>
      </c>
      <c r="Q640" s="283" t="str">
        <f t="shared" si="140"/>
        <v>-</v>
      </c>
      <c r="R640" s="283" t="str">
        <f t="shared" si="141"/>
        <v>-</v>
      </c>
      <c r="S640" s="283" t="str">
        <f t="shared" si="142"/>
        <v>-</v>
      </c>
      <c r="T640" s="283" t="str">
        <f t="shared" si="143"/>
        <v>-</v>
      </c>
      <c r="U640" s="283" t="str">
        <f t="shared" si="144"/>
        <v>-</v>
      </c>
      <c r="V640" s="283" t="str">
        <f t="shared" si="145"/>
        <v>-</v>
      </c>
      <c r="W640" s="1" t="str">
        <f t="shared" si="146"/>
        <v>https://cityriskindex.lloyds.com/explore/</v>
      </c>
      <c r="X640" s="1" t="str">
        <f t="shared" si="147"/>
        <v>https://cityriskindex.lloyds.com/</v>
      </c>
      <c r="Y640" s="1" t="str">
        <f t="shared" si="148"/>
        <v>優先1</v>
      </c>
      <c r="Z640" s="1" t="str">
        <f t="shared" si="149"/>
        <v>Lloyd's. "Lloyd’s City Risk Index". Accessed 21 May, 2020. https://cityriskindex.lloyds.com/.</v>
      </c>
    </row>
    <row r="641" spans="2:26">
      <c r="B641" s="285" t="s">
        <v>779</v>
      </c>
      <c r="C641" s="285" t="s">
        <v>464</v>
      </c>
      <c r="D641" s="285" t="s">
        <v>688</v>
      </c>
      <c r="E641" s="285" t="s">
        <v>688</v>
      </c>
      <c r="F641" s="13" t="s">
        <v>780</v>
      </c>
      <c r="G641" s="13"/>
      <c r="H641" s="13"/>
      <c r="I641" s="13" t="s">
        <v>4281</v>
      </c>
      <c r="J641" s="13" t="s">
        <v>2722</v>
      </c>
      <c r="K641" s="284">
        <v>45077</v>
      </c>
      <c r="L641" s="283" t="str">
        <f t="shared" si="135"/>
        <v>-</v>
      </c>
      <c r="M641" s="283" t="str">
        <f t="shared" si="136"/>
        <v>-</v>
      </c>
      <c r="N641" s="283" t="str">
        <f t="shared" si="137"/>
        <v>NG</v>
      </c>
      <c r="O641" s="283" t="str">
        <f t="shared" si="138"/>
        <v>-</v>
      </c>
      <c r="P641" s="283" t="str">
        <f t="shared" si="139"/>
        <v>-</v>
      </c>
      <c r="Q641" s="283" t="str">
        <f t="shared" si="140"/>
        <v>-</v>
      </c>
      <c r="R641" s="283" t="str">
        <f t="shared" si="141"/>
        <v>-</v>
      </c>
      <c r="S641" s="283" t="str">
        <f t="shared" si="142"/>
        <v>-</v>
      </c>
      <c r="T641" s="283" t="str">
        <f t="shared" si="143"/>
        <v>NG</v>
      </c>
      <c r="U641" s="283" t="str">
        <f t="shared" si="144"/>
        <v>-</v>
      </c>
      <c r="V641" s="283" t="str">
        <f t="shared" si="145"/>
        <v>-</v>
      </c>
      <c r="W641" s="1" t="str">
        <f t="shared" si="146"/>
        <v>https://www.who.int/data/gho/publications/world-health-statistics/</v>
      </c>
      <c r="X641" s="1" t="str">
        <f t="shared" si="147"/>
        <v>https://www.who.int/</v>
      </c>
      <c r="Y641" s="1" t="str">
        <f t="shared" si="148"/>
        <v>優先1</v>
      </c>
      <c r="Z641" s="1" t="str">
        <f t="shared" si="149"/>
        <v>World Health Organization(WHO). "World Health Statistics 2023". Accessed 31 May, 2023. https://www.who.int/.</v>
      </c>
    </row>
    <row r="642" spans="2:26">
      <c r="B642" s="285" t="s">
        <v>779</v>
      </c>
      <c r="C642" s="285" t="s">
        <v>464</v>
      </c>
      <c r="D642" s="285" t="s">
        <v>673</v>
      </c>
      <c r="E642" s="285" t="s">
        <v>146</v>
      </c>
      <c r="F642" s="13" t="s">
        <v>1304</v>
      </c>
      <c r="G642" s="13"/>
      <c r="H642" s="13"/>
      <c r="I642" s="13" t="s">
        <v>1433</v>
      </c>
      <c r="J642" s="13" t="s">
        <v>4282</v>
      </c>
      <c r="K642" s="284">
        <v>45077</v>
      </c>
      <c r="L642" s="283" t="str">
        <f t="shared" si="135"/>
        <v>-</v>
      </c>
      <c r="M642" s="283" t="str">
        <f t="shared" si="136"/>
        <v>-</v>
      </c>
      <c r="N642" s="283" t="str">
        <f t="shared" si="137"/>
        <v>-</v>
      </c>
      <c r="O642" s="283" t="str">
        <f t="shared" si="138"/>
        <v>-</v>
      </c>
      <c r="P642" s="283" t="str">
        <f t="shared" si="139"/>
        <v>-</v>
      </c>
      <c r="Q642" s="283" t="str">
        <f t="shared" si="140"/>
        <v>-</v>
      </c>
      <c r="R642" s="283" t="str">
        <f t="shared" si="141"/>
        <v>-</v>
      </c>
      <c r="S642" s="283" t="str">
        <f t="shared" si="142"/>
        <v>-</v>
      </c>
      <c r="T642" s="283" t="str">
        <f t="shared" si="143"/>
        <v>-</v>
      </c>
      <c r="U642" s="283" t="str">
        <f t="shared" si="144"/>
        <v>-</v>
      </c>
      <c r="V642" s="283" t="str">
        <f t="shared" si="145"/>
        <v>-</v>
      </c>
      <c r="W642" s="1" t="str">
        <f t="shared" si="146"/>
        <v>https://data.worldbank.org/indicator/SP.DYN.LE00.IN/</v>
      </c>
      <c r="X642" s="1" t="str">
        <f t="shared" si="147"/>
        <v>https://data.worldbank.org/</v>
      </c>
      <c r="Y642" s="1" t="str">
        <f t="shared" si="148"/>
        <v>優先3</v>
      </c>
      <c r="Z642" s="1" t="str">
        <f t="shared" si="149"/>
        <v>The World Bank. "Life expectancy at birth, total (years)". Accessed 31 May, 2023. https://data.worldbank.org/.</v>
      </c>
    </row>
    <row r="643" spans="2:26">
      <c r="B643" s="285" t="s">
        <v>779</v>
      </c>
      <c r="C643" s="285" t="s">
        <v>464</v>
      </c>
      <c r="D643" s="285" t="s">
        <v>673</v>
      </c>
      <c r="E643" s="285" t="s">
        <v>152</v>
      </c>
      <c r="F643" s="13" t="s">
        <v>778</v>
      </c>
      <c r="G643" s="13" t="s">
        <v>777</v>
      </c>
      <c r="H643" s="13" t="s">
        <v>2723</v>
      </c>
      <c r="I643" s="13" t="s">
        <v>4283</v>
      </c>
      <c r="J643" s="13" t="s">
        <v>4284</v>
      </c>
      <c r="K643" s="284">
        <v>45077</v>
      </c>
      <c r="L643" s="283" t="str">
        <f t="shared" si="135"/>
        <v>-</v>
      </c>
      <c r="M643" s="283" t="str">
        <f t="shared" si="136"/>
        <v>-</v>
      </c>
      <c r="N643" s="283" t="str">
        <f t="shared" si="137"/>
        <v>NG</v>
      </c>
      <c r="O643" s="283" t="str">
        <f t="shared" si="138"/>
        <v>-</v>
      </c>
      <c r="P643" s="283" t="str">
        <f t="shared" si="139"/>
        <v>-</v>
      </c>
      <c r="Q643" s="283" t="str">
        <f t="shared" si="140"/>
        <v>-</v>
      </c>
      <c r="R643" s="283" t="str">
        <f t="shared" si="141"/>
        <v>-</v>
      </c>
      <c r="S643" s="283" t="str">
        <f t="shared" si="142"/>
        <v>-</v>
      </c>
      <c r="T643" s="283" t="str">
        <f t="shared" si="143"/>
        <v>NG</v>
      </c>
      <c r="U643" s="283" t="str">
        <f t="shared" si="144"/>
        <v>-</v>
      </c>
      <c r="V643" s="283" t="str">
        <f t="shared" si="145"/>
        <v>-</v>
      </c>
      <c r="W643" s="1" t="str">
        <f t="shared" si="146"/>
        <v>https://www.moi.gov.tw/cl.aspx?n=15944/</v>
      </c>
      <c r="X643" s="1" t="str">
        <f t="shared" si="147"/>
        <v>https://www.moi.gov.tw/</v>
      </c>
      <c r="Y643" s="1" t="str">
        <f t="shared" si="148"/>
        <v>優先3</v>
      </c>
      <c r="Z643" s="1" t="str">
        <f t="shared" si="149"/>
        <v>Ministry of the Interior, Republic of China(Taiwan) [中華民國 内政部]. "110年簡易生命表提要分析". Accessed 31 May, 2023. https://www.moi.gov.tw/.</v>
      </c>
    </row>
    <row r="644" spans="2:26">
      <c r="B644" s="285" t="s">
        <v>772</v>
      </c>
      <c r="C644" s="285" t="s">
        <v>698</v>
      </c>
      <c r="D644" s="285" t="s">
        <v>688</v>
      </c>
      <c r="E644" s="285" t="s">
        <v>688</v>
      </c>
      <c r="F644" s="13" t="s">
        <v>776</v>
      </c>
      <c r="G644" s="13"/>
      <c r="H644" s="13"/>
      <c r="I644" s="13" t="s">
        <v>3777</v>
      </c>
      <c r="J644" s="13" t="s">
        <v>4285</v>
      </c>
      <c r="K644" s="284">
        <v>45082</v>
      </c>
      <c r="L644" s="283" t="str">
        <f t="shared" si="135"/>
        <v>-</v>
      </c>
      <c r="M644" s="283" t="str">
        <f t="shared" si="136"/>
        <v>-</v>
      </c>
      <c r="N644" s="283" t="str">
        <f t="shared" si="137"/>
        <v>-</v>
      </c>
      <c r="O644" s="283" t="str">
        <f t="shared" si="138"/>
        <v>-</v>
      </c>
      <c r="P644" s="283" t="str">
        <f t="shared" si="139"/>
        <v>-</v>
      </c>
      <c r="Q644" s="283" t="str">
        <f t="shared" si="140"/>
        <v>-</v>
      </c>
      <c r="R644" s="283" t="str">
        <f t="shared" si="141"/>
        <v>-</v>
      </c>
      <c r="S644" s="283" t="str">
        <f t="shared" si="142"/>
        <v>-</v>
      </c>
      <c r="T644" s="283" t="str">
        <f t="shared" si="143"/>
        <v>-</v>
      </c>
      <c r="U644" s="283" t="str">
        <f t="shared" si="144"/>
        <v>-</v>
      </c>
      <c r="V644" s="283" t="str">
        <f t="shared" si="145"/>
        <v>-</v>
      </c>
      <c r="W644" s="1" t="str">
        <f t="shared" si="146"/>
        <v>https://www.transparency.org/en/cpi/2022/</v>
      </c>
      <c r="X644" s="1" t="str">
        <f t="shared" si="147"/>
        <v>https://www.transparency.org/</v>
      </c>
      <c r="Y644" s="1" t="str">
        <f t="shared" si="148"/>
        <v>優先2①</v>
      </c>
      <c r="Z644" s="1" t="str">
        <f t="shared" si="149"/>
        <v>Transparency International. "Corruption Perceptions Index". Accessed 05 June, 2023. https://www.transparency.org/.</v>
      </c>
    </row>
    <row r="645" spans="2:26">
      <c r="B645" s="285" t="s">
        <v>772</v>
      </c>
      <c r="C645" s="285" t="s">
        <v>716</v>
      </c>
      <c r="D645" s="285" t="s">
        <v>688</v>
      </c>
      <c r="E645" s="285" t="s">
        <v>688</v>
      </c>
      <c r="F645" s="13" t="s">
        <v>775</v>
      </c>
      <c r="G645" s="13"/>
      <c r="H645" s="13"/>
      <c r="I645" s="13" t="s">
        <v>2724</v>
      </c>
      <c r="J645" s="13" t="s">
        <v>1434</v>
      </c>
      <c r="K645" s="284">
        <v>45082</v>
      </c>
      <c r="L645" s="283" t="str">
        <f t="shared" si="135"/>
        <v>-</v>
      </c>
      <c r="M645" s="283" t="str">
        <f t="shared" si="136"/>
        <v>-</v>
      </c>
      <c r="N645" s="283" t="str">
        <f t="shared" si="137"/>
        <v>-</v>
      </c>
      <c r="O645" s="283" t="str">
        <f t="shared" si="138"/>
        <v>-</v>
      </c>
      <c r="P645" s="283" t="str">
        <f t="shared" si="139"/>
        <v>-</v>
      </c>
      <c r="Q645" s="283" t="str">
        <f t="shared" si="140"/>
        <v>-</v>
      </c>
      <c r="R645" s="283" t="str">
        <f t="shared" si="141"/>
        <v>-</v>
      </c>
      <c r="S645" s="283" t="str">
        <f t="shared" si="142"/>
        <v>-</v>
      </c>
      <c r="T645" s="283" t="str">
        <f t="shared" si="143"/>
        <v>-</v>
      </c>
      <c r="U645" s="283" t="str">
        <f t="shared" si="144"/>
        <v>-</v>
      </c>
      <c r="V645" s="283" t="str">
        <f t="shared" si="145"/>
        <v>-</v>
      </c>
      <c r="W645" s="1" t="str">
        <f t="shared" si="146"/>
        <v>https://freedomhouse.org/report/freedom-world/</v>
      </c>
      <c r="X645" s="1" t="str">
        <f t="shared" si="147"/>
        <v>https://freedomhouse.org/</v>
      </c>
      <c r="Y645" s="1" t="str">
        <f t="shared" si="148"/>
        <v>優先2②</v>
      </c>
      <c r="Z645" s="1" t="str">
        <f t="shared" si="149"/>
        <v>Freedom House. "Freedom in the World". Accessed 05 June, 2023. https://freedomhouse.org/.</v>
      </c>
    </row>
    <row r="646" spans="2:26">
      <c r="B646" s="285" t="s">
        <v>772</v>
      </c>
      <c r="C646" s="285" t="s">
        <v>774</v>
      </c>
      <c r="D646" s="285" t="s">
        <v>688</v>
      </c>
      <c r="E646" s="285" t="s">
        <v>688</v>
      </c>
      <c r="F646" s="13" t="s">
        <v>773</v>
      </c>
      <c r="G646" s="13"/>
      <c r="H646" s="13"/>
      <c r="I646" s="13" t="s">
        <v>4286</v>
      </c>
      <c r="J646" s="13" t="s">
        <v>3778</v>
      </c>
      <c r="K646" s="284">
        <v>45082</v>
      </c>
      <c r="L646" s="283" t="str">
        <f t="shared" ref="L646:L709" si="150">IF(COUNTIFS(B:B,B646,I:I,I646,X:X,X646)&lt;=1,"-",COUNTIFS(B:B,B646,I:I,I646,X:X,X646))</f>
        <v>-</v>
      </c>
      <c r="M646" s="283" t="str">
        <f t="shared" ref="M646:M709" si="151">IF(I646="","書籍","-")</f>
        <v>-</v>
      </c>
      <c r="N646" s="283" t="str">
        <f t="shared" ref="N646:N709" si="152">IF(OR(COUNTIF($F646,"*(*"),COUNTIF($G646,"*(*"),COUNTIF($H646,"*(*")),"NG","-")</f>
        <v>-</v>
      </c>
      <c r="O646" s="283" t="str">
        <f t="shared" ref="O646:O709" si="153">IF(COUNTIF($Z646,"*..*"),"NG","-")</f>
        <v>-</v>
      </c>
      <c r="P646" s="283" t="str">
        <f t="shared" ref="P646:P709" si="154">IF(COUNTIF($Z646,"*""""*"),"NG","-")</f>
        <v>-</v>
      </c>
      <c r="Q646" s="283" t="str">
        <f t="shared" ref="Q646:Q709" si="155">IF(COUNTIF($Z646,"*  *"),"NG","-")</f>
        <v>-</v>
      </c>
      <c r="R646" s="283" t="str">
        <f t="shared" ref="R646:R709" si="156">IF(COUNTIF($Z646,"*　*"),"NG","-")</f>
        <v>-</v>
      </c>
      <c r="S646" s="283" t="str">
        <f t="shared" ref="S646:S709" si="157">IF(COUNTIF($Z646,"*（*"),"NG","-")</f>
        <v>-</v>
      </c>
      <c r="T646" s="283" t="str">
        <f t="shared" ref="T646:T709" si="158">IF(COUNTIF($Z646,"*(*"),IF(COUNTIF($Z646,"* (*"),"-","NG"),"-")</f>
        <v>-</v>
      </c>
      <c r="U646" s="283" t="str">
        <f t="shared" ref="U646:U709" si="159">IF(OR(LEFT(F646,1)=" ",LEFT(G646,1)=" ",LEFT(H646,1)=" ",LEFT(I646,1)=" ",LEFT(J646,1)=" "),"NG","-")</f>
        <v>-</v>
      </c>
      <c r="V646" s="283" t="str">
        <f t="shared" ref="V646:V709" si="160">IF(OR(RIGHT(F646,1)=" ",RIGHT(G646,1)=" ",RIGHT(H646,1)=" ",RIGHT(I646,1)=" ",RIGHT(J646,1)=" "),"NG","-")</f>
        <v>-</v>
      </c>
      <c r="W646" s="1" t="str">
        <f t="shared" ref="W646:W709" si="161">IF(J646="","",IF(RIGHT(J646,1)="/",J646,J646&amp;"/"))</f>
        <v>https://rsf.org/en/index/</v>
      </c>
      <c r="X646" s="1" t="str">
        <f t="shared" ref="X646:X709" si="162">IF(W646="","",LEFT(W646,FIND("/",W646,FIND("/",W646,FIND("/", W646)+1)+1)))</f>
        <v>https://rsf.org/</v>
      </c>
      <c r="Y646" s="1" t="str">
        <f t="shared" ref="Y646:Y709" si="163">IF(AND(C646="-",D646="共通"),"優先1",IF(OR(COUNTIF(C646,"*補助*"),D646&lt;&gt;"共通"),"優先3","優先2"&amp;C646))</f>
        <v>優先2③</v>
      </c>
      <c r="Z646" s="1" t="str">
        <f t="shared" ref="Z646:Z709" si="164">IF(X646="",F646,CONCATENATE(IF(F646="",G646,IF(G646="",F646,F646&amp;", "&amp;G646)),IF(H646="",". "," ["&amp;H646&amp;"]. "),"""",I646,""". ","Accessed ",TEXT(K646,"dd mmmm, yyyy"),". ",X646,"."))</f>
        <v>Reporters Without Borders. "2023 World Press Freedom Index". Accessed 05 June, 2023. https://rsf.org/.</v>
      </c>
    </row>
    <row r="647" spans="2:26">
      <c r="B647" s="285" t="s">
        <v>772</v>
      </c>
      <c r="C647" s="285" t="s">
        <v>771</v>
      </c>
      <c r="D647" s="285" t="s">
        <v>688</v>
      </c>
      <c r="E647" s="285" t="s">
        <v>688</v>
      </c>
      <c r="F647" s="13" t="s">
        <v>759</v>
      </c>
      <c r="G647" s="13"/>
      <c r="H647" s="13"/>
      <c r="I647" s="13" t="s">
        <v>4287</v>
      </c>
      <c r="J647" s="13" t="s">
        <v>3779</v>
      </c>
      <c r="K647" s="284">
        <v>45103</v>
      </c>
      <c r="L647" s="283" t="str">
        <f t="shared" si="150"/>
        <v>-</v>
      </c>
      <c r="M647" s="283" t="str">
        <f t="shared" si="151"/>
        <v>-</v>
      </c>
      <c r="N647" s="283" t="str">
        <f t="shared" si="152"/>
        <v>-</v>
      </c>
      <c r="O647" s="283" t="str">
        <f t="shared" si="153"/>
        <v>-</v>
      </c>
      <c r="P647" s="283" t="str">
        <f t="shared" si="154"/>
        <v>-</v>
      </c>
      <c r="Q647" s="283" t="str">
        <f t="shared" si="155"/>
        <v>-</v>
      </c>
      <c r="R647" s="283" t="str">
        <f t="shared" si="156"/>
        <v>-</v>
      </c>
      <c r="S647" s="283" t="str">
        <f t="shared" si="157"/>
        <v>-</v>
      </c>
      <c r="T647" s="283" t="str">
        <f t="shared" si="158"/>
        <v>-</v>
      </c>
      <c r="U647" s="283" t="str">
        <f t="shared" si="159"/>
        <v>-</v>
      </c>
      <c r="V647" s="283" t="str">
        <f t="shared" si="160"/>
        <v>-</v>
      </c>
      <c r="W647" s="1" t="str">
        <f t="shared" si="161"/>
        <v>https://www.weforum.org/reports?utf8=%E2%9C%93&amp;query=global+gender+gap/</v>
      </c>
      <c r="X647" s="1" t="str">
        <f t="shared" si="162"/>
        <v>https://www.weforum.org/</v>
      </c>
      <c r="Y647" s="1" t="str">
        <f t="shared" si="163"/>
        <v>優先2④</v>
      </c>
      <c r="Z647" s="1" t="str">
        <f t="shared" si="164"/>
        <v>World Economic Forum. "Global Gender Gap Report 2023". Accessed 26 June, 2023. https://www.weforum.org/.</v>
      </c>
    </row>
    <row r="648" spans="2:26">
      <c r="B648" s="285" t="s">
        <v>768</v>
      </c>
      <c r="C648" s="285" t="s">
        <v>698</v>
      </c>
      <c r="D648" s="285" t="s">
        <v>688</v>
      </c>
      <c r="E648" s="285" t="s">
        <v>688</v>
      </c>
      <c r="F648" s="13" t="s">
        <v>770</v>
      </c>
      <c r="G648" s="13"/>
      <c r="H648" s="13"/>
      <c r="I648" s="13" t="s">
        <v>2725</v>
      </c>
      <c r="J648" s="13" t="s">
        <v>2726</v>
      </c>
      <c r="K648" s="284">
        <v>45083</v>
      </c>
      <c r="L648" s="283" t="str">
        <f t="shared" si="150"/>
        <v>-</v>
      </c>
      <c r="M648" s="283" t="str">
        <f t="shared" si="151"/>
        <v>-</v>
      </c>
      <c r="N648" s="283" t="str">
        <f t="shared" si="152"/>
        <v>-</v>
      </c>
      <c r="O648" s="283" t="str">
        <f t="shared" si="153"/>
        <v>-</v>
      </c>
      <c r="P648" s="283" t="str">
        <f t="shared" si="154"/>
        <v>-</v>
      </c>
      <c r="Q648" s="283" t="str">
        <f t="shared" si="155"/>
        <v>-</v>
      </c>
      <c r="R648" s="283" t="str">
        <f t="shared" si="156"/>
        <v>-</v>
      </c>
      <c r="S648" s="283" t="str">
        <f t="shared" si="157"/>
        <v>-</v>
      </c>
      <c r="T648" s="283" t="str">
        <f t="shared" si="158"/>
        <v>-</v>
      </c>
      <c r="U648" s="283" t="str">
        <f t="shared" si="159"/>
        <v>-</v>
      </c>
      <c r="V648" s="283" t="str">
        <f t="shared" si="160"/>
        <v>-</v>
      </c>
      <c r="W648" s="1" t="str">
        <f t="shared" si="161"/>
        <v>https://www.who.int/data/gho/data/themes/mortality-and-global-health-estimates/global-health-estimates-leading-causes-of-dalys/</v>
      </c>
      <c r="X648" s="1" t="str">
        <f t="shared" si="162"/>
        <v>https://www.who.int/</v>
      </c>
      <c r="Y648" s="1" t="str">
        <f t="shared" si="163"/>
        <v>優先2①</v>
      </c>
      <c r="Z648" s="1" t="str">
        <f t="shared" si="164"/>
        <v>Department of Information, Evidence and Research, World Health Organization. "Global health estimates: Leading causes of DALYs". Accessed 06 June, 2023. https://www.who.int/.</v>
      </c>
    </row>
    <row r="649" spans="2:26">
      <c r="B649" s="285" t="s">
        <v>768</v>
      </c>
      <c r="C649" s="285" t="s">
        <v>698</v>
      </c>
      <c r="D649" s="285" t="s">
        <v>673</v>
      </c>
      <c r="E649" s="285" t="s">
        <v>146</v>
      </c>
      <c r="F649" s="13" t="s">
        <v>4288</v>
      </c>
      <c r="G649" s="13"/>
      <c r="H649" s="13"/>
      <c r="I649" s="13" t="s">
        <v>4289</v>
      </c>
      <c r="J649" s="13" t="s">
        <v>4290</v>
      </c>
      <c r="K649" s="284">
        <v>44742</v>
      </c>
      <c r="L649" s="283" t="str">
        <f t="shared" si="150"/>
        <v>-</v>
      </c>
      <c r="M649" s="283" t="str">
        <f t="shared" si="151"/>
        <v>-</v>
      </c>
      <c r="N649" s="283" t="str">
        <f t="shared" si="152"/>
        <v>-</v>
      </c>
      <c r="O649" s="283" t="str">
        <f t="shared" si="153"/>
        <v>-</v>
      </c>
      <c r="P649" s="283" t="str">
        <f t="shared" si="154"/>
        <v>-</v>
      </c>
      <c r="Q649" s="283" t="str">
        <f t="shared" si="155"/>
        <v>-</v>
      </c>
      <c r="R649" s="283" t="str">
        <f t="shared" si="156"/>
        <v>-</v>
      </c>
      <c r="S649" s="283" t="str">
        <f t="shared" si="157"/>
        <v>-</v>
      </c>
      <c r="T649" s="283" t="str">
        <f t="shared" si="158"/>
        <v>-</v>
      </c>
      <c r="U649" s="283" t="str">
        <f t="shared" si="159"/>
        <v>-</v>
      </c>
      <c r="V649" s="283" t="str">
        <f t="shared" si="160"/>
        <v>-</v>
      </c>
      <c r="W649" s="1" t="str">
        <f t="shared" si="161"/>
        <v>https://www.censtatd.gov.hk/en/EIndexbySubject.html?pcode=C0000055&amp;scode=380/</v>
      </c>
      <c r="X649" s="1" t="str">
        <f t="shared" si="162"/>
        <v>https://www.censtatd.gov.hk/</v>
      </c>
      <c r="Y649" s="1" t="str">
        <f t="shared" si="163"/>
        <v>優先3</v>
      </c>
      <c r="Z649" s="1" t="str">
        <f t="shared" si="164"/>
        <v>Census and Statistics Department, The Government of the Hong Kong Special Administrative Region. "Persons with disabilities and chronic diseases". Accessed 30 June, 2022. https://www.censtatd.gov.hk/.</v>
      </c>
    </row>
    <row r="650" spans="2:26">
      <c r="B650" s="285" t="s">
        <v>768</v>
      </c>
      <c r="C650" s="285" t="s">
        <v>716</v>
      </c>
      <c r="D650" s="285" t="s">
        <v>688</v>
      </c>
      <c r="E650" s="285" t="s">
        <v>688</v>
      </c>
      <c r="F650" s="13" t="s">
        <v>770</v>
      </c>
      <c r="G650" s="13"/>
      <c r="H650" s="13"/>
      <c r="I650" s="13" t="s">
        <v>3780</v>
      </c>
      <c r="J650" s="13" t="s">
        <v>3781</v>
      </c>
      <c r="K650" s="284">
        <v>45083</v>
      </c>
      <c r="L650" s="283" t="str">
        <f t="shared" si="150"/>
        <v>-</v>
      </c>
      <c r="M650" s="283" t="str">
        <f t="shared" si="151"/>
        <v>-</v>
      </c>
      <c r="N650" s="283" t="str">
        <f t="shared" si="152"/>
        <v>-</v>
      </c>
      <c r="O650" s="283" t="str">
        <f t="shared" si="153"/>
        <v>-</v>
      </c>
      <c r="P650" s="283" t="str">
        <f t="shared" si="154"/>
        <v>-</v>
      </c>
      <c r="Q650" s="283" t="str">
        <f t="shared" si="155"/>
        <v>-</v>
      </c>
      <c r="R650" s="283" t="str">
        <f t="shared" si="156"/>
        <v>-</v>
      </c>
      <c r="S650" s="283" t="str">
        <f t="shared" si="157"/>
        <v>-</v>
      </c>
      <c r="T650" s="283" t="str">
        <f t="shared" si="158"/>
        <v>-</v>
      </c>
      <c r="U650" s="283" t="str">
        <f t="shared" si="159"/>
        <v>-</v>
      </c>
      <c r="V650" s="283" t="str">
        <f t="shared" si="160"/>
        <v>-</v>
      </c>
      <c r="W650" s="1" t="str">
        <f t="shared" si="161"/>
        <v>https://www.who.int/data/gho/data/themes/mental-health/suicide-rates/</v>
      </c>
      <c r="X650" s="1" t="str">
        <f t="shared" si="162"/>
        <v>https://www.who.int/</v>
      </c>
      <c r="Y650" s="1" t="str">
        <f t="shared" si="163"/>
        <v>優先2②</v>
      </c>
      <c r="Z650" s="1" t="str">
        <f t="shared" si="164"/>
        <v>Department of Information, Evidence and Research, World Health Organization. "Mortality and global health estimates | Suicide rates". Accessed 06 June, 2023. https://www.who.int/.</v>
      </c>
    </row>
    <row r="651" spans="2:26">
      <c r="B651" s="285" t="s">
        <v>768</v>
      </c>
      <c r="C651" s="285" t="s">
        <v>716</v>
      </c>
      <c r="D651" s="285" t="s">
        <v>673</v>
      </c>
      <c r="E651" s="285" t="s">
        <v>146</v>
      </c>
      <c r="F651" s="13" t="s">
        <v>769</v>
      </c>
      <c r="G651" s="13"/>
      <c r="H651" s="13"/>
      <c r="I651" s="13" t="s">
        <v>3782</v>
      </c>
      <c r="J651" s="13" t="s">
        <v>1435</v>
      </c>
      <c r="K651" s="284">
        <v>44739</v>
      </c>
      <c r="L651" s="283" t="str">
        <f t="shared" si="150"/>
        <v>-</v>
      </c>
      <c r="M651" s="283" t="str">
        <f t="shared" si="151"/>
        <v>-</v>
      </c>
      <c r="N651" s="283" t="str">
        <f t="shared" si="152"/>
        <v>-</v>
      </c>
      <c r="O651" s="283" t="str">
        <f t="shared" si="153"/>
        <v>-</v>
      </c>
      <c r="P651" s="283" t="str">
        <f t="shared" si="154"/>
        <v>-</v>
      </c>
      <c r="Q651" s="283" t="str">
        <f t="shared" si="155"/>
        <v>-</v>
      </c>
      <c r="R651" s="283" t="str">
        <f t="shared" si="156"/>
        <v>-</v>
      </c>
      <c r="S651" s="283" t="str">
        <f t="shared" si="157"/>
        <v>-</v>
      </c>
      <c r="T651" s="283" t="str">
        <f t="shared" si="158"/>
        <v>-</v>
      </c>
      <c r="U651" s="283" t="str">
        <f t="shared" si="159"/>
        <v>-</v>
      </c>
      <c r="V651" s="283" t="str">
        <f t="shared" si="160"/>
        <v>-</v>
      </c>
      <c r="W651" s="1" t="str">
        <f t="shared" si="161"/>
        <v>https://csrp.hku.hk/statistics/</v>
      </c>
      <c r="X651" s="1" t="str">
        <f t="shared" si="162"/>
        <v>https://csrp.hku.hk/</v>
      </c>
      <c r="Y651" s="1" t="str">
        <f t="shared" si="163"/>
        <v>優先3</v>
      </c>
      <c r="Z651" s="1" t="str">
        <f t="shared" si="164"/>
        <v>Hong Kong Jockey Club Centre for Suicide Research and Prevention, HKU. "Number of suicides and sui,ced rates in Hong Kong,1997-2020^". Accessed 27 June, 2022. https://csrp.hku.hk/.</v>
      </c>
    </row>
    <row r="652" spans="2:26">
      <c r="B652" s="285" t="s">
        <v>768</v>
      </c>
      <c r="C652" s="285" t="s">
        <v>716</v>
      </c>
      <c r="D652" s="285" t="s">
        <v>673</v>
      </c>
      <c r="E652" s="285" t="s">
        <v>152</v>
      </c>
      <c r="F652" s="13" t="s">
        <v>1436</v>
      </c>
      <c r="G652" s="13" t="s">
        <v>728</v>
      </c>
      <c r="H652" s="13" t="s">
        <v>1437</v>
      </c>
      <c r="I652" s="13" t="s">
        <v>3783</v>
      </c>
      <c r="J652" s="13" t="s">
        <v>1438</v>
      </c>
      <c r="K652" s="284">
        <v>44739</v>
      </c>
      <c r="L652" s="283" t="str">
        <f t="shared" si="150"/>
        <v>-</v>
      </c>
      <c r="M652" s="283" t="str">
        <f t="shared" si="151"/>
        <v>-</v>
      </c>
      <c r="N652" s="283" t="str">
        <f t="shared" si="152"/>
        <v>NG</v>
      </c>
      <c r="O652" s="283" t="str">
        <f t="shared" si="153"/>
        <v>-</v>
      </c>
      <c r="P652" s="283" t="str">
        <f t="shared" si="154"/>
        <v>-</v>
      </c>
      <c r="Q652" s="283" t="str">
        <f t="shared" si="155"/>
        <v>-</v>
      </c>
      <c r="R652" s="283" t="str">
        <f t="shared" si="156"/>
        <v>-</v>
      </c>
      <c r="S652" s="283" t="str">
        <f t="shared" si="157"/>
        <v>-</v>
      </c>
      <c r="T652" s="283" t="str">
        <f t="shared" si="158"/>
        <v>-</v>
      </c>
      <c r="U652" s="283" t="str">
        <f t="shared" si="159"/>
        <v>-</v>
      </c>
      <c r="V652" s="283" t="str">
        <f t="shared" si="160"/>
        <v>-</v>
      </c>
      <c r="W652" s="1" t="str">
        <f t="shared" si="161"/>
        <v>https://www.tsos.org.tw/km/4995/</v>
      </c>
      <c r="X652" s="1" t="str">
        <f t="shared" si="162"/>
        <v>https://www.tsos.org.tw/</v>
      </c>
      <c r="Y652" s="1" t="str">
        <f t="shared" si="163"/>
        <v>優先3</v>
      </c>
      <c r="Z652" s="1" t="str">
        <f t="shared" si="164"/>
        <v>Taiwan Suicide Prevention Center, Republic of China (Taiwan) [社團法人台灣自殺防治學會]. "2020 Annual Report of Taiwan Suicide Prevention". Accessed 27 June, 2022. https://www.tsos.org.tw/.</v>
      </c>
    </row>
    <row r="653" spans="2:26">
      <c r="B653" s="285" t="s">
        <v>761</v>
      </c>
      <c r="C653" s="285" t="s">
        <v>698</v>
      </c>
      <c r="D653" s="285" t="s">
        <v>688</v>
      </c>
      <c r="E653" s="285" t="s">
        <v>688</v>
      </c>
      <c r="F653" s="13" t="s">
        <v>736</v>
      </c>
      <c r="G653" s="13"/>
      <c r="H653" s="13"/>
      <c r="I653" s="13" t="s">
        <v>1439</v>
      </c>
      <c r="J653" s="13" t="s">
        <v>1440</v>
      </c>
      <c r="K653" s="284">
        <v>45112</v>
      </c>
      <c r="L653" s="283" t="str">
        <f t="shared" si="150"/>
        <v>-</v>
      </c>
      <c r="M653" s="283" t="str">
        <f t="shared" si="151"/>
        <v>-</v>
      </c>
      <c r="N653" s="283" t="str">
        <f t="shared" si="152"/>
        <v>-</v>
      </c>
      <c r="O653" s="283" t="str">
        <f t="shared" si="153"/>
        <v>-</v>
      </c>
      <c r="P653" s="283" t="str">
        <f t="shared" si="154"/>
        <v>-</v>
      </c>
      <c r="Q653" s="283" t="str">
        <f t="shared" si="155"/>
        <v>-</v>
      </c>
      <c r="R653" s="283" t="str">
        <f t="shared" si="156"/>
        <v>-</v>
      </c>
      <c r="S653" s="283" t="str">
        <f t="shared" si="157"/>
        <v>-</v>
      </c>
      <c r="T653" s="283" t="str">
        <f t="shared" si="158"/>
        <v>-</v>
      </c>
      <c r="U653" s="283" t="str">
        <f t="shared" si="159"/>
        <v>-</v>
      </c>
      <c r="V653" s="283" t="str">
        <f t="shared" si="160"/>
        <v>-</v>
      </c>
      <c r="W653" s="1" t="str">
        <f t="shared" si="161"/>
        <v>https://apps.who.int/gho/data/node.main.HWFGRP_0020?lang=en/</v>
      </c>
      <c r="X653" s="1" t="str">
        <f t="shared" si="162"/>
        <v>https://apps.who.int/</v>
      </c>
      <c r="Y653" s="1" t="str">
        <f t="shared" si="163"/>
        <v>優先2①</v>
      </c>
      <c r="Z653" s="1" t="str">
        <f t="shared" si="164"/>
        <v>World Health Organization. "Global Health Observatory data repository - Medical doctors". Accessed 05 July, 2023. https://apps.who.int/.</v>
      </c>
    </row>
    <row r="654" spans="2:26">
      <c r="B654" s="285" t="s">
        <v>761</v>
      </c>
      <c r="C654" s="285" t="s">
        <v>698</v>
      </c>
      <c r="D654" s="285" t="s">
        <v>673</v>
      </c>
      <c r="E654" s="285" t="s">
        <v>146</v>
      </c>
      <c r="F654" s="13" t="s">
        <v>1441</v>
      </c>
      <c r="G654" s="13" t="s">
        <v>1442</v>
      </c>
      <c r="H654" s="13" t="s">
        <v>766</v>
      </c>
      <c r="I654" s="13" t="s">
        <v>4291</v>
      </c>
      <c r="J654" s="13" t="s">
        <v>1443</v>
      </c>
      <c r="K654" s="284">
        <v>45112</v>
      </c>
      <c r="L654" s="283" t="str">
        <f t="shared" si="150"/>
        <v>-</v>
      </c>
      <c r="M654" s="283" t="str">
        <f t="shared" si="151"/>
        <v>-</v>
      </c>
      <c r="N654" s="283" t="str">
        <f t="shared" si="152"/>
        <v>-</v>
      </c>
      <c r="O654" s="283" t="str">
        <f t="shared" si="153"/>
        <v>-</v>
      </c>
      <c r="P654" s="283" t="str">
        <f t="shared" si="154"/>
        <v>-</v>
      </c>
      <c r="Q654" s="283" t="str">
        <f t="shared" si="155"/>
        <v>-</v>
      </c>
      <c r="R654" s="283" t="str">
        <f t="shared" si="156"/>
        <v>-</v>
      </c>
      <c r="S654" s="283" t="str">
        <f t="shared" si="157"/>
        <v>-</v>
      </c>
      <c r="T654" s="283" t="str">
        <f t="shared" si="158"/>
        <v>-</v>
      </c>
      <c r="U654" s="283" t="str">
        <f t="shared" si="159"/>
        <v>-</v>
      </c>
      <c r="V654" s="283" t="str">
        <f t="shared" si="160"/>
        <v>NG</v>
      </c>
      <c r="W654" s="1" t="str">
        <f t="shared" si="161"/>
        <v>https://www.dh.gov.hk/english/statistics/statistics_hs/statistics_hs.html/</v>
      </c>
      <c r="X654" s="1" t="str">
        <f t="shared" si="162"/>
        <v>https://www.dh.gov.hk/</v>
      </c>
      <c r="Y654" s="1" t="str">
        <f t="shared" si="163"/>
        <v>優先3</v>
      </c>
      <c r="Z654" s="1" t="str">
        <f t="shared" si="164"/>
        <v>Department of Health , The Government of the Hong Kong Special Administrative Reagion [香港特别行政区政府卫生署]. "Health Facts of Hong Kong 2022 Edition". Accessed 05 July, 2023. https://www.dh.gov.hk/.</v>
      </c>
    </row>
    <row r="655" spans="2:26">
      <c r="B655" s="285" t="s">
        <v>761</v>
      </c>
      <c r="C655" s="285" t="s">
        <v>698</v>
      </c>
      <c r="D655" s="285" t="s">
        <v>673</v>
      </c>
      <c r="E655" s="285" t="s">
        <v>152</v>
      </c>
      <c r="F655" s="13" t="s">
        <v>1444</v>
      </c>
      <c r="G655" s="13" t="s">
        <v>764</v>
      </c>
      <c r="H655" s="13" t="s">
        <v>763</v>
      </c>
      <c r="I655" s="13" t="s">
        <v>762</v>
      </c>
      <c r="J655" s="13" t="s">
        <v>1445</v>
      </c>
      <c r="K655" s="284">
        <v>45112</v>
      </c>
      <c r="L655" s="283" t="str">
        <f t="shared" si="150"/>
        <v>-</v>
      </c>
      <c r="M655" s="283" t="str">
        <f t="shared" si="151"/>
        <v>-</v>
      </c>
      <c r="N655" s="283" t="str">
        <f t="shared" si="152"/>
        <v>-</v>
      </c>
      <c r="O655" s="283" t="str">
        <f t="shared" si="153"/>
        <v>-</v>
      </c>
      <c r="P655" s="283" t="str">
        <f t="shared" si="154"/>
        <v>-</v>
      </c>
      <c r="Q655" s="283" t="str">
        <f t="shared" si="155"/>
        <v>-</v>
      </c>
      <c r="R655" s="283" t="str">
        <f t="shared" si="156"/>
        <v>-</v>
      </c>
      <c r="S655" s="283" t="str">
        <f t="shared" si="157"/>
        <v>-</v>
      </c>
      <c r="T655" s="283" t="str">
        <f t="shared" si="158"/>
        <v>-</v>
      </c>
      <c r="U655" s="283" t="str">
        <f t="shared" si="159"/>
        <v>-</v>
      </c>
      <c r="V655" s="283" t="str">
        <f t="shared" si="160"/>
        <v>-</v>
      </c>
      <c r="W655" s="1" t="str">
        <f t="shared" si="161"/>
        <v>https://dbas.gov.taipei/News_Content.aspx?n=72EB69FFAC3565DF&amp;sms=96C0B436A542605B&amp;s=8198EDB25F415333/</v>
      </c>
      <c r="X655" s="1" t="str">
        <f t="shared" si="162"/>
        <v>https://dbas.gov.taipei/</v>
      </c>
      <c r="Y655" s="1" t="str">
        <f t="shared" si="163"/>
        <v>優先3</v>
      </c>
      <c r="Z655" s="1" t="str">
        <f t="shared" si="164"/>
        <v>Department of Budget, Accounting and Statistics,, Taipei City Government [臺北市政府主計處]. "台北市統計年報". Accessed 05 July, 2023. https://dbas.gov.taipei/.</v>
      </c>
    </row>
    <row r="656" spans="2:26">
      <c r="B656" s="285" t="s">
        <v>761</v>
      </c>
      <c r="C656" s="285" t="s">
        <v>716</v>
      </c>
      <c r="D656" s="285" t="s">
        <v>688</v>
      </c>
      <c r="E656" s="285" t="s">
        <v>688</v>
      </c>
      <c r="F656" s="13" t="s">
        <v>1446</v>
      </c>
      <c r="G656" s="13"/>
      <c r="H656" s="13"/>
      <c r="I656" s="13" t="s">
        <v>4292</v>
      </c>
      <c r="J656" s="13" t="s">
        <v>1447</v>
      </c>
      <c r="K656" s="284">
        <v>45112</v>
      </c>
      <c r="L656" s="283" t="str">
        <f t="shared" si="150"/>
        <v>-</v>
      </c>
      <c r="M656" s="283" t="str">
        <f t="shared" si="151"/>
        <v>-</v>
      </c>
      <c r="N656" s="283" t="str">
        <f t="shared" si="152"/>
        <v>-</v>
      </c>
      <c r="O656" s="283" t="str">
        <f t="shared" si="153"/>
        <v>-</v>
      </c>
      <c r="P656" s="283" t="str">
        <f t="shared" si="154"/>
        <v>-</v>
      </c>
      <c r="Q656" s="283" t="str">
        <f t="shared" si="155"/>
        <v>-</v>
      </c>
      <c r="R656" s="283" t="str">
        <f t="shared" si="156"/>
        <v>-</v>
      </c>
      <c r="S656" s="283" t="str">
        <f t="shared" si="157"/>
        <v>-</v>
      </c>
      <c r="T656" s="283" t="str">
        <f t="shared" si="158"/>
        <v>-</v>
      </c>
      <c r="U656" s="283" t="str">
        <f t="shared" si="159"/>
        <v>-</v>
      </c>
      <c r="V656" s="283" t="str">
        <f t="shared" si="160"/>
        <v>-</v>
      </c>
      <c r="W656" s="1" t="str">
        <f t="shared" si="161"/>
        <v>http://www.oecd.org/els/health-systems/health-data.htm/</v>
      </c>
      <c r="X656" s="1" t="str">
        <f t="shared" si="162"/>
        <v>http://www.oecd.org/</v>
      </c>
      <c r="Y656" s="1" t="str">
        <f t="shared" si="163"/>
        <v>優先2②</v>
      </c>
      <c r="Z656" s="1" t="str">
        <f t="shared" si="164"/>
        <v>Organization for Economic Co-operation and Development. "OECD Health Statistics 2023". Accessed 05 July, 2023. http://www.oecd.org/.</v>
      </c>
    </row>
    <row r="657" spans="2:26">
      <c r="B657" s="285" t="s">
        <v>760</v>
      </c>
      <c r="C657" s="285" t="s">
        <v>464</v>
      </c>
      <c r="D657" s="285" t="s">
        <v>688</v>
      </c>
      <c r="E657" s="285" t="s">
        <v>688</v>
      </c>
      <c r="F657" s="13" t="s">
        <v>2727</v>
      </c>
      <c r="G657" s="13"/>
      <c r="H657" s="13"/>
      <c r="I657" s="13" t="s">
        <v>4293</v>
      </c>
      <c r="J657" s="13" t="s">
        <v>2728</v>
      </c>
      <c r="K657" s="284">
        <v>45100</v>
      </c>
      <c r="L657" s="283" t="str">
        <f t="shared" si="150"/>
        <v>-</v>
      </c>
      <c r="M657" s="283" t="str">
        <f t="shared" si="151"/>
        <v>-</v>
      </c>
      <c r="N657" s="283" t="str">
        <f t="shared" si="152"/>
        <v>-</v>
      </c>
      <c r="O657" s="283" t="str">
        <f t="shared" si="153"/>
        <v>-</v>
      </c>
      <c r="P657" s="283" t="str">
        <f t="shared" si="154"/>
        <v>-</v>
      </c>
      <c r="Q657" s="283" t="str">
        <f t="shared" si="155"/>
        <v>-</v>
      </c>
      <c r="R657" s="283" t="str">
        <f t="shared" si="156"/>
        <v>-</v>
      </c>
      <c r="S657" s="283" t="str">
        <f t="shared" si="157"/>
        <v>-</v>
      </c>
      <c r="T657" s="283" t="str">
        <f t="shared" si="158"/>
        <v>-</v>
      </c>
      <c r="U657" s="283" t="str">
        <f t="shared" si="159"/>
        <v>-</v>
      </c>
      <c r="V657" s="283" t="str">
        <f t="shared" si="160"/>
        <v>NG</v>
      </c>
      <c r="W657" s="1" t="str">
        <f t="shared" si="161"/>
        <v>https://networkreadinessindex.org/</v>
      </c>
      <c r="X657" s="1" t="str">
        <f t="shared" si="162"/>
        <v>https://networkreadinessindex.org/</v>
      </c>
      <c r="Y657" s="1" t="str">
        <f t="shared" si="163"/>
        <v>優先1</v>
      </c>
      <c r="Z657" s="1" t="str">
        <f t="shared" si="164"/>
        <v>the Portulans Institute . "Network Readiness Index 2022". Accessed 23 June, 2023. https://networkreadinessindex.org/.</v>
      </c>
    </row>
    <row r="658" spans="2:26">
      <c r="B658" s="285" t="s">
        <v>760</v>
      </c>
      <c r="C658" s="285" t="s">
        <v>464</v>
      </c>
      <c r="D658" s="285" t="s">
        <v>673</v>
      </c>
      <c r="E658" s="285" t="s">
        <v>152</v>
      </c>
      <c r="F658" s="13" t="s">
        <v>2727</v>
      </c>
      <c r="G658" s="13"/>
      <c r="H658" s="13"/>
      <c r="I658" s="13" t="s">
        <v>2729</v>
      </c>
      <c r="J658" s="13" t="s">
        <v>3784</v>
      </c>
      <c r="K658" s="284">
        <v>45110</v>
      </c>
      <c r="L658" s="283" t="str">
        <f t="shared" si="150"/>
        <v>-</v>
      </c>
      <c r="M658" s="283" t="str">
        <f t="shared" si="151"/>
        <v>-</v>
      </c>
      <c r="N658" s="283" t="str">
        <f t="shared" si="152"/>
        <v>-</v>
      </c>
      <c r="O658" s="283" t="str">
        <f t="shared" si="153"/>
        <v>-</v>
      </c>
      <c r="P658" s="283" t="str">
        <f t="shared" si="154"/>
        <v>-</v>
      </c>
      <c r="Q658" s="283" t="str">
        <f t="shared" si="155"/>
        <v>-</v>
      </c>
      <c r="R658" s="283" t="str">
        <f t="shared" si="156"/>
        <v>-</v>
      </c>
      <c r="S658" s="283" t="str">
        <f t="shared" si="157"/>
        <v>-</v>
      </c>
      <c r="T658" s="283" t="str">
        <f t="shared" si="158"/>
        <v>-</v>
      </c>
      <c r="U658" s="283" t="str">
        <f t="shared" si="159"/>
        <v>-</v>
      </c>
      <c r="V658" s="283" t="str">
        <f t="shared" si="160"/>
        <v>NG</v>
      </c>
      <c r="W658" s="1" t="str">
        <f t="shared" si="161"/>
        <v>https://networkreadinessindex.org/wp-content/uploads/2020/03/The-Network-Readiness-Index-2019-New-version-March-2020.pdf/</v>
      </c>
      <c r="X658" s="1" t="str">
        <f t="shared" si="162"/>
        <v>https://networkreadinessindex.org/</v>
      </c>
      <c r="Y658" s="1" t="str">
        <f t="shared" si="163"/>
        <v>優先3</v>
      </c>
      <c r="Z658" s="1" t="str">
        <f t="shared" si="164"/>
        <v>the Portulans Institute . "Network Readiness Around the World Focus on Taiwan and Uzbekistan". Accessed 03 July, 2023. https://networkreadinessindex.org/.</v>
      </c>
    </row>
    <row r="659" spans="2:26">
      <c r="B659" s="285" t="s">
        <v>758</v>
      </c>
      <c r="C659" s="285" t="s">
        <v>698</v>
      </c>
      <c r="D659" s="285" t="s">
        <v>688</v>
      </c>
      <c r="E659" s="285" t="s">
        <v>688</v>
      </c>
      <c r="F659" s="13" t="s">
        <v>705</v>
      </c>
      <c r="G659" s="13"/>
      <c r="H659" s="13"/>
      <c r="I659" s="13" t="s">
        <v>704</v>
      </c>
      <c r="J659" s="13" t="s">
        <v>1448</v>
      </c>
      <c r="K659" s="284">
        <v>45090</v>
      </c>
      <c r="L659" s="283" t="str">
        <f t="shared" si="150"/>
        <v>-</v>
      </c>
      <c r="M659" s="283" t="str">
        <f t="shared" si="151"/>
        <v>-</v>
      </c>
      <c r="N659" s="283" t="str">
        <f t="shared" si="152"/>
        <v>-</v>
      </c>
      <c r="O659" s="283" t="str">
        <f t="shared" si="153"/>
        <v>-</v>
      </c>
      <c r="P659" s="283" t="str">
        <f t="shared" si="154"/>
        <v>-</v>
      </c>
      <c r="Q659" s="283" t="str">
        <f t="shared" si="155"/>
        <v>-</v>
      </c>
      <c r="R659" s="283" t="str">
        <f t="shared" si="156"/>
        <v>-</v>
      </c>
      <c r="S659" s="283" t="str">
        <f t="shared" si="157"/>
        <v>-</v>
      </c>
      <c r="T659" s="283" t="str">
        <f t="shared" si="158"/>
        <v>-</v>
      </c>
      <c r="U659" s="283" t="str">
        <f t="shared" si="159"/>
        <v>-</v>
      </c>
      <c r="V659" s="283" t="str">
        <f t="shared" si="160"/>
        <v>-</v>
      </c>
      <c r="W659" s="1" t="str">
        <f t="shared" si="161"/>
        <v>https://openstreetmap.jp/</v>
      </c>
      <c r="X659" s="1" t="str">
        <f t="shared" si="162"/>
        <v>https://openstreetmap.jp/</v>
      </c>
      <c r="Y659" s="1" t="str">
        <f t="shared" si="163"/>
        <v>優先2①</v>
      </c>
      <c r="Z659" s="1" t="str">
        <f t="shared" si="164"/>
        <v>OpenStreetMap contributors. "OpenStreetMap". Accessed 13 June, 2023. https://openstreetmap.jp/.</v>
      </c>
    </row>
    <row r="660" spans="2:26">
      <c r="B660" s="285" t="s">
        <v>758</v>
      </c>
      <c r="C660" s="285" t="s">
        <v>716</v>
      </c>
      <c r="D660" s="285" t="s">
        <v>688</v>
      </c>
      <c r="E660" s="285" t="s">
        <v>688</v>
      </c>
      <c r="F660" s="13" t="s">
        <v>1029</v>
      </c>
      <c r="G660" s="13"/>
      <c r="H660" s="13"/>
      <c r="I660" s="13"/>
      <c r="J660" s="13"/>
      <c r="K660" s="284"/>
      <c r="L660" s="283" t="str">
        <f t="shared" si="150"/>
        <v>-</v>
      </c>
      <c r="M660" s="283" t="str">
        <f t="shared" si="151"/>
        <v>書籍</v>
      </c>
      <c r="N660" s="283" t="str">
        <f t="shared" si="152"/>
        <v>-</v>
      </c>
      <c r="O660" s="283" t="str">
        <f t="shared" si="153"/>
        <v>-</v>
      </c>
      <c r="P660" s="283" t="str">
        <f t="shared" si="154"/>
        <v>-</v>
      </c>
      <c r="Q660" s="283" t="str">
        <f t="shared" si="155"/>
        <v>-</v>
      </c>
      <c r="R660" s="283" t="str">
        <f t="shared" si="156"/>
        <v>-</v>
      </c>
      <c r="S660" s="283" t="str">
        <f t="shared" si="157"/>
        <v>-</v>
      </c>
      <c r="T660" s="283" t="str">
        <f t="shared" si="158"/>
        <v>-</v>
      </c>
      <c r="U660" s="283" t="str">
        <f t="shared" si="159"/>
        <v>-</v>
      </c>
      <c r="V660" s="283" t="str">
        <f t="shared" si="160"/>
        <v>-</v>
      </c>
      <c r="W660" s="1" t="str">
        <f t="shared" si="161"/>
        <v/>
      </c>
      <c r="X660" s="1" t="str">
        <f t="shared" si="162"/>
        <v/>
      </c>
      <c r="Y660" s="1" t="str">
        <f t="shared" si="163"/>
        <v>優先2②</v>
      </c>
      <c r="Z660" s="1" t="str">
        <f t="shared" si="164"/>
        <v>居住者アンケート</v>
      </c>
    </row>
    <row r="661" spans="2:26">
      <c r="B661" s="285" t="s">
        <v>757</v>
      </c>
      <c r="C661" s="285" t="s">
        <v>698</v>
      </c>
      <c r="D661" s="285" t="s">
        <v>688</v>
      </c>
      <c r="E661" s="285" t="s">
        <v>688</v>
      </c>
      <c r="F661" s="13" t="s">
        <v>705</v>
      </c>
      <c r="G661" s="13"/>
      <c r="H661" s="13"/>
      <c r="I661" s="13" t="s">
        <v>704</v>
      </c>
      <c r="J661" s="13" t="s">
        <v>1448</v>
      </c>
      <c r="K661" s="284">
        <v>45090</v>
      </c>
      <c r="L661" s="283" t="str">
        <f t="shared" si="150"/>
        <v>-</v>
      </c>
      <c r="M661" s="283" t="str">
        <f t="shared" si="151"/>
        <v>-</v>
      </c>
      <c r="N661" s="283" t="str">
        <f t="shared" si="152"/>
        <v>-</v>
      </c>
      <c r="O661" s="283" t="str">
        <f t="shared" si="153"/>
        <v>-</v>
      </c>
      <c r="P661" s="283" t="str">
        <f t="shared" si="154"/>
        <v>-</v>
      </c>
      <c r="Q661" s="283" t="str">
        <f t="shared" si="155"/>
        <v>-</v>
      </c>
      <c r="R661" s="283" t="str">
        <f t="shared" si="156"/>
        <v>-</v>
      </c>
      <c r="S661" s="283" t="str">
        <f t="shared" si="157"/>
        <v>-</v>
      </c>
      <c r="T661" s="283" t="str">
        <f t="shared" si="158"/>
        <v>-</v>
      </c>
      <c r="U661" s="283" t="str">
        <f t="shared" si="159"/>
        <v>-</v>
      </c>
      <c r="V661" s="283" t="str">
        <f t="shared" si="160"/>
        <v>-</v>
      </c>
      <c r="W661" s="1" t="str">
        <f t="shared" si="161"/>
        <v>https://openstreetmap.jp/</v>
      </c>
      <c r="X661" s="1" t="str">
        <f t="shared" si="162"/>
        <v>https://openstreetmap.jp/</v>
      </c>
      <c r="Y661" s="1" t="str">
        <f t="shared" si="163"/>
        <v>優先2①</v>
      </c>
      <c r="Z661" s="1" t="str">
        <f t="shared" si="164"/>
        <v>OpenStreetMap contributors. "OpenStreetMap". Accessed 13 June, 2023. https://openstreetmap.jp/.</v>
      </c>
    </row>
    <row r="662" spans="2:26">
      <c r="B662" s="285" t="s">
        <v>757</v>
      </c>
      <c r="C662" s="285" t="s">
        <v>716</v>
      </c>
      <c r="D662" s="285" t="s">
        <v>688</v>
      </c>
      <c r="E662" s="285" t="s">
        <v>688</v>
      </c>
      <c r="F662" s="13" t="s">
        <v>1029</v>
      </c>
      <c r="G662" s="13"/>
      <c r="H662" s="13"/>
      <c r="I662" s="13"/>
      <c r="J662" s="13"/>
      <c r="K662" s="284"/>
      <c r="L662" s="283" t="str">
        <f t="shared" si="150"/>
        <v>-</v>
      </c>
      <c r="M662" s="283" t="str">
        <f t="shared" si="151"/>
        <v>書籍</v>
      </c>
      <c r="N662" s="283" t="str">
        <f t="shared" si="152"/>
        <v>-</v>
      </c>
      <c r="O662" s="283" t="str">
        <f t="shared" si="153"/>
        <v>-</v>
      </c>
      <c r="P662" s="283" t="str">
        <f t="shared" si="154"/>
        <v>-</v>
      </c>
      <c r="Q662" s="283" t="str">
        <f t="shared" si="155"/>
        <v>-</v>
      </c>
      <c r="R662" s="283" t="str">
        <f t="shared" si="156"/>
        <v>-</v>
      </c>
      <c r="S662" s="283" t="str">
        <f t="shared" si="157"/>
        <v>-</v>
      </c>
      <c r="T662" s="283" t="str">
        <f t="shared" si="158"/>
        <v>-</v>
      </c>
      <c r="U662" s="283" t="str">
        <f t="shared" si="159"/>
        <v>-</v>
      </c>
      <c r="V662" s="283" t="str">
        <f t="shared" si="160"/>
        <v>-</v>
      </c>
      <c r="W662" s="1" t="str">
        <f t="shared" si="161"/>
        <v/>
      </c>
      <c r="X662" s="1" t="str">
        <f t="shared" si="162"/>
        <v/>
      </c>
      <c r="Y662" s="1" t="str">
        <f t="shared" si="163"/>
        <v>優先2②</v>
      </c>
      <c r="Z662" s="1" t="str">
        <f t="shared" si="164"/>
        <v>居住者アンケート</v>
      </c>
    </row>
    <row r="663" spans="2:26">
      <c r="B663" s="285" t="s">
        <v>749</v>
      </c>
      <c r="C663" s="285" t="s">
        <v>698</v>
      </c>
      <c r="D663" s="285" t="s">
        <v>688</v>
      </c>
      <c r="E663" s="285" t="s">
        <v>688</v>
      </c>
      <c r="F663" s="13" t="s">
        <v>2517</v>
      </c>
      <c r="G663" s="13"/>
      <c r="H663" s="13"/>
      <c r="I663" s="13" t="s">
        <v>2518</v>
      </c>
      <c r="J663" s="13" t="s">
        <v>4294</v>
      </c>
      <c r="K663" s="284">
        <v>45118</v>
      </c>
      <c r="L663" s="283" t="str">
        <f t="shared" si="150"/>
        <v>-</v>
      </c>
      <c r="M663" s="283" t="str">
        <f t="shared" si="151"/>
        <v>-</v>
      </c>
      <c r="N663" s="283" t="str">
        <f t="shared" si="152"/>
        <v>NG</v>
      </c>
      <c r="O663" s="283" t="str">
        <f t="shared" si="153"/>
        <v>-</v>
      </c>
      <c r="P663" s="283" t="str">
        <f t="shared" si="154"/>
        <v>NG</v>
      </c>
      <c r="Q663" s="283" t="str">
        <f t="shared" si="155"/>
        <v>-</v>
      </c>
      <c r="R663" s="283" t="str">
        <f t="shared" si="156"/>
        <v>-</v>
      </c>
      <c r="S663" s="283" t="str">
        <f t="shared" si="157"/>
        <v>-</v>
      </c>
      <c r="T663" s="283" t="str">
        <f t="shared" si="158"/>
        <v>-</v>
      </c>
      <c r="U663" s="283" t="str">
        <f t="shared" si="159"/>
        <v>-</v>
      </c>
      <c r="V663" s="283" t="str">
        <f t="shared" si="160"/>
        <v>-</v>
      </c>
      <c r="W663" s="1" t="str">
        <f t="shared" si="161"/>
        <v>https://climateaction.unfccc.int/Actors/</v>
      </c>
      <c r="X663" s="1" t="str">
        <f t="shared" si="162"/>
        <v>https://climateaction.unfccc.int/</v>
      </c>
      <c r="Y663" s="1" t="str">
        <f t="shared" si="163"/>
        <v>優先2①</v>
      </c>
      <c r="Z663" s="1" t="str">
        <f t="shared" si="164"/>
        <v>United Nations Framework Convention on Climate Change (UNFCCC). "The Non-state Actor Zone for Climate Action (NAZCA). "Global Climate Actions-Cities"". Accessed 11 July, 2023. https://climateaction.unfccc.int/.</v>
      </c>
    </row>
    <row r="664" spans="2:26">
      <c r="B664" s="285" t="s">
        <v>749</v>
      </c>
      <c r="C664" s="285" t="s">
        <v>716</v>
      </c>
      <c r="D664" s="285" t="s">
        <v>688</v>
      </c>
      <c r="E664" s="285" t="s">
        <v>688</v>
      </c>
      <c r="F664" s="13" t="s">
        <v>2730</v>
      </c>
      <c r="G664" s="13"/>
      <c r="H664" s="13"/>
      <c r="I664" s="13" t="s">
        <v>3785</v>
      </c>
      <c r="J664" s="13" t="s">
        <v>4295</v>
      </c>
      <c r="K664" s="284">
        <v>45118</v>
      </c>
      <c r="L664" s="283" t="str">
        <f t="shared" si="150"/>
        <v>-</v>
      </c>
      <c r="M664" s="283" t="str">
        <f t="shared" si="151"/>
        <v>-</v>
      </c>
      <c r="N664" s="283" t="str">
        <f t="shared" si="152"/>
        <v>-</v>
      </c>
      <c r="O664" s="283" t="str">
        <f t="shared" si="153"/>
        <v>-</v>
      </c>
      <c r="P664" s="283" t="str">
        <f t="shared" si="154"/>
        <v>-</v>
      </c>
      <c r="Q664" s="283" t="str">
        <f t="shared" si="155"/>
        <v>-</v>
      </c>
      <c r="R664" s="283" t="str">
        <f t="shared" si="156"/>
        <v>-</v>
      </c>
      <c r="S664" s="283" t="str">
        <f t="shared" si="157"/>
        <v>-</v>
      </c>
      <c r="T664" s="283" t="str">
        <f t="shared" si="158"/>
        <v>-</v>
      </c>
      <c r="U664" s="283" t="str">
        <f t="shared" si="159"/>
        <v>-</v>
      </c>
      <c r="V664" s="283" t="str">
        <f t="shared" si="160"/>
        <v>-</v>
      </c>
      <c r="W664" s="1" t="str">
        <f t="shared" si="161"/>
        <v>https://data.cdp.net/Mitigation-Actions/2022-Cities-Emissions-Reduction-Targets/2gh3-fgad/</v>
      </c>
      <c r="X664" s="1" t="str">
        <f t="shared" si="162"/>
        <v>https://data.cdp.net/</v>
      </c>
      <c r="Y664" s="1" t="str">
        <f t="shared" si="163"/>
        <v>優先2②</v>
      </c>
      <c r="Z664" s="1" t="str">
        <f t="shared" si="164"/>
        <v>Partnership by CDP and ICLEI - Local Governments for Sustainability. "Cities Emission Reduction Targets". Accessed 11 July, 2023. https://data.cdp.net/.</v>
      </c>
    </row>
    <row r="665" spans="2:26">
      <c r="B665" s="285" t="s">
        <v>749</v>
      </c>
      <c r="C665" s="285" t="s">
        <v>716</v>
      </c>
      <c r="D665" s="285" t="s">
        <v>673</v>
      </c>
      <c r="E665" s="285" t="s">
        <v>118</v>
      </c>
      <c r="F665" s="13" t="s">
        <v>755</v>
      </c>
      <c r="G665" s="13" t="s">
        <v>3786</v>
      </c>
      <c r="H665" s="13"/>
      <c r="I665" s="13" t="s">
        <v>3787</v>
      </c>
      <c r="J665" s="13" t="s">
        <v>3788</v>
      </c>
      <c r="K665" s="284">
        <v>45113</v>
      </c>
      <c r="L665" s="283" t="str">
        <f t="shared" si="150"/>
        <v>-</v>
      </c>
      <c r="M665" s="283" t="str">
        <f t="shared" si="151"/>
        <v>-</v>
      </c>
      <c r="N665" s="283" t="str">
        <f t="shared" si="152"/>
        <v>-</v>
      </c>
      <c r="O665" s="283" t="str">
        <f t="shared" si="153"/>
        <v>-</v>
      </c>
      <c r="P665" s="283" t="str">
        <f t="shared" si="154"/>
        <v>-</v>
      </c>
      <c r="Q665" s="283" t="str">
        <f t="shared" si="155"/>
        <v>-</v>
      </c>
      <c r="R665" s="283" t="str">
        <f t="shared" si="156"/>
        <v>-</v>
      </c>
      <c r="S665" s="283" t="str">
        <f t="shared" si="157"/>
        <v>-</v>
      </c>
      <c r="T665" s="283" t="str">
        <f t="shared" si="158"/>
        <v>-</v>
      </c>
      <c r="U665" s="283" t="str">
        <f t="shared" si="159"/>
        <v>-</v>
      </c>
      <c r="V665" s="283" t="str">
        <f t="shared" si="160"/>
        <v>-</v>
      </c>
      <c r="W665" s="1" t="str">
        <f t="shared" si="161"/>
        <v>https://frankfurt.de/themen/klima-und-energie/klimaschutz/masterplan/</v>
      </c>
      <c r="X665" s="1" t="str">
        <f t="shared" si="162"/>
        <v>https://frankfurt.de/</v>
      </c>
      <c r="Y665" s="1" t="str">
        <f t="shared" si="163"/>
        <v>優先3</v>
      </c>
      <c r="Z665" s="1" t="str">
        <f t="shared" si="164"/>
        <v>Stadt Frankfurt am Main, City of Frankfurt am Main. "Frankfurt am Main hat einen Masterplan für den Klimaschutz". Accessed 06 July, 2023. https://frankfurt.de/.</v>
      </c>
    </row>
    <row r="666" spans="2:26">
      <c r="B666" s="285" t="s">
        <v>749</v>
      </c>
      <c r="C666" s="285" t="s">
        <v>716</v>
      </c>
      <c r="D666" s="285" t="s">
        <v>673</v>
      </c>
      <c r="E666" s="285" t="s">
        <v>126</v>
      </c>
      <c r="F666" s="13" t="s">
        <v>2519</v>
      </c>
      <c r="G666" s="13"/>
      <c r="H666" s="13"/>
      <c r="I666" s="13" t="s">
        <v>2520</v>
      </c>
      <c r="J666" s="13" t="s">
        <v>2521</v>
      </c>
      <c r="K666" s="284">
        <v>45113</v>
      </c>
      <c r="L666" s="283">
        <f t="shared" si="150"/>
        <v>2</v>
      </c>
      <c r="M666" s="283" t="str">
        <f t="shared" si="151"/>
        <v>-</v>
      </c>
      <c r="N666" s="283" t="str">
        <f t="shared" si="152"/>
        <v>-</v>
      </c>
      <c r="O666" s="283" t="str">
        <f t="shared" si="153"/>
        <v>-</v>
      </c>
      <c r="P666" s="283" t="str">
        <f t="shared" si="154"/>
        <v>-</v>
      </c>
      <c r="Q666" s="283" t="str">
        <f t="shared" si="155"/>
        <v>-</v>
      </c>
      <c r="R666" s="283" t="str">
        <f t="shared" si="156"/>
        <v>-</v>
      </c>
      <c r="S666" s="283" t="str">
        <f t="shared" si="157"/>
        <v>-</v>
      </c>
      <c r="T666" s="283" t="str">
        <f t="shared" si="158"/>
        <v>-</v>
      </c>
      <c r="U666" s="283" t="str">
        <f t="shared" si="159"/>
        <v>-</v>
      </c>
      <c r="V666" s="283" t="str">
        <f t="shared" si="160"/>
        <v>-</v>
      </c>
      <c r="W666" s="1" t="str">
        <f t="shared" si="161"/>
        <v>https://carbonneutralcities.org/cities/copenhagen/</v>
      </c>
      <c r="X666" s="1" t="str">
        <f t="shared" si="162"/>
        <v>https://carbonneutralcities.org/</v>
      </c>
      <c r="Y666" s="1" t="str">
        <f t="shared" si="163"/>
        <v>優先3</v>
      </c>
      <c r="Z666" s="1" t="str">
        <f t="shared" si="164"/>
        <v>Carbon Neutral Cities Alliance. "Carbon Neutral Cities Alliance Members". Accessed 06 July, 2023. https://carbonneutralcities.org/.</v>
      </c>
    </row>
    <row r="667" spans="2:26">
      <c r="B667" s="285" t="s">
        <v>749</v>
      </c>
      <c r="C667" s="285" t="s">
        <v>716</v>
      </c>
      <c r="D667" s="285" t="s">
        <v>673</v>
      </c>
      <c r="E667" s="285" t="s">
        <v>128</v>
      </c>
      <c r="F667" s="13" t="s">
        <v>3789</v>
      </c>
      <c r="G667" s="13" t="s">
        <v>1265</v>
      </c>
      <c r="H667" s="13"/>
      <c r="I667" s="13" t="s">
        <v>3790</v>
      </c>
      <c r="J667" s="13" t="s">
        <v>3791</v>
      </c>
      <c r="K667" s="284">
        <v>45113</v>
      </c>
      <c r="L667" s="283" t="str">
        <f t="shared" si="150"/>
        <v>-</v>
      </c>
      <c r="M667" s="283" t="str">
        <f t="shared" si="151"/>
        <v>-</v>
      </c>
      <c r="N667" s="283" t="str">
        <f t="shared" si="152"/>
        <v>-</v>
      </c>
      <c r="O667" s="283" t="str">
        <f t="shared" si="153"/>
        <v>-</v>
      </c>
      <c r="P667" s="283" t="str">
        <f t="shared" si="154"/>
        <v>-</v>
      </c>
      <c r="Q667" s="283" t="str">
        <f t="shared" si="155"/>
        <v>-</v>
      </c>
      <c r="R667" s="283" t="str">
        <f t="shared" si="156"/>
        <v>-</v>
      </c>
      <c r="S667" s="283" t="str">
        <f t="shared" si="157"/>
        <v>-</v>
      </c>
      <c r="T667" s="283" t="str">
        <f t="shared" si="158"/>
        <v>-</v>
      </c>
      <c r="U667" s="283" t="str">
        <f t="shared" si="159"/>
        <v>-</v>
      </c>
      <c r="V667" s="283" t="str">
        <f t="shared" si="160"/>
        <v>-</v>
      </c>
      <c r="W667" s="1" t="str">
        <f t="shared" si="161"/>
        <v>https://www.wien.gv.at/umwelt/klimaschutz/klimafahrplan/index.html/</v>
      </c>
      <c r="X667" s="1" t="str">
        <f t="shared" si="162"/>
        <v>https://www.wien.gv.at/</v>
      </c>
      <c r="Y667" s="1" t="str">
        <f t="shared" si="163"/>
        <v>優先3</v>
      </c>
      <c r="Z667" s="1" t="str">
        <f t="shared" si="164"/>
        <v>Magistrat der Stadt Wien, City of Vienna. "Wiener Klimafahplan". Accessed 06 July, 2023. https://www.wien.gv.at/.</v>
      </c>
    </row>
    <row r="668" spans="2:26">
      <c r="B668" s="285" t="s">
        <v>749</v>
      </c>
      <c r="C668" s="285" t="s">
        <v>716</v>
      </c>
      <c r="D668" s="285" t="s">
        <v>673</v>
      </c>
      <c r="E668" s="285" t="s">
        <v>130</v>
      </c>
      <c r="F668" s="13" t="s">
        <v>2519</v>
      </c>
      <c r="G668" s="13"/>
      <c r="H668" s="13"/>
      <c r="I668" s="13" t="s">
        <v>2520</v>
      </c>
      <c r="J668" s="13" t="s">
        <v>2731</v>
      </c>
      <c r="K668" s="284">
        <v>45113</v>
      </c>
      <c r="L668" s="283">
        <f t="shared" si="150"/>
        <v>2</v>
      </c>
      <c r="M668" s="283" t="str">
        <f t="shared" si="151"/>
        <v>-</v>
      </c>
      <c r="N668" s="283" t="str">
        <f t="shared" si="152"/>
        <v>-</v>
      </c>
      <c r="O668" s="283" t="str">
        <f t="shared" si="153"/>
        <v>-</v>
      </c>
      <c r="P668" s="283" t="str">
        <f t="shared" si="154"/>
        <v>-</v>
      </c>
      <c r="Q668" s="283" t="str">
        <f t="shared" si="155"/>
        <v>-</v>
      </c>
      <c r="R668" s="283" t="str">
        <f t="shared" si="156"/>
        <v>-</v>
      </c>
      <c r="S668" s="283" t="str">
        <f t="shared" si="157"/>
        <v>-</v>
      </c>
      <c r="T668" s="283" t="str">
        <f t="shared" si="158"/>
        <v>-</v>
      </c>
      <c r="U668" s="283" t="str">
        <f t="shared" si="159"/>
        <v>-</v>
      </c>
      <c r="V668" s="283" t="str">
        <f t="shared" si="160"/>
        <v>-</v>
      </c>
      <c r="W668" s="1" t="str">
        <f t="shared" si="161"/>
        <v>https://carbonneutralcities.org/cities/stockholm/</v>
      </c>
      <c r="X668" s="1" t="str">
        <f t="shared" si="162"/>
        <v>https://carbonneutralcities.org/</v>
      </c>
      <c r="Y668" s="1" t="str">
        <f t="shared" si="163"/>
        <v>優先3</v>
      </c>
      <c r="Z668" s="1" t="str">
        <f t="shared" si="164"/>
        <v>Carbon Neutral Cities Alliance. "Carbon Neutral Cities Alliance Members". Accessed 06 July, 2023. https://carbonneutralcities.org/.</v>
      </c>
    </row>
    <row r="669" spans="2:26">
      <c r="B669" s="285" t="s">
        <v>749</v>
      </c>
      <c r="C669" s="285" t="s">
        <v>716</v>
      </c>
      <c r="D669" s="285" t="s">
        <v>673</v>
      </c>
      <c r="E669" s="285" t="s">
        <v>134</v>
      </c>
      <c r="F669" s="13" t="s">
        <v>743</v>
      </c>
      <c r="G669" s="13"/>
      <c r="H669" s="13"/>
      <c r="I669" s="13" t="s">
        <v>3792</v>
      </c>
      <c r="J669" s="13" t="s">
        <v>3793</v>
      </c>
      <c r="K669" s="284">
        <v>45114</v>
      </c>
      <c r="L669" s="283" t="str">
        <f t="shared" si="150"/>
        <v>-</v>
      </c>
      <c r="M669" s="283" t="str">
        <f t="shared" si="151"/>
        <v>-</v>
      </c>
      <c r="N669" s="283" t="str">
        <f t="shared" si="152"/>
        <v>-</v>
      </c>
      <c r="O669" s="283" t="str">
        <f t="shared" si="153"/>
        <v>-</v>
      </c>
      <c r="P669" s="283" t="str">
        <f t="shared" si="154"/>
        <v>-</v>
      </c>
      <c r="Q669" s="283" t="str">
        <f t="shared" si="155"/>
        <v>-</v>
      </c>
      <c r="R669" s="283" t="str">
        <f t="shared" si="156"/>
        <v>-</v>
      </c>
      <c r="S669" s="283" t="str">
        <f t="shared" si="157"/>
        <v>-</v>
      </c>
      <c r="T669" s="283" t="str">
        <f t="shared" si="158"/>
        <v>-</v>
      </c>
      <c r="U669" s="283" t="str">
        <f t="shared" si="159"/>
        <v>-</v>
      </c>
      <c r="V669" s="283" t="str">
        <f t="shared" si="160"/>
        <v>-</v>
      </c>
      <c r="W669" s="1" t="str">
        <f t="shared" si="161"/>
        <v>https://www.iea.org/policies/14823-sustainable-development-strategy-egypt-vision-2030/</v>
      </c>
      <c r="X669" s="1" t="str">
        <f t="shared" si="162"/>
        <v>https://www.iea.org/</v>
      </c>
      <c r="Y669" s="1" t="str">
        <f t="shared" si="163"/>
        <v>優先3</v>
      </c>
      <c r="Z669" s="1" t="str">
        <f t="shared" si="164"/>
        <v>International Energy Agency. "Sustainable Development Strategy: Egypt Vision 2030". Accessed 07 July, 2023. https://www.iea.org/.</v>
      </c>
    </row>
    <row r="670" spans="2:26">
      <c r="B670" s="285" t="s">
        <v>749</v>
      </c>
      <c r="C670" s="285" t="s">
        <v>716</v>
      </c>
      <c r="D670" s="285" t="s">
        <v>673</v>
      </c>
      <c r="E670" s="285" t="s">
        <v>136</v>
      </c>
      <c r="F670" s="13" t="s">
        <v>4296</v>
      </c>
      <c r="G670" s="13"/>
      <c r="H670" s="13"/>
      <c r="I670" s="13" t="s">
        <v>4297</v>
      </c>
      <c r="J670" s="13" t="s">
        <v>4298</v>
      </c>
      <c r="K670" s="284">
        <v>45110</v>
      </c>
      <c r="L670" s="283" t="str">
        <f t="shared" si="150"/>
        <v>-</v>
      </c>
      <c r="M670" s="283" t="str">
        <f t="shared" si="151"/>
        <v>-</v>
      </c>
      <c r="N670" s="283" t="str">
        <f t="shared" si="152"/>
        <v>-</v>
      </c>
      <c r="O670" s="283" t="str">
        <f t="shared" si="153"/>
        <v>-</v>
      </c>
      <c r="P670" s="283" t="str">
        <f t="shared" si="154"/>
        <v>-</v>
      </c>
      <c r="Q670" s="283" t="str">
        <f t="shared" si="155"/>
        <v>-</v>
      </c>
      <c r="R670" s="283" t="str">
        <f t="shared" si="156"/>
        <v>-</v>
      </c>
      <c r="S670" s="283" t="str">
        <f t="shared" si="157"/>
        <v>-</v>
      </c>
      <c r="T670" s="283" t="str">
        <f t="shared" si="158"/>
        <v>-</v>
      </c>
      <c r="U670" s="283" t="str">
        <f t="shared" si="159"/>
        <v>-</v>
      </c>
      <c r="V670" s="283" t="str">
        <f t="shared" si="160"/>
        <v>-</v>
      </c>
      <c r="W670" s="1" t="str">
        <f t="shared" si="161"/>
        <v>https://www.ci.moscow.id.us/1002/Climate-Action-Plan/</v>
      </c>
      <c r="X670" s="1" t="str">
        <f t="shared" si="162"/>
        <v>https://www.ci.moscow.id.us/</v>
      </c>
      <c r="Y670" s="1" t="str">
        <f t="shared" si="163"/>
        <v>優先3</v>
      </c>
      <c r="Z670" s="1" t="str">
        <f t="shared" si="164"/>
        <v>City of Moscow. "CLIMATE ACTION PLAN". Accessed 03 July, 2023. https://www.ci.moscow.id.us/.</v>
      </c>
    </row>
    <row r="671" spans="2:26">
      <c r="B671" s="285" t="s">
        <v>749</v>
      </c>
      <c r="C671" s="285" t="s">
        <v>716</v>
      </c>
      <c r="D671" s="285" t="s">
        <v>673</v>
      </c>
      <c r="E671" s="285" t="s">
        <v>138</v>
      </c>
      <c r="F671" s="13" t="s">
        <v>4299</v>
      </c>
      <c r="G671" s="13"/>
      <c r="H671" s="13"/>
      <c r="I671" s="13" t="s">
        <v>4300</v>
      </c>
      <c r="J671" s="13" t="s">
        <v>4301</v>
      </c>
      <c r="K671" s="284">
        <v>45153</v>
      </c>
      <c r="L671" s="283" t="str">
        <f t="shared" si="150"/>
        <v>-</v>
      </c>
      <c r="M671" s="283" t="str">
        <f t="shared" si="151"/>
        <v>-</v>
      </c>
      <c r="N671" s="283" t="str">
        <f t="shared" si="152"/>
        <v>-</v>
      </c>
      <c r="O671" s="283" t="str">
        <f t="shared" si="153"/>
        <v>-</v>
      </c>
      <c r="P671" s="283" t="str">
        <f t="shared" si="154"/>
        <v>-</v>
      </c>
      <c r="Q671" s="283" t="str">
        <f t="shared" si="155"/>
        <v>-</v>
      </c>
      <c r="R671" s="283" t="str">
        <f t="shared" si="156"/>
        <v>-</v>
      </c>
      <c r="S671" s="283" t="str">
        <f t="shared" si="157"/>
        <v>-</v>
      </c>
      <c r="T671" s="283" t="str">
        <f t="shared" si="158"/>
        <v>-</v>
      </c>
      <c r="U671" s="283" t="str">
        <f t="shared" si="159"/>
        <v>-</v>
      </c>
      <c r="V671" s="283" t="str">
        <f t="shared" si="160"/>
        <v>-</v>
      </c>
      <c r="W671" s="1" t="str">
        <f t="shared" si="161"/>
        <v>https://indbiz.gov.in/mumbai-plans-to-achieve-net-zero-carbon-emissions-by-2050/</v>
      </c>
      <c r="X671" s="1" t="str">
        <f t="shared" si="162"/>
        <v>https://indbiz.gov.in/</v>
      </c>
      <c r="Y671" s="1" t="str">
        <f t="shared" si="163"/>
        <v>優先3</v>
      </c>
      <c r="Z671" s="1" t="str">
        <f t="shared" si="164"/>
        <v>Ministry of External Affairs, Government of India. "National Action Plan on Climate Change 2022-2026". Accessed 15 August, 2023. https://indbiz.gov.in/.</v>
      </c>
    </row>
    <row r="672" spans="2:26">
      <c r="B672" s="285" t="s">
        <v>749</v>
      </c>
      <c r="C672" s="285" t="s">
        <v>716</v>
      </c>
      <c r="D672" s="285" t="s">
        <v>673</v>
      </c>
      <c r="E672" s="285" t="s">
        <v>144</v>
      </c>
      <c r="F672" s="13" t="s">
        <v>3795</v>
      </c>
      <c r="G672" s="13" t="s">
        <v>3796</v>
      </c>
      <c r="H672" s="13"/>
      <c r="I672" s="13" t="s">
        <v>3797</v>
      </c>
      <c r="J672" s="13" t="s">
        <v>3798</v>
      </c>
      <c r="K672" s="284">
        <v>45113</v>
      </c>
      <c r="L672" s="283" t="str">
        <f t="shared" si="150"/>
        <v>-</v>
      </c>
      <c r="M672" s="283" t="str">
        <f t="shared" si="151"/>
        <v>-</v>
      </c>
      <c r="N672" s="283" t="str">
        <f t="shared" si="152"/>
        <v>-</v>
      </c>
      <c r="O672" s="283" t="str">
        <f t="shared" si="153"/>
        <v>-</v>
      </c>
      <c r="P672" s="283" t="str">
        <f t="shared" si="154"/>
        <v>-</v>
      </c>
      <c r="Q672" s="283" t="str">
        <f t="shared" si="155"/>
        <v>-</v>
      </c>
      <c r="R672" s="283" t="str">
        <f t="shared" si="156"/>
        <v>-</v>
      </c>
      <c r="S672" s="283" t="str">
        <f t="shared" si="157"/>
        <v>-</v>
      </c>
      <c r="T672" s="283" t="str">
        <f t="shared" si="158"/>
        <v>-</v>
      </c>
      <c r="U672" s="283" t="str">
        <f t="shared" si="159"/>
        <v>-</v>
      </c>
      <c r="V672" s="283" t="str">
        <f t="shared" si="160"/>
        <v>-</v>
      </c>
      <c r="W672" s="1" t="str">
        <f t="shared" si="161"/>
        <v>https://www.mfa.gov.sg/SINGAPORES-FOREIGN-POLICY/International-Issues/Climate-Change/</v>
      </c>
      <c r="X672" s="1" t="str">
        <f t="shared" si="162"/>
        <v>https://www.mfa.gov.sg/</v>
      </c>
      <c r="Y672" s="1" t="str">
        <f t="shared" si="163"/>
        <v>優先3</v>
      </c>
      <c r="Z672" s="1" t="str">
        <f t="shared" si="164"/>
        <v>Minister of Foreign Affairs, Singapore government. "Climate Change". Accessed 06 July, 2023. https://www.mfa.gov.sg/.</v>
      </c>
    </row>
    <row r="673" spans="2:26">
      <c r="B673" s="285" t="s">
        <v>749</v>
      </c>
      <c r="C673" s="285" t="s">
        <v>716</v>
      </c>
      <c r="D673" s="285" t="s">
        <v>673</v>
      </c>
      <c r="E673" s="285" t="s">
        <v>148</v>
      </c>
      <c r="F673" s="13" t="s">
        <v>2522</v>
      </c>
      <c r="G673" s="13"/>
      <c r="H673" s="13"/>
      <c r="I673" s="13" t="s">
        <v>4302</v>
      </c>
      <c r="J673" s="13" t="s">
        <v>3794</v>
      </c>
      <c r="K673" s="284">
        <v>45113</v>
      </c>
      <c r="L673" s="283">
        <f t="shared" si="150"/>
        <v>2</v>
      </c>
      <c r="M673" s="283" t="str">
        <f t="shared" si="151"/>
        <v>-</v>
      </c>
      <c r="N673" s="283" t="str">
        <f t="shared" si="152"/>
        <v>-</v>
      </c>
      <c r="O673" s="283" t="str">
        <f t="shared" si="153"/>
        <v>-</v>
      </c>
      <c r="P673" s="283" t="str">
        <f t="shared" si="154"/>
        <v>-</v>
      </c>
      <c r="Q673" s="283" t="str">
        <f t="shared" si="155"/>
        <v>-</v>
      </c>
      <c r="R673" s="283" t="str">
        <f t="shared" si="156"/>
        <v>-</v>
      </c>
      <c r="S673" s="283" t="str">
        <f t="shared" si="157"/>
        <v>-</v>
      </c>
      <c r="T673" s="283" t="str">
        <f t="shared" si="158"/>
        <v>-</v>
      </c>
      <c r="U673" s="283" t="str">
        <f t="shared" si="159"/>
        <v>-</v>
      </c>
      <c r="V673" s="283" t="str">
        <f t="shared" si="160"/>
        <v>-</v>
      </c>
      <c r="W673" s="1" t="str">
        <f t="shared" si="161"/>
        <v>https://unfccc.int/NDCREG/</v>
      </c>
      <c r="X673" s="1" t="str">
        <f t="shared" si="162"/>
        <v>https://unfccc.int/</v>
      </c>
      <c r="Y673" s="1" t="str">
        <f t="shared" si="163"/>
        <v>優先3</v>
      </c>
      <c r="Z673" s="1" t="str">
        <f t="shared" si="164"/>
        <v>United Nations Framework Convention on Climate Change. "中国落实国家自主贡献成效和新目标新举措". Accessed 06 July, 2023. https://unfccc.int/.</v>
      </c>
    </row>
    <row r="674" spans="2:26">
      <c r="B674" s="285" t="s">
        <v>749</v>
      </c>
      <c r="C674" s="285" t="s">
        <v>716</v>
      </c>
      <c r="D674" s="285" t="s">
        <v>673</v>
      </c>
      <c r="E674" s="285" t="s">
        <v>150</v>
      </c>
      <c r="F674" s="13" t="s">
        <v>2522</v>
      </c>
      <c r="G674" s="13"/>
      <c r="H674" s="13"/>
      <c r="I674" s="13" t="s">
        <v>4302</v>
      </c>
      <c r="J674" s="13" t="s">
        <v>3794</v>
      </c>
      <c r="K674" s="284">
        <v>45113</v>
      </c>
      <c r="L674" s="283">
        <f t="shared" si="150"/>
        <v>2</v>
      </c>
      <c r="M674" s="283" t="str">
        <f t="shared" si="151"/>
        <v>-</v>
      </c>
      <c r="N674" s="283" t="str">
        <f t="shared" si="152"/>
        <v>-</v>
      </c>
      <c r="O674" s="283" t="str">
        <f t="shared" si="153"/>
        <v>-</v>
      </c>
      <c r="P674" s="283" t="str">
        <f t="shared" si="154"/>
        <v>-</v>
      </c>
      <c r="Q674" s="283" t="str">
        <f t="shared" si="155"/>
        <v>-</v>
      </c>
      <c r="R674" s="283" t="str">
        <f t="shared" si="156"/>
        <v>-</v>
      </c>
      <c r="S674" s="283" t="str">
        <f t="shared" si="157"/>
        <v>-</v>
      </c>
      <c r="T674" s="283" t="str">
        <f t="shared" si="158"/>
        <v>-</v>
      </c>
      <c r="U674" s="283" t="str">
        <f t="shared" si="159"/>
        <v>-</v>
      </c>
      <c r="V674" s="283" t="str">
        <f t="shared" si="160"/>
        <v>-</v>
      </c>
      <c r="W674" s="1" t="str">
        <f t="shared" si="161"/>
        <v>https://unfccc.int/NDCREG/</v>
      </c>
      <c r="X674" s="1" t="str">
        <f t="shared" si="162"/>
        <v>https://unfccc.int/</v>
      </c>
      <c r="Y674" s="1" t="str">
        <f t="shared" si="163"/>
        <v>優先3</v>
      </c>
      <c r="Z674" s="1" t="str">
        <f t="shared" si="164"/>
        <v>United Nations Framework Convention on Climate Change. "中国落实国家自主贡献成效和新目标新举措". Accessed 06 July, 2023. https://unfccc.int/.</v>
      </c>
    </row>
    <row r="675" spans="2:26">
      <c r="B675" s="285" t="s">
        <v>749</v>
      </c>
      <c r="C675" s="285" t="s">
        <v>716</v>
      </c>
      <c r="D675" s="285" t="s">
        <v>673</v>
      </c>
      <c r="E675" s="285" t="s">
        <v>158</v>
      </c>
      <c r="F675" s="13" t="s">
        <v>751</v>
      </c>
      <c r="G675" s="13"/>
      <c r="H675" s="13" t="s">
        <v>750</v>
      </c>
      <c r="I675" s="13" t="s">
        <v>2523</v>
      </c>
      <c r="J675" s="13" t="s">
        <v>4303</v>
      </c>
      <c r="K675" s="284">
        <v>45118</v>
      </c>
      <c r="L675" s="283" t="str">
        <f t="shared" si="150"/>
        <v>-</v>
      </c>
      <c r="M675" s="283" t="str">
        <f t="shared" si="151"/>
        <v>-</v>
      </c>
      <c r="N675" s="283" t="str">
        <f t="shared" si="152"/>
        <v>-</v>
      </c>
      <c r="O675" s="283" t="str">
        <f t="shared" si="153"/>
        <v>-</v>
      </c>
      <c r="P675" s="283" t="str">
        <f t="shared" si="154"/>
        <v>-</v>
      </c>
      <c r="Q675" s="283" t="str">
        <f t="shared" si="155"/>
        <v>-</v>
      </c>
      <c r="R675" s="283" t="str">
        <f t="shared" si="156"/>
        <v>-</v>
      </c>
      <c r="S675" s="283" t="str">
        <f t="shared" si="157"/>
        <v>NG</v>
      </c>
      <c r="T675" s="283" t="str">
        <f t="shared" si="158"/>
        <v>-</v>
      </c>
      <c r="U675" s="283" t="str">
        <f t="shared" si="159"/>
        <v>-</v>
      </c>
      <c r="V675" s="283" t="str">
        <f t="shared" si="160"/>
        <v>-</v>
      </c>
      <c r="W675" s="1" t="str">
        <f t="shared" si="161"/>
        <v>https://www.city.osaka.lg.jp/kankyo/page/0000119515.html/</v>
      </c>
      <c r="X675" s="1" t="str">
        <f t="shared" si="162"/>
        <v>https://www.city.osaka.lg.jp/</v>
      </c>
      <c r="Y675" s="1" t="str">
        <f t="shared" si="163"/>
        <v>優先3</v>
      </c>
      <c r="Z675" s="1" t="str">
        <f t="shared" si="164"/>
        <v>Osaka City [大阪市]. "大阪市地球温暖化対策実行計画（区域施策編）". Accessed 11 July, 2023. https://www.city.osaka.lg.jp/.</v>
      </c>
    </row>
    <row r="676" spans="2:26">
      <c r="B676" s="285" t="s">
        <v>749</v>
      </c>
      <c r="C676" s="285" t="s">
        <v>716</v>
      </c>
      <c r="D676" s="285" t="s">
        <v>673</v>
      </c>
      <c r="E676" s="285" t="s">
        <v>168</v>
      </c>
      <c r="F676" s="13" t="s">
        <v>4304</v>
      </c>
      <c r="G676" s="13" t="s">
        <v>4305</v>
      </c>
      <c r="H676" s="13"/>
      <c r="I676" s="13" t="s">
        <v>4306</v>
      </c>
      <c r="J676" s="13" t="s">
        <v>4307</v>
      </c>
      <c r="K676" s="284">
        <v>45118</v>
      </c>
      <c r="L676" s="283" t="str">
        <f t="shared" si="150"/>
        <v>-</v>
      </c>
      <c r="M676" s="283" t="str">
        <f t="shared" si="151"/>
        <v>-</v>
      </c>
      <c r="N676" s="283" t="str">
        <f t="shared" si="152"/>
        <v>-</v>
      </c>
      <c r="O676" s="283" t="str">
        <f t="shared" si="153"/>
        <v>-</v>
      </c>
      <c r="P676" s="283" t="str">
        <f t="shared" si="154"/>
        <v>-</v>
      </c>
      <c r="Q676" s="283" t="str">
        <f t="shared" si="155"/>
        <v>-</v>
      </c>
      <c r="R676" s="283" t="str">
        <f t="shared" si="156"/>
        <v>-</v>
      </c>
      <c r="S676" s="283" t="str">
        <f t="shared" si="157"/>
        <v>-</v>
      </c>
      <c r="T676" s="283" t="str">
        <f t="shared" si="158"/>
        <v>-</v>
      </c>
      <c r="U676" s="283" t="str">
        <f t="shared" si="159"/>
        <v>-</v>
      </c>
      <c r="V676" s="283" t="str">
        <f t="shared" si="160"/>
        <v>-</v>
      </c>
      <c r="W676" s="1" t="str">
        <f t="shared" si="161"/>
        <v>https://planning.lacounty.gov/long-range-planning/climate-action-plan/documents/</v>
      </c>
      <c r="X676" s="1" t="str">
        <f t="shared" si="162"/>
        <v>https://planning.lacounty.gov/</v>
      </c>
      <c r="Y676" s="1" t="str">
        <f t="shared" si="163"/>
        <v>優先3</v>
      </c>
      <c r="Z676" s="1" t="str">
        <f t="shared" si="164"/>
        <v>Department of Regional Planning, Los Angeles County. "Climate Action Plan". Accessed 11 July, 2023. https://planning.lacounty.gov/.</v>
      </c>
    </row>
    <row r="677" spans="2:26">
      <c r="B677" s="285" t="s">
        <v>749</v>
      </c>
      <c r="C677" s="285" t="s">
        <v>716</v>
      </c>
      <c r="D677" s="285" t="s">
        <v>673</v>
      </c>
      <c r="E677" s="285" t="s">
        <v>184</v>
      </c>
      <c r="F677" s="13" t="s">
        <v>2732</v>
      </c>
      <c r="G677" s="13" t="s">
        <v>725</v>
      </c>
      <c r="H677" s="13"/>
      <c r="I677" s="13" t="s">
        <v>2733</v>
      </c>
      <c r="J677" s="13" t="s">
        <v>4308</v>
      </c>
      <c r="K677" s="284">
        <v>45113</v>
      </c>
      <c r="L677" s="283" t="str">
        <f t="shared" si="150"/>
        <v>-</v>
      </c>
      <c r="M677" s="283" t="str">
        <f t="shared" si="151"/>
        <v>-</v>
      </c>
      <c r="N677" s="283" t="str">
        <f t="shared" si="152"/>
        <v>-</v>
      </c>
      <c r="O677" s="283" t="str">
        <f t="shared" si="153"/>
        <v>-</v>
      </c>
      <c r="P677" s="283" t="str">
        <f t="shared" si="154"/>
        <v>-</v>
      </c>
      <c r="Q677" s="283" t="str">
        <f t="shared" si="155"/>
        <v>-</v>
      </c>
      <c r="R677" s="283" t="str">
        <f t="shared" si="156"/>
        <v>-</v>
      </c>
      <c r="S677" s="283" t="str">
        <f t="shared" si="157"/>
        <v>-</v>
      </c>
      <c r="T677" s="283" t="str">
        <f t="shared" si="158"/>
        <v>-</v>
      </c>
      <c r="U677" s="283" t="str">
        <f t="shared" si="159"/>
        <v>-</v>
      </c>
      <c r="V677" s="283" t="str">
        <f t="shared" si="160"/>
        <v>-</v>
      </c>
      <c r="W677" s="1" t="str">
        <f t="shared" si="161"/>
        <v>https://www.joburg.org.za/about_/government/Pages/Senior%20Management/EISD/EISD.aspx/</v>
      </c>
      <c r="X677" s="1" t="str">
        <f t="shared" si="162"/>
        <v>https://www.joburg.org.za/</v>
      </c>
      <c r="Y677" s="1" t="str">
        <f t="shared" si="163"/>
        <v>優先3</v>
      </c>
      <c r="Z677" s="1" t="str">
        <f t="shared" si="164"/>
        <v>Environment and Infrastructure Services Department, City of Johannesburg. "City of Johannesburg, Climate Action Plan". Accessed 06 July, 2023. https://www.joburg.org.za/.</v>
      </c>
    </row>
    <row r="678" spans="2:26">
      <c r="B678" s="285" t="s">
        <v>749</v>
      </c>
      <c r="C678" s="285" t="s">
        <v>716</v>
      </c>
      <c r="D678" s="285" t="s">
        <v>673</v>
      </c>
      <c r="E678" s="285" t="s">
        <v>369</v>
      </c>
      <c r="F678" s="13" t="s">
        <v>2524</v>
      </c>
      <c r="G678" s="13"/>
      <c r="H678" s="13"/>
      <c r="I678" s="13" t="s">
        <v>2525</v>
      </c>
      <c r="J678" s="13" t="s">
        <v>2734</v>
      </c>
      <c r="K678" s="284">
        <v>45113</v>
      </c>
      <c r="L678" s="283" t="str">
        <f t="shared" si="150"/>
        <v>-</v>
      </c>
      <c r="M678" s="283" t="str">
        <f t="shared" si="151"/>
        <v>-</v>
      </c>
      <c r="N678" s="283" t="str">
        <f t="shared" si="152"/>
        <v>-</v>
      </c>
      <c r="O678" s="283" t="str">
        <f t="shared" si="153"/>
        <v>-</v>
      </c>
      <c r="P678" s="283" t="str">
        <f t="shared" si="154"/>
        <v>-</v>
      </c>
      <c r="Q678" s="283" t="str">
        <f t="shared" si="155"/>
        <v>-</v>
      </c>
      <c r="R678" s="283" t="str">
        <f t="shared" si="156"/>
        <v>-</v>
      </c>
      <c r="S678" s="283" t="str">
        <f t="shared" si="157"/>
        <v>-</v>
      </c>
      <c r="T678" s="283" t="str">
        <f t="shared" si="158"/>
        <v>-</v>
      </c>
      <c r="U678" s="283" t="str">
        <f t="shared" si="159"/>
        <v>-</v>
      </c>
      <c r="V678" s="283" t="str">
        <f t="shared" si="160"/>
        <v>-</v>
      </c>
      <c r="W678" s="1" t="str">
        <f t="shared" si="161"/>
        <v>https://www.dublincity.ie/residential/environment/dublin-city-councils-climate-change-action-plan-2019-2024/dublin-city-council-climate-action-plan-2019-2024/</v>
      </c>
      <c r="X678" s="1" t="str">
        <f t="shared" si="162"/>
        <v>https://www.dublincity.ie/</v>
      </c>
      <c r="Y678" s="1" t="str">
        <f t="shared" si="163"/>
        <v>優先3</v>
      </c>
      <c r="Z678" s="1" t="str">
        <f t="shared" si="164"/>
        <v>Dublin City Council. "Climate Change Action Plan 2019-2024". Accessed 06 July, 2023. https://www.dublincity.ie/.</v>
      </c>
    </row>
    <row r="679" spans="2:26">
      <c r="B679" s="285" t="s">
        <v>749</v>
      </c>
      <c r="C679" s="285" t="s">
        <v>716</v>
      </c>
      <c r="D679" s="285" t="s">
        <v>673</v>
      </c>
      <c r="E679" s="285" t="s">
        <v>370</v>
      </c>
      <c r="F679" s="13"/>
      <c r="G679" s="13" t="s">
        <v>994</v>
      </c>
      <c r="H679" s="13"/>
      <c r="I679" s="13" t="s">
        <v>4309</v>
      </c>
      <c r="J679" s="13" t="s">
        <v>4310</v>
      </c>
      <c r="K679" s="284">
        <v>45114</v>
      </c>
      <c r="L679" s="283" t="str">
        <f t="shared" si="150"/>
        <v>-</v>
      </c>
      <c r="M679" s="283" t="str">
        <f t="shared" si="151"/>
        <v>-</v>
      </c>
      <c r="N679" s="283" t="str">
        <f t="shared" si="152"/>
        <v>-</v>
      </c>
      <c r="O679" s="283" t="str">
        <f t="shared" si="153"/>
        <v>-</v>
      </c>
      <c r="P679" s="283" t="str">
        <f t="shared" si="154"/>
        <v>-</v>
      </c>
      <c r="Q679" s="283" t="str">
        <f t="shared" si="155"/>
        <v>-</v>
      </c>
      <c r="R679" s="283" t="str">
        <f t="shared" si="156"/>
        <v>-</v>
      </c>
      <c r="S679" s="283" t="str">
        <f t="shared" si="157"/>
        <v>-</v>
      </c>
      <c r="T679" s="283" t="str">
        <f t="shared" si="158"/>
        <v>-</v>
      </c>
      <c r="U679" s="283" t="str">
        <f t="shared" si="159"/>
        <v>-</v>
      </c>
      <c r="V679" s="283" t="str">
        <f t="shared" si="160"/>
        <v>-</v>
      </c>
      <c r="W679" s="1" t="str">
        <f t="shared" si="161"/>
        <v>https://helsinginilmastoteot.fi/en/city-act/helsinki-climate-objectives-monitoring/</v>
      </c>
      <c r="X679" s="1" t="str">
        <f t="shared" si="162"/>
        <v>https://helsinginilmastoteot.fi/</v>
      </c>
      <c r="Y679" s="1" t="str">
        <f t="shared" si="163"/>
        <v>優先3</v>
      </c>
      <c r="Z679" s="1" t="str">
        <f t="shared" si="164"/>
        <v>City of Helsinki. "Carbon Neutral Helsinki Action Plan". Accessed 07 July, 2023. https://helsinginilmastoteot.fi/.</v>
      </c>
    </row>
    <row r="680" spans="2:26">
      <c r="B680" s="285" t="s">
        <v>749</v>
      </c>
      <c r="C680" s="285" t="s">
        <v>716</v>
      </c>
      <c r="D680" s="285" t="s">
        <v>673</v>
      </c>
      <c r="E680" s="285" t="s">
        <v>371</v>
      </c>
      <c r="F680" s="13" t="s">
        <v>3799</v>
      </c>
      <c r="G680" s="13" t="s">
        <v>3800</v>
      </c>
      <c r="H680" s="13"/>
      <c r="I680" s="13" t="s">
        <v>4300</v>
      </c>
      <c r="J680" s="13" t="s">
        <v>4311</v>
      </c>
      <c r="K680" s="284">
        <v>45118</v>
      </c>
      <c r="L680" s="283" t="str">
        <f t="shared" si="150"/>
        <v>-</v>
      </c>
      <c r="M680" s="283" t="str">
        <f t="shared" si="151"/>
        <v>-</v>
      </c>
      <c r="N680" s="283" t="str">
        <f t="shared" si="152"/>
        <v>-</v>
      </c>
      <c r="O680" s="283" t="str">
        <f t="shared" si="153"/>
        <v>-</v>
      </c>
      <c r="P680" s="283" t="str">
        <f t="shared" si="154"/>
        <v>-</v>
      </c>
      <c r="Q680" s="283" t="str">
        <f t="shared" si="155"/>
        <v>-</v>
      </c>
      <c r="R680" s="283" t="str">
        <f t="shared" si="156"/>
        <v>-</v>
      </c>
      <c r="S680" s="283" t="str">
        <f t="shared" si="157"/>
        <v>-</v>
      </c>
      <c r="T680" s="283" t="str">
        <f t="shared" si="158"/>
        <v>-</v>
      </c>
      <c r="U680" s="283" t="str">
        <f t="shared" si="159"/>
        <v>-</v>
      </c>
      <c r="V680" s="283" t="str">
        <f t="shared" si="160"/>
        <v>-</v>
      </c>
      <c r="W680" s="1" t="str">
        <f t="shared" si="161"/>
        <v>https://www.gov.il/en/departments/publications/reports/implementation-plan/</v>
      </c>
      <c r="X680" s="1" t="str">
        <f t="shared" si="162"/>
        <v>https://www.gov.il/</v>
      </c>
      <c r="Y680" s="1" t="str">
        <f t="shared" si="163"/>
        <v>優先3</v>
      </c>
      <c r="Z680" s="1" t="str">
        <f t="shared" si="164"/>
        <v>Ministry of Environmental Protection, Government of Israel. "National Action Plan on Climate Change 2022-2026". Accessed 11 July, 2023. https://www.gov.il/.</v>
      </c>
    </row>
    <row r="681" spans="2:26">
      <c r="B681" s="285" t="s">
        <v>748</v>
      </c>
      <c r="C681" s="285" t="s">
        <v>464</v>
      </c>
      <c r="D681" s="285" t="s">
        <v>688</v>
      </c>
      <c r="E681" s="285" t="s">
        <v>688</v>
      </c>
      <c r="F681" s="13" t="s">
        <v>747</v>
      </c>
      <c r="G681" s="13"/>
      <c r="H681" s="13"/>
      <c r="I681" s="13" t="s">
        <v>4312</v>
      </c>
      <c r="J681" s="13" t="s">
        <v>4313</v>
      </c>
      <c r="K681" s="284">
        <v>45085</v>
      </c>
      <c r="L681" s="283" t="str">
        <f t="shared" si="150"/>
        <v>-</v>
      </c>
      <c r="M681" s="283" t="str">
        <f t="shared" si="151"/>
        <v>-</v>
      </c>
      <c r="N681" s="283" t="str">
        <f t="shared" si="152"/>
        <v>-</v>
      </c>
      <c r="O681" s="283" t="str">
        <f t="shared" si="153"/>
        <v>-</v>
      </c>
      <c r="P681" s="283" t="str">
        <f t="shared" si="154"/>
        <v>-</v>
      </c>
      <c r="Q681" s="283" t="str">
        <f t="shared" si="155"/>
        <v>-</v>
      </c>
      <c r="R681" s="283" t="str">
        <f t="shared" si="156"/>
        <v>-</v>
      </c>
      <c r="S681" s="283" t="str">
        <f t="shared" si="157"/>
        <v>-</v>
      </c>
      <c r="T681" s="283" t="str">
        <f t="shared" si="158"/>
        <v>-</v>
      </c>
      <c r="U681" s="283" t="str">
        <f t="shared" si="159"/>
        <v>-</v>
      </c>
      <c r="V681" s="283" t="str">
        <f t="shared" si="160"/>
        <v>-</v>
      </c>
      <c r="W681" s="1" t="str">
        <f t="shared" si="161"/>
        <v>https://data.oecd.org/energy/renewable-energy.htm#indicator-chart/</v>
      </c>
      <c r="X681" s="1" t="str">
        <f t="shared" si="162"/>
        <v>https://data.oecd.org/</v>
      </c>
      <c r="Y681" s="1" t="str">
        <f t="shared" si="163"/>
        <v>優先1</v>
      </c>
      <c r="Z681" s="1" t="str">
        <f t="shared" si="164"/>
        <v>Organisation for Economic Co-operation and Development. "Renewable energy". Accessed 08 June, 2023. https://data.oecd.org/.</v>
      </c>
    </row>
    <row r="682" spans="2:26">
      <c r="B682" s="285" t="s">
        <v>748</v>
      </c>
      <c r="C682" s="285" t="s">
        <v>464</v>
      </c>
      <c r="D682" s="285" t="s">
        <v>688</v>
      </c>
      <c r="E682" s="285" t="s">
        <v>688</v>
      </c>
      <c r="F682" s="13" t="s">
        <v>747</v>
      </c>
      <c r="G682" s="13"/>
      <c r="H682" s="13"/>
      <c r="I682" s="13" t="s">
        <v>4314</v>
      </c>
      <c r="J682" s="13" t="s">
        <v>4315</v>
      </c>
      <c r="K682" s="284">
        <v>45085</v>
      </c>
      <c r="L682" s="283" t="str">
        <f t="shared" si="150"/>
        <v>-</v>
      </c>
      <c r="M682" s="283" t="str">
        <f t="shared" si="151"/>
        <v>-</v>
      </c>
      <c r="N682" s="283" t="str">
        <f t="shared" si="152"/>
        <v>-</v>
      </c>
      <c r="O682" s="283" t="str">
        <f t="shared" si="153"/>
        <v>-</v>
      </c>
      <c r="P682" s="283" t="str">
        <f t="shared" si="154"/>
        <v>-</v>
      </c>
      <c r="Q682" s="283" t="str">
        <f t="shared" si="155"/>
        <v>-</v>
      </c>
      <c r="R682" s="283" t="str">
        <f t="shared" si="156"/>
        <v>-</v>
      </c>
      <c r="S682" s="283" t="str">
        <f t="shared" si="157"/>
        <v>-</v>
      </c>
      <c r="T682" s="283" t="str">
        <f t="shared" si="158"/>
        <v>-</v>
      </c>
      <c r="U682" s="283" t="str">
        <f t="shared" si="159"/>
        <v>-</v>
      </c>
      <c r="V682" s="283" t="str">
        <f t="shared" si="160"/>
        <v>-</v>
      </c>
      <c r="W682" s="1" t="str">
        <f t="shared" si="161"/>
        <v>https://data.oecd.org/energy/primary-energy-supply.htm#indicator-chart/</v>
      </c>
      <c r="X682" s="1" t="str">
        <f t="shared" si="162"/>
        <v>https://data.oecd.org/</v>
      </c>
      <c r="Y682" s="1" t="str">
        <f t="shared" si="163"/>
        <v>優先1</v>
      </c>
      <c r="Z682" s="1" t="str">
        <f t="shared" si="164"/>
        <v>Organisation for Economic Co-operation and Development. "Primary energy supply". Accessed 08 June, 2023. https://data.oecd.org/.</v>
      </c>
    </row>
    <row r="683" spans="2:26">
      <c r="B683" s="285" t="s">
        <v>745</v>
      </c>
      <c r="C683" s="285" t="s">
        <v>464</v>
      </c>
      <c r="D683" s="285" t="s">
        <v>688</v>
      </c>
      <c r="E683" s="285" t="s">
        <v>688</v>
      </c>
      <c r="F683" s="13" t="s">
        <v>747</v>
      </c>
      <c r="G683" s="13"/>
      <c r="H683" s="13"/>
      <c r="I683" s="13" t="s">
        <v>1452</v>
      </c>
      <c r="J683" s="13" t="s">
        <v>1308</v>
      </c>
      <c r="K683" s="284">
        <v>45111</v>
      </c>
      <c r="L683" s="283" t="str">
        <f t="shared" si="150"/>
        <v>-</v>
      </c>
      <c r="M683" s="283" t="str">
        <f t="shared" si="151"/>
        <v>-</v>
      </c>
      <c r="N683" s="283" t="str">
        <f t="shared" si="152"/>
        <v>-</v>
      </c>
      <c r="O683" s="283" t="str">
        <f t="shared" si="153"/>
        <v>-</v>
      </c>
      <c r="P683" s="283" t="str">
        <f t="shared" si="154"/>
        <v>-</v>
      </c>
      <c r="Q683" s="283" t="str">
        <f t="shared" si="155"/>
        <v>-</v>
      </c>
      <c r="R683" s="283" t="str">
        <f t="shared" si="156"/>
        <v>-</v>
      </c>
      <c r="S683" s="283" t="str">
        <f t="shared" si="157"/>
        <v>-</v>
      </c>
      <c r="T683" s="283" t="str">
        <f t="shared" si="158"/>
        <v>-</v>
      </c>
      <c r="U683" s="283" t="str">
        <f t="shared" si="159"/>
        <v>-</v>
      </c>
      <c r="V683" s="283" t="str">
        <f t="shared" si="160"/>
        <v>-</v>
      </c>
      <c r="W683" s="1" t="str">
        <f t="shared" si="161"/>
        <v>https://stats.oecd.org/</v>
      </c>
      <c r="X683" s="1" t="str">
        <f t="shared" si="162"/>
        <v>https://stats.oecd.org/</v>
      </c>
      <c r="Y683" s="1" t="str">
        <f t="shared" si="163"/>
        <v>優先1</v>
      </c>
      <c r="Z683" s="1" t="str">
        <f t="shared" si="164"/>
        <v>Organisation for Economic Co-operation and Development. "OECD.Stat - Municipal waste, Generation and Treatment". Accessed 04 July, 2023. https://stats.oecd.org/.</v>
      </c>
    </row>
    <row r="684" spans="2:26">
      <c r="B684" s="285" t="s">
        <v>745</v>
      </c>
      <c r="C684" s="285" t="s">
        <v>464</v>
      </c>
      <c r="D684" s="285" t="s">
        <v>673</v>
      </c>
      <c r="E684" s="285" t="s">
        <v>136</v>
      </c>
      <c r="F684" s="13" t="s">
        <v>4316</v>
      </c>
      <c r="G684" s="13"/>
      <c r="H684" s="13"/>
      <c r="I684" s="13" t="s">
        <v>4317</v>
      </c>
      <c r="J684" s="13" t="s">
        <v>4318</v>
      </c>
      <c r="K684" s="284">
        <v>45111</v>
      </c>
      <c r="L684" s="283" t="str">
        <f t="shared" si="150"/>
        <v>-</v>
      </c>
      <c r="M684" s="283" t="str">
        <f t="shared" si="151"/>
        <v>-</v>
      </c>
      <c r="N684" s="283" t="str">
        <f t="shared" si="152"/>
        <v>-</v>
      </c>
      <c r="O684" s="283" t="str">
        <f t="shared" si="153"/>
        <v>-</v>
      </c>
      <c r="P684" s="283" t="str">
        <f t="shared" si="154"/>
        <v>-</v>
      </c>
      <c r="Q684" s="283" t="str">
        <f t="shared" si="155"/>
        <v>-</v>
      </c>
      <c r="R684" s="283" t="str">
        <f t="shared" si="156"/>
        <v>-</v>
      </c>
      <c r="S684" s="283" t="str">
        <f t="shared" si="157"/>
        <v>-</v>
      </c>
      <c r="T684" s="283" t="str">
        <f t="shared" si="158"/>
        <v>-</v>
      </c>
      <c r="U684" s="283" t="str">
        <f t="shared" si="159"/>
        <v>-</v>
      </c>
      <c r="V684" s="283" t="str">
        <f t="shared" si="160"/>
        <v>-</v>
      </c>
      <c r="W684" s="1" t="str">
        <f t="shared" si="161"/>
        <v>https://finexpertiza.ru/press-service/researches/2022/sort-byt-musor/?YEAR=2022&amp;ELEMENT_CODE=sort-byt-musor/</v>
      </c>
      <c r="X684" s="1" t="str">
        <f t="shared" si="162"/>
        <v>https://finexpertiza.ru/</v>
      </c>
      <c r="Y684" s="1" t="str">
        <f t="shared" si="163"/>
        <v>優先3</v>
      </c>
      <c r="Z684" s="1" t="str">
        <f t="shared" si="164"/>
        <v>FinExpertiza. "Sorting of household waste in Russia reached 50%". Accessed 04 July, 2023. https://finexpertiza.ru/.</v>
      </c>
    </row>
    <row r="685" spans="2:26">
      <c r="B685" s="285" t="s">
        <v>745</v>
      </c>
      <c r="C685" s="285" t="s">
        <v>464</v>
      </c>
      <c r="D685" s="285" t="s">
        <v>673</v>
      </c>
      <c r="E685" s="285" t="s">
        <v>138</v>
      </c>
      <c r="F685" s="13" t="s">
        <v>4319</v>
      </c>
      <c r="G685" s="13" t="s">
        <v>987</v>
      </c>
      <c r="H685" s="13"/>
      <c r="I685" s="13" t="s">
        <v>4320</v>
      </c>
      <c r="J685" s="13" t="s">
        <v>4321</v>
      </c>
      <c r="K685" s="284">
        <v>45112</v>
      </c>
      <c r="L685" s="283" t="str">
        <f t="shared" si="150"/>
        <v>-</v>
      </c>
      <c r="M685" s="283" t="str">
        <f t="shared" si="151"/>
        <v>-</v>
      </c>
      <c r="N685" s="283" t="str">
        <f t="shared" si="152"/>
        <v>-</v>
      </c>
      <c r="O685" s="283" t="str">
        <f t="shared" si="153"/>
        <v>-</v>
      </c>
      <c r="P685" s="283" t="str">
        <f t="shared" si="154"/>
        <v>-</v>
      </c>
      <c r="Q685" s="283" t="str">
        <f t="shared" si="155"/>
        <v>-</v>
      </c>
      <c r="R685" s="283" t="str">
        <f t="shared" si="156"/>
        <v>-</v>
      </c>
      <c r="S685" s="283" t="str">
        <f t="shared" si="157"/>
        <v>-</v>
      </c>
      <c r="T685" s="283" t="str">
        <f t="shared" si="158"/>
        <v>-</v>
      </c>
      <c r="U685" s="283" t="str">
        <f t="shared" si="159"/>
        <v>-</v>
      </c>
      <c r="V685" s="283" t="str">
        <f t="shared" si="160"/>
        <v>NG</v>
      </c>
      <c r="W685" s="1" t="str">
        <f t="shared" si="161"/>
        <v>https://cpcb.nic.in/waste-generation-composition/</v>
      </c>
      <c r="X685" s="1" t="str">
        <f t="shared" si="162"/>
        <v>https://cpcb.nic.in/</v>
      </c>
      <c r="Y685" s="1" t="str">
        <f t="shared" si="163"/>
        <v>優先3</v>
      </c>
      <c r="Z685" s="1" t="str">
        <f t="shared" si="164"/>
        <v>Maharashtra Pollution Control Board , Government of Maharashtra. "Waste Management - Waste Generation &amp; Composition". Accessed 05 July, 2023. https://cpcb.nic.in/.</v>
      </c>
    </row>
    <row r="686" spans="2:26">
      <c r="B686" s="285" t="s">
        <v>745</v>
      </c>
      <c r="C686" s="285" t="s">
        <v>464</v>
      </c>
      <c r="D686" s="285" t="s">
        <v>673</v>
      </c>
      <c r="E686" s="285" t="s">
        <v>142</v>
      </c>
      <c r="F686" s="13" t="s">
        <v>4322</v>
      </c>
      <c r="G686" s="13"/>
      <c r="H686" s="13"/>
      <c r="I686" s="13" t="s">
        <v>4323</v>
      </c>
      <c r="J686" s="13" t="s">
        <v>4324</v>
      </c>
      <c r="K686" s="284">
        <v>45092</v>
      </c>
      <c r="L686" s="283" t="str">
        <f t="shared" si="150"/>
        <v>-</v>
      </c>
      <c r="M686" s="283" t="str">
        <f t="shared" si="151"/>
        <v>-</v>
      </c>
      <c r="N686" s="283" t="str">
        <f t="shared" si="152"/>
        <v>-</v>
      </c>
      <c r="O686" s="283" t="str">
        <f t="shared" si="153"/>
        <v>-</v>
      </c>
      <c r="P686" s="283" t="str">
        <f t="shared" si="154"/>
        <v>-</v>
      </c>
      <c r="Q686" s="283" t="str">
        <f t="shared" si="155"/>
        <v>-</v>
      </c>
      <c r="R686" s="283" t="str">
        <f t="shared" si="156"/>
        <v>-</v>
      </c>
      <c r="S686" s="283" t="str">
        <f t="shared" si="157"/>
        <v>-</v>
      </c>
      <c r="T686" s="283" t="str">
        <f t="shared" si="158"/>
        <v>-</v>
      </c>
      <c r="U686" s="283" t="str">
        <f t="shared" si="159"/>
        <v>-</v>
      </c>
      <c r="V686" s="283" t="str">
        <f t="shared" si="160"/>
        <v>-</v>
      </c>
      <c r="W686" s="1" t="str">
        <f t="shared" si="161"/>
        <v>https://newss.statistics.gov.my/newss-portalx/ep/epFreeDownloadContentSearch.seam?cid=58914/</v>
      </c>
      <c r="X686" s="1" t="str">
        <f t="shared" si="162"/>
        <v>https://newss.statistics.gov.my/</v>
      </c>
      <c r="Y686" s="1" t="str">
        <f t="shared" si="163"/>
        <v>優先3</v>
      </c>
      <c r="Z686" s="1" t="str">
        <f t="shared" si="164"/>
        <v>The Department of Statistics, Malaysia. "Compendium of Environment Statistics, Malaysia, 2022". Accessed 15 June, 2023. https://newss.statistics.gov.my/.</v>
      </c>
    </row>
    <row r="687" spans="2:26">
      <c r="B687" s="285" t="s">
        <v>745</v>
      </c>
      <c r="C687" s="285" t="s">
        <v>464</v>
      </c>
      <c r="D687" s="285" t="s">
        <v>673</v>
      </c>
      <c r="E687" s="285" t="s">
        <v>148</v>
      </c>
      <c r="F687" s="13" t="s">
        <v>2735</v>
      </c>
      <c r="G687" s="13"/>
      <c r="H687" s="13" t="s">
        <v>2736</v>
      </c>
      <c r="I687" s="13" t="s">
        <v>4325</v>
      </c>
      <c r="J687" s="13" t="s">
        <v>4326</v>
      </c>
      <c r="K687" s="284">
        <v>45093</v>
      </c>
      <c r="L687" s="283" t="str">
        <f t="shared" si="150"/>
        <v>-</v>
      </c>
      <c r="M687" s="283" t="str">
        <f t="shared" si="151"/>
        <v>-</v>
      </c>
      <c r="N687" s="283" t="str">
        <f t="shared" si="152"/>
        <v>-</v>
      </c>
      <c r="O687" s="283" t="str">
        <f t="shared" si="153"/>
        <v>-</v>
      </c>
      <c r="P687" s="283" t="str">
        <f t="shared" si="154"/>
        <v>-</v>
      </c>
      <c r="Q687" s="283" t="str">
        <f t="shared" si="155"/>
        <v>-</v>
      </c>
      <c r="R687" s="283" t="str">
        <f t="shared" si="156"/>
        <v>-</v>
      </c>
      <c r="S687" s="283" t="str">
        <f t="shared" si="157"/>
        <v>-</v>
      </c>
      <c r="T687" s="283" t="str">
        <f t="shared" si="158"/>
        <v>-</v>
      </c>
      <c r="U687" s="283" t="str">
        <f t="shared" si="159"/>
        <v>-</v>
      </c>
      <c r="V687" s="283" t="str">
        <f t="shared" si="160"/>
        <v>-</v>
      </c>
      <c r="W687" s="1" t="str">
        <f t="shared" si="161"/>
        <v>http://csglw.beijing.gov.cn/zwxx/cwgk/202302/t20230221_2921116.html/</v>
      </c>
      <c r="X687" s="1" t="str">
        <f t="shared" si="162"/>
        <v>http://csglw.beijing.gov.cn/</v>
      </c>
      <c r="Y687" s="1" t="str">
        <f t="shared" si="163"/>
        <v>優先3</v>
      </c>
      <c r="Z687" s="1" t="str">
        <f t="shared" si="164"/>
        <v>Beijing Municipal Commission of Urban Management [北京市城市管理委员会]. "北京市城市管理委员会2023年度部门预算信息". Accessed 16 June, 2023. http://csglw.beijing.gov.cn/.</v>
      </c>
    </row>
    <row r="688" spans="2:26">
      <c r="B688" s="285" t="s">
        <v>745</v>
      </c>
      <c r="C688" s="285" t="s">
        <v>464</v>
      </c>
      <c r="D688" s="285" t="s">
        <v>673</v>
      </c>
      <c r="E688" s="285" t="s">
        <v>150</v>
      </c>
      <c r="F688" s="13" t="s">
        <v>1453</v>
      </c>
      <c r="G688" s="13" t="s">
        <v>1454</v>
      </c>
      <c r="H688" s="13" t="s">
        <v>1455</v>
      </c>
      <c r="I688" s="13" t="s">
        <v>3801</v>
      </c>
      <c r="J688" s="13" t="s">
        <v>3802</v>
      </c>
      <c r="K688" s="284">
        <v>45112</v>
      </c>
      <c r="L688" s="283" t="str">
        <f t="shared" si="150"/>
        <v>-</v>
      </c>
      <c r="M688" s="283" t="str">
        <f t="shared" si="151"/>
        <v>-</v>
      </c>
      <c r="N688" s="283" t="str">
        <f t="shared" si="152"/>
        <v>-</v>
      </c>
      <c r="O688" s="283" t="str">
        <f t="shared" si="153"/>
        <v>-</v>
      </c>
      <c r="P688" s="283" t="str">
        <f t="shared" si="154"/>
        <v>-</v>
      </c>
      <c r="Q688" s="283" t="str">
        <f t="shared" si="155"/>
        <v>-</v>
      </c>
      <c r="R688" s="283" t="str">
        <f t="shared" si="156"/>
        <v>-</v>
      </c>
      <c r="S688" s="283" t="str">
        <f t="shared" si="157"/>
        <v>NG</v>
      </c>
      <c r="T688" s="283" t="str">
        <f t="shared" si="158"/>
        <v>-</v>
      </c>
      <c r="U688" s="283" t="str">
        <f t="shared" si="159"/>
        <v>-</v>
      </c>
      <c r="V688" s="283" t="str">
        <f t="shared" si="160"/>
        <v>-</v>
      </c>
      <c r="W688" s="1" t="str">
        <f t="shared" si="161"/>
        <v>https://lhsr.sh.gov.cn/ywdt/20220704/91d70fe7-9a68-4baf-bcd8-222f667e507d.html/</v>
      </c>
      <c r="X688" s="1" t="str">
        <f t="shared" si="162"/>
        <v>https://lhsr.sh.gov.cn/</v>
      </c>
      <c r="Y688" s="1" t="str">
        <f t="shared" si="163"/>
        <v>優先3</v>
      </c>
      <c r="Z688" s="1" t="str">
        <f t="shared" si="164"/>
        <v>Shanghai Landscaping &amp; City Appearance Administrative Bureau, Shanghai Forestry Bureau, Shanghai City [上海市绿化和市容管理局 上海市林业局]. "《上海市生活垃圾管理条例》实施三周年，向广大市民致以最诚挚的感谢！ （2022年07月04日）". Accessed 05 July, 2023. https://lhsr.sh.gov.cn/.</v>
      </c>
    </row>
    <row r="689" spans="2:26">
      <c r="B689" s="285" t="s">
        <v>745</v>
      </c>
      <c r="C689" s="285" t="s">
        <v>464</v>
      </c>
      <c r="D689" s="285" t="s">
        <v>673</v>
      </c>
      <c r="E689" s="285" t="s">
        <v>152</v>
      </c>
      <c r="F689" s="13" t="s">
        <v>1456</v>
      </c>
      <c r="G689" s="13" t="s">
        <v>728</v>
      </c>
      <c r="H689" s="13" t="s">
        <v>734</v>
      </c>
      <c r="I689" s="13" t="s">
        <v>1457</v>
      </c>
      <c r="J689" s="13" t="s">
        <v>3803</v>
      </c>
      <c r="K689" s="284">
        <v>45093</v>
      </c>
      <c r="L689" s="283" t="str">
        <f t="shared" si="150"/>
        <v>-</v>
      </c>
      <c r="M689" s="283" t="str">
        <f t="shared" si="151"/>
        <v>-</v>
      </c>
      <c r="N689" s="283" t="str">
        <f t="shared" si="152"/>
        <v>NG</v>
      </c>
      <c r="O689" s="283" t="str">
        <f t="shared" si="153"/>
        <v>-</v>
      </c>
      <c r="P689" s="283" t="str">
        <f t="shared" si="154"/>
        <v>NG</v>
      </c>
      <c r="Q689" s="283" t="str">
        <f t="shared" si="155"/>
        <v>-</v>
      </c>
      <c r="R689" s="283" t="str">
        <f t="shared" si="156"/>
        <v>-</v>
      </c>
      <c r="S689" s="283" t="str">
        <f t="shared" si="157"/>
        <v>-</v>
      </c>
      <c r="T689" s="283" t="str">
        <f t="shared" si="158"/>
        <v>-</v>
      </c>
      <c r="U689" s="283" t="str">
        <f t="shared" si="159"/>
        <v>-</v>
      </c>
      <c r="V689" s="283" t="str">
        <f t="shared" si="160"/>
        <v>-</v>
      </c>
      <c r="W689" s="1" t="str">
        <f t="shared" si="161"/>
        <v>https://www.epa.gov.tw/ENG/513B0B39D090DE4C/</v>
      </c>
      <c r="X689" s="1" t="str">
        <f t="shared" si="162"/>
        <v>https://www.epa.gov.tw/</v>
      </c>
      <c r="Y689" s="1" t="str">
        <f t="shared" si="163"/>
        <v>優先3</v>
      </c>
      <c r="Z689" s="1" t="str">
        <f t="shared" si="164"/>
        <v>Environment Protection Administration, Republic of China (Taiwan) [行政院環境保護署]. "Solid Waste Statistics, "Generation and Treatment of Municipal Waste"". Accessed 16 June, 2023. https://www.epa.gov.tw/.</v>
      </c>
    </row>
    <row r="690" spans="2:26">
      <c r="B690" s="285" t="s">
        <v>745</v>
      </c>
      <c r="C690" s="285" t="s">
        <v>464</v>
      </c>
      <c r="D690" s="285" t="s">
        <v>673</v>
      </c>
      <c r="E690" s="285" t="s">
        <v>160</v>
      </c>
      <c r="F690" s="13" t="s">
        <v>1449</v>
      </c>
      <c r="G690" s="13" t="s">
        <v>740</v>
      </c>
      <c r="H690" s="13" t="s">
        <v>739</v>
      </c>
      <c r="I690" s="13" t="s">
        <v>4327</v>
      </c>
      <c r="J690" s="13" t="s">
        <v>1458</v>
      </c>
      <c r="K690" s="284">
        <v>45093</v>
      </c>
      <c r="L690" s="283" t="str">
        <f t="shared" si="150"/>
        <v>-</v>
      </c>
      <c r="M690" s="283" t="str">
        <f t="shared" si="151"/>
        <v>-</v>
      </c>
      <c r="N690" s="283" t="str">
        <f t="shared" si="152"/>
        <v>-</v>
      </c>
      <c r="O690" s="283" t="str">
        <f t="shared" si="153"/>
        <v>-</v>
      </c>
      <c r="P690" s="283" t="str">
        <f t="shared" si="154"/>
        <v>-</v>
      </c>
      <c r="Q690" s="283" t="str">
        <f t="shared" si="155"/>
        <v>-</v>
      </c>
      <c r="R690" s="283" t="str">
        <f t="shared" si="156"/>
        <v>-</v>
      </c>
      <c r="S690" s="283" t="str">
        <f t="shared" si="157"/>
        <v>NG</v>
      </c>
      <c r="T690" s="283" t="str">
        <f t="shared" si="158"/>
        <v>-</v>
      </c>
      <c r="U690" s="283" t="str">
        <f t="shared" si="159"/>
        <v>-</v>
      </c>
      <c r="V690" s="283" t="str">
        <f t="shared" si="160"/>
        <v>-</v>
      </c>
      <c r="W690" s="1" t="str">
        <f t="shared" si="161"/>
        <v>https://www.kankyo.metro.tokyo.lg.jp/resource/general_waste/survey_results.html/</v>
      </c>
      <c r="X690" s="1" t="str">
        <f t="shared" si="162"/>
        <v>https://www.kankyo.metro.tokyo.lg.jp/</v>
      </c>
      <c r="Y690" s="1" t="str">
        <f t="shared" si="163"/>
        <v>優先3</v>
      </c>
      <c r="Z690" s="1" t="str">
        <f t="shared" si="164"/>
        <v>Bureau of Environment, Tokyo Metropolitan Government [東京都環境局]. "東京都区市町村清掃事業年報（令和3年度実績）". Accessed 16 June, 2023. https://www.kankyo.metro.tokyo.lg.jp/.</v>
      </c>
    </row>
    <row r="691" spans="2:26">
      <c r="B691" s="285" t="s">
        <v>745</v>
      </c>
      <c r="C691" s="285" t="s">
        <v>464</v>
      </c>
      <c r="D691" s="285" t="s">
        <v>673</v>
      </c>
      <c r="E691" s="285" t="s">
        <v>170</v>
      </c>
      <c r="F691" s="13" t="s">
        <v>4328</v>
      </c>
      <c r="G691" s="13"/>
      <c r="H691" s="13"/>
      <c r="I691" s="13" t="s">
        <v>4329</v>
      </c>
      <c r="J691" s="13" t="s">
        <v>4330</v>
      </c>
      <c r="K691" s="284">
        <v>45112</v>
      </c>
      <c r="L691" s="283" t="str">
        <f t="shared" si="150"/>
        <v>-</v>
      </c>
      <c r="M691" s="283" t="str">
        <f t="shared" si="151"/>
        <v>-</v>
      </c>
      <c r="N691" s="283" t="str">
        <f t="shared" si="152"/>
        <v>-</v>
      </c>
      <c r="O691" s="283" t="str">
        <f t="shared" si="153"/>
        <v>-</v>
      </c>
      <c r="P691" s="283" t="str">
        <f t="shared" si="154"/>
        <v>-</v>
      </c>
      <c r="Q691" s="283" t="str">
        <f t="shared" si="155"/>
        <v>-</v>
      </c>
      <c r="R691" s="283" t="str">
        <f t="shared" si="156"/>
        <v>-</v>
      </c>
      <c r="S691" s="283" t="str">
        <f t="shared" si="157"/>
        <v>-</v>
      </c>
      <c r="T691" s="283" t="str">
        <f t="shared" si="158"/>
        <v>-</v>
      </c>
      <c r="U691" s="283" t="str">
        <f t="shared" si="159"/>
        <v>-</v>
      </c>
      <c r="V691" s="283" t="str">
        <f t="shared" si="160"/>
        <v>-</v>
      </c>
      <c r="W691" s="1" t="str">
        <f t="shared" si="161"/>
        <v>https://www.google.com/url?sa=t&amp;rct=j&amp;q=&amp;esrc=s&amp;source=web&amp;cd=&amp;ved=2ahUKEwjQ5_jh9fb_AhWI7GEKHfejDCQQFnoECA4QAw&amp;url=https%3A%2F%2Fhollandcircularhotspot.nl%2Fwp-content%2Fuploads%2F2021%2F04%2FReport_Waste_Management_Mexico_20210322.pdf&amp;usg=AOvVaw01Pbg7ALkA0O-bpiHJbc1J&amp;opi=89978449/</v>
      </c>
      <c r="X691" s="1" t="str">
        <f t="shared" si="162"/>
        <v>https://www.google.com/</v>
      </c>
      <c r="Y691" s="1" t="str">
        <f t="shared" si="163"/>
        <v>優先3</v>
      </c>
      <c r="Z691" s="1" t="str">
        <f t="shared" si="164"/>
        <v>Holland Circular Hotspot. "Waste Management Country Report: Mexico". Accessed 05 July, 2023. https://www.google.com/.</v>
      </c>
    </row>
    <row r="692" spans="2:26">
      <c r="B692" s="285" t="s">
        <v>745</v>
      </c>
      <c r="C692" s="285" t="s">
        <v>464</v>
      </c>
      <c r="D692" s="285" t="s">
        <v>673</v>
      </c>
      <c r="E692" s="285" t="s">
        <v>184</v>
      </c>
      <c r="F692" s="13" t="s">
        <v>1459</v>
      </c>
      <c r="G692" s="13" t="s">
        <v>733</v>
      </c>
      <c r="H692" s="13"/>
      <c r="I692" s="13" t="s">
        <v>1460</v>
      </c>
      <c r="J692" s="13" t="s">
        <v>3804</v>
      </c>
      <c r="K692" s="284">
        <v>45112</v>
      </c>
      <c r="L692" s="283" t="str">
        <f t="shared" si="150"/>
        <v>-</v>
      </c>
      <c r="M692" s="283" t="str">
        <f t="shared" si="151"/>
        <v>-</v>
      </c>
      <c r="N692" s="283" t="str">
        <f t="shared" si="152"/>
        <v>-</v>
      </c>
      <c r="O692" s="283" t="str">
        <f t="shared" si="153"/>
        <v>-</v>
      </c>
      <c r="P692" s="283" t="str">
        <f t="shared" si="154"/>
        <v>-</v>
      </c>
      <c r="Q692" s="283" t="str">
        <f t="shared" si="155"/>
        <v>-</v>
      </c>
      <c r="R692" s="283" t="str">
        <f t="shared" si="156"/>
        <v>-</v>
      </c>
      <c r="S692" s="283" t="str">
        <f t="shared" si="157"/>
        <v>-</v>
      </c>
      <c r="T692" s="283" t="str">
        <f t="shared" si="158"/>
        <v>-</v>
      </c>
      <c r="U692" s="283" t="str">
        <f t="shared" si="159"/>
        <v>-</v>
      </c>
      <c r="V692" s="283" t="str">
        <f t="shared" si="160"/>
        <v>-</v>
      </c>
      <c r="W692" s="1" t="str">
        <f t="shared" si="161"/>
        <v>http://sawic.environment.gov.za/?menu=16/</v>
      </c>
      <c r="X692" s="1" t="str">
        <f t="shared" si="162"/>
        <v>http://sawic.environment.gov.za/</v>
      </c>
      <c r="Y692" s="1" t="str">
        <f t="shared" si="163"/>
        <v>優先3</v>
      </c>
      <c r="Z692" s="1" t="str">
        <f t="shared" si="164"/>
        <v>Department Environmental Affairs, Republic of South Africa. "South Africa State of Waste Report". Accessed 05 July, 2023. http://sawic.environment.gov.za/.</v>
      </c>
    </row>
    <row r="693" spans="2:26">
      <c r="B693" s="285" t="s">
        <v>745</v>
      </c>
      <c r="C693" s="285" t="s">
        <v>464</v>
      </c>
      <c r="D693" s="285" t="s">
        <v>673</v>
      </c>
      <c r="E693" s="285" t="s">
        <v>186</v>
      </c>
      <c r="F693" s="13" t="s">
        <v>1461</v>
      </c>
      <c r="G693" s="13" t="s">
        <v>1462</v>
      </c>
      <c r="H693" s="13"/>
      <c r="I693" s="13" t="s">
        <v>1463</v>
      </c>
      <c r="J693" s="13" t="s">
        <v>2737</v>
      </c>
      <c r="K693" s="284">
        <v>45112</v>
      </c>
      <c r="L693" s="283" t="str">
        <f t="shared" si="150"/>
        <v>-</v>
      </c>
      <c r="M693" s="283" t="str">
        <f t="shared" si="151"/>
        <v>-</v>
      </c>
      <c r="N693" s="283" t="str">
        <f t="shared" si="152"/>
        <v>-</v>
      </c>
      <c r="O693" s="283" t="str">
        <f t="shared" si="153"/>
        <v>-</v>
      </c>
      <c r="P693" s="283" t="str">
        <f t="shared" si="154"/>
        <v>-</v>
      </c>
      <c r="Q693" s="283" t="str">
        <f t="shared" si="155"/>
        <v>-</v>
      </c>
      <c r="R693" s="283" t="str">
        <f t="shared" si="156"/>
        <v>-</v>
      </c>
      <c r="S693" s="283" t="str">
        <f t="shared" si="157"/>
        <v>-</v>
      </c>
      <c r="T693" s="283" t="str">
        <f t="shared" si="158"/>
        <v>-</v>
      </c>
      <c r="U693" s="283" t="str">
        <f t="shared" si="159"/>
        <v>-</v>
      </c>
      <c r="V693" s="283" t="str">
        <f t="shared" si="160"/>
        <v>-</v>
      </c>
      <c r="W693" s="1" t="str">
        <f t="shared" si="161"/>
        <v>https://www.trade.gov/environmental-technologies-industry/</v>
      </c>
      <c r="X693" s="1" t="str">
        <f t="shared" si="162"/>
        <v>https://www.trade.gov/</v>
      </c>
      <c r="Y693" s="1" t="str">
        <f t="shared" si="163"/>
        <v>優先3</v>
      </c>
      <c r="Z693" s="1" t="str">
        <f t="shared" si="164"/>
        <v>International Trade Administration, U.S. Department of Commerce, United State of America. "2019 Top Markets Report: Environmental Technologies". Accessed 05 July, 2023. https://www.trade.gov/.</v>
      </c>
    </row>
    <row r="694" spans="2:26">
      <c r="B694" s="285" t="s">
        <v>745</v>
      </c>
      <c r="C694" s="285" t="s">
        <v>464</v>
      </c>
      <c r="D694" s="285" t="s">
        <v>688</v>
      </c>
      <c r="E694" s="285" t="s">
        <v>688</v>
      </c>
      <c r="F694" s="13" t="s">
        <v>1464</v>
      </c>
      <c r="G694" s="13"/>
      <c r="H694" s="13"/>
      <c r="I694" s="13" t="s">
        <v>744</v>
      </c>
      <c r="J694" s="13" t="s">
        <v>4331</v>
      </c>
      <c r="K694" s="284">
        <v>45111</v>
      </c>
      <c r="L694" s="283" t="str">
        <f t="shared" si="150"/>
        <v>-</v>
      </c>
      <c r="M694" s="283" t="str">
        <f t="shared" si="151"/>
        <v>-</v>
      </c>
      <c r="N694" s="283" t="str">
        <f t="shared" si="152"/>
        <v>NG</v>
      </c>
      <c r="O694" s="283" t="str">
        <f t="shared" si="153"/>
        <v>-</v>
      </c>
      <c r="P694" s="283" t="str">
        <f t="shared" si="154"/>
        <v>-</v>
      </c>
      <c r="Q694" s="283" t="str">
        <f t="shared" si="155"/>
        <v>-</v>
      </c>
      <c r="R694" s="283" t="str">
        <f t="shared" si="156"/>
        <v>-</v>
      </c>
      <c r="S694" s="283" t="str">
        <f t="shared" si="157"/>
        <v>-</v>
      </c>
      <c r="T694" s="283" t="str">
        <f t="shared" si="158"/>
        <v>-</v>
      </c>
      <c r="U694" s="283" t="str">
        <f t="shared" si="159"/>
        <v>-</v>
      </c>
      <c r="V694" s="283" t="str">
        <f t="shared" si="160"/>
        <v>-</v>
      </c>
      <c r="W694" s="1" t="str">
        <f t="shared" si="161"/>
        <v>https://unstats.un.org/UNSDWebsite/</v>
      </c>
      <c r="X694" s="1" t="str">
        <f t="shared" si="162"/>
        <v>https://unstats.un.org/</v>
      </c>
      <c r="Y694" s="1" t="str">
        <f t="shared" si="163"/>
        <v>優先1</v>
      </c>
      <c r="Z694" s="1" t="str">
        <f t="shared" si="164"/>
        <v>United Nations Statistisc Division (UNSD). "Percentage of municipal waste collected which is recycled". Accessed 04 July, 2023. https://unstats.un.org/.</v>
      </c>
    </row>
    <row r="695" spans="2:26">
      <c r="B695" s="285" t="s">
        <v>738</v>
      </c>
      <c r="C695" s="285" t="s">
        <v>464</v>
      </c>
      <c r="D695" s="285" t="s">
        <v>688</v>
      </c>
      <c r="E695" s="285" t="s">
        <v>688</v>
      </c>
      <c r="F695" s="13" t="s">
        <v>743</v>
      </c>
      <c r="G695" s="13"/>
      <c r="H695" s="13"/>
      <c r="I695" s="13" t="s">
        <v>3805</v>
      </c>
      <c r="J695" s="13" t="s">
        <v>3806</v>
      </c>
      <c r="K695" s="284">
        <v>45112</v>
      </c>
      <c r="L695" s="283" t="str">
        <f t="shared" si="150"/>
        <v>-</v>
      </c>
      <c r="M695" s="283" t="str">
        <f t="shared" si="151"/>
        <v>-</v>
      </c>
      <c r="N695" s="283" t="str">
        <f t="shared" si="152"/>
        <v>-</v>
      </c>
      <c r="O695" s="283" t="str">
        <f t="shared" si="153"/>
        <v>-</v>
      </c>
      <c r="P695" s="283" t="str">
        <f t="shared" si="154"/>
        <v>-</v>
      </c>
      <c r="Q695" s="283" t="str">
        <f t="shared" si="155"/>
        <v>-</v>
      </c>
      <c r="R695" s="283" t="str">
        <f t="shared" si="156"/>
        <v>-</v>
      </c>
      <c r="S695" s="283" t="str">
        <f t="shared" si="157"/>
        <v>-</v>
      </c>
      <c r="T695" s="283" t="str">
        <f t="shared" si="158"/>
        <v>-</v>
      </c>
      <c r="U695" s="283" t="str">
        <f t="shared" si="159"/>
        <v>-</v>
      </c>
      <c r="V695" s="283" t="str">
        <f t="shared" si="160"/>
        <v>-</v>
      </c>
      <c r="W695" s="1" t="str">
        <f t="shared" si="161"/>
        <v>https://www.iea.org/data-and-statistics/data-product/greenhouse-gas-emissions-from-energy-highlights/</v>
      </c>
      <c r="X695" s="1" t="str">
        <f t="shared" si="162"/>
        <v>https://www.iea.org/</v>
      </c>
      <c r="Y695" s="1" t="str">
        <f t="shared" si="163"/>
        <v>優先1</v>
      </c>
      <c r="Z695" s="1" t="str">
        <f t="shared" si="164"/>
        <v>International Energy Agency. "GHG emissions from fuel combustion - Total". Accessed 05 July, 2023. https://www.iea.org/.</v>
      </c>
    </row>
    <row r="696" spans="2:26">
      <c r="B696" s="285" t="s">
        <v>738</v>
      </c>
      <c r="C696" s="285" t="s">
        <v>464</v>
      </c>
      <c r="D696" s="285" t="s">
        <v>673</v>
      </c>
      <c r="E696" s="285" t="s">
        <v>108</v>
      </c>
      <c r="F696" s="13" t="s">
        <v>2738</v>
      </c>
      <c r="G696" s="13" t="s">
        <v>742</v>
      </c>
      <c r="H696" s="13"/>
      <c r="I696" s="13" t="s">
        <v>4332</v>
      </c>
      <c r="J696" s="13" t="s">
        <v>4333</v>
      </c>
      <c r="K696" s="284">
        <v>45112</v>
      </c>
      <c r="L696" s="283" t="str">
        <f t="shared" si="150"/>
        <v>-</v>
      </c>
      <c r="M696" s="283" t="str">
        <f t="shared" si="151"/>
        <v>-</v>
      </c>
      <c r="N696" s="283" t="str">
        <f t="shared" si="152"/>
        <v>-</v>
      </c>
      <c r="O696" s="283" t="str">
        <f t="shared" si="153"/>
        <v>-</v>
      </c>
      <c r="P696" s="283" t="str">
        <f t="shared" si="154"/>
        <v>-</v>
      </c>
      <c r="Q696" s="283" t="str">
        <f t="shared" si="155"/>
        <v>-</v>
      </c>
      <c r="R696" s="283" t="str">
        <f t="shared" si="156"/>
        <v>-</v>
      </c>
      <c r="S696" s="283" t="str">
        <f t="shared" si="157"/>
        <v>-</v>
      </c>
      <c r="T696" s="283" t="str">
        <f t="shared" si="158"/>
        <v>-</v>
      </c>
      <c r="U696" s="283" t="str">
        <f t="shared" si="159"/>
        <v>-</v>
      </c>
      <c r="V696" s="283" t="str">
        <f t="shared" si="160"/>
        <v>-</v>
      </c>
      <c r="W696" s="1" t="str">
        <f t="shared" si="161"/>
        <v>https://www.gov.uk/government/statistics/uk-local-authority-and-regional-greenhouse-gas-emissions-national-statistics-2005-to-2021/</v>
      </c>
      <c r="X696" s="1" t="str">
        <f t="shared" si="162"/>
        <v>https://www.gov.uk/</v>
      </c>
      <c r="Y696" s="1" t="str">
        <f t="shared" si="163"/>
        <v>優先3</v>
      </c>
      <c r="Z696" s="1" t="str">
        <f t="shared" si="164"/>
        <v>Department for Business, Energy &amp; Industrial strategy, Government of the United Kingdom. "UK local authority and regional greenhouse gas emissions national statistics, 2005 to 2021". Accessed 05 July, 2023. https://www.gov.uk/.</v>
      </c>
    </row>
    <row r="697" spans="2:26">
      <c r="B697" s="285" t="s">
        <v>738</v>
      </c>
      <c r="C697" s="285" t="s">
        <v>464</v>
      </c>
      <c r="D697" s="285" t="s">
        <v>673</v>
      </c>
      <c r="E697" s="285" t="s">
        <v>154</v>
      </c>
      <c r="F697" s="13"/>
      <c r="G697" s="13" t="s">
        <v>727</v>
      </c>
      <c r="H697" s="13" t="s">
        <v>741</v>
      </c>
      <c r="I697" s="13" t="s">
        <v>3807</v>
      </c>
      <c r="J697" s="13" t="s">
        <v>3808</v>
      </c>
      <c r="K697" s="284">
        <v>45113</v>
      </c>
      <c r="L697" s="283" t="str">
        <f t="shared" si="150"/>
        <v>-</v>
      </c>
      <c r="M697" s="283" t="str">
        <f t="shared" si="151"/>
        <v>-</v>
      </c>
      <c r="N697" s="283" t="str">
        <f t="shared" si="152"/>
        <v>-</v>
      </c>
      <c r="O697" s="283" t="str">
        <f t="shared" si="153"/>
        <v>-</v>
      </c>
      <c r="P697" s="283" t="str">
        <f t="shared" si="154"/>
        <v>-</v>
      </c>
      <c r="Q697" s="283" t="str">
        <f t="shared" si="155"/>
        <v>-</v>
      </c>
      <c r="R697" s="283" t="str">
        <f t="shared" si="156"/>
        <v>-</v>
      </c>
      <c r="S697" s="283" t="str">
        <f t="shared" si="157"/>
        <v>-</v>
      </c>
      <c r="T697" s="283" t="str">
        <f t="shared" si="158"/>
        <v>-</v>
      </c>
      <c r="U697" s="283" t="str">
        <f t="shared" si="159"/>
        <v>-</v>
      </c>
      <c r="V697" s="283" t="str">
        <f t="shared" si="160"/>
        <v>-</v>
      </c>
      <c r="W697" s="1" t="str">
        <f t="shared" si="161"/>
        <v>https://news.seoul.go.kr/env/archives/519441/</v>
      </c>
      <c r="X697" s="1" t="str">
        <f t="shared" si="162"/>
        <v>https://news.seoul.go.kr/</v>
      </c>
      <c r="Y697" s="1" t="str">
        <f t="shared" si="163"/>
        <v>優先3</v>
      </c>
      <c r="Z697" s="1" t="str">
        <f t="shared" si="164"/>
        <v>Seoul Metropolitan Government [서울 특별시]. "2021 환경백서". Accessed 06 July, 2023. https://news.seoul.go.kr/.</v>
      </c>
    </row>
    <row r="698" spans="2:26">
      <c r="B698" s="285" t="s">
        <v>738</v>
      </c>
      <c r="C698" s="285" t="s">
        <v>464</v>
      </c>
      <c r="D698" s="285" t="s">
        <v>673</v>
      </c>
      <c r="E698" s="285" t="s">
        <v>160</v>
      </c>
      <c r="F698" s="13" t="s">
        <v>1449</v>
      </c>
      <c r="G698" s="13" t="s">
        <v>740</v>
      </c>
      <c r="H698" s="13" t="s">
        <v>739</v>
      </c>
      <c r="I698" s="13" t="s">
        <v>4334</v>
      </c>
      <c r="J698" s="13" t="s">
        <v>1450</v>
      </c>
      <c r="K698" s="284">
        <v>45112</v>
      </c>
      <c r="L698" s="283" t="str">
        <f t="shared" si="150"/>
        <v>-</v>
      </c>
      <c r="M698" s="283" t="str">
        <f t="shared" si="151"/>
        <v>-</v>
      </c>
      <c r="N698" s="283" t="str">
        <f t="shared" si="152"/>
        <v>-</v>
      </c>
      <c r="O698" s="283" t="str">
        <f t="shared" si="153"/>
        <v>-</v>
      </c>
      <c r="P698" s="283" t="str">
        <f t="shared" si="154"/>
        <v>-</v>
      </c>
      <c r="Q698" s="283" t="str">
        <f t="shared" si="155"/>
        <v>-</v>
      </c>
      <c r="R698" s="283" t="str">
        <f t="shared" si="156"/>
        <v>-</v>
      </c>
      <c r="S698" s="283" t="str">
        <f t="shared" si="157"/>
        <v>-</v>
      </c>
      <c r="T698" s="283" t="str">
        <f t="shared" si="158"/>
        <v>-</v>
      </c>
      <c r="U698" s="283" t="str">
        <f t="shared" si="159"/>
        <v>-</v>
      </c>
      <c r="V698" s="283" t="str">
        <f t="shared" si="160"/>
        <v>-</v>
      </c>
      <c r="W698" s="1" t="str">
        <f t="shared" si="161"/>
        <v>https://www.kankyo.metro.tokyo.lg.jp/climate/zenpan/emissions_tokyo.html/</v>
      </c>
      <c r="X698" s="1" t="str">
        <f t="shared" si="162"/>
        <v>https://www.kankyo.metro.tokyo.lg.jp/</v>
      </c>
      <c r="Y698" s="1" t="str">
        <f t="shared" si="163"/>
        <v>優先3</v>
      </c>
      <c r="Z698" s="1" t="str">
        <f t="shared" si="164"/>
        <v>Bureau of Environment, Tokyo Metropolitan Government [東京都環境局]. "都における最終エネルギー消費及び温室効果ガス排出量総合調査 - 2021年度速報値". Accessed 05 July, 2023. https://www.kankyo.metro.tokyo.lg.jp/.</v>
      </c>
    </row>
    <row r="699" spans="2:26">
      <c r="B699" s="285" t="s">
        <v>738</v>
      </c>
      <c r="C699" s="285" t="s">
        <v>464</v>
      </c>
      <c r="D699" s="285" t="s">
        <v>673</v>
      </c>
      <c r="E699" s="285" t="s">
        <v>178</v>
      </c>
      <c r="F699" s="13" t="s">
        <v>1451</v>
      </c>
      <c r="G699" s="13" t="s">
        <v>1196</v>
      </c>
      <c r="H699" s="13"/>
      <c r="I699" s="13" t="s">
        <v>4335</v>
      </c>
      <c r="J699" s="13" t="s">
        <v>4336</v>
      </c>
      <c r="K699" s="284">
        <v>45112</v>
      </c>
      <c r="L699" s="283" t="str">
        <f t="shared" si="150"/>
        <v>-</v>
      </c>
      <c r="M699" s="283" t="str">
        <f t="shared" si="151"/>
        <v>-</v>
      </c>
      <c r="N699" s="283" t="str">
        <f t="shared" si="152"/>
        <v>-</v>
      </c>
      <c r="O699" s="283" t="str">
        <f t="shared" si="153"/>
        <v>-</v>
      </c>
      <c r="P699" s="283" t="str">
        <f t="shared" si="154"/>
        <v>-</v>
      </c>
      <c r="Q699" s="283" t="str">
        <f t="shared" si="155"/>
        <v>-</v>
      </c>
      <c r="R699" s="283" t="str">
        <f t="shared" si="156"/>
        <v>-</v>
      </c>
      <c r="S699" s="283" t="str">
        <f t="shared" si="157"/>
        <v>-</v>
      </c>
      <c r="T699" s="283" t="str">
        <f t="shared" si="158"/>
        <v>-</v>
      </c>
      <c r="U699" s="283" t="str">
        <f t="shared" si="159"/>
        <v>-</v>
      </c>
      <c r="V699" s="283" t="str">
        <f t="shared" si="160"/>
        <v>-</v>
      </c>
      <c r="W699" s="1" t="str">
        <f t="shared" si="161"/>
        <v>https://climate.cityofnewyork.us/initiatives/nyc-greenhouse-gas-inventories/</v>
      </c>
      <c r="X699" s="1" t="str">
        <f t="shared" si="162"/>
        <v>https://climate.cityofnewyork.us/</v>
      </c>
      <c r="Y699" s="1" t="str">
        <f t="shared" si="163"/>
        <v>優先3</v>
      </c>
      <c r="Z699" s="1" t="str">
        <f t="shared" si="164"/>
        <v>Mayor's Office of Sustainability, New York City. "NYC Greenhouse Gas Inventories". Accessed 05 July, 2023. https://climate.cityofnewyork.us/.</v>
      </c>
    </row>
    <row r="700" spans="2:26">
      <c r="B700" s="285" t="s">
        <v>735</v>
      </c>
      <c r="C700" s="285" t="s">
        <v>464</v>
      </c>
      <c r="D700" s="285" t="s">
        <v>688</v>
      </c>
      <c r="E700" s="285" t="s">
        <v>688</v>
      </c>
      <c r="F700" s="13" t="s">
        <v>1468</v>
      </c>
      <c r="G700" s="13"/>
      <c r="H700" s="13"/>
      <c r="I700" s="13" t="s">
        <v>4337</v>
      </c>
      <c r="J700" s="13" t="s">
        <v>1469</v>
      </c>
      <c r="K700" s="284">
        <v>45078</v>
      </c>
      <c r="L700" s="283" t="str">
        <f t="shared" si="150"/>
        <v>-</v>
      </c>
      <c r="M700" s="283" t="str">
        <f t="shared" si="151"/>
        <v>-</v>
      </c>
      <c r="N700" s="283" t="str">
        <f t="shared" si="152"/>
        <v>-</v>
      </c>
      <c r="O700" s="283" t="str">
        <f t="shared" si="153"/>
        <v>-</v>
      </c>
      <c r="P700" s="283" t="str">
        <f t="shared" si="154"/>
        <v>-</v>
      </c>
      <c r="Q700" s="283" t="str">
        <f t="shared" si="155"/>
        <v>-</v>
      </c>
      <c r="R700" s="283" t="str">
        <f t="shared" si="156"/>
        <v>-</v>
      </c>
      <c r="S700" s="283" t="str">
        <f t="shared" si="157"/>
        <v>-</v>
      </c>
      <c r="T700" s="283" t="str">
        <f t="shared" si="158"/>
        <v>-</v>
      </c>
      <c r="U700" s="283" t="str">
        <f t="shared" si="159"/>
        <v>-</v>
      </c>
      <c r="V700" s="283" t="str">
        <f t="shared" si="160"/>
        <v>-</v>
      </c>
      <c r="W700" s="1" t="str">
        <f t="shared" si="161"/>
        <v>https://www.iqair.com/world-most-polluted-cities/</v>
      </c>
      <c r="X700" s="1" t="str">
        <f t="shared" si="162"/>
        <v>https://www.iqair.com/</v>
      </c>
      <c r="Y700" s="1" t="str">
        <f t="shared" si="163"/>
        <v>優先1</v>
      </c>
      <c r="Z700" s="1" t="str">
        <f t="shared" si="164"/>
        <v>IQAir. "World's most polluted cities 2022 (PM2.5)". Accessed 01 June, 2023. https://www.iqair.com/.</v>
      </c>
    </row>
    <row r="701" spans="2:26">
      <c r="B701" s="285" t="s">
        <v>724</v>
      </c>
      <c r="C701" s="285" t="s">
        <v>464</v>
      </c>
      <c r="D701" s="285" t="s">
        <v>688</v>
      </c>
      <c r="E701" s="285" t="s">
        <v>688</v>
      </c>
      <c r="F701" s="13" t="s">
        <v>719</v>
      </c>
      <c r="G701" s="13"/>
      <c r="H701" s="13"/>
      <c r="I701" s="13" t="s">
        <v>718</v>
      </c>
      <c r="J701" s="13" t="s">
        <v>1470</v>
      </c>
      <c r="K701" s="284">
        <v>45083</v>
      </c>
      <c r="L701" s="283" t="str">
        <f t="shared" si="150"/>
        <v>-</v>
      </c>
      <c r="M701" s="283" t="str">
        <f t="shared" si="151"/>
        <v>-</v>
      </c>
      <c r="N701" s="283" t="str">
        <f t="shared" si="152"/>
        <v>-</v>
      </c>
      <c r="O701" s="283" t="str">
        <f t="shared" si="153"/>
        <v>NG</v>
      </c>
      <c r="P701" s="283" t="str">
        <f t="shared" si="154"/>
        <v>-</v>
      </c>
      <c r="Q701" s="283" t="str">
        <f t="shared" si="155"/>
        <v>-</v>
      </c>
      <c r="R701" s="283" t="str">
        <f t="shared" si="156"/>
        <v>-</v>
      </c>
      <c r="S701" s="283" t="str">
        <f t="shared" si="157"/>
        <v>-</v>
      </c>
      <c r="T701" s="283" t="str">
        <f t="shared" si="158"/>
        <v>-</v>
      </c>
      <c r="U701" s="283" t="str">
        <f t="shared" si="159"/>
        <v>-</v>
      </c>
      <c r="V701" s="283" t="str">
        <f t="shared" si="160"/>
        <v>-</v>
      </c>
      <c r="W701" s="1" t="str">
        <f t="shared" si="161"/>
        <v>https://rp5.ru/Weather_in_the_world/</v>
      </c>
      <c r="X701" s="1" t="str">
        <f t="shared" si="162"/>
        <v>https://rp5.ru/</v>
      </c>
      <c r="Y701" s="1" t="str">
        <f t="shared" si="163"/>
        <v>優先1</v>
      </c>
      <c r="Z701" s="1" t="str">
        <f t="shared" si="164"/>
        <v>Raspisaniye Pogodi Ltd.. "Weather in the World". Accessed 06 June, 2023. https://rp5.ru/.</v>
      </c>
    </row>
    <row r="702" spans="2:26">
      <c r="B702" s="285" t="s">
        <v>723</v>
      </c>
      <c r="C702" s="285" t="s">
        <v>464</v>
      </c>
      <c r="D702" s="285" t="s">
        <v>688</v>
      </c>
      <c r="E702" s="285" t="s">
        <v>688</v>
      </c>
      <c r="F702" s="13" t="s">
        <v>681</v>
      </c>
      <c r="G702" s="13"/>
      <c r="H702" s="13"/>
      <c r="I702" s="13" t="s">
        <v>722</v>
      </c>
      <c r="J702" s="13" t="s">
        <v>1467</v>
      </c>
      <c r="K702" s="284">
        <v>45113</v>
      </c>
      <c r="L702" s="283" t="str">
        <f t="shared" si="150"/>
        <v>-</v>
      </c>
      <c r="M702" s="283" t="str">
        <f t="shared" si="151"/>
        <v>-</v>
      </c>
      <c r="N702" s="283" t="str">
        <f t="shared" si="152"/>
        <v>-</v>
      </c>
      <c r="O702" s="283" t="str">
        <f t="shared" si="153"/>
        <v>-</v>
      </c>
      <c r="P702" s="283" t="str">
        <f t="shared" si="154"/>
        <v>-</v>
      </c>
      <c r="Q702" s="283" t="str">
        <f t="shared" si="155"/>
        <v>-</v>
      </c>
      <c r="R702" s="283" t="str">
        <f t="shared" si="156"/>
        <v>-</v>
      </c>
      <c r="S702" s="283" t="str">
        <f t="shared" si="157"/>
        <v>-</v>
      </c>
      <c r="T702" s="283" t="str">
        <f t="shared" si="158"/>
        <v>-</v>
      </c>
      <c r="U702" s="283" t="str">
        <f t="shared" si="159"/>
        <v>-</v>
      </c>
      <c r="V702" s="283" t="str">
        <f t="shared" si="160"/>
        <v>-</v>
      </c>
      <c r="W702" s="1" t="str">
        <f t="shared" si="161"/>
        <v>https://www.numbeo.com/pollution/</v>
      </c>
      <c r="X702" s="1" t="str">
        <f t="shared" si="162"/>
        <v>https://www.numbeo.com/</v>
      </c>
      <c r="Y702" s="1" t="str">
        <f t="shared" si="163"/>
        <v>優先1</v>
      </c>
      <c r="Z702" s="1" t="str">
        <f t="shared" si="164"/>
        <v>Numbeo. "Pollution". Accessed 06 July, 2023. https://www.numbeo.com/.</v>
      </c>
    </row>
    <row r="703" spans="2:26">
      <c r="B703" s="285" t="s">
        <v>721</v>
      </c>
      <c r="C703" s="285" t="s">
        <v>698</v>
      </c>
      <c r="D703" s="285" t="s">
        <v>688</v>
      </c>
      <c r="E703" s="285" t="s">
        <v>688</v>
      </c>
      <c r="F703" s="13" t="s">
        <v>1406</v>
      </c>
      <c r="G703" s="13"/>
      <c r="H703" s="13"/>
      <c r="I703" s="13" t="s">
        <v>722</v>
      </c>
      <c r="J703" s="13" t="s">
        <v>2739</v>
      </c>
      <c r="K703" s="284">
        <v>45104</v>
      </c>
      <c r="L703" s="283" t="str">
        <f t="shared" si="150"/>
        <v>-</v>
      </c>
      <c r="M703" s="283" t="str">
        <f t="shared" si="151"/>
        <v>-</v>
      </c>
      <c r="N703" s="283" t="str">
        <f t="shared" si="152"/>
        <v>-</v>
      </c>
      <c r="O703" s="283" t="str">
        <f t="shared" si="153"/>
        <v>-</v>
      </c>
      <c r="P703" s="283" t="str">
        <f t="shared" si="154"/>
        <v>-</v>
      </c>
      <c r="Q703" s="283" t="str">
        <f t="shared" si="155"/>
        <v>-</v>
      </c>
      <c r="R703" s="283" t="str">
        <f t="shared" si="156"/>
        <v>-</v>
      </c>
      <c r="S703" s="283" t="str">
        <f t="shared" si="157"/>
        <v>-</v>
      </c>
      <c r="T703" s="283" t="str">
        <f t="shared" si="158"/>
        <v>-</v>
      </c>
      <c r="U703" s="283" t="str">
        <f t="shared" si="159"/>
        <v>-</v>
      </c>
      <c r="V703" s="283" t="str">
        <f t="shared" si="160"/>
        <v>-</v>
      </c>
      <c r="W703" s="1" t="str">
        <f t="shared" si="161"/>
        <v>https://www.numbeo.com/</v>
      </c>
      <c r="X703" s="1" t="str">
        <f t="shared" si="162"/>
        <v>https://www.numbeo.com/</v>
      </c>
      <c r="Y703" s="1" t="str">
        <f t="shared" si="163"/>
        <v>優先2①</v>
      </c>
      <c r="Z703" s="1" t="str">
        <f t="shared" si="164"/>
        <v>NUMBEO. "Pollution". Accessed 27 June, 2023. https://www.numbeo.com/.</v>
      </c>
    </row>
    <row r="704" spans="2:26">
      <c r="B704" s="285" t="s">
        <v>721</v>
      </c>
      <c r="C704" s="285" t="s">
        <v>716</v>
      </c>
      <c r="D704" s="285" t="s">
        <v>688</v>
      </c>
      <c r="E704" s="285" t="s">
        <v>688</v>
      </c>
      <c r="F704" s="13" t="s">
        <v>1465</v>
      </c>
      <c r="G704" s="13"/>
      <c r="H704" s="13"/>
      <c r="I704" s="13" t="s">
        <v>1466</v>
      </c>
      <c r="J704" s="13" t="s">
        <v>4338</v>
      </c>
      <c r="K704" s="284">
        <v>45078</v>
      </c>
      <c r="L704" s="283" t="str">
        <f t="shared" si="150"/>
        <v>-</v>
      </c>
      <c r="M704" s="283" t="str">
        <f t="shared" si="151"/>
        <v>-</v>
      </c>
      <c r="N704" s="283" t="str">
        <f t="shared" si="152"/>
        <v>-</v>
      </c>
      <c r="O704" s="283" t="str">
        <f t="shared" si="153"/>
        <v>-</v>
      </c>
      <c r="P704" s="283" t="str">
        <f t="shared" si="154"/>
        <v>-</v>
      </c>
      <c r="Q704" s="283" t="str">
        <f t="shared" si="155"/>
        <v>-</v>
      </c>
      <c r="R704" s="283" t="str">
        <f t="shared" si="156"/>
        <v>-</v>
      </c>
      <c r="S704" s="283" t="str">
        <f t="shared" si="157"/>
        <v>-</v>
      </c>
      <c r="T704" s="283" t="str">
        <f t="shared" si="158"/>
        <v>-</v>
      </c>
      <c r="U704" s="283" t="str">
        <f t="shared" si="159"/>
        <v>-</v>
      </c>
      <c r="V704" s="283" t="str">
        <f t="shared" si="160"/>
        <v>-</v>
      </c>
      <c r="W704" s="1" t="str">
        <f t="shared" si="161"/>
        <v>https://data.globalforestwatch.org/documents/a400422d410b4c158f499b5dbf7a7c66/</v>
      </c>
      <c r="X704" s="1" t="str">
        <f t="shared" si="162"/>
        <v>https://data.globalforestwatch.org/</v>
      </c>
      <c r="Y704" s="1" t="str">
        <f t="shared" si="163"/>
        <v>優先2②</v>
      </c>
      <c r="Z704" s="1" t="str">
        <f t="shared" si="164"/>
        <v>University of Maryland Department of Geographical Sciences. "Global Forest Change 2000–2019". Accessed 01 June, 2023. https://data.globalforestwatch.org/.</v>
      </c>
    </row>
    <row r="705" spans="2:26">
      <c r="B705" s="285" t="s">
        <v>720</v>
      </c>
      <c r="C705" s="285" t="s">
        <v>464</v>
      </c>
      <c r="D705" s="285" t="s">
        <v>688</v>
      </c>
      <c r="E705" s="285" t="s">
        <v>688</v>
      </c>
      <c r="F705" s="13" t="s">
        <v>1029</v>
      </c>
      <c r="G705" s="13"/>
      <c r="H705" s="13"/>
      <c r="I705" s="13"/>
      <c r="J705" s="13"/>
      <c r="K705" s="284"/>
      <c r="L705" s="283" t="str">
        <f t="shared" si="150"/>
        <v>-</v>
      </c>
      <c r="M705" s="283" t="str">
        <f t="shared" si="151"/>
        <v>書籍</v>
      </c>
      <c r="N705" s="283" t="str">
        <f t="shared" si="152"/>
        <v>-</v>
      </c>
      <c r="O705" s="283" t="str">
        <f t="shared" si="153"/>
        <v>-</v>
      </c>
      <c r="P705" s="283" t="str">
        <f t="shared" si="154"/>
        <v>-</v>
      </c>
      <c r="Q705" s="283" t="str">
        <f t="shared" si="155"/>
        <v>-</v>
      </c>
      <c r="R705" s="283" t="str">
        <f t="shared" si="156"/>
        <v>-</v>
      </c>
      <c r="S705" s="283" t="str">
        <f t="shared" si="157"/>
        <v>-</v>
      </c>
      <c r="T705" s="283" t="str">
        <f t="shared" si="158"/>
        <v>-</v>
      </c>
      <c r="U705" s="283" t="str">
        <f t="shared" si="159"/>
        <v>-</v>
      </c>
      <c r="V705" s="283" t="str">
        <f t="shared" si="160"/>
        <v>-</v>
      </c>
      <c r="W705" s="1" t="str">
        <f t="shared" si="161"/>
        <v/>
      </c>
      <c r="X705" s="1" t="str">
        <f t="shared" si="162"/>
        <v/>
      </c>
      <c r="Y705" s="1" t="str">
        <f t="shared" si="163"/>
        <v>優先1</v>
      </c>
      <c r="Z705" s="1" t="str">
        <f t="shared" si="164"/>
        <v>居住者アンケート</v>
      </c>
    </row>
    <row r="706" spans="2:26">
      <c r="B706" s="285" t="s">
        <v>717</v>
      </c>
      <c r="C706" s="285" t="s">
        <v>464</v>
      </c>
      <c r="D706" s="285" t="s">
        <v>688</v>
      </c>
      <c r="E706" s="285" t="s">
        <v>688</v>
      </c>
      <c r="F706" s="13" t="s">
        <v>1471</v>
      </c>
      <c r="G706" s="13"/>
      <c r="H706" s="13"/>
      <c r="I706" s="13" t="s">
        <v>1472</v>
      </c>
      <c r="J706" s="13" t="s">
        <v>1473</v>
      </c>
      <c r="K706" s="284">
        <v>45069</v>
      </c>
      <c r="L706" s="283" t="str">
        <f t="shared" si="150"/>
        <v>-</v>
      </c>
      <c r="M706" s="283" t="str">
        <f t="shared" si="151"/>
        <v>-</v>
      </c>
      <c r="N706" s="283" t="str">
        <f t="shared" si="152"/>
        <v>-</v>
      </c>
      <c r="O706" s="283" t="str">
        <f t="shared" si="153"/>
        <v>-</v>
      </c>
      <c r="P706" s="283" t="str">
        <f t="shared" si="154"/>
        <v>-</v>
      </c>
      <c r="Q706" s="283" t="str">
        <f t="shared" si="155"/>
        <v>-</v>
      </c>
      <c r="R706" s="283" t="str">
        <f t="shared" si="156"/>
        <v>-</v>
      </c>
      <c r="S706" s="283" t="str">
        <f t="shared" si="157"/>
        <v>-</v>
      </c>
      <c r="T706" s="283" t="str">
        <f t="shared" si="158"/>
        <v>-</v>
      </c>
      <c r="U706" s="283" t="str">
        <f t="shared" si="159"/>
        <v>-</v>
      </c>
      <c r="V706" s="283" t="str">
        <f t="shared" si="160"/>
        <v>-</v>
      </c>
      <c r="W706" s="1" t="str">
        <f t="shared" si="161"/>
        <v>https://oag.com/</v>
      </c>
      <c r="X706" s="1" t="str">
        <f t="shared" si="162"/>
        <v>https://oag.com/</v>
      </c>
      <c r="Y706" s="1" t="str">
        <f t="shared" si="163"/>
        <v>優先1</v>
      </c>
      <c r="Z706" s="1" t="str">
        <f t="shared" si="164"/>
        <v>OAG. "OAG Analyser". Accessed 23 May, 2023. https://oag.com/.</v>
      </c>
    </row>
    <row r="707" spans="2:26">
      <c r="B707" s="285" t="s">
        <v>712</v>
      </c>
      <c r="C707" s="285" t="s">
        <v>698</v>
      </c>
      <c r="D707" s="285" t="s">
        <v>688</v>
      </c>
      <c r="E707" s="285" t="s">
        <v>688</v>
      </c>
      <c r="F707" s="13" t="s">
        <v>1474</v>
      </c>
      <c r="G707" s="13"/>
      <c r="H707" s="13"/>
      <c r="I707" s="13" t="s">
        <v>3809</v>
      </c>
      <c r="J707" s="13" t="s">
        <v>4339</v>
      </c>
      <c r="K707" s="284">
        <v>45125</v>
      </c>
      <c r="L707" s="283" t="str">
        <f t="shared" si="150"/>
        <v>-</v>
      </c>
      <c r="M707" s="283" t="str">
        <f t="shared" si="151"/>
        <v>-</v>
      </c>
      <c r="N707" s="283" t="str">
        <f t="shared" si="152"/>
        <v>-</v>
      </c>
      <c r="O707" s="283" t="str">
        <f t="shared" si="153"/>
        <v>-</v>
      </c>
      <c r="P707" s="283" t="str">
        <f t="shared" si="154"/>
        <v>-</v>
      </c>
      <c r="Q707" s="283" t="str">
        <f t="shared" si="155"/>
        <v>-</v>
      </c>
      <c r="R707" s="283" t="str">
        <f t="shared" si="156"/>
        <v>-</v>
      </c>
      <c r="S707" s="283" t="str">
        <f t="shared" si="157"/>
        <v>-</v>
      </c>
      <c r="T707" s="283" t="str">
        <f t="shared" si="158"/>
        <v>-</v>
      </c>
      <c r="U707" s="283" t="str">
        <f t="shared" si="159"/>
        <v>-</v>
      </c>
      <c r="V707" s="283" t="str">
        <f t="shared" si="160"/>
        <v>-</v>
      </c>
      <c r="W707" s="1" t="str">
        <f t="shared" si="161"/>
        <v>https://www.ajot.com/premium/ajot-commentary-ajots-top-100-container-ports?utm_source=hootsuite&amp;utm_medium=twitter_linkedin_facebook&amp;utm_term=ajot&amp;utm_content=2bb5c9dd-3848-4f84-b2c6-8bfcab6b9388&amp;utm_campaign=/</v>
      </c>
      <c r="X707" s="1" t="str">
        <f t="shared" si="162"/>
        <v>https://www.ajot.com/</v>
      </c>
      <c r="Y707" s="1" t="str">
        <f t="shared" si="163"/>
        <v>優先2①</v>
      </c>
      <c r="Z707" s="1" t="str">
        <f t="shared" si="164"/>
        <v>American Journal of Transportation. "AJOT’s Annual Top 100 Containerports A–Z". Accessed 18 July, 2023. https://www.ajot.com/.</v>
      </c>
    </row>
    <row r="708" spans="2:26">
      <c r="B708" s="285" t="s">
        <v>712</v>
      </c>
      <c r="C708" s="285" t="s">
        <v>698</v>
      </c>
      <c r="D708" s="285" t="s">
        <v>673</v>
      </c>
      <c r="E708" s="285" t="s">
        <v>114</v>
      </c>
      <c r="F708" s="13" t="s">
        <v>715</v>
      </c>
      <c r="G708" s="13"/>
      <c r="H708" s="13"/>
      <c r="I708" s="13" t="s">
        <v>2740</v>
      </c>
      <c r="J708" s="13" t="s">
        <v>2741</v>
      </c>
      <c r="K708" s="284">
        <v>45125</v>
      </c>
      <c r="L708" s="283" t="str">
        <f t="shared" si="150"/>
        <v>-</v>
      </c>
      <c r="M708" s="283" t="str">
        <f t="shared" si="151"/>
        <v>-</v>
      </c>
      <c r="N708" s="283" t="str">
        <f t="shared" si="152"/>
        <v>-</v>
      </c>
      <c r="O708" s="283" t="str">
        <f t="shared" si="153"/>
        <v>-</v>
      </c>
      <c r="P708" s="283" t="str">
        <f t="shared" si="154"/>
        <v>-</v>
      </c>
      <c r="Q708" s="283" t="str">
        <f t="shared" si="155"/>
        <v>-</v>
      </c>
      <c r="R708" s="283" t="str">
        <f t="shared" si="156"/>
        <v>-</v>
      </c>
      <c r="S708" s="283" t="str">
        <f t="shared" si="157"/>
        <v>-</v>
      </c>
      <c r="T708" s="283" t="str">
        <f t="shared" si="158"/>
        <v>-</v>
      </c>
      <c r="U708" s="283" t="str">
        <f t="shared" si="159"/>
        <v>-</v>
      </c>
      <c r="V708" s="283" t="str">
        <f t="shared" si="160"/>
        <v>-</v>
      </c>
      <c r="W708" s="1" t="str">
        <f t="shared" si="161"/>
        <v>https://jaarverslag.portofamsterdam.com/nl/</v>
      </c>
      <c r="X708" s="1" t="str">
        <f t="shared" si="162"/>
        <v>https://jaarverslag.portofamsterdam.com/</v>
      </c>
      <c r="Y708" s="1" t="str">
        <f t="shared" si="163"/>
        <v>優先3</v>
      </c>
      <c r="Z708" s="1" t="str">
        <f t="shared" si="164"/>
        <v>Port of Amsterdam. "Port of Amsterdam - 2020 Annual Report". Accessed 18 July, 2023. https://jaarverslag.portofamsterdam.com/.</v>
      </c>
    </row>
    <row r="709" spans="2:26">
      <c r="B709" s="285" t="s">
        <v>712</v>
      </c>
      <c r="C709" s="285" t="s">
        <v>698</v>
      </c>
      <c r="D709" s="285" t="s">
        <v>673</v>
      </c>
      <c r="E709" s="285" t="s">
        <v>126</v>
      </c>
      <c r="F709" s="13" t="s">
        <v>848</v>
      </c>
      <c r="G709" s="13"/>
      <c r="H709" s="13"/>
      <c r="I709" s="13" t="s">
        <v>4340</v>
      </c>
      <c r="J709" s="13" t="s">
        <v>1395</v>
      </c>
      <c r="K709" s="284">
        <v>45125</v>
      </c>
      <c r="L709" s="283" t="str">
        <f t="shared" si="150"/>
        <v>-</v>
      </c>
      <c r="M709" s="283" t="str">
        <f t="shared" si="151"/>
        <v>-</v>
      </c>
      <c r="N709" s="283" t="str">
        <f t="shared" si="152"/>
        <v>-</v>
      </c>
      <c r="O709" s="283" t="str">
        <f t="shared" si="153"/>
        <v>-</v>
      </c>
      <c r="P709" s="283" t="str">
        <f t="shared" si="154"/>
        <v>-</v>
      </c>
      <c r="Q709" s="283" t="str">
        <f t="shared" si="155"/>
        <v>-</v>
      </c>
      <c r="R709" s="283" t="str">
        <f t="shared" si="156"/>
        <v>-</v>
      </c>
      <c r="S709" s="283" t="str">
        <f t="shared" si="157"/>
        <v>-</v>
      </c>
      <c r="T709" s="283" t="str">
        <f t="shared" si="158"/>
        <v>-</v>
      </c>
      <c r="U709" s="283" t="str">
        <f t="shared" si="159"/>
        <v>-</v>
      </c>
      <c r="V709" s="283" t="str">
        <f t="shared" si="160"/>
        <v>-</v>
      </c>
      <c r="W709" s="1" t="str">
        <f t="shared" si="161"/>
        <v>https://www.statbank.dk/statbank5a/default.asp?w=1920/</v>
      </c>
      <c r="X709" s="1" t="str">
        <f t="shared" si="162"/>
        <v>https://www.statbank.dk/</v>
      </c>
      <c r="Y709" s="1" t="str">
        <f t="shared" si="163"/>
        <v>優先3</v>
      </c>
      <c r="Z709" s="1" t="str">
        <f t="shared" si="164"/>
        <v>Statistics Denmark. "SKIB49:Throughput of containers and ro-ro units in major Danish ports by seaport, direction, unit of cargo and unit". Accessed 18 July, 2023. https://www.statbank.dk/.</v>
      </c>
    </row>
    <row r="710" spans="2:26">
      <c r="B710" s="285" t="s">
        <v>712</v>
      </c>
      <c r="C710" s="285" t="s">
        <v>698</v>
      </c>
      <c r="D710" s="285" t="s">
        <v>673</v>
      </c>
      <c r="E710" s="285" t="s">
        <v>130</v>
      </c>
      <c r="F710" s="13" t="s">
        <v>4341</v>
      </c>
      <c r="G710" s="13"/>
      <c r="H710" s="13"/>
      <c r="I710" s="13" t="s">
        <v>4342</v>
      </c>
      <c r="J710" s="13" t="s">
        <v>4343</v>
      </c>
      <c r="K710" s="284">
        <v>45125</v>
      </c>
      <c r="L710" s="283" t="str">
        <f t="shared" ref="L710:L762" si="165">IF(COUNTIFS(B:B,B710,I:I,I710,X:X,X710)&lt;=1,"-",COUNTIFS(B:B,B710,I:I,I710,X:X,X710))</f>
        <v>-</v>
      </c>
      <c r="M710" s="283" t="str">
        <f t="shared" ref="M710:M762" si="166">IF(I710="","書籍","-")</f>
        <v>-</v>
      </c>
      <c r="N710" s="283" t="str">
        <f t="shared" ref="N710:N762" si="167">IF(OR(COUNTIF($F710,"*(*"),COUNTIF($G710,"*(*"),COUNTIF($H710,"*(*")),"NG","-")</f>
        <v>-</v>
      </c>
      <c r="O710" s="283" t="str">
        <f t="shared" ref="O710:O762" si="168">IF(COUNTIF($Z710,"*..*"),"NG","-")</f>
        <v>-</v>
      </c>
      <c r="P710" s="283" t="str">
        <f t="shared" ref="P710:P762" si="169">IF(COUNTIF($Z710,"*""""*"),"NG","-")</f>
        <v>-</v>
      </c>
      <c r="Q710" s="283" t="str">
        <f t="shared" ref="Q710:Q762" si="170">IF(COUNTIF($Z710,"*  *"),"NG","-")</f>
        <v>-</v>
      </c>
      <c r="R710" s="283" t="str">
        <f t="shared" ref="R710:R762" si="171">IF(COUNTIF($Z710,"*　*"),"NG","-")</f>
        <v>-</v>
      </c>
      <c r="S710" s="283" t="str">
        <f t="shared" ref="S710:S762" si="172">IF(COUNTIF($Z710,"*（*"),"NG","-")</f>
        <v>-</v>
      </c>
      <c r="T710" s="283" t="str">
        <f t="shared" ref="T710:T762" si="173">IF(COUNTIF($Z710,"*(*"),IF(COUNTIF($Z710,"* (*"),"-","NG"),"-")</f>
        <v>-</v>
      </c>
      <c r="U710" s="283" t="str">
        <f t="shared" ref="U710:U762" si="174">IF(OR(LEFT(F710,1)=" ",LEFT(G710,1)=" ",LEFT(H710,1)=" ",LEFT(I710,1)=" ",LEFT(J710,1)=" "),"NG","-")</f>
        <v>-</v>
      </c>
      <c r="V710" s="283" t="str">
        <f t="shared" ref="V710:V762" si="175">IF(OR(RIGHT(F710,1)=" ",RIGHT(G710,1)=" ",RIGHT(H710,1)=" ",RIGHT(I710,1)=" ",RIGHT(J710,1)=" "),"NG","-")</f>
        <v>-</v>
      </c>
      <c r="W710" s="1" t="str">
        <f t="shared" ref="W710:W762" si="176">IF(J710="","",IF(RIGHT(J710,1)="/",J710,J710&amp;"/"))</f>
        <v>https://www.trafa.se/en/maritime-transport/shipping-goods/</v>
      </c>
      <c r="X710" s="1" t="str">
        <f t="shared" ref="X710:X762" si="177">IF(W710="","",LEFT(W710,FIND("/",W710,FIND("/",W710,FIND("/", W710)+1)+1)))</f>
        <v>https://www.trafa.se/</v>
      </c>
      <c r="Y710" s="1" t="str">
        <f t="shared" ref="Y710:Y762" si="178">IF(AND(C710="-",D710="共通"),"優先1",IF(OR(COUNTIF(C710,"*補助*"),D710&lt;&gt;"共通"),"優先3","優先2"&amp;C710))</f>
        <v>優先3</v>
      </c>
      <c r="Z710" s="1" t="str">
        <f t="shared" ref="Z710:Z762" si="179">IF(X710="",F710,CONCATENATE(IF(F710="",G710,IF(G710="",F710,F710&amp;", "&amp;G710)),IF(H710="",". "," ["&amp;H710&amp;"]. "),"""",I710,""". ","Accessed ",TEXT(K710,"dd mmmm, yyyy"),". ",X710,"."))</f>
        <v>Transport Analysis. "Shipping goods 2022". Accessed 18 July, 2023. https://www.trafa.se/.</v>
      </c>
    </row>
    <row r="711" spans="2:26">
      <c r="B711" s="285" t="s">
        <v>712</v>
      </c>
      <c r="C711" s="285" t="s">
        <v>698</v>
      </c>
      <c r="D711" s="285" t="s">
        <v>673</v>
      </c>
      <c r="E711" s="285" t="s">
        <v>132</v>
      </c>
      <c r="F711" s="13" t="s">
        <v>714</v>
      </c>
      <c r="G711" s="13"/>
      <c r="H711" s="13"/>
      <c r="I711" s="13" t="s">
        <v>4344</v>
      </c>
      <c r="J711" s="13" t="s">
        <v>3810</v>
      </c>
      <c r="K711" s="284">
        <v>45125</v>
      </c>
      <c r="L711" s="283" t="str">
        <f t="shared" si="165"/>
        <v>-</v>
      </c>
      <c r="M711" s="283" t="str">
        <f t="shared" si="166"/>
        <v>-</v>
      </c>
      <c r="N711" s="283" t="str">
        <f t="shared" si="167"/>
        <v>-</v>
      </c>
      <c r="O711" s="283" t="str">
        <f t="shared" si="168"/>
        <v>-</v>
      </c>
      <c r="P711" s="283" t="str">
        <f t="shared" si="169"/>
        <v>-</v>
      </c>
      <c r="Q711" s="283" t="str">
        <f t="shared" si="170"/>
        <v>-</v>
      </c>
      <c r="R711" s="283" t="str">
        <f t="shared" si="171"/>
        <v>-</v>
      </c>
      <c r="S711" s="283" t="str">
        <f t="shared" si="172"/>
        <v>-</v>
      </c>
      <c r="T711" s="283" t="str">
        <f t="shared" si="173"/>
        <v>-</v>
      </c>
      <c r="U711" s="283" t="str">
        <f t="shared" si="174"/>
        <v>-</v>
      </c>
      <c r="V711" s="283" t="str">
        <f t="shared" si="175"/>
        <v>-</v>
      </c>
      <c r="W711" s="1" t="str">
        <f t="shared" si="176"/>
        <v>https://www.tcdd.gov.tr/en/organizational/port-data/</v>
      </c>
      <c r="X711" s="1" t="str">
        <f t="shared" si="177"/>
        <v>https://www.tcdd.gov.tr/</v>
      </c>
      <c r="Y711" s="1" t="str">
        <f t="shared" si="178"/>
        <v>優先3</v>
      </c>
      <c r="Z711" s="1" t="str">
        <f t="shared" si="179"/>
        <v>Türkiye Cumhuriyeti Devlet Demiryolları. "Port Data - Container Traffic". Accessed 18 July, 2023. https://www.tcdd.gov.tr/.</v>
      </c>
    </row>
    <row r="712" spans="2:26">
      <c r="B712" s="285" t="s">
        <v>712</v>
      </c>
      <c r="C712" s="285" t="s">
        <v>698</v>
      </c>
      <c r="D712" s="285" t="s">
        <v>673</v>
      </c>
      <c r="E712" s="285" t="s">
        <v>138</v>
      </c>
      <c r="F712" s="13" t="s">
        <v>713</v>
      </c>
      <c r="G712" s="13"/>
      <c r="H712" s="13"/>
      <c r="I712" s="13" t="s">
        <v>4345</v>
      </c>
      <c r="J712" s="13" t="s">
        <v>3811</v>
      </c>
      <c r="K712" s="284">
        <v>45125</v>
      </c>
      <c r="L712" s="283" t="str">
        <f t="shared" si="165"/>
        <v>-</v>
      </c>
      <c r="M712" s="283" t="str">
        <f t="shared" si="166"/>
        <v>-</v>
      </c>
      <c r="N712" s="283" t="str">
        <f t="shared" si="167"/>
        <v>-</v>
      </c>
      <c r="O712" s="283" t="str">
        <f t="shared" si="168"/>
        <v>-</v>
      </c>
      <c r="P712" s="283" t="str">
        <f t="shared" si="169"/>
        <v>-</v>
      </c>
      <c r="Q712" s="283" t="str">
        <f t="shared" si="170"/>
        <v>-</v>
      </c>
      <c r="R712" s="283" t="str">
        <f t="shared" si="171"/>
        <v>-</v>
      </c>
      <c r="S712" s="283" t="str">
        <f t="shared" si="172"/>
        <v>-</v>
      </c>
      <c r="T712" s="283" t="str">
        <f t="shared" si="173"/>
        <v>-</v>
      </c>
      <c r="U712" s="283" t="str">
        <f t="shared" si="174"/>
        <v>-</v>
      </c>
      <c r="V712" s="283" t="str">
        <f t="shared" si="175"/>
        <v>-</v>
      </c>
      <c r="W712" s="1" t="str">
        <f t="shared" si="176"/>
        <v>https://mumbaiport.gov.in/index2_n.asp?slid=900&amp;sublinkid=553&amp;langid=1/</v>
      </c>
      <c r="X712" s="1" t="str">
        <f t="shared" si="177"/>
        <v>https://mumbaiport.gov.in/</v>
      </c>
      <c r="Y712" s="1" t="str">
        <f t="shared" si="178"/>
        <v>優先3</v>
      </c>
      <c r="Z712" s="1" t="str">
        <f t="shared" si="179"/>
        <v>Mumbai Port Trust. "Administration Report 2021-22". Accessed 18 July, 2023. https://mumbaiport.gov.in/.</v>
      </c>
    </row>
    <row r="713" spans="2:26">
      <c r="B713" s="285" t="s">
        <v>712</v>
      </c>
      <c r="C713" s="285" t="s">
        <v>698</v>
      </c>
      <c r="D713" s="285" t="s">
        <v>673</v>
      </c>
      <c r="E713" s="285" t="s">
        <v>140</v>
      </c>
      <c r="F713" s="13" t="s">
        <v>4346</v>
      </c>
      <c r="G713" s="13"/>
      <c r="H713" s="13"/>
      <c r="I713" s="13" t="s">
        <v>4347</v>
      </c>
      <c r="J713" s="13" t="s">
        <v>4348</v>
      </c>
      <c r="K713" s="284">
        <v>45125</v>
      </c>
      <c r="L713" s="283" t="str">
        <f t="shared" si="165"/>
        <v>-</v>
      </c>
      <c r="M713" s="283" t="str">
        <f t="shared" si="166"/>
        <v>-</v>
      </c>
      <c r="N713" s="283" t="str">
        <f t="shared" si="167"/>
        <v>-</v>
      </c>
      <c r="O713" s="283" t="str">
        <f t="shared" si="168"/>
        <v>-</v>
      </c>
      <c r="P713" s="283" t="str">
        <f t="shared" si="169"/>
        <v>-</v>
      </c>
      <c r="Q713" s="283" t="str">
        <f t="shared" si="170"/>
        <v>-</v>
      </c>
      <c r="R713" s="283" t="str">
        <f t="shared" si="171"/>
        <v>-</v>
      </c>
      <c r="S713" s="283" t="str">
        <f t="shared" si="172"/>
        <v>-</v>
      </c>
      <c r="T713" s="283" t="str">
        <f t="shared" si="173"/>
        <v>-</v>
      </c>
      <c r="U713" s="283" t="str">
        <f t="shared" si="174"/>
        <v>-</v>
      </c>
      <c r="V713" s="283" t="str">
        <f t="shared" si="175"/>
        <v>-</v>
      </c>
      <c r="W713" s="1" t="str">
        <f t="shared" si="176"/>
        <v>https://www.port-of-nagoya.jp/shokai/international/1001123.html/</v>
      </c>
      <c r="X713" s="1" t="str">
        <f t="shared" si="177"/>
        <v>https://www.port-of-nagoya.jp/</v>
      </c>
      <c r="Y713" s="1" t="str">
        <f t="shared" si="178"/>
        <v>優先3</v>
      </c>
      <c r="Z713" s="1" t="str">
        <f t="shared" si="179"/>
        <v>名古屋港管理組合. "タイ港湾公社 - 港湾概要". Accessed 18 July, 2023. https://www.port-of-nagoya.jp/.</v>
      </c>
    </row>
    <row r="714" spans="2:26">
      <c r="B714" s="285" t="s">
        <v>712</v>
      </c>
      <c r="C714" s="285" t="s">
        <v>698</v>
      </c>
      <c r="D714" s="285" t="s">
        <v>673</v>
      </c>
      <c r="E714" s="285" t="s">
        <v>156</v>
      </c>
      <c r="F714" s="13" t="s">
        <v>692</v>
      </c>
      <c r="G714" s="13" t="s">
        <v>1475</v>
      </c>
      <c r="H714" s="13" t="s">
        <v>1476</v>
      </c>
      <c r="I714" s="13" t="s">
        <v>4349</v>
      </c>
      <c r="J714" s="13" t="s">
        <v>1477</v>
      </c>
      <c r="K714" s="284">
        <v>45125</v>
      </c>
      <c r="L714" s="283">
        <f t="shared" si="165"/>
        <v>3</v>
      </c>
      <c r="M714" s="283" t="str">
        <f t="shared" si="166"/>
        <v>-</v>
      </c>
      <c r="N714" s="283" t="str">
        <f t="shared" si="167"/>
        <v>-</v>
      </c>
      <c r="O714" s="283" t="str">
        <f t="shared" si="168"/>
        <v>-</v>
      </c>
      <c r="P714" s="283" t="str">
        <f t="shared" si="169"/>
        <v>-</v>
      </c>
      <c r="Q714" s="283" t="str">
        <f t="shared" si="170"/>
        <v>-</v>
      </c>
      <c r="R714" s="283" t="str">
        <f t="shared" si="171"/>
        <v>-</v>
      </c>
      <c r="S714" s="283" t="str">
        <f t="shared" si="172"/>
        <v>NG</v>
      </c>
      <c r="T714" s="283" t="str">
        <f t="shared" si="173"/>
        <v>-</v>
      </c>
      <c r="U714" s="283" t="str">
        <f t="shared" si="174"/>
        <v>-</v>
      </c>
      <c r="V714" s="283" t="str">
        <f t="shared" si="175"/>
        <v>-</v>
      </c>
      <c r="W714" s="1" t="str">
        <f t="shared" si="176"/>
        <v>https://www.mlit.go.jp/statistics/details/port_list.html/</v>
      </c>
      <c r="X714" s="1" t="str">
        <f t="shared" si="177"/>
        <v>https://www.mlit.go.jp/</v>
      </c>
      <c r="Y714" s="1" t="str">
        <f t="shared" si="178"/>
        <v>優先3</v>
      </c>
      <c r="Z714" s="1" t="str">
        <f t="shared" si="179"/>
        <v>Ministry of Land, Infrastructure, Transport and Tourism, The Government of Japan [国土交通省港湾局]. "港湾別コンテナ取扱量（TEU)ランキング（2021年速報値）". Accessed 18 July, 2023. https://www.mlit.go.jp/.</v>
      </c>
    </row>
    <row r="715" spans="2:26">
      <c r="B715" s="285" t="s">
        <v>712</v>
      </c>
      <c r="C715" s="285" t="s">
        <v>698</v>
      </c>
      <c r="D715" s="285" t="s">
        <v>673</v>
      </c>
      <c r="E715" s="285" t="s">
        <v>158</v>
      </c>
      <c r="F715" s="13" t="s">
        <v>692</v>
      </c>
      <c r="G715" s="13" t="s">
        <v>1475</v>
      </c>
      <c r="H715" s="13" t="s">
        <v>1476</v>
      </c>
      <c r="I715" s="13" t="s">
        <v>4349</v>
      </c>
      <c r="J715" s="13" t="s">
        <v>1477</v>
      </c>
      <c r="K715" s="284">
        <v>45125</v>
      </c>
      <c r="L715" s="283">
        <f t="shared" si="165"/>
        <v>3</v>
      </c>
      <c r="M715" s="283" t="str">
        <f t="shared" si="166"/>
        <v>-</v>
      </c>
      <c r="N715" s="283" t="str">
        <f t="shared" si="167"/>
        <v>-</v>
      </c>
      <c r="O715" s="283" t="str">
        <f t="shared" si="168"/>
        <v>-</v>
      </c>
      <c r="P715" s="283" t="str">
        <f t="shared" si="169"/>
        <v>-</v>
      </c>
      <c r="Q715" s="283" t="str">
        <f t="shared" si="170"/>
        <v>-</v>
      </c>
      <c r="R715" s="283" t="str">
        <f t="shared" si="171"/>
        <v>-</v>
      </c>
      <c r="S715" s="283" t="str">
        <f t="shared" si="172"/>
        <v>NG</v>
      </c>
      <c r="T715" s="283" t="str">
        <f t="shared" si="173"/>
        <v>-</v>
      </c>
      <c r="U715" s="283" t="str">
        <f t="shared" si="174"/>
        <v>-</v>
      </c>
      <c r="V715" s="283" t="str">
        <f t="shared" si="175"/>
        <v>-</v>
      </c>
      <c r="W715" s="1" t="str">
        <f t="shared" si="176"/>
        <v>https://www.mlit.go.jp/statistics/details/port_list.html/</v>
      </c>
      <c r="X715" s="1" t="str">
        <f t="shared" si="177"/>
        <v>https://www.mlit.go.jp/</v>
      </c>
      <c r="Y715" s="1" t="str">
        <f t="shared" si="178"/>
        <v>優先3</v>
      </c>
      <c r="Z715" s="1" t="str">
        <f t="shared" si="179"/>
        <v>Ministry of Land, Infrastructure, Transport and Tourism, The Government of Japan [国土交通省港湾局]. "港湾別コンテナ取扱量（TEU)ランキング（2021年速報値）". Accessed 18 July, 2023. https://www.mlit.go.jp/.</v>
      </c>
    </row>
    <row r="716" spans="2:26">
      <c r="B716" s="285" t="s">
        <v>712</v>
      </c>
      <c r="C716" s="285" t="s">
        <v>698</v>
      </c>
      <c r="D716" s="285" t="s">
        <v>673</v>
      </c>
      <c r="E716" s="285" t="s">
        <v>160</v>
      </c>
      <c r="F716" s="13" t="s">
        <v>692</v>
      </c>
      <c r="G716" s="13" t="s">
        <v>1475</v>
      </c>
      <c r="H716" s="13" t="s">
        <v>1476</v>
      </c>
      <c r="I716" s="13" t="s">
        <v>4349</v>
      </c>
      <c r="J716" s="13" t="s">
        <v>1477</v>
      </c>
      <c r="K716" s="284">
        <v>45125</v>
      </c>
      <c r="L716" s="283">
        <f t="shared" si="165"/>
        <v>3</v>
      </c>
      <c r="M716" s="283" t="str">
        <f t="shared" si="166"/>
        <v>-</v>
      </c>
      <c r="N716" s="283" t="str">
        <f t="shared" si="167"/>
        <v>-</v>
      </c>
      <c r="O716" s="283" t="str">
        <f t="shared" si="168"/>
        <v>-</v>
      </c>
      <c r="P716" s="283" t="str">
        <f t="shared" si="169"/>
        <v>-</v>
      </c>
      <c r="Q716" s="283" t="str">
        <f t="shared" si="170"/>
        <v>-</v>
      </c>
      <c r="R716" s="283" t="str">
        <f t="shared" si="171"/>
        <v>-</v>
      </c>
      <c r="S716" s="283" t="str">
        <f t="shared" si="172"/>
        <v>NG</v>
      </c>
      <c r="T716" s="283" t="str">
        <f t="shared" si="173"/>
        <v>-</v>
      </c>
      <c r="U716" s="283" t="str">
        <f t="shared" si="174"/>
        <v>-</v>
      </c>
      <c r="V716" s="283" t="str">
        <f t="shared" si="175"/>
        <v>-</v>
      </c>
      <c r="W716" s="1" t="str">
        <f t="shared" si="176"/>
        <v>https://www.mlit.go.jp/statistics/details/port_list.html/</v>
      </c>
      <c r="X716" s="1" t="str">
        <f t="shared" si="177"/>
        <v>https://www.mlit.go.jp/</v>
      </c>
      <c r="Y716" s="1" t="str">
        <f t="shared" si="178"/>
        <v>優先3</v>
      </c>
      <c r="Z716" s="1" t="str">
        <f t="shared" si="179"/>
        <v>Ministry of Land, Infrastructure, Transport and Tourism, The Government of Japan [国土交通省港湾局]. "港湾別コンテナ取扱量（TEU)ランキング（2021年速報値）". Accessed 18 July, 2023. https://www.mlit.go.jp/.</v>
      </c>
    </row>
    <row r="717" spans="2:26">
      <c r="B717" s="285" t="s">
        <v>712</v>
      </c>
      <c r="C717" s="285" t="s">
        <v>698</v>
      </c>
      <c r="D717" s="285" t="s">
        <v>673</v>
      </c>
      <c r="E717" s="285" t="s">
        <v>166</v>
      </c>
      <c r="F717" s="13" t="s">
        <v>1478</v>
      </c>
      <c r="G717" s="13"/>
      <c r="H717" s="13"/>
      <c r="I717" s="13" t="s">
        <v>2742</v>
      </c>
      <c r="J717" s="13" t="s">
        <v>1479</v>
      </c>
      <c r="K717" s="284">
        <v>45126</v>
      </c>
      <c r="L717" s="283" t="str">
        <f t="shared" si="165"/>
        <v>-</v>
      </c>
      <c r="M717" s="283" t="str">
        <f t="shared" si="166"/>
        <v>-</v>
      </c>
      <c r="N717" s="283" t="str">
        <f t="shared" si="167"/>
        <v>-</v>
      </c>
      <c r="O717" s="283" t="str">
        <f t="shared" si="168"/>
        <v>-</v>
      </c>
      <c r="P717" s="283" t="str">
        <f t="shared" si="169"/>
        <v>-</v>
      </c>
      <c r="Q717" s="283" t="str">
        <f t="shared" si="170"/>
        <v>-</v>
      </c>
      <c r="R717" s="283" t="str">
        <f t="shared" si="171"/>
        <v>-</v>
      </c>
      <c r="S717" s="283" t="str">
        <f t="shared" si="172"/>
        <v>-</v>
      </c>
      <c r="T717" s="283" t="str">
        <f t="shared" si="173"/>
        <v>-</v>
      </c>
      <c r="U717" s="283" t="str">
        <f t="shared" si="174"/>
        <v>-</v>
      </c>
      <c r="V717" s="283" t="str">
        <f t="shared" si="175"/>
        <v>-</v>
      </c>
      <c r="W717" s="1" t="str">
        <f t="shared" si="176"/>
        <v>https://sfport.com/maritime-statistics-reports/</v>
      </c>
      <c r="X717" s="1" t="str">
        <f t="shared" si="177"/>
        <v>https://sfport.com/</v>
      </c>
      <c r="Y717" s="1" t="str">
        <f t="shared" si="178"/>
        <v>優先3</v>
      </c>
      <c r="Z717" s="1" t="str">
        <f t="shared" si="179"/>
        <v>City and County of San Francisco. "Tonnage Report for General, Bulk Cargo and Autos 2016-2020". Accessed 19 July, 2023. https://sfport.com/.</v>
      </c>
    </row>
    <row r="718" spans="2:26">
      <c r="B718" s="285" t="s">
        <v>712</v>
      </c>
      <c r="C718" s="285" t="s">
        <v>698</v>
      </c>
      <c r="D718" s="285" t="s">
        <v>673</v>
      </c>
      <c r="E718" s="285" t="s">
        <v>373</v>
      </c>
      <c r="F718" s="13" t="s">
        <v>1480</v>
      </c>
      <c r="G718" s="13"/>
      <c r="H718" s="13"/>
      <c r="I718" s="13" t="s">
        <v>4350</v>
      </c>
      <c r="J718" s="13" t="s">
        <v>4351</v>
      </c>
      <c r="K718" s="284">
        <v>45126</v>
      </c>
      <c r="L718" s="283">
        <f t="shared" si="165"/>
        <v>2</v>
      </c>
      <c r="M718" s="283" t="str">
        <f t="shared" si="166"/>
        <v>-</v>
      </c>
      <c r="N718" s="283" t="str">
        <f t="shared" si="167"/>
        <v>-</v>
      </c>
      <c r="O718" s="283" t="str">
        <f t="shared" si="168"/>
        <v>-</v>
      </c>
      <c r="P718" s="283" t="str">
        <f t="shared" si="169"/>
        <v>-</v>
      </c>
      <c r="Q718" s="283" t="str">
        <f t="shared" si="170"/>
        <v>-</v>
      </c>
      <c r="R718" s="283" t="str">
        <f t="shared" si="171"/>
        <v>-</v>
      </c>
      <c r="S718" s="283" t="str">
        <f t="shared" si="172"/>
        <v>-</v>
      </c>
      <c r="T718" s="283" t="str">
        <f t="shared" si="173"/>
        <v>-</v>
      </c>
      <c r="U718" s="283" t="str">
        <f t="shared" si="174"/>
        <v>-</v>
      </c>
      <c r="V718" s="283" t="str">
        <f t="shared" si="175"/>
        <v>-</v>
      </c>
      <c r="W718" s="1" t="str">
        <f t="shared" si="176"/>
        <v>https://rosap.ntl.bts.gov/view/dot/65990/</v>
      </c>
      <c r="X718" s="1" t="str">
        <f t="shared" si="177"/>
        <v>https://rosap.ntl.bts.gov/</v>
      </c>
      <c r="Y718" s="1" t="str">
        <f t="shared" si="178"/>
        <v>優先3</v>
      </c>
      <c r="Z718" s="1" t="str">
        <f t="shared" si="179"/>
        <v>American Association of Port Authorities. "2023 Port Performance Freight Statistics Program: Annual Report to Congress". Accessed 19 July, 2023. https://rosap.ntl.bts.gov/.</v>
      </c>
    </row>
    <row r="719" spans="2:26">
      <c r="B719" s="285" t="s">
        <v>712</v>
      </c>
      <c r="C719" s="285" t="s">
        <v>698</v>
      </c>
      <c r="D719" s="285" t="s">
        <v>673</v>
      </c>
      <c r="E719" s="285" t="s">
        <v>180</v>
      </c>
      <c r="F719" s="13" t="s">
        <v>1480</v>
      </c>
      <c r="G719" s="13"/>
      <c r="H719" s="13"/>
      <c r="I719" s="13" t="s">
        <v>4350</v>
      </c>
      <c r="J719" s="13" t="s">
        <v>4351</v>
      </c>
      <c r="K719" s="284">
        <v>45126</v>
      </c>
      <c r="L719" s="283">
        <f t="shared" si="165"/>
        <v>2</v>
      </c>
      <c r="M719" s="283" t="str">
        <f t="shared" si="166"/>
        <v>-</v>
      </c>
      <c r="N719" s="283" t="str">
        <f t="shared" si="167"/>
        <v>-</v>
      </c>
      <c r="O719" s="283" t="str">
        <f t="shared" si="168"/>
        <v>-</v>
      </c>
      <c r="P719" s="283" t="str">
        <f t="shared" si="169"/>
        <v>-</v>
      </c>
      <c r="Q719" s="283" t="str">
        <f t="shared" si="170"/>
        <v>-</v>
      </c>
      <c r="R719" s="283" t="str">
        <f t="shared" si="171"/>
        <v>-</v>
      </c>
      <c r="S719" s="283" t="str">
        <f t="shared" si="172"/>
        <v>-</v>
      </c>
      <c r="T719" s="283" t="str">
        <f t="shared" si="173"/>
        <v>-</v>
      </c>
      <c r="U719" s="283" t="str">
        <f t="shared" si="174"/>
        <v>-</v>
      </c>
      <c r="V719" s="283" t="str">
        <f t="shared" si="175"/>
        <v>-</v>
      </c>
      <c r="W719" s="1" t="str">
        <f t="shared" si="176"/>
        <v>https://rosap.ntl.bts.gov/view/dot/65990/</v>
      </c>
      <c r="X719" s="1" t="str">
        <f t="shared" si="177"/>
        <v>https://rosap.ntl.bts.gov/</v>
      </c>
      <c r="Y719" s="1" t="str">
        <f t="shared" si="178"/>
        <v>優先3</v>
      </c>
      <c r="Z719" s="1" t="str">
        <f t="shared" si="179"/>
        <v>American Association of Port Authorities. "2023 Port Performance Freight Statistics Program: Annual Report to Congress". Accessed 19 July, 2023. https://rosap.ntl.bts.gov/.</v>
      </c>
    </row>
    <row r="720" spans="2:26">
      <c r="B720" s="285" t="s">
        <v>712</v>
      </c>
      <c r="C720" s="285" t="s">
        <v>698</v>
      </c>
      <c r="D720" s="285" t="s">
        <v>673</v>
      </c>
      <c r="E720" s="285" t="s">
        <v>188</v>
      </c>
      <c r="F720" s="13" t="s">
        <v>2743</v>
      </c>
      <c r="G720" s="13"/>
      <c r="H720" s="13"/>
      <c r="I720" s="13" t="s">
        <v>3812</v>
      </c>
      <c r="J720" s="13" t="s">
        <v>3813</v>
      </c>
      <c r="K720" s="284">
        <v>45126</v>
      </c>
      <c r="L720" s="283" t="str">
        <f t="shared" si="165"/>
        <v>-</v>
      </c>
      <c r="M720" s="283" t="str">
        <f t="shared" si="166"/>
        <v>-</v>
      </c>
      <c r="N720" s="283" t="str">
        <f t="shared" si="167"/>
        <v>-</v>
      </c>
      <c r="O720" s="283" t="str">
        <f t="shared" si="168"/>
        <v>-</v>
      </c>
      <c r="P720" s="283" t="str">
        <f t="shared" si="169"/>
        <v>-</v>
      </c>
      <c r="Q720" s="283" t="str">
        <f t="shared" si="170"/>
        <v>-</v>
      </c>
      <c r="R720" s="283" t="str">
        <f t="shared" si="171"/>
        <v>-</v>
      </c>
      <c r="S720" s="283" t="str">
        <f t="shared" si="172"/>
        <v>-</v>
      </c>
      <c r="T720" s="283" t="str">
        <f t="shared" si="173"/>
        <v>-</v>
      </c>
      <c r="U720" s="283" t="str">
        <f t="shared" si="174"/>
        <v>-</v>
      </c>
      <c r="V720" s="283" t="str">
        <f t="shared" si="175"/>
        <v>-</v>
      </c>
      <c r="W720" s="1" t="str">
        <f t="shared" si="176"/>
        <v>https://www.cepal.org/en/publications/48012-2021-port-report-early-signs-recovery-international-container-shipping-latin/</v>
      </c>
      <c r="X720" s="1" t="str">
        <f t="shared" si="177"/>
        <v>https://www.cepal.org/</v>
      </c>
      <c r="Y720" s="1" t="str">
        <f t="shared" si="178"/>
        <v>優先3</v>
      </c>
      <c r="Z720" s="1" t="str">
        <f t="shared" si="179"/>
        <v>Economic Commission for Latin America and the Caribbean. "2021 Port Report: Early signs of a recovery in international container shipping in Latin America and the Caribbean". Accessed 19 July, 2023. https://www.cepal.org/.</v>
      </c>
    </row>
    <row r="721" spans="2:26">
      <c r="B721" s="285" t="s">
        <v>712</v>
      </c>
      <c r="C721" s="285" t="s">
        <v>698</v>
      </c>
      <c r="D721" s="285" t="s">
        <v>673</v>
      </c>
      <c r="E721" s="285" t="s">
        <v>369</v>
      </c>
      <c r="F721" s="13" t="s">
        <v>1481</v>
      </c>
      <c r="G721" s="13"/>
      <c r="H721" s="13"/>
      <c r="I721" s="13" t="s">
        <v>4352</v>
      </c>
      <c r="J721" s="13" t="s">
        <v>1482</v>
      </c>
      <c r="K721" s="284">
        <v>45126</v>
      </c>
      <c r="L721" s="283" t="str">
        <f t="shared" si="165"/>
        <v>-</v>
      </c>
      <c r="M721" s="283" t="str">
        <f t="shared" si="166"/>
        <v>-</v>
      </c>
      <c r="N721" s="283" t="str">
        <f t="shared" si="167"/>
        <v>-</v>
      </c>
      <c r="O721" s="283" t="str">
        <f t="shared" si="168"/>
        <v>-</v>
      </c>
      <c r="P721" s="283" t="str">
        <f t="shared" si="169"/>
        <v>-</v>
      </c>
      <c r="Q721" s="283" t="str">
        <f t="shared" si="170"/>
        <v>-</v>
      </c>
      <c r="R721" s="283" t="str">
        <f t="shared" si="171"/>
        <v>-</v>
      </c>
      <c r="S721" s="283" t="str">
        <f t="shared" si="172"/>
        <v>-</v>
      </c>
      <c r="T721" s="283" t="str">
        <f t="shared" si="173"/>
        <v>-</v>
      </c>
      <c r="U721" s="283" t="str">
        <f t="shared" si="174"/>
        <v>-</v>
      </c>
      <c r="V721" s="283" t="str">
        <f t="shared" si="175"/>
        <v>-</v>
      </c>
      <c r="W721" s="1" t="str">
        <f t="shared" si="176"/>
        <v>https://www.dublinport.ie/about-dublin-port/annual-reports/</v>
      </c>
      <c r="X721" s="1" t="str">
        <f t="shared" si="177"/>
        <v>https://www.dublinport.ie/</v>
      </c>
      <c r="Y721" s="1" t="str">
        <f t="shared" si="178"/>
        <v>優先3</v>
      </c>
      <c r="Z721" s="1" t="str">
        <f t="shared" si="179"/>
        <v>Dublin Port Company. "Annual Report &amp;Financial Statements 2022". Accessed 19 July, 2023. https://www.dublinport.ie/.</v>
      </c>
    </row>
    <row r="722" spans="2:26">
      <c r="B722" s="285" t="s">
        <v>712</v>
      </c>
      <c r="C722" s="285" t="s">
        <v>698</v>
      </c>
      <c r="D722" s="285" t="s">
        <v>673</v>
      </c>
      <c r="E722" s="285" t="s">
        <v>370</v>
      </c>
      <c r="F722" s="13" t="s">
        <v>711</v>
      </c>
      <c r="G722" s="13"/>
      <c r="H722" s="13"/>
      <c r="I722" s="13" t="s">
        <v>4353</v>
      </c>
      <c r="J722" s="13" t="s">
        <v>4354</v>
      </c>
      <c r="K722" s="284">
        <v>45121</v>
      </c>
      <c r="L722" s="283" t="str">
        <f t="shared" si="165"/>
        <v>-</v>
      </c>
      <c r="M722" s="283" t="str">
        <f t="shared" si="166"/>
        <v>-</v>
      </c>
      <c r="N722" s="283" t="str">
        <f t="shared" si="167"/>
        <v>-</v>
      </c>
      <c r="O722" s="283" t="str">
        <f t="shared" si="168"/>
        <v>-</v>
      </c>
      <c r="P722" s="283" t="str">
        <f t="shared" si="169"/>
        <v>-</v>
      </c>
      <c r="Q722" s="283" t="str">
        <f t="shared" si="170"/>
        <v>-</v>
      </c>
      <c r="R722" s="283" t="str">
        <f t="shared" si="171"/>
        <v>-</v>
      </c>
      <c r="S722" s="283" t="str">
        <f t="shared" si="172"/>
        <v>-</v>
      </c>
      <c r="T722" s="283" t="str">
        <f t="shared" si="173"/>
        <v>-</v>
      </c>
      <c r="U722" s="283" t="str">
        <f t="shared" si="174"/>
        <v>-</v>
      </c>
      <c r="V722" s="283" t="str">
        <f t="shared" si="175"/>
        <v>-</v>
      </c>
      <c r="W722" s="1" t="str">
        <f t="shared" si="176"/>
        <v>https://vuosikertomus2022.portofhelsinki.fi/en/cargo/</v>
      </c>
      <c r="X722" s="1" t="str">
        <f t="shared" si="177"/>
        <v>https://vuosikertomus2022.portofhelsinki.fi/</v>
      </c>
      <c r="Y722" s="1" t="str">
        <f t="shared" si="178"/>
        <v>優先3</v>
      </c>
      <c r="Z722" s="1" t="str">
        <f t="shared" si="179"/>
        <v>Port of Helsinki. "Annual Report 2022". Accessed 14 July, 2023. https://vuosikertomus2022.portofhelsinki.fi/.</v>
      </c>
    </row>
    <row r="723" spans="2:26">
      <c r="B723" s="285" t="s">
        <v>712</v>
      </c>
      <c r="C723" s="285" t="s">
        <v>698</v>
      </c>
      <c r="D723" s="285" t="s">
        <v>673</v>
      </c>
      <c r="E723" s="285" t="s">
        <v>371</v>
      </c>
      <c r="F723" s="13" t="s">
        <v>3814</v>
      </c>
      <c r="G723" s="13"/>
      <c r="H723" s="13"/>
      <c r="I723" s="13" t="s">
        <v>3815</v>
      </c>
      <c r="J723" s="13" t="s">
        <v>3816</v>
      </c>
      <c r="K723" s="284">
        <v>45126</v>
      </c>
      <c r="L723" s="283" t="str">
        <f t="shared" si="165"/>
        <v>-</v>
      </c>
      <c r="M723" s="283" t="str">
        <f t="shared" si="166"/>
        <v>-</v>
      </c>
      <c r="N723" s="283" t="str">
        <f t="shared" si="167"/>
        <v>-</v>
      </c>
      <c r="O723" s="283" t="str">
        <f t="shared" si="168"/>
        <v>-</v>
      </c>
      <c r="P723" s="283" t="str">
        <f t="shared" si="169"/>
        <v>-</v>
      </c>
      <c r="Q723" s="283" t="str">
        <f t="shared" si="170"/>
        <v>-</v>
      </c>
      <c r="R723" s="283" t="str">
        <f t="shared" si="171"/>
        <v>-</v>
      </c>
      <c r="S723" s="283" t="str">
        <f t="shared" si="172"/>
        <v>-</v>
      </c>
      <c r="T723" s="283" t="str">
        <f t="shared" si="173"/>
        <v>-</v>
      </c>
      <c r="U723" s="283" t="str">
        <f t="shared" si="174"/>
        <v>-</v>
      </c>
      <c r="V723" s="283" t="str">
        <f t="shared" si="175"/>
        <v>-</v>
      </c>
      <c r="W723" s="1" t="str">
        <f t="shared" si="176"/>
        <v>https://www.ashdodport.co.il/about/csr/Documents/apc-csr-report-update-2020-eng.pdf/</v>
      </c>
      <c r="X723" s="1" t="str">
        <f t="shared" si="177"/>
        <v>https://www.ashdodport.co.il/</v>
      </c>
      <c r="Y723" s="1" t="str">
        <f t="shared" si="178"/>
        <v>優先3</v>
      </c>
      <c r="Z723" s="1" t="str">
        <f t="shared" si="179"/>
        <v>Ashdod Port. "Annual Sustainability Development Report". Accessed 19 July, 2023. https://www.ashdodport.co.il/.</v>
      </c>
    </row>
    <row r="724" spans="2:26">
      <c r="B724" s="285" t="s">
        <v>712</v>
      </c>
      <c r="C724" s="285" t="s">
        <v>716</v>
      </c>
      <c r="D724" s="285" t="s">
        <v>688</v>
      </c>
      <c r="E724" s="285" t="s">
        <v>688</v>
      </c>
      <c r="F724" s="13" t="s">
        <v>1483</v>
      </c>
      <c r="G724" s="13"/>
      <c r="H724" s="13"/>
      <c r="I724" s="13" t="s">
        <v>4225</v>
      </c>
      <c r="J724" s="13"/>
      <c r="K724" s="284">
        <v>45125</v>
      </c>
      <c r="L724" s="283" t="str">
        <f t="shared" si="165"/>
        <v>-</v>
      </c>
      <c r="M724" s="283" t="str">
        <f t="shared" si="166"/>
        <v>-</v>
      </c>
      <c r="N724" s="283" t="str">
        <f t="shared" si="167"/>
        <v>-</v>
      </c>
      <c r="O724" s="283" t="str">
        <f t="shared" si="168"/>
        <v>-</v>
      </c>
      <c r="P724" s="283" t="str">
        <f t="shared" si="169"/>
        <v>-</v>
      </c>
      <c r="Q724" s="283" t="str">
        <f t="shared" si="170"/>
        <v>-</v>
      </c>
      <c r="R724" s="283" t="str">
        <f t="shared" si="171"/>
        <v>-</v>
      </c>
      <c r="S724" s="283" t="str">
        <f t="shared" si="172"/>
        <v>-</v>
      </c>
      <c r="T724" s="283" t="str">
        <f t="shared" si="173"/>
        <v>-</v>
      </c>
      <c r="U724" s="283" t="str">
        <f t="shared" si="174"/>
        <v>-</v>
      </c>
      <c r="V724" s="283" t="str">
        <f t="shared" si="175"/>
        <v>-</v>
      </c>
      <c r="W724" s="1" t="str">
        <f t="shared" si="176"/>
        <v/>
      </c>
      <c r="X724" s="1" t="str">
        <f t="shared" si="177"/>
        <v/>
      </c>
      <c r="Y724" s="1" t="str">
        <f t="shared" si="178"/>
        <v>優先2②</v>
      </c>
      <c r="Z724" s="1" t="str">
        <f t="shared" si="179"/>
        <v>Airports Council International</v>
      </c>
    </row>
    <row r="725" spans="2:26">
      <c r="B725" s="285" t="s">
        <v>708</v>
      </c>
      <c r="C725" s="285" t="s">
        <v>464</v>
      </c>
      <c r="D725" s="285" t="s">
        <v>688</v>
      </c>
      <c r="E725" s="285" t="s">
        <v>688</v>
      </c>
      <c r="F725" s="13" t="s">
        <v>1483</v>
      </c>
      <c r="G725" s="13"/>
      <c r="H725" s="13"/>
      <c r="I725" s="13" t="s">
        <v>4225</v>
      </c>
      <c r="J725" s="13"/>
      <c r="K725" s="284">
        <v>45125</v>
      </c>
      <c r="L725" s="283" t="str">
        <f t="shared" si="165"/>
        <v>-</v>
      </c>
      <c r="M725" s="283" t="str">
        <f t="shared" si="166"/>
        <v>-</v>
      </c>
      <c r="N725" s="283" t="str">
        <f t="shared" si="167"/>
        <v>-</v>
      </c>
      <c r="O725" s="283" t="str">
        <f t="shared" si="168"/>
        <v>-</v>
      </c>
      <c r="P725" s="283" t="str">
        <f t="shared" si="169"/>
        <v>-</v>
      </c>
      <c r="Q725" s="283" t="str">
        <f t="shared" si="170"/>
        <v>-</v>
      </c>
      <c r="R725" s="283" t="str">
        <f t="shared" si="171"/>
        <v>-</v>
      </c>
      <c r="S725" s="283" t="str">
        <f t="shared" si="172"/>
        <v>-</v>
      </c>
      <c r="T725" s="283" t="str">
        <f t="shared" si="173"/>
        <v>-</v>
      </c>
      <c r="U725" s="283" t="str">
        <f t="shared" si="174"/>
        <v>-</v>
      </c>
      <c r="V725" s="283" t="str">
        <f t="shared" si="175"/>
        <v>-</v>
      </c>
      <c r="W725" s="1" t="str">
        <f t="shared" si="176"/>
        <v/>
      </c>
      <c r="X725" s="1" t="str">
        <f t="shared" si="177"/>
        <v/>
      </c>
      <c r="Y725" s="1" t="str">
        <f t="shared" si="178"/>
        <v>優先1</v>
      </c>
      <c r="Z725" s="1" t="str">
        <f t="shared" si="179"/>
        <v>Airports Council International</v>
      </c>
    </row>
    <row r="726" spans="2:26">
      <c r="B726" s="285" t="s">
        <v>707</v>
      </c>
      <c r="C726" s="285" t="s">
        <v>464</v>
      </c>
      <c r="D726" s="285" t="s">
        <v>688</v>
      </c>
      <c r="E726" s="285" t="s">
        <v>688</v>
      </c>
      <c r="F726" s="13" t="s">
        <v>1471</v>
      </c>
      <c r="G726" s="13"/>
      <c r="H726" s="13"/>
      <c r="I726" s="13" t="s">
        <v>1472</v>
      </c>
      <c r="J726" s="13" t="s">
        <v>1473</v>
      </c>
      <c r="K726" s="284">
        <v>45069</v>
      </c>
      <c r="L726" s="283" t="str">
        <f t="shared" si="165"/>
        <v>-</v>
      </c>
      <c r="M726" s="283" t="str">
        <f t="shared" si="166"/>
        <v>-</v>
      </c>
      <c r="N726" s="283" t="str">
        <f t="shared" si="167"/>
        <v>-</v>
      </c>
      <c r="O726" s="283" t="str">
        <f t="shared" si="168"/>
        <v>-</v>
      </c>
      <c r="P726" s="283" t="str">
        <f t="shared" si="169"/>
        <v>-</v>
      </c>
      <c r="Q726" s="283" t="str">
        <f t="shared" si="170"/>
        <v>-</v>
      </c>
      <c r="R726" s="283" t="str">
        <f t="shared" si="171"/>
        <v>-</v>
      </c>
      <c r="S726" s="283" t="str">
        <f t="shared" si="172"/>
        <v>-</v>
      </c>
      <c r="T726" s="283" t="str">
        <f t="shared" si="173"/>
        <v>-</v>
      </c>
      <c r="U726" s="283" t="str">
        <f t="shared" si="174"/>
        <v>-</v>
      </c>
      <c r="V726" s="283" t="str">
        <f t="shared" si="175"/>
        <v>-</v>
      </c>
      <c r="W726" s="1" t="str">
        <f t="shared" si="176"/>
        <v>https://oag.com/</v>
      </c>
      <c r="X726" s="1" t="str">
        <f t="shared" si="177"/>
        <v>https://oag.com/</v>
      </c>
      <c r="Y726" s="1" t="str">
        <f t="shared" si="178"/>
        <v>優先1</v>
      </c>
      <c r="Z726" s="1" t="str">
        <f t="shared" si="179"/>
        <v>OAG. "OAG Analyser". Accessed 23 May, 2023. https://oag.com/.</v>
      </c>
    </row>
    <row r="727" spans="2:26">
      <c r="B727" s="285" t="s">
        <v>706</v>
      </c>
      <c r="C727" s="285" t="s">
        <v>464</v>
      </c>
      <c r="D727" s="285" t="s">
        <v>688</v>
      </c>
      <c r="E727" s="285" t="s">
        <v>688</v>
      </c>
      <c r="F727" s="13" t="s">
        <v>705</v>
      </c>
      <c r="G727" s="13"/>
      <c r="H727" s="13"/>
      <c r="I727" s="13" t="s">
        <v>704</v>
      </c>
      <c r="J727" s="13" t="s">
        <v>1448</v>
      </c>
      <c r="K727" s="284">
        <v>45090</v>
      </c>
      <c r="L727" s="283" t="str">
        <f t="shared" si="165"/>
        <v>-</v>
      </c>
      <c r="M727" s="283" t="str">
        <f t="shared" si="166"/>
        <v>-</v>
      </c>
      <c r="N727" s="283" t="str">
        <f t="shared" si="167"/>
        <v>-</v>
      </c>
      <c r="O727" s="283" t="str">
        <f t="shared" si="168"/>
        <v>-</v>
      </c>
      <c r="P727" s="283" t="str">
        <f t="shared" si="169"/>
        <v>-</v>
      </c>
      <c r="Q727" s="283" t="str">
        <f t="shared" si="170"/>
        <v>-</v>
      </c>
      <c r="R727" s="283" t="str">
        <f t="shared" si="171"/>
        <v>-</v>
      </c>
      <c r="S727" s="283" t="str">
        <f t="shared" si="172"/>
        <v>-</v>
      </c>
      <c r="T727" s="283" t="str">
        <f t="shared" si="173"/>
        <v>-</v>
      </c>
      <c r="U727" s="283" t="str">
        <f t="shared" si="174"/>
        <v>-</v>
      </c>
      <c r="V727" s="283" t="str">
        <f t="shared" si="175"/>
        <v>-</v>
      </c>
      <c r="W727" s="1" t="str">
        <f t="shared" si="176"/>
        <v>https://openstreetmap.jp/</v>
      </c>
      <c r="X727" s="1" t="str">
        <f t="shared" si="177"/>
        <v>https://openstreetmap.jp/</v>
      </c>
      <c r="Y727" s="1" t="str">
        <f t="shared" si="178"/>
        <v>優先1</v>
      </c>
      <c r="Z727" s="1" t="str">
        <f t="shared" si="179"/>
        <v>OpenStreetMap contributors. "OpenStreetMap". Accessed 13 June, 2023. https://openstreetmap.jp/.</v>
      </c>
    </row>
    <row r="728" spans="2:26">
      <c r="B728" s="285" t="s">
        <v>703</v>
      </c>
      <c r="C728" s="285" t="s">
        <v>464</v>
      </c>
      <c r="D728" s="285" t="s">
        <v>688</v>
      </c>
      <c r="E728" s="285" t="s">
        <v>688</v>
      </c>
      <c r="F728" s="13" t="s">
        <v>681</v>
      </c>
      <c r="G728" s="13"/>
      <c r="H728" s="13"/>
      <c r="I728" s="13" t="s">
        <v>2744</v>
      </c>
      <c r="J728" s="13" t="s">
        <v>2745</v>
      </c>
      <c r="K728" s="284">
        <v>45084</v>
      </c>
      <c r="L728" s="283" t="str">
        <f t="shared" si="165"/>
        <v>-</v>
      </c>
      <c r="M728" s="283" t="str">
        <f t="shared" si="166"/>
        <v>-</v>
      </c>
      <c r="N728" s="283" t="str">
        <f t="shared" si="167"/>
        <v>-</v>
      </c>
      <c r="O728" s="283" t="str">
        <f t="shared" si="168"/>
        <v>-</v>
      </c>
      <c r="P728" s="283" t="str">
        <f t="shared" si="169"/>
        <v>-</v>
      </c>
      <c r="Q728" s="283" t="str">
        <f t="shared" si="170"/>
        <v>-</v>
      </c>
      <c r="R728" s="283" t="str">
        <f t="shared" si="171"/>
        <v>-</v>
      </c>
      <c r="S728" s="283" t="str">
        <f t="shared" si="172"/>
        <v>-</v>
      </c>
      <c r="T728" s="283" t="str">
        <f t="shared" si="173"/>
        <v>-</v>
      </c>
      <c r="U728" s="283" t="str">
        <f t="shared" si="174"/>
        <v>-</v>
      </c>
      <c r="V728" s="283" t="str">
        <f t="shared" si="175"/>
        <v>-</v>
      </c>
      <c r="W728" s="1" t="str">
        <f t="shared" si="176"/>
        <v>https://www.numbeo.com/traffic/</v>
      </c>
      <c r="X728" s="1" t="str">
        <f t="shared" si="177"/>
        <v>https://www.numbeo.com/</v>
      </c>
      <c r="Y728" s="1" t="str">
        <f t="shared" si="178"/>
        <v>優先1</v>
      </c>
      <c r="Z728" s="1" t="str">
        <f t="shared" si="179"/>
        <v>Numbeo. "Traffic". Accessed 07 June, 2023. https://www.numbeo.com/.</v>
      </c>
    </row>
    <row r="729" spans="2:26">
      <c r="B729" s="285" t="s">
        <v>703</v>
      </c>
      <c r="C729" s="285" t="s">
        <v>464</v>
      </c>
      <c r="D729" s="285" t="s">
        <v>673</v>
      </c>
      <c r="E729" s="285" t="s">
        <v>156</v>
      </c>
      <c r="F729" s="13" t="s">
        <v>692</v>
      </c>
      <c r="G729" s="13" t="s">
        <v>691</v>
      </c>
      <c r="H729" s="13" t="s">
        <v>690</v>
      </c>
      <c r="I729" s="13" t="s">
        <v>702</v>
      </c>
      <c r="J729" s="13" t="s">
        <v>1485</v>
      </c>
      <c r="K729" s="284">
        <v>45084</v>
      </c>
      <c r="L729" s="283">
        <f t="shared" si="165"/>
        <v>2</v>
      </c>
      <c r="M729" s="283" t="str">
        <f t="shared" si="166"/>
        <v>-</v>
      </c>
      <c r="N729" s="283" t="str">
        <f t="shared" si="167"/>
        <v>-</v>
      </c>
      <c r="O729" s="283" t="str">
        <f t="shared" si="168"/>
        <v>-</v>
      </c>
      <c r="P729" s="283" t="str">
        <f t="shared" si="169"/>
        <v>-</v>
      </c>
      <c r="Q729" s="283" t="str">
        <f t="shared" si="170"/>
        <v>-</v>
      </c>
      <c r="R729" s="283" t="str">
        <f t="shared" si="171"/>
        <v>-</v>
      </c>
      <c r="S729" s="283" t="str">
        <f t="shared" si="172"/>
        <v>-</v>
      </c>
      <c r="T729" s="283" t="str">
        <f t="shared" si="173"/>
        <v>-</v>
      </c>
      <c r="U729" s="283" t="str">
        <f t="shared" si="174"/>
        <v>-</v>
      </c>
      <c r="V729" s="283" t="str">
        <f t="shared" si="175"/>
        <v>-</v>
      </c>
      <c r="W729" s="1" t="str">
        <f t="shared" si="176"/>
        <v>http://www.mlit.go.jp/toshi/tosiko/toshi_tosiko_fr_000024.html/</v>
      </c>
      <c r="X729" s="1" t="str">
        <f t="shared" si="177"/>
        <v>http://www.mlit.go.jp/</v>
      </c>
      <c r="Y729" s="1" t="str">
        <f t="shared" si="178"/>
        <v>優先3</v>
      </c>
      <c r="Z729" s="1" t="str">
        <f t="shared" si="179"/>
        <v>Ministry of Land, Infrastructure, Transport and Tourism, Government of Japan [国土交通省]. "平成27年全国都市交通特性調査". Accessed 07 June, 2023. http://www.mlit.go.jp/.</v>
      </c>
    </row>
    <row r="730" spans="2:26">
      <c r="B730" s="285" t="s">
        <v>703</v>
      </c>
      <c r="C730" s="285" t="s">
        <v>464</v>
      </c>
      <c r="D730" s="285" t="s">
        <v>673</v>
      </c>
      <c r="E730" s="285" t="s">
        <v>158</v>
      </c>
      <c r="F730" s="13" t="s">
        <v>692</v>
      </c>
      <c r="G730" s="13" t="s">
        <v>691</v>
      </c>
      <c r="H730" s="13" t="s">
        <v>690</v>
      </c>
      <c r="I730" s="13" t="s">
        <v>702</v>
      </c>
      <c r="J730" s="13" t="s">
        <v>1485</v>
      </c>
      <c r="K730" s="284">
        <v>45084</v>
      </c>
      <c r="L730" s="283">
        <f t="shared" si="165"/>
        <v>2</v>
      </c>
      <c r="M730" s="283" t="str">
        <f t="shared" si="166"/>
        <v>-</v>
      </c>
      <c r="N730" s="283" t="str">
        <f t="shared" si="167"/>
        <v>-</v>
      </c>
      <c r="O730" s="283" t="str">
        <f t="shared" si="168"/>
        <v>-</v>
      </c>
      <c r="P730" s="283" t="str">
        <f t="shared" si="169"/>
        <v>-</v>
      </c>
      <c r="Q730" s="283" t="str">
        <f t="shared" si="170"/>
        <v>-</v>
      </c>
      <c r="R730" s="283" t="str">
        <f t="shared" si="171"/>
        <v>-</v>
      </c>
      <c r="S730" s="283" t="str">
        <f t="shared" si="172"/>
        <v>-</v>
      </c>
      <c r="T730" s="283" t="str">
        <f t="shared" si="173"/>
        <v>-</v>
      </c>
      <c r="U730" s="283" t="str">
        <f t="shared" si="174"/>
        <v>-</v>
      </c>
      <c r="V730" s="283" t="str">
        <f t="shared" si="175"/>
        <v>-</v>
      </c>
      <c r="W730" s="1" t="str">
        <f t="shared" si="176"/>
        <v>http://www.mlit.go.jp/toshi/tosiko/toshi_tosiko_fr_000024.html/</v>
      </c>
      <c r="X730" s="1" t="str">
        <f t="shared" si="177"/>
        <v>http://www.mlit.go.jp/</v>
      </c>
      <c r="Y730" s="1" t="str">
        <f t="shared" si="178"/>
        <v>優先3</v>
      </c>
      <c r="Z730" s="1" t="str">
        <f t="shared" si="179"/>
        <v>Ministry of Land, Infrastructure, Transport and Tourism, Government of Japan [国土交通省]. "平成27年全国都市交通特性調査". Accessed 07 June, 2023. http://www.mlit.go.jp/.</v>
      </c>
    </row>
    <row r="731" spans="2:26">
      <c r="B731" s="285" t="s">
        <v>700</v>
      </c>
      <c r="C731" s="285" t="s">
        <v>464</v>
      </c>
      <c r="D731" s="285" t="s">
        <v>688</v>
      </c>
      <c r="E731" s="285" t="s">
        <v>688</v>
      </c>
      <c r="F731" s="13" t="s">
        <v>701</v>
      </c>
      <c r="G731" s="13"/>
      <c r="H731" s="13"/>
      <c r="I731" s="13" t="s">
        <v>701</v>
      </c>
      <c r="J731" s="13" t="s">
        <v>2746</v>
      </c>
      <c r="K731" s="284">
        <v>45126</v>
      </c>
      <c r="L731" s="283" t="str">
        <f t="shared" si="165"/>
        <v>-</v>
      </c>
      <c r="M731" s="283" t="str">
        <f t="shared" si="166"/>
        <v>-</v>
      </c>
      <c r="N731" s="283" t="str">
        <f t="shared" si="167"/>
        <v>-</v>
      </c>
      <c r="O731" s="283" t="str">
        <f t="shared" si="168"/>
        <v>-</v>
      </c>
      <c r="P731" s="283" t="str">
        <f t="shared" si="169"/>
        <v>-</v>
      </c>
      <c r="Q731" s="283" t="str">
        <f t="shared" si="170"/>
        <v>-</v>
      </c>
      <c r="R731" s="283" t="str">
        <f t="shared" si="171"/>
        <v>-</v>
      </c>
      <c r="S731" s="283" t="str">
        <f t="shared" si="172"/>
        <v>-</v>
      </c>
      <c r="T731" s="283" t="str">
        <f t="shared" si="173"/>
        <v>-</v>
      </c>
      <c r="U731" s="283" t="str">
        <f t="shared" si="174"/>
        <v>-</v>
      </c>
      <c r="V731" s="283" t="str">
        <f t="shared" si="175"/>
        <v>-</v>
      </c>
      <c r="W731" s="1" t="str">
        <f t="shared" si="176"/>
        <v>https://maps.google.com/</v>
      </c>
      <c r="X731" s="1" t="str">
        <f t="shared" si="177"/>
        <v>https://maps.google.com/</v>
      </c>
      <c r="Y731" s="1" t="str">
        <f t="shared" si="178"/>
        <v>優先1</v>
      </c>
      <c r="Z731" s="1" t="str">
        <f t="shared" si="179"/>
        <v>Google Maps. "Google Maps". Accessed 19 July, 2023. https://maps.google.com/.</v>
      </c>
    </row>
    <row r="732" spans="2:26">
      <c r="B732" s="285" t="s">
        <v>700</v>
      </c>
      <c r="C732" s="285" t="s">
        <v>464</v>
      </c>
      <c r="D732" s="285" t="s">
        <v>673</v>
      </c>
      <c r="E732" s="285" t="s">
        <v>136</v>
      </c>
      <c r="F732" s="13" t="s">
        <v>4355</v>
      </c>
      <c r="G732" s="13"/>
      <c r="H732" s="13"/>
      <c r="I732" s="13" t="s">
        <v>4356</v>
      </c>
      <c r="J732" s="13" t="s">
        <v>4357</v>
      </c>
      <c r="K732" s="284">
        <v>45128</v>
      </c>
      <c r="L732" s="283">
        <f t="shared" si="165"/>
        <v>4</v>
      </c>
      <c r="M732" s="283" t="str">
        <f t="shared" si="166"/>
        <v>-</v>
      </c>
      <c r="N732" s="283" t="str">
        <f t="shared" si="167"/>
        <v>-</v>
      </c>
      <c r="O732" s="283" t="str">
        <f t="shared" si="168"/>
        <v>-</v>
      </c>
      <c r="P732" s="283" t="str">
        <f t="shared" si="169"/>
        <v>-</v>
      </c>
      <c r="Q732" s="283" t="str">
        <f t="shared" si="170"/>
        <v>-</v>
      </c>
      <c r="R732" s="283" t="str">
        <f t="shared" si="171"/>
        <v>-</v>
      </c>
      <c r="S732" s="283" t="str">
        <f t="shared" si="172"/>
        <v>-</v>
      </c>
      <c r="T732" s="283" t="str">
        <f t="shared" si="173"/>
        <v>-</v>
      </c>
      <c r="U732" s="283" t="str">
        <f t="shared" si="174"/>
        <v>-</v>
      </c>
      <c r="V732" s="283" t="str">
        <f t="shared" si="175"/>
        <v>-</v>
      </c>
      <c r="W732" s="1" t="str">
        <f t="shared" si="176"/>
        <v>https://www.rome2rio.com/</v>
      </c>
      <c r="X732" s="1" t="str">
        <f t="shared" si="177"/>
        <v>https://www.rome2rio.com/</v>
      </c>
      <c r="Y732" s="1" t="str">
        <f t="shared" si="178"/>
        <v>優先3</v>
      </c>
      <c r="Z732" s="1" t="str">
        <f t="shared" si="179"/>
        <v>Rome2Rio Pty Ltd. "Rome2Rio". Accessed 21 July, 2023. https://www.rome2rio.com/.</v>
      </c>
    </row>
    <row r="733" spans="2:26">
      <c r="B733" s="285" t="s">
        <v>700</v>
      </c>
      <c r="C733" s="285" t="s">
        <v>464</v>
      </c>
      <c r="D733" s="285" t="s">
        <v>673</v>
      </c>
      <c r="E733" s="285" t="s">
        <v>148</v>
      </c>
      <c r="F733" s="13" t="s">
        <v>4355</v>
      </c>
      <c r="G733" s="13"/>
      <c r="H733" s="13"/>
      <c r="I733" s="13" t="s">
        <v>4356</v>
      </c>
      <c r="J733" s="13" t="s">
        <v>4357</v>
      </c>
      <c r="K733" s="284">
        <v>45128</v>
      </c>
      <c r="L733" s="283">
        <f t="shared" si="165"/>
        <v>4</v>
      </c>
      <c r="M733" s="283" t="str">
        <f t="shared" si="166"/>
        <v>-</v>
      </c>
      <c r="N733" s="283" t="str">
        <f t="shared" si="167"/>
        <v>-</v>
      </c>
      <c r="O733" s="283" t="str">
        <f t="shared" si="168"/>
        <v>-</v>
      </c>
      <c r="P733" s="283" t="str">
        <f t="shared" si="169"/>
        <v>-</v>
      </c>
      <c r="Q733" s="283" t="str">
        <f t="shared" si="170"/>
        <v>-</v>
      </c>
      <c r="R733" s="283" t="str">
        <f t="shared" si="171"/>
        <v>-</v>
      </c>
      <c r="S733" s="283" t="str">
        <f t="shared" si="172"/>
        <v>-</v>
      </c>
      <c r="T733" s="283" t="str">
        <f t="shared" si="173"/>
        <v>-</v>
      </c>
      <c r="U733" s="283" t="str">
        <f t="shared" si="174"/>
        <v>-</v>
      </c>
      <c r="V733" s="283" t="str">
        <f t="shared" si="175"/>
        <v>-</v>
      </c>
      <c r="W733" s="1" t="str">
        <f t="shared" si="176"/>
        <v>https://www.rome2rio.com/</v>
      </c>
      <c r="X733" s="1" t="str">
        <f t="shared" si="177"/>
        <v>https://www.rome2rio.com/</v>
      </c>
      <c r="Y733" s="1" t="str">
        <f t="shared" si="178"/>
        <v>優先3</v>
      </c>
      <c r="Z733" s="1" t="str">
        <f t="shared" si="179"/>
        <v>Rome2Rio Pty Ltd. "Rome2Rio". Accessed 21 July, 2023. https://www.rome2rio.com/.</v>
      </c>
    </row>
    <row r="734" spans="2:26">
      <c r="B734" s="285" t="s">
        <v>700</v>
      </c>
      <c r="C734" s="285" t="s">
        <v>464</v>
      </c>
      <c r="D734" s="285" t="s">
        <v>673</v>
      </c>
      <c r="E734" s="285" t="s">
        <v>150</v>
      </c>
      <c r="F734" s="13" t="s">
        <v>4355</v>
      </c>
      <c r="G734" s="13"/>
      <c r="H734" s="13"/>
      <c r="I734" s="13" t="s">
        <v>4356</v>
      </c>
      <c r="J734" s="13" t="s">
        <v>4357</v>
      </c>
      <c r="K734" s="284">
        <v>45128</v>
      </c>
      <c r="L734" s="283">
        <f t="shared" si="165"/>
        <v>4</v>
      </c>
      <c r="M734" s="283" t="str">
        <f t="shared" si="166"/>
        <v>-</v>
      </c>
      <c r="N734" s="283" t="str">
        <f t="shared" si="167"/>
        <v>-</v>
      </c>
      <c r="O734" s="283" t="str">
        <f t="shared" si="168"/>
        <v>-</v>
      </c>
      <c r="P734" s="283" t="str">
        <f t="shared" si="169"/>
        <v>-</v>
      </c>
      <c r="Q734" s="283" t="str">
        <f t="shared" si="170"/>
        <v>-</v>
      </c>
      <c r="R734" s="283" t="str">
        <f t="shared" si="171"/>
        <v>-</v>
      </c>
      <c r="S734" s="283" t="str">
        <f t="shared" si="172"/>
        <v>-</v>
      </c>
      <c r="T734" s="283" t="str">
        <f t="shared" si="173"/>
        <v>-</v>
      </c>
      <c r="U734" s="283" t="str">
        <f t="shared" si="174"/>
        <v>-</v>
      </c>
      <c r="V734" s="283" t="str">
        <f t="shared" si="175"/>
        <v>-</v>
      </c>
      <c r="W734" s="1" t="str">
        <f t="shared" si="176"/>
        <v>https://www.rome2rio.com/</v>
      </c>
      <c r="X734" s="1" t="str">
        <f t="shared" si="177"/>
        <v>https://www.rome2rio.com/</v>
      </c>
      <c r="Y734" s="1" t="str">
        <f t="shared" si="178"/>
        <v>優先3</v>
      </c>
      <c r="Z734" s="1" t="str">
        <f t="shared" si="179"/>
        <v>Rome2Rio Pty Ltd. "Rome2Rio". Accessed 21 July, 2023. https://www.rome2rio.com/.</v>
      </c>
    </row>
    <row r="735" spans="2:26">
      <c r="B735" s="285" t="s">
        <v>700</v>
      </c>
      <c r="C735" s="285" t="s">
        <v>464</v>
      </c>
      <c r="D735" s="285" t="s">
        <v>673</v>
      </c>
      <c r="E735" s="285" t="s">
        <v>154</v>
      </c>
      <c r="F735" s="13" t="s">
        <v>4355</v>
      </c>
      <c r="G735" s="13"/>
      <c r="H735" s="13"/>
      <c r="I735" s="13" t="s">
        <v>4356</v>
      </c>
      <c r="J735" s="13" t="s">
        <v>4357</v>
      </c>
      <c r="K735" s="284">
        <v>45128</v>
      </c>
      <c r="L735" s="283">
        <f t="shared" si="165"/>
        <v>4</v>
      </c>
      <c r="M735" s="283" t="str">
        <f t="shared" si="166"/>
        <v>-</v>
      </c>
      <c r="N735" s="283" t="str">
        <f t="shared" si="167"/>
        <v>-</v>
      </c>
      <c r="O735" s="283" t="str">
        <f t="shared" si="168"/>
        <v>-</v>
      </c>
      <c r="P735" s="283" t="str">
        <f t="shared" si="169"/>
        <v>-</v>
      </c>
      <c r="Q735" s="283" t="str">
        <f t="shared" si="170"/>
        <v>-</v>
      </c>
      <c r="R735" s="283" t="str">
        <f t="shared" si="171"/>
        <v>-</v>
      </c>
      <c r="S735" s="283" t="str">
        <f t="shared" si="172"/>
        <v>-</v>
      </c>
      <c r="T735" s="283" t="str">
        <f t="shared" si="173"/>
        <v>-</v>
      </c>
      <c r="U735" s="283" t="str">
        <f t="shared" si="174"/>
        <v>-</v>
      </c>
      <c r="V735" s="283" t="str">
        <f t="shared" si="175"/>
        <v>-</v>
      </c>
      <c r="W735" s="1" t="str">
        <f t="shared" si="176"/>
        <v>https://www.rome2rio.com/</v>
      </c>
      <c r="X735" s="1" t="str">
        <f t="shared" si="177"/>
        <v>https://www.rome2rio.com/</v>
      </c>
      <c r="Y735" s="1" t="str">
        <f t="shared" si="178"/>
        <v>優先3</v>
      </c>
      <c r="Z735" s="1" t="str">
        <f t="shared" si="179"/>
        <v>Rome2Rio Pty Ltd. "Rome2Rio". Accessed 21 July, 2023. https://www.rome2rio.com/.</v>
      </c>
    </row>
    <row r="736" spans="2:26">
      <c r="B736" s="285" t="s">
        <v>699</v>
      </c>
      <c r="C736" s="285" t="s">
        <v>698</v>
      </c>
      <c r="D736" s="285" t="s">
        <v>688</v>
      </c>
      <c r="E736" s="285" t="s">
        <v>688</v>
      </c>
      <c r="F736" s="13" t="s">
        <v>681</v>
      </c>
      <c r="G736" s="13"/>
      <c r="H736" s="13"/>
      <c r="I736" s="13" t="s">
        <v>2744</v>
      </c>
      <c r="J736" s="13" t="s">
        <v>2745</v>
      </c>
      <c r="K736" s="284">
        <v>45084</v>
      </c>
      <c r="L736" s="283" t="str">
        <f t="shared" si="165"/>
        <v>-</v>
      </c>
      <c r="M736" s="283" t="str">
        <f t="shared" si="166"/>
        <v>-</v>
      </c>
      <c r="N736" s="283" t="str">
        <f t="shared" si="167"/>
        <v>-</v>
      </c>
      <c r="O736" s="283" t="str">
        <f t="shared" si="168"/>
        <v>-</v>
      </c>
      <c r="P736" s="283" t="str">
        <f t="shared" si="169"/>
        <v>-</v>
      </c>
      <c r="Q736" s="283" t="str">
        <f t="shared" si="170"/>
        <v>-</v>
      </c>
      <c r="R736" s="283" t="str">
        <f t="shared" si="171"/>
        <v>-</v>
      </c>
      <c r="S736" s="283" t="str">
        <f t="shared" si="172"/>
        <v>-</v>
      </c>
      <c r="T736" s="283" t="str">
        <f t="shared" si="173"/>
        <v>-</v>
      </c>
      <c r="U736" s="283" t="str">
        <f t="shared" si="174"/>
        <v>-</v>
      </c>
      <c r="V736" s="283" t="str">
        <f t="shared" si="175"/>
        <v>-</v>
      </c>
      <c r="W736" s="1" t="str">
        <f t="shared" si="176"/>
        <v>https://www.numbeo.com/traffic/</v>
      </c>
      <c r="X736" s="1" t="str">
        <f t="shared" si="177"/>
        <v>https://www.numbeo.com/</v>
      </c>
      <c r="Y736" s="1" t="str">
        <f t="shared" si="178"/>
        <v>優先2①</v>
      </c>
      <c r="Z736" s="1" t="str">
        <f t="shared" si="179"/>
        <v>Numbeo. "Traffic". Accessed 07 June, 2023. https://www.numbeo.com/.</v>
      </c>
    </row>
    <row r="737" spans="2:26">
      <c r="B737" s="285" t="s">
        <v>699</v>
      </c>
      <c r="C737" s="285" t="s">
        <v>698</v>
      </c>
      <c r="D737" s="285" t="s">
        <v>673</v>
      </c>
      <c r="E737" s="285" t="s">
        <v>156</v>
      </c>
      <c r="F737" s="13" t="s">
        <v>697</v>
      </c>
      <c r="G737" s="13" t="s">
        <v>691</v>
      </c>
      <c r="H737" s="13" t="s">
        <v>696</v>
      </c>
      <c r="I737" s="13" t="s">
        <v>4358</v>
      </c>
      <c r="J737" s="13" t="s">
        <v>4359</v>
      </c>
      <c r="K737" s="284">
        <v>45084</v>
      </c>
      <c r="L737" s="283">
        <f t="shared" si="165"/>
        <v>2</v>
      </c>
      <c r="M737" s="283" t="str">
        <f t="shared" si="166"/>
        <v>-</v>
      </c>
      <c r="N737" s="283" t="str">
        <f t="shared" si="167"/>
        <v>-</v>
      </c>
      <c r="O737" s="283" t="str">
        <f t="shared" si="168"/>
        <v>-</v>
      </c>
      <c r="P737" s="283" t="str">
        <f t="shared" si="169"/>
        <v>-</v>
      </c>
      <c r="Q737" s="283" t="str">
        <f t="shared" si="170"/>
        <v>-</v>
      </c>
      <c r="R737" s="283" t="str">
        <f t="shared" si="171"/>
        <v>NG</v>
      </c>
      <c r="S737" s="283" t="str">
        <f t="shared" si="172"/>
        <v>-</v>
      </c>
      <c r="T737" s="283" t="str">
        <f t="shared" si="173"/>
        <v>-</v>
      </c>
      <c r="U737" s="283" t="str">
        <f t="shared" si="174"/>
        <v>-</v>
      </c>
      <c r="V737" s="283" t="str">
        <f t="shared" si="175"/>
        <v>-</v>
      </c>
      <c r="W737" s="1" t="str">
        <f t="shared" si="176"/>
        <v>https://www.e-stat.go.jp/stat-search/files?page=1&amp;layout=datalist&amp;toukei=00200522&amp;tstat=000001127155&amp;cycle=0&amp;year=20180&amp;month=0&amp;tclass1=000001129435&amp;tclass2=000001129436/</v>
      </c>
      <c r="X737" s="1" t="str">
        <f t="shared" si="177"/>
        <v>https://www.e-stat.go.jp/</v>
      </c>
      <c r="Y737" s="1" t="str">
        <f t="shared" si="178"/>
        <v>優先3</v>
      </c>
      <c r="Z737" s="1" t="str">
        <f t="shared" si="179"/>
        <v>Ministry of Internal Affairs and Communications, Government of Japan [総務省]. "平成30年住宅・土地統計調査　住宅及び世帯に関する基本集計". Accessed 07 June, 2023. https://www.e-stat.go.jp/.</v>
      </c>
    </row>
    <row r="738" spans="2:26">
      <c r="B738" s="285" t="s">
        <v>699</v>
      </c>
      <c r="C738" s="285" t="s">
        <v>698</v>
      </c>
      <c r="D738" s="285" t="s">
        <v>673</v>
      </c>
      <c r="E738" s="285" t="s">
        <v>158</v>
      </c>
      <c r="F738" s="13" t="s">
        <v>697</v>
      </c>
      <c r="G738" s="13" t="s">
        <v>691</v>
      </c>
      <c r="H738" s="13" t="s">
        <v>696</v>
      </c>
      <c r="I738" s="13" t="s">
        <v>4358</v>
      </c>
      <c r="J738" s="13" t="s">
        <v>4359</v>
      </c>
      <c r="K738" s="284">
        <v>45084</v>
      </c>
      <c r="L738" s="283">
        <f t="shared" si="165"/>
        <v>2</v>
      </c>
      <c r="M738" s="283" t="str">
        <f t="shared" si="166"/>
        <v>-</v>
      </c>
      <c r="N738" s="283" t="str">
        <f t="shared" si="167"/>
        <v>-</v>
      </c>
      <c r="O738" s="283" t="str">
        <f t="shared" si="168"/>
        <v>-</v>
      </c>
      <c r="P738" s="283" t="str">
        <f t="shared" si="169"/>
        <v>-</v>
      </c>
      <c r="Q738" s="283" t="str">
        <f t="shared" si="170"/>
        <v>-</v>
      </c>
      <c r="R738" s="283" t="str">
        <f t="shared" si="171"/>
        <v>NG</v>
      </c>
      <c r="S738" s="283" t="str">
        <f t="shared" si="172"/>
        <v>-</v>
      </c>
      <c r="T738" s="283" t="str">
        <f t="shared" si="173"/>
        <v>-</v>
      </c>
      <c r="U738" s="283" t="str">
        <f t="shared" si="174"/>
        <v>-</v>
      </c>
      <c r="V738" s="283" t="str">
        <f t="shared" si="175"/>
        <v>-</v>
      </c>
      <c r="W738" s="1" t="str">
        <f t="shared" si="176"/>
        <v>https://www.e-stat.go.jp/stat-search/files?page=1&amp;layout=datalist&amp;toukei=00200522&amp;tstat=000001127155&amp;cycle=0&amp;year=20180&amp;month=0&amp;tclass1=000001129435&amp;tclass2=000001129436/</v>
      </c>
      <c r="X738" s="1" t="str">
        <f t="shared" si="177"/>
        <v>https://www.e-stat.go.jp/</v>
      </c>
      <c r="Y738" s="1" t="str">
        <f t="shared" si="178"/>
        <v>優先3</v>
      </c>
      <c r="Z738" s="1" t="str">
        <f t="shared" si="179"/>
        <v>Ministry of Internal Affairs and Communications, Government of Japan [総務省]. "平成30年住宅・土地統計調査　住宅及び世帯に関する基本集計". Accessed 07 June, 2023. https://www.e-stat.go.jp/.</v>
      </c>
    </row>
    <row r="739" spans="2:26">
      <c r="B739" s="285" t="s">
        <v>699</v>
      </c>
      <c r="C739" s="285" t="s">
        <v>716</v>
      </c>
      <c r="D739" s="285" t="s">
        <v>688</v>
      </c>
      <c r="E739" s="285" t="s">
        <v>688</v>
      </c>
      <c r="F739" s="13" t="s">
        <v>1029</v>
      </c>
      <c r="G739" s="13"/>
      <c r="H739" s="13"/>
      <c r="I739" s="13"/>
      <c r="J739" s="13"/>
      <c r="K739" s="284"/>
      <c r="L739" s="283" t="str">
        <f t="shared" si="165"/>
        <v>-</v>
      </c>
      <c r="M739" s="283" t="str">
        <f t="shared" si="166"/>
        <v>書籍</v>
      </c>
      <c r="N739" s="283" t="str">
        <f t="shared" si="167"/>
        <v>-</v>
      </c>
      <c r="O739" s="283" t="str">
        <f t="shared" si="168"/>
        <v>-</v>
      </c>
      <c r="P739" s="283" t="str">
        <f t="shared" si="169"/>
        <v>-</v>
      </c>
      <c r="Q739" s="283" t="str">
        <f t="shared" si="170"/>
        <v>-</v>
      </c>
      <c r="R739" s="283" t="str">
        <f t="shared" si="171"/>
        <v>-</v>
      </c>
      <c r="S739" s="283" t="str">
        <f t="shared" si="172"/>
        <v>-</v>
      </c>
      <c r="T739" s="283" t="str">
        <f t="shared" si="173"/>
        <v>-</v>
      </c>
      <c r="U739" s="283" t="str">
        <f t="shared" si="174"/>
        <v>-</v>
      </c>
      <c r="V739" s="283" t="str">
        <f t="shared" si="175"/>
        <v>-</v>
      </c>
      <c r="W739" s="1" t="str">
        <f t="shared" si="176"/>
        <v/>
      </c>
      <c r="X739" s="1" t="str">
        <f t="shared" si="177"/>
        <v/>
      </c>
      <c r="Y739" s="1" t="str">
        <f t="shared" si="178"/>
        <v>優先2②</v>
      </c>
      <c r="Z739" s="1" t="str">
        <f t="shared" si="179"/>
        <v>居住者アンケート</v>
      </c>
    </row>
    <row r="740" spans="2:26">
      <c r="B740" s="285" t="s">
        <v>693</v>
      </c>
      <c r="C740" s="285" t="s">
        <v>464</v>
      </c>
      <c r="D740" s="285" t="s">
        <v>688</v>
      </c>
      <c r="E740" s="285" t="s">
        <v>688</v>
      </c>
      <c r="F740" s="13" t="s">
        <v>695</v>
      </c>
      <c r="G740" s="13"/>
      <c r="H740" s="13"/>
      <c r="I740" s="13" t="s">
        <v>694</v>
      </c>
      <c r="J740" s="13" t="s">
        <v>4360</v>
      </c>
      <c r="K740" s="284">
        <v>45076</v>
      </c>
      <c r="L740" s="283" t="str">
        <f t="shared" si="165"/>
        <v>-</v>
      </c>
      <c r="M740" s="283" t="str">
        <f t="shared" si="166"/>
        <v>-</v>
      </c>
      <c r="N740" s="283" t="str">
        <f t="shared" si="167"/>
        <v>-</v>
      </c>
      <c r="O740" s="283" t="str">
        <f t="shared" si="168"/>
        <v>-</v>
      </c>
      <c r="P740" s="283" t="str">
        <f t="shared" si="169"/>
        <v>-</v>
      </c>
      <c r="Q740" s="283" t="str">
        <f t="shared" si="170"/>
        <v>-</v>
      </c>
      <c r="R740" s="283" t="str">
        <f t="shared" si="171"/>
        <v>-</v>
      </c>
      <c r="S740" s="283" t="str">
        <f t="shared" si="172"/>
        <v>-</v>
      </c>
      <c r="T740" s="283" t="str">
        <f t="shared" si="173"/>
        <v>-</v>
      </c>
      <c r="U740" s="283" t="str">
        <f t="shared" si="174"/>
        <v>-</v>
      </c>
      <c r="V740" s="283" t="str">
        <f t="shared" si="175"/>
        <v>-</v>
      </c>
      <c r="W740" s="1" t="str">
        <f t="shared" si="176"/>
        <v>https://www.tomtom.com/traffic-index/ranking/</v>
      </c>
      <c r="X740" s="1" t="str">
        <f t="shared" si="177"/>
        <v>https://www.tomtom.com/</v>
      </c>
      <c r="Y740" s="1" t="str">
        <f t="shared" si="178"/>
        <v>優先1</v>
      </c>
      <c r="Z740" s="1" t="str">
        <f t="shared" si="179"/>
        <v>TomTom. "Traffic Index". Accessed 30 May, 2023. https://www.tomtom.com/.</v>
      </c>
    </row>
    <row r="741" spans="2:26">
      <c r="B741" s="285" t="s">
        <v>693</v>
      </c>
      <c r="C741" s="285" t="s">
        <v>464</v>
      </c>
      <c r="D741" s="285" t="s">
        <v>673</v>
      </c>
      <c r="E741" s="285" t="s">
        <v>136</v>
      </c>
      <c r="F741" s="13" t="s">
        <v>681</v>
      </c>
      <c r="G741" s="13"/>
      <c r="H741" s="13"/>
      <c r="I741" s="13" t="s">
        <v>2744</v>
      </c>
      <c r="J741" s="13" t="s">
        <v>2745</v>
      </c>
      <c r="K741" s="284">
        <v>45169</v>
      </c>
      <c r="L741" s="283">
        <f t="shared" si="165"/>
        <v>4</v>
      </c>
      <c r="M741" s="283" t="str">
        <f t="shared" si="166"/>
        <v>-</v>
      </c>
      <c r="N741" s="283" t="str">
        <f t="shared" si="167"/>
        <v>-</v>
      </c>
      <c r="O741" s="283" t="str">
        <f t="shared" si="168"/>
        <v>-</v>
      </c>
      <c r="P741" s="283" t="str">
        <f t="shared" si="169"/>
        <v>-</v>
      </c>
      <c r="Q741" s="283" t="str">
        <f t="shared" si="170"/>
        <v>-</v>
      </c>
      <c r="R741" s="283" t="str">
        <f t="shared" si="171"/>
        <v>-</v>
      </c>
      <c r="S741" s="283" t="str">
        <f t="shared" si="172"/>
        <v>-</v>
      </c>
      <c r="T741" s="283" t="str">
        <f t="shared" si="173"/>
        <v>-</v>
      </c>
      <c r="U741" s="283" t="str">
        <f t="shared" si="174"/>
        <v>-</v>
      </c>
      <c r="V741" s="283" t="str">
        <f t="shared" si="175"/>
        <v>-</v>
      </c>
      <c r="W741" s="1" t="str">
        <f t="shared" si="176"/>
        <v>https://www.numbeo.com/traffic/</v>
      </c>
      <c r="X741" s="1" t="str">
        <f t="shared" si="177"/>
        <v>https://www.numbeo.com/</v>
      </c>
      <c r="Y741" s="1" t="str">
        <f t="shared" si="178"/>
        <v>優先3</v>
      </c>
      <c r="Z741" s="1" t="str">
        <f t="shared" si="179"/>
        <v>Numbeo. "Traffic". Accessed 31 August, 2023. https://www.numbeo.com/.</v>
      </c>
    </row>
    <row r="742" spans="2:26">
      <c r="B742" s="285" t="s">
        <v>693</v>
      </c>
      <c r="C742" s="285" t="s">
        <v>464</v>
      </c>
      <c r="D742" s="285" t="s">
        <v>673</v>
      </c>
      <c r="E742" s="285" t="s">
        <v>148</v>
      </c>
      <c r="F742" s="13" t="s">
        <v>681</v>
      </c>
      <c r="G742" s="13"/>
      <c r="H742" s="13"/>
      <c r="I742" s="13" t="s">
        <v>2744</v>
      </c>
      <c r="J742" s="13" t="s">
        <v>2745</v>
      </c>
      <c r="K742" s="284">
        <v>45169</v>
      </c>
      <c r="L742" s="283">
        <f t="shared" si="165"/>
        <v>4</v>
      </c>
      <c r="M742" s="283" t="str">
        <f t="shared" si="166"/>
        <v>-</v>
      </c>
      <c r="N742" s="283" t="str">
        <f t="shared" si="167"/>
        <v>-</v>
      </c>
      <c r="O742" s="283" t="str">
        <f t="shared" si="168"/>
        <v>-</v>
      </c>
      <c r="P742" s="283" t="str">
        <f t="shared" si="169"/>
        <v>-</v>
      </c>
      <c r="Q742" s="283" t="str">
        <f t="shared" si="170"/>
        <v>-</v>
      </c>
      <c r="R742" s="283" t="str">
        <f t="shared" si="171"/>
        <v>-</v>
      </c>
      <c r="S742" s="283" t="str">
        <f t="shared" si="172"/>
        <v>-</v>
      </c>
      <c r="T742" s="283" t="str">
        <f t="shared" si="173"/>
        <v>-</v>
      </c>
      <c r="U742" s="283" t="str">
        <f t="shared" si="174"/>
        <v>-</v>
      </c>
      <c r="V742" s="283" t="str">
        <f t="shared" si="175"/>
        <v>-</v>
      </c>
      <c r="W742" s="1" t="str">
        <f t="shared" si="176"/>
        <v>https://www.numbeo.com/traffic/</v>
      </c>
      <c r="X742" s="1" t="str">
        <f t="shared" si="177"/>
        <v>https://www.numbeo.com/</v>
      </c>
      <c r="Y742" s="1" t="str">
        <f t="shared" si="178"/>
        <v>優先3</v>
      </c>
      <c r="Z742" s="1" t="str">
        <f t="shared" si="179"/>
        <v>Numbeo. "Traffic". Accessed 31 August, 2023. https://www.numbeo.com/.</v>
      </c>
    </row>
    <row r="743" spans="2:26">
      <c r="B743" s="285" t="s">
        <v>693</v>
      </c>
      <c r="C743" s="285" t="s">
        <v>464</v>
      </c>
      <c r="D743" s="285" t="s">
        <v>673</v>
      </c>
      <c r="E743" s="285" t="s">
        <v>150</v>
      </c>
      <c r="F743" s="13" t="s">
        <v>681</v>
      </c>
      <c r="G743" s="13"/>
      <c r="H743" s="13"/>
      <c r="I743" s="13" t="s">
        <v>2744</v>
      </c>
      <c r="J743" s="13" t="s">
        <v>2745</v>
      </c>
      <c r="K743" s="284">
        <v>45169</v>
      </c>
      <c r="L743" s="283">
        <f t="shared" si="165"/>
        <v>4</v>
      </c>
      <c r="M743" s="283" t="str">
        <f t="shared" si="166"/>
        <v>-</v>
      </c>
      <c r="N743" s="283" t="str">
        <f t="shared" si="167"/>
        <v>-</v>
      </c>
      <c r="O743" s="283" t="str">
        <f t="shared" si="168"/>
        <v>-</v>
      </c>
      <c r="P743" s="283" t="str">
        <f t="shared" si="169"/>
        <v>-</v>
      </c>
      <c r="Q743" s="283" t="str">
        <f t="shared" si="170"/>
        <v>-</v>
      </c>
      <c r="R743" s="283" t="str">
        <f t="shared" si="171"/>
        <v>-</v>
      </c>
      <c r="S743" s="283" t="str">
        <f t="shared" si="172"/>
        <v>-</v>
      </c>
      <c r="T743" s="283" t="str">
        <f t="shared" si="173"/>
        <v>-</v>
      </c>
      <c r="U743" s="283" t="str">
        <f t="shared" si="174"/>
        <v>-</v>
      </c>
      <c r="V743" s="283" t="str">
        <f t="shared" si="175"/>
        <v>-</v>
      </c>
      <c r="W743" s="1" t="str">
        <f t="shared" si="176"/>
        <v>https://www.numbeo.com/traffic/</v>
      </c>
      <c r="X743" s="1" t="str">
        <f t="shared" si="177"/>
        <v>https://www.numbeo.com/</v>
      </c>
      <c r="Y743" s="1" t="str">
        <f t="shared" si="178"/>
        <v>優先3</v>
      </c>
      <c r="Z743" s="1" t="str">
        <f t="shared" si="179"/>
        <v>Numbeo. "Traffic". Accessed 31 August, 2023. https://www.numbeo.com/.</v>
      </c>
    </row>
    <row r="744" spans="2:26">
      <c r="B744" s="285" t="s">
        <v>693</v>
      </c>
      <c r="C744" s="285" t="s">
        <v>464</v>
      </c>
      <c r="D744" s="285" t="s">
        <v>673</v>
      </c>
      <c r="E744" s="285" t="s">
        <v>154</v>
      </c>
      <c r="F744" s="13" t="s">
        <v>681</v>
      </c>
      <c r="G744" s="13"/>
      <c r="H744" s="13"/>
      <c r="I744" s="13" t="s">
        <v>2744</v>
      </c>
      <c r="J744" s="13" t="s">
        <v>2745</v>
      </c>
      <c r="K744" s="284">
        <v>45169</v>
      </c>
      <c r="L744" s="283">
        <f t="shared" si="165"/>
        <v>4</v>
      </c>
      <c r="M744" s="283" t="str">
        <f t="shared" si="166"/>
        <v>-</v>
      </c>
      <c r="N744" s="283" t="str">
        <f t="shared" si="167"/>
        <v>-</v>
      </c>
      <c r="O744" s="283" t="str">
        <f t="shared" si="168"/>
        <v>-</v>
      </c>
      <c r="P744" s="283" t="str">
        <f t="shared" si="169"/>
        <v>-</v>
      </c>
      <c r="Q744" s="283" t="str">
        <f t="shared" si="170"/>
        <v>-</v>
      </c>
      <c r="R744" s="283" t="str">
        <f t="shared" si="171"/>
        <v>-</v>
      </c>
      <c r="S744" s="283" t="str">
        <f t="shared" si="172"/>
        <v>-</v>
      </c>
      <c r="T744" s="283" t="str">
        <f t="shared" si="173"/>
        <v>-</v>
      </c>
      <c r="U744" s="283" t="str">
        <f t="shared" si="174"/>
        <v>-</v>
      </c>
      <c r="V744" s="283" t="str">
        <f t="shared" si="175"/>
        <v>-</v>
      </c>
      <c r="W744" s="1" t="str">
        <f t="shared" si="176"/>
        <v>https://www.numbeo.com/traffic/</v>
      </c>
      <c r="X744" s="1" t="str">
        <f t="shared" si="177"/>
        <v>https://www.numbeo.com/</v>
      </c>
      <c r="Y744" s="1" t="str">
        <f t="shared" si="178"/>
        <v>優先3</v>
      </c>
      <c r="Z744" s="1" t="str">
        <f t="shared" si="179"/>
        <v>Numbeo. "Traffic". Accessed 31 August, 2023. https://www.numbeo.com/.</v>
      </c>
    </row>
    <row r="745" spans="2:26">
      <c r="B745" s="285" t="s">
        <v>693</v>
      </c>
      <c r="C745" s="285" t="s">
        <v>464</v>
      </c>
      <c r="D745" s="285" t="s">
        <v>673</v>
      </c>
      <c r="E745" s="285" t="s">
        <v>156</v>
      </c>
      <c r="F745" s="13" t="s">
        <v>692</v>
      </c>
      <c r="G745" s="13" t="s">
        <v>691</v>
      </c>
      <c r="H745" s="13" t="s">
        <v>690</v>
      </c>
      <c r="I745" s="13" t="s">
        <v>689</v>
      </c>
      <c r="J745" s="13" t="s">
        <v>3817</v>
      </c>
      <c r="K745" s="284">
        <v>45111</v>
      </c>
      <c r="L745" s="283" t="str">
        <f t="shared" si="165"/>
        <v>-</v>
      </c>
      <c r="M745" s="283" t="str">
        <f t="shared" si="166"/>
        <v>-</v>
      </c>
      <c r="N745" s="283" t="str">
        <f t="shared" si="167"/>
        <v>-</v>
      </c>
      <c r="O745" s="283" t="str">
        <f t="shared" si="168"/>
        <v>-</v>
      </c>
      <c r="P745" s="283" t="str">
        <f t="shared" si="169"/>
        <v>-</v>
      </c>
      <c r="Q745" s="283" t="str">
        <f t="shared" si="170"/>
        <v>-</v>
      </c>
      <c r="R745" s="283" t="str">
        <f t="shared" si="171"/>
        <v>-</v>
      </c>
      <c r="S745" s="283" t="str">
        <f t="shared" si="172"/>
        <v>-</v>
      </c>
      <c r="T745" s="283" t="str">
        <f t="shared" si="173"/>
        <v>-</v>
      </c>
      <c r="U745" s="283" t="str">
        <f t="shared" si="174"/>
        <v>-</v>
      </c>
      <c r="V745" s="283" t="str">
        <f t="shared" si="175"/>
        <v>-</v>
      </c>
      <c r="W745" s="1" t="str">
        <f t="shared" si="176"/>
        <v>https://www.mlit.go.jp/road/ir/ir-data/ir-data.html/</v>
      </c>
      <c r="X745" s="1" t="str">
        <f t="shared" si="177"/>
        <v>https://www.mlit.go.jp/</v>
      </c>
      <c r="Y745" s="1" t="str">
        <f t="shared" si="178"/>
        <v>優先3</v>
      </c>
      <c r="Z745" s="1" t="str">
        <f t="shared" si="179"/>
        <v>Ministry of Land, Infrastructure, Transport and Tourism, Government of Japan [国土交通省]. "平成27年度 全国道路・街路交通情勢調査". Accessed 04 July, 2023. https://www.mlit.go.jp/.</v>
      </c>
    </row>
    <row r="746" spans="2:26">
      <c r="B746" s="285" t="s">
        <v>678</v>
      </c>
      <c r="C746" s="285" t="s">
        <v>698</v>
      </c>
      <c r="D746" s="285" t="s">
        <v>688</v>
      </c>
      <c r="E746" s="285" t="s">
        <v>688</v>
      </c>
      <c r="F746" s="13" t="s">
        <v>4364</v>
      </c>
      <c r="G746" s="13"/>
      <c r="H746" s="13"/>
      <c r="I746" s="13" t="s">
        <v>4365</v>
      </c>
      <c r="J746" s="13" t="s">
        <v>4366</v>
      </c>
      <c r="K746" s="284">
        <v>45107</v>
      </c>
      <c r="L746" s="283" t="str">
        <f t="shared" si="165"/>
        <v>-</v>
      </c>
      <c r="M746" s="283" t="str">
        <f t="shared" si="166"/>
        <v>-</v>
      </c>
      <c r="N746" s="283" t="str">
        <f t="shared" si="167"/>
        <v>-</v>
      </c>
      <c r="O746" s="283" t="str">
        <f t="shared" si="168"/>
        <v>-</v>
      </c>
      <c r="P746" s="283" t="str">
        <f t="shared" si="169"/>
        <v>-</v>
      </c>
      <c r="Q746" s="283" t="str">
        <f t="shared" si="170"/>
        <v>-</v>
      </c>
      <c r="R746" s="283" t="str">
        <f t="shared" si="171"/>
        <v>-</v>
      </c>
      <c r="S746" s="283" t="str">
        <f t="shared" si="172"/>
        <v>-</v>
      </c>
      <c r="T746" s="283" t="str">
        <f t="shared" si="173"/>
        <v>-</v>
      </c>
      <c r="U746" s="283" t="str">
        <f t="shared" si="174"/>
        <v>-</v>
      </c>
      <c r="V746" s="283" t="str">
        <f t="shared" si="175"/>
        <v>NG</v>
      </c>
      <c r="W746" s="1" t="str">
        <f t="shared" si="176"/>
        <v>https://www.priceoftravel.com/</v>
      </c>
      <c r="X746" s="1" t="str">
        <f t="shared" si="177"/>
        <v>https://www.priceoftravel.com/</v>
      </c>
      <c r="Y746" s="1" t="str">
        <f t="shared" si="178"/>
        <v>優先2①</v>
      </c>
      <c r="Z746" s="1" t="str">
        <f t="shared" si="179"/>
        <v>Price of Travel . "PRICE GUIDE". Accessed 30 June, 2023. https://www.priceoftravel.com/.</v>
      </c>
    </row>
    <row r="747" spans="2:26">
      <c r="B747" s="285" t="s">
        <v>678</v>
      </c>
      <c r="C747" s="285" t="s">
        <v>698</v>
      </c>
      <c r="D747" s="285" t="s">
        <v>673</v>
      </c>
      <c r="E747" s="285" t="s">
        <v>116</v>
      </c>
      <c r="F747" s="13" t="s">
        <v>4367</v>
      </c>
      <c r="G747" s="13"/>
      <c r="H747" s="13"/>
      <c r="I747" s="13" t="s">
        <v>4368</v>
      </c>
      <c r="J747" s="13" t="s">
        <v>4369</v>
      </c>
      <c r="K747" s="284">
        <v>45142</v>
      </c>
      <c r="L747" s="283" t="str">
        <f t="shared" si="165"/>
        <v>-</v>
      </c>
      <c r="M747" s="283" t="str">
        <f t="shared" si="166"/>
        <v>-</v>
      </c>
      <c r="N747" s="283" t="str">
        <f t="shared" si="167"/>
        <v>-</v>
      </c>
      <c r="O747" s="283" t="str">
        <f t="shared" si="168"/>
        <v>-</v>
      </c>
      <c r="P747" s="283" t="str">
        <f t="shared" si="169"/>
        <v>-</v>
      </c>
      <c r="Q747" s="283" t="str">
        <f t="shared" si="170"/>
        <v>-</v>
      </c>
      <c r="R747" s="283" t="str">
        <f t="shared" si="171"/>
        <v>-</v>
      </c>
      <c r="S747" s="283" t="str">
        <f t="shared" si="172"/>
        <v>-</v>
      </c>
      <c r="T747" s="283" t="str">
        <f t="shared" si="173"/>
        <v>-</v>
      </c>
      <c r="U747" s="283" t="str">
        <f t="shared" si="174"/>
        <v>-</v>
      </c>
      <c r="V747" s="283" t="str">
        <f t="shared" si="175"/>
        <v>-</v>
      </c>
      <c r="W747" s="1" t="str">
        <f t="shared" si="176"/>
        <v>https://www.bettertaxi.com/taxi-fare-calculator/geneva/</v>
      </c>
      <c r="X747" s="1" t="str">
        <f t="shared" si="177"/>
        <v>https://www.bettertaxi.com/</v>
      </c>
      <c r="Y747" s="1" t="str">
        <f t="shared" si="178"/>
        <v>優先3</v>
      </c>
      <c r="Z747" s="1" t="str">
        <f t="shared" si="179"/>
        <v>Bettertaxi.com. "Taxi fares are based on the current taxi tariffs of Geneva". Accessed 04 August, 2023. https://www.bettertaxi.com/.</v>
      </c>
    </row>
    <row r="748" spans="2:26">
      <c r="B748" s="285" t="s">
        <v>678</v>
      </c>
      <c r="C748" s="285" t="s">
        <v>698</v>
      </c>
      <c r="D748" s="285" t="s">
        <v>673</v>
      </c>
      <c r="E748" s="285" t="s">
        <v>118</v>
      </c>
      <c r="F748" s="13" t="s">
        <v>4367</v>
      </c>
      <c r="G748" s="13"/>
      <c r="H748" s="13"/>
      <c r="I748" s="13" t="s">
        <v>4370</v>
      </c>
      <c r="J748" s="13" t="s">
        <v>4371</v>
      </c>
      <c r="K748" s="284">
        <v>45142</v>
      </c>
      <c r="L748" s="283" t="str">
        <f t="shared" si="165"/>
        <v>-</v>
      </c>
      <c r="M748" s="283" t="str">
        <f t="shared" si="166"/>
        <v>-</v>
      </c>
      <c r="N748" s="283" t="str">
        <f t="shared" si="167"/>
        <v>-</v>
      </c>
      <c r="O748" s="283" t="str">
        <f t="shared" si="168"/>
        <v>-</v>
      </c>
      <c r="P748" s="283" t="str">
        <f t="shared" si="169"/>
        <v>-</v>
      </c>
      <c r="Q748" s="283" t="str">
        <f t="shared" si="170"/>
        <v>-</v>
      </c>
      <c r="R748" s="283" t="str">
        <f t="shared" si="171"/>
        <v>-</v>
      </c>
      <c r="S748" s="283" t="str">
        <f t="shared" si="172"/>
        <v>-</v>
      </c>
      <c r="T748" s="283" t="str">
        <f t="shared" si="173"/>
        <v>-</v>
      </c>
      <c r="U748" s="283" t="str">
        <f t="shared" si="174"/>
        <v>-</v>
      </c>
      <c r="V748" s="283" t="str">
        <f t="shared" si="175"/>
        <v>-</v>
      </c>
      <c r="W748" s="1" t="str">
        <f t="shared" si="176"/>
        <v>https://www.bettertaxi.com/taxi-fare-calculator/frankfurt/</v>
      </c>
      <c r="X748" s="1" t="str">
        <f t="shared" si="177"/>
        <v>https://www.bettertaxi.com/</v>
      </c>
      <c r="Y748" s="1" t="str">
        <f t="shared" si="178"/>
        <v>優先3</v>
      </c>
      <c r="Z748" s="1" t="str">
        <f t="shared" si="179"/>
        <v>Bettertaxi.com. "Taxi fares are based on the current taxi tariffs of Frankfurt am Main". Accessed 04 August, 2023. https://www.bettertaxi.com/.</v>
      </c>
    </row>
    <row r="749" spans="2:26">
      <c r="B749" s="285" t="s">
        <v>678</v>
      </c>
      <c r="C749" s="285" t="s">
        <v>698</v>
      </c>
      <c r="D749" s="285" t="s">
        <v>673</v>
      </c>
      <c r="E749" s="285" t="s">
        <v>144</v>
      </c>
      <c r="F749" s="13" t="s">
        <v>685</v>
      </c>
      <c r="G749" s="13"/>
      <c r="H749" s="13"/>
      <c r="I749" s="13" t="s">
        <v>684</v>
      </c>
      <c r="J749" s="13" t="s">
        <v>1486</v>
      </c>
      <c r="K749" s="284">
        <v>45106</v>
      </c>
      <c r="L749" s="283" t="str">
        <f t="shared" si="165"/>
        <v>-</v>
      </c>
      <c r="M749" s="283" t="str">
        <f t="shared" si="166"/>
        <v>-</v>
      </c>
      <c r="N749" s="283" t="str">
        <f t="shared" si="167"/>
        <v>-</v>
      </c>
      <c r="O749" s="283" t="str">
        <f t="shared" si="168"/>
        <v>-</v>
      </c>
      <c r="P749" s="283" t="str">
        <f t="shared" si="169"/>
        <v>-</v>
      </c>
      <c r="Q749" s="283" t="str">
        <f t="shared" si="170"/>
        <v>-</v>
      </c>
      <c r="R749" s="283" t="str">
        <f t="shared" si="171"/>
        <v>-</v>
      </c>
      <c r="S749" s="283" t="str">
        <f t="shared" si="172"/>
        <v>-</v>
      </c>
      <c r="T749" s="283" t="str">
        <f t="shared" si="173"/>
        <v>-</v>
      </c>
      <c r="U749" s="283" t="str">
        <f t="shared" si="174"/>
        <v>-</v>
      </c>
      <c r="V749" s="283" t="str">
        <f t="shared" si="175"/>
        <v>-</v>
      </c>
      <c r="W749" s="1" t="str">
        <f t="shared" si="176"/>
        <v>https://www.taxisingapore.com/taxi-fare/</v>
      </c>
      <c r="X749" s="1" t="str">
        <f t="shared" si="177"/>
        <v>https://www.taxisingapore.com/</v>
      </c>
      <c r="Y749" s="1" t="str">
        <f t="shared" si="178"/>
        <v>優先3</v>
      </c>
      <c r="Z749" s="1" t="str">
        <f t="shared" si="179"/>
        <v>Taxi Singapore. "Basic fare". Accessed 29 June, 2023. https://www.taxisingapore.com/.</v>
      </c>
    </row>
    <row r="750" spans="2:26">
      <c r="B750" s="285" t="s">
        <v>678</v>
      </c>
      <c r="C750" s="285" t="s">
        <v>698</v>
      </c>
      <c r="D750" s="285" t="s">
        <v>673</v>
      </c>
      <c r="E750" s="285" t="s">
        <v>156</v>
      </c>
      <c r="F750" s="13" t="s">
        <v>1487</v>
      </c>
      <c r="G750" s="13"/>
      <c r="H750" s="13"/>
      <c r="I750" s="13" t="s">
        <v>3818</v>
      </c>
      <c r="J750" s="13" t="s">
        <v>1488</v>
      </c>
      <c r="K750" s="284">
        <v>45106</v>
      </c>
      <c r="L750" s="283" t="str">
        <f t="shared" si="165"/>
        <v>-</v>
      </c>
      <c r="M750" s="283" t="str">
        <f t="shared" si="166"/>
        <v>-</v>
      </c>
      <c r="N750" s="283" t="str">
        <f t="shared" si="167"/>
        <v>-</v>
      </c>
      <c r="O750" s="283" t="str">
        <f t="shared" si="168"/>
        <v>-</v>
      </c>
      <c r="P750" s="283" t="str">
        <f t="shared" si="169"/>
        <v>-</v>
      </c>
      <c r="Q750" s="283" t="str">
        <f t="shared" si="170"/>
        <v>-</v>
      </c>
      <c r="R750" s="283" t="str">
        <f t="shared" si="171"/>
        <v>-</v>
      </c>
      <c r="S750" s="283" t="str">
        <f t="shared" si="172"/>
        <v>-</v>
      </c>
      <c r="T750" s="283" t="str">
        <f t="shared" si="173"/>
        <v>-</v>
      </c>
      <c r="U750" s="283" t="str">
        <f t="shared" si="174"/>
        <v>-</v>
      </c>
      <c r="V750" s="283" t="str">
        <f t="shared" si="175"/>
        <v>-</v>
      </c>
      <c r="W750" s="1" t="str">
        <f t="shared" si="176"/>
        <v>http://www.taxi-fukcty.or.jp/charge.html/</v>
      </c>
      <c r="X750" s="1" t="str">
        <f t="shared" si="177"/>
        <v>http://www.taxi-fukcty.or.jp/</v>
      </c>
      <c r="Y750" s="1" t="str">
        <f t="shared" si="178"/>
        <v>優先3</v>
      </c>
      <c r="Z750" s="1" t="str">
        <f t="shared" si="179"/>
        <v>福岡市タクシー協会. "タクシー料金". Accessed 29 June, 2023. http://www.taxi-fukcty.or.jp/.</v>
      </c>
    </row>
    <row r="751" spans="2:26">
      <c r="B751" s="285" t="s">
        <v>678</v>
      </c>
      <c r="C751" s="285" t="s">
        <v>698</v>
      </c>
      <c r="D751" s="285" t="s">
        <v>673</v>
      </c>
      <c r="E751" s="285" t="s">
        <v>158</v>
      </c>
      <c r="F751" s="13" t="s">
        <v>683</v>
      </c>
      <c r="G751" s="13"/>
      <c r="H751" s="13"/>
      <c r="I751" s="13" t="s">
        <v>682</v>
      </c>
      <c r="J751" s="13" t="s">
        <v>1489</v>
      </c>
      <c r="K751" s="284">
        <v>45106</v>
      </c>
      <c r="L751" s="283" t="str">
        <f t="shared" si="165"/>
        <v>-</v>
      </c>
      <c r="M751" s="283" t="str">
        <f t="shared" si="166"/>
        <v>-</v>
      </c>
      <c r="N751" s="283" t="str">
        <f t="shared" si="167"/>
        <v>-</v>
      </c>
      <c r="O751" s="283" t="str">
        <f t="shared" si="168"/>
        <v>-</v>
      </c>
      <c r="P751" s="283" t="str">
        <f t="shared" si="169"/>
        <v>-</v>
      </c>
      <c r="Q751" s="283" t="str">
        <f t="shared" si="170"/>
        <v>-</v>
      </c>
      <c r="R751" s="283" t="str">
        <f t="shared" si="171"/>
        <v>-</v>
      </c>
      <c r="S751" s="283" t="str">
        <f t="shared" si="172"/>
        <v>-</v>
      </c>
      <c r="T751" s="283" t="str">
        <f t="shared" si="173"/>
        <v>-</v>
      </c>
      <c r="U751" s="283" t="str">
        <f t="shared" si="174"/>
        <v>-</v>
      </c>
      <c r="V751" s="283" t="str">
        <f t="shared" si="175"/>
        <v>-</v>
      </c>
      <c r="W751" s="1" t="str">
        <f t="shared" si="176"/>
        <v>http://www.kankyo-taxi.com/fare/#anc_price/</v>
      </c>
      <c r="X751" s="1" t="str">
        <f t="shared" si="177"/>
        <v>http://www.kankyo-taxi.com/</v>
      </c>
      <c r="Y751" s="1" t="str">
        <f t="shared" si="178"/>
        <v>優先3</v>
      </c>
      <c r="Z751" s="1" t="str">
        <f t="shared" si="179"/>
        <v>関西ハイタク事業協同組合. "関協タクシーの料金". Accessed 29 June, 2023. http://www.kankyo-taxi.com/.</v>
      </c>
    </row>
    <row r="752" spans="2:26">
      <c r="B752" s="285" t="s">
        <v>678</v>
      </c>
      <c r="C752" s="285" t="s">
        <v>698</v>
      </c>
      <c r="D752" s="285" t="s">
        <v>673</v>
      </c>
      <c r="E752" s="285" t="s">
        <v>160</v>
      </c>
      <c r="F752" s="13" t="s">
        <v>4372</v>
      </c>
      <c r="G752" s="13"/>
      <c r="H752" s="13"/>
      <c r="I752" s="13" t="s">
        <v>4373</v>
      </c>
      <c r="J752" s="13" t="s">
        <v>4374</v>
      </c>
      <c r="K752" s="284">
        <v>45106</v>
      </c>
      <c r="L752" s="283" t="str">
        <f t="shared" si="165"/>
        <v>-</v>
      </c>
      <c r="M752" s="283" t="str">
        <f t="shared" si="166"/>
        <v>-</v>
      </c>
      <c r="N752" s="283" t="str">
        <f t="shared" si="167"/>
        <v>-</v>
      </c>
      <c r="O752" s="283" t="str">
        <f t="shared" si="168"/>
        <v>-</v>
      </c>
      <c r="P752" s="283" t="str">
        <f t="shared" si="169"/>
        <v>-</v>
      </c>
      <c r="Q752" s="283" t="str">
        <f t="shared" si="170"/>
        <v>-</v>
      </c>
      <c r="R752" s="283" t="str">
        <f t="shared" si="171"/>
        <v>-</v>
      </c>
      <c r="S752" s="283" t="str">
        <f t="shared" si="172"/>
        <v>-</v>
      </c>
      <c r="T752" s="283" t="str">
        <f t="shared" si="173"/>
        <v>-</v>
      </c>
      <c r="U752" s="283" t="str">
        <f t="shared" si="174"/>
        <v>-</v>
      </c>
      <c r="V752" s="283" t="str">
        <f t="shared" si="175"/>
        <v>-</v>
      </c>
      <c r="W752" s="1" t="str">
        <f t="shared" si="176"/>
        <v>https://www.taxi-tokyo.or.jp/call/pricelist.html/</v>
      </c>
      <c r="X752" s="1" t="str">
        <f t="shared" si="177"/>
        <v>https://www.taxi-tokyo.or.jp/</v>
      </c>
      <c r="Y752" s="1" t="str">
        <f t="shared" si="178"/>
        <v>優先3</v>
      </c>
      <c r="Z752" s="1" t="str">
        <f t="shared" si="179"/>
        <v>一般社団法人 東京ハイヤー・タクシー協会. "タクシー運賃料金表". Accessed 29 June, 2023. https://www.taxi-tokyo.or.jp/.</v>
      </c>
    </row>
    <row r="753" spans="2:26">
      <c r="B753" s="285" t="s">
        <v>678</v>
      </c>
      <c r="C753" s="285" t="s">
        <v>698</v>
      </c>
      <c r="D753" s="285" t="s">
        <v>673</v>
      </c>
      <c r="E753" s="285" t="s">
        <v>164</v>
      </c>
      <c r="F753" s="13" t="s">
        <v>1490</v>
      </c>
      <c r="G753" s="13"/>
      <c r="H753" s="13"/>
      <c r="I753" s="13" t="s">
        <v>1491</v>
      </c>
      <c r="J753" s="13" t="s">
        <v>2747</v>
      </c>
      <c r="K753" s="284">
        <v>45106</v>
      </c>
      <c r="L753" s="283" t="str">
        <f t="shared" si="165"/>
        <v>-</v>
      </c>
      <c r="M753" s="283" t="str">
        <f t="shared" si="166"/>
        <v>-</v>
      </c>
      <c r="N753" s="283" t="str">
        <f t="shared" si="167"/>
        <v>-</v>
      </c>
      <c r="O753" s="283" t="str">
        <f t="shared" si="168"/>
        <v>NG</v>
      </c>
      <c r="P753" s="283" t="str">
        <f t="shared" si="169"/>
        <v>-</v>
      </c>
      <c r="Q753" s="283" t="str">
        <f t="shared" si="170"/>
        <v>-</v>
      </c>
      <c r="R753" s="283" t="str">
        <f t="shared" si="171"/>
        <v>-</v>
      </c>
      <c r="S753" s="283" t="str">
        <f t="shared" si="172"/>
        <v>-</v>
      </c>
      <c r="T753" s="283" t="str">
        <f t="shared" si="173"/>
        <v>-</v>
      </c>
      <c r="U753" s="283" t="str">
        <f t="shared" si="174"/>
        <v>-</v>
      </c>
      <c r="V753" s="283" t="str">
        <f t="shared" si="175"/>
        <v>-</v>
      </c>
      <c r="W753" s="1" t="str">
        <f t="shared" si="176"/>
        <v>https://www.yellowcabonline.com/taxi-rates/</v>
      </c>
      <c r="X753" s="1" t="str">
        <f t="shared" si="177"/>
        <v>https://www.yellowcabonline.com/</v>
      </c>
      <c r="Y753" s="1" t="str">
        <f t="shared" si="178"/>
        <v>優先3</v>
      </c>
      <c r="Z753" s="1" t="str">
        <f t="shared" si="179"/>
        <v>Yellow Cab Company Ltd.. "Taxi Fares Publish". Accessed 29 June, 2023. https://www.yellowcabonline.com/.</v>
      </c>
    </row>
    <row r="754" spans="2:26">
      <c r="B754" s="285" t="s">
        <v>678</v>
      </c>
      <c r="C754" s="285" t="s">
        <v>698</v>
      </c>
      <c r="D754" s="285" t="s">
        <v>673</v>
      </c>
      <c r="E754" s="285" t="s">
        <v>4361</v>
      </c>
      <c r="F754" s="13" t="s">
        <v>3819</v>
      </c>
      <c r="G754" s="13"/>
      <c r="H754" s="13"/>
      <c r="I754" s="13" t="s">
        <v>3820</v>
      </c>
      <c r="J754" s="13" t="s">
        <v>3821</v>
      </c>
      <c r="K754" s="284">
        <v>45106</v>
      </c>
      <c r="L754" s="283" t="str">
        <f t="shared" si="165"/>
        <v>-</v>
      </c>
      <c r="M754" s="283" t="str">
        <f t="shared" si="166"/>
        <v>-</v>
      </c>
      <c r="N754" s="283" t="str">
        <f t="shared" si="167"/>
        <v>NG</v>
      </c>
      <c r="O754" s="283" t="str">
        <f t="shared" si="168"/>
        <v>-</v>
      </c>
      <c r="P754" s="283" t="str">
        <f t="shared" si="169"/>
        <v>-</v>
      </c>
      <c r="Q754" s="283" t="str">
        <f t="shared" si="170"/>
        <v>-</v>
      </c>
      <c r="R754" s="283" t="str">
        <f t="shared" si="171"/>
        <v>-</v>
      </c>
      <c r="S754" s="283" t="str">
        <f t="shared" si="172"/>
        <v>-</v>
      </c>
      <c r="T754" s="283" t="str">
        <f t="shared" si="173"/>
        <v>-</v>
      </c>
      <c r="U754" s="283" t="str">
        <f t="shared" si="174"/>
        <v>-</v>
      </c>
      <c r="V754" s="283" t="str">
        <f t="shared" si="175"/>
        <v>-</v>
      </c>
      <c r="W754" s="1" t="str">
        <f t="shared" si="176"/>
        <v>https://www.sfmta.com/getting-around/taxi/taxi-fares/</v>
      </c>
      <c r="X754" s="1" t="str">
        <f t="shared" si="177"/>
        <v>https://www.sfmta.com/</v>
      </c>
      <c r="Y754" s="1" t="str">
        <f t="shared" si="178"/>
        <v>優先3</v>
      </c>
      <c r="Z754" s="1" t="str">
        <f t="shared" si="179"/>
        <v>San Francisco Municipal Transportation Agency (SFMTA). "Taxi Fares". Accessed 29 June, 2023. https://www.sfmta.com/.</v>
      </c>
    </row>
    <row r="755" spans="2:26">
      <c r="B755" s="285" t="s">
        <v>678</v>
      </c>
      <c r="C755" s="285" t="s">
        <v>698</v>
      </c>
      <c r="D755" s="285" t="s">
        <v>673</v>
      </c>
      <c r="E755" s="285" t="s">
        <v>174</v>
      </c>
      <c r="F755" s="13" t="s">
        <v>4375</v>
      </c>
      <c r="G755" s="13"/>
      <c r="H755" s="13"/>
      <c r="I755" s="13" t="s">
        <v>4376</v>
      </c>
      <c r="J755" s="13" t="s">
        <v>4377</v>
      </c>
      <c r="K755" s="284">
        <v>45106</v>
      </c>
      <c r="L755" s="283" t="str">
        <f t="shared" si="165"/>
        <v>-</v>
      </c>
      <c r="M755" s="283" t="str">
        <f t="shared" si="166"/>
        <v>-</v>
      </c>
      <c r="N755" s="283" t="str">
        <f t="shared" si="167"/>
        <v>-</v>
      </c>
      <c r="O755" s="283" t="str">
        <f t="shared" si="168"/>
        <v>NG</v>
      </c>
      <c r="P755" s="283" t="str">
        <f t="shared" si="169"/>
        <v>-</v>
      </c>
      <c r="Q755" s="283" t="str">
        <f t="shared" si="170"/>
        <v>-</v>
      </c>
      <c r="R755" s="283" t="str">
        <f t="shared" si="171"/>
        <v>-</v>
      </c>
      <c r="S755" s="283" t="str">
        <f t="shared" si="172"/>
        <v>-</v>
      </c>
      <c r="T755" s="283" t="str">
        <f t="shared" si="173"/>
        <v>-</v>
      </c>
      <c r="U755" s="283" t="str">
        <f t="shared" si="174"/>
        <v>-</v>
      </c>
      <c r="V755" s="283" t="str">
        <f t="shared" si="175"/>
        <v>-</v>
      </c>
      <c r="W755" s="1" t="str">
        <f t="shared" si="176"/>
        <v>https://becktaxi.com/pages/faq/</v>
      </c>
      <c r="X755" s="1" t="str">
        <f t="shared" si="177"/>
        <v>https://becktaxi.com/</v>
      </c>
      <c r="Y755" s="1" t="str">
        <f t="shared" si="178"/>
        <v>優先3</v>
      </c>
      <c r="Z755" s="1" t="str">
        <f t="shared" si="179"/>
        <v>Beck Taxi Ltd.. "What are the current rates set by the city of Toronto?". Accessed 29 June, 2023. https://becktaxi.com/.</v>
      </c>
    </row>
    <row r="756" spans="2:26">
      <c r="B756" s="285" t="s">
        <v>678</v>
      </c>
      <c r="C756" s="285" t="s">
        <v>698</v>
      </c>
      <c r="D756" s="285" t="s">
        <v>673</v>
      </c>
      <c r="E756" s="285" t="s">
        <v>4362</v>
      </c>
      <c r="F756" s="13" t="s">
        <v>373</v>
      </c>
      <c r="G756" s="13"/>
      <c r="H756" s="13"/>
      <c r="I756" s="13" t="s">
        <v>680</v>
      </c>
      <c r="J756" s="13" t="s">
        <v>1492</v>
      </c>
      <c r="K756" s="284">
        <v>45106</v>
      </c>
      <c r="L756" s="283" t="str">
        <f t="shared" si="165"/>
        <v>-</v>
      </c>
      <c r="M756" s="283" t="str">
        <f t="shared" si="166"/>
        <v>-</v>
      </c>
      <c r="N756" s="283" t="str">
        <f t="shared" si="167"/>
        <v>-</v>
      </c>
      <c r="O756" s="283" t="str">
        <f t="shared" si="168"/>
        <v>-</v>
      </c>
      <c r="P756" s="283" t="str">
        <f t="shared" si="169"/>
        <v>-</v>
      </c>
      <c r="Q756" s="283" t="str">
        <f t="shared" si="170"/>
        <v>-</v>
      </c>
      <c r="R756" s="283" t="str">
        <f t="shared" si="171"/>
        <v>-</v>
      </c>
      <c r="S756" s="283" t="str">
        <f t="shared" si="172"/>
        <v>-</v>
      </c>
      <c r="T756" s="283" t="str">
        <f t="shared" si="173"/>
        <v>-</v>
      </c>
      <c r="U756" s="283" t="str">
        <f t="shared" si="174"/>
        <v>-</v>
      </c>
      <c r="V756" s="283" t="str">
        <f t="shared" si="175"/>
        <v>-</v>
      </c>
      <c r="W756" s="1" t="str">
        <f t="shared" si="176"/>
        <v>https://dfhv.dc.gov/page/taxicab-fares/</v>
      </c>
      <c r="X756" s="1" t="str">
        <f t="shared" si="177"/>
        <v>https://dfhv.dc.gov/</v>
      </c>
      <c r="Y756" s="1" t="str">
        <f t="shared" si="178"/>
        <v>優先3</v>
      </c>
      <c r="Z756" s="1" t="str">
        <f t="shared" si="179"/>
        <v>Washington, DC. "Taxicab Fares". Accessed 29 June, 2023. https://dfhv.dc.gov/.</v>
      </c>
    </row>
    <row r="757" spans="2:26">
      <c r="B757" s="285" t="s">
        <v>678</v>
      </c>
      <c r="C757" s="285" t="s">
        <v>698</v>
      </c>
      <c r="D757" s="285" t="s">
        <v>673</v>
      </c>
      <c r="E757" s="285" t="s">
        <v>4363</v>
      </c>
      <c r="F757" s="13" t="s">
        <v>4378</v>
      </c>
      <c r="G757" s="13" t="s">
        <v>737</v>
      </c>
      <c r="H757" s="13"/>
      <c r="I757" s="13" t="s">
        <v>4379</v>
      </c>
      <c r="J757" s="13" t="s">
        <v>4380</v>
      </c>
      <c r="K757" s="284">
        <v>45106</v>
      </c>
      <c r="L757" s="283" t="str">
        <f t="shared" si="165"/>
        <v>-</v>
      </c>
      <c r="M757" s="283" t="str">
        <f t="shared" si="166"/>
        <v>-</v>
      </c>
      <c r="N757" s="283" t="str">
        <f t="shared" si="167"/>
        <v>-</v>
      </c>
      <c r="O757" s="283" t="str">
        <f t="shared" si="168"/>
        <v>-</v>
      </c>
      <c r="P757" s="283" t="str">
        <f t="shared" si="169"/>
        <v>-</v>
      </c>
      <c r="Q757" s="283" t="str">
        <f t="shared" si="170"/>
        <v>-</v>
      </c>
      <c r="R757" s="283" t="str">
        <f t="shared" si="171"/>
        <v>-</v>
      </c>
      <c r="S757" s="283" t="str">
        <f t="shared" si="172"/>
        <v>-</v>
      </c>
      <c r="T757" s="283" t="str">
        <f t="shared" si="173"/>
        <v>-</v>
      </c>
      <c r="U757" s="283" t="str">
        <f t="shared" si="174"/>
        <v>-</v>
      </c>
      <c r="V757" s="283" t="str">
        <f t="shared" si="175"/>
        <v>-</v>
      </c>
      <c r="W757" s="1" t="str">
        <f t="shared" si="176"/>
        <v>https://www1.nyc.gov/site/tlc/passengers/taxi-fare.page/</v>
      </c>
      <c r="X757" s="1" t="str">
        <f t="shared" si="177"/>
        <v>https://www1.nyc.gov/</v>
      </c>
      <c r="Y757" s="1" t="str">
        <f t="shared" si="178"/>
        <v>優先3</v>
      </c>
      <c r="Z757" s="1" t="str">
        <f t="shared" si="179"/>
        <v>NYC Taxi &amp; Limousine Commission, City of New York. "Taxi Fare". Accessed 29 June, 2023. https://www1.nyc.gov/.</v>
      </c>
    </row>
    <row r="758" spans="2:26">
      <c r="B758" s="285" t="s">
        <v>678</v>
      </c>
      <c r="C758" s="285" t="s">
        <v>698</v>
      </c>
      <c r="D758" s="285" t="s">
        <v>673</v>
      </c>
      <c r="E758" s="285" t="s">
        <v>180</v>
      </c>
      <c r="F758" s="13" t="s">
        <v>3822</v>
      </c>
      <c r="G758" s="13"/>
      <c r="H758" s="13"/>
      <c r="I758" s="13" t="s">
        <v>679</v>
      </c>
      <c r="J758" s="13" t="s">
        <v>1493</v>
      </c>
      <c r="K758" s="284">
        <v>45106</v>
      </c>
      <c r="L758" s="283" t="str">
        <f t="shared" si="165"/>
        <v>-</v>
      </c>
      <c r="M758" s="283" t="str">
        <f t="shared" si="166"/>
        <v>-</v>
      </c>
      <c r="N758" s="283" t="str">
        <f t="shared" si="167"/>
        <v>-</v>
      </c>
      <c r="O758" s="283" t="str">
        <f t="shared" si="168"/>
        <v>-</v>
      </c>
      <c r="P758" s="283" t="str">
        <f t="shared" si="169"/>
        <v>-</v>
      </c>
      <c r="Q758" s="283" t="str">
        <f t="shared" si="170"/>
        <v>-</v>
      </c>
      <c r="R758" s="283" t="str">
        <f t="shared" si="171"/>
        <v>-</v>
      </c>
      <c r="S758" s="283" t="str">
        <f t="shared" si="172"/>
        <v>-</v>
      </c>
      <c r="T758" s="283" t="str">
        <f t="shared" si="173"/>
        <v>-</v>
      </c>
      <c r="U758" s="283" t="str">
        <f t="shared" si="174"/>
        <v>-</v>
      </c>
      <c r="V758" s="283" t="str">
        <f t="shared" si="175"/>
        <v>-</v>
      </c>
      <c r="W758" s="1" t="str">
        <f t="shared" si="176"/>
        <v>https://bpdnews.com/taxi-rates/</v>
      </c>
      <c r="X758" s="1" t="str">
        <f t="shared" si="177"/>
        <v>https://bpdnews.com/</v>
      </c>
      <c r="Y758" s="1" t="str">
        <f t="shared" si="178"/>
        <v>優先3</v>
      </c>
      <c r="Z758" s="1" t="str">
        <f t="shared" si="179"/>
        <v>Boston Police Department. "Taxi Rates". Accessed 29 June, 2023. https://bpdnews.com/.</v>
      </c>
    </row>
    <row r="759" spans="2:26">
      <c r="B759" s="285" t="s">
        <v>678</v>
      </c>
      <c r="C759" s="285" t="s">
        <v>698</v>
      </c>
      <c r="D759" s="285" t="s">
        <v>673</v>
      </c>
      <c r="E759" s="285" t="s">
        <v>184</v>
      </c>
      <c r="F759" s="13" t="s">
        <v>4381</v>
      </c>
      <c r="G759" s="13"/>
      <c r="H759" s="13"/>
      <c r="I759" s="13" t="s">
        <v>4382</v>
      </c>
      <c r="J759" s="13" t="s">
        <v>4383</v>
      </c>
      <c r="K759" s="284">
        <v>45142</v>
      </c>
      <c r="L759" s="283" t="str">
        <f t="shared" si="165"/>
        <v>-</v>
      </c>
      <c r="M759" s="283" t="str">
        <f t="shared" si="166"/>
        <v>-</v>
      </c>
      <c r="N759" s="283" t="str">
        <f t="shared" si="167"/>
        <v>-</v>
      </c>
      <c r="O759" s="283" t="str">
        <f t="shared" si="168"/>
        <v>-</v>
      </c>
      <c r="P759" s="283" t="str">
        <f t="shared" si="169"/>
        <v>-</v>
      </c>
      <c r="Q759" s="283" t="str">
        <f t="shared" si="170"/>
        <v>-</v>
      </c>
      <c r="R759" s="283" t="str">
        <f t="shared" si="171"/>
        <v>-</v>
      </c>
      <c r="S759" s="283" t="str">
        <f t="shared" si="172"/>
        <v>-</v>
      </c>
      <c r="T759" s="283" t="str">
        <f t="shared" si="173"/>
        <v>-</v>
      </c>
      <c r="U759" s="283" t="str">
        <f t="shared" si="174"/>
        <v>-</v>
      </c>
      <c r="V759" s="283" t="str">
        <f t="shared" si="175"/>
        <v>-</v>
      </c>
      <c r="W759" s="1" t="str">
        <f t="shared" si="176"/>
        <v>https://taxi-johannesburg-za.taxigator.net/</v>
      </c>
      <c r="X759" s="1" t="str">
        <f t="shared" si="177"/>
        <v>https://taxi-johannesburg-za.taxigator.net/</v>
      </c>
      <c r="Y759" s="1" t="str">
        <f t="shared" si="178"/>
        <v>優先3</v>
      </c>
      <c r="Z759" s="1" t="str">
        <f t="shared" si="179"/>
        <v>Taxigator.net. "Taxi fares in Johannesburg 2023. STANDARD Class". Accessed 04 August, 2023. https://taxi-johannesburg-za.taxigator.net/.</v>
      </c>
    </row>
    <row r="760" spans="2:26">
      <c r="B760" s="285" t="s">
        <v>678</v>
      </c>
      <c r="C760" s="285" t="s">
        <v>698</v>
      </c>
      <c r="D760" s="285" t="s">
        <v>673</v>
      </c>
      <c r="E760" s="285" t="s">
        <v>372</v>
      </c>
      <c r="F760" s="13" t="s">
        <v>3823</v>
      </c>
      <c r="G760" s="13" t="s">
        <v>3824</v>
      </c>
      <c r="H760" s="13"/>
      <c r="I760" s="13" t="s">
        <v>3825</v>
      </c>
      <c r="J760" s="13" t="s">
        <v>3826</v>
      </c>
      <c r="K760" s="284">
        <v>45106</v>
      </c>
      <c r="L760" s="283" t="str">
        <f t="shared" si="165"/>
        <v>-</v>
      </c>
      <c r="M760" s="283" t="str">
        <f t="shared" si="166"/>
        <v>-</v>
      </c>
      <c r="N760" s="283" t="str">
        <f t="shared" si="167"/>
        <v>-</v>
      </c>
      <c r="O760" s="283" t="str">
        <f t="shared" si="168"/>
        <v>-</v>
      </c>
      <c r="P760" s="283" t="str">
        <f t="shared" si="169"/>
        <v>-</v>
      </c>
      <c r="Q760" s="283" t="str">
        <f t="shared" si="170"/>
        <v>-</v>
      </c>
      <c r="R760" s="283" t="str">
        <f t="shared" si="171"/>
        <v>-</v>
      </c>
      <c r="S760" s="283" t="str">
        <f t="shared" si="172"/>
        <v>-</v>
      </c>
      <c r="T760" s="283" t="str">
        <f t="shared" si="173"/>
        <v>-</v>
      </c>
      <c r="U760" s="283" t="str">
        <f t="shared" si="174"/>
        <v>-</v>
      </c>
      <c r="V760" s="283" t="str">
        <f t="shared" si="175"/>
        <v>-</v>
      </c>
      <c r="W760" s="1" t="str">
        <f t="shared" si="176"/>
        <v>https://cpv.vic.gov.au/passengers/mptp/</v>
      </c>
      <c r="X760" s="1" t="str">
        <f t="shared" si="177"/>
        <v>https://cpv.vic.gov.au/</v>
      </c>
      <c r="Y760" s="1" t="str">
        <f t="shared" si="178"/>
        <v>優先3</v>
      </c>
      <c r="Z760" s="1" t="str">
        <f t="shared" si="179"/>
        <v>Commercial Passenger Vehicles Victoria, State Government of Victoria, Australia. "Unbooked fares - Melbourne, Dandenong, Frankston, Mornington Peninsula". Accessed 29 June, 2023. https://cpv.vic.gov.au/.</v>
      </c>
    </row>
    <row r="761" spans="2:26">
      <c r="B761" s="285" t="s">
        <v>678</v>
      </c>
      <c r="C761" s="285" t="s">
        <v>716</v>
      </c>
      <c r="D761" s="285" t="s">
        <v>688</v>
      </c>
      <c r="E761" s="285" t="s">
        <v>688</v>
      </c>
      <c r="F761" s="13" t="s">
        <v>3827</v>
      </c>
      <c r="G761" s="13"/>
      <c r="H761" s="13"/>
      <c r="I761" s="13" t="s">
        <v>3828</v>
      </c>
      <c r="J761" s="13" t="s">
        <v>3829</v>
      </c>
      <c r="K761" s="284">
        <v>45106</v>
      </c>
      <c r="L761" s="283" t="str">
        <f t="shared" si="165"/>
        <v>-</v>
      </c>
      <c r="M761" s="283" t="str">
        <f t="shared" si="166"/>
        <v>-</v>
      </c>
      <c r="N761" s="283" t="str">
        <f t="shared" si="167"/>
        <v>-</v>
      </c>
      <c r="O761" s="283" t="str">
        <f t="shared" si="168"/>
        <v>-</v>
      </c>
      <c r="P761" s="283" t="str">
        <f t="shared" si="169"/>
        <v>-</v>
      </c>
      <c r="Q761" s="283" t="str">
        <f t="shared" si="170"/>
        <v>-</v>
      </c>
      <c r="R761" s="283" t="str">
        <f t="shared" si="171"/>
        <v>-</v>
      </c>
      <c r="S761" s="283" t="str">
        <f t="shared" si="172"/>
        <v>-</v>
      </c>
      <c r="T761" s="283" t="str">
        <f t="shared" si="173"/>
        <v>-</v>
      </c>
      <c r="U761" s="283" t="str">
        <f t="shared" si="174"/>
        <v>-</v>
      </c>
      <c r="V761" s="283" t="str">
        <f t="shared" si="175"/>
        <v>-</v>
      </c>
      <c r="W761" s="1" t="str">
        <f t="shared" si="176"/>
        <v>https://de.luko.eu/en/advice/guide/bike-index/</v>
      </c>
      <c r="X761" s="1" t="str">
        <f t="shared" si="177"/>
        <v>https://de.luko.eu/</v>
      </c>
      <c r="Y761" s="1" t="str">
        <f t="shared" si="178"/>
        <v>優先2②</v>
      </c>
      <c r="Z761" s="1" t="str">
        <f t="shared" si="179"/>
        <v>Luko. "Global Bicycle Cities Index 2022". Accessed 29 June, 2023. https://de.luko.eu/.</v>
      </c>
    </row>
    <row r="762" spans="2:26">
      <c r="B762" s="285" t="s">
        <v>678</v>
      </c>
      <c r="C762" s="285" t="s">
        <v>784</v>
      </c>
      <c r="D762" s="285" t="s">
        <v>688</v>
      </c>
      <c r="E762" s="285" t="s">
        <v>688</v>
      </c>
      <c r="F762" s="13" t="s">
        <v>1406</v>
      </c>
      <c r="G762" s="13"/>
      <c r="H762" s="13"/>
      <c r="I762" s="13" t="s">
        <v>2744</v>
      </c>
      <c r="J762" s="13" t="s">
        <v>2745</v>
      </c>
      <c r="K762" s="284">
        <v>44791</v>
      </c>
      <c r="L762" s="283" t="str">
        <f t="shared" si="165"/>
        <v>-</v>
      </c>
      <c r="M762" s="283" t="str">
        <f t="shared" si="166"/>
        <v>-</v>
      </c>
      <c r="N762" s="283" t="str">
        <f t="shared" si="167"/>
        <v>-</v>
      </c>
      <c r="O762" s="283" t="str">
        <f t="shared" si="168"/>
        <v>-</v>
      </c>
      <c r="P762" s="283" t="str">
        <f t="shared" si="169"/>
        <v>-</v>
      </c>
      <c r="Q762" s="283" t="str">
        <f t="shared" si="170"/>
        <v>-</v>
      </c>
      <c r="R762" s="283" t="str">
        <f t="shared" si="171"/>
        <v>-</v>
      </c>
      <c r="S762" s="283" t="str">
        <f t="shared" si="172"/>
        <v>-</v>
      </c>
      <c r="T762" s="283" t="str">
        <f t="shared" si="173"/>
        <v>-</v>
      </c>
      <c r="U762" s="283" t="str">
        <f t="shared" si="174"/>
        <v>-</v>
      </c>
      <c r="V762" s="283" t="str">
        <f t="shared" si="175"/>
        <v>-</v>
      </c>
      <c r="W762" s="1" t="str">
        <f t="shared" si="176"/>
        <v>https://www.numbeo.com/traffic/</v>
      </c>
      <c r="X762" s="1" t="str">
        <f t="shared" si="177"/>
        <v>https://www.numbeo.com/</v>
      </c>
      <c r="Y762" s="1" t="str">
        <f t="shared" si="178"/>
        <v>優先3</v>
      </c>
      <c r="Z762" s="1" t="str">
        <f t="shared" si="179"/>
        <v>NUMBEO. "Traffic". Accessed 18 August, 2022. https://www.numbeo.com/.</v>
      </c>
    </row>
  </sheetData>
  <autoFilter ref="B5:Z762" xr:uid="{00000000-0009-0000-0000-000018000000}"/>
  <mergeCells count="5">
    <mergeCell ref="B4:E4"/>
    <mergeCell ref="P4:V4"/>
    <mergeCell ref="F4:K4"/>
    <mergeCell ref="W4:Z4"/>
    <mergeCell ref="L4:O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③データソース">
                <anchor moveWithCells="1" sizeWithCells="1">
                  <from>
                    <xdr:col>2</xdr:col>
                    <xdr:colOff>209550</xdr:colOff>
                    <xdr:row>1</xdr:row>
                    <xdr:rowOff>66675</xdr:rowOff>
                  </from>
                  <to>
                    <xdr:col>4</xdr:col>
                    <xdr:colOff>647700</xdr:colOff>
                    <xdr:row>2</xdr:row>
                    <xdr:rowOff>114300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dimension ref="A1:BY60"/>
  <sheetViews>
    <sheetView zoomScale="115" zoomScaleNormal="115" workbookViewId="0">
      <pane xSplit="4" ySplit="5" topLeftCell="BD12" activePane="bottomRight" state="frozen"/>
      <selection activeCell="K27" sqref="K27"/>
      <selection pane="topRight" activeCell="K27" sqref="K27"/>
      <selection pane="bottomLeft" activeCell="K27" sqref="K27"/>
      <selection pane="bottomRight" activeCell="BL20" sqref="BL20"/>
    </sheetView>
  </sheetViews>
  <sheetFormatPr defaultColWidth="9.28515625" defaultRowHeight="15.75"/>
  <cols>
    <col min="1" max="1" width="3.28515625" style="2" customWidth="1"/>
    <col min="2" max="2" width="8.140625" bestFit="1" customWidth="1"/>
    <col min="3" max="3" width="3.28515625" style="2" customWidth="1"/>
    <col min="4" max="4" width="16" customWidth="1"/>
    <col min="5" max="31" width="10.7109375" customWidth="1"/>
    <col min="32" max="32" width="14.42578125" bestFit="1" customWidth="1"/>
    <col min="33" max="34" width="10.7109375" customWidth="1"/>
    <col min="35" max="35" width="18.42578125" bestFit="1" customWidth="1"/>
    <col min="36" max="53" width="10.7109375" customWidth="1"/>
    <col min="54" max="54" width="18.42578125" bestFit="1" customWidth="1"/>
    <col min="55" max="55" width="14.42578125" bestFit="1" customWidth="1"/>
    <col min="56" max="58" width="10.7109375" customWidth="1"/>
    <col min="59" max="59" width="16.42578125" bestFit="1" customWidth="1"/>
    <col min="60" max="77" width="10.7109375" customWidth="1"/>
  </cols>
  <sheetData>
    <row r="1" spans="1:77">
      <c r="B1" t="s">
        <v>2992</v>
      </c>
      <c r="C1"/>
      <c r="K1" t="s">
        <v>2531</v>
      </c>
      <c r="L1" t="s">
        <v>658</v>
      </c>
      <c r="M1" t="s">
        <v>2531</v>
      </c>
      <c r="N1" t="s">
        <v>2531</v>
      </c>
      <c r="O1" t="s">
        <v>2531</v>
      </c>
      <c r="Q1" t="s">
        <v>2531</v>
      </c>
      <c r="R1" t="s">
        <v>658</v>
      </c>
      <c r="S1" t="s">
        <v>2531</v>
      </c>
      <c r="T1" t="s">
        <v>2531</v>
      </c>
      <c r="AA1" t="s">
        <v>2531</v>
      </c>
      <c r="AB1" t="s">
        <v>658</v>
      </c>
      <c r="AD1" t="s">
        <v>658</v>
      </c>
      <c r="AE1" t="s">
        <v>658</v>
      </c>
      <c r="AF1" t="s">
        <v>2531</v>
      </c>
      <c r="AG1" t="s">
        <v>2531</v>
      </c>
      <c r="AI1" t="s">
        <v>2531</v>
      </c>
      <c r="AJ1" t="s">
        <v>2531</v>
      </c>
      <c r="AK1" t="s">
        <v>2531</v>
      </c>
      <c r="AL1" t="s">
        <v>2531</v>
      </c>
      <c r="AM1" t="s">
        <v>658</v>
      </c>
      <c r="AN1" t="s">
        <v>658</v>
      </c>
      <c r="AO1" t="s">
        <v>2531</v>
      </c>
      <c r="AP1" t="s">
        <v>2531</v>
      </c>
      <c r="AQ1" t="s">
        <v>2531</v>
      </c>
      <c r="AR1" t="s">
        <v>658</v>
      </c>
      <c r="AS1" t="s">
        <v>658</v>
      </c>
      <c r="AT1" t="s">
        <v>658</v>
      </c>
      <c r="AU1" t="s">
        <v>658</v>
      </c>
      <c r="AX1" t="s">
        <v>2531</v>
      </c>
      <c r="BA1" t="s">
        <v>2531</v>
      </c>
      <c r="BD1" t="s">
        <v>2531</v>
      </c>
      <c r="BE1" t="s">
        <v>2531</v>
      </c>
      <c r="BF1" t="s">
        <v>2531</v>
      </c>
      <c r="BG1" t="s">
        <v>2531</v>
      </c>
      <c r="BK1" t="s">
        <v>658</v>
      </c>
      <c r="BL1" t="s">
        <v>2531</v>
      </c>
      <c r="BM1" t="s">
        <v>2531</v>
      </c>
      <c r="BN1" t="s">
        <v>2531</v>
      </c>
      <c r="BO1" t="s">
        <v>2531</v>
      </c>
      <c r="BP1" t="s">
        <v>658</v>
      </c>
      <c r="BQ1" t="s">
        <v>658</v>
      </c>
      <c r="BR1" t="s">
        <v>658</v>
      </c>
      <c r="BS1" t="s">
        <v>658</v>
      </c>
      <c r="BT1" t="s">
        <v>2531</v>
      </c>
      <c r="BU1" t="s">
        <v>2531</v>
      </c>
      <c r="BV1" t="s">
        <v>2531</v>
      </c>
      <c r="BW1" t="s">
        <v>2531</v>
      </c>
      <c r="BX1" t="s">
        <v>658</v>
      </c>
    </row>
    <row r="2" spans="1:77" ht="15.4" customHeight="1">
      <c r="B2" t="s">
        <v>441</v>
      </c>
      <c r="D2" s="36" t="str">
        <f>IF(JPEN!$C$2="EN",指標!$E$2,指標!$D$2)</f>
        <v>分野</v>
      </c>
      <c r="E2" s="39" t="str">
        <f>IFERROR(INDEX(指標マスタ[],MATCH(E$5,指標マスタ['#],0),MATCH($D2,指標マスタ[#Headers],0))&amp;"","")</f>
        <v>基礎</v>
      </c>
      <c r="F2" s="39" t="str">
        <f>IFERROR(INDEX(指標マスタ[],MATCH(F$5,指標マスタ['#],0),MATCH($D2,指標マスタ[#Headers],0))&amp;"","")</f>
        <v/>
      </c>
      <c r="G2" s="39" t="str">
        <f>IFERROR(INDEX(指標マスタ[],MATCH(G$5,指標マスタ['#],0),MATCH($D2,指標マスタ[#Headers],0))&amp;"","")</f>
        <v/>
      </c>
      <c r="H2" s="183" t="str">
        <f>IFERROR(INDEX(指標マスタ[],MATCH(H$5,指標マスタ['#],0),MATCH($D2,指標マスタ[#Headers],0))&amp;"","")</f>
        <v>経済</v>
      </c>
      <c r="I2" s="183" t="str">
        <f>IFERROR(INDEX(指標マスタ[],MATCH(I$5,指標マスタ['#],0),MATCH($D2,指標マスタ[#Headers],0))&amp;"","")</f>
        <v/>
      </c>
      <c r="J2" s="183" t="str">
        <f>IFERROR(INDEX(指標マスタ[],MATCH(J$5,指標マスタ['#],0),MATCH($D2,指標マスタ[#Headers],0))&amp;"","")</f>
        <v/>
      </c>
      <c r="K2" s="183" t="str">
        <f>IFERROR(INDEX(指標マスタ[],MATCH(K$5,指標マスタ['#],0),MATCH($D2,指標マスタ[#Headers],0))&amp;"","")</f>
        <v/>
      </c>
      <c r="L2" s="183" t="str">
        <f>IFERROR(INDEX(指標マスタ[],MATCH(L$5,指標マスタ['#],0),MATCH($D2,指標マスタ[#Headers],0))&amp;"","")</f>
        <v/>
      </c>
      <c r="M2" s="183" t="str">
        <f>IFERROR(INDEX(指標マスタ[],MATCH(M$5,指標マスタ['#],0),MATCH($D2,指標マスタ[#Headers],0))&amp;"","")</f>
        <v/>
      </c>
      <c r="N2" s="183" t="str">
        <f>IFERROR(INDEX(指標マスタ[],MATCH(N$5,指標マスタ['#],0),MATCH($D2,指標マスタ[#Headers],0))&amp;"","")</f>
        <v/>
      </c>
      <c r="O2" s="183" t="str">
        <f>IFERROR(INDEX(指標マスタ[],MATCH(O$5,指標マスタ['#],0),MATCH($D2,指標マスタ[#Headers],0))&amp;"","")</f>
        <v/>
      </c>
      <c r="P2" s="183" t="str">
        <f>IFERROR(INDEX(指標マスタ[],MATCH(P$5,指標マスタ['#],0),MATCH($D2,指標マスタ[#Headers],0))&amp;"","")</f>
        <v/>
      </c>
      <c r="Q2" s="183" t="str">
        <f>IFERROR(INDEX(指標マスタ[],MATCH(Q$5,指標マスタ['#],0),MATCH($D2,指標マスタ[#Headers],0))&amp;"","")</f>
        <v/>
      </c>
      <c r="R2" s="183" t="str">
        <f>IFERROR(INDEX(指標マスタ[],MATCH(R$5,指標マスタ['#],0),MATCH($D2,指標マスタ[#Headers],0))&amp;"","")</f>
        <v/>
      </c>
      <c r="S2" s="183" t="str">
        <f>IFERROR(INDEX(指標マスタ[],MATCH(S$5,指標マスタ['#],0),MATCH($D2,指標マスタ[#Headers],0))&amp;"","")</f>
        <v/>
      </c>
      <c r="T2" s="183" t="str">
        <f>IFERROR(INDEX(指標マスタ[],MATCH(T$5,指標マスタ['#],0),MATCH($D2,指標マスタ[#Headers],0))&amp;"","")</f>
        <v/>
      </c>
      <c r="U2" s="187" t="str">
        <f>IFERROR(INDEX(指標マスタ[],MATCH(U$5,指標マスタ['#],0),MATCH($D2,指標マスタ[#Headers],0))&amp;"","")</f>
        <v>研究・開発</v>
      </c>
      <c r="V2" s="187" t="str">
        <f>IFERROR(INDEX(指標マスタ[],MATCH(V$5,指標マスタ['#],0),MATCH($D2,指標マスタ[#Headers],0))&amp;"","")</f>
        <v/>
      </c>
      <c r="W2" s="187" t="str">
        <f>IFERROR(INDEX(指標マスタ[],MATCH(W$5,指標マスタ['#],0),MATCH($D2,指標マスタ[#Headers],0))&amp;"","")</f>
        <v/>
      </c>
      <c r="X2" s="187" t="str">
        <f>IFERROR(INDEX(指標マスタ[],MATCH(X$5,指標マスタ['#],0),MATCH($D2,指標マスタ[#Headers],0))&amp;"","")</f>
        <v/>
      </c>
      <c r="Y2" s="187" t="str">
        <f>IFERROR(INDEX(指標マスタ[],MATCH(Y$5,指標マスタ['#],0),MATCH($D2,指標マスタ[#Headers],0))&amp;"","")</f>
        <v/>
      </c>
      <c r="Z2" s="187" t="str">
        <f>IFERROR(INDEX(指標マスタ[],MATCH(Z$5,指標マスタ['#],0),MATCH($D2,指標マスタ[#Headers],0))&amp;"","")</f>
        <v/>
      </c>
      <c r="AA2" s="187" t="str">
        <f>IFERROR(INDEX(指標マスタ[],MATCH(AA$5,指標マスタ['#],0),MATCH($D2,指標マスタ[#Headers],0))&amp;"","")</f>
        <v/>
      </c>
      <c r="AB2" s="187" t="str">
        <f>IFERROR(INDEX(指標マスタ[],MATCH(AB$5,指標マスタ['#],0),MATCH($D2,指標マスタ[#Headers],0))&amp;"","")</f>
        <v/>
      </c>
      <c r="AC2" s="193" t="str">
        <f>IFERROR(INDEX(指標マスタ[],MATCH(AC$5,指標マスタ['#],0),MATCH($D2,指標マスタ[#Headers],0))&amp;"","")</f>
        <v>文化・交流</v>
      </c>
      <c r="AD2" s="193" t="str">
        <f>IFERROR(INDEX(指標マスタ[],MATCH(AD$5,指標マスタ['#],0),MATCH($D2,指標マスタ[#Headers],0))&amp;"","")</f>
        <v/>
      </c>
      <c r="AE2" s="193" t="str">
        <f>IFERROR(INDEX(指標マスタ[],MATCH(AE$5,指標マスタ['#],0),MATCH($D2,指標マスタ[#Headers],0))&amp;"","")</f>
        <v/>
      </c>
      <c r="AF2" s="193" t="str">
        <f>IFERROR(INDEX(指標マスタ[],MATCH(AF$5,指標マスタ['#],0),MATCH($D2,指標マスタ[#Headers],0))&amp;"","")</f>
        <v/>
      </c>
      <c r="AG2" s="193" t="str">
        <f>IFERROR(INDEX(指標マスタ[],MATCH(AG$5,指標マスタ['#],0),MATCH($D2,指標マスタ[#Headers],0))&amp;"","")</f>
        <v/>
      </c>
      <c r="AH2" s="193" t="str">
        <f>IFERROR(INDEX(指標マスタ[],MATCH(AH$5,指標マスタ['#],0),MATCH($D2,指標マスタ[#Headers],0))&amp;"","")</f>
        <v/>
      </c>
      <c r="AI2" s="193" t="str">
        <f>IFERROR(INDEX(指標マスタ[],MATCH(AI$5,指標マスタ['#],0),MATCH($D2,指標マスタ[#Headers],0))&amp;"","")</f>
        <v/>
      </c>
      <c r="AJ2" s="193" t="str">
        <f>IFERROR(INDEX(指標マスタ[],MATCH(AJ$5,指標マスタ['#],0),MATCH($D2,指標マスタ[#Headers],0))&amp;"","")</f>
        <v/>
      </c>
      <c r="AK2" s="193" t="str">
        <f>IFERROR(INDEX(指標マスタ[],MATCH(AK$5,指標マスタ['#],0),MATCH($D2,指標マスタ[#Headers],0))&amp;"","")</f>
        <v/>
      </c>
      <c r="AL2" s="193" t="str">
        <f>IFERROR(INDEX(指標マスタ[],MATCH(AL$5,指標マスタ['#],0),MATCH($D2,指標マスタ[#Headers],0))&amp;"","")</f>
        <v/>
      </c>
      <c r="AM2" s="193" t="str">
        <f>IFERROR(INDEX(指標マスタ[],MATCH(AM$5,指標マスタ['#],0),MATCH($D2,指標マスタ[#Headers],0))&amp;"","")</f>
        <v/>
      </c>
      <c r="AN2" s="193" t="str">
        <f>IFERROR(INDEX(指標マスタ[],MATCH(AN$5,指標マスタ['#],0),MATCH($D2,指標マスタ[#Headers],0))&amp;"","")</f>
        <v/>
      </c>
      <c r="AO2" s="193" t="str">
        <f>IFERROR(INDEX(指標マスタ[],MATCH(AO$5,指標マスタ['#],0),MATCH($D2,指標マスタ[#Headers],0))&amp;"","")</f>
        <v/>
      </c>
      <c r="AP2" s="193" t="str">
        <f>IFERROR(INDEX(指標マスタ[],MATCH(AP$5,指標マスタ['#],0),MATCH($D2,指標マスタ[#Headers],0))&amp;"","")</f>
        <v/>
      </c>
      <c r="AQ2" s="193" t="str">
        <f>IFERROR(INDEX(指標マスタ[],MATCH(AQ$5,指標マスタ['#],0),MATCH($D2,指標マスタ[#Headers],0))&amp;"","")</f>
        <v/>
      </c>
      <c r="AR2" s="193" t="str">
        <f>IFERROR(INDEX(指標マスタ[],MATCH(AR$5,指標マスタ['#],0),MATCH($D2,指標マスタ[#Headers],0))&amp;"","")</f>
        <v/>
      </c>
      <c r="AS2" s="199" t="str">
        <f>IFERROR(INDEX(指標マスタ[],MATCH(AS$5,指標マスタ['#],0),MATCH($D2,指標マスタ[#Headers],0))&amp;"","")</f>
        <v>居住</v>
      </c>
      <c r="AT2" s="199" t="str">
        <f>IFERROR(INDEX(指標マスタ[],MATCH(AT$5,指標マスタ['#],0),MATCH($D2,指標マスタ[#Headers],0))&amp;"","")</f>
        <v/>
      </c>
      <c r="AU2" s="199" t="str">
        <f>IFERROR(INDEX(指標マスタ[],MATCH(AU$5,指標マスタ['#],0),MATCH($D2,指標マスタ[#Headers],0))&amp;"","")</f>
        <v/>
      </c>
      <c r="AV2" s="199" t="str">
        <f>IFERROR(INDEX(指標マスタ[],MATCH(AV$5,指標マスタ['#],0),MATCH($D2,指標マスタ[#Headers],0))&amp;"","")</f>
        <v/>
      </c>
      <c r="AW2" s="199" t="str">
        <f>IFERROR(INDEX(指標マスタ[],MATCH(AW$5,指標マスタ['#],0),MATCH($D2,指標マスタ[#Headers],0))&amp;"","")</f>
        <v/>
      </c>
      <c r="AX2" s="199" t="str">
        <f>IFERROR(INDEX(指標マスタ[],MATCH(AX$5,指標マスタ['#],0),MATCH($D2,指標マスタ[#Headers],0))&amp;"","")</f>
        <v/>
      </c>
      <c r="AY2" s="199" t="str">
        <f>IFERROR(INDEX(指標マスタ[],MATCH(AY$5,指標マスタ['#],0),MATCH($D2,指標マスタ[#Headers],0))&amp;"","")</f>
        <v/>
      </c>
      <c r="AZ2" s="199" t="str">
        <f>IFERROR(INDEX(指標マスタ[],MATCH(AZ$5,指標マスタ['#],0),MATCH($D2,指標マスタ[#Headers],0))&amp;"","")</f>
        <v/>
      </c>
      <c r="BA2" s="199" t="str">
        <f>IFERROR(INDEX(指標マスタ[],MATCH(BA$5,指標マスタ['#],0),MATCH($D2,指標マスタ[#Headers],0))&amp;"","")</f>
        <v/>
      </c>
      <c r="BB2" s="199" t="str">
        <f>IFERROR(INDEX(指標マスタ[],MATCH(BB$5,指標マスタ['#],0),MATCH($D2,指標マスタ[#Headers],0))&amp;"","")</f>
        <v/>
      </c>
      <c r="BC2" s="199" t="str">
        <f>IFERROR(INDEX(指標マスタ[],MATCH(BC$5,指標マスタ['#],0),MATCH($D2,指標マスタ[#Headers],0))&amp;"","")</f>
        <v/>
      </c>
      <c r="BD2" s="199" t="str">
        <f>IFERROR(INDEX(指標マスタ[],MATCH(BD$5,指標マスタ['#],0),MATCH($D2,指標マスタ[#Headers],0))&amp;"","")</f>
        <v/>
      </c>
      <c r="BE2" s="199" t="str">
        <f>IFERROR(INDEX(指標マスタ[],MATCH(BE$5,指標マスタ['#],0),MATCH($D2,指標マスタ[#Headers],0))&amp;"","")</f>
        <v/>
      </c>
      <c r="BF2" s="199" t="str">
        <f>IFERROR(INDEX(指標マスタ[],MATCH(BF$5,指標マスタ['#],0),MATCH($D2,指標マスタ[#Headers],0))&amp;"","")</f>
        <v/>
      </c>
      <c r="BG2" s="204" t="str">
        <f>IFERROR(INDEX(指標マスタ[],MATCH(BG$5,指標マスタ['#],0),MATCH($D2,指標マスタ[#Headers],0))&amp;"","")</f>
        <v>環境</v>
      </c>
      <c r="BH2" s="204" t="str">
        <f>IFERROR(INDEX(指標マスタ[],MATCH(BH$5,指標マスタ['#],0),MATCH($D2,指標マスタ[#Headers],0))&amp;"","")</f>
        <v/>
      </c>
      <c r="BI2" s="204" t="str">
        <f>IFERROR(INDEX(指標マスタ[],MATCH(BI$5,指標マスタ['#],0),MATCH($D2,指標マスタ[#Headers],0))&amp;"","")</f>
        <v/>
      </c>
      <c r="BJ2" s="204" t="str">
        <f>IFERROR(INDEX(指標マスタ[],MATCH(BJ$5,指標マスタ['#],0),MATCH($D2,指標マスタ[#Headers],0))&amp;"","")</f>
        <v/>
      </c>
      <c r="BK2" s="204" t="str">
        <f>IFERROR(INDEX(指標マスタ[],MATCH(BK$5,指標マスタ['#],0),MATCH($D2,指標マスタ[#Headers],0))&amp;"","")</f>
        <v/>
      </c>
      <c r="BL2" s="204" t="str">
        <f>IFERROR(INDEX(指標マスタ[],MATCH(BL$5,指標マスタ['#],0),MATCH($D2,指標マスタ[#Headers],0))&amp;"","")</f>
        <v/>
      </c>
      <c r="BM2" s="204" t="str">
        <f>IFERROR(INDEX(指標マスタ[],MATCH(BM$5,指標マスタ['#],0),MATCH($D2,指標マスタ[#Headers],0))&amp;"","")</f>
        <v/>
      </c>
      <c r="BN2" s="204" t="str">
        <f>IFERROR(INDEX(指標マスタ[],MATCH(BN$5,指標マスタ['#],0),MATCH($D2,指標マスタ[#Headers],0))&amp;"","")</f>
        <v/>
      </c>
      <c r="BO2" s="204" t="str">
        <f>IFERROR(INDEX(指標マスタ[],MATCH(BO$5,指標マスタ['#],0),MATCH($D2,指標マスタ[#Headers],0))&amp;"","")</f>
        <v/>
      </c>
      <c r="BP2" s="209" t="str">
        <f>IFERROR(INDEX(指標マスタ[],MATCH(BP$5,指標マスタ['#],0),MATCH($D2,指標マスタ[#Headers],0))&amp;"","")</f>
        <v>交通・アクセス</v>
      </c>
      <c r="BQ2" s="209" t="str">
        <f>IFERROR(INDEX(指標マスタ[],MATCH(BQ$5,指標マスタ['#],0),MATCH($D2,指標マスタ[#Headers],0))&amp;"","")</f>
        <v/>
      </c>
      <c r="BR2" s="209" t="str">
        <f>IFERROR(INDEX(指標マスタ[],MATCH(BR$5,指標マスタ['#],0),MATCH($D2,指標マスタ[#Headers],0))&amp;"","")</f>
        <v/>
      </c>
      <c r="BS2" s="209" t="str">
        <f>IFERROR(INDEX(指標マスタ[],MATCH(BS$5,指標マスタ['#],0),MATCH($D2,指標マスタ[#Headers],0))&amp;"","")</f>
        <v/>
      </c>
      <c r="BT2" s="209" t="str">
        <f>IFERROR(INDEX(指標マスタ[],MATCH(BT$5,指標マスタ['#],0),MATCH($D2,指標マスタ[#Headers],0))&amp;"","")</f>
        <v/>
      </c>
      <c r="BU2" s="209" t="str">
        <f>IFERROR(INDEX(指標マスタ[],MATCH(BU$5,指標マスタ['#],0),MATCH($D2,指標マスタ[#Headers],0))&amp;"","")</f>
        <v/>
      </c>
      <c r="BV2" s="209" t="str">
        <f>IFERROR(INDEX(指標マスタ[],MATCH(BV$5,指標マスタ['#],0),MATCH($D2,指標マスタ[#Headers],0))&amp;"","")</f>
        <v/>
      </c>
      <c r="BW2" s="209" t="str">
        <f>IFERROR(INDEX(指標マスタ[],MATCH(BW$5,指標マスタ['#],0),MATCH($D2,指標マスタ[#Headers],0))&amp;"","")</f>
        <v/>
      </c>
      <c r="BX2" s="209" t="str">
        <f>IFERROR(INDEX(指標マスタ[],MATCH(BX$5,指標マスタ['#],0),MATCH($D2,指標マスタ[#Headers],0))&amp;"","")</f>
        <v/>
      </c>
      <c r="BY2" s="209" t="str">
        <f>IFERROR(INDEX(指標マスタ[],MATCH(BY$5,指標マスタ['#],0),MATCH($D2,指標マスタ[#Headers],0))&amp;"","")</f>
        <v/>
      </c>
    </row>
    <row r="3" spans="1:77" ht="15.4" customHeight="1">
      <c r="B3" s="25">
        <f>COUNTIF(年次!$E$6:$BY$53,"-")+COUNTIF(年次!$E$6:$BY$53,"")</f>
        <v>50</v>
      </c>
      <c r="D3" s="36" t="str">
        <f>IF(JPEN!$C$2="EN",指標!$G$2,指標!$F$2)</f>
        <v>指標グループ</v>
      </c>
      <c r="E3" s="39" t="str">
        <f>IFERROR(INDEX(指標マスタ[],MATCH(E$5,指標マスタ['#],0),MATCH($D3,指標マスタ[#Headers],0))&amp;"","")</f>
        <v>基礎</v>
      </c>
      <c r="F3" s="39" t="str">
        <f>IFERROR(INDEX(指標マスタ[],MATCH(F$5,指標マスタ['#],0),MATCH($D3,指標マスタ[#Headers],0))&amp;"","")</f>
        <v/>
      </c>
      <c r="G3" s="39" t="str">
        <f>IFERROR(INDEX(指標マスタ[],MATCH(G$5,指標マスタ['#],0),MATCH($D3,指標マスタ[#Headers],0))&amp;"","")</f>
        <v/>
      </c>
      <c r="H3" s="183" t="str">
        <f>IFERROR(INDEX(指標マスタ[],MATCH(H$5,指標マスタ['#],0),MATCH($D3,指標マスタ[#Headers],0))&amp;"","")</f>
        <v>市場の規模</v>
      </c>
      <c r="I3" s="183" t="str">
        <f>IFERROR(INDEX(指標マスタ[],MATCH(I$5,指標マスタ['#],0),MATCH($D3,指標マスタ[#Headers],0))&amp;"","")</f>
        <v/>
      </c>
      <c r="J3" s="183" t="str">
        <f>IFERROR(INDEX(指標マスタ[],MATCH(J$5,指標マスタ['#],0),MATCH($D3,指標マスタ[#Headers],0))&amp;"","")</f>
        <v>市場の魅力</v>
      </c>
      <c r="K3" s="183" t="str">
        <f>IFERROR(INDEX(指標マスタ[],MATCH(K$5,指標マスタ['#],0),MATCH($D3,指標マスタ[#Headers],0))&amp;"","")</f>
        <v/>
      </c>
      <c r="L3" s="183" t="str">
        <f>IFERROR(INDEX(指標マスタ[],MATCH(L$5,指標マスタ['#],0),MATCH($D3,指標マスタ[#Headers],0))&amp;"","")</f>
        <v>経済集積</v>
      </c>
      <c r="M3" s="183" t="str">
        <f>IFERROR(INDEX(指標マスタ[],MATCH(M$5,指標マスタ['#],0),MATCH($D3,指標マスタ[#Headers],0))&amp;"","")</f>
        <v/>
      </c>
      <c r="N3" s="183" t="str">
        <f>IFERROR(INDEX(指標マスタ[],MATCH(N$5,指標マスタ['#],0),MATCH($D3,指標マスタ[#Headers],0))&amp;"","")</f>
        <v>人的集積</v>
      </c>
      <c r="O3" s="183" t="str">
        <f>IFERROR(INDEX(指標マスタ[],MATCH(O$5,指標マスタ['#],0),MATCH($D3,指標マスタ[#Headers],0))&amp;"","")</f>
        <v/>
      </c>
      <c r="P3" s="183" t="str">
        <f>IFERROR(INDEX(指標マスタ[],MATCH(P$5,指標マスタ['#],0),MATCH($D3,指標マスタ[#Headers],0))&amp;"","")</f>
        <v>ビジネス環境</v>
      </c>
      <c r="Q3" s="183" t="str">
        <f>IFERROR(INDEX(指標マスタ[],MATCH(Q$5,指標マスタ['#],0),MATCH($D3,指標マスタ[#Headers],0))&amp;"","")</f>
        <v/>
      </c>
      <c r="R3" s="183" t="str">
        <f>IFERROR(INDEX(指標マスタ[],MATCH(R$5,指標マスタ['#],0),MATCH($D3,指標マスタ[#Headers],0))&amp;"","")</f>
        <v/>
      </c>
      <c r="S3" s="183" t="str">
        <f>IFERROR(INDEX(指標マスタ[],MATCH(S$5,指標マスタ['#],0),MATCH($D3,指標マスタ[#Headers],0))&amp;"","")</f>
        <v>ビジネスの容易性</v>
      </c>
      <c r="T3" s="183" t="str">
        <f>IFERROR(INDEX(指標マスタ[],MATCH(T$5,指標マスタ['#],0),MATCH($D3,指標マスタ[#Headers],0))&amp;"","")</f>
        <v/>
      </c>
      <c r="U3" s="187" t="str">
        <f>IFERROR(INDEX(指標マスタ[],MATCH(U$5,指標マスタ['#],0),MATCH($D3,指標マスタ[#Headers],0))&amp;"","")</f>
        <v>研究集積</v>
      </c>
      <c r="V3" s="187" t="str">
        <f>IFERROR(INDEX(指標マスタ[],MATCH(V$5,指標マスタ['#],0),MATCH($D3,指標マスタ[#Headers],0))&amp;"","")</f>
        <v/>
      </c>
      <c r="W3" s="188" t="str">
        <f>IFERROR(INDEX(指標マスタ[],MATCH(W$5,指標マスタ['#],0),MATCH($D3,指標マスタ[#Headers],0))&amp;"","")</f>
        <v>研究環境</v>
      </c>
      <c r="X3" s="188" t="str">
        <f>IFERROR(INDEX(指標マスタ[],MATCH(X$5,指標マスタ['#],0),MATCH($D3,指標マスタ[#Headers],0))&amp;"","")</f>
        <v/>
      </c>
      <c r="Y3" s="188" t="str">
        <f>IFERROR(INDEX(指標マスタ[],MATCH(Y$5,指標マスタ['#],0),MATCH($D3,指標マスタ[#Headers],0))&amp;"","")</f>
        <v/>
      </c>
      <c r="Z3" s="188" t="str">
        <f>IFERROR(INDEX(指標マスタ[],MATCH(Z$5,指標マスタ['#],0),MATCH($D3,指標マスタ[#Headers],0))&amp;"","")</f>
        <v>イノベーション</v>
      </c>
      <c r="AA3" s="188" t="str">
        <f>IFERROR(INDEX(指標マスタ[],MATCH(AA$5,指標マスタ['#],0),MATCH($D3,指標マスタ[#Headers],0))&amp;"","")</f>
        <v/>
      </c>
      <c r="AB3" s="188" t="str">
        <f>IFERROR(INDEX(指標マスタ[],MATCH(AB$5,指標マスタ['#],0),MATCH($D3,指標マスタ[#Headers],0))&amp;"","")</f>
        <v/>
      </c>
      <c r="AC3" s="194" t="str">
        <f>IFERROR(INDEX(指標マスタ[],MATCH(AC$5,指標マスタ['#],0),MATCH($D3,指標マスタ[#Headers],0))&amp;"","")</f>
        <v>発信力</v>
      </c>
      <c r="AD3" s="194" t="str">
        <f>IFERROR(INDEX(指標マスタ[],MATCH(AD$5,指標マスタ['#],0),MATCH($D3,指標マスタ[#Headers],0))&amp;"","")</f>
        <v/>
      </c>
      <c r="AE3" s="194" t="str">
        <f>IFERROR(INDEX(指標マスタ[],MATCH(AE$5,指標マスタ['#],0),MATCH($D3,指標マスタ[#Headers],0))&amp;"","")</f>
        <v/>
      </c>
      <c r="AF3" s="194" t="str">
        <f>IFERROR(INDEX(指標マスタ[],MATCH(AF$5,指標マスタ['#],0),MATCH($D3,指標マスタ[#Headers],0))&amp;"","")</f>
        <v/>
      </c>
      <c r="AG3" s="193" t="str">
        <f>IFERROR(INDEX(指標マスタ[],MATCH(AG$5,指標マスタ['#],0),MATCH($D3,指標マスタ[#Headers],0))&amp;"","")</f>
        <v>観光資源</v>
      </c>
      <c r="AH3" s="193" t="str">
        <f>IFERROR(INDEX(指標マスタ[],MATCH(AH$5,指標マスタ['#],0),MATCH($D3,指標マスタ[#Headers],0))&amp;"","")</f>
        <v/>
      </c>
      <c r="AI3" s="193" t="str">
        <f>IFERROR(INDEX(指標マスタ[],MATCH(AI$5,指標マスタ['#],0),MATCH($D3,指標マスタ[#Headers],0))&amp;"","")</f>
        <v/>
      </c>
      <c r="AJ3" s="194" t="str">
        <f>IFERROR(INDEX(指標マスタ[],MATCH(AJ$5,指標マスタ['#],0),MATCH($D3,指標マスタ[#Headers],0))&amp;"","")</f>
        <v>文化施設</v>
      </c>
      <c r="AK3" s="194" t="str">
        <f>IFERROR(INDEX(指標マスタ[],MATCH(AK$5,指標マスタ['#],0),MATCH($D3,指標マスタ[#Headers],0))&amp;"","")</f>
        <v/>
      </c>
      <c r="AL3" s="194" t="str">
        <f>IFERROR(INDEX(指標マスタ[],MATCH(AL$5,指標マスタ['#],0),MATCH($D3,指標マスタ[#Headers],0))&amp;"","")</f>
        <v/>
      </c>
      <c r="AM3" s="194" t="str">
        <f>IFERROR(INDEX(指標マスタ[],MATCH(AM$5,指標マスタ['#],0),MATCH($D3,指標マスタ[#Headers],0))&amp;"","")</f>
        <v>受入環境</v>
      </c>
      <c r="AN3" s="194" t="str">
        <f>IFERROR(INDEX(指標マスタ[],MATCH(AN$5,指標マスタ['#],0),MATCH($D3,指標マスタ[#Headers],0))&amp;"","")</f>
        <v/>
      </c>
      <c r="AO3" s="194" t="str">
        <f>IFERROR(INDEX(指標マスタ[],MATCH(AO$5,指標マスタ['#],0),MATCH($D3,指標マスタ[#Headers],0))&amp;"","")</f>
        <v/>
      </c>
      <c r="AP3" s="194" t="str">
        <f>IFERROR(INDEX(指標マスタ[],MATCH(AP$5,指標マスタ['#],0),MATCH($D3,指標マスタ[#Headers],0))&amp;"","")</f>
        <v/>
      </c>
      <c r="AQ3" s="194" t="str">
        <f>IFERROR(INDEX(指標マスタ[],MATCH(AQ$5,指標マスタ['#],0),MATCH($D3,指標マスタ[#Headers],0))&amp;"","")</f>
        <v>外国人受入実績</v>
      </c>
      <c r="AR3" s="194" t="str">
        <f>IFERROR(INDEX(指標マスタ[],MATCH(AR$5,指標マスタ['#],0),MATCH($D3,指標マスタ[#Headers],0))&amp;"","")</f>
        <v/>
      </c>
      <c r="AS3" s="199" t="str">
        <f>IFERROR(INDEX(指標マスタ[],MATCH(AS$5,指標マスタ['#],0),MATCH($D3,指標マスタ[#Headers],0))&amp;"","")</f>
        <v>就業環境</v>
      </c>
      <c r="AT3" s="199" t="str">
        <f>IFERROR(INDEX(指標マスタ[],MATCH(AT$5,指標マスタ['#],0),MATCH($D3,指標マスタ[#Headers],0))&amp;"","")</f>
        <v/>
      </c>
      <c r="AU3" s="199" t="str">
        <f>IFERROR(INDEX(指標マスタ[],MATCH(AU$5,指標マスタ['#],0),MATCH($D3,指標マスタ[#Headers],0))&amp;"","")</f>
        <v/>
      </c>
      <c r="AV3" s="199" t="str">
        <f>IFERROR(INDEX(指標マスタ[],MATCH(AV$5,指標マスタ['#],0),MATCH($D3,指標マスタ[#Headers],0))&amp;"","")</f>
        <v>居住コスト</v>
      </c>
      <c r="AW3" s="199" t="str">
        <f>IFERROR(INDEX(指標マスタ[],MATCH(AW$5,指標マスタ['#],0),MATCH($D3,指標マスタ[#Headers],0))&amp;"","")</f>
        <v/>
      </c>
      <c r="AX3" s="199" t="str">
        <f>IFERROR(INDEX(指標マスタ[],MATCH(AX$5,指標マスタ['#],0),MATCH($D3,指標マスタ[#Headers],0))&amp;"","")</f>
        <v>安全・安心</v>
      </c>
      <c r="AY3" s="199" t="str">
        <f>IFERROR(INDEX(指標マスタ[],MATCH(AY$5,指標マスタ['#],0),MATCH($D3,指標マスタ[#Headers],0))&amp;"","")</f>
        <v/>
      </c>
      <c r="AZ3" s="199" t="str">
        <f>IFERROR(INDEX(指標マスタ[],MATCH(AZ$5,指標マスタ['#],0),MATCH($D3,指標マスタ[#Headers],0))&amp;"","")</f>
        <v>生活良好性</v>
      </c>
      <c r="BA3" s="199" t="str">
        <f>IFERROR(INDEX(指標マスタ[],MATCH(BA$5,指標マスタ['#],0),MATCH($D3,指標マスタ[#Headers],0))&amp;"","")</f>
        <v/>
      </c>
      <c r="BB3" s="199" t="str">
        <f>IFERROR(INDEX(指標マスタ[],MATCH(BB$5,指標マスタ['#],0),MATCH($D3,指標マスタ[#Headers],0))&amp;"","")</f>
        <v/>
      </c>
      <c r="BC3" s="199" t="str">
        <f>IFERROR(INDEX(指標マスタ[],MATCH(BC$5,指標マスタ['#],0),MATCH($D3,指標マスタ[#Headers],0))&amp;"","")</f>
        <v>生活利便性</v>
      </c>
      <c r="BD3" s="199" t="str">
        <f>IFERROR(INDEX(指標マスタ[],MATCH(BD$5,指標マスタ['#],0),MATCH($D3,指標マスタ[#Headers],0))&amp;"","")</f>
        <v/>
      </c>
      <c r="BE3" s="199" t="str">
        <f>IFERROR(INDEX(指標マスタ[],MATCH(BE$5,指標マスタ['#],0),MATCH($D3,指標マスタ[#Headers],0))&amp;"","")</f>
        <v/>
      </c>
      <c r="BF3" s="199" t="str">
        <f>IFERROR(INDEX(指標マスタ[],MATCH(BF$5,指標マスタ['#],0),MATCH($D3,指標マスタ[#Headers],0))&amp;"","")</f>
        <v/>
      </c>
      <c r="BG3" s="204" t="str">
        <f>IFERROR(INDEX(指標マスタ[],MATCH(BG$5,指標マスタ['#],0),MATCH($D3,指標マスタ[#Headers],0))&amp;"","")</f>
        <v>持続可能性</v>
      </c>
      <c r="BH3" s="204" t="str">
        <f>IFERROR(INDEX(指標マスタ[],MATCH(BH$5,指標マスタ['#],0),MATCH($D3,指標マスタ[#Headers],0))&amp;"","")</f>
        <v/>
      </c>
      <c r="BI3" s="204" t="str">
        <f>IFERROR(INDEX(指標マスタ[],MATCH(BI$5,指標マスタ['#],0),MATCH($D3,指標マスタ[#Headers],0))&amp;"","")</f>
        <v/>
      </c>
      <c r="BJ3" s="204" t="str">
        <f>IFERROR(INDEX(指標マスタ[],MATCH(BJ$5,指標マスタ['#],0),MATCH($D3,指標マスタ[#Headers],0))&amp;"","")</f>
        <v>空気環境</v>
      </c>
      <c r="BK3" s="204" t="str">
        <f>IFERROR(INDEX(指標マスタ[],MATCH(BK$5,指標マスタ['#],0),MATCH($D3,指標マスタ[#Headers],0))&amp;"","")</f>
        <v/>
      </c>
      <c r="BL3" s="204" t="str">
        <f>IFERROR(INDEX(指標マスタ[],MATCH(BL$5,指標マスタ['#],0),MATCH($D3,指標マスタ[#Headers],0))&amp;"","")</f>
        <v/>
      </c>
      <c r="BM3" s="204" t="str">
        <f>IFERROR(INDEX(指標マスタ[],MATCH(BM$5,指標マスタ['#],0),MATCH($D3,指標マスタ[#Headers],0))&amp;"","")</f>
        <v>都市環境</v>
      </c>
      <c r="BN3" s="204" t="str">
        <f>IFERROR(INDEX(指標マスタ[],MATCH(BN$5,指標マスタ['#],0),MATCH($D3,指標マスタ[#Headers],0))&amp;"","")</f>
        <v/>
      </c>
      <c r="BO3" s="204" t="str">
        <f>IFERROR(INDEX(指標マスタ[],MATCH(BO$5,指標マスタ['#],0),MATCH($D3,指標マスタ[#Headers],0))&amp;"","")</f>
        <v/>
      </c>
      <c r="BP3" s="209" t="str">
        <f>IFERROR(INDEX(指標マスタ[],MATCH(BP$5,指標マスタ['#],0),MATCH($D3,指標マスタ[#Headers],0))&amp;"","")</f>
        <v>国際ネットワーク</v>
      </c>
      <c r="BQ3" s="209" t="str">
        <f>IFERROR(INDEX(指標マスタ[],MATCH(BQ$5,指標マスタ['#],0),MATCH($D3,指標マスタ[#Headers],0))&amp;"","")</f>
        <v/>
      </c>
      <c r="BR3" s="209" t="str">
        <f>IFERROR(INDEX(指標マスタ[],MATCH(BR$5,指標マスタ['#],0),MATCH($D3,指標マスタ[#Headers],0))&amp;"","")</f>
        <v>航空キャパシティ</v>
      </c>
      <c r="BS3" s="209" t="str">
        <f>IFERROR(INDEX(指標マスタ[],MATCH(BS$5,指標マスタ['#],0),MATCH($D3,指標マスタ[#Headers],0))&amp;"","")</f>
        <v/>
      </c>
      <c r="BT3" s="209" t="str">
        <f>IFERROR(INDEX(指標マスタ[],MATCH(BT$5,指標マスタ['#],0),MATCH($D3,指標マスタ[#Headers],0))&amp;"","")</f>
        <v>都市内交通</v>
      </c>
      <c r="BU3" s="209" t="str">
        <f>IFERROR(INDEX(指標マスタ[],MATCH(BU$5,指標マスタ['#],0),MATCH($D3,指標マスタ[#Headers],0))&amp;"","")</f>
        <v/>
      </c>
      <c r="BV3" s="209" t="str">
        <f>IFERROR(INDEX(指標マスタ[],MATCH(BV$5,指標マスタ['#],0),MATCH($D3,指標マスタ[#Headers],0))&amp;"","")</f>
        <v/>
      </c>
      <c r="BW3" s="209" t="str">
        <f>IFERROR(INDEX(指標マスタ[],MATCH(BW$5,指標マスタ['#],0),MATCH($D3,指標マスタ[#Headers],0))&amp;"","")</f>
        <v>移動の快適性</v>
      </c>
      <c r="BX3" s="209" t="str">
        <f>IFERROR(INDEX(指標マスタ[],MATCH(BX$5,指標マスタ['#],0),MATCH($D3,指標マスタ[#Headers],0))&amp;"","")</f>
        <v/>
      </c>
      <c r="BY3" s="209" t="str">
        <f>IFERROR(INDEX(指標マスタ[],MATCH(BY$5,指標マスタ['#],0),MATCH($D3,指標マスタ[#Headers],0))&amp;"","")</f>
        <v/>
      </c>
    </row>
    <row r="4" spans="1:77">
      <c r="D4" s="36" t="str">
        <f>IF(JPEN!$C$2="EN",指標!$I$2,指標!$H$2)</f>
        <v>指標</v>
      </c>
      <c r="E4" s="74" t="str">
        <f>IFERROR(INDEX(指標マスタ[],MATCH(E$5,指標マスタ['#],0),MATCH($D4,指標マスタ[#Headers],0))&amp;"","")</f>
        <v>人口</v>
      </c>
      <c r="F4" s="43" t="str">
        <f>IFERROR(INDEX(指標マスタ[],MATCH(F$5,指標マスタ['#],0),MATCH($D4,指標マスタ[#Headers],0))&amp;"","")</f>
        <v>面積</v>
      </c>
      <c r="G4" s="43" t="str">
        <f>IFERROR(INDEX(指標マスタ[],MATCH(G$5,指標マスタ['#],0),MATCH($D4,指標マスタ[#Headers],0))&amp;"","")</f>
        <v>為替</v>
      </c>
      <c r="H4" s="183" t="str">
        <f>IFERROR(INDEX(指標マスタ[],MATCH(H$5,指標マスタ['#],0),MATCH($D4,指標マスタ[#Headers],0))&amp;"","")</f>
        <v>GDP</v>
      </c>
      <c r="I4" s="183" t="str">
        <f>IFERROR(INDEX(指標マスタ[],MATCH(I$5,指標マスタ['#],0),MATCH($D4,指標マスタ[#Headers],0))&amp;"","")</f>
        <v>1人あたりGDP</v>
      </c>
      <c r="J4" s="183" t="str">
        <f>IFERROR(INDEX(指標マスタ[],MATCH(J$5,指標マスタ['#],0),MATCH($D4,指標マスタ[#Headers],0))&amp;"","")</f>
        <v>GDP成長率</v>
      </c>
      <c r="K4" s="183" t="str">
        <f>IFERROR(INDEX(指標マスタ[],MATCH(K$5,指標マスタ['#],0),MATCH($D4,指標マスタ[#Headers],0))&amp;"","")</f>
        <v>経済自由度</v>
      </c>
      <c r="L4" s="183" t="str">
        <f>IFERROR(INDEX(指標マスタ[],MATCH(L$5,指標マスタ['#],0),MATCH($D4,指標マスタ[#Headers],0))&amp;"","")</f>
        <v>上場株式時価総額</v>
      </c>
      <c r="M4" s="183" t="str">
        <f>IFERROR(INDEX(指標マスタ[],MATCH(M$5,指標マスタ['#],0),MATCH($D4,指標マスタ[#Headers],0))&amp;"","")</f>
        <v>世界トップ500企業</v>
      </c>
      <c r="N4" s="183" t="str">
        <f>IFERROR(INDEX(指標マスタ[],MATCH(N$5,指標マスタ['#],0),MATCH($D4,指標マスタ[#Headers],0))&amp;"","")</f>
        <v>従業者数</v>
      </c>
      <c r="O4" s="183" t="str">
        <f>IFERROR(INDEX(指標マスタ[],MATCH(O$5,指標マスタ['#],0),MATCH($D4,指標マスタ[#Headers],0))&amp;"","")</f>
        <v>ビジネスサポート人材の多さ</v>
      </c>
      <c r="P4" s="183" t="str">
        <f>IFERROR(INDEX(指標マスタ[],MATCH(P$5,指標マスタ['#],0),MATCH($D4,指標マスタ[#Headers],0))&amp;"","")</f>
        <v>賃金水準の高さ</v>
      </c>
      <c r="Q4" s="183" t="str">
        <f>IFERROR(INDEX(指標マスタ[],MATCH(Q$5,指標マスタ['#],0),MATCH($D4,指標マスタ[#Headers],0))&amp;"","")</f>
        <v>優秀な人材確保の容易性</v>
      </c>
      <c r="R4" s="183" t="str">
        <f>IFERROR(INDEX(指標マスタ[],MATCH(R$5,指標マスタ['#],0),MATCH($D4,指標マスタ[#Headers],0))&amp;"","")</f>
        <v>ワークプレイス充実度</v>
      </c>
      <c r="S4" s="183" t="str">
        <f>IFERROR(INDEX(指標マスタ[],MATCH(S$5,指標マスタ['#],0),MATCH($D4,指標マスタ[#Headers],0))&amp;"","")</f>
        <v>法人税率の低さ</v>
      </c>
      <c r="T4" s="183" t="str">
        <f>IFERROR(INDEX(指標マスタ[],MATCH(T$5,指標マスタ['#],0),MATCH($D4,指標マスタ[#Headers],0))&amp;"","")</f>
        <v>政治・経済・商機のリスクの低さ</v>
      </c>
      <c r="U4" s="187" t="str">
        <f>IFERROR(INDEX(指標マスタ[],MATCH(U$5,指標マスタ['#],0),MATCH($D4,指標マスタ[#Headers],0))&amp;"","")</f>
        <v>研究者数</v>
      </c>
      <c r="V4" s="187" t="str">
        <f>IFERROR(INDEX(指標マスタ[],MATCH(V$5,指標マスタ['#],0),MATCH($D4,指標マスタ[#Headers],0))&amp;"","")</f>
        <v>世界トップ大学</v>
      </c>
      <c r="W4" s="187" t="str">
        <f>IFERROR(INDEX(指標マスタ[],MATCH(W$5,指標マスタ['#],0),MATCH($D4,指標マスタ[#Headers],0))&amp;"","")</f>
        <v>研究開発費</v>
      </c>
      <c r="X4" s="187" t="str">
        <f>IFERROR(INDEX(指標マスタ[],MATCH(X$5,指標マスタ['#],0),MATCH($D4,指標マスタ[#Headers],0))&amp;"","")</f>
        <v>留学生数</v>
      </c>
      <c r="Y4" s="187" t="str">
        <f>IFERROR(INDEX(指標マスタ[],MATCH(Y$5,指標マスタ['#],0),MATCH($D4,指標マスタ[#Headers],0))&amp;"","")</f>
        <v>学力の高さ</v>
      </c>
      <c r="Z4" s="187" t="str">
        <f>IFERROR(INDEX(指標マスタ[],MATCH(Z$5,指標マスタ['#],0),MATCH($D4,指標マスタ[#Headers],0))&amp;"","")</f>
        <v>特許登録件数</v>
      </c>
      <c r="AA4" s="187" t="str">
        <f>IFERROR(INDEX(指標マスタ[],MATCH(AA$5,指標マスタ['#],0),MATCH($D4,指標マスタ[#Headers],0))&amp;"","")</f>
        <v>主要科学技術賞受賞者数</v>
      </c>
      <c r="AB4" s="187" t="str">
        <f>IFERROR(INDEX(指標マスタ[],MATCH(AB$5,指標マスタ['#],0),MATCH($D4,指標マスタ[#Headers],0))&amp;"","")</f>
        <v>スタートアップ数</v>
      </c>
      <c r="AC4" s="193" t="str">
        <f>IFERROR(INDEX(指標マスタ[],MATCH(AC$5,指標マスタ['#],0),MATCH($D4,指標マスタ[#Headers],0))&amp;"","")</f>
        <v>国際コンベンション件数</v>
      </c>
      <c r="AD4" s="193" t="str">
        <f>IFERROR(INDEX(指標マスタ[],MATCH(AD$5,指標マスタ['#],0),MATCH($D4,指標マスタ[#Headers],0))&amp;"","")</f>
        <v>文化イベント開催件数</v>
      </c>
      <c r="AE4" s="193" t="str">
        <f>IFERROR(INDEX(指標マスタ[],MATCH(AE$5,指標マスタ['#],0),MATCH($D4,指標マスタ[#Headers],0))&amp;"","")</f>
        <v>コンテンツ輸出額</v>
      </c>
      <c r="AF4" s="193" t="str">
        <f>IFERROR(INDEX(指標マスタ[],MATCH(AF$5,指標マスタ['#],0),MATCH($D4,指標マスタ[#Headers],0))&amp;"","")</f>
        <v>アート市場環境</v>
      </c>
      <c r="AG4" s="193" t="str">
        <f>IFERROR(INDEX(指標マスタ[],MATCH(AG$5,指標マスタ['#],0),MATCH($D4,指標マスタ[#Headers],0))&amp;"","")</f>
        <v>観光地の充実度</v>
      </c>
      <c r="AH4" s="193" t="str">
        <f>IFERROR(INDEX(指標マスタ[],MATCH(AH$5,指標マスタ['#],0),MATCH($D4,指標マスタ[#Headers],0))&amp;"","")</f>
        <v>世界遺産への近接性</v>
      </c>
      <c r="AI4" s="193" t="str">
        <f>IFERROR(INDEX(指標マスタ[],MATCH(AI$5,指標マスタ['#],0),MATCH($D4,指標マスタ[#Headers],0))&amp;"","")</f>
        <v>ナイトライフ充実度</v>
      </c>
      <c r="AJ4" s="193" t="str">
        <f>IFERROR(INDEX(指標マスタ[],MATCH(AJ$5,指標マスタ['#],0),MATCH($D4,指標マスタ[#Headers],0))&amp;"","")</f>
        <v>劇場・コンサートホール数</v>
      </c>
      <c r="AK4" s="193" t="str">
        <f>IFERROR(INDEX(指標マスタ[],MATCH(AK$5,指標マスタ['#],0),MATCH($D4,指標マスタ[#Headers],0))&amp;"","")</f>
        <v>美術館・博物館数</v>
      </c>
      <c r="AL4" s="193" t="str">
        <f>IFERROR(INDEX(指標マスタ[],MATCH(AL$5,指標マスタ['#],0),MATCH($D4,指標マスタ[#Headers],0))&amp;"","")</f>
        <v>スタジアム数</v>
      </c>
      <c r="AM4" s="193" t="str">
        <f>IFERROR(INDEX(指標マスタ[],MATCH(AM$5,指標マスタ['#],0),MATCH($D4,指標マスタ[#Headers],0))&amp;"","")</f>
        <v>ホテル客室数</v>
      </c>
      <c r="AN4" s="193" t="str">
        <f>IFERROR(INDEX(指標マスタ[],MATCH(AN$5,指標マスタ['#],0),MATCH($D4,指標マスタ[#Headers],0))&amp;"","")</f>
        <v>ハイクラスホテル客室数</v>
      </c>
      <c r="AO4" s="193" t="str">
        <f>IFERROR(INDEX(指標マスタ[],MATCH(AO$5,指標マスタ['#],0),MATCH($D4,指標マスタ[#Headers],0))&amp;"","")</f>
        <v>買物の魅力</v>
      </c>
      <c r="AP4" s="193" t="str">
        <f>IFERROR(INDEX(指標マスタ[],MATCH(AP$5,指標マスタ['#],0),MATCH($D4,指標マスタ[#Headers],0))&amp;"","")</f>
        <v>食事の魅力</v>
      </c>
      <c r="AQ4" s="193" t="str">
        <f>IFERROR(INDEX(指標マスタ[],MATCH(AQ$5,指標マスタ['#],0),MATCH($D4,指標マスタ[#Headers],0))&amp;"","")</f>
        <v>外国人居住者数</v>
      </c>
      <c r="AR4" s="193" t="str">
        <f>IFERROR(INDEX(指標マスタ[],MATCH(AR$5,指標マスタ['#],0),MATCH($D4,指標マスタ[#Headers],0))&amp;"","")</f>
        <v>外国人訪問者数</v>
      </c>
      <c r="AS4" s="199" t="str">
        <f>IFERROR(INDEX(指標マスタ[],MATCH(AS$5,指標マスタ['#],0),MATCH($D4,指標マスタ[#Headers],0))&amp;"","")</f>
        <v>完全失業率の低さ</v>
      </c>
      <c r="AT4" s="199" t="str">
        <f>IFERROR(INDEX(指標マスタ[],MATCH(AT$5,指標マスタ['#],0),MATCH($D4,指標マスタ[#Headers],0))&amp;"","")</f>
        <v>1人あたりの総労働時間の短さ</v>
      </c>
      <c r="AU4" s="199" t="str">
        <f>IFERROR(INDEX(指標マスタ[],MATCH(AU$5,指標マスタ['#],0),MATCH($D4,指標マスタ[#Headers],0))&amp;"","")</f>
        <v>働き方の柔軟性</v>
      </c>
      <c r="AV4" s="199" t="str">
        <f>IFERROR(INDEX(指標マスタ[],MATCH(AV$5,指標マスタ['#],0),MATCH($D4,指標マスタ[#Headers],0))&amp;"","")</f>
        <v>住宅賃料水準の低さ</v>
      </c>
      <c r="AW4" s="199" t="str">
        <f>IFERROR(INDEX(指標マスタ[],MATCH(AW$5,指標マスタ['#],0),MATCH($D4,指標マスタ[#Headers],0))&amp;"","")</f>
        <v>物価水準の低さ</v>
      </c>
      <c r="AX4" s="199" t="str">
        <f>IFERROR(INDEX(指標マスタ[],MATCH(AX$5,指標マスタ['#],0),MATCH($D4,指標マスタ[#Headers],0))&amp;"","")</f>
        <v>殺人件数の少なさ</v>
      </c>
      <c r="AY4" s="199" t="str">
        <f>IFERROR(INDEX(指標マスタ[],MATCH(AY$5,指標マスタ['#],0),MATCH($D4,指標マスタ[#Headers],0))&amp;"","")</f>
        <v>自然災害の経済的リスクの少なさ</v>
      </c>
      <c r="AZ4" s="199" t="str">
        <f>IFERROR(INDEX(指標マスタ[],MATCH(AZ$5,指標マスタ['#],0),MATCH($D4,指標マスタ[#Headers],0))&amp;"","")</f>
        <v>平均寿命</v>
      </c>
      <c r="BA4" s="199" t="str">
        <f>IFERROR(INDEX(指標マスタ[],MATCH(BA$5,指標マスタ['#],0),MATCH($D4,指標マスタ[#Headers],0))&amp;"","")</f>
        <v>社会の自由度・平等さ</v>
      </c>
      <c r="BB4" s="199" t="str">
        <f>IFERROR(INDEX(指標マスタ[],MATCH(BB$5,指標マスタ['#],0),MATCH($D4,指標マスタ[#Headers],0))&amp;"","")</f>
        <v>メンタルヘルス水準</v>
      </c>
      <c r="BC4" s="199" t="str">
        <f>IFERROR(INDEX(指標マスタ[],MATCH(BC$5,指標マスタ['#],0),MATCH($D4,指標マスタ[#Headers],0))&amp;"","")</f>
        <v>医師数</v>
      </c>
      <c r="BD4" s="199" t="str">
        <f>IFERROR(INDEX(指標マスタ[],MATCH(BD$5,指標マスタ['#],0),MATCH($D4,指標マスタ[#Headers],0))&amp;"","")</f>
        <v>ICT環境の充実度</v>
      </c>
      <c r="BE4" s="199" t="str">
        <f>IFERROR(INDEX(指標マスタ[],MATCH(BE$5,指標マスタ['#],0),MATCH($D4,指標マスタ[#Headers],0))&amp;"","")</f>
        <v>小売店舗の多さ</v>
      </c>
      <c r="BF4" s="199" t="str">
        <f>IFERROR(INDEX(指標マスタ[],MATCH(BF$5,指標マスタ['#],0),MATCH($D4,指標マスタ[#Headers],0))&amp;"","")</f>
        <v>飲食店の多さ</v>
      </c>
      <c r="BG4" s="204" t="str">
        <f>IFERROR(INDEX(指標マスタ[],MATCH(BG$5,指標マスタ['#],0),MATCH($D4,指標マスタ[#Headers],0))&amp;"","")</f>
        <v>環境への取り組み</v>
      </c>
      <c r="BH4" s="204" t="str">
        <f>IFERROR(INDEX(指標マスタ[],MATCH(BH$5,指標マスタ['#],0),MATCH($D4,指標マスタ[#Headers],0))&amp;"","")</f>
        <v>再生可能エネルギー比率</v>
      </c>
      <c r="BI4" s="204" t="str">
        <f>IFERROR(INDEX(指標マスタ[],MATCH(BI$5,指標マスタ['#],0),MATCH($D4,指標マスタ[#Headers],0))&amp;"","")</f>
        <v>リサイクル率</v>
      </c>
      <c r="BJ4" s="204" t="str">
        <f>IFERROR(INDEX(指標マスタ[],MATCH(BJ$5,指標マスタ['#],0),MATCH($D4,指標マスタ[#Headers],0))&amp;"","")</f>
        <v>1人あたりのCO2排出量の少なさ</v>
      </c>
      <c r="BK4" s="204" t="str">
        <f>IFERROR(INDEX(指標マスタ[],MATCH(BK$5,指標マスタ['#],0),MATCH($D4,指標マスタ[#Headers],0))&amp;"","")</f>
        <v>空気のきれいさ</v>
      </c>
      <c r="BL4" s="204" t="str">
        <f>IFERROR(INDEX(指標マスタ[],MATCH(BL$5,指標マスタ['#],0),MATCH($D4,指標マスタ[#Headers],0))&amp;"","")</f>
        <v>気温の快適性</v>
      </c>
      <c r="BM4" s="204" t="str">
        <f>IFERROR(INDEX(指標マスタ[],MATCH(BM$5,指標マスタ['#],0),MATCH($D4,指標マスタ[#Headers],0))&amp;"","")</f>
        <v>水質の良好性</v>
      </c>
      <c r="BN4" s="204" t="str">
        <f>IFERROR(INDEX(指標マスタ[],MATCH(BN$5,指標マスタ['#],0),MATCH($D4,指標マスタ[#Headers],0))&amp;"","")</f>
        <v>緑地の充実度</v>
      </c>
      <c r="BO4" s="204" t="str">
        <f>IFERROR(INDEX(指標マスタ[],MATCH(BO$5,指標マスタ['#],0),MATCH($D4,指標マスタ[#Headers],0))&amp;"","")</f>
        <v>都市空間の清潔さ</v>
      </c>
      <c r="BP4" s="209" t="str">
        <f>IFERROR(INDEX(指標マスタ[],MATCH(BP$5,指標マスタ['#],0),MATCH($D4,指標マスタ[#Headers],0))&amp;"","")</f>
        <v>国際線直行便就航都市数</v>
      </c>
      <c r="BQ4" s="209" t="str">
        <f>IFERROR(INDEX(指標マスタ[],MATCH(BQ$5,指標マスタ['#],0),MATCH($D4,指標マスタ[#Headers],0))&amp;"","")</f>
        <v>国際貨物流通規模</v>
      </c>
      <c r="BR4" s="209" t="str">
        <f>IFERROR(INDEX(指標マスタ[],MATCH(BR$5,指標マスタ['#],0),MATCH($D4,指標マスタ[#Headers],0))&amp;"","")</f>
        <v>国内・国際線旅客数</v>
      </c>
      <c r="BS4" s="209" t="str">
        <f>IFERROR(INDEX(指標マスタ[],MATCH(BS$5,指標マスタ['#],0),MATCH($D4,指標マスタ[#Headers],0))&amp;"","")</f>
        <v>航空機の発着回数</v>
      </c>
      <c r="BT4" s="209" t="str">
        <f>IFERROR(INDEX(指標マスタ[],MATCH(BT$5,指標マスタ['#],0),MATCH($D4,指標マスタ[#Headers],0))&amp;"","")</f>
        <v>駅密度</v>
      </c>
      <c r="BU4" s="209" t="str">
        <f>IFERROR(INDEX(指標マスタ[],MATCH(BU$5,指標マスタ['#],0),MATCH($D4,指標マスタ[#Headers],0))&amp;"","")</f>
        <v>公共交通機関利用率</v>
      </c>
      <c r="BV4" s="209" t="str">
        <f>IFERROR(INDEX(指標マスタ[],MATCH(BV$5,指標マスタ['#],0),MATCH($D4,指標マスタ[#Headers],0))&amp;"","")</f>
        <v>空港アクセス時間の短さ</v>
      </c>
      <c r="BW4" s="209" t="str">
        <f>IFERROR(INDEX(指標マスタ[],MATCH(BW$5,指標マスタ['#],0),MATCH($D4,指標マスタ[#Headers],0))&amp;"","")</f>
        <v>通勤・通学時間の短さ</v>
      </c>
      <c r="BX4" s="209" t="str">
        <f>IFERROR(INDEX(指標マスタ[],MATCH(BX$5,指標マスタ['#],0),MATCH($D4,指標マスタ[#Headers],0))&amp;"","")</f>
        <v>自動車の移動速度</v>
      </c>
      <c r="BY4" s="209" t="str">
        <f>IFERROR(INDEX(指標マスタ[],MATCH(BY$5,指標マスタ['#],0),MATCH($D4,指標マスタ[#Headers],0))&amp;"","")</f>
        <v>タクシー・自転車での移動のしやすさ</v>
      </c>
    </row>
    <row r="5" spans="1:77" s="2" customFormat="1">
      <c r="B5" s="84" t="s">
        <v>537</v>
      </c>
      <c r="C5" s="281" t="s">
        <v>208</v>
      </c>
      <c r="D5" s="310" t="s">
        <v>210</v>
      </c>
      <c r="E5" s="280" t="s">
        <v>1088</v>
      </c>
      <c r="F5" s="280" t="s">
        <v>1089</v>
      </c>
      <c r="G5" s="280" t="s">
        <v>1090</v>
      </c>
      <c r="H5" s="279" t="s">
        <v>211</v>
      </c>
      <c r="I5" s="279" t="s">
        <v>212</v>
      </c>
      <c r="J5" s="279" t="s">
        <v>213</v>
      </c>
      <c r="K5" s="279" t="s">
        <v>214</v>
      </c>
      <c r="L5" s="279" t="s">
        <v>215</v>
      </c>
      <c r="M5" s="279" t="s">
        <v>216</v>
      </c>
      <c r="N5" s="279" t="s">
        <v>217</v>
      </c>
      <c r="O5" s="279" t="s">
        <v>218</v>
      </c>
      <c r="P5" s="279" t="s">
        <v>219</v>
      </c>
      <c r="Q5" s="278" t="s">
        <v>611</v>
      </c>
      <c r="R5" s="278" t="s">
        <v>547</v>
      </c>
      <c r="S5" s="278" t="s">
        <v>548</v>
      </c>
      <c r="T5" s="278" t="s">
        <v>549</v>
      </c>
      <c r="U5" s="277" t="s">
        <v>550</v>
      </c>
      <c r="V5" s="277" t="s">
        <v>551</v>
      </c>
      <c r="W5" s="277" t="s">
        <v>552</v>
      </c>
      <c r="X5" s="277" t="s">
        <v>553</v>
      </c>
      <c r="Y5" s="277" t="s">
        <v>554</v>
      </c>
      <c r="Z5" s="277" t="s">
        <v>555</v>
      </c>
      <c r="AA5" s="277" t="s">
        <v>556</v>
      </c>
      <c r="AB5" s="277" t="s">
        <v>557</v>
      </c>
      <c r="AC5" s="276" t="s">
        <v>558</v>
      </c>
      <c r="AD5" s="276" t="s">
        <v>559</v>
      </c>
      <c r="AE5" s="276" t="s">
        <v>560</v>
      </c>
      <c r="AF5" s="276" t="s">
        <v>561</v>
      </c>
      <c r="AG5" s="276" t="s">
        <v>562</v>
      </c>
      <c r="AH5" s="276" t="s">
        <v>563</v>
      </c>
      <c r="AI5" s="276" t="s">
        <v>564</v>
      </c>
      <c r="AJ5" s="276" t="s">
        <v>565</v>
      </c>
      <c r="AK5" s="276" t="s">
        <v>566</v>
      </c>
      <c r="AL5" s="276" t="s">
        <v>567</v>
      </c>
      <c r="AM5" s="276" t="s">
        <v>568</v>
      </c>
      <c r="AN5" s="276" t="s">
        <v>569</v>
      </c>
      <c r="AO5" s="276" t="s">
        <v>570</v>
      </c>
      <c r="AP5" s="276" t="s">
        <v>571</v>
      </c>
      <c r="AQ5" s="276" t="s">
        <v>572</v>
      </c>
      <c r="AR5" s="276" t="s">
        <v>573</v>
      </c>
      <c r="AS5" s="275" t="s">
        <v>574</v>
      </c>
      <c r="AT5" s="275" t="s">
        <v>575</v>
      </c>
      <c r="AU5" s="275" t="s">
        <v>576</v>
      </c>
      <c r="AV5" s="275" t="s">
        <v>577</v>
      </c>
      <c r="AW5" s="275" t="s">
        <v>578</v>
      </c>
      <c r="AX5" s="275" t="s">
        <v>579</v>
      </c>
      <c r="AY5" s="275" t="s">
        <v>580</v>
      </c>
      <c r="AZ5" s="275" t="s">
        <v>581</v>
      </c>
      <c r="BA5" s="275" t="s">
        <v>582</v>
      </c>
      <c r="BB5" s="275" t="s">
        <v>583</v>
      </c>
      <c r="BC5" s="275" t="s">
        <v>584</v>
      </c>
      <c r="BD5" s="275" t="s">
        <v>585</v>
      </c>
      <c r="BE5" s="275" t="s">
        <v>586</v>
      </c>
      <c r="BF5" s="275" t="s">
        <v>587</v>
      </c>
      <c r="BG5" s="274" t="s">
        <v>588</v>
      </c>
      <c r="BH5" s="274" t="s">
        <v>589</v>
      </c>
      <c r="BI5" s="274" t="s">
        <v>590</v>
      </c>
      <c r="BJ5" s="274" t="s">
        <v>591</v>
      </c>
      <c r="BK5" s="274" t="s">
        <v>592</v>
      </c>
      <c r="BL5" s="274" t="s">
        <v>593</v>
      </c>
      <c r="BM5" s="274" t="s">
        <v>594</v>
      </c>
      <c r="BN5" s="274" t="s">
        <v>595</v>
      </c>
      <c r="BO5" s="274" t="s">
        <v>596</v>
      </c>
      <c r="BP5" s="273" t="s">
        <v>597</v>
      </c>
      <c r="BQ5" s="273" t="s">
        <v>598</v>
      </c>
      <c r="BR5" s="273" t="s">
        <v>599</v>
      </c>
      <c r="BS5" s="273" t="s">
        <v>600</v>
      </c>
      <c r="BT5" s="273" t="s">
        <v>601</v>
      </c>
      <c r="BU5" s="273" t="s">
        <v>602</v>
      </c>
      <c r="BV5" s="273" t="s">
        <v>603</v>
      </c>
      <c r="BW5" s="273" t="s">
        <v>604</v>
      </c>
      <c r="BX5" s="273" t="s">
        <v>605</v>
      </c>
      <c r="BY5" s="272" t="s">
        <v>606</v>
      </c>
    </row>
    <row r="6" spans="1:77">
      <c r="A6" s="2">
        <v>1</v>
      </c>
      <c r="B6" s="55">
        <f>INDEX(順位表[Comprehensive],MATCH($C6,順位表['#],0))</f>
        <v>14</v>
      </c>
      <c r="C6" s="3">
        <v>1</v>
      </c>
      <c r="D6" s="1" t="str">
        <f>INDEX(都市マスタ[City Name],MATCH($C6,都市マスタ['#],0))</f>
        <v>Madrid</v>
      </c>
      <c r="E6" s="13">
        <v>2020</v>
      </c>
      <c r="F6" s="13">
        <v>2020</v>
      </c>
      <c r="G6" s="13" t="s">
        <v>1600</v>
      </c>
      <c r="H6" s="13">
        <v>2019</v>
      </c>
      <c r="I6" s="13"/>
      <c r="J6" s="13" t="s">
        <v>1605</v>
      </c>
      <c r="K6" s="13">
        <v>2020</v>
      </c>
      <c r="L6" s="13">
        <v>2019</v>
      </c>
      <c r="M6" s="13">
        <v>2021</v>
      </c>
      <c r="N6" s="13">
        <v>2020</v>
      </c>
      <c r="O6" s="13">
        <v>2020</v>
      </c>
      <c r="P6" s="13">
        <v>2018</v>
      </c>
      <c r="Q6" s="13" t="s">
        <v>2994</v>
      </c>
      <c r="R6" s="13" t="s">
        <v>3033</v>
      </c>
      <c r="S6" s="13">
        <v>2021</v>
      </c>
      <c r="T6" s="13" t="s">
        <v>2534</v>
      </c>
      <c r="U6" s="13">
        <v>2018</v>
      </c>
      <c r="V6" s="13">
        <v>2021</v>
      </c>
      <c r="W6" s="13">
        <v>2018</v>
      </c>
      <c r="X6" s="13">
        <v>2021</v>
      </c>
      <c r="Y6" s="13">
        <v>2015</v>
      </c>
      <c r="Z6" s="13" t="s">
        <v>2532</v>
      </c>
      <c r="AA6" s="13" t="s">
        <v>2533</v>
      </c>
      <c r="AB6" s="13" t="s">
        <v>3075</v>
      </c>
      <c r="AC6" s="13">
        <v>2019</v>
      </c>
      <c r="AD6" s="13" t="s">
        <v>3080</v>
      </c>
      <c r="AE6" s="13" t="s">
        <v>3083</v>
      </c>
      <c r="AF6" s="13" t="s">
        <v>3097</v>
      </c>
      <c r="AG6" s="13" t="s">
        <v>3033</v>
      </c>
      <c r="AH6" s="13">
        <v>2019</v>
      </c>
      <c r="AI6" s="13" t="s">
        <v>3033</v>
      </c>
      <c r="AJ6" s="13" t="s">
        <v>3102</v>
      </c>
      <c r="AK6" s="13">
        <v>2020</v>
      </c>
      <c r="AL6" s="13">
        <v>2021</v>
      </c>
      <c r="AM6" s="13">
        <v>2021</v>
      </c>
      <c r="AN6" s="13">
        <v>2021</v>
      </c>
      <c r="AO6" s="13" t="s">
        <v>3033</v>
      </c>
      <c r="AP6" s="13" t="s">
        <v>3097</v>
      </c>
      <c r="AQ6" s="13">
        <v>2020</v>
      </c>
      <c r="AR6" s="13" t="s">
        <v>3085</v>
      </c>
      <c r="AS6" s="13">
        <v>2020</v>
      </c>
      <c r="AT6" s="13" t="s">
        <v>3344</v>
      </c>
      <c r="AU6" s="13">
        <v>2021</v>
      </c>
      <c r="AV6" s="13">
        <v>2018</v>
      </c>
      <c r="AW6" s="13">
        <v>2018</v>
      </c>
      <c r="AX6" s="13">
        <v>2018</v>
      </c>
      <c r="AY6" s="13">
        <v>2018</v>
      </c>
      <c r="AZ6" s="13">
        <v>2019</v>
      </c>
      <c r="BA6" s="13" t="s">
        <v>3384</v>
      </c>
      <c r="BB6" s="13" t="s">
        <v>1735</v>
      </c>
      <c r="BC6" s="13" t="s">
        <v>1886</v>
      </c>
      <c r="BD6" s="13">
        <v>2020</v>
      </c>
      <c r="BE6" s="13" t="s">
        <v>3033</v>
      </c>
      <c r="BF6" s="13" t="s">
        <v>3033</v>
      </c>
      <c r="BG6" s="13" t="s">
        <v>3398</v>
      </c>
      <c r="BH6" s="13">
        <v>2018</v>
      </c>
      <c r="BI6" s="13" t="s">
        <v>3446</v>
      </c>
      <c r="BJ6" s="13">
        <v>2019</v>
      </c>
      <c r="BK6" s="13">
        <v>2020</v>
      </c>
      <c r="BL6" s="13" t="s">
        <v>3463</v>
      </c>
      <c r="BM6" s="13">
        <v>2021</v>
      </c>
      <c r="BN6" s="13" t="s">
        <v>3406</v>
      </c>
      <c r="BO6" s="13" t="s">
        <v>2535</v>
      </c>
      <c r="BP6" s="13">
        <v>2020</v>
      </c>
      <c r="BQ6" s="13" t="s">
        <v>3404</v>
      </c>
      <c r="BR6" s="13">
        <v>2020</v>
      </c>
      <c r="BS6" s="13">
        <v>2020</v>
      </c>
      <c r="BT6" s="13">
        <v>2021</v>
      </c>
      <c r="BU6" s="13">
        <v>2021</v>
      </c>
      <c r="BV6" s="13">
        <v>2021</v>
      </c>
      <c r="BW6" s="13" t="s">
        <v>3398</v>
      </c>
      <c r="BX6" s="13">
        <v>2020</v>
      </c>
      <c r="BY6" s="311" t="s">
        <v>1599</v>
      </c>
    </row>
    <row r="7" spans="1:77">
      <c r="A7" s="2">
        <v>2</v>
      </c>
      <c r="B7" s="55">
        <f>INDEX(順位表[Comprehensive],MATCH($C7,順位表['#],0))</f>
        <v>22</v>
      </c>
      <c r="C7" s="3">
        <v>2</v>
      </c>
      <c r="D7" s="1" t="str">
        <f>INDEX(都市マスタ[City Name],MATCH($C7,都市マスタ['#],0))</f>
        <v>Barcelona</v>
      </c>
      <c r="E7" s="13">
        <v>2020</v>
      </c>
      <c r="F7" s="13">
        <v>2020</v>
      </c>
      <c r="G7" s="13" t="s">
        <v>1600</v>
      </c>
      <c r="H7" s="13">
        <v>2019</v>
      </c>
      <c r="I7" s="13"/>
      <c r="J7" s="13" t="s">
        <v>1601</v>
      </c>
      <c r="K7" s="13">
        <v>2020</v>
      </c>
      <c r="L7" s="13">
        <v>2019</v>
      </c>
      <c r="M7" s="13">
        <v>2021</v>
      </c>
      <c r="N7" s="13">
        <v>2020</v>
      </c>
      <c r="O7" s="13">
        <v>2020</v>
      </c>
      <c r="P7" s="13">
        <v>2018</v>
      </c>
      <c r="Q7" s="13" t="s">
        <v>2994</v>
      </c>
      <c r="R7" s="13" t="s">
        <v>3033</v>
      </c>
      <c r="S7" s="13">
        <v>2021</v>
      </c>
      <c r="T7" s="13" t="s">
        <v>2534</v>
      </c>
      <c r="U7" s="13">
        <v>2018</v>
      </c>
      <c r="V7" s="13">
        <v>2021</v>
      </c>
      <c r="W7" s="13">
        <v>2018</v>
      </c>
      <c r="X7" s="13">
        <v>2021</v>
      </c>
      <c r="Y7" s="13">
        <v>2015</v>
      </c>
      <c r="Z7" s="13" t="s">
        <v>2532</v>
      </c>
      <c r="AA7" s="13" t="s">
        <v>2533</v>
      </c>
      <c r="AB7" s="13" t="s">
        <v>3075</v>
      </c>
      <c r="AC7" s="13">
        <v>2019</v>
      </c>
      <c r="AD7" s="13" t="s">
        <v>3080</v>
      </c>
      <c r="AE7" s="13" t="s">
        <v>3083</v>
      </c>
      <c r="AF7" s="13" t="s">
        <v>3097</v>
      </c>
      <c r="AG7" s="13" t="s">
        <v>3033</v>
      </c>
      <c r="AH7" s="13">
        <v>2019</v>
      </c>
      <c r="AI7" s="13" t="s">
        <v>3033</v>
      </c>
      <c r="AJ7" s="13" t="s">
        <v>3102</v>
      </c>
      <c r="AK7" s="13">
        <v>2020</v>
      </c>
      <c r="AL7" s="13">
        <v>2021</v>
      </c>
      <c r="AM7" s="13">
        <v>2021</v>
      </c>
      <c r="AN7" s="13">
        <v>2021</v>
      </c>
      <c r="AO7" s="13" t="s">
        <v>3033</v>
      </c>
      <c r="AP7" s="13" t="s">
        <v>3097</v>
      </c>
      <c r="AQ7" s="13">
        <v>2020</v>
      </c>
      <c r="AR7" s="13" t="s">
        <v>3085</v>
      </c>
      <c r="AS7" s="13">
        <v>2020</v>
      </c>
      <c r="AT7" s="13" t="s">
        <v>3344</v>
      </c>
      <c r="AU7" s="13">
        <v>2021</v>
      </c>
      <c r="AV7" s="13">
        <v>2018</v>
      </c>
      <c r="AW7" s="13">
        <v>2018</v>
      </c>
      <c r="AX7" s="13">
        <v>2019</v>
      </c>
      <c r="AY7" s="13">
        <v>2018</v>
      </c>
      <c r="AZ7" s="13">
        <v>2019</v>
      </c>
      <c r="BA7" s="13" t="s">
        <v>3384</v>
      </c>
      <c r="BB7" s="13" t="s">
        <v>1735</v>
      </c>
      <c r="BC7" s="13" t="s">
        <v>1886</v>
      </c>
      <c r="BD7" s="13">
        <v>2020</v>
      </c>
      <c r="BE7" s="13" t="s">
        <v>3033</v>
      </c>
      <c r="BF7" s="13" t="s">
        <v>3033</v>
      </c>
      <c r="BG7" s="13" t="s">
        <v>3398</v>
      </c>
      <c r="BH7" s="13">
        <v>2018</v>
      </c>
      <c r="BI7" s="13" t="s">
        <v>3446</v>
      </c>
      <c r="BJ7" s="13">
        <v>2019</v>
      </c>
      <c r="BK7" s="13">
        <v>2020</v>
      </c>
      <c r="BL7" s="13" t="s">
        <v>3463</v>
      </c>
      <c r="BM7" s="13">
        <v>2021</v>
      </c>
      <c r="BN7" s="13" t="s">
        <v>3406</v>
      </c>
      <c r="BO7" s="13" t="s">
        <v>2535</v>
      </c>
      <c r="BP7" s="13">
        <v>2020</v>
      </c>
      <c r="BQ7" s="13" t="s">
        <v>1719</v>
      </c>
      <c r="BR7" s="13">
        <v>2020</v>
      </c>
      <c r="BS7" s="13">
        <v>2020</v>
      </c>
      <c r="BT7" s="13">
        <v>2021</v>
      </c>
      <c r="BU7" s="13">
        <v>2021</v>
      </c>
      <c r="BV7" s="13">
        <v>2021</v>
      </c>
      <c r="BW7" s="13" t="s">
        <v>3398</v>
      </c>
      <c r="BX7" s="13">
        <v>2020</v>
      </c>
      <c r="BY7" s="311" t="s">
        <v>1599</v>
      </c>
    </row>
    <row r="8" spans="1:77">
      <c r="A8" s="2">
        <v>3</v>
      </c>
      <c r="B8" s="55">
        <f>INDEX(順位表[Comprehensive],MATCH($C8,順位表['#],0))</f>
        <v>1</v>
      </c>
      <c r="C8" s="3">
        <v>3</v>
      </c>
      <c r="D8" s="1" t="str">
        <f>INDEX(都市マスタ[City Name],MATCH($C8,都市マスタ['#],0))</f>
        <v>London</v>
      </c>
      <c r="E8" s="13">
        <v>2019</v>
      </c>
      <c r="F8" s="13">
        <v>2019</v>
      </c>
      <c r="G8" s="13" t="s">
        <v>1600</v>
      </c>
      <c r="H8" s="13">
        <v>2018</v>
      </c>
      <c r="I8" s="13"/>
      <c r="J8" s="13" t="s">
        <v>1601</v>
      </c>
      <c r="K8" s="13">
        <v>2020</v>
      </c>
      <c r="L8" s="13">
        <v>2020</v>
      </c>
      <c r="M8" s="13">
        <v>2021</v>
      </c>
      <c r="N8" s="13">
        <v>2020</v>
      </c>
      <c r="O8" s="13">
        <v>2020</v>
      </c>
      <c r="P8" s="13">
        <v>2018</v>
      </c>
      <c r="Q8" s="13" t="s">
        <v>2994</v>
      </c>
      <c r="R8" s="13" t="s">
        <v>3033</v>
      </c>
      <c r="S8" s="13">
        <v>2021</v>
      </c>
      <c r="T8" s="13" t="s">
        <v>2534</v>
      </c>
      <c r="U8" s="13">
        <v>2018</v>
      </c>
      <c r="V8" s="13">
        <v>2021</v>
      </c>
      <c r="W8" s="13">
        <v>2018</v>
      </c>
      <c r="X8" s="13">
        <v>2021</v>
      </c>
      <c r="Y8" s="13">
        <v>2018</v>
      </c>
      <c r="Z8" s="13" t="s">
        <v>2532</v>
      </c>
      <c r="AA8" s="13" t="s">
        <v>2533</v>
      </c>
      <c r="AB8" s="13" t="s">
        <v>3075</v>
      </c>
      <c r="AC8" s="13">
        <v>2019</v>
      </c>
      <c r="AD8" s="13" t="s">
        <v>3080</v>
      </c>
      <c r="AE8" s="13" t="s">
        <v>3083</v>
      </c>
      <c r="AF8" s="13" t="s">
        <v>3097</v>
      </c>
      <c r="AG8" s="13" t="s">
        <v>3033</v>
      </c>
      <c r="AH8" s="13">
        <v>2019</v>
      </c>
      <c r="AI8" s="13" t="s">
        <v>3033</v>
      </c>
      <c r="AJ8" s="13" t="s">
        <v>3102</v>
      </c>
      <c r="AK8" s="13">
        <v>2020</v>
      </c>
      <c r="AL8" s="13">
        <v>2021</v>
      </c>
      <c r="AM8" s="13">
        <v>2021</v>
      </c>
      <c r="AN8" s="13">
        <v>2021</v>
      </c>
      <c r="AO8" s="13" t="s">
        <v>3033</v>
      </c>
      <c r="AP8" s="13" t="s">
        <v>3097</v>
      </c>
      <c r="AQ8" s="13">
        <v>2017</v>
      </c>
      <c r="AR8" s="13" t="s">
        <v>3163</v>
      </c>
      <c r="AS8" s="13">
        <v>2020</v>
      </c>
      <c r="AT8" s="13" t="s">
        <v>3344</v>
      </c>
      <c r="AU8" s="13">
        <v>2021</v>
      </c>
      <c r="AV8" s="13">
        <v>2018</v>
      </c>
      <c r="AW8" s="13">
        <v>2018</v>
      </c>
      <c r="AX8" s="13">
        <v>2018</v>
      </c>
      <c r="AY8" s="13">
        <v>2018</v>
      </c>
      <c r="AZ8" s="13">
        <v>2019</v>
      </c>
      <c r="BA8" s="13" t="s">
        <v>3384</v>
      </c>
      <c r="BB8" s="13" t="s">
        <v>1735</v>
      </c>
      <c r="BC8" s="13" t="s">
        <v>1735</v>
      </c>
      <c r="BD8" s="13">
        <v>2020</v>
      </c>
      <c r="BE8" s="13" t="s">
        <v>3033</v>
      </c>
      <c r="BF8" s="13" t="s">
        <v>3033</v>
      </c>
      <c r="BG8" s="13" t="s">
        <v>3398</v>
      </c>
      <c r="BH8" s="13">
        <v>2018</v>
      </c>
      <c r="BI8" s="13" t="s">
        <v>1901</v>
      </c>
      <c r="BJ8" s="13">
        <v>2019</v>
      </c>
      <c r="BK8" s="13">
        <v>2020</v>
      </c>
      <c r="BL8" s="13" t="s">
        <v>3463</v>
      </c>
      <c r="BM8" s="13">
        <v>2021</v>
      </c>
      <c r="BN8" s="13" t="s">
        <v>3406</v>
      </c>
      <c r="BO8" s="13" t="s">
        <v>2535</v>
      </c>
      <c r="BP8" s="13">
        <v>2020</v>
      </c>
      <c r="BQ8" s="13" t="s">
        <v>1719</v>
      </c>
      <c r="BR8" s="13">
        <v>2020</v>
      </c>
      <c r="BS8" s="13">
        <v>2020</v>
      </c>
      <c r="BT8" s="13">
        <v>2021</v>
      </c>
      <c r="BU8" s="13">
        <v>2021</v>
      </c>
      <c r="BV8" s="13">
        <v>2021</v>
      </c>
      <c r="BW8" s="13" t="s">
        <v>3398</v>
      </c>
      <c r="BX8" s="13">
        <v>2020</v>
      </c>
      <c r="BY8" s="311" t="s">
        <v>1599</v>
      </c>
    </row>
    <row r="9" spans="1:77">
      <c r="A9" s="2">
        <v>4</v>
      </c>
      <c r="B9" s="55">
        <f>INDEX(順位表[Comprehensive],MATCH($C9,順位表['#],0))</f>
        <v>4</v>
      </c>
      <c r="C9" s="3">
        <v>4</v>
      </c>
      <c r="D9" s="1" t="str">
        <f>INDEX(都市マスタ[City Name],MATCH($C9,都市マスタ['#],0))</f>
        <v>Paris</v>
      </c>
      <c r="E9" s="13">
        <v>2021</v>
      </c>
      <c r="F9" s="13">
        <v>2017</v>
      </c>
      <c r="G9" s="13" t="s">
        <v>1600</v>
      </c>
      <c r="H9" s="13">
        <v>2018</v>
      </c>
      <c r="I9" s="13"/>
      <c r="J9" s="13" t="s">
        <v>1601</v>
      </c>
      <c r="K9" s="13">
        <v>2020</v>
      </c>
      <c r="L9" s="13">
        <v>2020</v>
      </c>
      <c r="M9" s="13">
        <v>2021</v>
      </c>
      <c r="N9" s="13">
        <v>2019</v>
      </c>
      <c r="O9" s="13">
        <v>2019</v>
      </c>
      <c r="P9" s="13">
        <v>2018</v>
      </c>
      <c r="Q9" s="13" t="s">
        <v>2994</v>
      </c>
      <c r="R9" s="13" t="s">
        <v>3033</v>
      </c>
      <c r="S9" s="13">
        <v>2021</v>
      </c>
      <c r="T9" s="13" t="s">
        <v>2534</v>
      </c>
      <c r="U9" s="13">
        <v>2018</v>
      </c>
      <c r="V9" s="13">
        <v>2021</v>
      </c>
      <c r="W9" s="13">
        <v>2018</v>
      </c>
      <c r="X9" s="13">
        <v>2021</v>
      </c>
      <c r="Y9" s="13">
        <v>2018</v>
      </c>
      <c r="Z9" s="13" t="s">
        <v>2532</v>
      </c>
      <c r="AA9" s="13" t="s">
        <v>2533</v>
      </c>
      <c r="AB9" s="13" t="s">
        <v>3075</v>
      </c>
      <c r="AC9" s="13">
        <v>2019</v>
      </c>
      <c r="AD9" s="13" t="s">
        <v>3080</v>
      </c>
      <c r="AE9" s="13" t="s">
        <v>3083</v>
      </c>
      <c r="AF9" s="13" t="s">
        <v>3097</v>
      </c>
      <c r="AG9" s="13" t="s">
        <v>3033</v>
      </c>
      <c r="AH9" s="13">
        <v>2019</v>
      </c>
      <c r="AI9" s="13" t="s">
        <v>3033</v>
      </c>
      <c r="AJ9" s="13" t="s">
        <v>3102</v>
      </c>
      <c r="AK9" s="13">
        <v>2020</v>
      </c>
      <c r="AL9" s="13">
        <v>2021</v>
      </c>
      <c r="AM9" s="13">
        <v>2021</v>
      </c>
      <c r="AN9" s="13">
        <v>2021</v>
      </c>
      <c r="AO9" s="13" t="s">
        <v>3033</v>
      </c>
      <c r="AP9" s="13" t="s">
        <v>3097</v>
      </c>
      <c r="AQ9" s="13">
        <v>2017</v>
      </c>
      <c r="AR9" s="13" t="s">
        <v>3163</v>
      </c>
      <c r="AS9" s="13">
        <v>2020</v>
      </c>
      <c r="AT9" s="13" t="s">
        <v>3344</v>
      </c>
      <c r="AU9" s="13">
        <v>2021</v>
      </c>
      <c r="AV9" s="13">
        <v>2018</v>
      </c>
      <c r="AW9" s="13">
        <v>2018</v>
      </c>
      <c r="AX9" s="13">
        <v>2018</v>
      </c>
      <c r="AY9" s="13">
        <v>2018</v>
      </c>
      <c r="AZ9" s="13">
        <v>2019</v>
      </c>
      <c r="BA9" s="13" t="s">
        <v>3384</v>
      </c>
      <c r="BB9" s="13" t="s">
        <v>1735</v>
      </c>
      <c r="BC9" s="13" t="s">
        <v>1886</v>
      </c>
      <c r="BD9" s="13">
        <v>2020</v>
      </c>
      <c r="BE9" s="13" t="s">
        <v>3033</v>
      </c>
      <c r="BF9" s="13" t="s">
        <v>3033</v>
      </c>
      <c r="BG9" s="13" t="s">
        <v>3399</v>
      </c>
      <c r="BH9" s="13">
        <v>2018</v>
      </c>
      <c r="BI9" s="13" t="s">
        <v>3446</v>
      </c>
      <c r="BJ9" s="13">
        <v>2019</v>
      </c>
      <c r="BK9" s="13">
        <v>2020</v>
      </c>
      <c r="BL9" s="13" t="s">
        <v>3463</v>
      </c>
      <c r="BM9" s="13">
        <v>2021</v>
      </c>
      <c r="BN9" s="13" t="s">
        <v>3406</v>
      </c>
      <c r="BO9" s="13" t="s">
        <v>2535</v>
      </c>
      <c r="BP9" s="13">
        <v>2020</v>
      </c>
      <c r="BQ9" s="13" t="s">
        <v>3404</v>
      </c>
      <c r="BR9" s="13">
        <v>2020</v>
      </c>
      <c r="BS9" s="13">
        <v>2020</v>
      </c>
      <c r="BT9" s="13">
        <v>2021</v>
      </c>
      <c r="BU9" s="13">
        <v>2021</v>
      </c>
      <c r="BV9" s="13">
        <v>2021</v>
      </c>
      <c r="BW9" s="13" t="s">
        <v>3398</v>
      </c>
      <c r="BX9" s="13">
        <v>2020</v>
      </c>
      <c r="BY9" s="311" t="s">
        <v>1599</v>
      </c>
    </row>
    <row r="10" spans="1:77">
      <c r="A10" s="2">
        <v>5</v>
      </c>
      <c r="B10" s="55">
        <f>INDEX(順位表[Comprehensive],MATCH($C10,順位表['#],0))</f>
        <v>24</v>
      </c>
      <c r="C10" s="3">
        <v>5</v>
      </c>
      <c r="D10" s="1" t="str">
        <f>INDEX(都市マスタ[City Name],MATCH($C10,都市マスタ['#],0))</f>
        <v>Brussels</v>
      </c>
      <c r="E10" s="13">
        <v>2020</v>
      </c>
      <c r="F10" s="13">
        <v>2020</v>
      </c>
      <c r="G10" s="13" t="s">
        <v>1600</v>
      </c>
      <c r="H10" s="13">
        <v>2019</v>
      </c>
      <c r="I10" s="13"/>
      <c r="J10" s="13" t="s">
        <v>1605</v>
      </c>
      <c r="K10" s="13">
        <v>2020</v>
      </c>
      <c r="L10" s="13">
        <v>2020</v>
      </c>
      <c r="M10" s="13">
        <v>2021</v>
      </c>
      <c r="N10" s="13">
        <v>2020</v>
      </c>
      <c r="O10" s="13">
        <v>2018</v>
      </c>
      <c r="P10" s="13">
        <v>2018</v>
      </c>
      <c r="Q10" s="13" t="s">
        <v>2994</v>
      </c>
      <c r="R10" s="13" t="s">
        <v>3033</v>
      </c>
      <c r="S10" s="13">
        <v>2021</v>
      </c>
      <c r="T10" s="13" t="s">
        <v>2534</v>
      </c>
      <c r="U10" s="13">
        <v>2018</v>
      </c>
      <c r="V10" s="13">
        <v>2021</v>
      </c>
      <c r="W10" s="13">
        <v>2018</v>
      </c>
      <c r="X10" s="13">
        <v>2021</v>
      </c>
      <c r="Y10" s="13">
        <v>2018</v>
      </c>
      <c r="Z10" s="13" t="s">
        <v>2532</v>
      </c>
      <c r="AA10" s="13" t="s">
        <v>2533</v>
      </c>
      <c r="AB10" s="13" t="s">
        <v>3075</v>
      </c>
      <c r="AC10" s="13">
        <v>2019</v>
      </c>
      <c r="AD10" s="13" t="s">
        <v>3080</v>
      </c>
      <c r="AE10" s="13" t="s">
        <v>3083</v>
      </c>
      <c r="AF10" s="13" t="s">
        <v>3097</v>
      </c>
      <c r="AG10" s="13" t="s">
        <v>3033</v>
      </c>
      <c r="AH10" s="13">
        <v>2019</v>
      </c>
      <c r="AI10" s="13" t="s">
        <v>3033</v>
      </c>
      <c r="AJ10" s="13" t="s">
        <v>3102</v>
      </c>
      <c r="AK10" s="13">
        <v>2020</v>
      </c>
      <c r="AL10" s="13">
        <v>2021</v>
      </c>
      <c r="AM10" s="13">
        <v>2021</v>
      </c>
      <c r="AN10" s="13">
        <v>2021</v>
      </c>
      <c r="AO10" s="13" t="s">
        <v>3033</v>
      </c>
      <c r="AP10" s="13" t="s">
        <v>3097</v>
      </c>
      <c r="AQ10" s="13">
        <v>2020</v>
      </c>
      <c r="AR10" s="13" t="s">
        <v>3163</v>
      </c>
      <c r="AS10" s="13">
        <v>2020</v>
      </c>
      <c r="AT10" s="13" t="s">
        <v>3344</v>
      </c>
      <c r="AU10" s="13">
        <v>2021</v>
      </c>
      <c r="AV10" s="13">
        <v>2018</v>
      </c>
      <c r="AW10" s="13">
        <v>2018</v>
      </c>
      <c r="AX10" s="13">
        <v>2018</v>
      </c>
      <c r="AY10" s="13">
        <v>2018</v>
      </c>
      <c r="AZ10" s="13">
        <v>2019</v>
      </c>
      <c r="BA10" s="13" t="s">
        <v>3384</v>
      </c>
      <c r="BB10" s="13" t="s">
        <v>1735</v>
      </c>
      <c r="BC10" s="13" t="s">
        <v>1734</v>
      </c>
      <c r="BD10" s="13">
        <v>2020</v>
      </c>
      <c r="BE10" s="13" t="s">
        <v>3033</v>
      </c>
      <c r="BF10" s="13" t="s">
        <v>3033</v>
      </c>
      <c r="BG10" s="13" t="s">
        <v>3398</v>
      </c>
      <c r="BH10" s="13">
        <v>2018</v>
      </c>
      <c r="BI10" s="13" t="s">
        <v>3446</v>
      </c>
      <c r="BJ10" s="13">
        <v>2019</v>
      </c>
      <c r="BK10" s="13">
        <v>2020</v>
      </c>
      <c r="BL10" s="13" t="s">
        <v>3463</v>
      </c>
      <c r="BM10" s="13">
        <v>2021</v>
      </c>
      <c r="BN10" s="13" t="s">
        <v>3406</v>
      </c>
      <c r="BO10" s="13" t="s">
        <v>2535</v>
      </c>
      <c r="BP10" s="13">
        <v>2020</v>
      </c>
      <c r="BQ10" s="13" t="s">
        <v>3404</v>
      </c>
      <c r="BR10" s="13">
        <v>2020</v>
      </c>
      <c r="BS10" s="13">
        <v>2020</v>
      </c>
      <c r="BT10" s="13">
        <v>2021</v>
      </c>
      <c r="BU10" s="13">
        <v>2021</v>
      </c>
      <c r="BV10" s="13">
        <v>2021</v>
      </c>
      <c r="BW10" s="13" t="s">
        <v>3398</v>
      </c>
      <c r="BX10" s="13">
        <v>2020</v>
      </c>
      <c r="BY10" s="311" t="s">
        <v>1599</v>
      </c>
    </row>
    <row r="11" spans="1:77">
      <c r="A11" s="2">
        <v>6</v>
      </c>
      <c r="B11" s="55">
        <f>INDEX(順位表[Comprehensive],MATCH($C11,順位表['#],0))</f>
        <v>6</v>
      </c>
      <c r="C11" s="3">
        <v>6</v>
      </c>
      <c r="D11" s="1" t="str">
        <f>INDEX(都市マスタ[City Name],MATCH($C11,都市マスタ['#],0))</f>
        <v>Amsterdam</v>
      </c>
      <c r="E11" s="13">
        <v>2020</v>
      </c>
      <c r="F11" s="13">
        <v>2020</v>
      </c>
      <c r="G11" s="13" t="s">
        <v>1600</v>
      </c>
      <c r="H11" s="13">
        <v>2019</v>
      </c>
      <c r="I11" s="13"/>
      <c r="J11" s="13" t="s">
        <v>1605</v>
      </c>
      <c r="K11" s="13">
        <v>2020</v>
      </c>
      <c r="L11" s="13">
        <v>2020</v>
      </c>
      <c r="M11" s="13">
        <v>2021</v>
      </c>
      <c r="N11" s="13">
        <v>2020</v>
      </c>
      <c r="O11" s="13">
        <v>2020</v>
      </c>
      <c r="P11" s="13">
        <v>2018</v>
      </c>
      <c r="Q11" s="13" t="s">
        <v>2994</v>
      </c>
      <c r="R11" s="13" t="s">
        <v>3033</v>
      </c>
      <c r="S11" s="13">
        <v>2021</v>
      </c>
      <c r="T11" s="13" t="s">
        <v>2534</v>
      </c>
      <c r="U11" s="13">
        <v>2018</v>
      </c>
      <c r="V11" s="13">
        <v>2021</v>
      </c>
      <c r="W11" s="13">
        <v>2018</v>
      </c>
      <c r="X11" s="13">
        <v>2021</v>
      </c>
      <c r="Y11" s="13">
        <v>2018</v>
      </c>
      <c r="Z11" s="13" t="s">
        <v>2532</v>
      </c>
      <c r="AA11" s="13" t="s">
        <v>2533</v>
      </c>
      <c r="AB11" s="13" t="s">
        <v>3075</v>
      </c>
      <c r="AC11" s="13">
        <v>2019</v>
      </c>
      <c r="AD11" s="13" t="s">
        <v>3080</v>
      </c>
      <c r="AE11" s="13" t="s">
        <v>3083</v>
      </c>
      <c r="AF11" s="13" t="s">
        <v>3097</v>
      </c>
      <c r="AG11" s="13" t="s">
        <v>3033</v>
      </c>
      <c r="AH11" s="13">
        <v>2019</v>
      </c>
      <c r="AI11" s="13" t="s">
        <v>3033</v>
      </c>
      <c r="AJ11" s="13" t="s">
        <v>3102</v>
      </c>
      <c r="AK11" s="13">
        <v>2020</v>
      </c>
      <c r="AL11" s="13">
        <v>2021</v>
      </c>
      <c r="AM11" s="13">
        <v>2021</v>
      </c>
      <c r="AN11" s="13">
        <v>2021</v>
      </c>
      <c r="AO11" s="13" t="s">
        <v>3033</v>
      </c>
      <c r="AP11" s="13" t="s">
        <v>3097</v>
      </c>
      <c r="AQ11" s="13">
        <v>2019</v>
      </c>
      <c r="AR11" s="13" t="s">
        <v>3085</v>
      </c>
      <c r="AS11" s="13">
        <v>2019</v>
      </c>
      <c r="AT11" s="13" t="s">
        <v>3344</v>
      </c>
      <c r="AU11" s="13">
        <v>2021</v>
      </c>
      <c r="AV11" s="13">
        <v>2018</v>
      </c>
      <c r="AW11" s="13">
        <v>2018</v>
      </c>
      <c r="AX11" s="13">
        <v>2016</v>
      </c>
      <c r="AY11" s="13">
        <v>2018</v>
      </c>
      <c r="AZ11" s="13">
        <v>2019</v>
      </c>
      <c r="BA11" s="13" t="s">
        <v>3384</v>
      </c>
      <c r="BB11" s="13" t="s">
        <v>1735</v>
      </c>
      <c r="BC11" s="13" t="s">
        <v>1886</v>
      </c>
      <c r="BD11" s="13">
        <v>2020</v>
      </c>
      <c r="BE11" s="13" t="s">
        <v>3033</v>
      </c>
      <c r="BF11" s="13" t="s">
        <v>3033</v>
      </c>
      <c r="BG11" s="13" t="s">
        <v>3398</v>
      </c>
      <c r="BH11" s="13">
        <v>2018</v>
      </c>
      <c r="BI11" s="13" t="s">
        <v>3446</v>
      </c>
      <c r="BJ11" s="13">
        <v>2019</v>
      </c>
      <c r="BK11" s="13">
        <v>2020</v>
      </c>
      <c r="BL11" s="13" t="s">
        <v>3463</v>
      </c>
      <c r="BM11" s="13">
        <v>2021</v>
      </c>
      <c r="BN11" s="13" t="s">
        <v>3406</v>
      </c>
      <c r="BO11" s="13" t="s">
        <v>2535</v>
      </c>
      <c r="BP11" s="13">
        <v>2020</v>
      </c>
      <c r="BQ11" s="13" t="s">
        <v>1719</v>
      </c>
      <c r="BR11" s="13">
        <v>2020</v>
      </c>
      <c r="BS11" s="13">
        <v>2020</v>
      </c>
      <c r="BT11" s="13">
        <v>2021</v>
      </c>
      <c r="BU11" s="13">
        <v>2021</v>
      </c>
      <c r="BV11" s="13">
        <v>2021</v>
      </c>
      <c r="BW11" s="13" t="s">
        <v>3398</v>
      </c>
      <c r="BX11" s="13">
        <v>2020</v>
      </c>
      <c r="BY11" s="311" t="s">
        <v>1599</v>
      </c>
    </row>
    <row r="12" spans="1:77">
      <c r="A12" s="2">
        <v>7</v>
      </c>
      <c r="B12" s="55">
        <f>INDEX(順位表[Comprehensive],MATCH($C12,順位表['#],0))</f>
        <v>26</v>
      </c>
      <c r="C12" s="3">
        <v>7</v>
      </c>
      <c r="D12" s="1" t="str">
        <f>INDEX(都市マスタ[City Name],MATCH($C12,都市マスタ['#],0))</f>
        <v>Geneva</v>
      </c>
      <c r="E12" s="13">
        <v>2020</v>
      </c>
      <c r="F12" s="13">
        <v>2012</v>
      </c>
      <c r="G12" s="13" t="s">
        <v>1600</v>
      </c>
      <c r="H12" s="13">
        <v>2019</v>
      </c>
      <c r="I12" s="13"/>
      <c r="J12" s="13" t="s">
        <v>1601</v>
      </c>
      <c r="K12" s="13">
        <v>2020</v>
      </c>
      <c r="L12" s="13"/>
      <c r="M12" s="13">
        <v>2021</v>
      </c>
      <c r="N12" s="13">
        <v>2018</v>
      </c>
      <c r="O12" s="13" t="s">
        <v>2945</v>
      </c>
      <c r="P12" s="13">
        <v>2018</v>
      </c>
      <c r="Q12" s="13" t="s">
        <v>2994</v>
      </c>
      <c r="R12" s="13" t="s">
        <v>3033</v>
      </c>
      <c r="S12" s="13">
        <v>2021</v>
      </c>
      <c r="T12" s="13" t="s">
        <v>2534</v>
      </c>
      <c r="U12" s="13">
        <v>2017</v>
      </c>
      <c r="V12" s="13">
        <v>2021</v>
      </c>
      <c r="W12" s="13">
        <v>2017</v>
      </c>
      <c r="X12" s="13">
        <v>2021</v>
      </c>
      <c r="Y12" s="13">
        <v>2018</v>
      </c>
      <c r="Z12" s="13" t="s">
        <v>2532</v>
      </c>
      <c r="AA12" s="13" t="s">
        <v>2533</v>
      </c>
      <c r="AB12" s="13" t="s">
        <v>3075</v>
      </c>
      <c r="AC12" s="13">
        <v>2019</v>
      </c>
      <c r="AD12" s="13" t="s">
        <v>3080</v>
      </c>
      <c r="AE12" s="13" t="s">
        <v>3084</v>
      </c>
      <c r="AF12" s="13" t="s">
        <v>3097</v>
      </c>
      <c r="AG12" s="13" t="s">
        <v>3033</v>
      </c>
      <c r="AH12" s="13">
        <v>2019</v>
      </c>
      <c r="AI12" s="13" t="s">
        <v>3033</v>
      </c>
      <c r="AJ12" s="13" t="s">
        <v>3102</v>
      </c>
      <c r="AK12" s="13">
        <v>2020</v>
      </c>
      <c r="AL12" s="13">
        <v>2021</v>
      </c>
      <c r="AM12" s="13">
        <v>2021</v>
      </c>
      <c r="AN12" s="13">
        <v>2021</v>
      </c>
      <c r="AO12" s="13" t="s">
        <v>3033</v>
      </c>
      <c r="AP12" s="13" t="s">
        <v>3097</v>
      </c>
      <c r="AQ12" s="13">
        <v>2021</v>
      </c>
      <c r="AR12" s="13" t="s">
        <v>3085</v>
      </c>
      <c r="AS12" s="13">
        <v>2020</v>
      </c>
      <c r="AT12" s="13" t="s">
        <v>3344</v>
      </c>
      <c r="AU12" s="13">
        <v>2021</v>
      </c>
      <c r="AV12" s="13">
        <v>2018</v>
      </c>
      <c r="AW12" s="13">
        <v>2018</v>
      </c>
      <c r="AX12" s="13">
        <v>2017</v>
      </c>
      <c r="AY12" s="13">
        <v>2018</v>
      </c>
      <c r="AZ12" s="13">
        <v>2019</v>
      </c>
      <c r="BA12" s="13" t="s">
        <v>3384</v>
      </c>
      <c r="BB12" s="13" t="s">
        <v>1735</v>
      </c>
      <c r="BC12" s="13" t="s">
        <v>1886</v>
      </c>
      <c r="BD12" s="13">
        <v>2020</v>
      </c>
      <c r="BE12" s="13" t="s">
        <v>3033</v>
      </c>
      <c r="BF12" s="13" t="s">
        <v>3033</v>
      </c>
      <c r="BG12" s="13" t="s">
        <v>3033</v>
      </c>
      <c r="BH12" s="13">
        <v>2018</v>
      </c>
      <c r="BI12" s="13" t="s">
        <v>3446</v>
      </c>
      <c r="BJ12" s="13">
        <v>2019</v>
      </c>
      <c r="BK12" s="13">
        <v>2020</v>
      </c>
      <c r="BL12" s="13" t="s">
        <v>3463</v>
      </c>
      <c r="BM12" s="13">
        <v>2021</v>
      </c>
      <c r="BN12" s="13" t="s">
        <v>3406</v>
      </c>
      <c r="BO12" s="13" t="s">
        <v>2535</v>
      </c>
      <c r="BP12" s="13">
        <v>2020</v>
      </c>
      <c r="BQ12" s="13" t="s">
        <v>3404</v>
      </c>
      <c r="BR12" s="13">
        <v>2020</v>
      </c>
      <c r="BS12" s="13">
        <v>2020</v>
      </c>
      <c r="BT12" s="13">
        <v>2021</v>
      </c>
      <c r="BU12" s="13">
        <v>2021</v>
      </c>
      <c r="BV12" s="13">
        <v>2021</v>
      </c>
      <c r="BW12" s="13" t="s">
        <v>3398</v>
      </c>
      <c r="BX12" s="13">
        <v>2020</v>
      </c>
      <c r="BY12" s="311" t="s">
        <v>1599</v>
      </c>
    </row>
    <row r="13" spans="1:77">
      <c r="A13" s="2">
        <v>8</v>
      </c>
      <c r="B13" s="55">
        <f>INDEX(順位表[Comprehensive],MATCH($C13,順位表['#],0))</f>
        <v>20</v>
      </c>
      <c r="C13" s="3">
        <v>8</v>
      </c>
      <c r="D13" s="1" t="str">
        <f>INDEX(都市マスタ[City Name],MATCH($C13,都市マスタ['#],0))</f>
        <v>Frankfurt</v>
      </c>
      <c r="E13" s="13">
        <v>2020</v>
      </c>
      <c r="F13" s="13">
        <v>2019</v>
      </c>
      <c r="G13" s="13" t="s">
        <v>1600</v>
      </c>
      <c r="H13" s="13">
        <v>2018</v>
      </c>
      <c r="I13" s="13"/>
      <c r="J13" s="13" t="s">
        <v>1601</v>
      </c>
      <c r="K13" s="13">
        <v>2020</v>
      </c>
      <c r="L13" s="13">
        <v>2020</v>
      </c>
      <c r="M13" s="13">
        <v>2021</v>
      </c>
      <c r="N13" s="13">
        <v>2018</v>
      </c>
      <c r="O13" s="13">
        <v>2018</v>
      </c>
      <c r="P13" s="13">
        <v>2018</v>
      </c>
      <c r="Q13" s="13" t="s">
        <v>2994</v>
      </c>
      <c r="R13" s="13" t="s">
        <v>3033</v>
      </c>
      <c r="S13" s="13">
        <v>2021</v>
      </c>
      <c r="T13" s="13" t="s">
        <v>2534</v>
      </c>
      <c r="U13" s="13">
        <v>2018</v>
      </c>
      <c r="V13" s="13">
        <v>2021</v>
      </c>
      <c r="W13" s="13">
        <v>2018</v>
      </c>
      <c r="X13" s="13">
        <v>2021</v>
      </c>
      <c r="Y13" s="13">
        <v>2018</v>
      </c>
      <c r="Z13" s="13" t="s">
        <v>2532</v>
      </c>
      <c r="AA13" s="13" t="s">
        <v>2533</v>
      </c>
      <c r="AB13" s="13" t="s">
        <v>3075</v>
      </c>
      <c r="AC13" s="13">
        <v>2019</v>
      </c>
      <c r="AD13" s="13" t="s">
        <v>3080</v>
      </c>
      <c r="AE13" s="13" t="s">
        <v>3083</v>
      </c>
      <c r="AF13" s="13" t="s">
        <v>3097</v>
      </c>
      <c r="AG13" s="13" t="s">
        <v>3033</v>
      </c>
      <c r="AH13" s="13">
        <v>2019</v>
      </c>
      <c r="AI13" s="13" t="s">
        <v>3033</v>
      </c>
      <c r="AJ13" s="13" t="s">
        <v>3102</v>
      </c>
      <c r="AK13" s="13">
        <v>2020</v>
      </c>
      <c r="AL13" s="13">
        <v>2021</v>
      </c>
      <c r="AM13" s="13">
        <v>2021</v>
      </c>
      <c r="AN13" s="13">
        <v>2021</v>
      </c>
      <c r="AO13" s="13" t="s">
        <v>3033</v>
      </c>
      <c r="AP13" s="13" t="s">
        <v>3097</v>
      </c>
      <c r="AQ13" s="13">
        <v>2020</v>
      </c>
      <c r="AR13" s="13" t="s">
        <v>3163</v>
      </c>
      <c r="AS13" s="13">
        <v>2020</v>
      </c>
      <c r="AT13" s="13" t="s">
        <v>3344</v>
      </c>
      <c r="AU13" s="13">
        <v>2021</v>
      </c>
      <c r="AV13" s="13">
        <v>2018</v>
      </c>
      <c r="AW13" s="13">
        <v>2018</v>
      </c>
      <c r="AX13" s="13">
        <v>2019</v>
      </c>
      <c r="AY13" s="13">
        <v>2018</v>
      </c>
      <c r="AZ13" s="13">
        <v>2019</v>
      </c>
      <c r="BA13" s="13" t="s">
        <v>3384</v>
      </c>
      <c r="BB13" s="13" t="s">
        <v>1735</v>
      </c>
      <c r="BC13" s="13" t="s">
        <v>1886</v>
      </c>
      <c r="BD13" s="13">
        <v>2020</v>
      </c>
      <c r="BE13" s="13" t="s">
        <v>3033</v>
      </c>
      <c r="BF13" s="13" t="s">
        <v>3033</v>
      </c>
      <c r="BG13" s="13" t="s">
        <v>3400</v>
      </c>
      <c r="BH13" s="13">
        <v>2018</v>
      </c>
      <c r="BI13" s="13" t="s">
        <v>3446</v>
      </c>
      <c r="BJ13" s="13">
        <v>2019</v>
      </c>
      <c r="BK13" s="13">
        <v>2020</v>
      </c>
      <c r="BL13" s="13" t="s">
        <v>3463</v>
      </c>
      <c r="BM13" s="13">
        <v>2021</v>
      </c>
      <c r="BN13" s="13" t="s">
        <v>3406</v>
      </c>
      <c r="BO13" s="13" t="s">
        <v>2535</v>
      </c>
      <c r="BP13" s="13">
        <v>2020</v>
      </c>
      <c r="BQ13" s="13" t="s">
        <v>3404</v>
      </c>
      <c r="BR13" s="13">
        <v>2020</v>
      </c>
      <c r="BS13" s="13">
        <v>2020</v>
      </c>
      <c r="BT13" s="13">
        <v>2021</v>
      </c>
      <c r="BU13" s="13">
        <v>2021</v>
      </c>
      <c r="BV13" s="13">
        <v>2021</v>
      </c>
      <c r="BW13" s="13" t="s">
        <v>3398</v>
      </c>
      <c r="BX13" s="13">
        <v>2020</v>
      </c>
      <c r="BY13" s="311" t="s">
        <v>1599</v>
      </c>
    </row>
    <row r="14" spans="1:77">
      <c r="A14" s="2">
        <v>9</v>
      </c>
      <c r="B14" s="55">
        <f>INDEX(順位表[Comprehensive],MATCH($C14,順位表['#],0))</f>
        <v>10</v>
      </c>
      <c r="C14" s="3">
        <v>9</v>
      </c>
      <c r="D14" s="1" t="str">
        <f>INDEX(都市マスタ[City Name],MATCH($C14,都市マスタ['#],0))</f>
        <v>Berlin</v>
      </c>
      <c r="E14" s="13">
        <v>2020</v>
      </c>
      <c r="F14" s="13">
        <v>2019</v>
      </c>
      <c r="G14" s="13" t="s">
        <v>1600</v>
      </c>
      <c r="H14" s="13">
        <v>2018</v>
      </c>
      <c r="I14" s="13"/>
      <c r="J14" s="13" t="s">
        <v>1605</v>
      </c>
      <c r="K14" s="13">
        <v>2020</v>
      </c>
      <c r="L14" s="13">
        <v>2020</v>
      </c>
      <c r="M14" s="13">
        <v>2021</v>
      </c>
      <c r="N14" s="13">
        <v>2019</v>
      </c>
      <c r="O14" s="13">
        <v>2018</v>
      </c>
      <c r="P14" s="13">
        <v>2018</v>
      </c>
      <c r="Q14" s="13" t="s">
        <v>2994</v>
      </c>
      <c r="R14" s="13" t="s">
        <v>3033</v>
      </c>
      <c r="S14" s="13">
        <v>2021</v>
      </c>
      <c r="T14" s="13" t="s">
        <v>2534</v>
      </c>
      <c r="U14" s="13">
        <v>2018</v>
      </c>
      <c r="V14" s="13">
        <v>2021</v>
      </c>
      <c r="W14" s="13">
        <v>2018</v>
      </c>
      <c r="X14" s="13">
        <v>2021</v>
      </c>
      <c r="Y14" s="13">
        <v>2018</v>
      </c>
      <c r="Z14" s="13" t="s">
        <v>2532</v>
      </c>
      <c r="AA14" s="13" t="s">
        <v>2533</v>
      </c>
      <c r="AB14" s="13" t="s">
        <v>3075</v>
      </c>
      <c r="AC14" s="13">
        <v>2019</v>
      </c>
      <c r="AD14" s="13" t="s">
        <v>3080</v>
      </c>
      <c r="AE14" s="13" t="s">
        <v>3083</v>
      </c>
      <c r="AF14" s="13" t="s">
        <v>3097</v>
      </c>
      <c r="AG14" s="13" t="s">
        <v>3033</v>
      </c>
      <c r="AH14" s="13">
        <v>2019</v>
      </c>
      <c r="AI14" s="13" t="s">
        <v>3033</v>
      </c>
      <c r="AJ14" s="13" t="s">
        <v>3102</v>
      </c>
      <c r="AK14" s="13">
        <v>2020</v>
      </c>
      <c r="AL14" s="13">
        <v>2021</v>
      </c>
      <c r="AM14" s="13">
        <v>2021</v>
      </c>
      <c r="AN14" s="13">
        <v>2021</v>
      </c>
      <c r="AO14" s="13" t="s">
        <v>3033</v>
      </c>
      <c r="AP14" s="13" t="s">
        <v>3097</v>
      </c>
      <c r="AQ14" s="13">
        <v>2018</v>
      </c>
      <c r="AR14" s="13" t="s">
        <v>3163</v>
      </c>
      <c r="AS14" s="13">
        <v>2020</v>
      </c>
      <c r="AT14" s="13" t="s">
        <v>3344</v>
      </c>
      <c r="AU14" s="13">
        <v>2021</v>
      </c>
      <c r="AV14" s="13">
        <v>2018</v>
      </c>
      <c r="AW14" s="13">
        <v>2018</v>
      </c>
      <c r="AX14" s="13">
        <v>2018</v>
      </c>
      <c r="AY14" s="13">
        <v>2018</v>
      </c>
      <c r="AZ14" s="13">
        <v>2019</v>
      </c>
      <c r="BA14" s="13" t="s">
        <v>3384</v>
      </c>
      <c r="BB14" s="13" t="s">
        <v>1735</v>
      </c>
      <c r="BC14" s="13" t="s">
        <v>1886</v>
      </c>
      <c r="BD14" s="13">
        <v>2020</v>
      </c>
      <c r="BE14" s="13" t="s">
        <v>3033</v>
      </c>
      <c r="BF14" s="13" t="s">
        <v>3033</v>
      </c>
      <c r="BG14" s="13" t="s">
        <v>3398</v>
      </c>
      <c r="BH14" s="13">
        <v>2018</v>
      </c>
      <c r="BI14" s="13" t="s">
        <v>3446</v>
      </c>
      <c r="BJ14" s="13">
        <v>2019</v>
      </c>
      <c r="BK14" s="13">
        <v>2020</v>
      </c>
      <c r="BL14" s="13" t="s">
        <v>3463</v>
      </c>
      <c r="BM14" s="13">
        <v>2021</v>
      </c>
      <c r="BN14" s="13" t="s">
        <v>3406</v>
      </c>
      <c r="BO14" s="13" t="s">
        <v>2535</v>
      </c>
      <c r="BP14" s="13">
        <v>2020</v>
      </c>
      <c r="BQ14" s="13" t="s">
        <v>3404</v>
      </c>
      <c r="BR14" s="13">
        <v>2020</v>
      </c>
      <c r="BS14" s="13">
        <v>2020</v>
      </c>
      <c r="BT14" s="13">
        <v>2021</v>
      </c>
      <c r="BU14" s="13">
        <v>2021</v>
      </c>
      <c r="BV14" s="13">
        <v>2021</v>
      </c>
      <c r="BW14" s="13" t="s">
        <v>3398</v>
      </c>
      <c r="BX14" s="13">
        <v>2020</v>
      </c>
      <c r="BY14" s="311" t="s">
        <v>1599</v>
      </c>
    </row>
    <row r="15" spans="1:77">
      <c r="A15" s="2">
        <v>10</v>
      </c>
      <c r="B15" s="55">
        <f>INDEX(順位表[Comprehensive],MATCH($C15,順位表['#],0))</f>
        <v>33</v>
      </c>
      <c r="C15" s="3">
        <v>10</v>
      </c>
      <c r="D15" s="1" t="str">
        <f>INDEX(都市マスタ[City Name],MATCH($C15,都市マスタ['#],0))</f>
        <v>Milan</v>
      </c>
      <c r="E15" s="13">
        <v>2020</v>
      </c>
      <c r="F15" s="13">
        <v>2019</v>
      </c>
      <c r="G15" s="13" t="s">
        <v>1600</v>
      </c>
      <c r="H15" s="13">
        <v>2018</v>
      </c>
      <c r="I15" s="13"/>
      <c r="J15" s="13" t="s">
        <v>1601</v>
      </c>
      <c r="K15" s="13">
        <v>2020</v>
      </c>
      <c r="L15" s="13">
        <v>2020</v>
      </c>
      <c r="M15" s="13">
        <v>2021</v>
      </c>
      <c r="N15" s="13">
        <v>2016</v>
      </c>
      <c r="O15" s="13">
        <v>2011</v>
      </c>
      <c r="P15" s="13">
        <v>2018</v>
      </c>
      <c r="Q15" s="13" t="s">
        <v>2994</v>
      </c>
      <c r="R15" s="13" t="s">
        <v>3033</v>
      </c>
      <c r="S15" s="13">
        <v>2021</v>
      </c>
      <c r="T15" s="13" t="s">
        <v>2534</v>
      </c>
      <c r="U15" s="13">
        <v>2018</v>
      </c>
      <c r="V15" s="13">
        <v>2021</v>
      </c>
      <c r="W15" s="13">
        <v>2018</v>
      </c>
      <c r="X15" s="13">
        <v>2021</v>
      </c>
      <c r="Y15" s="13">
        <v>2018</v>
      </c>
      <c r="Z15" s="13" t="s">
        <v>2532</v>
      </c>
      <c r="AA15" s="13" t="s">
        <v>2533</v>
      </c>
      <c r="AB15" s="13" t="s">
        <v>3075</v>
      </c>
      <c r="AC15" s="13">
        <v>2019</v>
      </c>
      <c r="AD15" s="13" t="s">
        <v>3080</v>
      </c>
      <c r="AE15" s="13" t="s">
        <v>3083</v>
      </c>
      <c r="AF15" s="13" t="s">
        <v>3097</v>
      </c>
      <c r="AG15" s="13" t="s">
        <v>3033</v>
      </c>
      <c r="AH15" s="13">
        <v>2019</v>
      </c>
      <c r="AI15" s="13" t="s">
        <v>3033</v>
      </c>
      <c r="AJ15" s="13" t="s">
        <v>3102</v>
      </c>
      <c r="AK15" s="13">
        <v>2020</v>
      </c>
      <c r="AL15" s="13">
        <v>2021</v>
      </c>
      <c r="AM15" s="13">
        <v>2021</v>
      </c>
      <c r="AN15" s="13">
        <v>2021</v>
      </c>
      <c r="AO15" s="13" t="s">
        <v>3033</v>
      </c>
      <c r="AP15" s="13" t="s">
        <v>3097</v>
      </c>
      <c r="AQ15" s="13">
        <v>2020</v>
      </c>
      <c r="AR15" s="13" t="s">
        <v>3085</v>
      </c>
      <c r="AS15" s="13">
        <v>2020</v>
      </c>
      <c r="AT15" s="13" t="s">
        <v>3344</v>
      </c>
      <c r="AU15" s="13">
        <v>2021</v>
      </c>
      <c r="AV15" s="13">
        <v>2018</v>
      </c>
      <c r="AW15" s="13">
        <v>2018</v>
      </c>
      <c r="AX15" s="13">
        <v>2019</v>
      </c>
      <c r="AY15" s="13">
        <v>2018</v>
      </c>
      <c r="AZ15" s="13">
        <v>2019</v>
      </c>
      <c r="BA15" s="13" t="s">
        <v>3384</v>
      </c>
      <c r="BB15" s="13" t="s">
        <v>1735</v>
      </c>
      <c r="BC15" s="13" t="s">
        <v>1735</v>
      </c>
      <c r="BD15" s="13">
        <v>2020</v>
      </c>
      <c r="BE15" s="13" t="s">
        <v>3033</v>
      </c>
      <c r="BF15" s="13" t="s">
        <v>3033</v>
      </c>
      <c r="BG15" s="13" t="s">
        <v>3398</v>
      </c>
      <c r="BH15" s="13">
        <v>2018</v>
      </c>
      <c r="BI15" s="13" t="s">
        <v>3446</v>
      </c>
      <c r="BJ15" s="13">
        <v>2019</v>
      </c>
      <c r="BK15" s="13">
        <v>2020</v>
      </c>
      <c r="BL15" s="13" t="s">
        <v>3463</v>
      </c>
      <c r="BM15" s="13">
        <v>2021</v>
      </c>
      <c r="BN15" s="13" t="s">
        <v>3406</v>
      </c>
      <c r="BO15" s="13" t="s">
        <v>2535</v>
      </c>
      <c r="BP15" s="13">
        <v>2020</v>
      </c>
      <c r="BQ15" s="13" t="s">
        <v>3404</v>
      </c>
      <c r="BR15" s="13">
        <v>2020</v>
      </c>
      <c r="BS15" s="13">
        <v>2020</v>
      </c>
      <c r="BT15" s="13">
        <v>2021</v>
      </c>
      <c r="BU15" s="13">
        <v>2021</v>
      </c>
      <c r="BV15" s="13">
        <v>2021</v>
      </c>
      <c r="BW15" s="13" t="s">
        <v>3398</v>
      </c>
      <c r="BX15" s="13">
        <v>2020</v>
      </c>
      <c r="BY15" s="311" t="s">
        <v>1599</v>
      </c>
    </row>
    <row r="16" spans="1:77">
      <c r="A16" s="2">
        <v>11</v>
      </c>
      <c r="B16" s="55">
        <f>INDEX(順位表[Comprehensive],MATCH($C16,順位表['#],0))</f>
        <v>19</v>
      </c>
      <c r="C16" s="3">
        <v>11</v>
      </c>
      <c r="D16" s="1" t="str">
        <f>INDEX(都市マスタ[City Name],MATCH($C16,都市マスタ['#],0))</f>
        <v>Zurich</v>
      </c>
      <c r="E16" s="13">
        <v>2021</v>
      </c>
      <c r="F16" s="13">
        <v>2015</v>
      </c>
      <c r="G16" s="13" t="s">
        <v>1600</v>
      </c>
      <c r="H16" s="13">
        <v>2019</v>
      </c>
      <c r="I16" s="13"/>
      <c r="J16" s="13" t="s">
        <v>1601</v>
      </c>
      <c r="K16" s="13">
        <v>2020</v>
      </c>
      <c r="L16" s="13">
        <v>2020</v>
      </c>
      <c r="M16" s="13">
        <v>2021</v>
      </c>
      <c r="N16" s="13">
        <v>2020</v>
      </c>
      <c r="O16" s="13" t="s">
        <v>2945</v>
      </c>
      <c r="P16" s="13">
        <v>2018</v>
      </c>
      <c r="Q16" s="13" t="s">
        <v>2994</v>
      </c>
      <c r="R16" s="13" t="s">
        <v>3033</v>
      </c>
      <c r="S16" s="13">
        <v>2021</v>
      </c>
      <c r="T16" s="13" t="s">
        <v>2534</v>
      </c>
      <c r="U16" s="13">
        <v>2017</v>
      </c>
      <c r="V16" s="13">
        <v>2021</v>
      </c>
      <c r="W16" s="13">
        <v>2017</v>
      </c>
      <c r="X16" s="13">
        <v>2021</v>
      </c>
      <c r="Y16" s="13">
        <v>2018</v>
      </c>
      <c r="Z16" s="13" t="s">
        <v>2532</v>
      </c>
      <c r="AA16" s="13" t="s">
        <v>2533</v>
      </c>
      <c r="AB16" s="13" t="s">
        <v>3075</v>
      </c>
      <c r="AC16" s="13">
        <v>2019</v>
      </c>
      <c r="AD16" s="13" t="s">
        <v>3080</v>
      </c>
      <c r="AE16" s="13" t="s">
        <v>3084</v>
      </c>
      <c r="AF16" s="13" t="s">
        <v>3097</v>
      </c>
      <c r="AG16" s="13" t="s">
        <v>3033</v>
      </c>
      <c r="AH16" s="13">
        <v>2019</v>
      </c>
      <c r="AI16" s="13" t="s">
        <v>3033</v>
      </c>
      <c r="AJ16" s="13" t="s">
        <v>3102</v>
      </c>
      <c r="AK16" s="13">
        <v>2020</v>
      </c>
      <c r="AL16" s="13">
        <v>2021</v>
      </c>
      <c r="AM16" s="13">
        <v>2021</v>
      </c>
      <c r="AN16" s="13">
        <v>2021</v>
      </c>
      <c r="AO16" s="13" t="s">
        <v>3033</v>
      </c>
      <c r="AP16" s="13" t="s">
        <v>3097</v>
      </c>
      <c r="AQ16" s="13">
        <v>2020</v>
      </c>
      <c r="AR16" s="13" t="s">
        <v>3085</v>
      </c>
      <c r="AS16" s="13">
        <v>2020</v>
      </c>
      <c r="AT16" s="13" t="s">
        <v>3344</v>
      </c>
      <c r="AU16" s="13">
        <v>2021</v>
      </c>
      <c r="AV16" s="13">
        <v>2018</v>
      </c>
      <c r="AW16" s="13">
        <v>2018</v>
      </c>
      <c r="AX16" s="13">
        <v>2018</v>
      </c>
      <c r="AY16" s="13">
        <v>2018</v>
      </c>
      <c r="AZ16" s="13">
        <v>2019</v>
      </c>
      <c r="BA16" s="13" t="s">
        <v>3384</v>
      </c>
      <c r="BB16" s="13" t="s">
        <v>1735</v>
      </c>
      <c r="BC16" s="13" t="s">
        <v>1886</v>
      </c>
      <c r="BD16" s="13">
        <v>2020</v>
      </c>
      <c r="BE16" s="13" t="s">
        <v>3033</v>
      </c>
      <c r="BF16" s="13" t="s">
        <v>3033</v>
      </c>
      <c r="BG16" s="13" t="s">
        <v>3398</v>
      </c>
      <c r="BH16" s="13">
        <v>2018</v>
      </c>
      <c r="BI16" s="13" t="s">
        <v>3446</v>
      </c>
      <c r="BJ16" s="13">
        <v>2019</v>
      </c>
      <c r="BK16" s="13">
        <v>2020</v>
      </c>
      <c r="BL16" s="13" t="s">
        <v>3463</v>
      </c>
      <c r="BM16" s="13">
        <v>2021</v>
      </c>
      <c r="BN16" s="13" t="s">
        <v>3406</v>
      </c>
      <c r="BO16" s="13" t="s">
        <v>2535</v>
      </c>
      <c r="BP16" s="13">
        <v>2020</v>
      </c>
      <c r="BQ16" s="13" t="s">
        <v>3404</v>
      </c>
      <c r="BR16" s="13">
        <v>2020</v>
      </c>
      <c r="BS16" s="13">
        <v>2020</v>
      </c>
      <c r="BT16" s="13">
        <v>2021</v>
      </c>
      <c r="BU16" s="13">
        <v>2021</v>
      </c>
      <c r="BV16" s="13">
        <v>2021</v>
      </c>
      <c r="BW16" s="13" t="s">
        <v>3398</v>
      </c>
      <c r="BX16" s="13">
        <v>2020</v>
      </c>
      <c r="BY16" s="311" t="s">
        <v>1599</v>
      </c>
    </row>
    <row r="17" spans="1:77">
      <c r="A17" s="2">
        <v>12</v>
      </c>
      <c r="B17" s="55">
        <f>INDEX(順位表[Comprehensive],MATCH($C17,順位表['#],0))</f>
        <v>11</v>
      </c>
      <c r="C17" s="3">
        <v>12</v>
      </c>
      <c r="D17" s="1" t="str">
        <f>INDEX(都市マスタ[City Name],MATCH($C17,都市マスタ['#],0))</f>
        <v>Copenhagen</v>
      </c>
      <c r="E17" s="13">
        <v>2021</v>
      </c>
      <c r="F17" s="13">
        <v>2021</v>
      </c>
      <c r="G17" s="13" t="s">
        <v>1600</v>
      </c>
      <c r="H17" s="13">
        <v>2019</v>
      </c>
      <c r="I17" s="13"/>
      <c r="J17" s="13" t="s">
        <v>1605</v>
      </c>
      <c r="K17" s="13">
        <v>2020</v>
      </c>
      <c r="L17" s="13">
        <v>2020</v>
      </c>
      <c r="M17" s="13">
        <v>2021</v>
      </c>
      <c r="N17" s="13">
        <v>2019</v>
      </c>
      <c r="O17" s="13">
        <v>2019</v>
      </c>
      <c r="P17" s="13">
        <v>2018</v>
      </c>
      <c r="Q17" s="13" t="s">
        <v>2994</v>
      </c>
      <c r="R17" s="13" t="s">
        <v>3033</v>
      </c>
      <c r="S17" s="13">
        <v>2021</v>
      </c>
      <c r="T17" s="13" t="s">
        <v>2534</v>
      </c>
      <c r="U17" s="13">
        <v>2018</v>
      </c>
      <c r="V17" s="13">
        <v>2021</v>
      </c>
      <c r="W17" s="13">
        <v>2018</v>
      </c>
      <c r="X17" s="13">
        <v>2021</v>
      </c>
      <c r="Y17" s="13">
        <v>2018</v>
      </c>
      <c r="Z17" s="13" t="s">
        <v>2532</v>
      </c>
      <c r="AA17" s="13" t="s">
        <v>2533</v>
      </c>
      <c r="AB17" s="13" t="s">
        <v>3075</v>
      </c>
      <c r="AC17" s="13">
        <v>2019</v>
      </c>
      <c r="AD17" s="13" t="s">
        <v>3080</v>
      </c>
      <c r="AE17" s="13" t="s">
        <v>3083</v>
      </c>
      <c r="AF17" s="13" t="s">
        <v>3097</v>
      </c>
      <c r="AG17" s="13" t="s">
        <v>3033</v>
      </c>
      <c r="AH17" s="13">
        <v>2019</v>
      </c>
      <c r="AI17" s="13" t="s">
        <v>3033</v>
      </c>
      <c r="AJ17" s="13" t="s">
        <v>3102</v>
      </c>
      <c r="AK17" s="13">
        <v>2020</v>
      </c>
      <c r="AL17" s="13">
        <v>2021</v>
      </c>
      <c r="AM17" s="13">
        <v>2021</v>
      </c>
      <c r="AN17" s="13">
        <v>2021</v>
      </c>
      <c r="AO17" s="13" t="s">
        <v>3033</v>
      </c>
      <c r="AP17" s="13" t="s">
        <v>3097</v>
      </c>
      <c r="AQ17" s="13">
        <v>2020</v>
      </c>
      <c r="AR17" s="13" t="s">
        <v>3085</v>
      </c>
      <c r="AS17" s="13">
        <v>2020</v>
      </c>
      <c r="AT17" s="13" t="s">
        <v>3344</v>
      </c>
      <c r="AU17" s="13">
        <v>2021</v>
      </c>
      <c r="AV17" s="13">
        <v>2018</v>
      </c>
      <c r="AW17" s="13">
        <v>2018</v>
      </c>
      <c r="AX17" s="13">
        <v>2018</v>
      </c>
      <c r="AY17" s="13">
        <v>2018</v>
      </c>
      <c r="AZ17" s="13">
        <v>2019</v>
      </c>
      <c r="BA17" s="13" t="s">
        <v>3384</v>
      </c>
      <c r="BB17" s="13" t="s">
        <v>1735</v>
      </c>
      <c r="BC17" s="13" t="s">
        <v>1886</v>
      </c>
      <c r="BD17" s="13">
        <v>2020</v>
      </c>
      <c r="BE17" s="13" t="s">
        <v>3033</v>
      </c>
      <c r="BF17" s="13" t="s">
        <v>3033</v>
      </c>
      <c r="BG17" s="13" t="s">
        <v>3401</v>
      </c>
      <c r="BH17" s="13">
        <v>2018</v>
      </c>
      <c r="BI17" s="13" t="s">
        <v>3446</v>
      </c>
      <c r="BJ17" s="13">
        <v>2019</v>
      </c>
      <c r="BK17" s="13">
        <v>2020</v>
      </c>
      <c r="BL17" s="13" t="s">
        <v>3463</v>
      </c>
      <c r="BM17" s="13">
        <v>2021</v>
      </c>
      <c r="BN17" s="13" t="s">
        <v>3406</v>
      </c>
      <c r="BO17" s="13" t="s">
        <v>2535</v>
      </c>
      <c r="BP17" s="13">
        <v>2020</v>
      </c>
      <c r="BQ17" s="13" t="s">
        <v>1722</v>
      </c>
      <c r="BR17" s="13">
        <v>2020</v>
      </c>
      <c r="BS17" s="13">
        <v>2020</v>
      </c>
      <c r="BT17" s="13">
        <v>2021</v>
      </c>
      <c r="BU17" s="13">
        <v>2021</v>
      </c>
      <c r="BV17" s="13">
        <v>2021</v>
      </c>
      <c r="BW17" s="13" t="s">
        <v>3398</v>
      </c>
      <c r="BX17" s="13">
        <v>2020</v>
      </c>
      <c r="BY17" s="311" t="s">
        <v>1599</v>
      </c>
    </row>
    <row r="18" spans="1:77">
      <c r="A18" s="2">
        <v>13</v>
      </c>
      <c r="B18" s="55">
        <f>INDEX(順位表[Comprehensive],MATCH($C18,順位表['#],0))</f>
        <v>13</v>
      </c>
      <c r="C18" s="3">
        <v>13</v>
      </c>
      <c r="D18" s="1" t="str">
        <f>INDEX(都市マスタ[City Name],MATCH($C18,都市マスタ['#],0))</f>
        <v>Vienna</v>
      </c>
      <c r="E18" s="13">
        <v>2019</v>
      </c>
      <c r="F18" s="13">
        <v>2020</v>
      </c>
      <c r="G18" s="13" t="s">
        <v>1600</v>
      </c>
      <c r="H18" s="13">
        <v>2019</v>
      </c>
      <c r="I18" s="13"/>
      <c r="J18" s="13" t="s">
        <v>1605</v>
      </c>
      <c r="K18" s="13">
        <v>2020</v>
      </c>
      <c r="L18" s="13">
        <v>2020</v>
      </c>
      <c r="M18" s="13">
        <v>2021</v>
      </c>
      <c r="N18" s="13">
        <v>2020</v>
      </c>
      <c r="O18" s="13">
        <v>2019</v>
      </c>
      <c r="P18" s="13">
        <v>2018</v>
      </c>
      <c r="Q18" s="13" t="s">
        <v>2994</v>
      </c>
      <c r="R18" s="13" t="s">
        <v>3033</v>
      </c>
      <c r="S18" s="13">
        <v>2021</v>
      </c>
      <c r="T18" s="13" t="s">
        <v>2534</v>
      </c>
      <c r="U18" s="13">
        <v>2018</v>
      </c>
      <c r="V18" s="13">
        <v>2021</v>
      </c>
      <c r="W18" s="13">
        <v>2019</v>
      </c>
      <c r="X18" s="13">
        <v>2021</v>
      </c>
      <c r="Y18" s="13">
        <v>2018</v>
      </c>
      <c r="Z18" s="13" t="s">
        <v>2532</v>
      </c>
      <c r="AA18" s="13" t="s">
        <v>2533</v>
      </c>
      <c r="AB18" s="13" t="s">
        <v>3075</v>
      </c>
      <c r="AC18" s="13">
        <v>2019</v>
      </c>
      <c r="AD18" s="13" t="s">
        <v>3080</v>
      </c>
      <c r="AE18" s="13" t="s">
        <v>3083</v>
      </c>
      <c r="AF18" s="13" t="s">
        <v>3097</v>
      </c>
      <c r="AG18" s="13" t="s">
        <v>3033</v>
      </c>
      <c r="AH18" s="13">
        <v>2019</v>
      </c>
      <c r="AI18" s="13" t="s">
        <v>3033</v>
      </c>
      <c r="AJ18" s="13" t="s">
        <v>3102</v>
      </c>
      <c r="AK18" s="13">
        <v>2020</v>
      </c>
      <c r="AL18" s="13">
        <v>2021</v>
      </c>
      <c r="AM18" s="13">
        <v>2021</v>
      </c>
      <c r="AN18" s="13">
        <v>2021</v>
      </c>
      <c r="AO18" s="13" t="s">
        <v>3033</v>
      </c>
      <c r="AP18" s="13" t="s">
        <v>3097</v>
      </c>
      <c r="AQ18" s="13">
        <v>2020</v>
      </c>
      <c r="AR18" s="13" t="s">
        <v>3085</v>
      </c>
      <c r="AS18" s="13">
        <v>2020</v>
      </c>
      <c r="AT18" s="13" t="s">
        <v>3344</v>
      </c>
      <c r="AU18" s="13">
        <v>2021</v>
      </c>
      <c r="AV18" s="13">
        <v>2018</v>
      </c>
      <c r="AW18" s="13">
        <v>2018</v>
      </c>
      <c r="AX18" s="13">
        <v>2018</v>
      </c>
      <c r="AY18" s="13">
        <v>2018</v>
      </c>
      <c r="AZ18" s="13">
        <v>2019</v>
      </c>
      <c r="BA18" s="13" t="s">
        <v>3384</v>
      </c>
      <c r="BB18" s="13" t="s">
        <v>1735</v>
      </c>
      <c r="BC18" s="13" t="s">
        <v>1886</v>
      </c>
      <c r="BD18" s="13">
        <v>2020</v>
      </c>
      <c r="BE18" s="13" t="s">
        <v>3033</v>
      </c>
      <c r="BF18" s="13" t="s">
        <v>3033</v>
      </c>
      <c r="BG18" s="13" t="s">
        <v>3398</v>
      </c>
      <c r="BH18" s="13">
        <v>2018</v>
      </c>
      <c r="BI18" s="13" t="s">
        <v>3447</v>
      </c>
      <c r="BJ18" s="13">
        <v>2019</v>
      </c>
      <c r="BK18" s="13">
        <v>2020</v>
      </c>
      <c r="BL18" s="13" t="s">
        <v>3463</v>
      </c>
      <c r="BM18" s="13">
        <v>2021</v>
      </c>
      <c r="BN18" s="13" t="s">
        <v>3406</v>
      </c>
      <c r="BO18" s="13" t="s">
        <v>2535</v>
      </c>
      <c r="BP18" s="13">
        <v>2020</v>
      </c>
      <c r="BQ18" s="13" t="s">
        <v>3404</v>
      </c>
      <c r="BR18" s="13">
        <v>2020</v>
      </c>
      <c r="BS18" s="13">
        <v>2020</v>
      </c>
      <c r="BT18" s="13">
        <v>2021</v>
      </c>
      <c r="BU18" s="13">
        <v>2021</v>
      </c>
      <c r="BV18" s="13">
        <v>2021</v>
      </c>
      <c r="BW18" s="13" t="s">
        <v>3398</v>
      </c>
      <c r="BX18" s="13">
        <v>2020</v>
      </c>
      <c r="BY18" s="311" t="s">
        <v>1599</v>
      </c>
    </row>
    <row r="19" spans="1:77">
      <c r="A19" s="2">
        <v>14</v>
      </c>
      <c r="B19" s="55">
        <f>INDEX(順位表[Comprehensive],MATCH($C19,順位表['#],0))</f>
        <v>16</v>
      </c>
      <c r="C19" s="3">
        <v>14</v>
      </c>
      <c r="D19" s="1" t="str">
        <f>INDEX(都市マスタ[City Name],MATCH($C19,都市マスタ['#],0))</f>
        <v>Stockholm</v>
      </c>
      <c r="E19" s="13">
        <v>2020</v>
      </c>
      <c r="F19" s="13">
        <v>2020</v>
      </c>
      <c r="G19" s="13" t="s">
        <v>1600</v>
      </c>
      <c r="H19" s="13">
        <v>2019</v>
      </c>
      <c r="I19" s="13"/>
      <c r="J19" s="13" t="s">
        <v>1605</v>
      </c>
      <c r="K19" s="13">
        <v>2020</v>
      </c>
      <c r="L19" s="13">
        <v>2020</v>
      </c>
      <c r="M19" s="13">
        <v>2021</v>
      </c>
      <c r="N19" s="13">
        <v>2018</v>
      </c>
      <c r="O19" s="13">
        <v>2018</v>
      </c>
      <c r="P19" s="13">
        <v>2018</v>
      </c>
      <c r="Q19" s="13" t="s">
        <v>2994</v>
      </c>
      <c r="R19" s="13" t="s">
        <v>3033</v>
      </c>
      <c r="S19" s="13">
        <v>2021</v>
      </c>
      <c r="T19" s="13" t="s">
        <v>2534</v>
      </c>
      <c r="U19" s="13">
        <v>2018</v>
      </c>
      <c r="V19" s="13">
        <v>2021</v>
      </c>
      <c r="W19" s="13">
        <v>2018</v>
      </c>
      <c r="X19" s="13">
        <v>2021</v>
      </c>
      <c r="Y19" s="13">
        <v>2018</v>
      </c>
      <c r="Z19" s="13" t="s">
        <v>2532</v>
      </c>
      <c r="AA19" s="13" t="s">
        <v>2533</v>
      </c>
      <c r="AB19" s="13" t="s">
        <v>3075</v>
      </c>
      <c r="AC19" s="13">
        <v>2019</v>
      </c>
      <c r="AD19" s="13" t="s">
        <v>3080</v>
      </c>
      <c r="AE19" s="13" t="s">
        <v>3083</v>
      </c>
      <c r="AF19" s="13" t="s">
        <v>3097</v>
      </c>
      <c r="AG19" s="13" t="s">
        <v>3033</v>
      </c>
      <c r="AH19" s="13">
        <v>2019</v>
      </c>
      <c r="AI19" s="13" t="s">
        <v>3033</v>
      </c>
      <c r="AJ19" s="13" t="s">
        <v>3102</v>
      </c>
      <c r="AK19" s="13">
        <v>2020</v>
      </c>
      <c r="AL19" s="13">
        <v>2021</v>
      </c>
      <c r="AM19" s="13">
        <v>2021</v>
      </c>
      <c r="AN19" s="13">
        <v>2021</v>
      </c>
      <c r="AO19" s="13" t="s">
        <v>3033</v>
      </c>
      <c r="AP19" s="13" t="s">
        <v>3097</v>
      </c>
      <c r="AQ19" s="13">
        <v>2020</v>
      </c>
      <c r="AR19" s="13" t="s">
        <v>3085</v>
      </c>
      <c r="AS19" s="13">
        <v>2019</v>
      </c>
      <c r="AT19" s="13" t="s">
        <v>3344</v>
      </c>
      <c r="AU19" s="13">
        <v>2021</v>
      </c>
      <c r="AV19" s="13">
        <v>2018</v>
      </c>
      <c r="AW19" s="13">
        <v>2018</v>
      </c>
      <c r="AX19" s="13">
        <v>2020</v>
      </c>
      <c r="AY19" s="13">
        <v>2018</v>
      </c>
      <c r="AZ19" s="13">
        <v>2019</v>
      </c>
      <c r="BA19" s="13" t="s">
        <v>3384</v>
      </c>
      <c r="BB19" s="13" t="s">
        <v>1735</v>
      </c>
      <c r="BC19" s="13" t="s">
        <v>1892</v>
      </c>
      <c r="BD19" s="13">
        <v>2020</v>
      </c>
      <c r="BE19" s="13" t="s">
        <v>3033</v>
      </c>
      <c r="BF19" s="13" t="s">
        <v>3033</v>
      </c>
      <c r="BG19" s="13" t="s">
        <v>3401</v>
      </c>
      <c r="BH19" s="13">
        <v>2018</v>
      </c>
      <c r="BI19" s="13" t="s">
        <v>3446</v>
      </c>
      <c r="BJ19" s="13">
        <v>2019</v>
      </c>
      <c r="BK19" s="13">
        <v>2020</v>
      </c>
      <c r="BL19" s="13" t="s">
        <v>3463</v>
      </c>
      <c r="BM19" s="13">
        <v>2021</v>
      </c>
      <c r="BN19" s="13" t="s">
        <v>3406</v>
      </c>
      <c r="BO19" s="13" t="s">
        <v>2535</v>
      </c>
      <c r="BP19" s="13">
        <v>2020</v>
      </c>
      <c r="BQ19" s="13" t="s">
        <v>1722</v>
      </c>
      <c r="BR19" s="13">
        <v>2020</v>
      </c>
      <c r="BS19" s="13">
        <v>2020</v>
      </c>
      <c r="BT19" s="13">
        <v>2021</v>
      </c>
      <c r="BU19" s="13">
        <v>2021</v>
      </c>
      <c r="BV19" s="13">
        <v>2021</v>
      </c>
      <c r="BW19" s="13" t="s">
        <v>3398</v>
      </c>
      <c r="BX19" s="13">
        <v>2020</v>
      </c>
      <c r="BY19" s="311" t="s">
        <v>1599</v>
      </c>
    </row>
    <row r="20" spans="1:77">
      <c r="A20" s="2">
        <v>15</v>
      </c>
      <c r="B20" s="55">
        <f>INDEX(順位表[Comprehensive],MATCH($C20,順位表['#],0))</f>
        <v>30</v>
      </c>
      <c r="C20" s="3">
        <v>15</v>
      </c>
      <c r="D20" s="1" t="str">
        <f>INDEX(都市マスタ[City Name],MATCH($C20,都市マスタ['#],0))</f>
        <v>Istanbul</v>
      </c>
      <c r="E20" s="13">
        <v>2020</v>
      </c>
      <c r="F20" s="13">
        <v>2020</v>
      </c>
      <c r="G20" s="13" t="s">
        <v>1600</v>
      </c>
      <c r="H20" s="13">
        <v>2019</v>
      </c>
      <c r="I20" s="13"/>
      <c r="J20" s="13" t="s">
        <v>1605</v>
      </c>
      <c r="K20" s="13">
        <v>2020</v>
      </c>
      <c r="L20" s="13">
        <v>2020</v>
      </c>
      <c r="M20" s="13">
        <v>2021</v>
      </c>
      <c r="N20" s="13">
        <v>2020</v>
      </c>
      <c r="O20" s="13">
        <v>2020</v>
      </c>
      <c r="P20" s="13">
        <v>2018</v>
      </c>
      <c r="Q20" s="13" t="s">
        <v>2994</v>
      </c>
      <c r="R20" s="13" t="s">
        <v>3033</v>
      </c>
      <c r="S20" s="13">
        <v>2021</v>
      </c>
      <c r="T20" s="13" t="s">
        <v>2534</v>
      </c>
      <c r="U20" s="13">
        <v>2017</v>
      </c>
      <c r="V20" s="13">
        <v>2021</v>
      </c>
      <c r="W20" s="13">
        <v>2017</v>
      </c>
      <c r="X20" s="13">
        <v>2021</v>
      </c>
      <c r="Y20" s="13">
        <v>2018</v>
      </c>
      <c r="Z20" s="13" t="s">
        <v>2532</v>
      </c>
      <c r="AA20" s="13" t="s">
        <v>2533</v>
      </c>
      <c r="AB20" s="13" t="s">
        <v>3075</v>
      </c>
      <c r="AC20" s="13">
        <v>2019</v>
      </c>
      <c r="AD20" s="13" t="s">
        <v>3080</v>
      </c>
      <c r="AE20" s="13" t="s">
        <v>3083</v>
      </c>
      <c r="AF20" s="13" t="s">
        <v>3097</v>
      </c>
      <c r="AG20" s="13" t="s">
        <v>3033</v>
      </c>
      <c r="AH20" s="13">
        <v>2019</v>
      </c>
      <c r="AI20" s="13" t="s">
        <v>3033</v>
      </c>
      <c r="AJ20" s="13" t="s">
        <v>3102</v>
      </c>
      <c r="AK20" s="13">
        <v>2020</v>
      </c>
      <c r="AL20" s="13">
        <v>2021</v>
      </c>
      <c r="AM20" s="13">
        <v>2021</v>
      </c>
      <c r="AN20" s="13">
        <v>2021</v>
      </c>
      <c r="AO20" s="13" t="s">
        <v>3033</v>
      </c>
      <c r="AP20" s="13" t="s">
        <v>3097</v>
      </c>
      <c r="AQ20" s="13">
        <v>2019</v>
      </c>
      <c r="AR20" s="13" t="s">
        <v>3085</v>
      </c>
      <c r="AS20" s="13">
        <v>2020</v>
      </c>
      <c r="AT20" s="13" t="s">
        <v>3344</v>
      </c>
      <c r="AU20" s="13">
        <v>2021</v>
      </c>
      <c r="AV20" s="13">
        <v>2018</v>
      </c>
      <c r="AW20" s="13">
        <v>2018</v>
      </c>
      <c r="AX20" s="13">
        <v>2018</v>
      </c>
      <c r="AY20" s="13">
        <v>2018</v>
      </c>
      <c r="AZ20" s="13">
        <v>2019</v>
      </c>
      <c r="BA20" s="13" t="s">
        <v>3384</v>
      </c>
      <c r="BB20" s="13" t="s">
        <v>1735</v>
      </c>
      <c r="BC20" s="13" t="s">
        <v>1886</v>
      </c>
      <c r="BD20" s="13">
        <v>2020</v>
      </c>
      <c r="BE20" s="13" t="s">
        <v>3033</v>
      </c>
      <c r="BF20" s="13" t="s">
        <v>3033</v>
      </c>
      <c r="BG20" s="13" t="s">
        <v>3398</v>
      </c>
      <c r="BH20" s="13">
        <v>2018</v>
      </c>
      <c r="BI20" s="13">
        <v>2019</v>
      </c>
      <c r="BJ20" s="13">
        <v>2019</v>
      </c>
      <c r="BK20" s="13">
        <v>2020</v>
      </c>
      <c r="BL20" s="13" t="s">
        <v>3463</v>
      </c>
      <c r="BM20" s="13">
        <v>2021</v>
      </c>
      <c r="BN20" s="13" t="s">
        <v>3406</v>
      </c>
      <c r="BO20" s="13" t="s">
        <v>2535</v>
      </c>
      <c r="BP20" s="13">
        <v>2020</v>
      </c>
      <c r="BQ20" s="13" t="s">
        <v>1722</v>
      </c>
      <c r="BR20" s="13">
        <v>2020</v>
      </c>
      <c r="BS20" s="13">
        <v>2020</v>
      </c>
      <c r="BT20" s="13">
        <v>2021</v>
      </c>
      <c r="BU20" s="13">
        <v>2021</v>
      </c>
      <c r="BV20" s="13">
        <v>2021</v>
      </c>
      <c r="BW20" s="13" t="s">
        <v>3398</v>
      </c>
      <c r="BX20" s="13">
        <v>2020</v>
      </c>
      <c r="BY20" s="311" t="s">
        <v>1599</v>
      </c>
    </row>
    <row r="21" spans="1:77">
      <c r="A21" s="2">
        <v>16</v>
      </c>
      <c r="B21" s="55">
        <f>INDEX(順位表[Comprehensive],MATCH($C21,順位表['#],0))</f>
        <v>47</v>
      </c>
      <c r="C21" s="3">
        <v>16</v>
      </c>
      <c r="D21" s="1" t="str">
        <f>INDEX(都市マスタ[City Name],MATCH($C21,都市マスタ['#],0))</f>
        <v>Cairo</v>
      </c>
      <c r="E21" s="13">
        <v>2021</v>
      </c>
      <c r="F21" s="13">
        <v>2020</v>
      </c>
      <c r="G21" s="13" t="s">
        <v>1600</v>
      </c>
      <c r="H21" s="13">
        <v>2019</v>
      </c>
      <c r="I21" s="13"/>
      <c r="J21" s="13" t="s">
        <v>1605</v>
      </c>
      <c r="K21" s="13">
        <v>2020</v>
      </c>
      <c r="L21" s="13">
        <v>2020</v>
      </c>
      <c r="M21" s="13">
        <v>2021</v>
      </c>
      <c r="N21" s="13">
        <v>2019</v>
      </c>
      <c r="O21" s="13">
        <v>2019</v>
      </c>
      <c r="P21" s="13">
        <v>2018</v>
      </c>
      <c r="Q21" s="13" t="s">
        <v>2994</v>
      </c>
      <c r="R21" s="13" t="s">
        <v>3033</v>
      </c>
      <c r="S21" s="13">
        <v>2021</v>
      </c>
      <c r="T21" s="13" t="s">
        <v>2534</v>
      </c>
      <c r="U21" s="13">
        <v>2018</v>
      </c>
      <c r="V21" s="13">
        <v>2021</v>
      </c>
      <c r="W21" s="13">
        <v>2018</v>
      </c>
      <c r="X21" s="13">
        <v>2021</v>
      </c>
      <c r="Y21" s="13" t="s">
        <v>3063</v>
      </c>
      <c r="Z21" s="13" t="s">
        <v>2532</v>
      </c>
      <c r="AA21" s="13" t="s">
        <v>2533</v>
      </c>
      <c r="AB21" s="13" t="s">
        <v>3075</v>
      </c>
      <c r="AC21" s="13">
        <v>2019</v>
      </c>
      <c r="AD21" s="13" t="s">
        <v>3080</v>
      </c>
      <c r="AE21" s="13" t="s">
        <v>3084</v>
      </c>
      <c r="AF21" s="13" t="s">
        <v>3097</v>
      </c>
      <c r="AG21" s="13" t="s">
        <v>3033</v>
      </c>
      <c r="AH21" s="13">
        <v>2019</v>
      </c>
      <c r="AI21" s="13" t="s">
        <v>3033</v>
      </c>
      <c r="AJ21" s="13" t="s">
        <v>3102</v>
      </c>
      <c r="AK21" s="13">
        <v>2020</v>
      </c>
      <c r="AL21" s="13">
        <v>2021</v>
      </c>
      <c r="AM21" s="13">
        <v>2021</v>
      </c>
      <c r="AN21" s="13">
        <v>2021</v>
      </c>
      <c r="AO21" s="13" t="s">
        <v>3033</v>
      </c>
      <c r="AP21" s="13" t="s">
        <v>3097</v>
      </c>
      <c r="AQ21" s="13">
        <v>2020</v>
      </c>
      <c r="AR21" s="13" t="s">
        <v>3085</v>
      </c>
      <c r="AS21" s="13">
        <v>2020</v>
      </c>
      <c r="AT21" s="13" t="s">
        <v>3344</v>
      </c>
      <c r="AU21" s="13">
        <v>2021</v>
      </c>
      <c r="AV21" s="13">
        <v>2018</v>
      </c>
      <c r="AW21" s="13">
        <v>2018</v>
      </c>
      <c r="AX21" s="13">
        <v>2020</v>
      </c>
      <c r="AY21" s="13">
        <v>2018</v>
      </c>
      <c r="AZ21" s="13">
        <v>2019</v>
      </c>
      <c r="BA21" s="13" t="s">
        <v>3384</v>
      </c>
      <c r="BB21" s="13" t="s">
        <v>1735</v>
      </c>
      <c r="BC21" s="13" t="s">
        <v>1737</v>
      </c>
      <c r="BD21" s="13">
        <v>2020</v>
      </c>
      <c r="BE21" s="13" t="s">
        <v>3033</v>
      </c>
      <c r="BF21" s="13" t="s">
        <v>3033</v>
      </c>
      <c r="BG21" s="13"/>
      <c r="BH21" s="13">
        <v>2018</v>
      </c>
      <c r="BI21" s="13" t="s">
        <v>1902</v>
      </c>
      <c r="BJ21" s="13">
        <v>2018</v>
      </c>
      <c r="BK21" s="13">
        <v>2019</v>
      </c>
      <c r="BL21" s="13" t="s">
        <v>3463</v>
      </c>
      <c r="BM21" s="13">
        <v>2021</v>
      </c>
      <c r="BN21" s="13" t="s">
        <v>3406</v>
      </c>
      <c r="BO21" s="13" t="s">
        <v>2535</v>
      </c>
      <c r="BP21" s="13">
        <v>2020</v>
      </c>
      <c r="BQ21" s="13" t="s">
        <v>3404</v>
      </c>
      <c r="BR21" s="13">
        <v>2020</v>
      </c>
      <c r="BS21" s="13">
        <v>2020</v>
      </c>
      <c r="BT21" s="13">
        <v>2021</v>
      </c>
      <c r="BU21" s="13">
        <v>2020</v>
      </c>
      <c r="BV21" s="13">
        <v>2021</v>
      </c>
      <c r="BW21" s="13" t="s">
        <v>3398</v>
      </c>
      <c r="BX21" s="13">
        <v>2020</v>
      </c>
      <c r="BY21" s="311" t="s">
        <v>1599</v>
      </c>
    </row>
    <row r="22" spans="1:77">
      <c r="A22" s="2">
        <v>17</v>
      </c>
      <c r="B22" s="55">
        <f>INDEX(順位表[Comprehensive],MATCH($C22,順位表['#],0))</f>
        <v>34</v>
      </c>
      <c r="C22" s="3">
        <v>17</v>
      </c>
      <c r="D22" s="1" t="str">
        <f>INDEX(都市マスタ[City Name],MATCH($C22,都市マスタ['#],0))</f>
        <v>Moscow</v>
      </c>
      <c r="E22" s="13">
        <v>2021</v>
      </c>
      <c r="F22" s="13">
        <v>2012</v>
      </c>
      <c r="G22" s="13" t="s">
        <v>1600</v>
      </c>
      <c r="H22" s="13">
        <v>2019</v>
      </c>
      <c r="I22" s="13"/>
      <c r="J22" s="13" t="s">
        <v>1605</v>
      </c>
      <c r="K22" s="13">
        <v>2020</v>
      </c>
      <c r="L22" s="13">
        <v>2020</v>
      </c>
      <c r="M22" s="13">
        <v>2021</v>
      </c>
      <c r="N22" s="13">
        <v>2021</v>
      </c>
      <c r="O22" s="13">
        <v>2020</v>
      </c>
      <c r="P22" s="13">
        <v>2018</v>
      </c>
      <c r="Q22" s="13" t="s">
        <v>2994</v>
      </c>
      <c r="R22" s="13" t="s">
        <v>3033</v>
      </c>
      <c r="S22" s="13">
        <v>2021</v>
      </c>
      <c r="T22" s="13" t="s">
        <v>2534</v>
      </c>
      <c r="U22" s="13">
        <v>2018</v>
      </c>
      <c r="V22" s="13">
        <v>2021</v>
      </c>
      <c r="W22" s="13">
        <v>2018</v>
      </c>
      <c r="X22" s="13">
        <v>2021</v>
      </c>
      <c r="Y22" s="13">
        <v>2018</v>
      </c>
      <c r="Z22" s="13" t="s">
        <v>2532</v>
      </c>
      <c r="AA22" s="13" t="s">
        <v>2533</v>
      </c>
      <c r="AB22" s="13" t="s">
        <v>3075</v>
      </c>
      <c r="AC22" s="13">
        <v>2019</v>
      </c>
      <c r="AD22" s="13" t="s">
        <v>3080</v>
      </c>
      <c r="AE22" s="13" t="s">
        <v>3083</v>
      </c>
      <c r="AF22" s="13" t="s">
        <v>3097</v>
      </c>
      <c r="AG22" s="13" t="s">
        <v>3033</v>
      </c>
      <c r="AH22" s="13">
        <v>2019</v>
      </c>
      <c r="AI22" s="13" t="s">
        <v>3033</v>
      </c>
      <c r="AJ22" s="13" t="s">
        <v>3102</v>
      </c>
      <c r="AK22" s="13">
        <v>2020</v>
      </c>
      <c r="AL22" s="13">
        <v>2021</v>
      </c>
      <c r="AM22" s="13">
        <v>2021</v>
      </c>
      <c r="AN22" s="13">
        <v>2021</v>
      </c>
      <c r="AO22" s="13" t="s">
        <v>3033</v>
      </c>
      <c r="AP22" s="13" t="s">
        <v>3097</v>
      </c>
      <c r="AQ22" s="13">
        <v>2010</v>
      </c>
      <c r="AR22" s="13" t="s">
        <v>3085</v>
      </c>
      <c r="AS22" s="13">
        <v>2019</v>
      </c>
      <c r="AT22" s="13" t="s">
        <v>3344</v>
      </c>
      <c r="AU22" s="13">
        <v>2021</v>
      </c>
      <c r="AV22" s="13">
        <v>2018</v>
      </c>
      <c r="AW22" s="13">
        <v>2018</v>
      </c>
      <c r="AX22" s="13">
        <v>2016</v>
      </c>
      <c r="AY22" s="13">
        <v>2018</v>
      </c>
      <c r="AZ22" s="13">
        <v>2019</v>
      </c>
      <c r="BA22" s="13" t="s">
        <v>3384</v>
      </c>
      <c r="BB22" s="13" t="s">
        <v>1735</v>
      </c>
      <c r="BC22" s="13" t="s">
        <v>1886</v>
      </c>
      <c r="BD22" s="13">
        <v>2020</v>
      </c>
      <c r="BE22" s="13" t="s">
        <v>3033</v>
      </c>
      <c r="BF22" s="13" t="s">
        <v>3033</v>
      </c>
      <c r="BG22" s="13" t="s">
        <v>3398</v>
      </c>
      <c r="BH22" s="13">
        <v>2018</v>
      </c>
      <c r="BI22" s="13">
        <v>2019</v>
      </c>
      <c r="BJ22" s="13">
        <v>2018</v>
      </c>
      <c r="BK22" s="13">
        <v>2020</v>
      </c>
      <c r="BL22" s="13" t="s">
        <v>3463</v>
      </c>
      <c r="BM22" s="13">
        <v>2021</v>
      </c>
      <c r="BN22" s="13" t="s">
        <v>3406</v>
      </c>
      <c r="BO22" s="13" t="s">
        <v>2535</v>
      </c>
      <c r="BP22" s="13">
        <v>2020</v>
      </c>
      <c r="BQ22" s="13" t="s">
        <v>3404</v>
      </c>
      <c r="BR22" s="13">
        <v>2020</v>
      </c>
      <c r="BS22" s="13">
        <v>2020</v>
      </c>
      <c r="BT22" s="13">
        <v>2021</v>
      </c>
      <c r="BU22" s="13">
        <v>2021</v>
      </c>
      <c r="BV22" s="13">
        <v>2021</v>
      </c>
      <c r="BW22" s="13" t="s">
        <v>3398</v>
      </c>
      <c r="BX22" s="13">
        <v>2020</v>
      </c>
      <c r="BY22" s="311" t="s">
        <v>1599</v>
      </c>
    </row>
    <row r="23" spans="1:77">
      <c r="A23" s="2">
        <v>18</v>
      </c>
      <c r="B23" s="55">
        <f>INDEX(順位表[Comprehensive],MATCH($C23,順位表['#],0))</f>
        <v>48</v>
      </c>
      <c r="C23" s="3">
        <v>18</v>
      </c>
      <c r="D23" s="1" t="str">
        <f>INDEX(都市マスタ[City Name],MATCH($C23,都市マスタ['#],0))</f>
        <v>Mumbai</v>
      </c>
      <c r="E23" s="13">
        <v>2020</v>
      </c>
      <c r="F23" s="13">
        <v>2011</v>
      </c>
      <c r="G23" s="13" t="s">
        <v>1600</v>
      </c>
      <c r="H23" s="13">
        <v>2019</v>
      </c>
      <c r="I23" s="13"/>
      <c r="J23" s="13" t="s">
        <v>1604</v>
      </c>
      <c r="K23" s="13">
        <v>2020</v>
      </c>
      <c r="L23" s="13">
        <v>2020</v>
      </c>
      <c r="M23" s="13">
        <v>2021</v>
      </c>
      <c r="N23" s="13">
        <v>2020</v>
      </c>
      <c r="O23" s="13" t="s">
        <v>2946</v>
      </c>
      <c r="P23" s="13">
        <v>2018</v>
      </c>
      <c r="Q23" s="13" t="s">
        <v>2993</v>
      </c>
      <c r="R23" s="13" t="s">
        <v>3033</v>
      </c>
      <c r="S23" s="13">
        <v>2021</v>
      </c>
      <c r="T23" s="13" t="s">
        <v>2534</v>
      </c>
      <c r="U23" s="13">
        <v>2018</v>
      </c>
      <c r="V23" s="13">
        <v>2021</v>
      </c>
      <c r="W23" s="13">
        <v>2018</v>
      </c>
      <c r="X23" s="13">
        <v>2021</v>
      </c>
      <c r="Y23" s="13">
        <v>2009</v>
      </c>
      <c r="Z23" s="13" t="s">
        <v>2532</v>
      </c>
      <c r="AA23" s="13" t="s">
        <v>2533</v>
      </c>
      <c r="AB23" s="13" t="s">
        <v>3075</v>
      </c>
      <c r="AC23" s="13">
        <v>2019</v>
      </c>
      <c r="AD23" s="13" t="s">
        <v>3080</v>
      </c>
      <c r="AE23" s="13" t="s">
        <v>3083</v>
      </c>
      <c r="AF23" s="13" t="s">
        <v>3097</v>
      </c>
      <c r="AG23" s="13" t="s">
        <v>3033</v>
      </c>
      <c r="AH23" s="13">
        <v>2019</v>
      </c>
      <c r="AI23" s="13" t="s">
        <v>3033</v>
      </c>
      <c r="AJ23" s="13" t="s">
        <v>3102</v>
      </c>
      <c r="AK23" s="13">
        <v>2020</v>
      </c>
      <c r="AL23" s="13">
        <v>2021</v>
      </c>
      <c r="AM23" s="13">
        <v>2021</v>
      </c>
      <c r="AN23" s="13">
        <v>2021</v>
      </c>
      <c r="AO23" s="13" t="s">
        <v>3033</v>
      </c>
      <c r="AP23" s="13" t="s">
        <v>3097</v>
      </c>
      <c r="AQ23" s="13">
        <v>2011</v>
      </c>
      <c r="AR23" s="13" t="s">
        <v>3164</v>
      </c>
      <c r="AS23" s="13">
        <v>2019</v>
      </c>
      <c r="AT23" s="13" t="s">
        <v>3344</v>
      </c>
      <c r="AU23" s="13">
        <v>2021</v>
      </c>
      <c r="AV23" s="13">
        <v>2018</v>
      </c>
      <c r="AW23" s="13">
        <v>2018</v>
      </c>
      <c r="AX23" s="13">
        <v>2020</v>
      </c>
      <c r="AY23" s="13">
        <v>2018</v>
      </c>
      <c r="AZ23" s="13">
        <v>2019</v>
      </c>
      <c r="BA23" s="13" t="s">
        <v>3384</v>
      </c>
      <c r="BB23" s="13" t="s">
        <v>1735</v>
      </c>
      <c r="BC23" s="13" t="s">
        <v>1733</v>
      </c>
      <c r="BD23" s="13">
        <v>2020</v>
      </c>
      <c r="BE23" s="13" t="s">
        <v>3033</v>
      </c>
      <c r="BF23" s="13" t="s">
        <v>3033</v>
      </c>
      <c r="BG23" s="13" t="s">
        <v>3402</v>
      </c>
      <c r="BH23" s="13">
        <v>2018</v>
      </c>
      <c r="BI23" s="13">
        <v>2013</v>
      </c>
      <c r="BJ23" s="13">
        <v>2019</v>
      </c>
      <c r="BK23" s="13">
        <v>2020</v>
      </c>
      <c r="BL23" s="13" t="s">
        <v>3463</v>
      </c>
      <c r="BM23" s="13">
        <v>2021</v>
      </c>
      <c r="BN23" s="13" t="s">
        <v>3406</v>
      </c>
      <c r="BO23" s="13" t="s">
        <v>2535</v>
      </c>
      <c r="BP23" s="13">
        <v>2020</v>
      </c>
      <c r="BQ23" s="13" t="s">
        <v>3480</v>
      </c>
      <c r="BR23" s="13">
        <v>2020</v>
      </c>
      <c r="BS23" s="13">
        <v>2020</v>
      </c>
      <c r="BT23" s="13">
        <v>2021</v>
      </c>
      <c r="BU23" s="13">
        <v>2021</v>
      </c>
      <c r="BV23" s="13">
        <v>2021</v>
      </c>
      <c r="BW23" s="13" t="s">
        <v>3398</v>
      </c>
      <c r="BX23" s="13">
        <v>2020</v>
      </c>
      <c r="BY23" s="311" t="s">
        <v>1599</v>
      </c>
    </row>
    <row r="24" spans="1:77">
      <c r="A24" s="2">
        <v>19</v>
      </c>
      <c r="B24" s="55">
        <f>INDEX(順位表[Comprehensive],MATCH($C24,順位表['#],0))</f>
        <v>38</v>
      </c>
      <c r="C24" s="3">
        <v>19</v>
      </c>
      <c r="D24" s="1" t="str">
        <f>INDEX(都市マスタ[City Name],MATCH($C24,都市マスタ['#],0))</f>
        <v>Bangkok</v>
      </c>
      <c r="E24" s="13">
        <v>2016</v>
      </c>
      <c r="F24" s="13">
        <v>2019</v>
      </c>
      <c r="G24" s="13" t="s">
        <v>1600</v>
      </c>
      <c r="H24" s="13">
        <v>2019</v>
      </c>
      <c r="I24" s="13">
        <v>2019</v>
      </c>
      <c r="J24" s="13" t="s">
        <v>1605</v>
      </c>
      <c r="K24" s="13">
        <v>2020</v>
      </c>
      <c r="L24" s="13">
        <v>2020</v>
      </c>
      <c r="M24" s="13">
        <v>2021</v>
      </c>
      <c r="N24" s="13">
        <v>2020</v>
      </c>
      <c r="O24" s="13">
        <v>2020</v>
      </c>
      <c r="P24" s="13">
        <v>2018</v>
      </c>
      <c r="Q24" s="13" t="s">
        <v>2994</v>
      </c>
      <c r="R24" s="13" t="s">
        <v>3033</v>
      </c>
      <c r="S24" s="13">
        <v>2021</v>
      </c>
      <c r="T24" s="13" t="s">
        <v>2534</v>
      </c>
      <c r="U24" s="13">
        <v>2017</v>
      </c>
      <c r="V24" s="13">
        <v>2021</v>
      </c>
      <c r="W24" s="13">
        <v>2017</v>
      </c>
      <c r="X24" s="13">
        <v>2021</v>
      </c>
      <c r="Y24" s="13">
        <v>2018</v>
      </c>
      <c r="Z24" s="13" t="s">
        <v>2532</v>
      </c>
      <c r="AA24" s="13" t="s">
        <v>2533</v>
      </c>
      <c r="AB24" s="13" t="s">
        <v>3075</v>
      </c>
      <c r="AC24" s="13">
        <v>2019</v>
      </c>
      <c r="AD24" s="13" t="s">
        <v>3080</v>
      </c>
      <c r="AE24" s="13" t="s">
        <v>3084</v>
      </c>
      <c r="AF24" s="13" t="s">
        <v>3097</v>
      </c>
      <c r="AG24" s="13" t="s">
        <v>3033</v>
      </c>
      <c r="AH24" s="13">
        <v>2019</v>
      </c>
      <c r="AI24" s="13" t="s">
        <v>3033</v>
      </c>
      <c r="AJ24" s="13" t="s">
        <v>3102</v>
      </c>
      <c r="AK24" s="13">
        <v>2020</v>
      </c>
      <c r="AL24" s="13">
        <v>2021</v>
      </c>
      <c r="AM24" s="13">
        <v>2021</v>
      </c>
      <c r="AN24" s="13">
        <v>2021</v>
      </c>
      <c r="AO24" s="13" t="s">
        <v>3033</v>
      </c>
      <c r="AP24" s="13" t="s">
        <v>3097</v>
      </c>
      <c r="AQ24" s="13">
        <v>2020</v>
      </c>
      <c r="AR24" s="13" t="s">
        <v>3085</v>
      </c>
      <c r="AS24" s="13">
        <v>2020</v>
      </c>
      <c r="AT24" s="13" t="s">
        <v>3344</v>
      </c>
      <c r="AU24" s="13">
        <v>2021</v>
      </c>
      <c r="AV24" s="13">
        <v>2018</v>
      </c>
      <c r="AW24" s="13">
        <v>2018</v>
      </c>
      <c r="AX24" s="13">
        <v>2019</v>
      </c>
      <c r="AY24" s="13">
        <v>2018</v>
      </c>
      <c r="AZ24" s="13">
        <v>2019</v>
      </c>
      <c r="BA24" s="13" t="s">
        <v>3384</v>
      </c>
      <c r="BB24" s="13" t="s">
        <v>1735</v>
      </c>
      <c r="BC24" s="13" t="s">
        <v>1737</v>
      </c>
      <c r="BD24" s="13">
        <v>2020</v>
      </c>
      <c r="BE24" s="13" t="s">
        <v>3033</v>
      </c>
      <c r="BF24" s="13" t="s">
        <v>3033</v>
      </c>
      <c r="BG24" s="13" t="s">
        <v>3403</v>
      </c>
      <c r="BH24" s="13">
        <v>2018</v>
      </c>
      <c r="BI24" s="13" t="s">
        <v>1903</v>
      </c>
      <c r="BJ24" s="13">
        <v>2018</v>
      </c>
      <c r="BK24" s="13">
        <v>2020</v>
      </c>
      <c r="BL24" s="13" t="s">
        <v>3463</v>
      </c>
      <c r="BM24" s="13">
        <v>2021</v>
      </c>
      <c r="BN24" s="13" t="s">
        <v>3406</v>
      </c>
      <c r="BO24" s="13" t="s">
        <v>2535</v>
      </c>
      <c r="BP24" s="13">
        <v>2020</v>
      </c>
      <c r="BQ24" s="13" t="s">
        <v>3481</v>
      </c>
      <c r="BR24" s="13">
        <v>2020</v>
      </c>
      <c r="BS24" s="13">
        <v>2020</v>
      </c>
      <c r="BT24" s="13">
        <v>2021</v>
      </c>
      <c r="BU24" s="13">
        <v>2021</v>
      </c>
      <c r="BV24" s="13">
        <v>2021</v>
      </c>
      <c r="BW24" s="13" t="s">
        <v>3398</v>
      </c>
      <c r="BX24" s="13">
        <v>2020</v>
      </c>
      <c r="BY24" s="311" t="s">
        <v>1599</v>
      </c>
    </row>
    <row r="25" spans="1:77">
      <c r="A25" s="2">
        <v>20</v>
      </c>
      <c r="B25" s="55">
        <f>INDEX(順位表[Comprehensive],MATCH($C25,順位表['#],0))</f>
        <v>41</v>
      </c>
      <c r="C25" s="3">
        <v>20</v>
      </c>
      <c r="D25" s="1" t="str">
        <f>INDEX(都市マスタ[City Name],MATCH($C25,都市マスタ['#],0))</f>
        <v>Kuala Lumpur</v>
      </c>
      <c r="E25" s="13">
        <v>2020</v>
      </c>
      <c r="F25" s="13">
        <v>2017</v>
      </c>
      <c r="G25" s="13" t="s">
        <v>1600</v>
      </c>
      <c r="H25" s="13">
        <v>2019</v>
      </c>
      <c r="I25" s="13"/>
      <c r="J25" s="13" t="s">
        <v>2874</v>
      </c>
      <c r="K25" s="13">
        <v>2020</v>
      </c>
      <c r="L25" s="13">
        <v>2020</v>
      </c>
      <c r="M25" s="13">
        <v>2021</v>
      </c>
      <c r="N25" s="13">
        <v>2019</v>
      </c>
      <c r="O25" s="13">
        <v>2020</v>
      </c>
      <c r="P25" s="13">
        <v>2018</v>
      </c>
      <c r="Q25" s="13" t="s">
        <v>2993</v>
      </c>
      <c r="R25" s="13" t="s">
        <v>3033</v>
      </c>
      <c r="S25" s="13">
        <v>2021</v>
      </c>
      <c r="T25" s="13" t="s">
        <v>2534</v>
      </c>
      <c r="U25" s="13">
        <v>2018</v>
      </c>
      <c r="V25" s="13">
        <v>2021</v>
      </c>
      <c r="W25" s="13">
        <v>2018</v>
      </c>
      <c r="X25" s="13">
        <v>2021</v>
      </c>
      <c r="Y25" s="13">
        <v>2018</v>
      </c>
      <c r="Z25" s="13" t="s">
        <v>2532</v>
      </c>
      <c r="AA25" s="13" t="s">
        <v>2533</v>
      </c>
      <c r="AB25" s="13" t="s">
        <v>3075</v>
      </c>
      <c r="AC25" s="13">
        <v>2019</v>
      </c>
      <c r="AD25" s="13" t="s">
        <v>3080</v>
      </c>
      <c r="AE25" s="13" t="s">
        <v>3084</v>
      </c>
      <c r="AF25" s="13" t="s">
        <v>3097</v>
      </c>
      <c r="AG25" s="13" t="s">
        <v>3033</v>
      </c>
      <c r="AH25" s="13">
        <v>2019</v>
      </c>
      <c r="AI25" s="13" t="s">
        <v>3033</v>
      </c>
      <c r="AJ25" s="13" t="s">
        <v>3102</v>
      </c>
      <c r="AK25" s="13">
        <v>2020</v>
      </c>
      <c r="AL25" s="13">
        <v>2021</v>
      </c>
      <c r="AM25" s="13">
        <v>2021</v>
      </c>
      <c r="AN25" s="13">
        <v>2021</v>
      </c>
      <c r="AO25" s="13" t="s">
        <v>3033</v>
      </c>
      <c r="AP25" s="13" t="s">
        <v>3097</v>
      </c>
      <c r="AQ25" s="13">
        <v>2010</v>
      </c>
      <c r="AR25" s="13" t="s">
        <v>3085</v>
      </c>
      <c r="AS25" s="13">
        <v>2020</v>
      </c>
      <c r="AT25" s="13" t="s">
        <v>3344</v>
      </c>
      <c r="AU25" s="13">
        <v>2021</v>
      </c>
      <c r="AV25" s="13">
        <v>2018</v>
      </c>
      <c r="AW25" s="13">
        <v>2018</v>
      </c>
      <c r="AX25" s="13">
        <v>2019</v>
      </c>
      <c r="AY25" s="13">
        <v>2018</v>
      </c>
      <c r="AZ25" s="13">
        <v>2019</v>
      </c>
      <c r="BA25" s="13" t="s">
        <v>3384</v>
      </c>
      <c r="BB25" s="13" t="s">
        <v>1735</v>
      </c>
      <c r="BC25" s="13" t="s">
        <v>1890</v>
      </c>
      <c r="BD25" s="13">
        <v>2020</v>
      </c>
      <c r="BE25" s="13" t="s">
        <v>3033</v>
      </c>
      <c r="BF25" s="13" t="s">
        <v>3033</v>
      </c>
      <c r="BG25" s="13" t="s">
        <v>3398</v>
      </c>
      <c r="BH25" s="13">
        <v>2018</v>
      </c>
      <c r="BI25" s="13" t="s">
        <v>1903</v>
      </c>
      <c r="BJ25" s="13">
        <v>2018</v>
      </c>
      <c r="BK25" s="13">
        <v>2020</v>
      </c>
      <c r="BL25" s="13" t="s">
        <v>3463</v>
      </c>
      <c r="BM25" s="13">
        <v>2021</v>
      </c>
      <c r="BN25" s="13" t="s">
        <v>3406</v>
      </c>
      <c r="BO25" s="13" t="s">
        <v>2535</v>
      </c>
      <c r="BP25" s="13">
        <v>2020</v>
      </c>
      <c r="BQ25" s="13" t="s">
        <v>1722</v>
      </c>
      <c r="BR25" s="13">
        <v>2020</v>
      </c>
      <c r="BS25" s="13">
        <v>2020</v>
      </c>
      <c r="BT25" s="13">
        <v>2021</v>
      </c>
      <c r="BU25" s="13">
        <v>2021</v>
      </c>
      <c r="BV25" s="13">
        <v>2021</v>
      </c>
      <c r="BW25" s="13" t="s">
        <v>3398</v>
      </c>
      <c r="BX25" s="13">
        <v>2020</v>
      </c>
      <c r="BY25" s="311" t="s">
        <v>1599</v>
      </c>
    </row>
    <row r="26" spans="1:77">
      <c r="A26" s="2">
        <v>21</v>
      </c>
      <c r="B26" s="55">
        <f>INDEX(順位表[Comprehensive],MATCH($C26,順位表['#],0))</f>
        <v>5</v>
      </c>
      <c r="C26" s="3">
        <v>21</v>
      </c>
      <c r="D26" s="1" t="str">
        <f>INDEX(都市マスタ[City Name],MATCH($C26,都市マスタ['#],0))</f>
        <v>Singapore</v>
      </c>
      <c r="E26" s="13">
        <v>2020</v>
      </c>
      <c r="F26" s="13">
        <v>2020</v>
      </c>
      <c r="G26" s="13" t="s">
        <v>1600</v>
      </c>
      <c r="H26" s="13">
        <v>2019</v>
      </c>
      <c r="I26" s="13"/>
      <c r="J26" s="13" t="s">
        <v>2874</v>
      </c>
      <c r="K26" s="13">
        <v>2020</v>
      </c>
      <c r="L26" s="13">
        <v>2020</v>
      </c>
      <c r="M26" s="13">
        <v>2021</v>
      </c>
      <c r="N26" s="13">
        <v>2020</v>
      </c>
      <c r="O26" s="13">
        <v>2020</v>
      </c>
      <c r="P26" s="13">
        <v>2018</v>
      </c>
      <c r="Q26" s="13" t="s">
        <v>2994</v>
      </c>
      <c r="R26" s="13" t="s">
        <v>3033</v>
      </c>
      <c r="S26" s="13">
        <v>2021</v>
      </c>
      <c r="T26" s="13" t="s">
        <v>2534</v>
      </c>
      <c r="U26" s="13">
        <v>2017</v>
      </c>
      <c r="V26" s="13">
        <v>2021</v>
      </c>
      <c r="W26" s="13">
        <v>2017</v>
      </c>
      <c r="X26" s="13">
        <v>2021</v>
      </c>
      <c r="Y26" s="13">
        <v>2018</v>
      </c>
      <c r="Z26" s="13" t="s">
        <v>2532</v>
      </c>
      <c r="AA26" s="13" t="s">
        <v>2533</v>
      </c>
      <c r="AB26" s="13" t="s">
        <v>3075</v>
      </c>
      <c r="AC26" s="13">
        <v>2019</v>
      </c>
      <c r="AD26" s="13" t="s">
        <v>3080</v>
      </c>
      <c r="AE26" s="13" t="s">
        <v>3083</v>
      </c>
      <c r="AF26" s="13" t="s">
        <v>3097</v>
      </c>
      <c r="AG26" s="13" t="s">
        <v>3033</v>
      </c>
      <c r="AH26" s="13">
        <v>2019</v>
      </c>
      <c r="AI26" s="13" t="s">
        <v>3033</v>
      </c>
      <c r="AJ26" s="13" t="s">
        <v>3102</v>
      </c>
      <c r="AK26" s="13">
        <v>2020</v>
      </c>
      <c r="AL26" s="13">
        <v>2021</v>
      </c>
      <c r="AM26" s="13">
        <v>2021</v>
      </c>
      <c r="AN26" s="13">
        <v>2021</v>
      </c>
      <c r="AO26" s="13" t="s">
        <v>3033</v>
      </c>
      <c r="AP26" s="13" t="s">
        <v>3097</v>
      </c>
      <c r="AQ26" s="13">
        <v>2020</v>
      </c>
      <c r="AR26" s="13" t="s">
        <v>3085</v>
      </c>
      <c r="AS26" s="13">
        <v>2020</v>
      </c>
      <c r="AT26" s="13" t="s">
        <v>3344</v>
      </c>
      <c r="AU26" s="13">
        <v>2021</v>
      </c>
      <c r="AV26" s="13">
        <v>2020</v>
      </c>
      <c r="AW26" s="13">
        <v>2018</v>
      </c>
      <c r="AX26" s="13">
        <v>2018</v>
      </c>
      <c r="AY26" s="13">
        <v>2018</v>
      </c>
      <c r="AZ26" s="13">
        <v>2019</v>
      </c>
      <c r="BA26" s="13" t="s">
        <v>3384</v>
      </c>
      <c r="BB26" s="13" t="s">
        <v>1735</v>
      </c>
      <c r="BC26" s="13" t="s">
        <v>1891</v>
      </c>
      <c r="BD26" s="13">
        <v>2020</v>
      </c>
      <c r="BE26" s="13" t="s">
        <v>3033</v>
      </c>
      <c r="BF26" s="13" t="s">
        <v>3033</v>
      </c>
      <c r="BG26" s="13" t="s">
        <v>3401</v>
      </c>
      <c r="BH26" s="13">
        <v>2018</v>
      </c>
      <c r="BI26" s="13" t="s">
        <v>1903</v>
      </c>
      <c r="BJ26" s="13">
        <v>2018</v>
      </c>
      <c r="BK26" s="13">
        <v>2020</v>
      </c>
      <c r="BL26" s="13" t="s">
        <v>3463</v>
      </c>
      <c r="BM26" s="13">
        <v>2021</v>
      </c>
      <c r="BN26" s="13" t="s">
        <v>3406</v>
      </c>
      <c r="BO26" s="13" t="s">
        <v>2535</v>
      </c>
      <c r="BP26" s="13">
        <v>2020</v>
      </c>
      <c r="BQ26" s="13" t="s">
        <v>1719</v>
      </c>
      <c r="BR26" s="13">
        <v>2020</v>
      </c>
      <c r="BS26" s="13">
        <v>2020</v>
      </c>
      <c r="BT26" s="13">
        <v>2021</v>
      </c>
      <c r="BU26" s="13">
        <v>2021</v>
      </c>
      <c r="BV26" s="13">
        <v>2021</v>
      </c>
      <c r="BW26" s="13" t="s">
        <v>3398</v>
      </c>
      <c r="BX26" s="13">
        <v>2020</v>
      </c>
      <c r="BY26" s="311" t="s">
        <v>3551</v>
      </c>
    </row>
    <row r="27" spans="1:77">
      <c r="A27" s="2">
        <v>22</v>
      </c>
      <c r="B27" s="55">
        <f>INDEX(順位表[Comprehensive],MATCH($C27,順位表['#],0))</f>
        <v>18</v>
      </c>
      <c r="C27" s="3">
        <v>22</v>
      </c>
      <c r="D27" s="1" t="str">
        <f>INDEX(都市マスタ[City Name],MATCH($C27,都市マスタ['#],0))</f>
        <v>Hong Kong</v>
      </c>
      <c r="E27" s="13">
        <v>2020</v>
      </c>
      <c r="F27" s="13">
        <v>2020</v>
      </c>
      <c r="G27" s="13" t="s">
        <v>1600</v>
      </c>
      <c r="H27" s="13">
        <v>2019</v>
      </c>
      <c r="I27" s="13"/>
      <c r="J27" s="13" t="s">
        <v>1605</v>
      </c>
      <c r="K27" s="13">
        <v>2019</v>
      </c>
      <c r="L27" s="13">
        <v>2020</v>
      </c>
      <c r="M27" s="13">
        <v>2021</v>
      </c>
      <c r="N27" s="13">
        <v>2021</v>
      </c>
      <c r="O27" s="13">
        <v>2020</v>
      </c>
      <c r="P27" s="13">
        <v>2018</v>
      </c>
      <c r="Q27" s="13" t="s">
        <v>2994</v>
      </c>
      <c r="R27" s="13" t="s">
        <v>3033</v>
      </c>
      <c r="S27" s="13">
        <v>2021</v>
      </c>
      <c r="T27" s="13" t="s">
        <v>2534</v>
      </c>
      <c r="U27" s="13">
        <v>2018</v>
      </c>
      <c r="V27" s="13">
        <v>2021</v>
      </c>
      <c r="W27" s="13">
        <v>2018</v>
      </c>
      <c r="X27" s="13">
        <v>2021</v>
      </c>
      <c r="Y27" s="13">
        <v>2018</v>
      </c>
      <c r="Z27" s="13" t="s">
        <v>2532</v>
      </c>
      <c r="AA27" s="13" t="s">
        <v>2533</v>
      </c>
      <c r="AB27" s="13" t="s">
        <v>3075</v>
      </c>
      <c r="AC27" s="13">
        <v>2019</v>
      </c>
      <c r="AD27" s="13" t="s">
        <v>3080</v>
      </c>
      <c r="AE27" s="13" t="s">
        <v>3083</v>
      </c>
      <c r="AF27" s="13" t="s">
        <v>3097</v>
      </c>
      <c r="AG27" s="13" t="s">
        <v>3033</v>
      </c>
      <c r="AH27" s="13">
        <v>2019</v>
      </c>
      <c r="AI27" s="13" t="s">
        <v>3033</v>
      </c>
      <c r="AJ27" s="13" t="s">
        <v>3102</v>
      </c>
      <c r="AK27" s="13">
        <v>2020</v>
      </c>
      <c r="AL27" s="13">
        <v>2021</v>
      </c>
      <c r="AM27" s="13">
        <v>2021</v>
      </c>
      <c r="AN27" s="13">
        <v>2021</v>
      </c>
      <c r="AO27" s="13" t="s">
        <v>3033</v>
      </c>
      <c r="AP27" s="13" t="s">
        <v>3097</v>
      </c>
      <c r="AQ27" s="13">
        <v>2016</v>
      </c>
      <c r="AR27" s="13" t="s">
        <v>3085</v>
      </c>
      <c r="AS27" s="13">
        <v>2020</v>
      </c>
      <c r="AT27" s="13" t="s">
        <v>3344</v>
      </c>
      <c r="AU27" s="13">
        <v>2021</v>
      </c>
      <c r="AV27" s="13">
        <v>2018</v>
      </c>
      <c r="AW27" s="13">
        <v>2018</v>
      </c>
      <c r="AX27" s="13">
        <v>2020</v>
      </c>
      <c r="AY27" s="13">
        <v>2018</v>
      </c>
      <c r="AZ27" s="13">
        <v>2019</v>
      </c>
      <c r="BA27" s="13" t="s">
        <v>3384</v>
      </c>
      <c r="BB27" s="13" t="s">
        <v>3386</v>
      </c>
      <c r="BC27" s="13" t="s">
        <v>1737</v>
      </c>
      <c r="BD27" s="13">
        <v>2020</v>
      </c>
      <c r="BE27" s="13" t="s">
        <v>3033</v>
      </c>
      <c r="BF27" s="13" t="s">
        <v>3033</v>
      </c>
      <c r="BG27" s="13" t="s">
        <v>3398</v>
      </c>
      <c r="BH27" s="13">
        <v>2018</v>
      </c>
      <c r="BI27" s="13" t="s">
        <v>1904</v>
      </c>
      <c r="BJ27" s="13">
        <v>2018</v>
      </c>
      <c r="BK27" s="13">
        <v>2020</v>
      </c>
      <c r="BL27" s="13" t="s">
        <v>3463</v>
      </c>
      <c r="BM27" s="13">
        <v>2021</v>
      </c>
      <c r="BN27" s="13" t="s">
        <v>3406</v>
      </c>
      <c r="BO27" s="13" t="s">
        <v>2535</v>
      </c>
      <c r="BP27" s="13">
        <v>2020</v>
      </c>
      <c r="BQ27" s="13" t="s">
        <v>1719</v>
      </c>
      <c r="BR27" s="13">
        <v>2020</v>
      </c>
      <c r="BS27" s="13">
        <v>2020</v>
      </c>
      <c r="BT27" s="13">
        <v>2021</v>
      </c>
      <c r="BU27" s="13">
        <v>2021</v>
      </c>
      <c r="BV27" s="13">
        <v>2021</v>
      </c>
      <c r="BW27" s="13" t="s">
        <v>3398</v>
      </c>
      <c r="BX27" s="13">
        <v>2020</v>
      </c>
      <c r="BY27" s="311" t="s">
        <v>1599</v>
      </c>
    </row>
    <row r="28" spans="1:77">
      <c r="A28" s="2">
        <v>23</v>
      </c>
      <c r="B28" s="55">
        <f>INDEX(順位表[Comprehensive],MATCH($C28,順位表['#],0))</f>
        <v>17</v>
      </c>
      <c r="C28" s="3">
        <v>23</v>
      </c>
      <c r="D28" s="1" t="str">
        <f>INDEX(都市マスタ[City Name],MATCH($C28,都市マスタ['#],0))</f>
        <v>Beijing</v>
      </c>
      <c r="E28" s="13">
        <v>2019</v>
      </c>
      <c r="F28" s="13">
        <v>2018</v>
      </c>
      <c r="G28" s="13" t="s">
        <v>1600</v>
      </c>
      <c r="H28" s="13">
        <v>2019</v>
      </c>
      <c r="I28" s="13">
        <v>2019</v>
      </c>
      <c r="J28" s="13" t="s">
        <v>1605</v>
      </c>
      <c r="K28" s="13">
        <v>2020</v>
      </c>
      <c r="L28" s="13"/>
      <c r="M28" s="13">
        <v>2021</v>
      </c>
      <c r="N28" s="13">
        <v>2019</v>
      </c>
      <c r="O28" s="13">
        <v>2019</v>
      </c>
      <c r="P28" s="13">
        <v>2018</v>
      </c>
      <c r="Q28" s="13" t="s">
        <v>2994</v>
      </c>
      <c r="R28" s="13" t="s">
        <v>3033</v>
      </c>
      <c r="S28" s="13">
        <v>2021</v>
      </c>
      <c r="T28" s="13" t="s">
        <v>2534</v>
      </c>
      <c r="U28" s="13">
        <v>2018</v>
      </c>
      <c r="V28" s="13">
        <v>2021</v>
      </c>
      <c r="W28" s="13">
        <v>2018</v>
      </c>
      <c r="X28" s="13">
        <v>2021</v>
      </c>
      <c r="Y28" s="13">
        <v>2018</v>
      </c>
      <c r="Z28" s="13" t="s">
        <v>2532</v>
      </c>
      <c r="AA28" s="13" t="s">
        <v>2533</v>
      </c>
      <c r="AB28" s="13" t="s">
        <v>3075</v>
      </c>
      <c r="AC28" s="13">
        <v>2019</v>
      </c>
      <c r="AD28" s="13" t="s">
        <v>3080</v>
      </c>
      <c r="AE28" s="13" t="s">
        <v>3083</v>
      </c>
      <c r="AF28" s="13" t="s">
        <v>3097</v>
      </c>
      <c r="AG28" s="13" t="s">
        <v>3033</v>
      </c>
      <c r="AH28" s="13">
        <v>2019</v>
      </c>
      <c r="AI28" s="13" t="s">
        <v>3033</v>
      </c>
      <c r="AJ28" s="13" t="s">
        <v>3102</v>
      </c>
      <c r="AK28" s="13">
        <v>2020</v>
      </c>
      <c r="AL28" s="13">
        <v>2021</v>
      </c>
      <c r="AM28" s="13">
        <v>2021</v>
      </c>
      <c r="AN28" s="13">
        <v>2021</v>
      </c>
      <c r="AO28" s="13" t="s">
        <v>3033</v>
      </c>
      <c r="AP28" s="13" t="s">
        <v>3097</v>
      </c>
      <c r="AQ28" s="13">
        <v>2010</v>
      </c>
      <c r="AR28" s="13" t="s">
        <v>3085</v>
      </c>
      <c r="AS28" s="13">
        <v>2020</v>
      </c>
      <c r="AT28" s="13" t="s">
        <v>3344</v>
      </c>
      <c r="AU28" s="13">
        <v>2021</v>
      </c>
      <c r="AV28" s="13">
        <v>2018</v>
      </c>
      <c r="AW28" s="13">
        <v>2018</v>
      </c>
      <c r="AX28" s="13">
        <v>2019</v>
      </c>
      <c r="AY28" s="13">
        <v>2018</v>
      </c>
      <c r="AZ28" s="13">
        <v>2019</v>
      </c>
      <c r="BA28" s="13" t="s">
        <v>3384</v>
      </c>
      <c r="BB28" s="13" t="s">
        <v>1735</v>
      </c>
      <c r="BC28" s="13" t="s">
        <v>1892</v>
      </c>
      <c r="BD28" s="13">
        <v>2020</v>
      </c>
      <c r="BE28" s="13" t="s">
        <v>3033</v>
      </c>
      <c r="BF28" s="13" t="s">
        <v>3033</v>
      </c>
      <c r="BG28" s="13" t="s">
        <v>3402</v>
      </c>
      <c r="BH28" s="13">
        <v>2018</v>
      </c>
      <c r="BI28" s="13">
        <v>2021</v>
      </c>
      <c r="BJ28" s="13">
        <v>2019</v>
      </c>
      <c r="BK28" s="13">
        <v>2020</v>
      </c>
      <c r="BL28" s="13" t="s">
        <v>3463</v>
      </c>
      <c r="BM28" s="13">
        <v>2021</v>
      </c>
      <c r="BN28" s="13" t="s">
        <v>3406</v>
      </c>
      <c r="BO28" s="13" t="s">
        <v>2535</v>
      </c>
      <c r="BP28" s="13">
        <v>2020</v>
      </c>
      <c r="BQ28" s="13" t="s">
        <v>3404</v>
      </c>
      <c r="BR28" s="13">
        <v>2020</v>
      </c>
      <c r="BS28" s="13">
        <v>2020</v>
      </c>
      <c r="BT28" s="13">
        <v>2021</v>
      </c>
      <c r="BU28" s="13">
        <v>2021</v>
      </c>
      <c r="BV28" s="13">
        <v>2021</v>
      </c>
      <c r="BW28" s="13" t="s">
        <v>3398</v>
      </c>
      <c r="BX28" s="13">
        <v>2020</v>
      </c>
      <c r="BY28" s="311" t="s">
        <v>1599</v>
      </c>
    </row>
    <row r="29" spans="1:77">
      <c r="A29" s="2">
        <v>24</v>
      </c>
      <c r="B29" s="55">
        <f>INDEX(順位表[Comprehensive],MATCH($C29,順位表['#],0))</f>
        <v>15</v>
      </c>
      <c r="C29" s="3">
        <v>24</v>
      </c>
      <c r="D29" s="1" t="str">
        <f>INDEX(都市マスタ[City Name],MATCH($C29,都市マスタ['#],0))</f>
        <v>Shanghai</v>
      </c>
      <c r="E29" s="13">
        <v>2019</v>
      </c>
      <c r="F29" s="13">
        <v>2019</v>
      </c>
      <c r="G29" s="13" t="s">
        <v>1600</v>
      </c>
      <c r="H29" s="13">
        <v>2019</v>
      </c>
      <c r="I29" s="13">
        <v>2019</v>
      </c>
      <c r="J29" s="13" t="s">
        <v>1605</v>
      </c>
      <c r="K29" s="13">
        <v>2020</v>
      </c>
      <c r="L29" s="13">
        <v>2020</v>
      </c>
      <c r="M29" s="13">
        <v>2021</v>
      </c>
      <c r="N29" s="13">
        <v>2019</v>
      </c>
      <c r="O29" s="13">
        <v>2019</v>
      </c>
      <c r="P29" s="13">
        <v>2018</v>
      </c>
      <c r="Q29" s="13" t="s">
        <v>2994</v>
      </c>
      <c r="R29" s="13" t="s">
        <v>3033</v>
      </c>
      <c r="S29" s="13">
        <v>2021</v>
      </c>
      <c r="T29" s="13" t="s">
        <v>2534</v>
      </c>
      <c r="U29" s="13">
        <v>2018</v>
      </c>
      <c r="V29" s="13">
        <v>2021</v>
      </c>
      <c r="W29" s="13">
        <v>2018</v>
      </c>
      <c r="X29" s="13">
        <v>2021</v>
      </c>
      <c r="Y29" s="13">
        <v>2018</v>
      </c>
      <c r="Z29" s="13" t="s">
        <v>2532</v>
      </c>
      <c r="AA29" s="13" t="s">
        <v>2533</v>
      </c>
      <c r="AB29" s="13" t="s">
        <v>3075</v>
      </c>
      <c r="AC29" s="13">
        <v>2019</v>
      </c>
      <c r="AD29" s="13" t="s">
        <v>3080</v>
      </c>
      <c r="AE29" s="13" t="s">
        <v>3083</v>
      </c>
      <c r="AF29" s="13" t="s">
        <v>3097</v>
      </c>
      <c r="AG29" s="13" t="s">
        <v>3033</v>
      </c>
      <c r="AH29" s="13">
        <v>2019</v>
      </c>
      <c r="AI29" s="13" t="s">
        <v>3033</v>
      </c>
      <c r="AJ29" s="13" t="s">
        <v>3102</v>
      </c>
      <c r="AK29" s="13">
        <v>2020</v>
      </c>
      <c r="AL29" s="13">
        <v>2021</v>
      </c>
      <c r="AM29" s="13">
        <v>2021</v>
      </c>
      <c r="AN29" s="13">
        <v>2021</v>
      </c>
      <c r="AO29" s="13" t="s">
        <v>3033</v>
      </c>
      <c r="AP29" s="13" t="s">
        <v>3097</v>
      </c>
      <c r="AQ29" s="13">
        <v>2018</v>
      </c>
      <c r="AR29" s="13" t="s">
        <v>3163</v>
      </c>
      <c r="AS29" s="13">
        <v>2019</v>
      </c>
      <c r="AT29" s="13" t="s">
        <v>3344</v>
      </c>
      <c r="AU29" s="13">
        <v>2021</v>
      </c>
      <c r="AV29" s="13">
        <v>2018</v>
      </c>
      <c r="AW29" s="13">
        <v>2018</v>
      </c>
      <c r="AX29" s="13">
        <v>2019</v>
      </c>
      <c r="AY29" s="13">
        <v>2018</v>
      </c>
      <c r="AZ29" s="13">
        <v>2019</v>
      </c>
      <c r="BA29" s="13" t="s">
        <v>3384</v>
      </c>
      <c r="BB29" s="13" t="s">
        <v>1735</v>
      </c>
      <c r="BC29" s="13" t="s">
        <v>1892</v>
      </c>
      <c r="BD29" s="13">
        <v>2020</v>
      </c>
      <c r="BE29" s="13" t="s">
        <v>3033</v>
      </c>
      <c r="BF29" s="13" t="s">
        <v>3033</v>
      </c>
      <c r="BG29" s="13" t="s">
        <v>3402</v>
      </c>
      <c r="BH29" s="13">
        <v>2018</v>
      </c>
      <c r="BI29" s="13">
        <v>2020</v>
      </c>
      <c r="BJ29" s="13">
        <v>2019</v>
      </c>
      <c r="BK29" s="13">
        <v>2020</v>
      </c>
      <c r="BL29" s="13" t="s">
        <v>3463</v>
      </c>
      <c r="BM29" s="13">
        <v>2021</v>
      </c>
      <c r="BN29" s="13" t="s">
        <v>3406</v>
      </c>
      <c r="BO29" s="13" t="s">
        <v>2535</v>
      </c>
      <c r="BP29" s="13">
        <v>2020</v>
      </c>
      <c r="BQ29" s="13" t="s">
        <v>1719</v>
      </c>
      <c r="BR29" s="13">
        <v>2020</v>
      </c>
      <c r="BS29" s="13">
        <v>2020</v>
      </c>
      <c r="BT29" s="13">
        <v>2021</v>
      </c>
      <c r="BU29" s="13">
        <v>2021</v>
      </c>
      <c r="BV29" s="13">
        <v>2021</v>
      </c>
      <c r="BW29" s="13" t="s">
        <v>3398</v>
      </c>
      <c r="BX29" s="13">
        <v>2020</v>
      </c>
      <c r="BY29" s="311" t="s">
        <v>1599</v>
      </c>
    </row>
    <row r="30" spans="1:77">
      <c r="A30" s="2">
        <v>25</v>
      </c>
      <c r="B30" s="55">
        <f>INDEX(順位表[Comprehensive],MATCH($C30,順位表['#],0))</f>
        <v>35</v>
      </c>
      <c r="C30" s="3">
        <v>25</v>
      </c>
      <c r="D30" s="1" t="str">
        <f>INDEX(都市マスタ[City Name],MATCH($C30,都市マスタ['#],0))</f>
        <v>Taipei</v>
      </c>
      <c r="E30" s="13">
        <v>2020</v>
      </c>
      <c r="F30" s="13">
        <v>2020</v>
      </c>
      <c r="G30" s="13" t="s">
        <v>2993</v>
      </c>
      <c r="H30" s="13">
        <v>2019</v>
      </c>
      <c r="I30" s="13"/>
      <c r="J30" s="13" t="s">
        <v>1605</v>
      </c>
      <c r="K30" s="13">
        <v>2020</v>
      </c>
      <c r="L30" s="13">
        <v>2020</v>
      </c>
      <c r="M30" s="13">
        <v>2021</v>
      </c>
      <c r="N30" s="13">
        <v>2020</v>
      </c>
      <c r="O30" s="13">
        <v>2020</v>
      </c>
      <c r="P30" s="13">
        <v>2018</v>
      </c>
      <c r="Q30" s="13" t="s">
        <v>2994</v>
      </c>
      <c r="R30" s="13" t="s">
        <v>3033</v>
      </c>
      <c r="S30" s="13">
        <v>2021</v>
      </c>
      <c r="T30" s="13" t="s">
        <v>2534</v>
      </c>
      <c r="U30" s="13">
        <v>2019</v>
      </c>
      <c r="V30" s="13">
        <v>2021</v>
      </c>
      <c r="W30" s="13">
        <v>2019</v>
      </c>
      <c r="X30" s="13">
        <v>2021</v>
      </c>
      <c r="Y30" s="13">
        <v>2018</v>
      </c>
      <c r="Z30" s="13" t="s">
        <v>2532</v>
      </c>
      <c r="AA30" s="13" t="s">
        <v>2533</v>
      </c>
      <c r="AB30" s="13" t="s">
        <v>3075</v>
      </c>
      <c r="AC30" s="13">
        <v>2019</v>
      </c>
      <c r="AD30" s="13" t="s">
        <v>3080</v>
      </c>
      <c r="AE30" s="13" t="s">
        <v>1961</v>
      </c>
      <c r="AF30" s="13" t="s">
        <v>3097</v>
      </c>
      <c r="AG30" s="13" t="s">
        <v>3033</v>
      </c>
      <c r="AH30" s="13">
        <v>2019</v>
      </c>
      <c r="AI30" s="13" t="s">
        <v>3033</v>
      </c>
      <c r="AJ30" s="13" t="s">
        <v>3102</v>
      </c>
      <c r="AK30" s="13">
        <v>2020</v>
      </c>
      <c r="AL30" s="13">
        <v>2021</v>
      </c>
      <c r="AM30" s="13">
        <v>2021</v>
      </c>
      <c r="AN30" s="13">
        <v>2021</v>
      </c>
      <c r="AO30" s="13" t="s">
        <v>3033</v>
      </c>
      <c r="AP30" s="13" t="s">
        <v>3097</v>
      </c>
      <c r="AQ30" s="13">
        <v>2020</v>
      </c>
      <c r="AR30" s="13" t="s">
        <v>3085</v>
      </c>
      <c r="AS30" s="13">
        <v>2020</v>
      </c>
      <c r="AT30" s="13" t="s">
        <v>3344</v>
      </c>
      <c r="AU30" s="13">
        <v>2021</v>
      </c>
      <c r="AV30" s="13">
        <v>2018</v>
      </c>
      <c r="AW30" s="13">
        <v>2018</v>
      </c>
      <c r="AX30" s="13">
        <v>2020</v>
      </c>
      <c r="AY30" s="13">
        <v>2018</v>
      </c>
      <c r="AZ30" s="13">
        <v>2019</v>
      </c>
      <c r="BA30" s="13" t="s">
        <v>3384</v>
      </c>
      <c r="BB30" s="13" t="s">
        <v>1735</v>
      </c>
      <c r="BC30" s="13" t="s">
        <v>1961</v>
      </c>
      <c r="BD30" s="13">
        <v>2019</v>
      </c>
      <c r="BE30" s="13" t="s">
        <v>3033</v>
      </c>
      <c r="BF30" s="13" t="s">
        <v>3033</v>
      </c>
      <c r="BG30" s="13" t="s">
        <v>3404</v>
      </c>
      <c r="BH30" s="13">
        <v>2018</v>
      </c>
      <c r="BI30" s="13">
        <v>2020</v>
      </c>
      <c r="BJ30" s="13">
        <v>2018</v>
      </c>
      <c r="BK30" s="13">
        <v>2020</v>
      </c>
      <c r="BL30" s="13" t="s">
        <v>3463</v>
      </c>
      <c r="BM30" s="13">
        <v>2021</v>
      </c>
      <c r="BN30" s="13" t="s">
        <v>3406</v>
      </c>
      <c r="BO30" s="13" t="s">
        <v>2535</v>
      </c>
      <c r="BP30" s="13">
        <v>2020</v>
      </c>
      <c r="BQ30" s="13" t="s">
        <v>1719</v>
      </c>
      <c r="BR30" s="13">
        <v>2020</v>
      </c>
      <c r="BS30" s="13">
        <v>2020</v>
      </c>
      <c r="BT30" s="13">
        <v>2021</v>
      </c>
      <c r="BU30" s="13">
        <v>2021</v>
      </c>
      <c r="BV30" s="13">
        <v>2021</v>
      </c>
      <c r="BW30" s="13" t="s">
        <v>3398</v>
      </c>
      <c r="BX30" s="13">
        <v>2020</v>
      </c>
      <c r="BY30" s="311" t="s">
        <v>1599</v>
      </c>
    </row>
    <row r="31" spans="1:77">
      <c r="A31" s="2">
        <v>26</v>
      </c>
      <c r="B31" s="55">
        <f>INDEX(順位表[Comprehensive],MATCH($C31,順位表['#],0))</f>
        <v>7</v>
      </c>
      <c r="C31" s="3">
        <v>26</v>
      </c>
      <c r="D31" s="1" t="str">
        <f>INDEX(都市マスタ[City Name],MATCH($C31,都市マスタ['#],0))</f>
        <v>Seoul</v>
      </c>
      <c r="E31" s="13">
        <v>2020</v>
      </c>
      <c r="F31" s="13">
        <v>2020</v>
      </c>
      <c r="G31" s="13" t="s">
        <v>1600</v>
      </c>
      <c r="H31" s="13">
        <v>2019</v>
      </c>
      <c r="I31" s="13"/>
      <c r="J31" s="13" t="s">
        <v>1605</v>
      </c>
      <c r="K31" s="13">
        <v>2020</v>
      </c>
      <c r="L31" s="13">
        <v>2020</v>
      </c>
      <c r="M31" s="13">
        <v>2021</v>
      </c>
      <c r="N31" s="13">
        <v>2021</v>
      </c>
      <c r="O31" s="13">
        <v>2020</v>
      </c>
      <c r="P31" s="13">
        <v>2018</v>
      </c>
      <c r="Q31" s="13" t="s">
        <v>2994</v>
      </c>
      <c r="R31" s="13" t="s">
        <v>3033</v>
      </c>
      <c r="S31" s="13">
        <v>2020</v>
      </c>
      <c r="T31" s="13" t="s">
        <v>2534</v>
      </c>
      <c r="U31" s="13">
        <v>2018</v>
      </c>
      <c r="V31" s="13">
        <v>2021</v>
      </c>
      <c r="W31" s="13">
        <v>2018</v>
      </c>
      <c r="X31" s="13">
        <v>2021</v>
      </c>
      <c r="Y31" s="13">
        <v>2018</v>
      </c>
      <c r="Z31" s="13" t="s">
        <v>2532</v>
      </c>
      <c r="AA31" s="13" t="s">
        <v>2533</v>
      </c>
      <c r="AB31" s="13" t="s">
        <v>3075</v>
      </c>
      <c r="AC31" s="13">
        <v>2019</v>
      </c>
      <c r="AD31" s="13" t="s">
        <v>3080</v>
      </c>
      <c r="AE31" s="13" t="s">
        <v>3083</v>
      </c>
      <c r="AF31" s="13" t="s">
        <v>3097</v>
      </c>
      <c r="AG31" s="13" t="s">
        <v>3033</v>
      </c>
      <c r="AH31" s="13">
        <v>2019</v>
      </c>
      <c r="AI31" s="13" t="s">
        <v>3033</v>
      </c>
      <c r="AJ31" s="13" t="s">
        <v>3102</v>
      </c>
      <c r="AK31" s="13">
        <v>2020</v>
      </c>
      <c r="AL31" s="13">
        <v>2021</v>
      </c>
      <c r="AM31" s="13">
        <v>2021</v>
      </c>
      <c r="AN31" s="13">
        <v>2021</v>
      </c>
      <c r="AO31" s="13" t="s">
        <v>3033</v>
      </c>
      <c r="AP31" s="13" t="s">
        <v>3097</v>
      </c>
      <c r="AQ31" s="13">
        <v>2019</v>
      </c>
      <c r="AR31" s="13" t="s">
        <v>3163</v>
      </c>
      <c r="AS31" s="13">
        <v>2020</v>
      </c>
      <c r="AT31" s="13" t="s">
        <v>3344</v>
      </c>
      <c r="AU31" s="13">
        <v>2021</v>
      </c>
      <c r="AV31" s="13">
        <v>2018</v>
      </c>
      <c r="AW31" s="13">
        <v>2018</v>
      </c>
      <c r="AX31" s="13">
        <v>2019</v>
      </c>
      <c r="AY31" s="13">
        <v>2018</v>
      </c>
      <c r="AZ31" s="13">
        <v>2019</v>
      </c>
      <c r="BA31" s="13" t="s">
        <v>3384</v>
      </c>
      <c r="BB31" s="13" t="s">
        <v>1735</v>
      </c>
      <c r="BC31" s="13" t="s">
        <v>1886</v>
      </c>
      <c r="BD31" s="13">
        <v>2020</v>
      </c>
      <c r="BE31" s="13" t="s">
        <v>3033</v>
      </c>
      <c r="BF31" s="13" t="s">
        <v>3033</v>
      </c>
      <c r="BG31" s="13" t="s">
        <v>3033</v>
      </c>
      <c r="BH31" s="13">
        <v>2018</v>
      </c>
      <c r="BI31" s="13" t="s">
        <v>1900</v>
      </c>
      <c r="BJ31" s="13">
        <v>2018</v>
      </c>
      <c r="BK31" s="13">
        <v>2020</v>
      </c>
      <c r="BL31" s="13" t="s">
        <v>3463</v>
      </c>
      <c r="BM31" s="13">
        <v>2021</v>
      </c>
      <c r="BN31" s="13" t="s">
        <v>3406</v>
      </c>
      <c r="BO31" s="13" t="s">
        <v>2535</v>
      </c>
      <c r="BP31" s="13">
        <v>2020</v>
      </c>
      <c r="BQ31" s="13" t="s">
        <v>1719</v>
      </c>
      <c r="BR31" s="13">
        <v>2020</v>
      </c>
      <c r="BS31" s="13">
        <v>2020</v>
      </c>
      <c r="BT31" s="13">
        <v>2021</v>
      </c>
      <c r="BU31" s="13">
        <v>2020</v>
      </c>
      <c r="BV31" s="13">
        <v>2021</v>
      </c>
      <c r="BW31" s="13" t="s">
        <v>3398</v>
      </c>
      <c r="BX31" s="13">
        <v>2017</v>
      </c>
      <c r="BY31" s="311" t="s">
        <v>1599</v>
      </c>
    </row>
    <row r="32" spans="1:77">
      <c r="A32" s="2">
        <v>27</v>
      </c>
      <c r="B32" s="55">
        <f>INDEX(順位表[Comprehensive],MATCH($C32,順位表['#],0))</f>
        <v>42</v>
      </c>
      <c r="C32" s="3">
        <v>27</v>
      </c>
      <c r="D32" s="1" t="str">
        <f>INDEX(都市マスタ[City Name],MATCH($C32,都市マスタ['#],0))</f>
        <v>Fukuoka</v>
      </c>
      <c r="E32" s="13">
        <v>2020</v>
      </c>
      <c r="F32" s="13">
        <v>2020</v>
      </c>
      <c r="G32" s="13" t="s">
        <v>1600</v>
      </c>
      <c r="H32" s="13">
        <v>2018</v>
      </c>
      <c r="I32" s="13"/>
      <c r="J32" s="13" t="s">
        <v>1602</v>
      </c>
      <c r="K32" s="13">
        <v>2020</v>
      </c>
      <c r="L32" s="13">
        <v>2020</v>
      </c>
      <c r="M32" s="13">
        <v>2021</v>
      </c>
      <c r="N32" s="13">
        <v>2014</v>
      </c>
      <c r="O32" s="13">
        <v>2014</v>
      </c>
      <c r="P32" s="13">
        <v>2018</v>
      </c>
      <c r="Q32" s="13" t="s">
        <v>2993</v>
      </c>
      <c r="R32" s="13" t="s">
        <v>3033</v>
      </c>
      <c r="S32" s="13">
        <v>2021</v>
      </c>
      <c r="T32" s="13" t="s">
        <v>2534</v>
      </c>
      <c r="U32" s="13">
        <v>2018</v>
      </c>
      <c r="V32" s="13">
        <v>2021</v>
      </c>
      <c r="W32" s="13">
        <v>2018</v>
      </c>
      <c r="X32" s="13">
        <v>2021</v>
      </c>
      <c r="Y32" s="13">
        <v>2018</v>
      </c>
      <c r="Z32" s="13" t="s">
        <v>2532</v>
      </c>
      <c r="AA32" s="13" t="s">
        <v>2533</v>
      </c>
      <c r="AB32" s="13" t="s">
        <v>3075</v>
      </c>
      <c r="AC32" s="13">
        <v>2019</v>
      </c>
      <c r="AD32" s="13" t="s">
        <v>3080</v>
      </c>
      <c r="AE32" s="13" t="s">
        <v>3083</v>
      </c>
      <c r="AF32" s="13" t="s">
        <v>3097</v>
      </c>
      <c r="AG32" s="13" t="s">
        <v>3033</v>
      </c>
      <c r="AH32" s="13">
        <v>2019</v>
      </c>
      <c r="AI32" s="13" t="s">
        <v>3033</v>
      </c>
      <c r="AJ32" s="13" t="s">
        <v>3102</v>
      </c>
      <c r="AK32" s="13">
        <v>2020</v>
      </c>
      <c r="AL32" s="13">
        <v>2021</v>
      </c>
      <c r="AM32" s="13">
        <v>2021</v>
      </c>
      <c r="AN32" s="13">
        <v>2021</v>
      </c>
      <c r="AO32" s="13" t="s">
        <v>3033</v>
      </c>
      <c r="AP32" s="13" t="s">
        <v>3097</v>
      </c>
      <c r="AQ32" s="13">
        <v>2020</v>
      </c>
      <c r="AR32" s="13" t="s">
        <v>3085</v>
      </c>
      <c r="AS32" s="13">
        <v>2020</v>
      </c>
      <c r="AT32" s="13" t="s">
        <v>3344</v>
      </c>
      <c r="AU32" s="13">
        <v>2021</v>
      </c>
      <c r="AV32" s="13">
        <v>2019</v>
      </c>
      <c r="AW32" s="13">
        <v>2018</v>
      </c>
      <c r="AX32" s="13">
        <v>2020</v>
      </c>
      <c r="AY32" s="13">
        <v>2018</v>
      </c>
      <c r="AZ32" s="13">
        <v>2019</v>
      </c>
      <c r="BA32" s="13" t="s">
        <v>3384</v>
      </c>
      <c r="BB32" s="13" t="s">
        <v>1735</v>
      </c>
      <c r="BC32" s="13" t="s">
        <v>1886</v>
      </c>
      <c r="BD32" s="13">
        <v>2020</v>
      </c>
      <c r="BE32" s="13" t="s">
        <v>3033</v>
      </c>
      <c r="BF32" s="13" t="s">
        <v>3033</v>
      </c>
      <c r="BG32" s="13" t="s">
        <v>3398</v>
      </c>
      <c r="BH32" s="13">
        <v>2018</v>
      </c>
      <c r="BI32" s="13" t="s">
        <v>1900</v>
      </c>
      <c r="BJ32" s="13">
        <v>2019</v>
      </c>
      <c r="BK32" s="13">
        <v>2020</v>
      </c>
      <c r="BL32" s="13" t="s">
        <v>3463</v>
      </c>
      <c r="BM32" s="13">
        <v>2021</v>
      </c>
      <c r="BN32" s="13" t="s">
        <v>3406</v>
      </c>
      <c r="BO32" s="13" t="s">
        <v>2535</v>
      </c>
      <c r="BP32" s="13">
        <v>2020</v>
      </c>
      <c r="BQ32" s="13" t="s">
        <v>1722</v>
      </c>
      <c r="BR32" s="13">
        <v>2020</v>
      </c>
      <c r="BS32" s="13">
        <v>2020</v>
      </c>
      <c r="BT32" s="13">
        <v>2021</v>
      </c>
      <c r="BU32" s="13">
        <v>2015</v>
      </c>
      <c r="BV32" s="13">
        <v>2021</v>
      </c>
      <c r="BW32" s="13" t="s">
        <v>2011</v>
      </c>
      <c r="BX32" s="13">
        <v>2015</v>
      </c>
      <c r="BY32" s="311" t="s">
        <v>3552</v>
      </c>
    </row>
    <row r="33" spans="1:77">
      <c r="A33" s="2">
        <v>28</v>
      </c>
      <c r="B33" s="55">
        <f>INDEX(順位表[Comprehensive],MATCH($C33,順位表['#],0))</f>
        <v>37</v>
      </c>
      <c r="C33" s="3">
        <v>28</v>
      </c>
      <c r="D33" s="1" t="str">
        <f>INDEX(都市マスタ[City Name],MATCH($C33,都市マスタ['#],0))</f>
        <v>Osaka</v>
      </c>
      <c r="E33" s="13">
        <v>2021</v>
      </c>
      <c r="F33" s="13">
        <v>2021</v>
      </c>
      <c r="G33" s="13" t="s">
        <v>1600</v>
      </c>
      <c r="H33" s="13">
        <v>2017</v>
      </c>
      <c r="I33" s="13"/>
      <c r="J33" s="13" t="s">
        <v>1602</v>
      </c>
      <c r="K33" s="13">
        <v>2020</v>
      </c>
      <c r="L33" s="13"/>
      <c r="M33" s="13">
        <v>2021</v>
      </c>
      <c r="N33" s="13">
        <v>2014</v>
      </c>
      <c r="O33" s="13">
        <v>2014</v>
      </c>
      <c r="P33" s="13">
        <v>2018</v>
      </c>
      <c r="Q33" s="13" t="s">
        <v>2993</v>
      </c>
      <c r="R33" s="13" t="s">
        <v>3033</v>
      </c>
      <c r="S33" s="13">
        <v>2021</v>
      </c>
      <c r="T33" s="13" t="s">
        <v>2534</v>
      </c>
      <c r="U33" s="13">
        <v>2018</v>
      </c>
      <c r="V33" s="13">
        <v>2021</v>
      </c>
      <c r="W33" s="13">
        <v>2018</v>
      </c>
      <c r="X33" s="13">
        <v>2021</v>
      </c>
      <c r="Y33" s="13">
        <v>2018</v>
      </c>
      <c r="Z33" s="13" t="s">
        <v>2532</v>
      </c>
      <c r="AA33" s="13" t="s">
        <v>2533</v>
      </c>
      <c r="AB33" s="13" t="s">
        <v>3075</v>
      </c>
      <c r="AC33" s="13">
        <v>2019</v>
      </c>
      <c r="AD33" s="13" t="s">
        <v>3080</v>
      </c>
      <c r="AE33" s="13" t="s">
        <v>3083</v>
      </c>
      <c r="AF33" s="13" t="s">
        <v>3097</v>
      </c>
      <c r="AG33" s="13" t="s">
        <v>3033</v>
      </c>
      <c r="AH33" s="13">
        <v>2019</v>
      </c>
      <c r="AI33" s="13" t="s">
        <v>3033</v>
      </c>
      <c r="AJ33" s="13" t="s">
        <v>3102</v>
      </c>
      <c r="AK33" s="13">
        <v>2020</v>
      </c>
      <c r="AL33" s="13">
        <v>2021</v>
      </c>
      <c r="AM33" s="13">
        <v>2021</v>
      </c>
      <c r="AN33" s="13">
        <v>2021</v>
      </c>
      <c r="AO33" s="13" t="s">
        <v>3033</v>
      </c>
      <c r="AP33" s="13" t="s">
        <v>3097</v>
      </c>
      <c r="AQ33" s="13">
        <v>2021</v>
      </c>
      <c r="AR33" s="13" t="s">
        <v>3163</v>
      </c>
      <c r="AS33" s="13">
        <v>2020</v>
      </c>
      <c r="AT33" s="13" t="s">
        <v>3344</v>
      </c>
      <c r="AU33" s="13">
        <v>2021</v>
      </c>
      <c r="AV33" s="13">
        <v>2019</v>
      </c>
      <c r="AW33" s="13">
        <v>2018</v>
      </c>
      <c r="AX33" s="13">
        <v>2016</v>
      </c>
      <c r="AY33" s="13">
        <v>2018</v>
      </c>
      <c r="AZ33" s="13">
        <v>2019</v>
      </c>
      <c r="BA33" s="13" t="s">
        <v>3384</v>
      </c>
      <c r="BB33" s="13" t="s">
        <v>1735</v>
      </c>
      <c r="BC33" s="13" t="s">
        <v>1886</v>
      </c>
      <c r="BD33" s="13">
        <v>2020</v>
      </c>
      <c r="BE33" s="13" t="s">
        <v>3033</v>
      </c>
      <c r="BF33" s="13" t="s">
        <v>3033</v>
      </c>
      <c r="BG33" s="13" t="s">
        <v>3405</v>
      </c>
      <c r="BH33" s="13">
        <v>2018</v>
      </c>
      <c r="BI33" s="13" t="s">
        <v>1900</v>
      </c>
      <c r="BJ33" s="13">
        <v>2019</v>
      </c>
      <c r="BK33" s="13">
        <v>2020</v>
      </c>
      <c r="BL33" s="13" t="s">
        <v>3463</v>
      </c>
      <c r="BM33" s="13">
        <v>2021</v>
      </c>
      <c r="BN33" s="13" t="s">
        <v>3406</v>
      </c>
      <c r="BO33" s="13" t="s">
        <v>2535</v>
      </c>
      <c r="BP33" s="13">
        <v>2020</v>
      </c>
      <c r="BQ33" s="13" t="s">
        <v>1722</v>
      </c>
      <c r="BR33" s="13">
        <v>2020</v>
      </c>
      <c r="BS33" s="13">
        <v>2020</v>
      </c>
      <c r="BT33" s="13">
        <v>2021</v>
      </c>
      <c r="BU33" s="13">
        <v>2015</v>
      </c>
      <c r="BV33" s="13">
        <v>2021</v>
      </c>
      <c r="BW33" s="13" t="s">
        <v>2011</v>
      </c>
      <c r="BX33" s="13">
        <v>2020</v>
      </c>
      <c r="BY33" s="311" t="s">
        <v>3552</v>
      </c>
    </row>
    <row r="34" spans="1:77">
      <c r="A34" s="2">
        <v>29</v>
      </c>
      <c r="B34" s="55">
        <f>INDEX(順位表[Comprehensive],MATCH($C34,順位表['#],0))</f>
        <v>3</v>
      </c>
      <c r="C34" s="3">
        <v>29</v>
      </c>
      <c r="D34" s="1" t="str">
        <f>INDEX(都市マスタ[City Name],MATCH($C34,都市マスタ['#],0))</f>
        <v>Tokyo</v>
      </c>
      <c r="E34" s="13">
        <v>2021</v>
      </c>
      <c r="F34" s="13">
        <v>2021</v>
      </c>
      <c r="G34" s="13" t="s">
        <v>1600</v>
      </c>
      <c r="H34" s="13">
        <v>2018</v>
      </c>
      <c r="I34" s="13"/>
      <c r="J34" s="13" t="s">
        <v>1603</v>
      </c>
      <c r="K34" s="13">
        <v>2020</v>
      </c>
      <c r="L34" s="13">
        <v>2020</v>
      </c>
      <c r="M34" s="13">
        <v>2021</v>
      </c>
      <c r="N34" s="13">
        <v>2014</v>
      </c>
      <c r="O34" s="13">
        <v>2014</v>
      </c>
      <c r="P34" s="13">
        <v>2018</v>
      </c>
      <c r="Q34" s="13" t="s">
        <v>2994</v>
      </c>
      <c r="R34" s="13" t="s">
        <v>3033</v>
      </c>
      <c r="S34" s="13">
        <v>2021</v>
      </c>
      <c r="T34" s="13" t="s">
        <v>2534</v>
      </c>
      <c r="U34" s="13">
        <v>2018</v>
      </c>
      <c r="V34" s="13">
        <v>2021</v>
      </c>
      <c r="W34" s="13">
        <v>2018</v>
      </c>
      <c r="X34" s="13">
        <v>2021</v>
      </c>
      <c r="Y34" s="13">
        <v>2018</v>
      </c>
      <c r="Z34" s="13" t="s">
        <v>2532</v>
      </c>
      <c r="AA34" s="13" t="s">
        <v>2533</v>
      </c>
      <c r="AB34" s="13" t="s">
        <v>3075</v>
      </c>
      <c r="AC34" s="13">
        <v>2019</v>
      </c>
      <c r="AD34" s="13" t="s">
        <v>3080</v>
      </c>
      <c r="AE34" s="13" t="s">
        <v>3083</v>
      </c>
      <c r="AF34" s="13" t="s">
        <v>3097</v>
      </c>
      <c r="AG34" s="13" t="s">
        <v>3033</v>
      </c>
      <c r="AH34" s="13">
        <v>2019</v>
      </c>
      <c r="AI34" s="13" t="s">
        <v>3033</v>
      </c>
      <c r="AJ34" s="13" t="s">
        <v>3102</v>
      </c>
      <c r="AK34" s="13">
        <v>2020</v>
      </c>
      <c r="AL34" s="13">
        <v>2021</v>
      </c>
      <c r="AM34" s="13">
        <v>2021</v>
      </c>
      <c r="AN34" s="13">
        <v>2021</v>
      </c>
      <c r="AO34" s="13" t="s">
        <v>3033</v>
      </c>
      <c r="AP34" s="13" t="s">
        <v>3097</v>
      </c>
      <c r="AQ34" s="13">
        <v>2021</v>
      </c>
      <c r="AR34" s="13" t="s">
        <v>3085</v>
      </c>
      <c r="AS34" s="13">
        <v>2020</v>
      </c>
      <c r="AT34" s="13" t="s">
        <v>3344</v>
      </c>
      <c r="AU34" s="13">
        <v>2021</v>
      </c>
      <c r="AV34" s="13">
        <v>2018</v>
      </c>
      <c r="AW34" s="13">
        <v>2018</v>
      </c>
      <c r="AX34" s="13">
        <v>2019</v>
      </c>
      <c r="AY34" s="13">
        <v>2018</v>
      </c>
      <c r="AZ34" s="13">
        <v>2019</v>
      </c>
      <c r="BA34" s="13" t="s">
        <v>3384</v>
      </c>
      <c r="BB34" s="13" t="s">
        <v>1735</v>
      </c>
      <c r="BC34" s="13" t="s">
        <v>1886</v>
      </c>
      <c r="BD34" s="13">
        <v>2020</v>
      </c>
      <c r="BE34" s="13" t="s">
        <v>3033</v>
      </c>
      <c r="BF34" s="13" t="s">
        <v>3033</v>
      </c>
      <c r="BG34" s="13" t="s">
        <v>3398</v>
      </c>
      <c r="BH34" s="13">
        <v>2018</v>
      </c>
      <c r="BI34" s="13">
        <v>2019</v>
      </c>
      <c r="BJ34" s="13">
        <v>2019</v>
      </c>
      <c r="BK34" s="13">
        <v>2020</v>
      </c>
      <c r="BL34" s="13" t="s">
        <v>3463</v>
      </c>
      <c r="BM34" s="13">
        <v>2021</v>
      </c>
      <c r="BN34" s="13" t="s">
        <v>3406</v>
      </c>
      <c r="BO34" s="13" t="s">
        <v>2535</v>
      </c>
      <c r="BP34" s="13">
        <v>2020</v>
      </c>
      <c r="BQ34" s="13" t="s">
        <v>1722</v>
      </c>
      <c r="BR34" s="13">
        <v>2020</v>
      </c>
      <c r="BS34" s="13">
        <v>2020</v>
      </c>
      <c r="BT34" s="13">
        <v>2021</v>
      </c>
      <c r="BU34" s="13">
        <v>2021</v>
      </c>
      <c r="BV34" s="13">
        <v>2021</v>
      </c>
      <c r="BW34" s="13" t="s">
        <v>3398</v>
      </c>
      <c r="BX34" s="13">
        <v>2020</v>
      </c>
      <c r="BY34" s="311" t="s">
        <v>1599</v>
      </c>
    </row>
    <row r="35" spans="1:77">
      <c r="A35" s="2">
        <v>30</v>
      </c>
      <c r="B35" s="55">
        <f>INDEX(順位表[Comprehensive],MATCH($C35,順位表['#],0))</f>
        <v>12</v>
      </c>
      <c r="C35" s="3">
        <v>30</v>
      </c>
      <c r="D35" s="1" t="str">
        <f>INDEX(都市マスタ[City Name],MATCH($C35,都市マスタ['#],0))</f>
        <v>Sydney</v>
      </c>
      <c r="E35" s="13">
        <v>2020</v>
      </c>
      <c r="F35" s="13">
        <v>2020</v>
      </c>
      <c r="G35" s="13" t="s">
        <v>1600</v>
      </c>
      <c r="H35" s="13">
        <v>2019</v>
      </c>
      <c r="I35" s="13"/>
      <c r="J35" s="13" t="s">
        <v>1605</v>
      </c>
      <c r="K35" s="13">
        <v>2020</v>
      </c>
      <c r="L35" s="13">
        <v>2020</v>
      </c>
      <c r="M35" s="13">
        <v>2021</v>
      </c>
      <c r="N35" s="13">
        <v>2016</v>
      </c>
      <c r="O35" s="13">
        <v>2021</v>
      </c>
      <c r="P35" s="13">
        <v>2018</v>
      </c>
      <c r="Q35" s="13" t="s">
        <v>2994</v>
      </c>
      <c r="R35" s="13" t="s">
        <v>3033</v>
      </c>
      <c r="S35" s="13">
        <v>2021</v>
      </c>
      <c r="T35" s="13" t="s">
        <v>2534</v>
      </c>
      <c r="U35" s="13" t="s">
        <v>2860</v>
      </c>
      <c r="V35" s="13">
        <v>2021</v>
      </c>
      <c r="W35" s="13">
        <v>2017</v>
      </c>
      <c r="X35" s="13">
        <v>2021</v>
      </c>
      <c r="Y35" s="13">
        <v>2018</v>
      </c>
      <c r="Z35" s="13" t="s">
        <v>2532</v>
      </c>
      <c r="AA35" s="13" t="s">
        <v>2533</v>
      </c>
      <c r="AB35" s="13" t="s">
        <v>3075</v>
      </c>
      <c r="AC35" s="13">
        <v>2019</v>
      </c>
      <c r="AD35" s="13" t="s">
        <v>3080</v>
      </c>
      <c r="AE35" s="13" t="s">
        <v>3083</v>
      </c>
      <c r="AF35" s="13" t="s">
        <v>3097</v>
      </c>
      <c r="AG35" s="13" t="s">
        <v>3033</v>
      </c>
      <c r="AH35" s="13">
        <v>2019</v>
      </c>
      <c r="AI35" s="13" t="s">
        <v>3033</v>
      </c>
      <c r="AJ35" s="13" t="s">
        <v>3102</v>
      </c>
      <c r="AK35" s="13">
        <v>2020</v>
      </c>
      <c r="AL35" s="13">
        <v>2021</v>
      </c>
      <c r="AM35" s="13">
        <v>2021</v>
      </c>
      <c r="AN35" s="13">
        <v>2021</v>
      </c>
      <c r="AO35" s="13" t="s">
        <v>3033</v>
      </c>
      <c r="AP35" s="13" t="s">
        <v>3097</v>
      </c>
      <c r="AQ35" s="13">
        <v>2016</v>
      </c>
      <c r="AR35" s="13" t="s">
        <v>3085</v>
      </c>
      <c r="AS35" s="13">
        <v>2020</v>
      </c>
      <c r="AT35" s="13" t="s">
        <v>3344</v>
      </c>
      <c r="AU35" s="13">
        <v>2021</v>
      </c>
      <c r="AV35" s="13">
        <v>2018</v>
      </c>
      <c r="AW35" s="13">
        <v>2018</v>
      </c>
      <c r="AX35" s="13">
        <v>2020</v>
      </c>
      <c r="AY35" s="13">
        <v>2018</v>
      </c>
      <c r="AZ35" s="13">
        <v>2019</v>
      </c>
      <c r="BA35" s="13" t="s">
        <v>3384</v>
      </c>
      <c r="BB35" s="13" t="s">
        <v>1735</v>
      </c>
      <c r="BC35" s="13" t="s">
        <v>1886</v>
      </c>
      <c r="BD35" s="13">
        <v>2020</v>
      </c>
      <c r="BE35" s="13" t="s">
        <v>3033</v>
      </c>
      <c r="BF35" s="13" t="s">
        <v>3033</v>
      </c>
      <c r="BG35" s="13" t="s">
        <v>3398</v>
      </c>
      <c r="BH35" s="13">
        <v>2018</v>
      </c>
      <c r="BI35" s="13" t="s">
        <v>1905</v>
      </c>
      <c r="BJ35" s="13">
        <v>2019</v>
      </c>
      <c r="BK35" s="13">
        <v>2020</v>
      </c>
      <c r="BL35" s="13" t="s">
        <v>3463</v>
      </c>
      <c r="BM35" s="13">
        <v>2021</v>
      </c>
      <c r="BN35" s="13" t="s">
        <v>3406</v>
      </c>
      <c r="BO35" s="13" t="s">
        <v>2535</v>
      </c>
      <c r="BP35" s="13">
        <v>2020</v>
      </c>
      <c r="BQ35" s="13" t="s">
        <v>1722</v>
      </c>
      <c r="BR35" s="13">
        <v>2020</v>
      </c>
      <c r="BS35" s="13">
        <v>2020</v>
      </c>
      <c r="BT35" s="13">
        <v>2021</v>
      </c>
      <c r="BU35" s="13">
        <v>2021</v>
      </c>
      <c r="BV35" s="13">
        <v>2021</v>
      </c>
      <c r="BW35" s="13" t="s">
        <v>3398</v>
      </c>
      <c r="BX35" s="13">
        <v>2020</v>
      </c>
      <c r="BY35" s="311" t="s">
        <v>1599</v>
      </c>
    </row>
    <row r="36" spans="1:77">
      <c r="A36" s="2">
        <v>31</v>
      </c>
      <c r="B36" s="55">
        <f>INDEX(順位表[Comprehensive],MATCH($C36,順位表['#],0))</f>
        <v>32</v>
      </c>
      <c r="C36" s="3">
        <v>31</v>
      </c>
      <c r="D36" s="1" t="str">
        <f>INDEX(都市マスタ[City Name],MATCH($C36,都市マスタ['#],0))</f>
        <v>Vancouver</v>
      </c>
      <c r="E36" s="13">
        <v>2020</v>
      </c>
      <c r="F36" s="13">
        <v>2016</v>
      </c>
      <c r="G36" s="13" t="s">
        <v>1600</v>
      </c>
      <c r="H36" s="13">
        <v>2018</v>
      </c>
      <c r="I36" s="13"/>
      <c r="J36" s="13" t="s">
        <v>1601</v>
      </c>
      <c r="K36" s="13">
        <v>2020</v>
      </c>
      <c r="L36" s="13"/>
      <c r="M36" s="13">
        <v>2021</v>
      </c>
      <c r="N36" s="13">
        <v>2016</v>
      </c>
      <c r="O36" s="13">
        <v>2016</v>
      </c>
      <c r="P36" s="13">
        <v>2018</v>
      </c>
      <c r="Q36" s="13" t="s">
        <v>2994</v>
      </c>
      <c r="R36" s="13" t="s">
        <v>3033</v>
      </c>
      <c r="S36" s="13">
        <v>2020</v>
      </c>
      <c r="T36" s="13" t="s">
        <v>2534</v>
      </c>
      <c r="U36" s="13">
        <v>2017</v>
      </c>
      <c r="V36" s="13">
        <v>2021</v>
      </c>
      <c r="W36" s="13">
        <v>2019</v>
      </c>
      <c r="X36" s="13">
        <v>2021</v>
      </c>
      <c r="Y36" s="13">
        <v>2018</v>
      </c>
      <c r="Z36" s="13" t="s">
        <v>2532</v>
      </c>
      <c r="AA36" s="13" t="s">
        <v>2533</v>
      </c>
      <c r="AB36" s="13" t="s">
        <v>3075</v>
      </c>
      <c r="AC36" s="13">
        <v>2019</v>
      </c>
      <c r="AD36" s="13" t="s">
        <v>3080</v>
      </c>
      <c r="AE36" s="13" t="s">
        <v>3083</v>
      </c>
      <c r="AF36" s="13" t="s">
        <v>3097</v>
      </c>
      <c r="AG36" s="13" t="s">
        <v>3033</v>
      </c>
      <c r="AH36" s="13">
        <v>2019</v>
      </c>
      <c r="AI36" s="13" t="s">
        <v>3033</v>
      </c>
      <c r="AJ36" s="13" t="s">
        <v>3102</v>
      </c>
      <c r="AK36" s="13">
        <v>2020</v>
      </c>
      <c r="AL36" s="13">
        <v>2021</v>
      </c>
      <c r="AM36" s="13">
        <v>2021</v>
      </c>
      <c r="AN36" s="13">
        <v>2021</v>
      </c>
      <c r="AO36" s="13" t="s">
        <v>3033</v>
      </c>
      <c r="AP36" s="13" t="s">
        <v>3097</v>
      </c>
      <c r="AQ36" s="13">
        <v>2016</v>
      </c>
      <c r="AR36" s="13" t="s">
        <v>3085</v>
      </c>
      <c r="AS36" s="13">
        <v>2020</v>
      </c>
      <c r="AT36" s="13" t="s">
        <v>3344</v>
      </c>
      <c r="AU36" s="13">
        <v>2021</v>
      </c>
      <c r="AV36" s="13">
        <v>2020</v>
      </c>
      <c r="AW36" s="13">
        <v>2018</v>
      </c>
      <c r="AX36" s="13">
        <v>2020</v>
      </c>
      <c r="AY36" s="13">
        <v>2018</v>
      </c>
      <c r="AZ36" s="13">
        <v>2019</v>
      </c>
      <c r="BA36" s="13" t="s">
        <v>3384</v>
      </c>
      <c r="BB36" s="13" t="s">
        <v>1735</v>
      </c>
      <c r="BC36" s="13" t="s">
        <v>1735</v>
      </c>
      <c r="BD36" s="13">
        <v>2020</v>
      </c>
      <c r="BE36" s="13" t="s">
        <v>3033</v>
      </c>
      <c r="BF36" s="13" t="s">
        <v>3033</v>
      </c>
      <c r="BG36" s="13" t="s">
        <v>3398</v>
      </c>
      <c r="BH36" s="13">
        <v>2018</v>
      </c>
      <c r="BI36" s="13">
        <v>2018</v>
      </c>
      <c r="BJ36" s="13">
        <v>2019</v>
      </c>
      <c r="BK36" s="13">
        <v>2020</v>
      </c>
      <c r="BL36" s="13" t="s">
        <v>3463</v>
      </c>
      <c r="BM36" s="13">
        <v>2021</v>
      </c>
      <c r="BN36" s="13" t="s">
        <v>3406</v>
      </c>
      <c r="BO36" s="13" t="s">
        <v>2535</v>
      </c>
      <c r="BP36" s="13">
        <v>2020</v>
      </c>
      <c r="BQ36" s="13" t="s">
        <v>1719</v>
      </c>
      <c r="BR36" s="13">
        <v>2020</v>
      </c>
      <c r="BS36" s="13">
        <v>2020</v>
      </c>
      <c r="BT36" s="13">
        <v>2021</v>
      </c>
      <c r="BU36" s="13">
        <v>2021</v>
      </c>
      <c r="BV36" s="13">
        <v>2021</v>
      </c>
      <c r="BW36" s="13" t="s">
        <v>3398</v>
      </c>
      <c r="BX36" s="13">
        <v>2020</v>
      </c>
      <c r="BY36" s="311" t="s">
        <v>3552</v>
      </c>
    </row>
    <row r="37" spans="1:77">
      <c r="A37" s="2">
        <v>32</v>
      </c>
      <c r="B37" s="55">
        <f>INDEX(順位表[Comprehensive],MATCH($C37,順位表['#],0))</f>
        <v>27</v>
      </c>
      <c r="C37" s="3">
        <v>32</v>
      </c>
      <c r="D37" s="1" t="str">
        <f>INDEX(都市マスタ[City Name],MATCH($C37,都市マスタ['#],0))</f>
        <v>San Francisco</v>
      </c>
      <c r="E37" s="13">
        <v>2019</v>
      </c>
      <c r="F37" s="13">
        <v>2010</v>
      </c>
      <c r="G37" s="13" t="s">
        <v>1600</v>
      </c>
      <c r="H37" s="13">
        <v>2019</v>
      </c>
      <c r="I37" s="13" t="s">
        <v>2860</v>
      </c>
      <c r="J37" s="13" t="s">
        <v>1605</v>
      </c>
      <c r="K37" s="13">
        <v>2020</v>
      </c>
      <c r="L37" s="13"/>
      <c r="M37" s="13">
        <v>2021</v>
      </c>
      <c r="N37" s="13">
        <v>2019</v>
      </c>
      <c r="O37" s="13">
        <v>2019</v>
      </c>
      <c r="P37" s="13">
        <v>2018</v>
      </c>
      <c r="Q37" s="13" t="s">
        <v>2994</v>
      </c>
      <c r="R37" s="13" t="s">
        <v>3033</v>
      </c>
      <c r="S37" s="13">
        <v>2021</v>
      </c>
      <c r="T37" s="13" t="s">
        <v>2534</v>
      </c>
      <c r="U37" s="13" t="s">
        <v>3049</v>
      </c>
      <c r="V37" s="13">
        <v>2021</v>
      </c>
      <c r="W37" s="13">
        <v>2018</v>
      </c>
      <c r="X37" s="13">
        <v>2021</v>
      </c>
      <c r="Y37" s="13">
        <v>2018</v>
      </c>
      <c r="Z37" s="13" t="s">
        <v>3066</v>
      </c>
      <c r="AA37" s="13" t="s">
        <v>2533</v>
      </c>
      <c r="AB37" s="13" t="s">
        <v>3075</v>
      </c>
      <c r="AC37" s="13">
        <v>2019</v>
      </c>
      <c r="AD37" s="13" t="s">
        <v>3080</v>
      </c>
      <c r="AE37" s="13" t="s">
        <v>3083</v>
      </c>
      <c r="AF37" s="13" t="s">
        <v>3097</v>
      </c>
      <c r="AG37" s="13" t="s">
        <v>3033</v>
      </c>
      <c r="AH37" s="13">
        <v>2019</v>
      </c>
      <c r="AI37" s="13" t="s">
        <v>3033</v>
      </c>
      <c r="AJ37" s="13" t="s">
        <v>3102</v>
      </c>
      <c r="AK37" s="13">
        <v>2020</v>
      </c>
      <c r="AL37" s="13">
        <v>2021</v>
      </c>
      <c r="AM37" s="13">
        <v>2021</v>
      </c>
      <c r="AN37" s="13">
        <v>2021</v>
      </c>
      <c r="AO37" s="13" t="s">
        <v>3033</v>
      </c>
      <c r="AP37" s="13" t="s">
        <v>3097</v>
      </c>
      <c r="AQ37" s="13">
        <v>2019</v>
      </c>
      <c r="AR37" s="13" t="s">
        <v>3163</v>
      </c>
      <c r="AS37" s="13">
        <v>2020</v>
      </c>
      <c r="AT37" s="13" t="s">
        <v>3344</v>
      </c>
      <c r="AU37" s="13">
        <v>2021</v>
      </c>
      <c r="AV37" s="13">
        <v>2020</v>
      </c>
      <c r="AW37" s="13">
        <v>2018</v>
      </c>
      <c r="AX37" s="13">
        <v>2019</v>
      </c>
      <c r="AY37" s="13">
        <v>2018</v>
      </c>
      <c r="AZ37" s="13">
        <v>2019</v>
      </c>
      <c r="BA37" s="13" t="s">
        <v>3384</v>
      </c>
      <c r="BB37" s="13" t="s">
        <v>1735</v>
      </c>
      <c r="BC37" s="13" t="s">
        <v>1886</v>
      </c>
      <c r="BD37" s="13">
        <v>2020</v>
      </c>
      <c r="BE37" s="13" t="s">
        <v>3033</v>
      </c>
      <c r="BF37" s="13" t="s">
        <v>3033</v>
      </c>
      <c r="BG37" s="13" t="s">
        <v>3398</v>
      </c>
      <c r="BH37" s="13">
        <v>2018</v>
      </c>
      <c r="BI37" s="13" t="s">
        <v>1901</v>
      </c>
      <c r="BJ37" s="13">
        <v>2019</v>
      </c>
      <c r="BK37" s="13">
        <v>2020</v>
      </c>
      <c r="BL37" s="13" t="s">
        <v>3463</v>
      </c>
      <c r="BM37" s="13">
        <v>2021</v>
      </c>
      <c r="BN37" s="13" t="s">
        <v>3406</v>
      </c>
      <c r="BO37" s="13" t="s">
        <v>2535</v>
      </c>
      <c r="BP37" s="13">
        <v>2020</v>
      </c>
      <c r="BQ37" s="13" t="s">
        <v>1719</v>
      </c>
      <c r="BR37" s="13">
        <v>2020</v>
      </c>
      <c r="BS37" s="13">
        <v>2020</v>
      </c>
      <c r="BT37" s="13">
        <v>2021</v>
      </c>
      <c r="BU37" s="13">
        <v>2021</v>
      </c>
      <c r="BV37" s="13">
        <v>2021</v>
      </c>
      <c r="BW37" s="13" t="s">
        <v>3398</v>
      </c>
      <c r="BX37" s="13">
        <v>2020</v>
      </c>
      <c r="BY37" s="311" t="s">
        <v>3551</v>
      </c>
    </row>
    <row r="38" spans="1:77">
      <c r="A38" s="2">
        <v>33</v>
      </c>
      <c r="B38" s="55">
        <f>INDEX(順位表[Comprehensive],MATCH($C38,順位表['#],0))</f>
        <v>21</v>
      </c>
      <c r="C38" s="3">
        <v>33</v>
      </c>
      <c r="D38" s="1" t="str">
        <f>INDEX(都市マスタ[City Name],MATCH($C38,都市マスタ['#],0))</f>
        <v>Los Angeles</v>
      </c>
      <c r="E38" s="13">
        <v>2019</v>
      </c>
      <c r="F38" s="13">
        <v>2010</v>
      </c>
      <c r="G38" s="13" t="s">
        <v>1600</v>
      </c>
      <c r="H38" s="13">
        <v>2019</v>
      </c>
      <c r="I38" s="13" t="s">
        <v>2860</v>
      </c>
      <c r="J38" s="13" t="s">
        <v>1605</v>
      </c>
      <c r="K38" s="13">
        <v>2020</v>
      </c>
      <c r="L38" s="13"/>
      <c r="M38" s="13">
        <v>2021</v>
      </c>
      <c r="N38" s="13">
        <v>2019</v>
      </c>
      <c r="O38" s="13">
        <v>2019</v>
      </c>
      <c r="P38" s="13">
        <v>2018</v>
      </c>
      <c r="Q38" s="13" t="s">
        <v>2994</v>
      </c>
      <c r="R38" s="13" t="s">
        <v>3033</v>
      </c>
      <c r="S38" s="13">
        <v>2021</v>
      </c>
      <c r="T38" s="13" t="s">
        <v>2534</v>
      </c>
      <c r="U38" s="13" t="s">
        <v>3049</v>
      </c>
      <c r="V38" s="13">
        <v>2021</v>
      </c>
      <c r="W38" s="13">
        <v>2018</v>
      </c>
      <c r="X38" s="13">
        <v>2021</v>
      </c>
      <c r="Y38" s="13">
        <v>2018</v>
      </c>
      <c r="Z38" s="13" t="s">
        <v>3066</v>
      </c>
      <c r="AA38" s="13" t="s">
        <v>2533</v>
      </c>
      <c r="AB38" s="13" t="s">
        <v>3075</v>
      </c>
      <c r="AC38" s="13">
        <v>2019</v>
      </c>
      <c r="AD38" s="13" t="s">
        <v>3080</v>
      </c>
      <c r="AE38" s="13" t="s">
        <v>3083</v>
      </c>
      <c r="AF38" s="13" t="s">
        <v>3097</v>
      </c>
      <c r="AG38" s="13" t="s">
        <v>3033</v>
      </c>
      <c r="AH38" s="13">
        <v>2019</v>
      </c>
      <c r="AI38" s="13" t="s">
        <v>3033</v>
      </c>
      <c r="AJ38" s="13" t="s">
        <v>3102</v>
      </c>
      <c r="AK38" s="13">
        <v>2020</v>
      </c>
      <c r="AL38" s="13">
        <v>2021</v>
      </c>
      <c r="AM38" s="13">
        <v>2021</v>
      </c>
      <c r="AN38" s="13">
        <v>2021</v>
      </c>
      <c r="AO38" s="13" t="s">
        <v>3033</v>
      </c>
      <c r="AP38" s="13" t="s">
        <v>3097</v>
      </c>
      <c r="AQ38" s="13">
        <v>2019</v>
      </c>
      <c r="AR38" s="13" t="s">
        <v>3163</v>
      </c>
      <c r="AS38" s="13">
        <v>2020</v>
      </c>
      <c r="AT38" s="13" t="s">
        <v>3344</v>
      </c>
      <c r="AU38" s="13">
        <v>2021</v>
      </c>
      <c r="AV38" s="13">
        <v>2018</v>
      </c>
      <c r="AW38" s="13">
        <v>2018</v>
      </c>
      <c r="AX38" s="13">
        <v>2019</v>
      </c>
      <c r="AY38" s="13">
        <v>2018</v>
      </c>
      <c r="AZ38" s="13">
        <v>2019</v>
      </c>
      <c r="BA38" s="13" t="s">
        <v>3384</v>
      </c>
      <c r="BB38" s="13" t="s">
        <v>1735</v>
      </c>
      <c r="BC38" s="13" t="s">
        <v>1886</v>
      </c>
      <c r="BD38" s="13">
        <v>2020</v>
      </c>
      <c r="BE38" s="13" t="s">
        <v>3033</v>
      </c>
      <c r="BF38" s="13" t="s">
        <v>3033</v>
      </c>
      <c r="BG38" s="13" t="s">
        <v>3401</v>
      </c>
      <c r="BH38" s="13">
        <v>2018</v>
      </c>
      <c r="BI38" s="13" t="s">
        <v>1901</v>
      </c>
      <c r="BJ38" s="13">
        <v>2019</v>
      </c>
      <c r="BK38" s="13">
        <v>2020</v>
      </c>
      <c r="BL38" s="13" t="s">
        <v>3463</v>
      </c>
      <c r="BM38" s="13">
        <v>2021</v>
      </c>
      <c r="BN38" s="13" t="s">
        <v>3406</v>
      </c>
      <c r="BO38" s="13" t="s">
        <v>2535</v>
      </c>
      <c r="BP38" s="13">
        <v>2020</v>
      </c>
      <c r="BQ38" s="13" t="s">
        <v>1719</v>
      </c>
      <c r="BR38" s="13">
        <v>2020</v>
      </c>
      <c r="BS38" s="13">
        <v>2020</v>
      </c>
      <c r="BT38" s="13">
        <v>2021</v>
      </c>
      <c r="BU38" s="13">
        <v>2021</v>
      </c>
      <c r="BV38" s="13">
        <v>2021</v>
      </c>
      <c r="BW38" s="13" t="s">
        <v>3398</v>
      </c>
      <c r="BX38" s="13">
        <v>2020</v>
      </c>
      <c r="BY38" s="311" t="s">
        <v>1599</v>
      </c>
    </row>
    <row r="39" spans="1:77">
      <c r="A39" s="2">
        <v>34</v>
      </c>
      <c r="B39" s="55">
        <f>INDEX(順位表[Comprehensive],MATCH($C39,順位表['#],0))</f>
        <v>43</v>
      </c>
      <c r="C39" s="3">
        <v>34</v>
      </c>
      <c r="D39" s="1" t="str">
        <f>INDEX(都市マスタ[City Name],MATCH($C39,都市マスタ['#],0))</f>
        <v>Mexico City</v>
      </c>
      <c r="E39" s="13">
        <v>2021</v>
      </c>
      <c r="F39" s="13">
        <v>2020</v>
      </c>
      <c r="G39" s="13" t="s">
        <v>1600</v>
      </c>
      <c r="H39" s="13">
        <v>2019</v>
      </c>
      <c r="I39" s="13"/>
      <c r="J39" s="13" t="s">
        <v>1601</v>
      </c>
      <c r="K39" s="13">
        <v>2020</v>
      </c>
      <c r="L39" s="13">
        <v>2020</v>
      </c>
      <c r="M39" s="13">
        <v>2021</v>
      </c>
      <c r="N39" s="13">
        <v>2020</v>
      </c>
      <c r="O39" s="13">
        <v>2021</v>
      </c>
      <c r="P39" s="13">
        <v>2018</v>
      </c>
      <c r="Q39" s="13" t="s">
        <v>2993</v>
      </c>
      <c r="R39" s="13" t="s">
        <v>3033</v>
      </c>
      <c r="S39" s="13">
        <v>2021</v>
      </c>
      <c r="T39" s="13" t="s">
        <v>2534</v>
      </c>
      <c r="U39" s="13">
        <v>2016</v>
      </c>
      <c r="V39" s="13">
        <v>2021</v>
      </c>
      <c r="W39" s="13">
        <v>2018</v>
      </c>
      <c r="X39" s="13">
        <v>2021</v>
      </c>
      <c r="Y39" s="13">
        <v>2018</v>
      </c>
      <c r="Z39" s="13" t="s">
        <v>2532</v>
      </c>
      <c r="AA39" s="13" t="s">
        <v>2533</v>
      </c>
      <c r="AB39" s="13" t="s">
        <v>3075</v>
      </c>
      <c r="AC39" s="13">
        <v>2019</v>
      </c>
      <c r="AD39" s="13" t="s">
        <v>3080</v>
      </c>
      <c r="AE39" s="13" t="s">
        <v>3084</v>
      </c>
      <c r="AF39" s="13" t="s">
        <v>3097</v>
      </c>
      <c r="AG39" s="13" t="s">
        <v>3033</v>
      </c>
      <c r="AH39" s="13">
        <v>2019</v>
      </c>
      <c r="AI39" s="13" t="s">
        <v>3033</v>
      </c>
      <c r="AJ39" s="13" t="s">
        <v>3102</v>
      </c>
      <c r="AK39" s="13">
        <v>2020</v>
      </c>
      <c r="AL39" s="13">
        <v>2021</v>
      </c>
      <c r="AM39" s="13">
        <v>2021</v>
      </c>
      <c r="AN39" s="13">
        <v>2021</v>
      </c>
      <c r="AO39" s="13" t="s">
        <v>3033</v>
      </c>
      <c r="AP39" s="13" t="s">
        <v>3097</v>
      </c>
      <c r="AQ39" s="13">
        <v>2020</v>
      </c>
      <c r="AR39" s="13" t="s">
        <v>3085</v>
      </c>
      <c r="AS39" s="13">
        <v>2020</v>
      </c>
      <c r="AT39" s="13" t="s">
        <v>3344</v>
      </c>
      <c r="AU39" s="13">
        <v>2021</v>
      </c>
      <c r="AV39" s="13">
        <v>2018</v>
      </c>
      <c r="AW39" s="13">
        <v>2018</v>
      </c>
      <c r="AX39" s="13">
        <v>2017</v>
      </c>
      <c r="AY39" s="13">
        <v>2018</v>
      </c>
      <c r="AZ39" s="13">
        <v>2019</v>
      </c>
      <c r="BA39" s="13" t="s">
        <v>3384</v>
      </c>
      <c r="BB39" s="13" t="s">
        <v>1735</v>
      </c>
      <c r="BC39" s="13" t="s">
        <v>1886</v>
      </c>
      <c r="BD39" s="13">
        <v>2020</v>
      </c>
      <c r="BE39" s="13" t="s">
        <v>3033</v>
      </c>
      <c r="BF39" s="13" t="s">
        <v>3033</v>
      </c>
      <c r="BG39" s="13" t="s">
        <v>3403</v>
      </c>
      <c r="BH39" s="13">
        <v>2018</v>
      </c>
      <c r="BI39" s="13" t="s">
        <v>1906</v>
      </c>
      <c r="BJ39" s="13">
        <v>2019</v>
      </c>
      <c r="BK39" s="13">
        <v>2020</v>
      </c>
      <c r="BL39" s="13" t="s">
        <v>3463</v>
      </c>
      <c r="BM39" s="13">
        <v>2021</v>
      </c>
      <c r="BN39" s="13" t="s">
        <v>3406</v>
      </c>
      <c r="BO39" s="13" t="s">
        <v>2535</v>
      </c>
      <c r="BP39" s="13">
        <v>2020</v>
      </c>
      <c r="BQ39" s="13" t="s">
        <v>3404</v>
      </c>
      <c r="BR39" s="13">
        <v>2020</v>
      </c>
      <c r="BS39" s="13">
        <v>2020</v>
      </c>
      <c r="BT39" s="13">
        <v>2021</v>
      </c>
      <c r="BU39" s="13">
        <v>2021</v>
      </c>
      <c r="BV39" s="13">
        <v>2021</v>
      </c>
      <c r="BW39" s="13" t="s">
        <v>3398</v>
      </c>
      <c r="BX39" s="13">
        <v>2020</v>
      </c>
      <c r="BY39" s="311" t="s">
        <v>1599</v>
      </c>
    </row>
    <row r="40" spans="1:77">
      <c r="A40" s="2">
        <v>35</v>
      </c>
      <c r="B40" s="55">
        <f>INDEX(順位表[Comprehensive],MATCH($C40,順位表['#],0))</f>
        <v>25</v>
      </c>
      <c r="C40" s="3">
        <v>35</v>
      </c>
      <c r="D40" s="1" t="str">
        <f>INDEX(都市マスタ[City Name],MATCH($C40,都市マスタ['#],0))</f>
        <v>Chicago</v>
      </c>
      <c r="E40" s="13">
        <v>2019</v>
      </c>
      <c r="F40" s="13">
        <v>2010</v>
      </c>
      <c r="G40" s="13" t="s">
        <v>1600</v>
      </c>
      <c r="H40" s="13">
        <v>2019</v>
      </c>
      <c r="I40" s="13" t="s">
        <v>2860</v>
      </c>
      <c r="J40" s="13" t="s">
        <v>1605</v>
      </c>
      <c r="K40" s="13">
        <v>2020</v>
      </c>
      <c r="L40" s="13"/>
      <c r="M40" s="13">
        <v>2021</v>
      </c>
      <c r="N40" s="13">
        <v>2019</v>
      </c>
      <c r="O40" s="13">
        <v>2019</v>
      </c>
      <c r="P40" s="13">
        <v>2018</v>
      </c>
      <c r="Q40" s="13" t="s">
        <v>2994</v>
      </c>
      <c r="R40" s="13" t="s">
        <v>3033</v>
      </c>
      <c r="S40" s="13">
        <v>2021</v>
      </c>
      <c r="T40" s="13" t="s">
        <v>2534</v>
      </c>
      <c r="U40" s="13" t="s">
        <v>3049</v>
      </c>
      <c r="V40" s="13">
        <v>2021</v>
      </c>
      <c r="W40" s="13">
        <v>2018</v>
      </c>
      <c r="X40" s="13">
        <v>2021</v>
      </c>
      <c r="Y40" s="13">
        <v>2018</v>
      </c>
      <c r="Z40" s="13" t="s">
        <v>3066</v>
      </c>
      <c r="AA40" s="13" t="s">
        <v>2533</v>
      </c>
      <c r="AB40" s="13" t="s">
        <v>3075</v>
      </c>
      <c r="AC40" s="13">
        <v>2019</v>
      </c>
      <c r="AD40" s="13" t="s">
        <v>3080</v>
      </c>
      <c r="AE40" s="13" t="s">
        <v>3083</v>
      </c>
      <c r="AF40" s="13" t="s">
        <v>3097</v>
      </c>
      <c r="AG40" s="13" t="s">
        <v>3033</v>
      </c>
      <c r="AH40" s="13">
        <v>2019</v>
      </c>
      <c r="AI40" s="13" t="s">
        <v>3033</v>
      </c>
      <c r="AJ40" s="13" t="s">
        <v>3102</v>
      </c>
      <c r="AK40" s="13">
        <v>2020</v>
      </c>
      <c r="AL40" s="13">
        <v>2021</v>
      </c>
      <c r="AM40" s="13">
        <v>2021</v>
      </c>
      <c r="AN40" s="13">
        <v>2021</v>
      </c>
      <c r="AO40" s="13" t="s">
        <v>3033</v>
      </c>
      <c r="AP40" s="13" t="s">
        <v>3097</v>
      </c>
      <c r="AQ40" s="13">
        <v>2019</v>
      </c>
      <c r="AR40" s="13" t="s">
        <v>3163</v>
      </c>
      <c r="AS40" s="13">
        <v>2020</v>
      </c>
      <c r="AT40" s="13" t="s">
        <v>3344</v>
      </c>
      <c r="AU40" s="13">
        <v>2021</v>
      </c>
      <c r="AV40" s="13">
        <v>2018</v>
      </c>
      <c r="AW40" s="13">
        <v>2018</v>
      </c>
      <c r="AX40" s="13">
        <v>2019</v>
      </c>
      <c r="AY40" s="13">
        <v>2018</v>
      </c>
      <c r="AZ40" s="13">
        <v>2019</v>
      </c>
      <c r="BA40" s="13" t="s">
        <v>3384</v>
      </c>
      <c r="BB40" s="13" t="s">
        <v>1735</v>
      </c>
      <c r="BC40" s="13" t="s">
        <v>1886</v>
      </c>
      <c r="BD40" s="13">
        <v>2020</v>
      </c>
      <c r="BE40" s="13" t="s">
        <v>3033</v>
      </c>
      <c r="BF40" s="13" t="s">
        <v>3033</v>
      </c>
      <c r="BG40" s="13" t="s">
        <v>3398</v>
      </c>
      <c r="BH40" s="13">
        <v>2018</v>
      </c>
      <c r="BI40" s="13" t="s">
        <v>1901</v>
      </c>
      <c r="BJ40" s="13">
        <v>2019</v>
      </c>
      <c r="BK40" s="13">
        <v>2020</v>
      </c>
      <c r="BL40" s="13" t="s">
        <v>3463</v>
      </c>
      <c r="BM40" s="13">
        <v>2021</v>
      </c>
      <c r="BN40" s="13" t="s">
        <v>3406</v>
      </c>
      <c r="BO40" s="13" t="s">
        <v>2535</v>
      </c>
      <c r="BP40" s="13">
        <v>2020</v>
      </c>
      <c r="BQ40" s="13" t="s">
        <v>3404</v>
      </c>
      <c r="BR40" s="13">
        <v>2020</v>
      </c>
      <c r="BS40" s="13">
        <v>2020</v>
      </c>
      <c r="BT40" s="13">
        <v>2021</v>
      </c>
      <c r="BU40" s="13">
        <v>2021</v>
      </c>
      <c r="BV40" s="13">
        <v>2021</v>
      </c>
      <c r="BW40" s="13" t="s">
        <v>3398</v>
      </c>
      <c r="BX40" s="13">
        <v>2020</v>
      </c>
      <c r="BY40" s="311" t="s">
        <v>1599</v>
      </c>
    </row>
    <row r="41" spans="1:77">
      <c r="A41" s="2">
        <v>36</v>
      </c>
      <c r="B41" s="55">
        <f>INDEX(順位表[Comprehensive],MATCH($C41,順位表['#],0))</f>
        <v>23</v>
      </c>
      <c r="C41" s="3">
        <v>36</v>
      </c>
      <c r="D41" s="1" t="str">
        <f>INDEX(都市マスタ[City Name],MATCH($C41,都市マスタ['#],0))</f>
        <v>Toronto</v>
      </c>
      <c r="E41" s="13">
        <v>2018</v>
      </c>
      <c r="F41" s="13">
        <v>2018</v>
      </c>
      <c r="G41" s="13" t="s">
        <v>1600</v>
      </c>
      <c r="H41" s="13">
        <v>2018</v>
      </c>
      <c r="I41" s="13"/>
      <c r="J41" s="13" t="s">
        <v>1601</v>
      </c>
      <c r="K41" s="13">
        <v>2020</v>
      </c>
      <c r="L41" s="13">
        <v>2020</v>
      </c>
      <c r="M41" s="13">
        <v>2021</v>
      </c>
      <c r="N41" s="13">
        <v>2018</v>
      </c>
      <c r="O41" s="13">
        <v>2018</v>
      </c>
      <c r="P41" s="13">
        <v>2018</v>
      </c>
      <c r="Q41" s="13" t="s">
        <v>2994</v>
      </c>
      <c r="R41" s="13" t="s">
        <v>3033</v>
      </c>
      <c r="S41" s="13">
        <v>2020</v>
      </c>
      <c r="T41" s="13" t="s">
        <v>2534</v>
      </c>
      <c r="U41" s="13">
        <v>2017</v>
      </c>
      <c r="V41" s="13">
        <v>2021</v>
      </c>
      <c r="W41" s="13">
        <v>2019</v>
      </c>
      <c r="X41" s="13">
        <v>2021</v>
      </c>
      <c r="Y41" s="13">
        <v>2018</v>
      </c>
      <c r="Z41" s="13" t="s">
        <v>2532</v>
      </c>
      <c r="AA41" s="13" t="s">
        <v>2533</v>
      </c>
      <c r="AB41" s="13" t="s">
        <v>3075</v>
      </c>
      <c r="AC41" s="13">
        <v>2019</v>
      </c>
      <c r="AD41" s="13" t="s">
        <v>3080</v>
      </c>
      <c r="AE41" s="13" t="s">
        <v>3083</v>
      </c>
      <c r="AF41" s="13" t="s">
        <v>3097</v>
      </c>
      <c r="AG41" s="13" t="s">
        <v>3033</v>
      </c>
      <c r="AH41" s="13">
        <v>2019</v>
      </c>
      <c r="AI41" s="13" t="s">
        <v>3033</v>
      </c>
      <c r="AJ41" s="13" t="s">
        <v>3102</v>
      </c>
      <c r="AK41" s="13">
        <v>2020</v>
      </c>
      <c r="AL41" s="13">
        <v>2021</v>
      </c>
      <c r="AM41" s="13">
        <v>2021</v>
      </c>
      <c r="AN41" s="13">
        <v>2021</v>
      </c>
      <c r="AO41" s="13" t="s">
        <v>3033</v>
      </c>
      <c r="AP41" s="13" t="s">
        <v>3097</v>
      </c>
      <c r="AQ41" s="13">
        <v>2016</v>
      </c>
      <c r="AR41" s="13" t="s">
        <v>3165</v>
      </c>
      <c r="AS41" s="13">
        <v>2020</v>
      </c>
      <c r="AT41" s="13" t="s">
        <v>3344</v>
      </c>
      <c r="AU41" s="13">
        <v>2021</v>
      </c>
      <c r="AV41" s="13">
        <v>2018</v>
      </c>
      <c r="AW41" s="13">
        <v>2018</v>
      </c>
      <c r="AX41" s="13">
        <v>2020</v>
      </c>
      <c r="AY41" s="13">
        <v>2018</v>
      </c>
      <c r="AZ41" s="13">
        <v>2019</v>
      </c>
      <c r="BA41" s="13" t="s">
        <v>3384</v>
      </c>
      <c r="BB41" s="13" t="s">
        <v>1735</v>
      </c>
      <c r="BC41" s="13" t="s">
        <v>1735</v>
      </c>
      <c r="BD41" s="13">
        <v>2020</v>
      </c>
      <c r="BE41" s="13" t="s">
        <v>3033</v>
      </c>
      <c r="BF41" s="13" t="s">
        <v>3033</v>
      </c>
      <c r="BG41" s="13" t="s">
        <v>3398</v>
      </c>
      <c r="BH41" s="13">
        <v>2018</v>
      </c>
      <c r="BI41" s="13">
        <v>2018</v>
      </c>
      <c r="BJ41" s="13">
        <v>2019</v>
      </c>
      <c r="BK41" s="13">
        <v>2020</v>
      </c>
      <c r="BL41" s="13" t="s">
        <v>3463</v>
      </c>
      <c r="BM41" s="13">
        <v>2021</v>
      </c>
      <c r="BN41" s="13" t="s">
        <v>3406</v>
      </c>
      <c r="BO41" s="13" t="s">
        <v>2535</v>
      </c>
      <c r="BP41" s="13">
        <v>2020</v>
      </c>
      <c r="BQ41" s="13" t="s">
        <v>3404</v>
      </c>
      <c r="BR41" s="13">
        <v>2020</v>
      </c>
      <c r="BS41" s="13">
        <v>2020</v>
      </c>
      <c r="BT41" s="13">
        <v>2021</v>
      </c>
      <c r="BU41" s="13">
        <v>2021</v>
      </c>
      <c r="BV41" s="13">
        <v>2021</v>
      </c>
      <c r="BW41" s="13" t="s">
        <v>3398</v>
      </c>
      <c r="BX41" s="13">
        <v>2020</v>
      </c>
      <c r="BY41" s="311" t="s">
        <v>1599</v>
      </c>
    </row>
    <row r="42" spans="1:77">
      <c r="A42" s="2">
        <v>37</v>
      </c>
      <c r="B42" s="55">
        <f>INDEX(順位表[Comprehensive],MATCH($C42,順位表['#],0))</f>
        <v>36</v>
      </c>
      <c r="C42" s="3">
        <v>37</v>
      </c>
      <c r="D42" s="1" t="str">
        <f>INDEX(都市マスタ[City Name],MATCH($C42,都市マスタ['#],0))</f>
        <v>Washington, DC</v>
      </c>
      <c r="E42" s="13">
        <v>2019</v>
      </c>
      <c r="F42" s="13">
        <v>2010</v>
      </c>
      <c r="G42" s="13" t="s">
        <v>1600</v>
      </c>
      <c r="H42" s="13">
        <v>2019</v>
      </c>
      <c r="I42" s="13"/>
      <c r="J42" s="13" t="s">
        <v>1605</v>
      </c>
      <c r="K42" s="13">
        <v>2020</v>
      </c>
      <c r="L42" s="13"/>
      <c r="M42" s="13">
        <v>2021</v>
      </c>
      <c r="N42" s="13">
        <v>2019</v>
      </c>
      <c r="O42" s="13">
        <v>2019</v>
      </c>
      <c r="P42" s="13">
        <v>2018</v>
      </c>
      <c r="Q42" s="13" t="s">
        <v>2994</v>
      </c>
      <c r="R42" s="13" t="s">
        <v>3033</v>
      </c>
      <c r="S42" s="13">
        <v>2021</v>
      </c>
      <c r="T42" s="13" t="s">
        <v>2534</v>
      </c>
      <c r="U42" s="13" t="s">
        <v>3049</v>
      </c>
      <c r="V42" s="13">
        <v>2021</v>
      </c>
      <c r="W42" s="13">
        <v>2018</v>
      </c>
      <c r="X42" s="13">
        <v>2021</v>
      </c>
      <c r="Y42" s="13">
        <v>2018</v>
      </c>
      <c r="Z42" s="13" t="s">
        <v>3066</v>
      </c>
      <c r="AA42" s="13" t="s">
        <v>2533</v>
      </c>
      <c r="AB42" s="13" t="s">
        <v>3075</v>
      </c>
      <c r="AC42" s="13">
        <v>2019</v>
      </c>
      <c r="AD42" s="13" t="s">
        <v>3080</v>
      </c>
      <c r="AE42" s="13" t="s">
        <v>3083</v>
      </c>
      <c r="AF42" s="13" t="s">
        <v>3097</v>
      </c>
      <c r="AG42" s="13" t="s">
        <v>3033</v>
      </c>
      <c r="AH42" s="13">
        <v>2019</v>
      </c>
      <c r="AI42" s="13" t="s">
        <v>3033</v>
      </c>
      <c r="AJ42" s="13" t="s">
        <v>3102</v>
      </c>
      <c r="AK42" s="13">
        <v>2020</v>
      </c>
      <c r="AL42" s="13">
        <v>2021</v>
      </c>
      <c r="AM42" s="13">
        <v>2021</v>
      </c>
      <c r="AN42" s="13">
        <v>2021</v>
      </c>
      <c r="AO42" s="13" t="s">
        <v>3033</v>
      </c>
      <c r="AP42" s="13" t="s">
        <v>3097</v>
      </c>
      <c r="AQ42" s="13">
        <v>2019</v>
      </c>
      <c r="AR42" s="13" t="s">
        <v>3163</v>
      </c>
      <c r="AS42" s="13">
        <v>2020</v>
      </c>
      <c r="AT42" s="13" t="s">
        <v>3344</v>
      </c>
      <c r="AU42" s="13">
        <v>2021</v>
      </c>
      <c r="AV42" s="13">
        <v>2020</v>
      </c>
      <c r="AW42" s="13">
        <v>2018</v>
      </c>
      <c r="AX42" s="13">
        <v>2019</v>
      </c>
      <c r="AY42" s="13">
        <v>2018</v>
      </c>
      <c r="AZ42" s="13">
        <v>2019</v>
      </c>
      <c r="BA42" s="13" t="s">
        <v>3384</v>
      </c>
      <c r="BB42" s="13" t="s">
        <v>1735</v>
      </c>
      <c r="BC42" s="13" t="s">
        <v>1886</v>
      </c>
      <c r="BD42" s="13">
        <v>2020</v>
      </c>
      <c r="BE42" s="13" t="s">
        <v>3033</v>
      </c>
      <c r="BF42" s="13" t="s">
        <v>3033</v>
      </c>
      <c r="BG42" s="13" t="s">
        <v>3398</v>
      </c>
      <c r="BH42" s="13">
        <v>2018</v>
      </c>
      <c r="BI42" s="13" t="s">
        <v>1901</v>
      </c>
      <c r="BJ42" s="13">
        <v>2019</v>
      </c>
      <c r="BK42" s="13">
        <v>2020</v>
      </c>
      <c r="BL42" s="13" t="s">
        <v>3463</v>
      </c>
      <c r="BM42" s="13">
        <v>2021</v>
      </c>
      <c r="BN42" s="13" t="s">
        <v>3406</v>
      </c>
      <c r="BO42" s="13" t="s">
        <v>2535</v>
      </c>
      <c r="BP42" s="13">
        <v>2020</v>
      </c>
      <c r="BQ42" s="13" t="s">
        <v>1722</v>
      </c>
      <c r="BR42" s="13">
        <v>2020</v>
      </c>
      <c r="BS42" s="13">
        <v>2020</v>
      </c>
      <c r="BT42" s="13">
        <v>2021</v>
      </c>
      <c r="BU42" s="13">
        <v>2021</v>
      </c>
      <c r="BV42" s="13">
        <v>2021</v>
      </c>
      <c r="BW42" s="13" t="s">
        <v>3398</v>
      </c>
      <c r="BX42" s="13">
        <v>2020</v>
      </c>
      <c r="BY42" s="311" t="s">
        <v>1599</v>
      </c>
    </row>
    <row r="43" spans="1:77">
      <c r="A43" s="2">
        <v>38</v>
      </c>
      <c r="B43" s="55">
        <f>INDEX(順位表[Comprehensive],MATCH($C43,順位表['#],0))</f>
        <v>2</v>
      </c>
      <c r="C43" s="3">
        <v>38</v>
      </c>
      <c r="D43" s="1" t="str">
        <f>INDEX(都市マスタ[City Name],MATCH($C43,都市マスタ['#],0))</f>
        <v>New York</v>
      </c>
      <c r="E43" s="13">
        <v>2019</v>
      </c>
      <c r="F43" s="13">
        <v>2010</v>
      </c>
      <c r="G43" s="13" t="s">
        <v>1600</v>
      </c>
      <c r="H43" s="13">
        <v>2019</v>
      </c>
      <c r="I43" s="13"/>
      <c r="J43" s="13" t="s">
        <v>1605</v>
      </c>
      <c r="K43" s="13">
        <v>2020</v>
      </c>
      <c r="L43" s="13">
        <v>2020</v>
      </c>
      <c r="M43" s="13">
        <v>2021</v>
      </c>
      <c r="N43" s="13">
        <v>2019</v>
      </c>
      <c r="O43" s="13">
        <v>2019</v>
      </c>
      <c r="P43" s="13">
        <v>2018</v>
      </c>
      <c r="Q43" s="13" t="s">
        <v>2994</v>
      </c>
      <c r="R43" s="13" t="s">
        <v>3033</v>
      </c>
      <c r="S43" s="13" t="s">
        <v>3036</v>
      </c>
      <c r="T43" s="13" t="s">
        <v>2534</v>
      </c>
      <c r="U43" s="13" t="s">
        <v>3049</v>
      </c>
      <c r="V43" s="13">
        <v>2021</v>
      </c>
      <c r="W43" s="13">
        <v>2018</v>
      </c>
      <c r="X43" s="13">
        <v>2021</v>
      </c>
      <c r="Y43" s="13">
        <v>2018</v>
      </c>
      <c r="Z43" s="13" t="s">
        <v>3066</v>
      </c>
      <c r="AA43" s="13" t="s">
        <v>2533</v>
      </c>
      <c r="AB43" s="13" t="s">
        <v>3075</v>
      </c>
      <c r="AC43" s="13">
        <v>2019</v>
      </c>
      <c r="AD43" s="13" t="s">
        <v>3080</v>
      </c>
      <c r="AE43" s="13" t="s">
        <v>3083</v>
      </c>
      <c r="AF43" s="13" t="s">
        <v>3097</v>
      </c>
      <c r="AG43" s="13" t="s">
        <v>3033</v>
      </c>
      <c r="AH43" s="13">
        <v>2019</v>
      </c>
      <c r="AI43" s="13" t="s">
        <v>3033</v>
      </c>
      <c r="AJ43" s="13" t="s">
        <v>3102</v>
      </c>
      <c r="AK43" s="13">
        <v>2020</v>
      </c>
      <c r="AL43" s="13">
        <v>2021</v>
      </c>
      <c r="AM43" s="13">
        <v>2021</v>
      </c>
      <c r="AN43" s="13">
        <v>2021</v>
      </c>
      <c r="AO43" s="13" t="s">
        <v>3033</v>
      </c>
      <c r="AP43" s="13" t="s">
        <v>3097</v>
      </c>
      <c r="AQ43" s="13">
        <v>2019</v>
      </c>
      <c r="AR43" s="13" t="s">
        <v>3163</v>
      </c>
      <c r="AS43" s="13">
        <v>2020</v>
      </c>
      <c r="AT43" s="13" t="s">
        <v>3344</v>
      </c>
      <c r="AU43" s="13">
        <v>2021</v>
      </c>
      <c r="AV43" s="13">
        <v>2018</v>
      </c>
      <c r="AW43" s="13">
        <v>2018</v>
      </c>
      <c r="AX43" s="13">
        <v>2019</v>
      </c>
      <c r="AY43" s="13">
        <v>2018</v>
      </c>
      <c r="AZ43" s="13">
        <v>2019</v>
      </c>
      <c r="BA43" s="13" t="s">
        <v>3384</v>
      </c>
      <c r="BB43" s="13" t="s">
        <v>1735</v>
      </c>
      <c r="BC43" s="13" t="s">
        <v>1886</v>
      </c>
      <c r="BD43" s="13">
        <v>2020</v>
      </c>
      <c r="BE43" s="13" t="s">
        <v>3033</v>
      </c>
      <c r="BF43" s="13" t="s">
        <v>3033</v>
      </c>
      <c r="BG43" s="13" t="s">
        <v>3398</v>
      </c>
      <c r="BH43" s="13">
        <v>2018</v>
      </c>
      <c r="BI43" s="13" t="s">
        <v>1901</v>
      </c>
      <c r="BJ43" s="13">
        <v>2019</v>
      </c>
      <c r="BK43" s="13">
        <v>2020</v>
      </c>
      <c r="BL43" s="13" t="s">
        <v>3463</v>
      </c>
      <c r="BM43" s="13">
        <v>2021</v>
      </c>
      <c r="BN43" s="13" t="s">
        <v>3406</v>
      </c>
      <c r="BO43" s="13" t="s">
        <v>2535</v>
      </c>
      <c r="BP43" s="13">
        <v>2020</v>
      </c>
      <c r="BQ43" s="13" t="s">
        <v>1719</v>
      </c>
      <c r="BR43" s="13">
        <v>2020</v>
      </c>
      <c r="BS43" s="13">
        <v>2020</v>
      </c>
      <c r="BT43" s="13">
        <v>2021</v>
      </c>
      <c r="BU43" s="13">
        <v>2021</v>
      </c>
      <c r="BV43" s="13">
        <v>2021</v>
      </c>
      <c r="BW43" s="13" t="s">
        <v>3398</v>
      </c>
      <c r="BX43" s="13">
        <v>2020</v>
      </c>
      <c r="BY43" s="311" t="s">
        <v>1599</v>
      </c>
    </row>
    <row r="44" spans="1:77">
      <c r="A44" s="2">
        <v>39</v>
      </c>
      <c r="B44" s="55">
        <f>INDEX(順位表[Comprehensive],MATCH($C44,順位表['#],0))</f>
        <v>29</v>
      </c>
      <c r="C44" s="3">
        <v>39</v>
      </c>
      <c r="D44" s="1" t="str">
        <f>INDEX(都市マスタ[City Name],MATCH($C44,都市マスタ['#],0))</f>
        <v>Boston</v>
      </c>
      <c r="E44" s="13">
        <v>2019</v>
      </c>
      <c r="F44" s="13">
        <v>2010</v>
      </c>
      <c r="G44" s="13" t="s">
        <v>1600</v>
      </c>
      <c r="H44" s="13">
        <v>2019</v>
      </c>
      <c r="I44" s="13" t="s">
        <v>2860</v>
      </c>
      <c r="J44" s="13" t="s">
        <v>1605</v>
      </c>
      <c r="K44" s="13">
        <v>2020</v>
      </c>
      <c r="L44" s="13"/>
      <c r="M44" s="13">
        <v>2021</v>
      </c>
      <c r="N44" s="13">
        <v>2019</v>
      </c>
      <c r="O44" s="13">
        <v>2019</v>
      </c>
      <c r="P44" s="13">
        <v>2018</v>
      </c>
      <c r="Q44" s="13" t="s">
        <v>2994</v>
      </c>
      <c r="R44" s="13" t="s">
        <v>3033</v>
      </c>
      <c r="S44" s="13">
        <v>2021</v>
      </c>
      <c r="T44" s="13" t="s">
        <v>2534</v>
      </c>
      <c r="U44" s="13" t="s">
        <v>3049</v>
      </c>
      <c r="V44" s="13">
        <v>2021</v>
      </c>
      <c r="W44" s="13">
        <v>2018</v>
      </c>
      <c r="X44" s="13">
        <v>2021</v>
      </c>
      <c r="Y44" s="13">
        <v>2018</v>
      </c>
      <c r="Z44" s="13" t="s">
        <v>3066</v>
      </c>
      <c r="AA44" s="13" t="s">
        <v>2533</v>
      </c>
      <c r="AB44" s="13" t="s">
        <v>3075</v>
      </c>
      <c r="AC44" s="13">
        <v>2019</v>
      </c>
      <c r="AD44" s="13" t="s">
        <v>3080</v>
      </c>
      <c r="AE44" s="13" t="s">
        <v>3083</v>
      </c>
      <c r="AF44" s="13" t="s">
        <v>3097</v>
      </c>
      <c r="AG44" s="13" t="s">
        <v>3033</v>
      </c>
      <c r="AH44" s="13">
        <v>2019</v>
      </c>
      <c r="AI44" s="13" t="s">
        <v>3033</v>
      </c>
      <c r="AJ44" s="13" t="s">
        <v>3102</v>
      </c>
      <c r="AK44" s="13">
        <v>2020</v>
      </c>
      <c r="AL44" s="13">
        <v>2021</v>
      </c>
      <c r="AM44" s="13">
        <v>2021</v>
      </c>
      <c r="AN44" s="13">
        <v>2021</v>
      </c>
      <c r="AO44" s="13" t="s">
        <v>3033</v>
      </c>
      <c r="AP44" s="13" t="s">
        <v>3097</v>
      </c>
      <c r="AQ44" s="13">
        <v>2019</v>
      </c>
      <c r="AR44" s="13" t="s">
        <v>3163</v>
      </c>
      <c r="AS44" s="13">
        <v>2020</v>
      </c>
      <c r="AT44" s="13" t="s">
        <v>3344</v>
      </c>
      <c r="AU44" s="13">
        <v>2021</v>
      </c>
      <c r="AV44" s="13">
        <v>2020</v>
      </c>
      <c r="AW44" s="13">
        <v>2018</v>
      </c>
      <c r="AX44" s="13">
        <v>2019</v>
      </c>
      <c r="AY44" s="13">
        <v>2018</v>
      </c>
      <c r="AZ44" s="13">
        <v>2019</v>
      </c>
      <c r="BA44" s="13" t="s">
        <v>3384</v>
      </c>
      <c r="BB44" s="13" t="s">
        <v>1735</v>
      </c>
      <c r="BC44" s="13" t="s">
        <v>1886</v>
      </c>
      <c r="BD44" s="13">
        <v>2020</v>
      </c>
      <c r="BE44" s="13" t="s">
        <v>3033</v>
      </c>
      <c r="BF44" s="13" t="s">
        <v>3033</v>
      </c>
      <c r="BG44" s="13" t="s">
        <v>3407</v>
      </c>
      <c r="BH44" s="13">
        <v>2018</v>
      </c>
      <c r="BI44" s="13" t="s">
        <v>1901</v>
      </c>
      <c r="BJ44" s="13">
        <v>2019</v>
      </c>
      <c r="BK44" s="13">
        <v>2020</v>
      </c>
      <c r="BL44" s="13" t="s">
        <v>3463</v>
      </c>
      <c r="BM44" s="13">
        <v>2021</v>
      </c>
      <c r="BN44" s="13" t="s">
        <v>3406</v>
      </c>
      <c r="BO44" s="13" t="s">
        <v>2535</v>
      </c>
      <c r="BP44" s="13">
        <v>2020</v>
      </c>
      <c r="BQ44" s="13" t="s">
        <v>1722</v>
      </c>
      <c r="BR44" s="13">
        <v>2020</v>
      </c>
      <c r="BS44" s="13">
        <v>2020</v>
      </c>
      <c r="BT44" s="13">
        <v>2021</v>
      </c>
      <c r="BU44" s="13">
        <v>2020</v>
      </c>
      <c r="BV44" s="13">
        <v>2021</v>
      </c>
      <c r="BW44" s="13" t="s">
        <v>3398</v>
      </c>
      <c r="BX44" s="13">
        <v>2020</v>
      </c>
      <c r="BY44" s="311" t="s">
        <v>3551</v>
      </c>
    </row>
    <row r="45" spans="1:77">
      <c r="A45" s="2">
        <v>40</v>
      </c>
      <c r="B45" s="55">
        <f>INDEX(順位表[Comprehensive],MATCH($C45,順位表['#],0))</f>
        <v>39</v>
      </c>
      <c r="C45" s="3">
        <v>40</v>
      </c>
      <c r="D45" s="1" t="str">
        <f>INDEX(都市マスタ[City Name],MATCH($C45,都市マスタ['#],0))</f>
        <v>Sao Paulo</v>
      </c>
      <c r="E45" s="13">
        <v>2020</v>
      </c>
      <c r="F45" s="13">
        <v>2020</v>
      </c>
      <c r="G45" s="13" t="s">
        <v>1600</v>
      </c>
      <c r="H45" s="13">
        <v>2018</v>
      </c>
      <c r="I45" s="13"/>
      <c r="J45" s="13" t="s">
        <v>1601</v>
      </c>
      <c r="K45" s="13">
        <v>2020</v>
      </c>
      <c r="L45" s="13">
        <v>2020</v>
      </c>
      <c r="M45" s="13">
        <v>2021</v>
      </c>
      <c r="N45" s="13">
        <v>2019</v>
      </c>
      <c r="O45" s="13">
        <v>2019</v>
      </c>
      <c r="P45" s="13">
        <v>2018</v>
      </c>
      <c r="Q45" s="13" t="s">
        <v>2994</v>
      </c>
      <c r="R45" s="13" t="s">
        <v>3033</v>
      </c>
      <c r="S45" s="13">
        <v>2021</v>
      </c>
      <c r="T45" s="13" t="s">
        <v>2534</v>
      </c>
      <c r="U45" s="13">
        <v>2014</v>
      </c>
      <c r="V45" s="13">
        <v>2021</v>
      </c>
      <c r="W45" s="13">
        <v>2018</v>
      </c>
      <c r="X45" s="13">
        <v>2021</v>
      </c>
      <c r="Y45" s="13">
        <v>2018</v>
      </c>
      <c r="Z45" s="13" t="s">
        <v>2532</v>
      </c>
      <c r="AA45" s="13" t="s">
        <v>2533</v>
      </c>
      <c r="AB45" s="13" t="s">
        <v>3075</v>
      </c>
      <c r="AC45" s="13">
        <v>2019</v>
      </c>
      <c r="AD45" s="13" t="s">
        <v>3080</v>
      </c>
      <c r="AE45" s="13" t="s">
        <v>3083</v>
      </c>
      <c r="AF45" s="13" t="s">
        <v>3097</v>
      </c>
      <c r="AG45" s="13" t="s">
        <v>3033</v>
      </c>
      <c r="AH45" s="13">
        <v>2019</v>
      </c>
      <c r="AI45" s="13" t="s">
        <v>3033</v>
      </c>
      <c r="AJ45" s="13" t="s">
        <v>3102</v>
      </c>
      <c r="AK45" s="13">
        <v>2020</v>
      </c>
      <c r="AL45" s="13">
        <v>2021</v>
      </c>
      <c r="AM45" s="13">
        <v>2021</v>
      </c>
      <c r="AN45" s="13">
        <v>2021</v>
      </c>
      <c r="AO45" s="13" t="s">
        <v>3033</v>
      </c>
      <c r="AP45" s="13" t="s">
        <v>3097</v>
      </c>
      <c r="AQ45" s="13">
        <v>2010</v>
      </c>
      <c r="AR45" s="13" t="s">
        <v>3085</v>
      </c>
      <c r="AS45" s="13">
        <v>2019</v>
      </c>
      <c r="AT45" s="13" t="s">
        <v>3344</v>
      </c>
      <c r="AU45" s="13">
        <v>2021</v>
      </c>
      <c r="AV45" s="13">
        <v>2018</v>
      </c>
      <c r="AW45" s="13">
        <v>2018</v>
      </c>
      <c r="AX45" s="13">
        <v>2020</v>
      </c>
      <c r="AY45" s="13">
        <v>2018</v>
      </c>
      <c r="AZ45" s="13">
        <v>2019</v>
      </c>
      <c r="BA45" s="13" t="s">
        <v>3384</v>
      </c>
      <c r="BB45" s="13" t="s">
        <v>1735</v>
      </c>
      <c r="BC45" s="13" t="s">
        <v>3390</v>
      </c>
      <c r="BD45" s="13">
        <v>2020</v>
      </c>
      <c r="BE45" s="13" t="s">
        <v>3033</v>
      </c>
      <c r="BF45" s="13" t="s">
        <v>3033</v>
      </c>
      <c r="BG45" s="13" t="s">
        <v>3398</v>
      </c>
      <c r="BH45" s="13">
        <v>2018</v>
      </c>
      <c r="BI45" s="13" t="s">
        <v>1907</v>
      </c>
      <c r="BJ45" s="13">
        <v>2019</v>
      </c>
      <c r="BK45" s="13">
        <v>2020</v>
      </c>
      <c r="BL45" s="13" t="s">
        <v>3463</v>
      </c>
      <c r="BM45" s="13">
        <v>2021</v>
      </c>
      <c r="BN45" s="13" t="s">
        <v>3406</v>
      </c>
      <c r="BO45" s="13" t="s">
        <v>2535</v>
      </c>
      <c r="BP45" s="13">
        <v>2020</v>
      </c>
      <c r="BQ45" s="13" t="s">
        <v>1719</v>
      </c>
      <c r="BR45" s="13">
        <v>2020</v>
      </c>
      <c r="BS45" s="13">
        <v>2020</v>
      </c>
      <c r="BT45" s="13">
        <v>2021</v>
      </c>
      <c r="BU45" s="13">
        <v>2021</v>
      </c>
      <c r="BV45" s="13">
        <v>2021</v>
      </c>
      <c r="BW45" s="13" t="s">
        <v>3398</v>
      </c>
      <c r="BX45" s="13">
        <v>2020</v>
      </c>
      <c r="BY45" s="311" t="s">
        <v>1599</v>
      </c>
    </row>
    <row r="46" spans="1:77">
      <c r="A46" s="2">
        <v>41</v>
      </c>
      <c r="B46" s="55">
        <f>INDEX(順位表[Comprehensive],MATCH($C46,順位表['#],0))</f>
        <v>46</v>
      </c>
      <c r="C46" s="3">
        <v>41</v>
      </c>
      <c r="D46" s="1" t="str">
        <f>INDEX(都市マスタ[City Name],MATCH($C46,都市マスタ['#],0))</f>
        <v>Johannesburg</v>
      </c>
      <c r="E46" s="13">
        <v>2016</v>
      </c>
      <c r="F46" s="13">
        <v>2011</v>
      </c>
      <c r="G46" s="13" t="s">
        <v>1600</v>
      </c>
      <c r="H46" s="13">
        <v>2019</v>
      </c>
      <c r="I46" s="13"/>
      <c r="J46" s="13" t="s">
        <v>1605</v>
      </c>
      <c r="K46" s="13">
        <v>2020</v>
      </c>
      <c r="L46" s="13">
        <v>2020</v>
      </c>
      <c r="M46" s="13">
        <v>2021</v>
      </c>
      <c r="N46" s="13">
        <v>2020</v>
      </c>
      <c r="O46" s="13">
        <v>2021</v>
      </c>
      <c r="P46" s="13">
        <v>2018</v>
      </c>
      <c r="Q46" s="13" t="s">
        <v>2994</v>
      </c>
      <c r="R46" s="13" t="s">
        <v>3033</v>
      </c>
      <c r="S46" s="13">
        <v>2021</v>
      </c>
      <c r="T46" s="13" t="s">
        <v>2534</v>
      </c>
      <c r="U46" s="13">
        <v>2017</v>
      </c>
      <c r="V46" s="13">
        <v>2021</v>
      </c>
      <c r="W46" s="13">
        <v>2017</v>
      </c>
      <c r="X46" s="13">
        <v>2021</v>
      </c>
      <c r="Y46" s="13" t="s">
        <v>3063</v>
      </c>
      <c r="Z46" s="13" t="s">
        <v>2532</v>
      </c>
      <c r="AA46" s="13" t="s">
        <v>2533</v>
      </c>
      <c r="AB46" s="13" t="s">
        <v>3075</v>
      </c>
      <c r="AC46" s="13">
        <v>2019</v>
      </c>
      <c r="AD46" s="13" t="s">
        <v>3080</v>
      </c>
      <c r="AE46" s="13" t="s">
        <v>3083</v>
      </c>
      <c r="AF46" s="13" t="s">
        <v>3097</v>
      </c>
      <c r="AG46" s="13" t="s">
        <v>3033</v>
      </c>
      <c r="AH46" s="13">
        <v>2019</v>
      </c>
      <c r="AI46" s="13" t="s">
        <v>3033</v>
      </c>
      <c r="AJ46" s="13" t="s">
        <v>3102</v>
      </c>
      <c r="AK46" s="13">
        <v>2020</v>
      </c>
      <c r="AL46" s="13">
        <v>2021</v>
      </c>
      <c r="AM46" s="13">
        <v>2021</v>
      </c>
      <c r="AN46" s="13">
        <v>2021</v>
      </c>
      <c r="AO46" s="13" t="s">
        <v>3033</v>
      </c>
      <c r="AP46" s="13" t="s">
        <v>3097</v>
      </c>
      <c r="AQ46" s="13">
        <v>2011</v>
      </c>
      <c r="AR46" s="13" t="s">
        <v>3085</v>
      </c>
      <c r="AS46" s="13">
        <v>2020</v>
      </c>
      <c r="AT46" s="13" t="s">
        <v>3344</v>
      </c>
      <c r="AU46" s="13">
        <v>2021</v>
      </c>
      <c r="AV46" s="13">
        <v>2018</v>
      </c>
      <c r="AW46" s="13">
        <v>2018</v>
      </c>
      <c r="AX46" s="13">
        <v>2020</v>
      </c>
      <c r="AY46" s="13">
        <v>2018</v>
      </c>
      <c r="AZ46" s="13">
        <v>2019</v>
      </c>
      <c r="BA46" s="13" t="s">
        <v>3384</v>
      </c>
      <c r="BB46" s="13" t="s">
        <v>1735</v>
      </c>
      <c r="BC46" s="13" t="s">
        <v>1736</v>
      </c>
      <c r="BD46" s="13">
        <v>2020</v>
      </c>
      <c r="BE46" s="13" t="s">
        <v>3033</v>
      </c>
      <c r="BF46" s="13" t="s">
        <v>3033</v>
      </c>
      <c r="BG46" s="13" t="s">
        <v>3033</v>
      </c>
      <c r="BH46" s="13">
        <v>2018</v>
      </c>
      <c r="BI46" s="13">
        <v>2017</v>
      </c>
      <c r="BJ46" s="13">
        <v>2018</v>
      </c>
      <c r="BK46" s="13">
        <v>2020</v>
      </c>
      <c r="BL46" s="13" t="s">
        <v>3463</v>
      </c>
      <c r="BM46" s="13">
        <v>2021</v>
      </c>
      <c r="BN46" s="13" t="s">
        <v>3406</v>
      </c>
      <c r="BO46" s="13" t="s">
        <v>2535</v>
      </c>
      <c r="BP46" s="13">
        <v>2020</v>
      </c>
      <c r="BQ46" s="13" t="s">
        <v>3404</v>
      </c>
      <c r="BR46" s="13">
        <v>2020</v>
      </c>
      <c r="BS46" s="13">
        <v>2020</v>
      </c>
      <c r="BT46" s="13">
        <v>2021</v>
      </c>
      <c r="BU46" s="13">
        <v>2021</v>
      </c>
      <c r="BV46" s="13">
        <v>2021</v>
      </c>
      <c r="BW46" s="13" t="s">
        <v>3398</v>
      </c>
      <c r="BX46" s="13">
        <v>2020</v>
      </c>
      <c r="BY46" s="311" t="s">
        <v>1599</v>
      </c>
    </row>
    <row r="47" spans="1:77">
      <c r="A47" s="2">
        <v>42</v>
      </c>
      <c r="B47" s="55">
        <f>INDEX(順位表[Comprehensive],MATCH($C47,順位表['#],0))</f>
        <v>45</v>
      </c>
      <c r="C47" s="3">
        <v>42</v>
      </c>
      <c r="D47" s="1" t="str">
        <f>INDEX(都市マスタ[City Name],MATCH($C47,都市マスタ['#],0))</f>
        <v>Jakarta</v>
      </c>
      <c r="E47" s="13">
        <v>2019</v>
      </c>
      <c r="F47" s="13">
        <v>2020</v>
      </c>
      <c r="G47" s="13" t="s">
        <v>1600</v>
      </c>
      <c r="H47" s="13">
        <v>2019</v>
      </c>
      <c r="I47" s="13">
        <v>2019</v>
      </c>
      <c r="J47" s="13" t="s">
        <v>1605</v>
      </c>
      <c r="K47" s="13">
        <v>2020</v>
      </c>
      <c r="L47" s="13">
        <v>2020</v>
      </c>
      <c r="M47" s="13">
        <v>2021</v>
      </c>
      <c r="N47" s="13">
        <v>2019</v>
      </c>
      <c r="O47" s="13">
        <v>2016</v>
      </c>
      <c r="P47" s="13">
        <v>2018</v>
      </c>
      <c r="Q47" s="13" t="s">
        <v>2993</v>
      </c>
      <c r="R47" s="13" t="s">
        <v>3033</v>
      </c>
      <c r="S47" s="13">
        <v>2021</v>
      </c>
      <c r="T47" s="13" t="s">
        <v>2534</v>
      </c>
      <c r="U47" s="13">
        <v>2018</v>
      </c>
      <c r="V47" s="13">
        <v>2021</v>
      </c>
      <c r="W47" s="13">
        <v>2018</v>
      </c>
      <c r="X47" s="13">
        <v>2021</v>
      </c>
      <c r="Y47" s="13">
        <v>2018</v>
      </c>
      <c r="Z47" s="13" t="s">
        <v>2532</v>
      </c>
      <c r="AA47" s="13" t="s">
        <v>2533</v>
      </c>
      <c r="AB47" s="13" t="s">
        <v>3075</v>
      </c>
      <c r="AC47" s="13">
        <v>2019</v>
      </c>
      <c r="AD47" s="13" t="s">
        <v>3080</v>
      </c>
      <c r="AE47" s="13" t="s">
        <v>3084</v>
      </c>
      <c r="AF47" s="13" t="s">
        <v>3097</v>
      </c>
      <c r="AG47" s="13" t="s">
        <v>3033</v>
      </c>
      <c r="AH47" s="13">
        <v>2019</v>
      </c>
      <c r="AI47" s="13" t="s">
        <v>3033</v>
      </c>
      <c r="AJ47" s="13" t="s">
        <v>3102</v>
      </c>
      <c r="AK47" s="13">
        <v>2020</v>
      </c>
      <c r="AL47" s="13">
        <v>2021</v>
      </c>
      <c r="AM47" s="13">
        <v>2021</v>
      </c>
      <c r="AN47" s="13">
        <v>2021</v>
      </c>
      <c r="AO47" s="13" t="s">
        <v>3033</v>
      </c>
      <c r="AP47" s="13" t="s">
        <v>3097</v>
      </c>
      <c r="AQ47" s="13">
        <v>2010</v>
      </c>
      <c r="AR47" s="13" t="s">
        <v>3085</v>
      </c>
      <c r="AS47" s="13">
        <v>2020</v>
      </c>
      <c r="AT47" s="13" t="s">
        <v>3344</v>
      </c>
      <c r="AU47" s="13">
        <v>2021</v>
      </c>
      <c r="AV47" s="13">
        <v>2018</v>
      </c>
      <c r="AW47" s="13">
        <v>2018</v>
      </c>
      <c r="AX47" s="13">
        <v>2019</v>
      </c>
      <c r="AY47" s="13">
        <v>2018</v>
      </c>
      <c r="AZ47" s="13">
        <v>2019</v>
      </c>
      <c r="BA47" s="13" t="s">
        <v>3384</v>
      </c>
      <c r="BB47" s="13" t="s">
        <v>1735</v>
      </c>
      <c r="BC47" s="13" t="s">
        <v>3391</v>
      </c>
      <c r="BD47" s="13">
        <v>2020</v>
      </c>
      <c r="BE47" s="13" t="s">
        <v>3033</v>
      </c>
      <c r="BF47" s="13" t="s">
        <v>3033</v>
      </c>
      <c r="BG47" s="13" t="s">
        <v>3398</v>
      </c>
      <c r="BH47" s="13">
        <v>2018</v>
      </c>
      <c r="BI47" s="13">
        <v>2015</v>
      </c>
      <c r="BJ47" s="13">
        <v>2018</v>
      </c>
      <c r="BK47" s="13">
        <v>2020</v>
      </c>
      <c r="BL47" s="13" t="s">
        <v>3463</v>
      </c>
      <c r="BM47" s="13">
        <v>2021</v>
      </c>
      <c r="BN47" s="13" t="s">
        <v>3406</v>
      </c>
      <c r="BO47" s="13" t="s">
        <v>2535</v>
      </c>
      <c r="BP47" s="13">
        <v>2020</v>
      </c>
      <c r="BQ47" s="13" t="s">
        <v>1722</v>
      </c>
      <c r="BR47" s="13">
        <v>2020</v>
      </c>
      <c r="BS47" s="13">
        <v>2020</v>
      </c>
      <c r="BT47" s="13">
        <v>2021</v>
      </c>
      <c r="BU47" s="13">
        <v>2021</v>
      </c>
      <c r="BV47" s="13">
        <v>2021</v>
      </c>
      <c r="BW47" s="13" t="s">
        <v>3398</v>
      </c>
      <c r="BX47" s="13">
        <v>2020</v>
      </c>
      <c r="BY47" s="311" t="s">
        <v>1599</v>
      </c>
    </row>
    <row r="48" spans="1:77">
      <c r="A48" s="2">
        <v>43</v>
      </c>
      <c r="B48" s="55">
        <f>INDEX(順位表[Comprehensive],MATCH($C48,順位表['#],0))</f>
        <v>44</v>
      </c>
      <c r="C48" s="3">
        <v>43</v>
      </c>
      <c r="D48" s="1" t="str">
        <f>INDEX(都市マスタ[City Name],MATCH($C48,都市マスタ['#],0))</f>
        <v>Buenos Aires</v>
      </c>
      <c r="E48" s="13">
        <v>2019</v>
      </c>
      <c r="F48" s="13">
        <v>2019</v>
      </c>
      <c r="G48" s="13" t="s">
        <v>1600</v>
      </c>
      <c r="H48" s="13">
        <v>2018</v>
      </c>
      <c r="I48" s="13"/>
      <c r="J48" s="13" t="s">
        <v>1601</v>
      </c>
      <c r="K48" s="13">
        <v>2020</v>
      </c>
      <c r="L48" s="13">
        <v>2019</v>
      </c>
      <c r="M48" s="13">
        <v>2021</v>
      </c>
      <c r="N48" s="13">
        <v>2019</v>
      </c>
      <c r="O48" s="13">
        <v>2019</v>
      </c>
      <c r="P48" s="13">
        <v>2018</v>
      </c>
      <c r="Q48" s="13" t="s">
        <v>2994</v>
      </c>
      <c r="R48" s="13" t="s">
        <v>3033</v>
      </c>
      <c r="S48" s="13">
        <v>2021</v>
      </c>
      <c r="T48" s="13" t="s">
        <v>2534</v>
      </c>
      <c r="U48" s="13">
        <v>2018</v>
      </c>
      <c r="V48" s="13">
        <v>2021</v>
      </c>
      <c r="W48" s="13">
        <v>2018</v>
      </c>
      <c r="X48" s="13">
        <v>2021</v>
      </c>
      <c r="Y48" s="13">
        <v>2018</v>
      </c>
      <c r="Z48" s="13" t="s">
        <v>2532</v>
      </c>
      <c r="AA48" s="13" t="s">
        <v>2533</v>
      </c>
      <c r="AB48" s="13" t="s">
        <v>3075</v>
      </c>
      <c r="AC48" s="13">
        <v>2019</v>
      </c>
      <c r="AD48" s="13" t="s">
        <v>3080</v>
      </c>
      <c r="AE48" s="13" t="s">
        <v>3083</v>
      </c>
      <c r="AF48" s="13" t="s">
        <v>3097</v>
      </c>
      <c r="AG48" s="13" t="s">
        <v>3033</v>
      </c>
      <c r="AH48" s="13">
        <v>2019</v>
      </c>
      <c r="AI48" s="13" t="s">
        <v>3033</v>
      </c>
      <c r="AJ48" s="13" t="s">
        <v>3102</v>
      </c>
      <c r="AK48" s="13">
        <v>2020</v>
      </c>
      <c r="AL48" s="13">
        <v>2021</v>
      </c>
      <c r="AM48" s="13">
        <v>2021</v>
      </c>
      <c r="AN48" s="13">
        <v>2021</v>
      </c>
      <c r="AO48" s="13" t="s">
        <v>3033</v>
      </c>
      <c r="AP48" s="13" t="s">
        <v>3097</v>
      </c>
      <c r="AQ48" s="13">
        <v>2010</v>
      </c>
      <c r="AR48" s="13" t="s">
        <v>3163</v>
      </c>
      <c r="AS48" s="13">
        <v>2019</v>
      </c>
      <c r="AT48" s="13" t="s">
        <v>3344</v>
      </c>
      <c r="AU48" s="13">
        <v>2021</v>
      </c>
      <c r="AV48" s="13">
        <v>2018</v>
      </c>
      <c r="AW48" s="13">
        <v>2018</v>
      </c>
      <c r="AX48" s="13">
        <v>2017</v>
      </c>
      <c r="AY48" s="13">
        <v>2018</v>
      </c>
      <c r="AZ48" s="13">
        <v>2019</v>
      </c>
      <c r="BA48" s="13" t="s">
        <v>3384</v>
      </c>
      <c r="BB48" s="13" t="s">
        <v>1735</v>
      </c>
      <c r="BC48" s="13" t="s">
        <v>1893</v>
      </c>
      <c r="BD48" s="13">
        <v>2020</v>
      </c>
      <c r="BE48" s="13" t="s">
        <v>3033</v>
      </c>
      <c r="BF48" s="13" t="s">
        <v>3033</v>
      </c>
      <c r="BG48" s="13" t="s">
        <v>3033</v>
      </c>
      <c r="BH48" s="13">
        <v>2018</v>
      </c>
      <c r="BI48" s="13">
        <v>2018</v>
      </c>
      <c r="BJ48" s="13">
        <v>2018</v>
      </c>
      <c r="BK48" s="13">
        <v>2020</v>
      </c>
      <c r="BL48" s="13" t="s">
        <v>3463</v>
      </c>
      <c r="BM48" s="13">
        <v>2021</v>
      </c>
      <c r="BN48" s="13" t="s">
        <v>3406</v>
      </c>
      <c r="BO48" s="13" t="s">
        <v>2535</v>
      </c>
      <c r="BP48" s="13">
        <v>2020</v>
      </c>
      <c r="BQ48" s="13" t="s">
        <v>3481</v>
      </c>
      <c r="BR48" s="13">
        <v>2020</v>
      </c>
      <c r="BS48" s="13">
        <v>2020</v>
      </c>
      <c r="BT48" s="13">
        <v>2021</v>
      </c>
      <c r="BU48" s="13">
        <v>2021</v>
      </c>
      <c r="BV48" s="13">
        <v>2021</v>
      </c>
      <c r="BW48" s="13" t="s">
        <v>3398</v>
      </c>
      <c r="BX48" s="13">
        <v>2020</v>
      </c>
      <c r="BY48" s="311" t="s">
        <v>1599</v>
      </c>
    </row>
    <row r="49" spans="1:77">
      <c r="A49" s="2">
        <v>44</v>
      </c>
      <c r="B49" s="55">
        <f>INDEX(順位表[Comprehensive],MATCH($C49,順位表['#],0))</f>
        <v>8</v>
      </c>
      <c r="C49" s="3">
        <v>44</v>
      </c>
      <c r="D49" s="1" t="str">
        <f>INDEX(都市マスタ[City Name],MATCH($C49,都市マスタ['#],0))</f>
        <v>Dubai</v>
      </c>
      <c r="E49" s="13">
        <v>2020</v>
      </c>
      <c r="F49" s="13">
        <v>2011</v>
      </c>
      <c r="G49" s="13" t="s">
        <v>1600</v>
      </c>
      <c r="H49" s="13">
        <v>2019</v>
      </c>
      <c r="I49" s="13"/>
      <c r="J49" s="13" t="s">
        <v>1605</v>
      </c>
      <c r="K49" s="13">
        <v>2020</v>
      </c>
      <c r="L49" s="13">
        <v>2020</v>
      </c>
      <c r="M49" s="13">
        <v>2021</v>
      </c>
      <c r="N49" s="13">
        <v>2019</v>
      </c>
      <c r="O49" s="13">
        <v>2019</v>
      </c>
      <c r="P49" s="13">
        <v>2018</v>
      </c>
      <c r="Q49" s="13" t="s">
        <v>2994</v>
      </c>
      <c r="R49" s="13" t="s">
        <v>3033</v>
      </c>
      <c r="S49" s="13">
        <v>2020</v>
      </c>
      <c r="T49" s="13" t="s">
        <v>2534</v>
      </c>
      <c r="U49" s="13">
        <v>2018</v>
      </c>
      <c r="V49" s="13">
        <v>2021</v>
      </c>
      <c r="W49" s="13">
        <v>2018</v>
      </c>
      <c r="X49" s="13">
        <v>2021</v>
      </c>
      <c r="Y49" s="13">
        <v>2018</v>
      </c>
      <c r="Z49" s="13" t="s">
        <v>2532</v>
      </c>
      <c r="AA49" s="13" t="s">
        <v>2533</v>
      </c>
      <c r="AB49" s="13" t="s">
        <v>3075</v>
      </c>
      <c r="AC49" s="13">
        <v>2019</v>
      </c>
      <c r="AD49" s="13" t="s">
        <v>3080</v>
      </c>
      <c r="AE49" s="13" t="s">
        <v>1961</v>
      </c>
      <c r="AF49" s="13" t="s">
        <v>3097</v>
      </c>
      <c r="AG49" s="13" t="s">
        <v>3033</v>
      </c>
      <c r="AH49" s="13">
        <v>2019</v>
      </c>
      <c r="AI49" s="13" t="s">
        <v>3033</v>
      </c>
      <c r="AJ49" s="13" t="s">
        <v>3102</v>
      </c>
      <c r="AK49" s="13">
        <v>2020</v>
      </c>
      <c r="AL49" s="13">
        <v>2021</v>
      </c>
      <c r="AM49" s="13">
        <v>2021</v>
      </c>
      <c r="AN49" s="13">
        <v>2021</v>
      </c>
      <c r="AO49" s="13" t="s">
        <v>3033</v>
      </c>
      <c r="AP49" s="13" t="s">
        <v>3097</v>
      </c>
      <c r="AQ49" s="13">
        <v>2020</v>
      </c>
      <c r="AR49" s="13" t="s">
        <v>3085</v>
      </c>
      <c r="AS49" s="13">
        <v>2019</v>
      </c>
      <c r="AT49" s="13" t="s">
        <v>3344</v>
      </c>
      <c r="AU49" s="13">
        <v>2021</v>
      </c>
      <c r="AV49" s="13">
        <v>2018</v>
      </c>
      <c r="AW49" s="13">
        <v>2018</v>
      </c>
      <c r="AX49" s="13">
        <v>2017</v>
      </c>
      <c r="AY49" s="13">
        <v>2018</v>
      </c>
      <c r="AZ49" s="13">
        <v>2019</v>
      </c>
      <c r="BA49" s="13" t="s">
        <v>3384</v>
      </c>
      <c r="BB49" s="13" t="s">
        <v>1735</v>
      </c>
      <c r="BC49" s="13" t="s">
        <v>1889</v>
      </c>
      <c r="BD49" s="13">
        <v>2020</v>
      </c>
      <c r="BE49" s="13" t="s">
        <v>3033</v>
      </c>
      <c r="BF49" s="13" t="s">
        <v>3033</v>
      </c>
      <c r="BG49" s="13" t="s">
        <v>3398</v>
      </c>
      <c r="BH49" s="13">
        <v>2018</v>
      </c>
      <c r="BI49" s="13" t="s">
        <v>1903</v>
      </c>
      <c r="BJ49" s="13">
        <v>2018</v>
      </c>
      <c r="BK49" s="13">
        <v>2020</v>
      </c>
      <c r="BL49" s="13" t="s">
        <v>3463</v>
      </c>
      <c r="BM49" s="13">
        <v>2021</v>
      </c>
      <c r="BN49" s="13" t="s">
        <v>3406</v>
      </c>
      <c r="BO49" s="13" t="s">
        <v>2535</v>
      </c>
      <c r="BP49" s="13">
        <v>2020</v>
      </c>
      <c r="BQ49" s="13" t="s">
        <v>1719</v>
      </c>
      <c r="BR49" s="13">
        <v>2020</v>
      </c>
      <c r="BS49" s="13">
        <v>2020</v>
      </c>
      <c r="BT49" s="13">
        <v>2021</v>
      </c>
      <c r="BU49" s="13">
        <v>2021</v>
      </c>
      <c r="BV49" s="13">
        <v>2021</v>
      </c>
      <c r="BW49" s="13" t="s">
        <v>3398</v>
      </c>
      <c r="BX49" s="13">
        <v>2020</v>
      </c>
      <c r="BY49" s="311" t="s">
        <v>1599</v>
      </c>
    </row>
    <row r="50" spans="1:77">
      <c r="A50" s="2">
        <v>45</v>
      </c>
      <c r="B50" s="55">
        <f>INDEX(順位表[Comprehensive],MATCH($C50,順位表['#],0))</f>
        <v>28</v>
      </c>
      <c r="C50" s="3">
        <v>45</v>
      </c>
      <c r="D50" s="1" t="str">
        <f>INDEX(都市マスタ[City Name],MATCH($C50,都市マスタ['#],0))</f>
        <v>Dublin</v>
      </c>
      <c r="E50" s="13">
        <v>2016</v>
      </c>
      <c r="F50" s="13">
        <v>2016</v>
      </c>
      <c r="G50" s="13" t="s">
        <v>1600</v>
      </c>
      <c r="H50" s="13">
        <v>2019</v>
      </c>
      <c r="I50" s="13">
        <v>2019</v>
      </c>
      <c r="J50" s="13" t="s">
        <v>1601</v>
      </c>
      <c r="K50" s="13">
        <v>2020</v>
      </c>
      <c r="L50" s="13">
        <v>2020</v>
      </c>
      <c r="M50" s="13">
        <v>2021</v>
      </c>
      <c r="N50" s="13">
        <v>2016</v>
      </c>
      <c r="O50" s="13" t="s">
        <v>2947</v>
      </c>
      <c r="P50" s="13">
        <v>2018</v>
      </c>
      <c r="Q50" s="13" t="s">
        <v>2994</v>
      </c>
      <c r="R50" s="13" t="s">
        <v>3033</v>
      </c>
      <c r="S50" s="13">
        <v>2021</v>
      </c>
      <c r="T50" s="13" t="s">
        <v>2534</v>
      </c>
      <c r="U50" s="13">
        <v>2018</v>
      </c>
      <c r="V50" s="13">
        <v>2021</v>
      </c>
      <c r="W50" s="13">
        <v>2018</v>
      </c>
      <c r="X50" s="13">
        <v>2021</v>
      </c>
      <c r="Y50" s="13">
        <v>2018</v>
      </c>
      <c r="Z50" s="13" t="s">
        <v>2532</v>
      </c>
      <c r="AA50" s="13" t="s">
        <v>2533</v>
      </c>
      <c r="AB50" s="13" t="s">
        <v>3075</v>
      </c>
      <c r="AC50" s="13">
        <v>2019</v>
      </c>
      <c r="AD50" s="13" t="s">
        <v>3080</v>
      </c>
      <c r="AE50" s="13" t="s">
        <v>3083</v>
      </c>
      <c r="AF50" s="13" t="s">
        <v>3097</v>
      </c>
      <c r="AG50" s="13" t="s">
        <v>3033</v>
      </c>
      <c r="AH50" s="13">
        <v>2019</v>
      </c>
      <c r="AI50" s="13" t="s">
        <v>3033</v>
      </c>
      <c r="AJ50" s="13" t="s">
        <v>3102</v>
      </c>
      <c r="AK50" s="13">
        <v>2020</v>
      </c>
      <c r="AL50" s="13">
        <v>2021</v>
      </c>
      <c r="AM50" s="13">
        <v>2021</v>
      </c>
      <c r="AN50" s="13">
        <v>2021</v>
      </c>
      <c r="AO50" s="13" t="s">
        <v>3033</v>
      </c>
      <c r="AP50" s="13" t="s">
        <v>3097</v>
      </c>
      <c r="AQ50" s="13">
        <v>2016</v>
      </c>
      <c r="AR50" s="13" t="s">
        <v>3163</v>
      </c>
      <c r="AS50" s="13">
        <v>2020</v>
      </c>
      <c r="AT50" s="13" t="s">
        <v>3344</v>
      </c>
      <c r="AU50" s="13">
        <v>2021</v>
      </c>
      <c r="AV50" s="13">
        <v>2018</v>
      </c>
      <c r="AW50" s="13">
        <v>2018</v>
      </c>
      <c r="AX50" s="13">
        <v>2020</v>
      </c>
      <c r="AY50" s="13">
        <v>2018</v>
      </c>
      <c r="AZ50" s="13">
        <v>2019</v>
      </c>
      <c r="BA50" s="13" t="s">
        <v>3384</v>
      </c>
      <c r="BB50" s="13" t="s">
        <v>1735</v>
      </c>
      <c r="BC50" s="13" t="s">
        <v>1735</v>
      </c>
      <c r="BD50" s="13">
        <v>2020</v>
      </c>
      <c r="BE50" s="13" t="s">
        <v>3033</v>
      </c>
      <c r="BF50" s="13" t="s">
        <v>3033</v>
      </c>
      <c r="BG50" s="13" t="s">
        <v>3408</v>
      </c>
      <c r="BH50" s="13">
        <v>2018</v>
      </c>
      <c r="BI50" s="13" t="s">
        <v>3448</v>
      </c>
      <c r="BJ50" s="13">
        <v>2019</v>
      </c>
      <c r="BK50" s="13">
        <v>2020</v>
      </c>
      <c r="BL50" s="13" t="s">
        <v>3463</v>
      </c>
      <c r="BM50" s="13">
        <v>2021</v>
      </c>
      <c r="BN50" s="13" t="s">
        <v>3406</v>
      </c>
      <c r="BO50" s="13" t="s">
        <v>2535</v>
      </c>
      <c r="BP50" s="13">
        <v>2020</v>
      </c>
      <c r="BQ50" s="13" t="s">
        <v>1719</v>
      </c>
      <c r="BR50" s="13">
        <v>2020</v>
      </c>
      <c r="BS50" s="13">
        <v>2020</v>
      </c>
      <c r="BT50" s="13">
        <v>2021</v>
      </c>
      <c r="BU50" s="13">
        <v>2021</v>
      </c>
      <c r="BV50" s="13">
        <v>2021</v>
      </c>
      <c r="BW50" s="13" t="s">
        <v>3398</v>
      </c>
      <c r="BX50" s="13">
        <v>2020</v>
      </c>
      <c r="BY50" s="311" t="s">
        <v>1599</v>
      </c>
    </row>
    <row r="51" spans="1:77">
      <c r="A51" s="2">
        <v>46</v>
      </c>
      <c r="B51" s="55">
        <f>INDEX(順位表[Comprehensive],MATCH($C51,順位表['#],0))</f>
        <v>31</v>
      </c>
      <c r="C51" s="3">
        <v>46</v>
      </c>
      <c r="D51" s="1" t="str">
        <f>INDEX(都市マスタ[City Name],MATCH($C51,都市マスタ['#],0))</f>
        <v>Helsinki</v>
      </c>
      <c r="E51" s="13">
        <v>2020</v>
      </c>
      <c r="F51" s="13">
        <v>2020</v>
      </c>
      <c r="G51" s="13" t="s">
        <v>1600</v>
      </c>
      <c r="H51" s="13">
        <v>2019</v>
      </c>
      <c r="I51" s="13"/>
      <c r="J51" s="13" t="s">
        <v>1605</v>
      </c>
      <c r="K51" s="13">
        <v>2020</v>
      </c>
      <c r="L51" s="13">
        <v>2020</v>
      </c>
      <c r="M51" s="13">
        <v>2021</v>
      </c>
      <c r="N51" s="13">
        <v>2019</v>
      </c>
      <c r="O51" s="13">
        <v>2018</v>
      </c>
      <c r="P51" s="13">
        <v>2018</v>
      </c>
      <c r="Q51" s="13" t="s">
        <v>2994</v>
      </c>
      <c r="R51" s="13" t="s">
        <v>3033</v>
      </c>
      <c r="S51" s="13">
        <v>2021</v>
      </c>
      <c r="T51" s="13" t="s">
        <v>2534</v>
      </c>
      <c r="U51" s="13">
        <v>2018</v>
      </c>
      <c r="V51" s="13">
        <v>2021</v>
      </c>
      <c r="W51" s="13">
        <v>2018</v>
      </c>
      <c r="X51" s="13">
        <v>2021</v>
      </c>
      <c r="Y51" s="13">
        <v>2018</v>
      </c>
      <c r="Z51" s="13" t="s">
        <v>2532</v>
      </c>
      <c r="AA51" s="13" t="s">
        <v>2533</v>
      </c>
      <c r="AB51" s="13" t="s">
        <v>3075</v>
      </c>
      <c r="AC51" s="13">
        <v>2019</v>
      </c>
      <c r="AD51" s="13" t="s">
        <v>3080</v>
      </c>
      <c r="AE51" s="13" t="s">
        <v>3083</v>
      </c>
      <c r="AF51" s="13" t="s">
        <v>3097</v>
      </c>
      <c r="AG51" s="13" t="s">
        <v>3033</v>
      </c>
      <c r="AH51" s="13">
        <v>2019</v>
      </c>
      <c r="AI51" s="13" t="s">
        <v>3033</v>
      </c>
      <c r="AJ51" s="13" t="s">
        <v>3102</v>
      </c>
      <c r="AK51" s="13">
        <v>2020</v>
      </c>
      <c r="AL51" s="13">
        <v>2021</v>
      </c>
      <c r="AM51" s="13">
        <v>2021</v>
      </c>
      <c r="AN51" s="13">
        <v>2021</v>
      </c>
      <c r="AO51" s="13" t="s">
        <v>3033</v>
      </c>
      <c r="AP51" s="13" t="s">
        <v>3097</v>
      </c>
      <c r="AQ51" s="13">
        <v>2019</v>
      </c>
      <c r="AR51" s="13" t="s">
        <v>3166</v>
      </c>
      <c r="AS51" s="13">
        <v>2018</v>
      </c>
      <c r="AT51" s="13" t="s">
        <v>3344</v>
      </c>
      <c r="AU51" s="13">
        <v>2021</v>
      </c>
      <c r="AV51" s="13">
        <v>2018</v>
      </c>
      <c r="AW51" s="13">
        <v>2018</v>
      </c>
      <c r="AX51" s="13">
        <v>2018</v>
      </c>
      <c r="AY51" s="13">
        <v>2018</v>
      </c>
      <c r="AZ51" s="13">
        <v>2019</v>
      </c>
      <c r="BA51" s="13" t="s">
        <v>3384</v>
      </c>
      <c r="BB51" s="13" t="s">
        <v>1735</v>
      </c>
      <c r="BC51" s="13" t="s">
        <v>3392</v>
      </c>
      <c r="BD51" s="13">
        <v>2020</v>
      </c>
      <c r="BE51" s="13" t="s">
        <v>3033</v>
      </c>
      <c r="BF51" s="13" t="s">
        <v>3033</v>
      </c>
      <c r="BG51" s="13" t="s">
        <v>3398</v>
      </c>
      <c r="BH51" s="13">
        <v>2018</v>
      </c>
      <c r="BI51" s="13" t="s">
        <v>3447</v>
      </c>
      <c r="BJ51" s="13">
        <v>2019</v>
      </c>
      <c r="BK51" s="13">
        <v>2020</v>
      </c>
      <c r="BL51" s="13" t="s">
        <v>3463</v>
      </c>
      <c r="BM51" s="13">
        <v>2021</v>
      </c>
      <c r="BN51" s="13" t="s">
        <v>3406</v>
      </c>
      <c r="BO51" s="13" t="s">
        <v>2535</v>
      </c>
      <c r="BP51" s="13">
        <v>2020</v>
      </c>
      <c r="BQ51" s="13" t="s">
        <v>1719</v>
      </c>
      <c r="BR51" s="13">
        <v>2020</v>
      </c>
      <c r="BS51" s="13">
        <v>2020</v>
      </c>
      <c r="BT51" s="13">
        <v>2021</v>
      </c>
      <c r="BU51" s="13">
        <v>2021</v>
      </c>
      <c r="BV51" s="13">
        <v>2021</v>
      </c>
      <c r="BW51" s="13" t="s">
        <v>3398</v>
      </c>
      <c r="BX51" s="13">
        <v>2020</v>
      </c>
      <c r="BY51" s="311" t="s">
        <v>1599</v>
      </c>
    </row>
    <row r="52" spans="1:77">
      <c r="A52" s="2">
        <v>47</v>
      </c>
      <c r="B52" s="55">
        <f>INDEX(順位表[Comprehensive],MATCH($C52,順位表['#],0))</f>
        <v>40</v>
      </c>
      <c r="C52" s="3">
        <v>47</v>
      </c>
      <c r="D52" s="1" t="str">
        <f>INDEX(都市マスタ[City Name],MATCH($C52,都市マスタ['#],0))</f>
        <v>Tel Aviv</v>
      </c>
      <c r="E52" s="13">
        <v>2019</v>
      </c>
      <c r="F52" s="13">
        <v>2019</v>
      </c>
      <c r="G52" s="13" t="s">
        <v>1600</v>
      </c>
      <c r="H52" s="13">
        <v>2019</v>
      </c>
      <c r="I52" s="13"/>
      <c r="J52" s="13" t="s">
        <v>1605</v>
      </c>
      <c r="K52" s="13">
        <v>2020</v>
      </c>
      <c r="L52" s="13">
        <v>2020</v>
      </c>
      <c r="M52" s="13">
        <v>2021</v>
      </c>
      <c r="N52" s="13">
        <v>2019</v>
      </c>
      <c r="O52" s="13">
        <v>2021</v>
      </c>
      <c r="P52" s="13">
        <v>2018</v>
      </c>
      <c r="Q52" s="13" t="s">
        <v>2993</v>
      </c>
      <c r="R52" s="13" t="s">
        <v>3033</v>
      </c>
      <c r="S52" s="13">
        <v>2021</v>
      </c>
      <c r="T52" s="13" t="s">
        <v>2534</v>
      </c>
      <c r="U52" s="13">
        <v>2012</v>
      </c>
      <c r="V52" s="13">
        <v>2021</v>
      </c>
      <c r="W52" s="13">
        <v>2018</v>
      </c>
      <c r="X52" s="13">
        <v>2021</v>
      </c>
      <c r="Y52" s="13">
        <v>2018</v>
      </c>
      <c r="Z52" s="13" t="s">
        <v>2532</v>
      </c>
      <c r="AA52" s="13" t="s">
        <v>2533</v>
      </c>
      <c r="AB52" s="13" t="s">
        <v>3075</v>
      </c>
      <c r="AC52" s="13">
        <v>2019</v>
      </c>
      <c r="AD52" s="13" t="s">
        <v>3080</v>
      </c>
      <c r="AE52" s="13" t="s">
        <v>3083</v>
      </c>
      <c r="AF52" s="13" t="s">
        <v>3097</v>
      </c>
      <c r="AG52" s="13" t="s">
        <v>3033</v>
      </c>
      <c r="AH52" s="13">
        <v>2019</v>
      </c>
      <c r="AI52" s="13" t="s">
        <v>3033</v>
      </c>
      <c r="AJ52" s="13" t="s">
        <v>3102</v>
      </c>
      <c r="AK52" s="13">
        <v>2020</v>
      </c>
      <c r="AL52" s="13">
        <v>2021</v>
      </c>
      <c r="AM52" s="13">
        <v>2021</v>
      </c>
      <c r="AN52" s="13">
        <v>2021</v>
      </c>
      <c r="AO52" s="13" t="s">
        <v>3033</v>
      </c>
      <c r="AP52" s="13" t="s">
        <v>3097</v>
      </c>
      <c r="AQ52" s="13">
        <v>2017</v>
      </c>
      <c r="AR52" s="13" t="s">
        <v>3163</v>
      </c>
      <c r="AS52" s="13">
        <v>2020</v>
      </c>
      <c r="AT52" s="13" t="s">
        <v>3344</v>
      </c>
      <c r="AU52" s="13">
        <v>2021</v>
      </c>
      <c r="AV52" s="13">
        <v>2018</v>
      </c>
      <c r="AW52" s="13">
        <v>2018</v>
      </c>
      <c r="AX52" s="13">
        <v>2017</v>
      </c>
      <c r="AY52" s="13">
        <v>2018</v>
      </c>
      <c r="AZ52" s="13">
        <v>2019</v>
      </c>
      <c r="BA52" s="13" t="s">
        <v>3384</v>
      </c>
      <c r="BB52" s="13" t="s">
        <v>1735</v>
      </c>
      <c r="BC52" s="13" t="s">
        <v>1734</v>
      </c>
      <c r="BD52" s="13">
        <v>2020</v>
      </c>
      <c r="BE52" s="13" t="s">
        <v>3033</v>
      </c>
      <c r="BF52" s="13" t="s">
        <v>3033</v>
      </c>
      <c r="BG52" s="13" t="s">
        <v>3401</v>
      </c>
      <c r="BH52" s="13">
        <v>2018</v>
      </c>
      <c r="BI52" s="13" t="s">
        <v>3447</v>
      </c>
      <c r="BJ52" s="13">
        <v>2019</v>
      </c>
      <c r="BK52" s="13">
        <v>2020</v>
      </c>
      <c r="BL52" s="13" t="s">
        <v>3463</v>
      </c>
      <c r="BM52" s="13">
        <v>2021</v>
      </c>
      <c r="BN52" s="13" t="s">
        <v>3406</v>
      </c>
      <c r="BO52" s="13" t="s">
        <v>2535</v>
      </c>
      <c r="BP52" s="13">
        <v>2020</v>
      </c>
      <c r="BQ52" s="13" t="s">
        <v>3481</v>
      </c>
      <c r="BR52" s="13">
        <v>2020</v>
      </c>
      <c r="BS52" s="13">
        <v>2020</v>
      </c>
      <c r="BT52" s="13">
        <v>2021</v>
      </c>
      <c r="BU52" s="13">
        <v>2021</v>
      </c>
      <c r="BV52" s="13">
        <v>2021</v>
      </c>
      <c r="BW52" s="13" t="s">
        <v>3398</v>
      </c>
      <c r="BX52" s="13">
        <v>2020</v>
      </c>
      <c r="BY52" s="311" t="s">
        <v>1599</v>
      </c>
    </row>
    <row r="53" spans="1:77">
      <c r="A53" s="2">
        <v>48</v>
      </c>
      <c r="B53" s="55">
        <f>INDEX(順位表[Comprehensive],MATCH($C53,順位表['#],0))</f>
        <v>9</v>
      </c>
      <c r="C53" s="271">
        <v>48</v>
      </c>
      <c r="D53" s="1" t="str">
        <f>INDEX(都市マスタ[City Name],MATCH($C53,都市マスタ['#],0))</f>
        <v>Melbourne</v>
      </c>
      <c r="E53" s="312">
        <v>2019</v>
      </c>
      <c r="F53" s="312">
        <v>2019</v>
      </c>
      <c r="G53" s="312" t="s">
        <v>1600</v>
      </c>
      <c r="H53" s="312">
        <v>2019</v>
      </c>
      <c r="I53" s="312"/>
      <c r="J53" s="312" t="s">
        <v>1601</v>
      </c>
      <c r="K53" s="312">
        <v>2020</v>
      </c>
      <c r="L53" s="312"/>
      <c r="M53" s="312">
        <v>2021</v>
      </c>
      <c r="N53" s="312">
        <v>2016</v>
      </c>
      <c r="O53" s="312">
        <v>2016</v>
      </c>
      <c r="P53" s="312">
        <v>2016</v>
      </c>
      <c r="Q53" s="312" t="s">
        <v>2994</v>
      </c>
      <c r="R53" s="312" t="s">
        <v>3033</v>
      </c>
      <c r="S53" s="312">
        <v>2021</v>
      </c>
      <c r="T53" s="312" t="s">
        <v>2534</v>
      </c>
      <c r="U53" s="312" t="s">
        <v>2860</v>
      </c>
      <c r="V53" s="312">
        <v>2021</v>
      </c>
      <c r="W53" s="312">
        <v>2017</v>
      </c>
      <c r="X53" s="312">
        <v>2021</v>
      </c>
      <c r="Y53" s="312">
        <v>2018</v>
      </c>
      <c r="Z53" s="312" t="s">
        <v>2532</v>
      </c>
      <c r="AA53" s="312" t="s">
        <v>2533</v>
      </c>
      <c r="AB53" s="312" t="s">
        <v>3075</v>
      </c>
      <c r="AC53" s="312">
        <v>2019</v>
      </c>
      <c r="AD53" s="312" t="s">
        <v>3080</v>
      </c>
      <c r="AE53" s="312" t="s">
        <v>3083</v>
      </c>
      <c r="AF53" s="312" t="s">
        <v>3097</v>
      </c>
      <c r="AG53" s="312" t="s">
        <v>3033</v>
      </c>
      <c r="AH53" s="312">
        <v>2019</v>
      </c>
      <c r="AI53" s="312" t="s">
        <v>3033</v>
      </c>
      <c r="AJ53" s="312" t="s">
        <v>3102</v>
      </c>
      <c r="AK53" s="312">
        <v>2020</v>
      </c>
      <c r="AL53" s="312">
        <v>2021</v>
      </c>
      <c r="AM53" s="312">
        <v>2021</v>
      </c>
      <c r="AN53" s="312">
        <v>2021</v>
      </c>
      <c r="AO53" s="312" t="s">
        <v>3033</v>
      </c>
      <c r="AP53" s="312" t="s">
        <v>3097</v>
      </c>
      <c r="AQ53" s="312">
        <v>2016</v>
      </c>
      <c r="AR53" s="312" t="s">
        <v>3163</v>
      </c>
      <c r="AS53" s="312">
        <v>2020</v>
      </c>
      <c r="AT53" s="312" t="s">
        <v>3344</v>
      </c>
      <c r="AU53" s="312">
        <v>2021</v>
      </c>
      <c r="AV53" s="312">
        <v>2020</v>
      </c>
      <c r="AW53" s="312">
        <v>2018</v>
      </c>
      <c r="AX53" s="312">
        <v>2020</v>
      </c>
      <c r="AY53" s="312">
        <v>2018</v>
      </c>
      <c r="AZ53" s="312">
        <v>2019</v>
      </c>
      <c r="BA53" s="312" t="s">
        <v>3384</v>
      </c>
      <c r="BB53" s="312" t="s">
        <v>1735</v>
      </c>
      <c r="BC53" s="312" t="s">
        <v>1886</v>
      </c>
      <c r="BD53" s="312">
        <v>2020</v>
      </c>
      <c r="BE53" s="312" t="s">
        <v>3033</v>
      </c>
      <c r="BF53" s="312" t="s">
        <v>3033</v>
      </c>
      <c r="BG53" s="312" t="s">
        <v>3401</v>
      </c>
      <c r="BH53" s="312">
        <v>2018</v>
      </c>
      <c r="BI53" s="312" t="s">
        <v>1905</v>
      </c>
      <c r="BJ53" s="312">
        <v>2019</v>
      </c>
      <c r="BK53" s="312">
        <v>2020</v>
      </c>
      <c r="BL53" s="312" t="s">
        <v>3463</v>
      </c>
      <c r="BM53" s="312">
        <v>2021</v>
      </c>
      <c r="BN53" s="312" t="s">
        <v>3406</v>
      </c>
      <c r="BO53" s="312" t="s">
        <v>2535</v>
      </c>
      <c r="BP53" s="312">
        <v>2020</v>
      </c>
      <c r="BQ53" s="312" t="s">
        <v>1719</v>
      </c>
      <c r="BR53" s="312">
        <v>2020</v>
      </c>
      <c r="BS53" s="312">
        <v>2020</v>
      </c>
      <c r="BT53" s="312">
        <v>2021</v>
      </c>
      <c r="BU53" s="312">
        <v>2021</v>
      </c>
      <c r="BV53" s="312">
        <v>2021</v>
      </c>
      <c r="BW53" s="312" t="s">
        <v>3398</v>
      </c>
      <c r="BX53" s="312">
        <v>2020</v>
      </c>
      <c r="BY53" s="313" t="s">
        <v>3551</v>
      </c>
    </row>
    <row r="54" spans="1:77">
      <c r="A54" s="2">
        <v>49</v>
      </c>
      <c r="B54" s="55"/>
      <c r="C54" s="3"/>
      <c r="D54" s="1"/>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row>
    <row r="55" spans="1:77">
      <c r="A55" s="2">
        <v>50</v>
      </c>
      <c r="B55" s="55"/>
      <c r="C55" s="3"/>
      <c r="D55" s="1"/>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row>
    <row r="56" spans="1:77">
      <c r="S56" s="57"/>
    </row>
    <row r="58" spans="1:77">
      <c r="C58"/>
    </row>
    <row r="59" spans="1:77">
      <c r="C59"/>
    </row>
    <row r="60" spans="1:77">
      <c r="C60"/>
    </row>
  </sheetData>
  <autoFilter ref="B5:BY5" xr:uid="{00000000-0009-0000-0000-000019000000}">
    <sortState xmlns:xlrd2="http://schemas.microsoft.com/office/spreadsheetml/2017/richdata2" ref="B6:BY55">
      <sortCondition ref="B5"/>
    </sortState>
  </autoFilter>
  <sortState xmlns:xlrd2="http://schemas.microsoft.com/office/spreadsheetml/2017/richdata2" ref="B6:BY53">
    <sortCondition ref="C5"/>
  </sortState>
  <phoneticPr fontId="5"/>
  <conditionalFormatting sqref="E6:BY53">
    <cfRule type="expression" dxfId="2" priority="1">
      <formula>OR(E6="-",E6="")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④年次出典範囲">
                <anchor moveWithCells="1" sizeWithCells="1">
                  <from>
                    <xdr:col>2</xdr:col>
                    <xdr:colOff>66675</xdr:colOff>
                    <xdr:row>1</xdr:row>
                    <xdr:rowOff>57150</xdr:rowOff>
                  </from>
                  <to>
                    <xdr:col>3</xdr:col>
                    <xdr:colOff>1009650</xdr:colOff>
                    <xdr:row>3</xdr:row>
                    <xdr:rowOff>142875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dimension ref="A1:BY60"/>
  <sheetViews>
    <sheetView zoomScaleNormal="100" workbookViewId="0">
      <pane xSplit="4" ySplit="5" topLeftCell="E6" activePane="bottomRight" state="frozen"/>
      <selection activeCell="K27" sqref="K27"/>
      <selection pane="topRight" activeCell="K27" sqref="K27"/>
      <selection pane="bottomLeft" activeCell="K27" sqref="K27"/>
      <selection pane="bottomRight" activeCell="BY4" sqref="BY4"/>
    </sheetView>
  </sheetViews>
  <sheetFormatPr defaultColWidth="9.28515625" defaultRowHeight="15.75"/>
  <cols>
    <col min="1" max="1" width="3.28515625" style="2" customWidth="1"/>
    <col min="2" max="2" width="8.140625" bestFit="1" customWidth="1"/>
    <col min="3" max="3" width="3.28515625" style="2" customWidth="1"/>
    <col min="4" max="4" width="16" customWidth="1"/>
    <col min="5" max="77" width="10.7109375" customWidth="1"/>
  </cols>
  <sheetData>
    <row r="1" spans="1:77">
      <c r="B1" t="s">
        <v>2992</v>
      </c>
      <c r="C1"/>
      <c r="AK1" s="15"/>
    </row>
    <row r="2" spans="1:77" ht="15.4" customHeight="1">
      <c r="B2" t="s">
        <v>441</v>
      </c>
      <c r="D2" s="36" t="str">
        <f>IF(JPEN!$C$2="EN",指標!$E$2,指標!$D$2)</f>
        <v>分野</v>
      </c>
      <c r="E2" s="39" t="str">
        <f>IFERROR(INDEX(指標マスタ[],MATCH(E$5,指標マスタ['#],0),MATCH($D2,指標マスタ[#Headers],0))&amp;"","")</f>
        <v>基礎</v>
      </c>
      <c r="F2" s="39" t="str">
        <f>IFERROR(INDEX(指標マスタ[],MATCH(F$5,指標マスタ['#],0),MATCH($D2,指標マスタ[#Headers],0))&amp;"","")</f>
        <v/>
      </c>
      <c r="G2" s="39" t="str">
        <f>IFERROR(INDEX(指標マスタ[],MATCH(G$5,指標マスタ['#],0),MATCH($D2,指標マスタ[#Headers],0))&amp;"","")</f>
        <v/>
      </c>
      <c r="H2" s="183" t="str">
        <f>IFERROR(INDEX(指標マスタ[],MATCH(H$5,指標マスタ['#],0),MATCH($D2,指標マスタ[#Headers],0))&amp;"","")</f>
        <v>経済</v>
      </c>
      <c r="I2" s="183" t="str">
        <f>IFERROR(INDEX(指標マスタ[],MATCH(I$5,指標マスタ['#],0),MATCH($D2,指標マスタ[#Headers],0))&amp;"","")</f>
        <v/>
      </c>
      <c r="J2" s="183" t="str">
        <f>IFERROR(INDEX(指標マスタ[],MATCH(J$5,指標マスタ['#],0),MATCH($D2,指標マスタ[#Headers],0))&amp;"","")</f>
        <v/>
      </c>
      <c r="K2" s="183" t="str">
        <f>IFERROR(INDEX(指標マスタ[],MATCH(K$5,指標マスタ['#],0),MATCH($D2,指標マスタ[#Headers],0))&amp;"","")</f>
        <v/>
      </c>
      <c r="L2" s="183" t="str">
        <f>IFERROR(INDEX(指標マスタ[],MATCH(L$5,指標マスタ['#],0),MATCH($D2,指標マスタ[#Headers],0))&amp;"","")</f>
        <v/>
      </c>
      <c r="M2" s="183" t="str">
        <f>IFERROR(INDEX(指標マスタ[],MATCH(M$5,指標マスタ['#],0),MATCH($D2,指標マスタ[#Headers],0))&amp;"","")</f>
        <v/>
      </c>
      <c r="N2" s="183" t="str">
        <f>IFERROR(INDEX(指標マスタ[],MATCH(N$5,指標マスタ['#],0),MATCH($D2,指標マスタ[#Headers],0))&amp;"","")</f>
        <v/>
      </c>
      <c r="O2" s="183" t="str">
        <f>IFERROR(INDEX(指標マスタ[],MATCH(O$5,指標マスタ['#],0),MATCH($D2,指標マスタ[#Headers],0))&amp;"","")</f>
        <v/>
      </c>
      <c r="P2" s="183" t="str">
        <f>IFERROR(INDEX(指標マスタ[],MATCH(P$5,指標マスタ['#],0),MATCH($D2,指標マスタ[#Headers],0))&amp;"","")</f>
        <v/>
      </c>
      <c r="Q2" s="183" t="str">
        <f>IFERROR(INDEX(指標マスタ[],MATCH(Q$5,指標マスタ['#],0),MATCH($D2,指標マスタ[#Headers],0))&amp;"","")</f>
        <v/>
      </c>
      <c r="R2" s="183" t="str">
        <f>IFERROR(INDEX(指標マスタ[],MATCH(R$5,指標マスタ['#],0),MATCH($D2,指標マスタ[#Headers],0))&amp;"","")</f>
        <v/>
      </c>
      <c r="S2" s="183" t="str">
        <f>IFERROR(INDEX(指標マスタ[],MATCH(S$5,指標マスタ['#],0),MATCH($D2,指標マスタ[#Headers],0))&amp;"","")</f>
        <v/>
      </c>
      <c r="T2" s="183" t="str">
        <f>IFERROR(INDEX(指標マスタ[],MATCH(T$5,指標マスタ['#],0),MATCH($D2,指標マスタ[#Headers],0))&amp;"","")</f>
        <v/>
      </c>
      <c r="U2" s="187" t="str">
        <f>IFERROR(INDEX(指標マスタ[],MATCH(U$5,指標マスタ['#],0),MATCH($D2,指標マスタ[#Headers],0))&amp;"","")</f>
        <v>研究・開発</v>
      </c>
      <c r="V2" s="187" t="str">
        <f>IFERROR(INDEX(指標マスタ[],MATCH(V$5,指標マスタ['#],0),MATCH($D2,指標マスタ[#Headers],0))&amp;"","")</f>
        <v/>
      </c>
      <c r="W2" s="187" t="str">
        <f>IFERROR(INDEX(指標マスタ[],MATCH(W$5,指標マスタ['#],0),MATCH($D2,指標マスタ[#Headers],0))&amp;"","")</f>
        <v/>
      </c>
      <c r="X2" s="187" t="str">
        <f>IFERROR(INDEX(指標マスタ[],MATCH(X$5,指標マスタ['#],0),MATCH($D2,指標マスタ[#Headers],0))&amp;"","")</f>
        <v/>
      </c>
      <c r="Y2" s="187" t="str">
        <f>IFERROR(INDEX(指標マスタ[],MATCH(Y$5,指標マスタ['#],0),MATCH($D2,指標マスタ[#Headers],0))&amp;"","")</f>
        <v/>
      </c>
      <c r="Z2" s="187" t="str">
        <f>IFERROR(INDEX(指標マスタ[],MATCH(Z$5,指標マスタ['#],0),MATCH($D2,指標マスタ[#Headers],0))&amp;"","")</f>
        <v/>
      </c>
      <c r="AA2" s="187" t="str">
        <f>IFERROR(INDEX(指標マスタ[],MATCH(AA$5,指標マスタ['#],0),MATCH($D2,指標マスタ[#Headers],0))&amp;"","")</f>
        <v/>
      </c>
      <c r="AB2" s="187" t="str">
        <f>IFERROR(INDEX(指標マスタ[],MATCH(AB$5,指標マスタ['#],0),MATCH($D2,指標マスタ[#Headers],0))&amp;"","")</f>
        <v/>
      </c>
      <c r="AC2" s="193" t="str">
        <f>IFERROR(INDEX(指標マスタ[],MATCH(AC$5,指標マスタ['#],0),MATCH($D2,指標マスタ[#Headers],0))&amp;"","")</f>
        <v>文化・交流</v>
      </c>
      <c r="AD2" s="193" t="str">
        <f>IFERROR(INDEX(指標マスタ[],MATCH(AD$5,指標マスタ['#],0),MATCH($D2,指標マスタ[#Headers],0))&amp;"","")</f>
        <v/>
      </c>
      <c r="AE2" s="193" t="str">
        <f>IFERROR(INDEX(指標マスタ[],MATCH(AE$5,指標マスタ['#],0),MATCH($D2,指標マスタ[#Headers],0))&amp;"","")</f>
        <v/>
      </c>
      <c r="AF2" s="193" t="str">
        <f>IFERROR(INDEX(指標マスタ[],MATCH(AF$5,指標マスタ['#],0),MATCH($D2,指標マスタ[#Headers],0))&amp;"","")</f>
        <v/>
      </c>
      <c r="AG2" s="193" t="str">
        <f>IFERROR(INDEX(指標マスタ[],MATCH(AG$5,指標マスタ['#],0),MATCH($D2,指標マスタ[#Headers],0))&amp;"","")</f>
        <v/>
      </c>
      <c r="AH2" s="193" t="str">
        <f>IFERROR(INDEX(指標マスタ[],MATCH(AH$5,指標マスタ['#],0),MATCH($D2,指標マスタ[#Headers],0))&amp;"","")</f>
        <v/>
      </c>
      <c r="AI2" s="193" t="str">
        <f>IFERROR(INDEX(指標マスタ[],MATCH(AI$5,指標マスタ['#],0),MATCH($D2,指標マスタ[#Headers],0))&amp;"","")</f>
        <v/>
      </c>
      <c r="AJ2" s="193" t="str">
        <f>IFERROR(INDEX(指標マスタ[],MATCH(AJ$5,指標マスタ['#],0),MATCH($D2,指標マスタ[#Headers],0))&amp;"","")</f>
        <v/>
      </c>
      <c r="AK2" s="193" t="str">
        <f>IFERROR(INDEX(指標マスタ[],MATCH(AK$5,指標マスタ['#],0),MATCH($D2,指標マスタ[#Headers],0))&amp;"","")</f>
        <v/>
      </c>
      <c r="AL2" s="193" t="str">
        <f>IFERROR(INDEX(指標マスタ[],MATCH(AL$5,指標マスタ['#],0),MATCH($D2,指標マスタ[#Headers],0))&amp;"","")</f>
        <v/>
      </c>
      <c r="AM2" s="193" t="str">
        <f>IFERROR(INDEX(指標マスタ[],MATCH(AM$5,指標マスタ['#],0),MATCH($D2,指標マスタ[#Headers],0))&amp;"","")</f>
        <v/>
      </c>
      <c r="AN2" s="193" t="str">
        <f>IFERROR(INDEX(指標マスタ[],MATCH(AN$5,指標マスタ['#],0),MATCH($D2,指標マスタ[#Headers],0))&amp;"","")</f>
        <v/>
      </c>
      <c r="AO2" s="193" t="str">
        <f>IFERROR(INDEX(指標マスタ[],MATCH(AO$5,指標マスタ['#],0),MATCH($D2,指標マスタ[#Headers],0))&amp;"","")</f>
        <v/>
      </c>
      <c r="AP2" s="193" t="str">
        <f>IFERROR(INDEX(指標マスタ[],MATCH(AP$5,指標マスタ['#],0),MATCH($D2,指標マスタ[#Headers],0))&amp;"","")</f>
        <v/>
      </c>
      <c r="AQ2" s="193" t="str">
        <f>IFERROR(INDEX(指標マスタ[],MATCH(AQ$5,指標マスタ['#],0),MATCH($D2,指標マスタ[#Headers],0))&amp;"","")</f>
        <v/>
      </c>
      <c r="AR2" s="193" t="str">
        <f>IFERROR(INDEX(指標マスタ[],MATCH(AR$5,指標マスタ['#],0),MATCH($D2,指標マスタ[#Headers],0))&amp;"","")</f>
        <v/>
      </c>
      <c r="AS2" s="199" t="str">
        <f>IFERROR(INDEX(指標マスタ[],MATCH(AS$5,指標マスタ['#],0),MATCH($D2,指標マスタ[#Headers],0))&amp;"","")</f>
        <v>居住</v>
      </c>
      <c r="AT2" s="199" t="str">
        <f>IFERROR(INDEX(指標マスタ[],MATCH(AT$5,指標マスタ['#],0),MATCH($D2,指標マスタ[#Headers],0))&amp;"","")</f>
        <v/>
      </c>
      <c r="AU2" s="199" t="str">
        <f>IFERROR(INDEX(指標マスタ[],MATCH(AU$5,指標マスタ['#],0),MATCH($D2,指標マスタ[#Headers],0))&amp;"","")</f>
        <v/>
      </c>
      <c r="AV2" s="199" t="str">
        <f>IFERROR(INDEX(指標マスタ[],MATCH(AV$5,指標マスタ['#],0),MATCH($D2,指標マスタ[#Headers],0))&amp;"","")</f>
        <v/>
      </c>
      <c r="AW2" s="199" t="str">
        <f>IFERROR(INDEX(指標マスタ[],MATCH(AW$5,指標マスタ['#],0),MATCH($D2,指標マスタ[#Headers],0))&amp;"","")</f>
        <v/>
      </c>
      <c r="AX2" s="199" t="str">
        <f>IFERROR(INDEX(指標マスタ[],MATCH(AX$5,指標マスタ['#],0),MATCH($D2,指標マスタ[#Headers],0))&amp;"","")</f>
        <v/>
      </c>
      <c r="AY2" s="199" t="str">
        <f>IFERROR(INDEX(指標マスタ[],MATCH(AY$5,指標マスタ['#],0),MATCH($D2,指標マスタ[#Headers],0))&amp;"","")</f>
        <v/>
      </c>
      <c r="AZ2" s="199" t="str">
        <f>IFERROR(INDEX(指標マスタ[],MATCH(AZ$5,指標マスタ['#],0),MATCH($D2,指標マスタ[#Headers],0))&amp;"","")</f>
        <v/>
      </c>
      <c r="BA2" s="199" t="str">
        <f>IFERROR(INDEX(指標マスタ[],MATCH(BA$5,指標マスタ['#],0),MATCH($D2,指標マスタ[#Headers],0))&amp;"","")</f>
        <v/>
      </c>
      <c r="BB2" s="199" t="str">
        <f>IFERROR(INDEX(指標マスタ[],MATCH(BB$5,指標マスタ['#],0),MATCH($D2,指標マスタ[#Headers],0))&amp;"","")</f>
        <v/>
      </c>
      <c r="BC2" s="199" t="str">
        <f>IFERROR(INDEX(指標マスタ[],MATCH(BC$5,指標マスタ['#],0),MATCH($D2,指標マスタ[#Headers],0))&amp;"","")</f>
        <v/>
      </c>
      <c r="BD2" s="199" t="str">
        <f>IFERROR(INDEX(指標マスタ[],MATCH(BD$5,指標マスタ['#],0),MATCH($D2,指標マスタ[#Headers],0))&amp;"","")</f>
        <v/>
      </c>
      <c r="BE2" s="199" t="str">
        <f>IFERROR(INDEX(指標マスタ[],MATCH(BE$5,指標マスタ['#],0),MATCH($D2,指標マスタ[#Headers],0))&amp;"","")</f>
        <v/>
      </c>
      <c r="BF2" s="199" t="str">
        <f>IFERROR(INDEX(指標マスタ[],MATCH(BF$5,指標マスタ['#],0),MATCH($D2,指標マスタ[#Headers],0))&amp;"","")</f>
        <v/>
      </c>
      <c r="BG2" s="204" t="str">
        <f>IFERROR(INDEX(指標マスタ[],MATCH(BG$5,指標マスタ['#],0),MATCH($D2,指標マスタ[#Headers],0))&amp;"","")</f>
        <v>環境</v>
      </c>
      <c r="BH2" s="204" t="str">
        <f>IFERROR(INDEX(指標マスタ[],MATCH(BH$5,指標マスタ['#],0),MATCH($D2,指標マスタ[#Headers],0))&amp;"","")</f>
        <v/>
      </c>
      <c r="BI2" s="204" t="str">
        <f>IFERROR(INDEX(指標マスタ[],MATCH(BI$5,指標マスタ['#],0),MATCH($D2,指標マスタ[#Headers],0))&amp;"","")</f>
        <v/>
      </c>
      <c r="BJ2" s="204" t="str">
        <f>IFERROR(INDEX(指標マスタ[],MATCH(BJ$5,指標マスタ['#],0),MATCH($D2,指標マスタ[#Headers],0))&amp;"","")</f>
        <v/>
      </c>
      <c r="BK2" s="204" t="str">
        <f>IFERROR(INDEX(指標マスタ[],MATCH(BK$5,指標マスタ['#],0),MATCH($D2,指標マスタ[#Headers],0))&amp;"","")</f>
        <v/>
      </c>
      <c r="BL2" s="204" t="str">
        <f>IFERROR(INDEX(指標マスタ[],MATCH(BL$5,指標マスタ['#],0),MATCH($D2,指標マスタ[#Headers],0))&amp;"","")</f>
        <v/>
      </c>
      <c r="BM2" s="204" t="str">
        <f>IFERROR(INDEX(指標マスタ[],MATCH(BM$5,指標マスタ['#],0),MATCH($D2,指標マスタ[#Headers],0))&amp;"","")</f>
        <v/>
      </c>
      <c r="BN2" s="204" t="str">
        <f>IFERROR(INDEX(指標マスタ[],MATCH(BN$5,指標マスタ['#],0),MATCH($D2,指標マスタ[#Headers],0))&amp;"","")</f>
        <v/>
      </c>
      <c r="BO2" s="204" t="str">
        <f>IFERROR(INDEX(指標マスタ[],MATCH(BO$5,指標マスタ['#],0),MATCH($D2,指標マスタ[#Headers],0))&amp;"","")</f>
        <v/>
      </c>
      <c r="BP2" s="209" t="str">
        <f>IFERROR(INDEX(指標マスタ[],MATCH(BP$5,指標マスタ['#],0),MATCH($D2,指標マスタ[#Headers],0))&amp;"","")</f>
        <v>交通・アクセス</v>
      </c>
      <c r="BQ2" s="209" t="str">
        <f>IFERROR(INDEX(指標マスタ[],MATCH(BQ$5,指標マスタ['#],0),MATCH($D2,指標マスタ[#Headers],0))&amp;"","")</f>
        <v/>
      </c>
      <c r="BR2" s="209" t="str">
        <f>IFERROR(INDEX(指標マスタ[],MATCH(BR$5,指標マスタ['#],0),MATCH($D2,指標マスタ[#Headers],0))&amp;"","")</f>
        <v/>
      </c>
      <c r="BS2" s="209" t="str">
        <f>IFERROR(INDEX(指標マスタ[],MATCH(BS$5,指標マスタ['#],0),MATCH($D2,指標マスタ[#Headers],0))&amp;"","")</f>
        <v/>
      </c>
      <c r="BT2" s="209" t="str">
        <f>IFERROR(INDEX(指標マスタ[],MATCH(BT$5,指標マスタ['#],0),MATCH($D2,指標マスタ[#Headers],0))&amp;"","")</f>
        <v/>
      </c>
      <c r="BU2" s="209" t="str">
        <f>IFERROR(INDEX(指標マスタ[],MATCH(BU$5,指標マスタ['#],0),MATCH($D2,指標マスタ[#Headers],0))&amp;"","")</f>
        <v/>
      </c>
      <c r="BV2" s="209" t="str">
        <f>IFERROR(INDEX(指標マスタ[],MATCH(BV$5,指標マスタ['#],0),MATCH($D2,指標マスタ[#Headers],0))&amp;"","")</f>
        <v/>
      </c>
      <c r="BW2" s="209" t="str">
        <f>IFERROR(INDEX(指標マスタ[],MATCH(BW$5,指標マスタ['#],0),MATCH($D2,指標マスタ[#Headers],0))&amp;"","")</f>
        <v/>
      </c>
      <c r="BX2" s="209" t="str">
        <f>IFERROR(INDEX(指標マスタ[],MATCH(BX$5,指標マスタ['#],0),MATCH($D2,指標マスタ[#Headers],0))&amp;"","")</f>
        <v/>
      </c>
      <c r="BY2" s="209" t="str">
        <f>IFERROR(INDEX(指標マスタ[],MATCH(BY$5,指標マスタ['#],0),MATCH($D2,指標マスタ[#Headers],0))&amp;"","")</f>
        <v/>
      </c>
    </row>
    <row r="3" spans="1:77" ht="15.4" customHeight="1">
      <c r="B3" s="25">
        <f>COUNTIF(出典!$E$6:$BY$53,"-")+COUNTIF(出典!$E$6:$BY$53,"")</f>
        <v>50</v>
      </c>
      <c r="D3" s="36" t="str">
        <f>IF(JPEN!$C$2="EN",指標!$G$2,指標!$F$2)</f>
        <v>指標グループ</v>
      </c>
      <c r="E3" s="39" t="str">
        <f>IFERROR(INDEX(指標マスタ[],MATCH(E$5,指標マスタ['#],0),MATCH($D3,指標マスタ[#Headers],0))&amp;"","")</f>
        <v>基礎</v>
      </c>
      <c r="F3" s="39" t="str">
        <f>IFERROR(INDEX(指標マスタ[],MATCH(F$5,指標マスタ['#],0),MATCH($D3,指標マスタ[#Headers],0))&amp;"","")</f>
        <v/>
      </c>
      <c r="G3" s="39" t="str">
        <f>IFERROR(INDEX(指標マスタ[],MATCH(G$5,指標マスタ['#],0),MATCH($D3,指標マスタ[#Headers],0))&amp;"","")</f>
        <v/>
      </c>
      <c r="H3" s="183" t="str">
        <f>IFERROR(INDEX(指標マスタ[],MATCH(H$5,指標マスタ['#],0),MATCH($D3,指標マスタ[#Headers],0))&amp;"","")</f>
        <v>市場の規模</v>
      </c>
      <c r="I3" s="183" t="str">
        <f>IFERROR(INDEX(指標マスタ[],MATCH(I$5,指標マスタ['#],0),MATCH($D3,指標マスタ[#Headers],0))&amp;"","")</f>
        <v/>
      </c>
      <c r="J3" s="183" t="str">
        <f>IFERROR(INDEX(指標マスタ[],MATCH(J$5,指標マスタ['#],0),MATCH($D3,指標マスタ[#Headers],0))&amp;"","")</f>
        <v>市場の魅力</v>
      </c>
      <c r="K3" s="183" t="str">
        <f>IFERROR(INDEX(指標マスタ[],MATCH(K$5,指標マスタ['#],0),MATCH($D3,指標マスタ[#Headers],0))&amp;"","")</f>
        <v/>
      </c>
      <c r="L3" s="183" t="str">
        <f>IFERROR(INDEX(指標マスタ[],MATCH(L$5,指標マスタ['#],0),MATCH($D3,指標マスタ[#Headers],0))&amp;"","")</f>
        <v>経済集積</v>
      </c>
      <c r="M3" s="183" t="str">
        <f>IFERROR(INDEX(指標マスタ[],MATCH(M$5,指標マスタ['#],0),MATCH($D3,指標マスタ[#Headers],0))&amp;"","")</f>
        <v/>
      </c>
      <c r="N3" s="183" t="str">
        <f>IFERROR(INDEX(指標マスタ[],MATCH(N$5,指標マスタ['#],0),MATCH($D3,指標マスタ[#Headers],0))&amp;"","")</f>
        <v>人的集積</v>
      </c>
      <c r="O3" s="183" t="str">
        <f>IFERROR(INDEX(指標マスタ[],MATCH(O$5,指標マスタ['#],0),MATCH($D3,指標マスタ[#Headers],0))&amp;"","")</f>
        <v/>
      </c>
      <c r="P3" s="183" t="str">
        <f>IFERROR(INDEX(指標マスタ[],MATCH(P$5,指標マスタ['#],0),MATCH($D3,指標マスタ[#Headers],0))&amp;"","")</f>
        <v>ビジネス環境</v>
      </c>
      <c r="Q3" s="183" t="str">
        <f>IFERROR(INDEX(指標マスタ[],MATCH(Q$5,指標マスタ['#],0),MATCH($D3,指標マスタ[#Headers],0))&amp;"","")</f>
        <v/>
      </c>
      <c r="R3" s="183" t="str">
        <f>IFERROR(INDEX(指標マスタ[],MATCH(R$5,指標マスタ['#],0),MATCH($D3,指標マスタ[#Headers],0))&amp;"","")</f>
        <v/>
      </c>
      <c r="S3" s="183" t="str">
        <f>IFERROR(INDEX(指標マスタ[],MATCH(S$5,指標マスタ['#],0),MATCH($D3,指標マスタ[#Headers],0))&amp;"","")</f>
        <v>ビジネスの容易性</v>
      </c>
      <c r="T3" s="183" t="str">
        <f>IFERROR(INDEX(指標マスタ[],MATCH(T$5,指標マスタ['#],0),MATCH($D3,指標マスタ[#Headers],0))&amp;"","")</f>
        <v/>
      </c>
      <c r="U3" s="187" t="str">
        <f>IFERROR(INDEX(指標マスタ[],MATCH(U$5,指標マスタ['#],0),MATCH($D3,指標マスタ[#Headers],0))&amp;"","")</f>
        <v>研究集積</v>
      </c>
      <c r="V3" s="187" t="str">
        <f>IFERROR(INDEX(指標マスタ[],MATCH(V$5,指標マスタ['#],0),MATCH($D3,指標マスタ[#Headers],0))&amp;"","")</f>
        <v/>
      </c>
      <c r="W3" s="188" t="str">
        <f>IFERROR(INDEX(指標マスタ[],MATCH(W$5,指標マスタ['#],0),MATCH($D3,指標マスタ[#Headers],0))&amp;"","")</f>
        <v>研究環境</v>
      </c>
      <c r="X3" s="188" t="str">
        <f>IFERROR(INDEX(指標マスタ[],MATCH(X$5,指標マスタ['#],0),MATCH($D3,指標マスタ[#Headers],0))&amp;"","")</f>
        <v/>
      </c>
      <c r="Y3" s="188" t="str">
        <f>IFERROR(INDEX(指標マスタ[],MATCH(Y$5,指標マスタ['#],0),MATCH($D3,指標マスタ[#Headers],0))&amp;"","")</f>
        <v/>
      </c>
      <c r="Z3" s="188" t="str">
        <f>IFERROR(INDEX(指標マスタ[],MATCH(Z$5,指標マスタ['#],0),MATCH($D3,指標マスタ[#Headers],0))&amp;"","")</f>
        <v>イノベーション</v>
      </c>
      <c r="AA3" s="188" t="str">
        <f>IFERROR(INDEX(指標マスタ[],MATCH(AA$5,指標マスタ['#],0),MATCH($D3,指標マスタ[#Headers],0))&amp;"","")</f>
        <v/>
      </c>
      <c r="AB3" s="188" t="str">
        <f>IFERROR(INDEX(指標マスタ[],MATCH(AB$5,指標マスタ['#],0),MATCH($D3,指標マスタ[#Headers],0))&amp;"","")</f>
        <v/>
      </c>
      <c r="AC3" s="194" t="str">
        <f>IFERROR(INDEX(指標マスタ[],MATCH(AC$5,指標マスタ['#],0),MATCH($D3,指標マスタ[#Headers],0))&amp;"","")</f>
        <v>発信力</v>
      </c>
      <c r="AD3" s="194" t="str">
        <f>IFERROR(INDEX(指標マスタ[],MATCH(AD$5,指標マスタ['#],0),MATCH($D3,指標マスタ[#Headers],0))&amp;"","")</f>
        <v/>
      </c>
      <c r="AE3" s="194" t="str">
        <f>IFERROR(INDEX(指標マスタ[],MATCH(AE$5,指標マスタ['#],0),MATCH($D3,指標マスタ[#Headers],0))&amp;"","")</f>
        <v/>
      </c>
      <c r="AF3" s="194" t="str">
        <f>IFERROR(INDEX(指標マスタ[],MATCH(AF$5,指標マスタ['#],0),MATCH($D3,指標マスタ[#Headers],0))&amp;"","")</f>
        <v/>
      </c>
      <c r="AG3" s="193" t="str">
        <f>IFERROR(INDEX(指標マスタ[],MATCH(AG$5,指標マスタ['#],0),MATCH($D3,指標マスタ[#Headers],0))&amp;"","")</f>
        <v>観光資源</v>
      </c>
      <c r="AH3" s="193" t="str">
        <f>IFERROR(INDEX(指標マスタ[],MATCH(AH$5,指標マスタ['#],0),MATCH($D3,指標マスタ[#Headers],0))&amp;"","")</f>
        <v/>
      </c>
      <c r="AI3" s="193" t="str">
        <f>IFERROR(INDEX(指標マスタ[],MATCH(AI$5,指標マスタ['#],0),MATCH($D3,指標マスタ[#Headers],0))&amp;"","")</f>
        <v/>
      </c>
      <c r="AJ3" s="194" t="str">
        <f>IFERROR(INDEX(指標マスタ[],MATCH(AJ$5,指標マスタ['#],0),MATCH($D3,指標マスタ[#Headers],0))&amp;"","")</f>
        <v>文化施設</v>
      </c>
      <c r="AK3" s="194" t="str">
        <f>IFERROR(INDEX(指標マスタ[],MATCH(AK$5,指標マスタ['#],0),MATCH($D3,指標マスタ[#Headers],0))&amp;"","")</f>
        <v/>
      </c>
      <c r="AL3" s="194" t="str">
        <f>IFERROR(INDEX(指標マスタ[],MATCH(AL$5,指標マスタ['#],0),MATCH($D3,指標マスタ[#Headers],0))&amp;"","")</f>
        <v/>
      </c>
      <c r="AM3" s="194" t="str">
        <f>IFERROR(INDEX(指標マスタ[],MATCH(AM$5,指標マスタ['#],0),MATCH($D3,指標マスタ[#Headers],0))&amp;"","")</f>
        <v>受入環境</v>
      </c>
      <c r="AN3" s="194" t="str">
        <f>IFERROR(INDEX(指標マスタ[],MATCH(AN$5,指標マスタ['#],0),MATCH($D3,指標マスタ[#Headers],0))&amp;"","")</f>
        <v/>
      </c>
      <c r="AO3" s="194" t="str">
        <f>IFERROR(INDEX(指標マスタ[],MATCH(AO$5,指標マスタ['#],0),MATCH($D3,指標マスタ[#Headers],0))&amp;"","")</f>
        <v/>
      </c>
      <c r="AP3" s="194" t="str">
        <f>IFERROR(INDEX(指標マスタ[],MATCH(AP$5,指標マスタ['#],0),MATCH($D3,指標マスタ[#Headers],0))&amp;"","")</f>
        <v/>
      </c>
      <c r="AQ3" s="194" t="str">
        <f>IFERROR(INDEX(指標マスタ[],MATCH(AQ$5,指標マスタ['#],0),MATCH($D3,指標マスタ[#Headers],0))&amp;"","")</f>
        <v>外国人受入実績</v>
      </c>
      <c r="AR3" s="194" t="str">
        <f>IFERROR(INDEX(指標マスタ[],MATCH(AR$5,指標マスタ['#],0),MATCH($D3,指標マスタ[#Headers],0))&amp;"","")</f>
        <v/>
      </c>
      <c r="AS3" s="199" t="str">
        <f>IFERROR(INDEX(指標マスタ[],MATCH(AS$5,指標マスタ['#],0),MATCH($D3,指標マスタ[#Headers],0))&amp;"","")</f>
        <v>就業環境</v>
      </c>
      <c r="AT3" s="199" t="str">
        <f>IFERROR(INDEX(指標マスタ[],MATCH(AT$5,指標マスタ['#],0),MATCH($D3,指標マスタ[#Headers],0))&amp;"","")</f>
        <v/>
      </c>
      <c r="AU3" s="199" t="str">
        <f>IFERROR(INDEX(指標マスタ[],MATCH(AU$5,指標マスタ['#],0),MATCH($D3,指標マスタ[#Headers],0))&amp;"","")</f>
        <v/>
      </c>
      <c r="AV3" s="199" t="str">
        <f>IFERROR(INDEX(指標マスタ[],MATCH(AV$5,指標マスタ['#],0),MATCH($D3,指標マスタ[#Headers],0))&amp;"","")</f>
        <v>居住コスト</v>
      </c>
      <c r="AW3" s="199" t="str">
        <f>IFERROR(INDEX(指標マスタ[],MATCH(AW$5,指標マスタ['#],0),MATCH($D3,指標マスタ[#Headers],0))&amp;"","")</f>
        <v/>
      </c>
      <c r="AX3" s="199" t="str">
        <f>IFERROR(INDEX(指標マスタ[],MATCH(AX$5,指標マスタ['#],0),MATCH($D3,指標マスタ[#Headers],0))&amp;"","")</f>
        <v>安全・安心</v>
      </c>
      <c r="AY3" s="199" t="str">
        <f>IFERROR(INDEX(指標マスタ[],MATCH(AY$5,指標マスタ['#],0),MATCH($D3,指標マスタ[#Headers],0))&amp;"","")</f>
        <v/>
      </c>
      <c r="AZ3" s="199" t="str">
        <f>IFERROR(INDEX(指標マスタ[],MATCH(AZ$5,指標マスタ['#],0),MATCH($D3,指標マスタ[#Headers],0))&amp;"","")</f>
        <v>生活良好性</v>
      </c>
      <c r="BA3" s="199" t="str">
        <f>IFERROR(INDEX(指標マスタ[],MATCH(BA$5,指標マスタ['#],0),MATCH($D3,指標マスタ[#Headers],0))&amp;"","")</f>
        <v/>
      </c>
      <c r="BB3" s="199" t="str">
        <f>IFERROR(INDEX(指標マスタ[],MATCH(BB$5,指標マスタ['#],0),MATCH($D3,指標マスタ[#Headers],0))&amp;"","")</f>
        <v/>
      </c>
      <c r="BC3" s="199" t="str">
        <f>IFERROR(INDEX(指標マスタ[],MATCH(BC$5,指標マスタ['#],0),MATCH($D3,指標マスタ[#Headers],0))&amp;"","")</f>
        <v>生活利便性</v>
      </c>
      <c r="BD3" s="199" t="str">
        <f>IFERROR(INDEX(指標マスタ[],MATCH(BD$5,指標マスタ['#],0),MATCH($D3,指標マスタ[#Headers],0))&amp;"","")</f>
        <v/>
      </c>
      <c r="BE3" s="199" t="str">
        <f>IFERROR(INDEX(指標マスタ[],MATCH(BE$5,指標マスタ['#],0),MATCH($D3,指標マスタ[#Headers],0))&amp;"","")</f>
        <v/>
      </c>
      <c r="BF3" s="199" t="str">
        <f>IFERROR(INDEX(指標マスタ[],MATCH(BF$5,指標マスタ['#],0),MATCH($D3,指標マスタ[#Headers],0))&amp;"","")</f>
        <v/>
      </c>
      <c r="BG3" s="204" t="str">
        <f>IFERROR(INDEX(指標マスタ[],MATCH(BG$5,指標マスタ['#],0),MATCH($D3,指標マスタ[#Headers],0))&amp;"","")</f>
        <v>持続可能性</v>
      </c>
      <c r="BH3" s="204" t="str">
        <f>IFERROR(INDEX(指標マスタ[],MATCH(BH$5,指標マスタ['#],0),MATCH($D3,指標マスタ[#Headers],0))&amp;"","")</f>
        <v/>
      </c>
      <c r="BI3" s="204" t="str">
        <f>IFERROR(INDEX(指標マスタ[],MATCH(BI$5,指標マスタ['#],0),MATCH($D3,指標マスタ[#Headers],0))&amp;"","")</f>
        <v/>
      </c>
      <c r="BJ3" s="204" t="str">
        <f>IFERROR(INDEX(指標マスタ[],MATCH(BJ$5,指標マスタ['#],0),MATCH($D3,指標マスタ[#Headers],0))&amp;"","")</f>
        <v>空気環境</v>
      </c>
      <c r="BK3" s="204" t="str">
        <f>IFERROR(INDEX(指標マスタ[],MATCH(BK$5,指標マスタ['#],0),MATCH($D3,指標マスタ[#Headers],0))&amp;"","")</f>
        <v/>
      </c>
      <c r="BL3" s="204" t="str">
        <f>IFERROR(INDEX(指標マスタ[],MATCH(BL$5,指標マスタ['#],0),MATCH($D3,指標マスタ[#Headers],0))&amp;"","")</f>
        <v/>
      </c>
      <c r="BM3" s="204" t="str">
        <f>IFERROR(INDEX(指標マスタ[],MATCH(BM$5,指標マスタ['#],0),MATCH($D3,指標マスタ[#Headers],0))&amp;"","")</f>
        <v>都市環境</v>
      </c>
      <c r="BN3" s="204" t="str">
        <f>IFERROR(INDEX(指標マスタ[],MATCH(BN$5,指標マスタ['#],0),MATCH($D3,指標マスタ[#Headers],0))&amp;"","")</f>
        <v/>
      </c>
      <c r="BO3" s="204" t="str">
        <f>IFERROR(INDEX(指標マスタ[],MATCH(BO$5,指標マスタ['#],0),MATCH($D3,指標マスタ[#Headers],0))&amp;"","")</f>
        <v/>
      </c>
      <c r="BP3" s="209" t="str">
        <f>IFERROR(INDEX(指標マスタ[],MATCH(BP$5,指標マスタ['#],0),MATCH($D3,指標マスタ[#Headers],0))&amp;"","")</f>
        <v>国際ネットワーク</v>
      </c>
      <c r="BQ3" s="209" t="str">
        <f>IFERROR(INDEX(指標マスタ[],MATCH(BQ$5,指標マスタ['#],0),MATCH($D3,指標マスタ[#Headers],0))&amp;"","")</f>
        <v/>
      </c>
      <c r="BR3" s="209" t="str">
        <f>IFERROR(INDEX(指標マスタ[],MATCH(BR$5,指標マスタ['#],0),MATCH($D3,指標マスタ[#Headers],0))&amp;"","")</f>
        <v>航空キャパシティ</v>
      </c>
      <c r="BS3" s="209" t="str">
        <f>IFERROR(INDEX(指標マスタ[],MATCH(BS$5,指標マスタ['#],0),MATCH($D3,指標マスタ[#Headers],0))&amp;"","")</f>
        <v/>
      </c>
      <c r="BT3" s="209" t="str">
        <f>IFERROR(INDEX(指標マスタ[],MATCH(BT$5,指標マスタ['#],0),MATCH($D3,指標マスタ[#Headers],0))&amp;"","")</f>
        <v>都市内交通</v>
      </c>
      <c r="BU3" s="209" t="str">
        <f>IFERROR(INDEX(指標マスタ[],MATCH(BU$5,指標マスタ['#],0),MATCH($D3,指標マスタ[#Headers],0))&amp;"","")</f>
        <v/>
      </c>
      <c r="BV3" s="209" t="str">
        <f>IFERROR(INDEX(指標マスタ[],MATCH(BV$5,指標マスタ['#],0),MATCH($D3,指標マスタ[#Headers],0))&amp;"","")</f>
        <v/>
      </c>
      <c r="BW3" s="209" t="str">
        <f>IFERROR(INDEX(指標マスタ[],MATCH(BW$5,指標マスタ['#],0),MATCH($D3,指標マスタ[#Headers],0))&amp;"","")</f>
        <v>移動の快適性</v>
      </c>
      <c r="BX3" s="209" t="str">
        <f>IFERROR(INDEX(指標マスタ[],MATCH(BX$5,指標マスタ['#],0),MATCH($D3,指標マスタ[#Headers],0))&amp;"","")</f>
        <v/>
      </c>
      <c r="BY3" s="209" t="str">
        <f>IFERROR(INDEX(指標マスタ[],MATCH(BY$5,指標マスタ['#],0),MATCH($D3,指標マスタ[#Headers],0))&amp;"","")</f>
        <v/>
      </c>
    </row>
    <row r="4" spans="1:77">
      <c r="D4" s="36" t="str">
        <f>IF(JPEN!$C$2="EN",指標!$I$2,指標!$H$2)</f>
        <v>指標</v>
      </c>
      <c r="E4" s="43" t="str">
        <f>IFERROR(INDEX(指標マスタ[],MATCH(E$5,指標マスタ['#],0),MATCH($D4,指標マスタ[#Headers],0))&amp;"","")</f>
        <v>人口</v>
      </c>
      <c r="F4" s="43" t="str">
        <f>IFERROR(INDEX(指標マスタ[],MATCH(F$5,指標マスタ['#],0),MATCH($D4,指標マスタ[#Headers],0))&amp;"","")</f>
        <v>面積</v>
      </c>
      <c r="G4" s="43" t="str">
        <f>IFERROR(INDEX(指標マスタ[],MATCH(G$5,指標マスタ['#],0),MATCH($D4,指標マスタ[#Headers],0))&amp;"","")</f>
        <v>為替</v>
      </c>
      <c r="H4" s="183" t="str">
        <f>IFERROR(INDEX(指標マスタ[],MATCH(H$5,指標マスタ['#],0),MATCH($D4,指標マスタ[#Headers],0))&amp;"","")</f>
        <v>GDP</v>
      </c>
      <c r="I4" s="183" t="str">
        <f>IFERROR(INDEX(指標マスタ[],MATCH(I$5,指標マスタ['#],0),MATCH($D4,指標マスタ[#Headers],0))&amp;"","")</f>
        <v>1人あたりGDP</v>
      </c>
      <c r="J4" s="183" t="str">
        <f>IFERROR(INDEX(指標マスタ[],MATCH(J$5,指標マスタ['#],0),MATCH($D4,指標マスタ[#Headers],0))&amp;"","")</f>
        <v>GDP成長率</v>
      </c>
      <c r="K4" s="183" t="str">
        <f>IFERROR(INDEX(指標マスタ[],MATCH(K$5,指標マスタ['#],0),MATCH($D4,指標マスタ[#Headers],0))&amp;"","")</f>
        <v>経済自由度</v>
      </c>
      <c r="L4" s="183" t="str">
        <f>IFERROR(INDEX(指標マスタ[],MATCH(L$5,指標マスタ['#],0),MATCH($D4,指標マスタ[#Headers],0))&amp;"","")</f>
        <v>上場株式時価総額</v>
      </c>
      <c r="M4" s="183" t="str">
        <f>IFERROR(INDEX(指標マスタ[],MATCH(M$5,指標マスタ['#],0),MATCH($D4,指標マスタ[#Headers],0))&amp;"","")</f>
        <v>世界トップ500企業</v>
      </c>
      <c r="N4" s="183" t="str">
        <f>IFERROR(INDEX(指標マスタ[],MATCH(N$5,指標マスタ['#],0),MATCH($D4,指標マスタ[#Headers],0))&amp;"","")</f>
        <v>従業者数</v>
      </c>
      <c r="O4" s="183" t="str">
        <f>IFERROR(INDEX(指標マスタ[],MATCH(O$5,指標マスタ['#],0),MATCH($D4,指標マスタ[#Headers],0))&amp;"","")</f>
        <v>ビジネスサポート人材の多さ</v>
      </c>
      <c r="P4" s="183" t="str">
        <f>IFERROR(INDEX(指標マスタ[],MATCH(P$5,指標マスタ['#],0),MATCH($D4,指標マスタ[#Headers],0))&amp;"","")</f>
        <v>賃金水準の高さ</v>
      </c>
      <c r="Q4" s="183" t="str">
        <f>IFERROR(INDEX(指標マスタ[],MATCH(Q$5,指標マスタ['#],0),MATCH($D4,指標マスタ[#Headers],0))&amp;"","")</f>
        <v>優秀な人材確保の容易性</v>
      </c>
      <c r="R4" s="183" t="str">
        <f>IFERROR(INDEX(指標マスタ[],MATCH(R$5,指標マスタ['#],0),MATCH($D4,指標マスタ[#Headers],0))&amp;"","")</f>
        <v>ワークプレイス充実度</v>
      </c>
      <c r="S4" s="183" t="str">
        <f>IFERROR(INDEX(指標マスタ[],MATCH(S$5,指標マスタ['#],0),MATCH($D4,指標マスタ[#Headers],0))&amp;"","")</f>
        <v>法人税率の低さ</v>
      </c>
      <c r="T4" s="183" t="str">
        <f>IFERROR(INDEX(指標マスタ[],MATCH(T$5,指標マスタ['#],0),MATCH($D4,指標マスタ[#Headers],0))&amp;"","")</f>
        <v>政治・経済・商機のリスクの低さ</v>
      </c>
      <c r="U4" s="187" t="str">
        <f>IFERROR(INDEX(指標マスタ[],MATCH(U$5,指標マスタ['#],0),MATCH($D4,指標マスタ[#Headers],0))&amp;"","")</f>
        <v>研究者数</v>
      </c>
      <c r="V4" s="187" t="str">
        <f>IFERROR(INDEX(指標マスタ[],MATCH(V$5,指標マスタ['#],0),MATCH($D4,指標マスタ[#Headers],0))&amp;"","")</f>
        <v>世界トップ大学</v>
      </c>
      <c r="W4" s="187" t="str">
        <f>IFERROR(INDEX(指標マスタ[],MATCH(W$5,指標マスタ['#],0),MATCH($D4,指標マスタ[#Headers],0))&amp;"","")</f>
        <v>研究開発費</v>
      </c>
      <c r="X4" s="187" t="str">
        <f>IFERROR(INDEX(指標マスタ[],MATCH(X$5,指標マスタ['#],0),MATCH($D4,指標マスタ[#Headers],0))&amp;"","")</f>
        <v>留学生数</v>
      </c>
      <c r="Y4" s="187" t="str">
        <f>IFERROR(INDEX(指標マスタ[],MATCH(Y$5,指標マスタ['#],0),MATCH($D4,指標マスタ[#Headers],0))&amp;"","")</f>
        <v>学力の高さ</v>
      </c>
      <c r="Z4" s="187" t="str">
        <f>IFERROR(INDEX(指標マスタ[],MATCH(Z$5,指標マスタ['#],0),MATCH($D4,指標マスタ[#Headers],0))&amp;"","")</f>
        <v>特許登録件数</v>
      </c>
      <c r="AA4" s="187" t="str">
        <f>IFERROR(INDEX(指標マスタ[],MATCH(AA$5,指標マスタ['#],0),MATCH($D4,指標マスタ[#Headers],0))&amp;"","")</f>
        <v>主要科学技術賞受賞者数</v>
      </c>
      <c r="AB4" s="187" t="str">
        <f>IFERROR(INDEX(指標マスタ[],MATCH(AB$5,指標マスタ['#],0),MATCH($D4,指標マスタ[#Headers],0))&amp;"","")</f>
        <v>スタートアップ数</v>
      </c>
      <c r="AC4" s="193" t="str">
        <f>IFERROR(INDEX(指標マスタ[],MATCH(AC$5,指標マスタ['#],0),MATCH($D4,指標マスタ[#Headers],0))&amp;"","")</f>
        <v>国際コンベンション件数</v>
      </c>
      <c r="AD4" s="193" t="str">
        <f>IFERROR(INDEX(指標マスタ[],MATCH(AD$5,指標マスタ['#],0),MATCH($D4,指標マスタ[#Headers],0))&amp;"","")</f>
        <v>文化イベント開催件数</v>
      </c>
      <c r="AE4" s="193" t="str">
        <f>IFERROR(INDEX(指標マスタ[],MATCH(AE$5,指標マスタ['#],0),MATCH($D4,指標マスタ[#Headers],0))&amp;"","")</f>
        <v>コンテンツ輸出額</v>
      </c>
      <c r="AF4" s="193" t="str">
        <f>IFERROR(INDEX(指標マスタ[],MATCH(AF$5,指標マスタ['#],0),MATCH($D4,指標マスタ[#Headers],0))&amp;"","")</f>
        <v>アート市場環境</v>
      </c>
      <c r="AG4" s="193" t="str">
        <f>IFERROR(INDEX(指標マスタ[],MATCH(AG$5,指標マスタ['#],0),MATCH($D4,指標マスタ[#Headers],0))&amp;"","")</f>
        <v>観光地の充実度</v>
      </c>
      <c r="AH4" s="193" t="str">
        <f>IFERROR(INDEX(指標マスタ[],MATCH(AH$5,指標マスタ['#],0),MATCH($D4,指標マスタ[#Headers],0))&amp;"","")</f>
        <v>世界遺産への近接性</v>
      </c>
      <c r="AI4" s="193" t="str">
        <f>IFERROR(INDEX(指標マスタ[],MATCH(AI$5,指標マスタ['#],0),MATCH($D4,指標マスタ[#Headers],0))&amp;"","")</f>
        <v>ナイトライフ充実度</v>
      </c>
      <c r="AJ4" s="193" t="str">
        <f>IFERROR(INDEX(指標マスタ[],MATCH(AJ$5,指標マスタ['#],0),MATCH($D4,指標マスタ[#Headers],0))&amp;"","")</f>
        <v>劇場・コンサートホール数</v>
      </c>
      <c r="AK4" s="193" t="str">
        <f>IFERROR(INDEX(指標マスタ[],MATCH(AK$5,指標マスタ['#],0),MATCH($D4,指標マスタ[#Headers],0))&amp;"","")</f>
        <v>美術館・博物館数</v>
      </c>
      <c r="AL4" s="193" t="str">
        <f>IFERROR(INDEX(指標マスタ[],MATCH(AL$5,指標マスタ['#],0),MATCH($D4,指標マスタ[#Headers],0))&amp;"","")</f>
        <v>スタジアム数</v>
      </c>
      <c r="AM4" s="193" t="str">
        <f>IFERROR(INDEX(指標マスタ[],MATCH(AM$5,指標マスタ['#],0),MATCH($D4,指標マスタ[#Headers],0))&amp;"","")</f>
        <v>ホテル客室数</v>
      </c>
      <c r="AN4" s="193" t="str">
        <f>IFERROR(INDEX(指標マスタ[],MATCH(AN$5,指標マスタ['#],0),MATCH($D4,指標マスタ[#Headers],0))&amp;"","")</f>
        <v>ハイクラスホテル客室数</v>
      </c>
      <c r="AO4" s="193" t="str">
        <f>IFERROR(INDEX(指標マスタ[],MATCH(AO$5,指標マスタ['#],0),MATCH($D4,指標マスタ[#Headers],0))&amp;"","")</f>
        <v>買物の魅力</v>
      </c>
      <c r="AP4" s="193" t="str">
        <f>IFERROR(INDEX(指標マスタ[],MATCH(AP$5,指標マスタ['#],0),MATCH($D4,指標マスタ[#Headers],0))&amp;"","")</f>
        <v>食事の魅力</v>
      </c>
      <c r="AQ4" s="193" t="str">
        <f>IFERROR(INDEX(指標マスタ[],MATCH(AQ$5,指標マスタ['#],0),MATCH($D4,指標マスタ[#Headers],0))&amp;"","")</f>
        <v>外国人居住者数</v>
      </c>
      <c r="AR4" s="193" t="str">
        <f>IFERROR(INDEX(指標マスタ[],MATCH(AR$5,指標マスタ['#],0),MATCH($D4,指標マスタ[#Headers],0))&amp;"","")</f>
        <v>外国人訪問者数</v>
      </c>
      <c r="AS4" s="199" t="str">
        <f>IFERROR(INDEX(指標マスタ[],MATCH(AS$5,指標マスタ['#],0),MATCH($D4,指標マスタ[#Headers],0))&amp;"","")</f>
        <v>完全失業率の低さ</v>
      </c>
      <c r="AT4" s="199" t="str">
        <f>IFERROR(INDEX(指標マスタ[],MATCH(AT$5,指標マスタ['#],0),MATCH($D4,指標マスタ[#Headers],0))&amp;"","")</f>
        <v>1人あたりの総労働時間の短さ</v>
      </c>
      <c r="AU4" s="199" t="str">
        <f>IFERROR(INDEX(指標マスタ[],MATCH(AU$5,指標マスタ['#],0),MATCH($D4,指標マスタ[#Headers],0))&amp;"","")</f>
        <v>働き方の柔軟性</v>
      </c>
      <c r="AV4" s="199" t="str">
        <f>IFERROR(INDEX(指標マスタ[],MATCH(AV$5,指標マスタ['#],0),MATCH($D4,指標マスタ[#Headers],0))&amp;"","")</f>
        <v>住宅賃料水準の低さ</v>
      </c>
      <c r="AW4" s="199" t="str">
        <f>IFERROR(INDEX(指標マスタ[],MATCH(AW$5,指標マスタ['#],0),MATCH($D4,指標マスタ[#Headers],0))&amp;"","")</f>
        <v>物価水準の低さ</v>
      </c>
      <c r="AX4" s="199" t="str">
        <f>IFERROR(INDEX(指標マスタ[],MATCH(AX$5,指標マスタ['#],0),MATCH($D4,指標マスタ[#Headers],0))&amp;"","")</f>
        <v>殺人件数の少なさ</v>
      </c>
      <c r="AY4" s="199" t="str">
        <f>IFERROR(INDEX(指標マスタ[],MATCH(AY$5,指標マスタ['#],0),MATCH($D4,指標マスタ[#Headers],0))&amp;"","")</f>
        <v>自然災害の経済的リスクの少なさ</v>
      </c>
      <c r="AZ4" s="199" t="str">
        <f>IFERROR(INDEX(指標マスタ[],MATCH(AZ$5,指標マスタ['#],0),MATCH($D4,指標マスタ[#Headers],0))&amp;"","")</f>
        <v>平均寿命</v>
      </c>
      <c r="BA4" s="199" t="str">
        <f>IFERROR(INDEX(指標マスタ[],MATCH(BA$5,指標マスタ['#],0),MATCH($D4,指標マスタ[#Headers],0))&amp;"","")</f>
        <v>社会の自由度・平等さ</v>
      </c>
      <c r="BB4" s="199" t="str">
        <f>IFERROR(INDEX(指標マスタ[],MATCH(BB$5,指標マスタ['#],0),MATCH($D4,指標マスタ[#Headers],0))&amp;"","")</f>
        <v>メンタルヘルス水準</v>
      </c>
      <c r="BC4" s="199" t="str">
        <f>IFERROR(INDEX(指標マスタ[],MATCH(BC$5,指標マスタ['#],0),MATCH($D4,指標マスタ[#Headers],0))&amp;"","")</f>
        <v>医師数</v>
      </c>
      <c r="BD4" s="199" t="str">
        <f>IFERROR(INDEX(指標マスタ[],MATCH(BD$5,指標マスタ['#],0),MATCH($D4,指標マスタ[#Headers],0))&amp;"","")</f>
        <v>ICT環境の充実度</v>
      </c>
      <c r="BE4" s="199" t="str">
        <f>IFERROR(INDEX(指標マスタ[],MATCH(BE$5,指標マスタ['#],0),MATCH($D4,指標マスタ[#Headers],0))&amp;"","")</f>
        <v>小売店舗の多さ</v>
      </c>
      <c r="BF4" s="199" t="str">
        <f>IFERROR(INDEX(指標マスタ[],MATCH(BF$5,指標マスタ['#],0),MATCH($D4,指標マスタ[#Headers],0))&amp;"","")</f>
        <v>飲食店の多さ</v>
      </c>
      <c r="BG4" s="204" t="str">
        <f>IFERROR(INDEX(指標マスタ[],MATCH(BG$5,指標マスタ['#],0),MATCH($D4,指標マスタ[#Headers],0))&amp;"","")</f>
        <v>環境への取り組み</v>
      </c>
      <c r="BH4" s="204" t="str">
        <f>IFERROR(INDEX(指標マスタ[],MATCH(BH$5,指標マスタ['#],0),MATCH($D4,指標マスタ[#Headers],0))&amp;"","")</f>
        <v>再生可能エネルギー比率</v>
      </c>
      <c r="BI4" s="204" t="str">
        <f>IFERROR(INDEX(指標マスタ[],MATCH(BI$5,指標マスタ['#],0),MATCH($D4,指標マスタ[#Headers],0))&amp;"","")</f>
        <v>リサイクル率</v>
      </c>
      <c r="BJ4" s="204" t="str">
        <f>IFERROR(INDEX(指標マスタ[],MATCH(BJ$5,指標マスタ['#],0),MATCH($D4,指標マスタ[#Headers],0))&amp;"","")</f>
        <v>1人あたりのCO2排出量の少なさ</v>
      </c>
      <c r="BK4" s="204" t="str">
        <f>IFERROR(INDEX(指標マスタ[],MATCH(BK$5,指標マスタ['#],0),MATCH($D4,指標マスタ[#Headers],0))&amp;"","")</f>
        <v>空気のきれいさ</v>
      </c>
      <c r="BL4" s="204" t="str">
        <f>IFERROR(INDEX(指標マスタ[],MATCH(BL$5,指標マスタ['#],0),MATCH($D4,指標マスタ[#Headers],0))&amp;"","")</f>
        <v>気温の快適性</v>
      </c>
      <c r="BM4" s="204" t="str">
        <f>IFERROR(INDEX(指標マスタ[],MATCH(BM$5,指標マスタ['#],0),MATCH($D4,指標マスタ[#Headers],0))&amp;"","")</f>
        <v>水質の良好性</v>
      </c>
      <c r="BN4" s="204" t="str">
        <f>IFERROR(INDEX(指標マスタ[],MATCH(BN$5,指標マスタ['#],0),MATCH($D4,指標マスタ[#Headers],0))&amp;"","")</f>
        <v>緑地の充実度</v>
      </c>
      <c r="BO4" s="204" t="str">
        <f>IFERROR(INDEX(指標マスタ[],MATCH(BO$5,指標マスタ['#],0),MATCH($D4,指標マスタ[#Headers],0))&amp;"","")</f>
        <v>都市空間の清潔さ</v>
      </c>
      <c r="BP4" s="209" t="str">
        <f>IFERROR(INDEX(指標マスタ[],MATCH(BP$5,指標マスタ['#],0),MATCH($D4,指標マスタ[#Headers],0))&amp;"","")</f>
        <v>国際線直行便就航都市数</v>
      </c>
      <c r="BQ4" s="209" t="str">
        <f>IFERROR(INDEX(指標マスタ[],MATCH(BQ$5,指標マスタ['#],0),MATCH($D4,指標マスタ[#Headers],0))&amp;"","")</f>
        <v>国際貨物流通規模</v>
      </c>
      <c r="BR4" s="209" t="str">
        <f>IFERROR(INDEX(指標マスタ[],MATCH(BR$5,指標マスタ['#],0),MATCH($D4,指標マスタ[#Headers],0))&amp;"","")</f>
        <v>国内・国際線旅客数</v>
      </c>
      <c r="BS4" s="209" t="str">
        <f>IFERROR(INDEX(指標マスタ[],MATCH(BS$5,指標マスタ['#],0),MATCH($D4,指標マスタ[#Headers],0))&amp;"","")</f>
        <v>航空機の発着回数</v>
      </c>
      <c r="BT4" s="209" t="str">
        <f>IFERROR(INDEX(指標マスタ[],MATCH(BT$5,指標マスタ['#],0),MATCH($D4,指標マスタ[#Headers],0))&amp;"","")</f>
        <v>駅密度</v>
      </c>
      <c r="BU4" s="209" t="str">
        <f>IFERROR(INDEX(指標マスタ[],MATCH(BU$5,指標マスタ['#],0),MATCH($D4,指標マスタ[#Headers],0))&amp;"","")</f>
        <v>公共交通機関利用率</v>
      </c>
      <c r="BV4" s="209" t="str">
        <f>IFERROR(INDEX(指標マスタ[],MATCH(BV$5,指標マスタ['#],0),MATCH($D4,指標マスタ[#Headers],0))&amp;"","")</f>
        <v>空港アクセス時間の短さ</v>
      </c>
      <c r="BW4" s="209" t="str">
        <f>IFERROR(INDEX(指標マスタ[],MATCH(BW$5,指標マスタ['#],0),MATCH($D4,指標マスタ[#Headers],0))&amp;"","")</f>
        <v>通勤・通学時間の短さ</v>
      </c>
      <c r="BX4" s="209" t="str">
        <f>IFERROR(INDEX(指標マスタ[],MATCH(BX$5,指標マスタ['#],0),MATCH($D4,指標マスタ[#Headers],0))&amp;"","")</f>
        <v>自動車の移動速度</v>
      </c>
      <c r="BY4" s="209" t="str">
        <f>IFERROR(INDEX(指標マスタ[],MATCH(BY$5,指標マスタ['#],0),MATCH($D4,指標マスタ[#Headers],0))&amp;"","")</f>
        <v>タクシー・自転車での移動のしやすさ</v>
      </c>
    </row>
    <row r="5" spans="1:77" s="2" customFormat="1">
      <c r="B5" s="84" t="s">
        <v>537</v>
      </c>
      <c r="C5" s="281" t="s">
        <v>208</v>
      </c>
      <c r="D5" s="310" t="s">
        <v>210</v>
      </c>
      <c r="E5" s="280" t="s">
        <v>1088</v>
      </c>
      <c r="F5" s="280" t="s">
        <v>1089</v>
      </c>
      <c r="G5" s="280" t="s">
        <v>1090</v>
      </c>
      <c r="H5" s="279" t="s">
        <v>211</v>
      </c>
      <c r="I5" s="279" t="s">
        <v>212</v>
      </c>
      <c r="J5" s="279" t="s">
        <v>213</v>
      </c>
      <c r="K5" s="279" t="s">
        <v>214</v>
      </c>
      <c r="L5" s="279" t="s">
        <v>215</v>
      </c>
      <c r="M5" s="279" t="s">
        <v>216</v>
      </c>
      <c r="N5" s="279" t="s">
        <v>217</v>
      </c>
      <c r="O5" s="279" t="s">
        <v>218</v>
      </c>
      <c r="P5" s="279" t="s">
        <v>219</v>
      </c>
      <c r="Q5" s="278" t="s">
        <v>611</v>
      </c>
      <c r="R5" s="278" t="s">
        <v>547</v>
      </c>
      <c r="S5" s="278" t="s">
        <v>548</v>
      </c>
      <c r="T5" s="278" t="s">
        <v>549</v>
      </c>
      <c r="U5" s="277" t="s">
        <v>550</v>
      </c>
      <c r="V5" s="277" t="s">
        <v>551</v>
      </c>
      <c r="W5" s="277" t="s">
        <v>552</v>
      </c>
      <c r="X5" s="277" t="s">
        <v>553</v>
      </c>
      <c r="Y5" s="277" t="s">
        <v>554</v>
      </c>
      <c r="Z5" s="277" t="s">
        <v>555</v>
      </c>
      <c r="AA5" s="277" t="s">
        <v>556</v>
      </c>
      <c r="AB5" s="277" t="s">
        <v>557</v>
      </c>
      <c r="AC5" s="276" t="s">
        <v>558</v>
      </c>
      <c r="AD5" s="276" t="s">
        <v>559</v>
      </c>
      <c r="AE5" s="276" t="s">
        <v>560</v>
      </c>
      <c r="AF5" s="276" t="s">
        <v>561</v>
      </c>
      <c r="AG5" s="276" t="s">
        <v>562</v>
      </c>
      <c r="AH5" s="276" t="s">
        <v>563</v>
      </c>
      <c r="AI5" s="276" t="s">
        <v>564</v>
      </c>
      <c r="AJ5" s="276" t="s">
        <v>565</v>
      </c>
      <c r="AK5" s="276" t="s">
        <v>566</v>
      </c>
      <c r="AL5" s="276" t="s">
        <v>567</v>
      </c>
      <c r="AM5" s="276" t="s">
        <v>568</v>
      </c>
      <c r="AN5" s="276" t="s">
        <v>569</v>
      </c>
      <c r="AO5" s="276" t="s">
        <v>570</v>
      </c>
      <c r="AP5" s="276" t="s">
        <v>571</v>
      </c>
      <c r="AQ5" s="276" t="s">
        <v>572</v>
      </c>
      <c r="AR5" s="276" t="s">
        <v>573</v>
      </c>
      <c r="AS5" s="275" t="s">
        <v>574</v>
      </c>
      <c r="AT5" s="275" t="s">
        <v>575</v>
      </c>
      <c r="AU5" s="275" t="s">
        <v>576</v>
      </c>
      <c r="AV5" s="275" t="s">
        <v>577</v>
      </c>
      <c r="AW5" s="275" t="s">
        <v>578</v>
      </c>
      <c r="AX5" s="275" t="s">
        <v>579</v>
      </c>
      <c r="AY5" s="275" t="s">
        <v>580</v>
      </c>
      <c r="AZ5" s="275" t="s">
        <v>581</v>
      </c>
      <c r="BA5" s="275" t="s">
        <v>582</v>
      </c>
      <c r="BB5" s="275" t="s">
        <v>583</v>
      </c>
      <c r="BC5" s="275" t="s">
        <v>584</v>
      </c>
      <c r="BD5" s="275" t="s">
        <v>585</v>
      </c>
      <c r="BE5" s="275" t="s">
        <v>586</v>
      </c>
      <c r="BF5" s="275" t="s">
        <v>587</v>
      </c>
      <c r="BG5" s="274" t="s">
        <v>588</v>
      </c>
      <c r="BH5" s="274" t="s">
        <v>589</v>
      </c>
      <c r="BI5" s="274" t="s">
        <v>590</v>
      </c>
      <c r="BJ5" s="274" t="s">
        <v>591</v>
      </c>
      <c r="BK5" s="274" t="s">
        <v>592</v>
      </c>
      <c r="BL5" s="274" t="s">
        <v>593</v>
      </c>
      <c r="BM5" s="274" t="s">
        <v>594</v>
      </c>
      <c r="BN5" s="274" t="s">
        <v>595</v>
      </c>
      <c r="BO5" s="274" t="s">
        <v>596</v>
      </c>
      <c r="BP5" s="273" t="s">
        <v>597</v>
      </c>
      <c r="BQ5" s="273" t="s">
        <v>598</v>
      </c>
      <c r="BR5" s="273" t="s">
        <v>599</v>
      </c>
      <c r="BS5" s="273" t="s">
        <v>600</v>
      </c>
      <c r="BT5" s="273" t="s">
        <v>601</v>
      </c>
      <c r="BU5" s="273" t="s">
        <v>602</v>
      </c>
      <c r="BV5" s="273" t="s">
        <v>603</v>
      </c>
      <c r="BW5" s="273" t="s">
        <v>604</v>
      </c>
      <c r="BX5" s="273" t="s">
        <v>605</v>
      </c>
      <c r="BY5" s="272" t="s">
        <v>606</v>
      </c>
    </row>
    <row r="6" spans="1:77">
      <c r="A6" s="2">
        <v>1</v>
      </c>
      <c r="B6" s="55">
        <f>INDEX(順位表[Comprehensive],MATCH($C6,順位表['#],0))</f>
        <v>14</v>
      </c>
      <c r="C6" s="3">
        <v>1</v>
      </c>
      <c r="D6" s="1" t="str">
        <f>INDEX(都市マスタ[City Name],MATCH($C6,都市マスタ['#],0))</f>
        <v>Madrid</v>
      </c>
      <c r="E6" s="13" t="s">
        <v>2748</v>
      </c>
      <c r="F6" s="13" t="s">
        <v>2748</v>
      </c>
      <c r="G6" s="13" t="s">
        <v>2813</v>
      </c>
      <c r="H6" s="13" t="s">
        <v>2820</v>
      </c>
      <c r="I6" s="13"/>
      <c r="J6" s="13" t="s">
        <v>2820</v>
      </c>
      <c r="K6" s="13" t="s">
        <v>2909</v>
      </c>
      <c r="L6" s="13" t="s">
        <v>2911</v>
      </c>
      <c r="M6" s="13" t="s">
        <v>2917</v>
      </c>
      <c r="N6" s="13" t="s">
        <v>2918</v>
      </c>
      <c r="O6" s="13" t="s">
        <v>2948</v>
      </c>
      <c r="P6" s="13" t="s">
        <v>2987</v>
      </c>
      <c r="Q6" s="13" t="s">
        <v>2995</v>
      </c>
      <c r="R6" s="13" t="s">
        <v>3034</v>
      </c>
      <c r="S6" s="13" t="s">
        <v>3037</v>
      </c>
      <c r="T6" s="13" t="s">
        <v>3048</v>
      </c>
      <c r="U6" s="13" t="s">
        <v>3050</v>
      </c>
      <c r="V6" s="13" t="s">
        <v>1725</v>
      </c>
      <c r="W6" s="13" t="s">
        <v>3061</v>
      </c>
      <c r="X6" s="13" t="s">
        <v>1725</v>
      </c>
      <c r="Y6" s="13" t="s">
        <v>3064</v>
      </c>
      <c r="Z6" s="13" t="s">
        <v>3067</v>
      </c>
      <c r="AA6" s="13" t="s">
        <v>1732</v>
      </c>
      <c r="AB6" s="13" t="s">
        <v>3076</v>
      </c>
      <c r="AC6" s="13" t="s">
        <v>3078</v>
      </c>
      <c r="AD6" s="13" t="s">
        <v>3081</v>
      </c>
      <c r="AE6" s="13" t="s">
        <v>3086</v>
      </c>
      <c r="AF6" s="13" t="s">
        <v>3098</v>
      </c>
      <c r="AG6" s="13" t="s">
        <v>1739</v>
      </c>
      <c r="AH6" s="13" t="s">
        <v>3100</v>
      </c>
      <c r="AI6" s="13" t="s">
        <v>3101</v>
      </c>
      <c r="AJ6" s="13" t="s">
        <v>1790</v>
      </c>
      <c r="AK6" s="13" t="s">
        <v>1791</v>
      </c>
      <c r="AL6" s="13" t="s">
        <v>1793</v>
      </c>
      <c r="AM6" s="13" t="s">
        <v>1795</v>
      </c>
      <c r="AN6" s="13" t="s">
        <v>1795</v>
      </c>
      <c r="AO6" s="13" t="s">
        <v>1739</v>
      </c>
      <c r="AP6" s="13" t="s">
        <v>1797</v>
      </c>
      <c r="AQ6" s="13" t="s">
        <v>3105</v>
      </c>
      <c r="AR6" s="13" t="s">
        <v>3167</v>
      </c>
      <c r="AS6" s="13" t="s">
        <v>3257</v>
      </c>
      <c r="AT6" s="13" t="s">
        <v>3345</v>
      </c>
      <c r="AU6" s="13" t="s">
        <v>1828</v>
      </c>
      <c r="AV6" s="13" t="s">
        <v>2987</v>
      </c>
      <c r="AW6" s="13" t="s">
        <v>2987</v>
      </c>
      <c r="AX6" s="13" t="s">
        <v>1840</v>
      </c>
      <c r="AY6" s="13" t="s">
        <v>3380</v>
      </c>
      <c r="AZ6" s="13" t="s">
        <v>3381</v>
      </c>
      <c r="BA6" s="13" t="s">
        <v>3385</v>
      </c>
      <c r="BB6" s="13" t="s">
        <v>3387</v>
      </c>
      <c r="BC6" s="13" t="s">
        <v>3393</v>
      </c>
      <c r="BD6" s="13" t="s">
        <v>3396</v>
      </c>
      <c r="BE6" s="13" t="s">
        <v>1899</v>
      </c>
      <c r="BF6" s="13" t="s">
        <v>1899</v>
      </c>
      <c r="BG6" s="13" t="s">
        <v>3409</v>
      </c>
      <c r="BH6" s="13" t="s">
        <v>3445</v>
      </c>
      <c r="BI6" s="13" t="s">
        <v>3449</v>
      </c>
      <c r="BJ6" s="13" t="s">
        <v>3455</v>
      </c>
      <c r="BK6" s="13" t="s">
        <v>3462</v>
      </c>
      <c r="BL6" s="13" t="s">
        <v>1922</v>
      </c>
      <c r="BM6" s="13" t="s">
        <v>1921</v>
      </c>
      <c r="BN6" s="13" t="s">
        <v>3476</v>
      </c>
      <c r="BO6" s="13" t="s">
        <v>3477</v>
      </c>
      <c r="BP6" s="13" t="s">
        <v>1959</v>
      </c>
      <c r="BQ6" s="13" t="s">
        <v>3482</v>
      </c>
      <c r="BR6" s="13" t="s">
        <v>3544</v>
      </c>
      <c r="BS6" s="13" t="s">
        <v>1959</v>
      </c>
      <c r="BT6" s="13" t="s">
        <v>1960</v>
      </c>
      <c r="BU6" s="13" t="s">
        <v>3545</v>
      </c>
      <c r="BV6" s="13" t="s">
        <v>1962</v>
      </c>
      <c r="BW6" s="13" t="s">
        <v>3548</v>
      </c>
      <c r="BX6" s="13" t="s">
        <v>3549</v>
      </c>
      <c r="BY6" s="311" t="s">
        <v>3553</v>
      </c>
    </row>
    <row r="7" spans="1:77">
      <c r="A7" s="2">
        <v>2</v>
      </c>
      <c r="B7" s="55">
        <f>INDEX(順位表[Comprehensive],MATCH($C7,順位表['#],0))</f>
        <v>22</v>
      </c>
      <c r="C7" s="3">
        <v>2</v>
      </c>
      <c r="D7" s="1" t="str">
        <f>INDEX(都市マスタ[City Name],MATCH($C7,都市マスタ['#],0))</f>
        <v>Barcelona</v>
      </c>
      <c r="E7" s="13" t="s">
        <v>2749</v>
      </c>
      <c r="F7" s="13" t="s">
        <v>2749</v>
      </c>
      <c r="G7" s="13" t="s">
        <v>2813</v>
      </c>
      <c r="H7" s="13" t="s">
        <v>2821</v>
      </c>
      <c r="I7" s="13"/>
      <c r="J7" s="13" t="s">
        <v>2820</v>
      </c>
      <c r="K7" s="13" t="s">
        <v>2909</v>
      </c>
      <c r="L7" s="13" t="s">
        <v>2911</v>
      </c>
      <c r="M7" s="13" t="s">
        <v>2917</v>
      </c>
      <c r="N7" s="13" t="s">
        <v>2919</v>
      </c>
      <c r="O7" s="13" t="s">
        <v>2949</v>
      </c>
      <c r="P7" s="13" t="s">
        <v>2987</v>
      </c>
      <c r="Q7" s="13" t="s">
        <v>2995</v>
      </c>
      <c r="R7" s="13" t="s">
        <v>3034</v>
      </c>
      <c r="S7" s="13" t="s">
        <v>3037</v>
      </c>
      <c r="T7" s="13" t="s">
        <v>3048</v>
      </c>
      <c r="U7" s="13" t="s">
        <v>3050</v>
      </c>
      <c r="V7" s="13" t="s">
        <v>1725</v>
      </c>
      <c r="W7" s="13" t="s">
        <v>3061</v>
      </c>
      <c r="X7" s="13" t="s">
        <v>1725</v>
      </c>
      <c r="Y7" s="13" t="s">
        <v>3064</v>
      </c>
      <c r="Z7" s="13" t="s">
        <v>3067</v>
      </c>
      <c r="AA7" s="13" t="s">
        <v>1732</v>
      </c>
      <c r="AB7" s="13" t="s">
        <v>3076</v>
      </c>
      <c r="AC7" s="13" t="s">
        <v>3078</v>
      </c>
      <c r="AD7" s="13" t="s">
        <v>3081</v>
      </c>
      <c r="AE7" s="13" t="s">
        <v>3086</v>
      </c>
      <c r="AF7" s="13" t="s">
        <v>3098</v>
      </c>
      <c r="AG7" s="13" t="s">
        <v>1739</v>
      </c>
      <c r="AH7" s="13" t="s">
        <v>3100</v>
      </c>
      <c r="AI7" s="13" t="s">
        <v>3101</v>
      </c>
      <c r="AJ7" s="13" t="s">
        <v>1790</v>
      </c>
      <c r="AK7" s="13" t="s">
        <v>1791</v>
      </c>
      <c r="AL7" s="13" t="s">
        <v>1793</v>
      </c>
      <c r="AM7" s="13" t="s">
        <v>1795</v>
      </c>
      <c r="AN7" s="13" t="s">
        <v>1795</v>
      </c>
      <c r="AO7" s="13" t="s">
        <v>1739</v>
      </c>
      <c r="AP7" s="13" t="s">
        <v>1797</v>
      </c>
      <c r="AQ7" s="13" t="s">
        <v>3105</v>
      </c>
      <c r="AR7" s="13" t="s">
        <v>3168</v>
      </c>
      <c r="AS7" s="13" t="s">
        <v>3258</v>
      </c>
      <c r="AT7" s="13" t="s">
        <v>3345</v>
      </c>
      <c r="AU7" s="13" t="s">
        <v>1828</v>
      </c>
      <c r="AV7" s="13" t="s">
        <v>2987</v>
      </c>
      <c r="AW7" s="13" t="s">
        <v>2987</v>
      </c>
      <c r="AX7" s="13" t="s">
        <v>3364</v>
      </c>
      <c r="AY7" s="13" t="s">
        <v>3380</v>
      </c>
      <c r="AZ7" s="13" t="s">
        <v>3381</v>
      </c>
      <c r="BA7" s="13" t="s">
        <v>3385</v>
      </c>
      <c r="BB7" s="13" t="s">
        <v>3387</v>
      </c>
      <c r="BC7" s="13" t="s">
        <v>3393</v>
      </c>
      <c r="BD7" s="13" t="s">
        <v>3396</v>
      </c>
      <c r="BE7" s="13" t="s">
        <v>1899</v>
      </c>
      <c r="BF7" s="13" t="s">
        <v>1899</v>
      </c>
      <c r="BG7" s="13" t="s">
        <v>3409</v>
      </c>
      <c r="BH7" s="13" t="s">
        <v>3445</v>
      </c>
      <c r="BI7" s="13" t="s">
        <v>3449</v>
      </c>
      <c r="BJ7" s="13" t="s">
        <v>3455</v>
      </c>
      <c r="BK7" s="13" t="s">
        <v>3462</v>
      </c>
      <c r="BL7" s="13" t="s">
        <v>1922</v>
      </c>
      <c r="BM7" s="13" t="s">
        <v>1921</v>
      </c>
      <c r="BN7" s="13" t="s">
        <v>3476</v>
      </c>
      <c r="BO7" s="13" t="s">
        <v>3477</v>
      </c>
      <c r="BP7" s="13" t="s">
        <v>1959</v>
      </c>
      <c r="BQ7" s="13" t="s">
        <v>3483</v>
      </c>
      <c r="BR7" s="13" t="s">
        <v>3544</v>
      </c>
      <c r="BS7" s="13" t="s">
        <v>1959</v>
      </c>
      <c r="BT7" s="13" t="s">
        <v>1960</v>
      </c>
      <c r="BU7" s="13" t="s">
        <v>3545</v>
      </c>
      <c r="BV7" s="13" t="s">
        <v>1962</v>
      </c>
      <c r="BW7" s="13" t="s">
        <v>3548</v>
      </c>
      <c r="BX7" s="13" t="s">
        <v>3549</v>
      </c>
      <c r="BY7" s="311" t="s">
        <v>3553</v>
      </c>
    </row>
    <row r="8" spans="1:77">
      <c r="A8" s="2">
        <v>3</v>
      </c>
      <c r="B8" s="55">
        <f>INDEX(順位表[Comprehensive],MATCH($C8,順位表['#],0))</f>
        <v>1</v>
      </c>
      <c r="C8" s="3">
        <v>3</v>
      </c>
      <c r="D8" s="1" t="str">
        <f>INDEX(都市マスタ[City Name],MATCH($C8,都市マスタ['#],0))</f>
        <v>London</v>
      </c>
      <c r="E8" s="13" t="s">
        <v>2750</v>
      </c>
      <c r="F8" s="13" t="s">
        <v>2789</v>
      </c>
      <c r="G8" s="13" t="s">
        <v>2813</v>
      </c>
      <c r="H8" s="13" t="s">
        <v>2820</v>
      </c>
      <c r="I8" s="13"/>
      <c r="J8" s="13" t="s">
        <v>2820</v>
      </c>
      <c r="K8" s="13" t="s">
        <v>2909</v>
      </c>
      <c r="L8" s="13" t="s">
        <v>2911</v>
      </c>
      <c r="M8" s="13" t="s">
        <v>2917</v>
      </c>
      <c r="N8" s="13" t="s">
        <v>2920</v>
      </c>
      <c r="O8" s="13" t="s">
        <v>1658</v>
      </c>
      <c r="P8" s="13" t="s">
        <v>2987</v>
      </c>
      <c r="Q8" s="13" t="s">
        <v>2995</v>
      </c>
      <c r="R8" s="13" t="s">
        <v>3034</v>
      </c>
      <c r="S8" s="13" t="s">
        <v>3037</v>
      </c>
      <c r="T8" s="13" t="s">
        <v>3048</v>
      </c>
      <c r="U8" s="13" t="s">
        <v>3050</v>
      </c>
      <c r="V8" s="13" t="s">
        <v>1725</v>
      </c>
      <c r="W8" s="13" t="s">
        <v>3061</v>
      </c>
      <c r="X8" s="13" t="s">
        <v>1725</v>
      </c>
      <c r="Y8" s="13" t="s">
        <v>3064</v>
      </c>
      <c r="Z8" s="13" t="s">
        <v>3067</v>
      </c>
      <c r="AA8" s="13" t="s">
        <v>1732</v>
      </c>
      <c r="AB8" s="13" t="s">
        <v>3076</v>
      </c>
      <c r="AC8" s="13" t="s">
        <v>3078</v>
      </c>
      <c r="AD8" s="13" t="s">
        <v>3081</v>
      </c>
      <c r="AE8" s="13" t="s">
        <v>3087</v>
      </c>
      <c r="AF8" s="13" t="s">
        <v>3098</v>
      </c>
      <c r="AG8" s="13" t="s">
        <v>1739</v>
      </c>
      <c r="AH8" s="13" t="s">
        <v>3100</v>
      </c>
      <c r="AI8" s="13" t="s">
        <v>3101</v>
      </c>
      <c r="AJ8" s="13" t="s">
        <v>1790</v>
      </c>
      <c r="AK8" s="13" t="s">
        <v>1791</v>
      </c>
      <c r="AL8" s="13" t="s">
        <v>1793</v>
      </c>
      <c r="AM8" s="13" t="s">
        <v>1795</v>
      </c>
      <c r="AN8" s="13" t="s">
        <v>1795</v>
      </c>
      <c r="AO8" s="13" t="s">
        <v>1739</v>
      </c>
      <c r="AP8" s="13" t="s">
        <v>1797</v>
      </c>
      <c r="AQ8" s="13" t="s">
        <v>1798</v>
      </c>
      <c r="AR8" s="13" t="s">
        <v>3169</v>
      </c>
      <c r="AS8" s="13" t="s">
        <v>3259</v>
      </c>
      <c r="AT8" s="13" t="s">
        <v>3345</v>
      </c>
      <c r="AU8" s="13" t="s">
        <v>1828</v>
      </c>
      <c r="AV8" s="13" t="s">
        <v>2987</v>
      </c>
      <c r="AW8" s="13" t="s">
        <v>2987</v>
      </c>
      <c r="AX8" s="13" t="s">
        <v>1840</v>
      </c>
      <c r="AY8" s="13" t="s">
        <v>3380</v>
      </c>
      <c r="AZ8" s="13" t="s">
        <v>3381</v>
      </c>
      <c r="BA8" s="13" t="s">
        <v>3385</v>
      </c>
      <c r="BB8" s="13" t="s">
        <v>3387</v>
      </c>
      <c r="BC8" s="13" t="s">
        <v>3393</v>
      </c>
      <c r="BD8" s="13" t="s">
        <v>3396</v>
      </c>
      <c r="BE8" s="13" t="s">
        <v>1899</v>
      </c>
      <c r="BF8" s="13" t="s">
        <v>1899</v>
      </c>
      <c r="BG8" s="13" t="s">
        <v>3409</v>
      </c>
      <c r="BH8" s="13" t="s">
        <v>3445</v>
      </c>
      <c r="BI8" s="13" t="s">
        <v>3449</v>
      </c>
      <c r="BJ8" s="13" t="s">
        <v>3456</v>
      </c>
      <c r="BK8" s="13" t="s">
        <v>3462</v>
      </c>
      <c r="BL8" s="13" t="s">
        <v>1922</v>
      </c>
      <c r="BM8" s="13" t="s">
        <v>1921</v>
      </c>
      <c r="BN8" s="13" t="s">
        <v>3476</v>
      </c>
      <c r="BO8" s="13" t="s">
        <v>3477</v>
      </c>
      <c r="BP8" s="13" t="s">
        <v>1959</v>
      </c>
      <c r="BQ8" s="13" t="s">
        <v>3483</v>
      </c>
      <c r="BR8" s="13" t="s">
        <v>3544</v>
      </c>
      <c r="BS8" s="13" t="s">
        <v>1959</v>
      </c>
      <c r="BT8" s="13" t="s">
        <v>1960</v>
      </c>
      <c r="BU8" s="13" t="s">
        <v>3545</v>
      </c>
      <c r="BV8" s="13" t="s">
        <v>1962</v>
      </c>
      <c r="BW8" s="13" t="s">
        <v>3548</v>
      </c>
      <c r="BX8" s="13" t="s">
        <v>3549</v>
      </c>
      <c r="BY8" s="311" t="s">
        <v>3553</v>
      </c>
    </row>
    <row r="9" spans="1:77">
      <c r="A9" s="2">
        <v>4</v>
      </c>
      <c r="B9" s="55">
        <f>INDEX(順位表[Comprehensive],MATCH($C9,順位表['#],0))</f>
        <v>4</v>
      </c>
      <c r="C9" s="3">
        <v>4</v>
      </c>
      <c r="D9" s="1" t="str">
        <f>INDEX(都市マスタ[City Name],MATCH($C9,都市マスタ['#],0))</f>
        <v>Paris</v>
      </c>
      <c r="E9" s="13" t="s">
        <v>2751</v>
      </c>
      <c r="F9" s="13" t="s">
        <v>2790</v>
      </c>
      <c r="G9" s="13" t="s">
        <v>2813</v>
      </c>
      <c r="H9" s="13" t="s">
        <v>2820</v>
      </c>
      <c r="I9" s="13"/>
      <c r="J9" s="13" t="s">
        <v>2820</v>
      </c>
      <c r="K9" s="13" t="s">
        <v>2909</v>
      </c>
      <c r="L9" s="13" t="s">
        <v>2912</v>
      </c>
      <c r="M9" s="13" t="s">
        <v>2917</v>
      </c>
      <c r="N9" s="13" t="s">
        <v>2921</v>
      </c>
      <c r="O9" s="13" t="s">
        <v>2950</v>
      </c>
      <c r="P9" s="13" t="s">
        <v>2987</v>
      </c>
      <c r="Q9" s="13" t="s">
        <v>2995</v>
      </c>
      <c r="R9" s="13" t="s">
        <v>3034</v>
      </c>
      <c r="S9" s="13" t="s">
        <v>3037</v>
      </c>
      <c r="T9" s="13" t="s">
        <v>3048</v>
      </c>
      <c r="U9" s="13" t="s">
        <v>3050</v>
      </c>
      <c r="V9" s="13" t="s">
        <v>1725</v>
      </c>
      <c r="W9" s="13" t="s">
        <v>1727</v>
      </c>
      <c r="X9" s="13" t="s">
        <v>1725</v>
      </c>
      <c r="Y9" s="13" t="s">
        <v>3064</v>
      </c>
      <c r="Z9" s="13" t="s">
        <v>3067</v>
      </c>
      <c r="AA9" s="13" t="s">
        <v>1732</v>
      </c>
      <c r="AB9" s="13" t="s">
        <v>3076</v>
      </c>
      <c r="AC9" s="13" t="s">
        <v>3078</v>
      </c>
      <c r="AD9" s="13" t="s">
        <v>3081</v>
      </c>
      <c r="AE9" s="13" t="s">
        <v>3086</v>
      </c>
      <c r="AF9" s="13" t="s">
        <v>3098</v>
      </c>
      <c r="AG9" s="13" t="s">
        <v>1739</v>
      </c>
      <c r="AH9" s="13" t="s">
        <v>3100</v>
      </c>
      <c r="AI9" s="13" t="s">
        <v>3101</v>
      </c>
      <c r="AJ9" s="13" t="s">
        <v>1790</v>
      </c>
      <c r="AK9" s="13" t="s">
        <v>1791</v>
      </c>
      <c r="AL9" s="13" t="s">
        <v>1793</v>
      </c>
      <c r="AM9" s="13" t="s">
        <v>1795</v>
      </c>
      <c r="AN9" s="13" t="s">
        <v>1795</v>
      </c>
      <c r="AO9" s="13" t="s">
        <v>1739</v>
      </c>
      <c r="AP9" s="13" t="s">
        <v>1797</v>
      </c>
      <c r="AQ9" s="13" t="s">
        <v>3106</v>
      </c>
      <c r="AR9" s="13" t="s">
        <v>3170</v>
      </c>
      <c r="AS9" s="13" t="s">
        <v>3260</v>
      </c>
      <c r="AT9" s="13" t="s">
        <v>3345</v>
      </c>
      <c r="AU9" s="13" t="s">
        <v>1828</v>
      </c>
      <c r="AV9" s="13" t="s">
        <v>2987</v>
      </c>
      <c r="AW9" s="13" t="s">
        <v>2987</v>
      </c>
      <c r="AX9" s="13" t="s">
        <v>1840</v>
      </c>
      <c r="AY9" s="13" t="s">
        <v>3380</v>
      </c>
      <c r="AZ9" s="13" t="s">
        <v>3381</v>
      </c>
      <c r="BA9" s="13" t="s">
        <v>3385</v>
      </c>
      <c r="BB9" s="13" t="s">
        <v>3387</v>
      </c>
      <c r="BC9" s="13" t="s">
        <v>3393</v>
      </c>
      <c r="BD9" s="13" t="s">
        <v>3396</v>
      </c>
      <c r="BE9" s="13" t="s">
        <v>1899</v>
      </c>
      <c r="BF9" s="13" t="s">
        <v>1899</v>
      </c>
      <c r="BG9" s="13" t="s">
        <v>3410</v>
      </c>
      <c r="BH9" s="13" t="s">
        <v>3445</v>
      </c>
      <c r="BI9" s="13" t="s">
        <v>3449</v>
      </c>
      <c r="BJ9" s="13" t="s">
        <v>3455</v>
      </c>
      <c r="BK9" s="13" t="s">
        <v>3462</v>
      </c>
      <c r="BL9" s="13" t="s">
        <v>1922</v>
      </c>
      <c r="BM9" s="13" t="s">
        <v>1921</v>
      </c>
      <c r="BN9" s="13" t="s">
        <v>3476</v>
      </c>
      <c r="BO9" s="13" t="s">
        <v>3477</v>
      </c>
      <c r="BP9" s="13" t="s">
        <v>1959</v>
      </c>
      <c r="BQ9" s="13" t="s">
        <v>3482</v>
      </c>
      <c r="BR9" s="13" t="s">
        <v>3544</v>
      </c>
      <c r="BS9" s="13" t="s">
        <v>1959</v>
      </c>
      <c r="BT9" s="13" t="s">
        <v>1960</v>
      </c>
      <c r="BU9" s="13" t="s">
        <v>3545</v>
      </c>
      <c r="BV9" s="13" t="s">
        <v>1962</v>
      </c>
      <c r="BW9" s="13" t="s">
        <v>3548</v>
      </c>
      <c r="BX9" s="13" t="s">
        <v>3549</v>
      </c>
      <c r="BY9" s="311" t="s">
        <v>3553</v>
      </c>
    </row>
    <row r="10" spans="1:77">
      <c r="A10" s="2">
        <v>5</v>
      </c>
      <c r="B10" s="55">
        <f>INDEX(順位表[Comprehensive],MATCH($C10,順位表['#],0))</f>
        <v>24</v>
      </c>
      <c r="C10" s="3">
        <v>5</v>
      </c>
      <c r="D10" s="1" t="str">
        <f>INDEX(都市マスタ[City Name],MATCH($C10,都市マスタ['#],0))</f>
        <v>Brussels</v>
      </c>
      <c r="E10" s="13" t="s">
        <v>2752</v>
      </c>
      <c r="F10" s="13" t="s">
        <v>2752</v>
      </c>
      <c r="G10" s="13" t="s">
        <v>2813</v>
      </c>
      <c r="H10" s="13" t="s">
        <v>2820</v>
      </c>
      <c r="I10" s="13"/>
      <c r="J10" s="13" t="s">
        <v>2820</v>
      </c>
      <c r="K10" s="13" t="s">
        <v>2909</v>
      </c>
      <c r="L10" s="13" t="s">
        <v>2912</v>
      </c>
      <c r="M10" s="13" t="s">
        <v>2917</v>
      </c>
      <c r="N10" s="13" t="s">
        <v>2922</v>
      </c>
      <c r="O10" s="13" t="s">
        <v>2951</v>
      </c>
      <c r="P10" s="13" t="s">
        <v>2987</v>
      </c>
      <c r="Q10" s="13" t="s">
        <v>2995</v>
      </c>
      <c r="R10" s="13" t="s">
        <v>3034</v>
      </c>
      <c r="S10" s="13" t="s">
        <v>3037</v>
      </c>
      <c r="T10" s="13" t="s">
        <v>3048</v>
      </c>
      <c r="U10" s="13" t="s">
        <v>3050</v>
      </c>
      <c r="V10" s="13" t="s">
        <v>1725</v>
      </c>
      <c r="W10" s="13" t="s">
        <v>3061</v>
      </c>
      <c r="X10" s="13" t="s">
        <v>1725</v>
      </c>
      <c r="Y10" s="13" t="s">
        <v>3064</v>
      </c>
      <c r="Z10" s="13" t="s">
        <v>3067</v>
      </c>
      <c r="AA10" s="13" t="s">
        <v>1732</v>
      </c>
      <c r="AB10" s="13" t="s">
        <v>3076</v>
      </c>
      <c r="AC10" s="13" t="s">
        <v>3078</v>
      </c>
      <c r="AD10" s="13" t="s">
        <v>3081</v>
      </c>
      <c r="AE10" s="13" t="s">
        <v>3086</v>
      </c>
      <c r="AF10" s="13" t="s">
        <v>3098</v>
      </c>
      <c r="AG10" s="13" t="s">
        <v>1739</v>
      </c>
      <c r="AH10" s="13" t="s">
        <v>3100</v>
      </c>
      <c r="AI10" s="13" t="s">
        <v>3101</v>
      </c>
      <c r="AJ10" s="13" t="s">
        <v>1790</v>
      </c>
      <c r="AK10" s="13" t="s">
        <v>1791</v>
      </c>
      <c r="AL10" s="13" t="s">
        <v>1793</v>
      </c>
      <c r="AM10" s="13" t="s">
        <v>1795</v>
      </c>
      <c r="AN10" s="13" t="s">
        <v>1795</v>
      </c>
      <c r="AO10" s="13" t="s">
        <v>1739</v>
      </c>
      <c r="AP10" s="13" t="s">
        <v>1797</v>
      </c>
      <c r="AQ10" s="13" t="s">
        <v>3107</v>
      </c>
      <c r="AR10" s="13" t="s">
        <v>3171</v>
      </c>
      <c r="AS10" s="13" t="s">
        <v>3261</v>
      </c>
      <c r="AT10" s="13" t="s">
        <v>3345</v>
      </c>
      <c r="AU10" s="13" t="s">
        <v>1828</v>
      </c>
      <c r="AV10" s="13" t="s">
        <v>2987</v>
      </c>
      <c r="AW10" s="13" t="s">
        <v>2987</v>
      </c>
      <c r="AX10" s="13" t="s">
        <v>1840</v>
      </c>
      <c r="AY10" s="13" t="s">
        <v>3380</v>
      </c>
      <c r="AZ10" s="13" t="s">
        <v>3381</v>
      </c>
      <c r="BA10" s="13" t="s">
        <v>3385</v>
      </c>
      <c r="BB10" s="13" t="s">
        <v>3387</v>
      </c>
      <c r="BC10" s="13" t="s">
        <v>3393</v>
      </c>
      <c r="BD10" s="13" t="s">
        <v>3396</v>
      </c>
      <c r="BE10" s="13" t="s">
        <v>1899</v>
      </c>
      <c r="BF10" s="13" t="s">
        <v>1899</v>
      </c>
      <c r="BG10" s="13" t="s">
        <v>3409</v>
      </c>
      <c r="BH10" s="13" t="s">
        <v>3445</v>
      </c>
      <c r="BI10" s="13" t="s">
        <v>3449</v>
      </c>
      <c r="BJ10" s="13" t="s">
        <v>3455</v>
      </c>
      <c r="BK10" s="13" t="s">
        <v>3462</v>
      </c>
      <c r="BL10" s="13" t="s">
        <v>1922</v>
      </c>
      <c r="BM10" s="13" t="s">
        <v>1921</v>
      </c>
      <c r="BN10" s="13" t="s">
        <v>3476</v>
      </c>
      <c r="BO10" s="13" t="s">
        <v>3477</v>
      </c>
      <c r="BP10" s="13" t="s">
        <v>1959</v>
      </c>
      <c r="BQ10" s="13" t="s">
        <v>3482</v>
      </c>
      <c r="BR10" s="13" t="s">
        <v>3544</v>
      </c>
      <c r="BS10" s="13" t="s">
        <v>1959</v>
      </c>
      <c r="BT10" s="13" t="s">
        <v>1960</v>
      </c>
      <c r="BU10" s="13" t="s">
        <v>3545</v>
      </c>
      <c r="BV10" s="13" t="s">
        <v>1962</v>
      </c>
      <c r="BW10" s="13" t="s">
        <v>3548</v>
      </c>
      <c r="BX10" s="13" t="s">
        <v>3549</v>
      </c>
      <c r="BY10" s="311" t="s">
        <v>3553</v>
      </c>
    </row>
    <row r="11" spans="1:77">
      <c r="A11" s="2">
        <v>6</v>
      </c>
      <c r="B11" s="55">
        <f>INDEX(順位表[Comprehensive],MATCH($C11,順位表['#],0))</f>
        <v>6</v>
      </c>
      <c r="C11" s="3">
        <v>6</v>
      </c>
      <c r="D11" s="1" t="str">
        <f>INDEX(都市マスタ[City Name],MATCH($C11,都市マスタ['#],0))</f>
        <v>Amsterdam</v>
      </c>
      <c r="E11" s="13" t="s">
        <v>2753</v>
      </c>
      <c r="F11" s="13" t="s">
        <v>2753</v>
      </c>
      <c r="G11" s="13" t="s">
        <v>2813</v>
      </c>
      <c r="H11" s="13" t="s">
        <v>1567</v>
      </c>
      <c r="I11" s="13"/>
      <c r="J11" s="13" t="s">
        <v>2820</v>
      </c>
      <c r="K11" s="13" t="s">
        <v>2909</v>
      </c>
      <c r="L11" s="13" t="s">
        <v>2912</v>
      </c>
      <c r="M11" s="13" t="s">
        <v>2917</v>
      </c>
      <c r="N11" s="13" t="s">
        <v>2923</v>
      </c>
      <c r="O11" s="13" t="s">
        <v>2923</v>
      </c>
      <c r="P11" s="13" t="s">
        <v>2987</v>
      </c>
      <c r="Q11" s="13" t="s">
        <v>2995</v>
      </c>
      <c r="R11" s="13" t="s">
        <v>3034</v>
      </c>
      <c r="S11" s="13" t="s">
        <v>3037</v>
      </c>
      <c r="T11" s="13" t="s">
        <v>3048</v>
      </c>
      <c r="U11" s="13" t="s">
        <v>3050</v>
      </c>
      <c r="V11" s="13" t="s">
        <v>1725</v>
      </c>
      <c r="W11" s="13" t="s">
        <v>3061</v>
      </c>
      <c r="X11" s="13" t="s">
        <v>1725</v>
      </c>
      <c r="Y11" s="13" t="s">
        <v>3064</v>
      </c>
      <c r="Z11" s="13" t="s">
        <v>3067</v>
      </c>
      <c r="AA11" s="13" t="s">
        <v>1732</v>
      </c>
      <c r="AB11" s="13" t="s">
        <v>3076</v>
      </c>
      <c r="AC11" s="13" t="s">
        <v>3078</v>
      </c>
      <c r="AD11" s="13" t="s">
        <v>3081</v>
      </c>
      <c r="AE11" s="13" t="s">
        <v>3086</v>
      </c>
      <c r="AF11" s="13" t="s">
        <v>3098</v>
      </c>
      <c r="AG11" s="13" t="s">
        <v>1739</v>
      </c>
      <c r="AH11" s="13" t="s">
        <v>3100</v>
      </c>
      <c r="AI11" s="13" t="s">
        <v>3101</v>
      </c>
      <c r="AJ11" s="13" t="s">
        <v>1790</v>
      </c>
      <c r="AK11" s="13" t="s">
        <v>1791</v>
      </c>
      <c r="AL11" s="13" t="s">
        <v>1793</v>
      </c>
      <c r="AM11" s="13" t="s">
        <v>1795</v>
      </c>
      <c r="AN11" s="13" t="s">
        <v>1795</v>
      </c>
      <c r="AO11" s="13" t="s">
        <v>1739</v>
      </c>
      <c r="AP11" s="13" t="s">
        <v>1797</v>
      </c>
      <c r="AQ11" s="13" t="s">
        <v>3108</v>
      </c>
      <c r="AR11" s="13" t="s">
        <v>3172</v>
      </c>
      <c r="AS11" s="13" t="s">
        <v>3262</v>
      </c>
      <c r="AT11" s="13" t="s">
        <v>3345</v>
      </c>
      <c r="AU11" s="13" t="s">
        <v>1828</v>
      </c>
      <c r="AV11" s="13" t="s">
        <v>2987</v>
      </c>
      <c r="AW11" s="13" t="s">
        <v>2987</v>
      </c>
      <c r="AX11" s="13" t="s">
        <v>1841</v>
      </c>
      <c r="AY11" s="13" t="s">
        <v>3380</v>
      </c>
      <c r="AZ11" s="13" t="s">
        <v>3381</v>
      </c>
      <c r="BA11" s="13" t="s">
        <v>3385</v>
      </c>
      <c r="BB11" s="13" t="s">
        <v>3387</v>
      </c>
      <c r="BC11" s="13" t="s">
        <v>3393</v>
      </c>
      <c r="BD11" s="13" t="s">
        <v>3396</v>
      </c>
      <c r="BE11" s="13" t="s">
        <v>1899</v>
      </c>
      <c r="BF11" s="13" t="s">
        <v>1899</v>
      </c>
      <c r="BG11" s="13" t="s">
        <v>3409</v>
      </c>
      <c r="BH11" s="13" t="s">
        <v>3445</v>
      </c>
      <c r="BI11" s="13" t="s">
        <v>3449</v>
      </c>
      <c r="BJ11" s="13" t="s">
        <v>3455</v>
      </c>
      <c r="BK11" s="13" t="s">
        <v>3462</v>
      </c>
      <c r="BL11" s="13" t="s">
        <v>1922</v>
      </c>
      <c r="BM11" s="13" t="s">
        <v>1921</v>
      </c>
      <c r="BN11" s="13" t="s">
        <v>3476</v>
      </c>
      <c r="BO11" s="13" t="s">
        <v>3477</v>
      </c>
      <c r="BP11" s="13" t="s">
        <v>1959</v>
      </c>
      <c r="BQ11" s="13" t="s">
        <v>3484</v>
      </c>
      <c r="BR11" s="13" t="s">
        <v>3544</v>
      </c>
      <c r="BS11" s="13" t="s">
        <v>1959</v>
      </c>
      <c r="BT11" s="13" t="s">
        <v>1960</v>
      </c>
      <c r="BU11" s="13" t="s">
        <v>3545</v>
      </c>
      <c r="BV11" s="13" t="s">
        <v>1962</v>
      </c>
      <c r="BW11" s="13" t="s">
        <v>3548</v>
      </c>
      <c r="BX11" s="13" t="s">
        <v>3549</v>
      </c>
      <c r="BY11" s="311" t="s">
        <v>3553</v>
      </c>
    </row>
    <row r="12" spans="1:77">
      <c r="A12" s="2">
        <v>7</v>
      </c>
      <c r="B12" s="55">
        <f>INDEX(順位表[Comprehensive],MATCH($C12,順位表['#],0))</f>
        <v>26</v>
      </c>
      <c r="C12" s="3">
        <v>7</v>
      </c>
      <c r="D12" s="1" t="str">
        <f>INDEX(都市マスタ[City Name],MATCH($C12,都市マスタ['#],0))</f>
        <v>Geneva</v>
      </c>
      <c r="E12" s="13" t="s">
        <v>2754</v>
      </c>
      <c r="F12" s="13" t="s">
        <v>2791</v>
      </c>
      <c r="G12" s="13" t="s">
        <v>2813</v>
      </c>
      <c r="H12" s="13" t="s">
        <v>1568</v>
      </c>
      <c r="I12" s="13"/>
      <c r="J12" s="13" t="s">
        <v>2820</v>
      </c>
      <c r="K12" s="13" t="s">
        <v>2909</v>
      </c>
      <c r="L12" s="13"/>
      <c r="M12" s="13" t="s">
        <v>2917</v>
      </c>
      <c r="N12" s="13" t="s">
        <v>1638</v>
      </c>
      <c r="O12" s="13" t="s">
        <v>2952</v>
      </c>
      <c r="P12" s="13" t="s">
        <v>2987</v>
      </c>
      <c r="Q12" s="13" t="s">
        <v>2995</v>
      </c>
      <c r="R12" s="13" t="s">
        <v>3034</v>
      </c>
      <c r="S12" s="13" t="s">
        <v>3038</v>
      </c>
      <c r="T12" s="13" t="s">
        <v>3048</v>
      </c>
      <c r="U12" s="13" t="s">
        <v>3050</v>
      </c>
      <c r="V12" s="13" t="s">
        <v>1725</v>
      </c>
      <c r="W12" s="13" t="s">
        <v>3061</v>
      </c>
      <c r="X12" s="13" t="s">
        <v>1725</v>
      </c>
      <c r="Y12" s="13" t="s">
        <v>3064</v>
      </c>
      <c r="Z12" s="13" t="s">
        <v>3067</v>
      </c>
      <c r="AA12" s="13" t="s">
        <v>1732</v>
      </c>
      <c r="AB12" s="13" t="s">
        <v>3076</v>
      </c>
      <c r="AC12" s="13" t="s">
        <v>3078</v>
      </c>
      <c r="AD12" s="13" t="s">
        <v>3081</v>
      </c>
      <c r="AE12" s="13" t="s">
        <v>3088</v>
      </c>
      <c r="AF12" s="13" t="s">
        <v>3098</v>
      </c>
      <c r="AG12" s="13" t="s">
        <v>1739</v>
      </c>
      <c r="AH12" s="13" t="s">
        <v>3100</v>
      </c>
      <c r="AI12" s="13" t="s">
        <v>3101</v>
      </c>
      <c r="AJ12" s="13" t="s">
        <v>1790</v>
      </c>
      <c r="AK12" s="13" t="s">
        <v>1791</v>
      </c>
      <c r="AL12" s="13" t="s">
        <v>1793</v>
      </c>
      <c r="AM12" s="13" t="s">
        <v>1795</v>
      </c>
      <c r="AN12" s="13" t="s">
        <v>1795</v>
      </c>
      <c r="AO12" s="13" t="s">
        <v>1739</v>
      </c>
      <c r="AP12" s="13" t="s">
        <v>1797</v>
      </c>
      <c r="AQ12" s="13" t="s">
        <v>3109</v>
      </c>
      <c r="AR12" s="13" t="s">
        <v>3173</v>
      </c>
      <c r="AS12" s="13" t="s">
        <v>3263</v>
      </c>
      <c r="AT12" s="13" t="s">
        <v>3345</v>
      </c>
      <c r="AU12" s="13" t="s">
        <v>1828</v>
      </c>
      <c r="AV12" s="13" t="s">
        <v>2987</v>
      </c>
      <c r="AW12" s="13" t="s">
        <v>2987</v>
      </c>
      <c r="AX12" s="13" t="s">
        <v>1841</v>
      </c>
      <c r="AY12" s="13" t="s">
        <v>3380</v>
      </c>
      <c r="AZ12" s="13" t="s">
        <v>3381</v>
      </c>
      <c r="BA12" s="13" t="s">
        <v>3385</v>
      </c>
      <c r="BB12" s="13" t="s">
        <v>3387</v>
      </c>
      <c r="BC12" s="13" t="s">
        <v>3393</v>
      </c>
      <c r="BD12" s="13" t="s">
        <v>3396</v>
      </c>
      <c r="BE12" s="13" t="s">
        <v>1899</v>
      </c>
      <c r="BF12" s="13" t="s">
        <v>1899</v>
      </c>
      <c r="BG12" s="13" t="s">
        <v>3411</v>
      </c>
      <c r="BH12" s="13" t="s">
        <v>3445</v>
      </c>
      <c r="BI12" s="13" t="s">
        <v>3449</v>
      </c>
      <c r="BJ12" s="13" t="s">
        <v>3455</v>
      </c>
      <c r="BK12" s="13" t="s">
        <v>3462</v>
      </c>
      <c r="BL12" s="13" t="s">
        <v>1922</v>
      </c>
      <c r="BM12" s="13" t="s">
        <v>1921</v>
      </c>
      <c r="BN12" s="13" t="s">
        <v>3476</v>
      </c>
      <c r="BO12" s="13" t="s">
        <v>3477</v>
      </c>
      <c r="BP12" s="13" t="s">
        <v>1959</v>
      </c>
      <c r="BQ12" s="13" t="s">
        <v>3482</v>
      </c>
      <c r="BR12" s="13" t="s">
        <v>3544</v>
      </c>
      <c r="BS12" s="13" t="s">
        <v>1959</v>
      </c>
      <c r="BT12" s="13" t="s">
        <v>1960</v>
      </c>
      <c r="BU12" s="13" t="s">
        <v>3545</v>
      </c>
      <c r="BV12" s="13" t="s">
        <v>1962</v>
      </c>
      <c r="BW12" s="13" t="s">
        <v>3548</v>
      </c>
      <c r="BX12" s="13" t="s">
        <v>3549</v>
      </c>
      <c r="BY12" s="311" t="s">
        <v>3553</v>
      </c>
    </row>
    <row r="13" spans="1:77">
      <c r="A13" s="2">
        <v>8</v>
      </c>
      <c r="B13" s="55">
        <f>INDEX(順位表[Comprehensive],MATCH($C13,順位表['#],0))</f>
        <v>20</v>
      </c>
      <c r="C13" s="3">
        <v>8</v>
      </c>
      <c r="D13" s="1" t="str">
        <f>INDEX(都市マスタ[City Name],MATCH($C13,都市マスタ['#],0))</f>
        <v>Frankfurt</v>
      </c>
      <c r="E13" s="13" t="s">
        <v>2755</v>
      </c>
      <c r="F13" s="13" t="s">
        <v>2792</v>
      </c>
      <c r="G13" s="13" t="s">
        <v>2813</v>
      </c>
      <c r="H13" s="13" t="s">
        <v>2822</v>
      </c>
      <c r="I13" s="13"/>
      <c r="J13" s="13" t="s">
        <v>2820</v>
      </c>
      <c r="K13" s="13" t="s">
        <v>2909</v>
      </c>
      <c r="L13" s="13" t="s">
        <v>2911</v>
      </c>
      <c r="M13" s="13" t="s">
        <v>2917</v>
      </c>
      <c r="N13" s="13" t="s">
        <v>2924</v>
      </c>
      <c r="O13" s="13" t="s">
        <v>2953</v>
      </c>
      <c r="P13" s="13" t="s">
        <v>2987</v>
      </c>
      <c r="Q13" s="13" t="s">
        <v>2995</v>
      </c>
      <c r="R13" s="13" t="s">
        <v>3034</v>
      </c>
      <c r="S13" s="13" t="s">
        <v>3039</v>
      </c>
      <c r="T13" s="13" t="s">
        <v>3048</v>
      </c>
      <c r="U13" s="13" t="s">
        <v>3050</v>
      </c>
      <c r="V13" s="13" t="s">
        <v>1725</v>
      </c>
      <c r="W13" s="13" t="s">
        <v>3061</v>
      </c>
      <c r="X13" s="13" t="s">
        <v>1725</v>
      </c>
      <c r="Y13" s="13" t="s">
        <v>3064</v>
      </c>
      <c r="Z13" s="13" t="s">
        <v>3067</v>
      </c>
      <c r="AA13" s="13" t="s">
        <v>1732</v>
      </c>
      <c r="AB13" s="13" t="s">
        <v>3076</v>
      </c>
      <c r="AC13" s="13" t="s">
        <v>3078</v>
      </c>
      <c r="AD13" s="13" t="s">
        <v>3081</v>
      </c>
      <c r="AE13" s="13" t="s">
        <v>3086</v>
      </c>
      <c r="AF13" s="13" t="s">
        <v>3098</v>
      </c>
      <c r="AG13" s="13" t="s">
        <v>1739</v>
      </c>
      <c r="AH13" s="13" t="s">
        <v>3100</v>
      </c>
      <c r="AI13" s="13" t="s">
        <v>3101</v>
      </c>
      <c r="AJ13" s="13" t="s">
        <v>1790</v>
      </c>
      <c r="AK13" s="13" t="s">
        <v>1791</v>
      </c>
      <c r="AL13" s="13" t="s">
        <v>1793</v>
      </c>
      <c r="AM13" s="13" t="s">
        <v>1795</v>
      </c>
      <c r="AN13" s="13" t="s">
        <v>1795</v>
      </c>
      <c r="AO13" s="13" t="s">
        <v>1739</v>
      </c>
      <c r="AP13" s="13" t="s">
        <v>1797</v>
      </c>
      <c r="AQ13" s="13" t="s">
        <v>2755</v>
      </c>
      <c r="AR13" s="13" t="s">
        <v>3174</v>
      </c>
      <c r="AS13" s="13" t="s">
        <v>3264</v>
      </c>
      <c r="AT13" s="13" t="s">
        <v>3345</v>
      </c>
      <c r="AU13" s="13" t="s">
        <v>1828</v>
      </c>
      <c r="AV13" s="13" t="s">
        <v>2987</v>
      </c>
      <c r="AW13" s="13" t="s">
        <v>2987</v>
      </c>
      <c r="AX13" s="13" t="s">
        <v>3365</v>
      </c>
      <c r="AY13" s="13" t="s">
        <v>3380</v>
      </c>
      <c r="AZ13" s="13" t="s">
        <v>3381</v>
      </c>
      <c r="BA13" s="13" t="s">
        <v>3385</v>
      </c>
      <c r="BB13" s="13" t="s">
        <v>3387</v>
      </c>
      <c r="BC13" s="13" t="s">
        <v>3393</v>
      </c>
      <c r="BD13" s="13" t="s">
        <v>3396</v>
      </c>
      <c r="BE13" s="13" t="s">
        <v>1899</v>
      </c>
      <c r="BF13" s="13" t="s">
        <v>1899</v>
      </c>
      <c r="BG13" s="13" t="s">
        <v>3412</v>
      </c>
      <c r="BH13" s="13" t="s">
        <v>3445</v>
      </c>
      <c r="BI13" s="13" t="s">
        <v>3449</v>
      </c>
      <c r="BJ13" s="13" t="s">
        <v>3455</v>
      </c>
      <c r="BK13" s="13" t="s">
        <v>3462</v>
      </c>
      <c r="BL13" s="13" t="s">
        <v>1922</v>
      </c>
      <c r="BM13" s="13" t="s">
        <v>1921</v>
      </c>
      <c r="BN13" s="13" t="s">
        <v>3476</v>
      </c>
      <c r="BO13" s="13" t="s">
        <v>3477</v>
      </c>
      <c r="BP13" s="13" t="s">
        <v>1959</v>
      </c>
      <c r="BQ13" s="13" t="s">
        <v>3482</v>
      </c>
      <c r="BR13" s="13" t="s">
        <v>3544</v>
      </c>
      <c r="BS13" s="13" t="s">
        <v>1959</v>
      </c>
      <c r="BT13" s="13" t="s">
        <v>1960</v>
      </c>
      <c r="BU13" s="13" t="s">
        <v>3545</v>
      </c>
      <c r="BV13" s="13" t="s">
        <v>1962</v>
      </c>
      <c r="BW13" s="13" t="s">
        <v>3548</v>
      </c>
      <c r="BX13" s="13" t="s">
        <v>3549</v>
      </c>
      <c r="BY13" s="311" t="s">
        <v>3553</v>
      </c>
    </row>
    <row r="14" spans="1:77">
      <c r="A14" s="2">
        <v>9</v>
      </c>
      <c r="B14" s="55">
        <f>INDEX(順位表[Comprehensive],MATCH($C14,順位表['#],0))</f>
        <v>10</v>
      </c>
      <c r="C14" s="3">
        <v>9</v>
      </c>
      <c r="D14" s="1" t="str">
        <f>INDEX(都市マスタ[City Name],MATCH($C14,都市マスタ['#],0))</f>
        <v>Berlin</v>
      </c>
      <c r="E14" s="13" t="s">
        <v>2756</v>
      </c>
      <c r="F14" s="13" t="s">
        <v>2793</v>
      </c>
      <c r="G14" s="13" t="s">
        <v>2813</v>
      </c>
      <c r="H14" s="13" t="s">
        <v>2823</v>
      </c>
      <c r="I14" s="13"/>
      <c r="J14" s="13" t="s">
        <v>2820</v>
      </c>
      <c r="K14" s="13" t="s">
        <v>2909</v>
      </c>
      <c r="L14" s="13" t="s">
        <v>2913</v>
      </c>
      <c r="M14" s="13" t="s">
        <v>2917</v>
      </c>
      <c r="N14" s="13" t="s">
        <v>2925</v>
      </c>
      <c r="O14" s="13" t="s">
        <v>2954</v>
      </c>
      <c r="P14" s="13" t="s">
        <v>2987</v>
      </c>
      <c r="Q14" s="13" t="s">
        <v>2995</v>
      </c>
      <c r="R14" s="13" t="s">
        <v>3034</v>
      </c>
      <c r="S14" s="13" t="s">
        <v>3039</v>
      </c>
      <c r="T14" s="13" t="s">
        <v>3048</v>
      </c>
      <c r="U14" s="13" t="s">
        <v>3050</v>
      </c>
      <c r="V14" s="13" t="s">
        <v>1725</v>
      </c>
      <c r="W14" s="13" t="s">
        <v>3061</v>
      </c>
      <c r="X14" s="13" t="s">
        <v>1725</v>
      </c>
      <c r="Y14" s="13" t="s">
        <v>3064</v>
      </c>
      <c r="Z14" s="13" t="s">
        <v>3067</v>
      </c>
      <c r="AA14" s="13" t="s">
        <v>1732</v>
      </c>
      <c r="AB14" s="13" t="s">
        <v>3076</v>
      </c>
      <c r="AC14" s="13" t="s">
        <v>3078</v>
      </c>
      <c r="AD14" s="13" t="s">
        <v>3081</v>
      </c>
      <c r="AE14" s="13" t="s">
        <v>3086</v>
      </c>
      <c r="AF14" s="13" t="s">
        <v>3098</v>
      </c>
      <c r="AG14" s="13" t="s">
        <v>1739</v>
      </c>
      <c r="AH14" s="13" t="s">
        <v>3100</v>
      </c>
      <c r="AI14" s="13" t="s">
        <v>3101</v>
      </c>
      <c r="AJ14" s="13" t="s">
        <v>1790</v>
      </c>
      <c r="AK14" s="13" t="s">
        <v>1791</v>
      </c>
      <c r="AL14" s="13" t="s">
        <v>1793</v>
      </c>
      <c r="AM14" s="13" t="s">
        <v>1795</v>
      </c>
      <c r="AN14" s="13" t="s">
        <v>1795</v>
      </c>
      <c r="AO14" s="13" t="s">
        <v>1739</v>
      </c>
      <c r="AP14" s="13" t="s">
        <v>1797</v>
      </c>
      <c r="AQ14" s="13" t="s">
        <v>3110</v>
      </c>
      <c r="AR14" s="13" t="s">
        <v>3175</v>
      </c>
      <c r="AS14" s="13" t="s">
        <v>3265</v>
      </c>
      <c r="AT14" s="13" t="s">
        <v>3345</v>
      </c>
      <c r="AU14" s="13" t="s">
        <v>1828</v>
      </c>
      <c r="AV14" s="13" t="s">
        <v>2987</v>
      </c>
      <c r="AW14" s="13" t="s">
        <v>2987</v>
      </c>
      <c r="AX14" s="13" t="s">
        <v>1840</v>
      </c>
      <c r="AY14" s="13" t="s">
        <v>3380</v>
      </c>
      <c r="AZ14" s="13" t="s">
        <v>3381</v>
      </c>
      <c r="BA14" s="13" t="s">
        <v>3385</v>
      </c>
      <c r="BB14" s="13" t="s">
        <v>3387</v>
      </c>
      <c r="BC14" s="13" t="s">
        <v>3393</v>
      </c>
      <c r="BD14" s="13" t="s">
        <v>3396</v>
      </c>
      <c r="BE14" s="13" t="s">
        <v>1899</v>
      </c>
      <c r="BF14" s="13" t="s">
        <v>1899</v>
      </c>
      <c r="BG14" s="13" t="s">
        <v>3409</v>
      </c>
      <c r="BH14" s="13" t="s">
        <v>3445</v>
      </c>
      <c r="BI14" s="13" t="s">
        <v>3449</v>
      </c>
      <c r="BJ14" s="13" t="s">
        <v>3455</v>
      </c>
      <c r="BK14" s="13" t="s">
        <v>3462</v>
      </c>
      <c r="BL14" s="13" t="s">
        <v>1922</v>
      </c>
      <c r="BM14" s="13" t="s">
        <v>1921</v>
      </c>
      <c r="BN14" s="13" t="s">
        <v>3476</v>
      </c>
      <c r="BO14" s="13" t="s">
        <v>3477</v>
      </c>
      <c r="BP14" s="13" t="s">
        <v>1959</v>
      </c>
      <c r="BQ14" s="13" t="s">
        <v>3482</v>
      </c>
      <c r="BR14" s="13" t="s">
        <v>3544</v>
      </c>
      <c r="BS14" s="13" t="s">
        <v>1959</v>
      </c>
      <c r="BT14" s="13" t="s">
        <v>1960</v>
      </c>
      <c r="BU14" s="13" t="s">
        <v>3545</v>
      </c>
      <c r="BV14" s="13" t="s">
        <v>1962</v>
      </c>
      <c r="BW14" s="13" t="s">
        <v>3548</v>
      </c>
      <c r="BX14" s="13" t="s">
        <v>3549</v>
      </c>
      <c r="BY14" s="311" t="s">
        <v>3553</v>
      </c>
    </row>
    <row r="15" spans="1:77">
      <c r="A15" s="2">
        <v>10</v>
      </c>
      <c r="B15" s="55">
        <f>INDEX(順位表[Comprehensive],MATCH($C15,順位表['#],0))</f>
        <v>33</v>
      </c>
      <c r="C15" s="3">
        <v>10</v>
      </c>
      <c r="D15" s="1" t="str">
        <f>INDEX(都市マスタ[City Name],MATCH($C15,都市マスタ['#],0))</f>
        <v>Milan</v>
      </c>
      <c r="E15" s="13" t="s">
        <v>2757</v>
      </c>
      <c r="F15" s="13" t="s">
        <v>2794</v>
      </c>
      <c r="G15" s="13" t="s">
        <v>2813</v>
      </c>
      <c r="H15" s="13" t="s">
        <v>2820</v>
      </c>
      <c r="I15" s="13"/>
      <c r="J15" s="13" t="s">
        <v>2820</v>
      </c>
      <c r="K15" s="13" t="s">
        <v>2909</v>
      </c>
      <c r="L15" s="13" t="s">
        <v>2914</v>
      </c>
      <c r="M15" s="13" t="s">
        <v>2917</v>
      </c>
      <c r="N15" s="13" t="s">
        <v>2926</v>
      </c>
      <c r="O15" s="13" t="s">
        <v>1659</v>
      </c>
      <c r="P15" s="13" t="s">
        <v>2987</v>
      </c>
      <c r="Q15" s="13" t="s">
        <v>2995</v>
      </c>
      <c r="R15" s="13" t="s">
        <v>3034</v>
      </c>
      <c r="S15" s="13" t="s">
        <v>3040</v>
      </c>
      <c r="T15" s="13" t="s">
        <v>3048</v>
      </c>
      <c r="U15" s="13" t="s">
        <v>3050</v>
      </c>
      <c r="V15" s="13" t="s">
        <v>1725</v>
      </c>
      <c r="W15" s="13" t="s">
        <v>3061</v>
      </c>
      <c r="X15" s="13" t="s">
        <v>1725</v>
      </c>
      <c r="Y15" s="13" t="s">
        <v>3064</v>
      </c>
      <c r="Z15" s="13" t="s">
        <v>3067</v>
      </c>
      <c r="AA15" s="13" t="s">
        <v>1732</v>
      </c>
      <c r="AB15" s="13" t="s">
        <v>3076</v>
      </c>
      <c r="AC15" s="13" t="s">
        <v>3078</v>
      </c>
      <c r="AD15" s="13" t="s">
        <v>3081</v>
      </c>
      <c r="AE15" s="13" t="s">
        <v>3086</v>
      </c>
      <c r="AF15" s="13" t="s">
        <v>3098</v>
      </c>
      <c r="AG15" s="13" t="s">
        <v>1739</v>
      </c>
      <c r="AH15" s="13" t="s">
        <v>3100</v>
      </c>
      <c r="AI15" s="13" t="s">
        <v>3101</v>
      </c>
      <c r="AJ15" s="13" t="s">
        <v>1790</v>
      </c>
      <c r="AK15" s="13" t="s">
        <v>1791</v>
      </c>
      <c r="AL15" s="13" t="s">
        <v>1793</v>
      </c>
      <c r="AM15" s="13" t="s">
        <v>1795</v>
      </c>
      <c r="AN15" s="13" t="s">
        <v>1795</v>
      </c>
      <c r="AO15" s="13" t="s">
        <v>1739</v>
      </c>
      <c r="AP15" s="13" t="s">
        <v>1797</v>
      </c>
      <c r="AQ15" s="13" t="s">
        <v>3111</v>
      </c>
      <c r="AR15" s="13" t="s">
        <v>3176</v>
      </c>
      <c r="AS15" s="13" t="s">
        <v>3266</v>
      </c>
      <c r="AT15" s="13" t="s">
        <v>3345</v>
      </c>
      <c r="AU15" s="13" t="s">
        <v>1828</v>
      </c>
      <c r="AV15" s="13" t="s">
        <v>2987</v>
      </c>
      <c r="AW15" s="13" t="s">
        <v>2987</v>
      </c>
      <c r="AX15" s="13" t="s">
        <v>3366</v>
      </c>
      <c r="AY15" s="13" t="s">
        <v>3380</v>
      </c>
      <c r="AZ15" s="13" t="s">
        <v>3381</v>
      </c>
      <c r="BA15" s="13" t="s">
        <v>3385</v>
      </c>
      <c r="BB15" s="13" t="s">
        <v>3387</v>
      </c>
      <c r="BC15" s="13" t="s">
        <v>3393</v>
      </c>
      <c r="BD15" s="13" t="s">
        <v>3396</v>
      </c>
      <c r="BE15" s="13" t="s">
        <v>1899</v>
      </c>
      <c r="BF15" s="13" t="s">
        <v>1899</v>
      </c>
      <c r="BG15" s="13" t="s">
        <v>3409</v>
      </c>
      <c r="BH15" s="13" t="s">
        <v>3445</v>
      </c>
      <c r="BI15" s="13" t="s">
        <v>3449</v>
      </c>
      <c r="BJ15" s="13" t="s">
        <v>3455</v>
      </c>
      <c r="BK15" s="13" t="s">
        <v>3462</v>
      </c>
      <c r="BL15" s="13" t="s">
        <v>1922</v>
      </c>
      <c r="BM15" s="13" t="s">
        <v>1921</v>
      </c>
      <c r="BN15" s="13" t="s">
        <v>3476</v>
      </c>
      <c r="BO15" s="13" t="s">
        <v>3477</v>
      </c>
      <c r="BP15" s="13" t="s">
        <v>1959</v>
      </c>
      <c r="BQ15" s="13" t="s">
        <v>3482</v>
      </c>
      <c r="BR15" s="13" t="s">
        <v>3544</v>
      </c>
      <c r="BS15" s="13" t="s">
        <v>1959</v>
      </c>
      <c r="BT15" s="13" t="s">
        <v>1960</v>
      </c>
      <c r="BU15" s="13" t="s">
        <v>3545</v>
      </c>
      <c r="BV15" s="13" t="s">
        <v>1962</v>
      </c>
      <c r="BW15" s="13" t="s">
        <v>3548</v>
      </c>
      <c r="BX15" s="13" t="s">
        <v>3549</v>
      </c>
      <c r="BY15" s="311" t="s">
        <v>3553</v>
      </c>
    </row>
    <row r="16" spans="1:77">
      <c r="A16" s="2">
        <v>11</v>
      </c>
      <c r="B16" s="55">
        <f>INDEX(順位表[Comprehensive],MATCH($C16,順位表['#],0))</f>
        <v>19</v>
      </c>
      <c r="C16" s="3">
        <v>11</v>
      </c>
      <c r="D16" s="1" t="str">
        <f>INDEX(都市マスタ[City Name],MATCH($C16,都市マスタ['#],0))</f>
        <v>Zurich</v>
      </c>
      <c r="E16" s="13" t="s">
        <v>2758</v>
      </c>
      <c r="F16" s="13" t="s">
        <v>2795</v>
      </c>
      <c r="G16" s="13" t="s">
        <v>2813</v>
      </c>
      <c r="H16" s="13" t="s">
        <v>2824</v>
      </c>
      <c r="I16" s="13"/>
      <c r="J16" s="13" t="s">
        <v>2820</v>
      </c>
      <c r="K16" s="13" t="s">
        <v>2909</v>
      </c>
      <c r="L16" s="13" t="s">
        <v>2911</v>
      </c>
      <c r="M16" s="13" t="s">
        <v>2917</v>
      </c>
      <c r="N16" s="13" t="s">
        <v>1639</v>
      </c>
      <c r="O16" s="13" t="s">
        <v>2952</v>
      </c>
      <c r="P16" s="13" t="s">
        <v>2987</v>
      </c>
      <c r="Q16" s="13" t="s">
        <v>2995</v>
      </c>
      <c r="R16" s="13" t="s">
        <v>3034</v>
      </c>
      <c r="S16" s="13" t="s">
        <v>3038</v>
      </c>
      <c r="T16" s="13" t="s">
        <v>3048</v>
      </c>
      <c r="U16" s="13" t="s">
        <v>3050</v>
      </c>
      <c r="V16" s="13" t="s">
        <v>1725</v>
      </c>
      <c r="W16" s="13" t="s">
        <v>3061</v>
      </c>
      <c r="X16" s="13" t="s">
        <v>1725</v>
      </c>
      <c r="Y16" s="13" t="s">
        <v>3064</v>
      </c>
      <c r="Z16" s="13" t="s">
        <v>3067</v>
      </c>
      <c r="AA16" s="13" t="s">
        <v>1732</v>
      </c>
      <c r="AB16" s="13" t="s">
        <v>3076</v>
      </c>
      <c r="AC16" s="13" t="s">
        <v>3078</v>
      </c>
      <c r="AD16" s="13" t="s">
        <v>3081</v>
      </c>
      <c r="AE16" s="13" t="s">
        <v>3088</v>
      </c>
      <c r="AF16" s="13" t="s">
        <v>3098</v>
      </c>
      <c r="AG16" s="13" t="s">
        <v>1739</v>
      </c>
      <c r="AH16" s="13" t="s">
        <v>3100</v>
      </c>
      <c r="AI16" s="13" t="s">
        <v>3101</v>
      </c>
      <c r="AJ16" s="13" t="s">
        <v>1790</v>
      </c>
      <c r="AK16" s="13" t="s">
        <v>1791</v>
      </c>
      <c r="AL16" s="13" t="s">
        <v>1793</v>
      </c>
      <c r="AM16" s="13" t="s">
        <v>1795</v>
      </c>
      <c r="AN16" s="13" t="s">
        <v>1795</v>
      </c>
      <c r="AO16" s="13" t="s">
        <v>1739</v>
      </c>
      <c r="AP16" s="13" t="s">
        <v>1797</v>
      </c>
      <c r="AQ16" s="13" t="s">
        <v>3112</v>
      </c>
      <c r="AR16" s="13" t="s">
        <v>3173</v>
      </c>
      <c r="AS16" s="13" t="s">
        <v>3267</v>
      </c>
      <c r="AT16" s="13" t="s">
        <v>3345</v>
      </c>
      <c r="AU16" s="13" t="s">
        <v>1828</v>
      </c>
      <c r="AV16" s="13" t="s">
        <v>2987</v>
      </c>
      <c r="AW16" s="13" t="s">
        <v>2987</v>
      </c>
      <c r="AX16" s="13" t="s">
        <v>1840</v>
      </c>
      <c r="AY16" s="13" t="s">
        <v>3380</v>
      </c>
      <c r="AZ16" s="13" t="s">
        <v>3381</v>
      </c>
      <c r="BA16" s="13" t="s">
        <v>3385</v>
      </c>
      <c r="BB16" s="13" t="s">
        <v>3387</v>
      </c>
      <c r="BC16" s="13" t="s">
        <v>3393</v>
      </c>
      <c r="BD16" s="13" t="s">
        <v>3396</v>
      </c>
      <c r="BE16" s="13" t="s">
        <v>1899</v>
      </c>
      <c r="BF16" s="13" t="s">
        <v>1899</v>
      </c>
      <c r="BG16" s="13" t="s">
        <v>3409</v>
      </c>
      <c r="BH16" s="13" t="s">
        <v>3445</v>
      </c>
      <c r="BI16" s="13" t="s">
        <v>3449</v>
      </c>
      <c r="BJ16" s="13" t="s">
        <v>3455</v>
      </c>
      <c r="BK16" s="13" t="s">
        <v>3462</v>
      </c>
      <c r="BL16" s="13" t="s">
        <v>1922</v>
      </c>
      <c r="BM16" s="13" t="s">
        <v>1921</v>
      </c>
      <c r="BN16" s="13" t="s">
        <v>3476</v>
      </c>
      <c r="BO16" s="13" t="s">
        <v>3477</v>
      </c>
      <c r="BP16" s="13" t="s">
        <v>1959</v>
      </c>
      <c r="BQ16" s="13" t="s">
        <v>3482</v>
      </c>
      <c r="BR16" s="13" t="s">
        <v>3544</v>
      </c>
      <c r="BS16" s="13" t="s">
        <v>1959</v>
      </c>
      <c r="BT16" s="13" t="s">
        <v>1960</v>
      </c>
      <c r="BU16" s="13" t="s">
        <v>3545</v>
      </c>
      <c r="BV16" s="13" t="s">
        <v>1962</v>
      </c>
      <c r="BW16" s="13" t="s">
        <v>3548</v>
      </c>
      <c r="BX16" s="13" t="s">
        <v>3549</v>
      </c>
      <c r="BY16" s="311" t="s">
        <v>3553</v>
      </c>
    </row>
    <row r="17" spans="1:77">
      <c r="A17" s="2">
        <v>12</v>
      </c>
      <c r="B17" s="55">
        <f>INDEX(順位表[Comprehensive],MATCH($C17,順位表['#],0))</f>
        <v>11</v>
      </c>
      <c r="C17" s="3">
        <v>12</v>
      </c>
      <c r="D17" s="1" t="str">
        <f>INDEX(都市マスタ[City Name],MATCH($C17,都市マスタ['#],0))</f>
        <v>Copenhagen</v>
      </c>
      <c r="E17" s="13" t="s">
        <v>2759</v>
      </c>
      <c r="F17" s="13" t="s">
        <v>2796</v>
      </c>
      <c r="G17" s="13" t="s">
        <v>2813</v>
      </c>
      <c r="H17" s="13" t="s">
        <v>2825</v>
      </c>
      <c r="I17" s="13"/>
      <c r="J17" s="13" t="s">
        <v>2820</v>
      </c>
      <c r="K17" s="13" t="s">
        <v>2909</v>
      </c>
      <c r="L17" s="13" t="s">
        <v>2915</v>
      </c>
      <c r="M17" s="13" t="s">
        <v>2917</v>
      </c>
      <c r="N17" s="13" t="s">
        <v>2927</v>
      </c>
      <c r="O17" s="13" t="s">
        <v>2955</v>
      </c>
      <c r="P17" s="13" t="s">
        <v>2987</v>
      </c>
      <c r="Q17" s="13" t="s">
        <v>2995</v>
      </c>
      <c r="R17" s="13" t="s">
        <v>3034</v>
      </c>
      <c r="S17" s="13" t="s">
        <v>3037</v>
      </c>
      <c r="T17" s="13" t="s">
        <v>3048</v>
      </c>
      <c r="U17" s="13" t="s">
        <v>3050</v>
      </c>
      <c r="V17" s="13" t="s">
        <v>1725</v>
      </c>
      <c r="W17" s="13" t="s">
        <v>3061</v>
      </c>
      <c r="X17" s="13" t="s">
        <v>1725</v>
      </c>
      <c r="Y17" s="13" t="s">
        <v>3064</v>
      </c>
      <c r="Z17" s="13" t="s">
        <v>3067</v>
      </c>
      <c r="AA17" s="13" t="s">
        <v>1732</v>
      </c>
      <c r="AB17" s="13" t="s">
        <v>3076</v>
      </c>
      <c r="AC17" s="13" t="s">
        <v>3078</v>
      </c>
      <c r="AD17" s="13" t="s">
        <v>3081</v>
      </c>
      <c r="AE17" s="13" t="s">
        <v>3086</v>
      </c>
      <c r="AF17" s="13" t="s">
        <v>3098</v>
      </c>
      <c r="AG17" s="13" t="s">
        <v>1739</v>
      </c>
      <c r="AH17" s="13" t="s">
        <v>3100</v>
      </c>
      <c r="AI17" s="13" t="s">
        <v>3101</v>
      </c>
      <c r="AJ17" s="13" t="s">
        <v>1790</v>
      </c>
      <c r="AK17" s="13" t="s">
        <v>1791</v>
      </c>
      <c r="AL17" s="13" t="s">
        <v>1793</v>
      </c>
      <c r="AM17" s="13" t="s">
        <v>1795</v>
      </c>
      <c r="AN17" s="13" t="s">
        <v>1795</v>
      </c>
      <c r="AO17" s="13" t="s">
        <v>1739</v>
      </c>
      <c r="AP17" s="13" t="s">
        <v>1797</v>
      </c>
      <c r="AQ17" s="13" t="s">
        <v>3113</v>
      </c>
      <c r="AR17" s="13" t="s">
        <v>3177</v>
      </c>
      <c r="AS17" s="13" t="s">
        <v>3268</v>
      </c>
      <c r="AT17" s="13" t="s">
        <v>3345</v>
      </c>
      <c r="AU17" s="13" t="s">
        <v>1828</v>
      </c>
      <c r="AV17" s="13" t="s">
        <v>2987</v>
      </c>
      <c r="AW17" s="13" t="s">
        <v>2987</v>
      </c>
      <c r="AX17" s="13" t="s">
        <v>1840</v>
      </c>
      <c r="AY17" s="13" t="s">
        <v>3380</v>
      </c>
      <c r="AZ17" s="13" t="s">
        <v>3381</v>
      </c>
      <c r="BA17" s="13" t="s">
        <v>3385</v>
      </c>
      <c r="BB17" s="13" t="s">
        <v>3387</v>
      </c>
      <c r="BC17" s="13" t="s">
        <v>3393</v>
      </c>
      <c r="BD17" s="13" t="s">
        <v>3396</v>
      </c>
      <c r="BE17" s="13" t="s">
        <v>1899</v>
      </c>
      <c r="BF17" s="13" t="s">
        <v>1899</v>
      </c>
      <c r="BG17" s="13" t="s">
        <v>3413</v>
      </c>
      <c r="BH17" s="13" t="s">
        <v>3445</v>
      </c>
      <c r="BI17" s="13" t="s">
        <v>3449</v>
      </c>
      <c r="BJ17" s="13" t="s">
        <v>3455</v>
      </c>
      <c r="BK17" s="13" t="s">
        <v>3462</v>
      </c>
      <c r="BL17" s="13" t="s">
        <v>1922</v>
      </c>
      <c r="BM17" s="13" t="s">
        <v>1921</v>
      </c>
      <c r="BN17" s="13" t="s">
        <v>3476</v>
      </c>
      <c r="BO17" s="13" t="s">
        <v>3477</v>
      </c>
      <c r="BP17" s="13" t="s">
        <v>1959</v>
      </c>
      <c r="BQ17" s="13" t="s">
        <v>3485</v>
      </c>
      <c r="BR17" s="13" t="s">
        <v>3544</v>
      </c>
      <c r="BS17" s="13" t="s">
        <v>1959</v>
      </c>
      <c r="BT17" s="13" t="s">
        <v>1960</v>
      </c>
      <c r="BU17" s="13" t="s">
        <v>3545</v>
      </c>
      <c r="BV17" s="13" t="s">
        <v>1962</v>
      </c>
      <c r="BW17" s="13" t="s">
        <v>3548</v>
      </c>
      <c r="BX17" s="13" t="s">
        <v>3549</v>
      </c>
      <c r="BY17" s="311" t="s">
        <v>3553</v>
      </c>
    </row>
    <row r="18" spans="1:77">
      <c r="A18" s="2">
        <v>13</v>
      </c>
      <c r="B18" s="55">
        <f>INDEX(順位表[Comprehensive],MATCH($C18,順位表['#],0))</f>
        <v>13</v>
      </c>
      <c r="C18" s="3">
        <v>13</v>
      </c>
      <c r="D18" s="1" t="str">
        <f>INDEX(都市マスタ[City Name],MATCH($C18,都市マスタ['#],0))</f>
        <v>Vienna</v>
      </c>
      <c r="E18" s="13" t="s">
        <v>2760</v>
      </c>
      <c r="F18" s="13" t="s">
        <v>2797</v>
      </c>
      <c r="G18" s="13" t="s">
        <v>2813</v>
      </c>
      <c r="H18" s="13" t="s">
        <v>2820</v>
      </c>
      <c r="I18" s="13"/>
      <c r="J18" s="13" t="s">
        <v>2820</v>
      </c>
      <c r="K18" s="13" t="s">
        <v>2909</v>
      </c>
      <c r="L18" s="13" t="s">
        <v>2911</v>
      </c>
      <c r="M18" s="13" t="s">
        <v>2917</v>
      </c>
      <c r="N18" s="13" t="s">
        <v>2928</v>
      </c>
      <c r="O18" s="13" t="s">
        <v>2956</v>
      </c>
      <c r="P18" s="13" t="s">
        <v>2987</v>
      </c>
      <c r="Q18" s="13" t="s">
        <v>2995</v>
      </c>
      <c r="R18" s="13" t="s">
        <v>3034</v>
      </c>
      <c r="S18" s="13" t="s">
        <v>3037</v>
      </c>
      <c r="T18" s="13" t="s">
        <v>3048</v>
      </c>
      <c r="U18" s="13" t="s">
        <v>3050</v>
      </c>
      <c r="V18" s="13" t="s">
        <v>1725</v>
      </c>
      <c r="W18" s="13" t="s">
        <v>3061</v>
      </c>
      <c r="X18" s="13" t="s">
        <v>1725</v>
      </c>
      <c r="Y18" s="13" t="s">
        <v>3064</v>
      </c>
      <c r="Z18" s="13" t="s">
        <v>3067</v>
      </c>
      <c r="AA18" s="13" t="s">
        <v>1732</v>
      </c>
      <c r="AB18" s="13" t="s">
        <v>3076</v>
      </c>
      <c r="AC18" s="13" t="s">
        <v>3078</v>
      </c>
      <c r="AD18" s="13" t="s">
        <v>3081</v>
      </c>
      <c r="AE18" s="13" t="s">
        <v>3086</v>
      </c>
      <c r="AF18" s="13" t="s">
        <v>3098</v>
      </c>
      <c r="AG18" s="13" t="s">
        <v>1739</v>
      </c>
      <c r="AH18" s="13" t="s">
        <v>3100</v>
      </c>
      <c r="AI18" s="13" t="s">
        <v>3101</v>
      </c>
      <c r="AJ18" s="13" t="s">
        <v>1790</v>
      </c>
      <c r="AK18" s="13" t="s">
        <v>1791</v>
      </c>
      <c r="AL18" s="13" t="s">
        <v>1793</v>
      </c>
      <c r="AM18" s="13" t="s">
        <v>1795</v>
      </c>
      <c r="AN18" s="13" t="s">
        <v>1795</v>
      </c>
      <c r="AO18" s="13" t="s">
        <v>1739</v>
      </c>
      <c r="AP18" s="13" t="s">
        <v>1797</v>
      </c>
      <c r="AQ18" s="13" t="s">
        <v>3114</v>
      </c>
      <c r="AR18" s="13" t="s">
        <v>3178</v>
      </c>
      <c r="AS18" s="13" t="s">
        <v>3269</v>
      </c>
      <c r="AT18" s="13" t="s">
        <v>3345</v>
      </c>
      <c r="AU18" s="13" t="s">
        <v>1828</v>
      </c>
      <c r="AV18" s="13" t="s">
        <v>2987</v>
      </c>
      <c r="AW18" s="13" t="s">
        <v>2987</v>
      </c>
      <c r="AX18" s="13" t="s">
        <v>1840</v>
      </c>
      <c r="AY18" s="13" t="s">
        <v>3380</v>
      </c>
      <c r="AZ18" s="13" t="s">
        <v>3381</v>
      </c>
      <c r="BA18" s="13" t="s">
        <v>3385</v>
      </c>
      <c r="BB18" s="13" t="s">
        <v>3387</v>
      </c>
      <c r="BC18" s="13" t="s">
        <v>3393</v>
      </c>
      <c r="BD18" s="13" t="s">
        <v>3396</v>
      </c>
      <c r="BE18" s="13" t="s">
        <v>1899</v>
      </c>
      <c r="BF18" s="13" t="s">
        <v>1899</v>
      </c>
      <c r="BG18" s="13" t="s">
        <v>3414</v>
      </c>
      <c r="BH18" s="13" t="s">
        <v>3445</v>
      </c>
      <c r="BI18" s="13" t="s">
        <v>3449</v>
      </c>
      <c r="BJ18" s="13" t="s">
        <v>3455</v>
      </c>
      <c r="BK18" s="13" t="s">
        <v>3462</v>
      </c>
      <c r="BL18" s="13" t="s">
        <v>1922</v>
      </c>
      <c r="BM18" s="13" t="s">
        <v>1921</v>
      </c>
      <c r="BN18" s="13" t="s">
        <v>3476</v>
      </c>
      <c r="BO18" s="13" t="s">
        <v>3477</v>
      </c>
      <c r="BP18" s="13" t="s">
        <v>1959</v>
      </c>
      <c r="BQ18" s="13" t="s">
        <v>3482</v>
      </c>
      <c r="BR18" s="13" t="s">
        <v>3544</v>
      </c>
      <c r="BS18" s="13" t="s">
        <v>1959</v>
      </c>
      <c r="BT18" s="13" t="s">
        <v>1960</v>
      </c>
      <c r="BU18" s="13" t="s">
        <v>3545</v>
      </c>
      <c r="BV18" s="13" t="s">
        <v>1962</v>
      </c>
      <c r="BW18" s="13" t="s">
        <v>3548</v>
      </c>
      <c r="BX18" s="13" t="s">
        <v>3549</v>
      </c>
      <c r="BY18" s="311" t="s">
        <v>3553</v>
      </c>
    </row>
    <row r="19" spans="1:77">
      <c r="A19" s="2">
        <v>14</v>
      </c>
      <c r="B19" s="55">
        <f>INDEX(順位表[Comprehensive],MATCH($C19,順位表['#],0))</f>
        <v>16</v>
      </c>
      <c r="C19" s="3">
        <v>14</v>
      </c>
      <c r="D19" s="1" t="str">
        <f>INDEX(都市マスタ[City Name],MATCH($C19,都市マスタ['#],0))</f>
        <v>Stockholm</v>
      </c>
      <c r="E19" s="13" t="s">
        <v>2761</v>
      </c>
      <c r="F19" s="13" t="s">
        <v>2761</v>
      </c>
      <c r="G19" s="13" t="s">
        <v>2813</v>
      </c>
      <c r="H19" s="13" t="s">
        <v>2826</v>
      </c>
      <c r="I19" s="13"/>
      <c r="J19" s="13" t="s">
        <v>2820</v>
      </c>
      <c r="K19" s="13" t="s">
        <v>2909</v>
      </c>
      <c r="L19" s="13" t="s">
        <v>2915</v>
      </c>
      <c r="M19" s="13" t="s">
        <v>2917</v>
      </c>
      <c r="N19" s="13" t="s">
        <v>2929</v>
      </c>
      <c r="O19" s="13" t="s">
        <v>2929</v>
      </c>
      <c r="P19" s="13" t="s">
        <v>2987</v>
      </c>
      <c r="Q19" s="13" t="s">
        <v>2995</v>
      </c>
      <c r="R19" s="13" t="s">
        <v>3034</v>
      </c>
      <c r="S19" s="13" t="s">
        <v>3037</v>
      </c>
      <c r="T19" s="13" t="s">
        <v>3048</v>
      </c>
      <c r="U19" s="13" t="s">
        <v>3050</v>
      </c>
      <c r="V19" s="13" t="s">
        <v>1725</v>
      </c>
      <c r="W19" s="13" t="s">
        <v>3061</v>
      </c>
      <c r="X19" s="13" t="s">
        <v>1725</v>
      </c>
      <c r="Y19" s="13" t="s">
        <v>3064</v>
      </c>
      <c r="Z19" s="13" t="s">
        <v>3067</v>
      </c>
      <c r="AA19" s="13" t="s">
        <v>1732</v>
      </c>
      <c r="AB19" s="13" t="s">
        <v>3076</v>
      </c>
      <c r="AC19" s="13" t="s">
        <v>3078</v>
      </c>
      <c r="AD19" s="13" t="s">
        <v>3081</v>
      </c>
      <c r="AE19" s="13" t="s">
        <v>3086</v>
      </c>
      <c r="AF19" s="13" t="s">
        <v>3098</v>
      </c>
      <c r="AG19" s="13" t="s">
        <v>1739</v>
      </c>
      <c r="AH19" s="13" t="s">
        <v>3100</v>
      </c>
      <c r="AI19" s="13" t="s">
        <v>3101</v>
      </c>
      <c r="AJ19" s="13" t="s">
        <v>1790</v>
      </c>
      <c r="AK19" s="13" t="s">
        <v>1791</v>
      </c>
      <c r="AL19" s="13" t="s">
        <v>1793</v>
      </c>
      <c r="AM19" s="13" t="s">
        <v>1795</v>
      </c>
      <c r="AN19" s="13" t="s">
        <v>1795</v>
      </c>
      <c r="AO19" s="13" t="s">
        <v>1739</v>
      </c>
      <c r="AP19" s="13" t="s">
        <v>1797</v>
      </c>
      <c r="AQ19" s="13" t="s">
        <v>1799</v>
      </c>
      <c r="AR19" s="13" t="s">
        <v>3179</v>
      </c>
      <c r="AS19" s="13" t="s">
        <v>3270</v>
      </c>
      <c r="AT19" s="13" t="s">
        <v>3345</v>
      </c>
      <c r="AU19" s="13" t="s">
        <v>1828</v>
      </c>
      <c r="AV19" s="13" t="s">
        <v>2987</v>
      </c>
      <c r="AW19" s="13" t="s">
        <v>2987</v>
      </c>
      <c r="AX19" s="13" t="s">
        <v>3367</v>
      </c>
      <c r="AY19" s="13" t="s">
        <v>3380</v>
      </c>
      <c r="AZ19" s="13" t="s">
        <v>3381</v>
      </c>
      <c r="BA19" s="13" t="s">
        <v>3385</v>
      </c>
      <c r="BB19" s="13" t="s">
        <v>3387</v>
      </c>
      <c r="BC19" s="13" t="s">
        <v>3393</v>
      </c>
      <c r="BD19" s="13" t="s">
        <v>3396</v>
      </c>
      <c r="BE19" s="13" t="s">
        <v>1899</v>
      </c>
      <c r="BF19" s="13" t="s">
        <v>1899</v>
      </c>
      <c r="BG19" s="13" t="s">
        <v>3413</v>
      </c>
      <c r="BH19" s="13" t="s">
        <v>3445</v>
      </c>
      <c r="BI19" s="13" t="s">
        <v>3449</v>
      </c>
      <c r="BJ19" s="13" t="s">
        <v>3455</v>
      </c>
      <c r="BK19" s="13" t="s">
        <v>3462</v>
      </c>
      <c r="BL19" s="13" t="s">
        <v>1922</v>
      </c>
      <c r="BM19" s="13" t="s">
        <v>1921</v>
      </c>
      <c r="BN19" s="13" t="s">
        <v>3476</v>
      </c>
      <c r="BO19" s="13" t="s">
        <v>3477</v>
      </c>
      <c r="BP19" s="13" t="s">
        <v>1959</v>
      </c>
      <c r="BQ19" s="13" t="s">
        <v>3486</v>
      </c>
      <c r="BR19" s="13" t="s">
        <v>3544</v>
      </c>
      <c r="BS19" s="13" t="s">
        <v>1959</v>
      </c>
      <c r="BT19" s="13" t="s">
        <v>1960</v>
      </c>
      <c r="BU19" s="13" t="s">
        <v>3545</v>
      </c>
      <c r="BV19" s="13" t="s">
        <v>1962</v>
      </c>
      <c r="BW19" s="13" t="s">
        <v>3548</v>
      </c>
      <c r="BX19" s="13" t="s">
        <v>3549</v>
      </c>
      <c r="BY19" s="311" t="s">
        <v>3553</v>
      </c>
    </row>
    <row r="20" spans="1:77">
      <c r="A20" s="2">
        <v>15</v>
      </c>
      <c r="B20" s="55">
        <f>INDEX(順位表[Comprehensive],MATCH($C20,順位表['#],0))</f>
        <v>30</v>
      </c>
      <c r="C20" s="3">
        <v>15</v>
      </c>
      <c r="D20" s="1" t="str">
        <f>INDEX(都市マスタ[City Name],MATCH($C20,都市マスタ['#],0))</f>
        <v>Istanbul</v>
      </c>
      <c r="E20" s="13" t="s">
        <v>2762</v>
      </c>
      <c r="F20" s="13" t="s">
        <v>2762</v>
      </c>
      <c r="G20" s="13" t="s">
        <v>2813</v>
      </c>
      <c r="H20" s="13" t="s">
        <v>2827</v>
      </c>
      <c r="I20" s="13"/>
      <c r="J20" s="13" t="s">
        <v>2820</v>
      </c>
      <c r="K20" s="13" t="s">
        <v>2909</v>
      </c>
      <c r="L20" s="13" t="s">
        <v>2911</v>
      </c>
      <c r="M20" s="13" t="s">
        <v>2917</v>
      </c>
      <c r="N20" s="13" t="s">
        <v>2930</v>
      </c>
      <c r="O20" s="13" t="s">
        <v>2957</v>
      </c>
      <c r="P20" s="13" t="s">
        <v>2987</v>
      </c>
      <c r="Q20" s="13" t="s">
        <v>2995</v>
      </c>
      <c r="R20" s="13" t="s">
        <v>3034</v>
      </c>
      <c r="S20" s="13" t="s">
        <v>3037</v>
      </c>
      <c r="T20" s="13" t="s">
        <v>3048</v>
      </c>
      <c r="U20" s="13" t="s">
        <v>3050</v>
      </c>
      <c r="V20" s="13" t="s">
        <v>1725</v>
      </c>
      <c r="W20" s="13" t="s">
        <v>3061</v>
      </c>
      <c r="X20" s="13" t="s">
        <v>1725</v>
      </c>
      <c r="Y20" s="13" t="s">
        <v>3064</v>
      </c>
      <c r="Z20" s="13" t="s">
        <v>3067</v>
      </c>
      <c r="AA20" s="13" t="s">
        <v>1732</v>
      </c>
      <c r="AB20" s="13" t="s">
        <v>3076</v>
      </c>
      <c r="AC20" s="13" t="s">
        <v>3078</v>
      </c>
      <c r="AD20" s="13" t="s">
        <v>3081</v>
      </c>
      <c r="AE20" s="13" t="s">
        <v>3086</v>
      </c>
      <c r="AF20" s="13" t="s">
        <v>3098</v>
      </c>
      <c r="AG20" s="13" t="s">
        <v>1739</v>
      </c>
      <c r="AH20" s="13" t="s">
        <v>3100</v>
      </c>
      <c r="AI20" s="13" t="s">
        <v>3101</v>
      </c>
      <c r="AJ20" s="13" t="s">
        <v>1790</v>
      </c>
      <c r="AK20" s="13" t="s">
        <v>1791</v>
      </c>
      <c r="AL20" s="13" t="s">
        <v>1793</v>
      </c>
      <c r="AM20" s="13" t="s">
        <v>1795</v>
      </c>
      <c r="AN20" s="13" t="s">
        <v>1795</v>
      </c>
      <c r="AO20" s="13" t="s">
        <v>1739</v>
      </c>
      <c r="AP20" s="13" t="s">
        <v>1797</v>
      </c>
      <c r="AQ20" s="13" t="s">
        <v>3115</v>
      </c>
      <c r="AR20" s="13" t="s">
        <v>3180</v>
      </c>
      <c r="AS20" s="13" t="s">
        <v>3271</v>
      </c>
      <c r="AT20" s="13" t="s">
        <v>3345</v>
      </c>
      <c r="AU20" s="13" t="s">
        <v>1828</v>
      </c>
      <c r="AV20" s="13" t="s">
        <v>2987</v>
      </c>
      <c r="AW20" s="13" t="s">
        <v>2987</v>
      </c>
      <c r="AX20" s="13" t="s">
        <v>1842</v>
      </c>
      <c r="AY20" s="13" t="s">
        <v>3380</v>
      </c>
      <c r="AZ20" s="13" t="s">
        <v>3381</v>
      </c>
      <c r="BA20" s="13" t="s">
        <v>3385</v>
      </c>
      <c r="BB20" s="13" t="s">
        <v>3387</v>
      </c>
      <c r="BC20" s="13" t="s">
        <v>3393</v>
      </c>
      <c r="BD20" s="13" t="s">
        <v>3396</v>
      </c>
      <c r="BE20" s="13" t="s">
        <v>1899</v>
      </c>
      <c r="BF20" s="13" t="s">
        <v>1899</v>
      </c>
      <c r="BG20" s="13" t="s">
        <v>3409</v>
      </c>
      <c r="BH20" s="13" t="s">
        <v>3445</v>
      </c>
      <c r="BI20" s="13" t="s">
        <v>3450</v>
      </c>
      <c r="BJ20" s="13" t="s">
        <v>3455</v>
      </c>
      <c r="BK20" s="13" t="s">
        <v>3462</v>
      </c>
      <c r="BL20" s="13" t="s">
        <v>1922</v>
      </c>
      <c r="BM20" s="13" t="s">
        <v>1921</v>
      </c>
      <c r="BN20" s="13" t="s">
        <v>3476</v>
      </c>
      <c r="BO20" s="13" t="s">
        <v>3477</v>
      </c>
      <c r="BP20" s="13" t="s">
        <v>1959</v>
      </c>
      <c r="BQ20" s="13" t="s">
        <v>3487</v>
      </c>
      <c r="BR20" s="13" t="s">
        <v>3544</v>
      </c>
      <c r="BS20" s="13" t="s">
        <v>1959</v>
      </c>
      <c r="BT20" s="13" t="s">
        <v>1960</v>
      </c>
      <c r="BU20" s="13" t="s">
        <v>3545</v>
      </c>
      <c r="BV20" s="13" t="s">
        <v>1962</v>
      </c>
      <c r="BW20" s="13" t="s">
        <v>3548</v>
      </c>
      <c r="BX20" s="13" t="s">
        <v>3549</v>
      </c>
      <c r="BY20" s="311" t="s">
        <v>3553</v>
      </c>
    </row>
    <row r="21" spans="1:77">
      <c r="A21" s="2">
        <v>16</v>
      </c>
      <c r="B21" s="55">
        <f>INDEX(順位表[Comprehensive],MATCH($C21,順位表['#],0))</f>
        <v>47</v>
      </c>
      <c r="C21" s="3">
        <v>16</v>
      </c>
      <c r="D21" s="1" t="str">
        <f>INDEX(都市マスタ[City Name],MATCH($C21,都市マスタ['#],0))</f>
        <v>Cairo</v>
      </c>
      <c r="E21" s="13" t="s">
        <v>2763</v>
      </c>
      <c r="F21" s="13" t="s">
        <v>2763</v>
      </c>
      <c r="G21" s="13" t="s">
        <v>2813</v>
      </c>
      <c r="H21" s="13" t="s">
        <v>1569</v>
      </c>
      <c r="I21" s="13"/>
      <c r="J21" s="13" t="s">
        <v>2875</v>
      </c>
      <c r="K21" s="13" t="s">
        <v>2909</v>
      </c>
      <c r="L21" s="13" t="s">
        <v>2911</v>
      </c>
      <c r="M21" s="13" t="s">
        <v>2917</v>
      </c>
      <c r="N21" s="13" t="s">
        <v>2931</v>
      </c>
      <c r="O21" s="13" t="s">
        <v>2958</v>
      </c>
      <c r="P21" s="13" t="s">
        <v>2987</v>
      </c>
      <c r="Q21" s="13" t="s">
        <v>2995</v>
      </c>
      <c r="R21" s="13" t="s">
        <v>3034</v>
      </c>
      <c r="S21" s="13" t="s">
        <v>3037</v>
      </c>
      <c r="T21" s="13" t="s">
        <v>3048</v>
      </c>
      <c r="U21" s="13" t="s">
        <v>3050</v>
      </c>
      <c r="V21" s="13" t="s">
        <v>1725</v>
      </c>
      <c r="W21" s="13" t="s">
        <v>3061</v>
      </c>
      <c r="X21" s="13" t="s">
        <v>1725</v>
      </c>
      <c r="Y21" s="13" t="s">
        <v>3065</v>
      </c>
      <c r="Z21" s="13" t="s">
        <v>3067</v>
      </c>
      <c r="AA21" s="13" t="s">
        <v>1732</v>
      </c>
      <c r="AB21" s="13" t="s">
        <v>3076</v>
      </c>
      <c r="AC21" s="13" t="s">
        <v>3078</v>
      </c>
      <c r="AD21" s="13" t="s">
        <v>3081</v>
      </c>
      <c r="AE21" s="13" t="s">
        <v>3088</v>
      </c>
      <c r="AF21" s="13" t="s">
        <v>3098</v>
      </c>
      <c r="AG21" s="13" t="s">
        <v>1739</v>
      </c>
      <c r="AH21" s="13" t="s">
        <v>3100</v>
      </c>
      <c r="AI21" s="13" t="s">
        <v>3101</v>
      </c>
      <c r="AJ21" s="13" t="s">
        <v>1790</v>
      </c>
      <c r="AK21" s="13" t="s">
        <v>1791</v>
      </c>
      <c r="AL21" s="13" t="s">
        <v>1793</v>
      </c>
      <c r="AM21" s="13" t="s">
        <v>1795</v>
      </c>
      <c r="AN21" s="13" t="s">
        <v>1795</v>
      </c>
      <c r="AO21" s="13" t="s">
        <v>1739</v>
      </c>
      <c r="AP21" s="13" t="s">
        <v>1797</v>
      </c>
      <c r="AQ21" s="13" t="s">
        <v>3116</v>
      </c>
      <c r="AR21" s="13" t="s">
        <v>3181</v>
      </c>
      <c r="AS21" s="13" t="s">
        <v>2763</v>
      </c>
      <c r="AT21" s="13" t="s">
        <v>3345</v>
      </c>
      <c r="AU21" s="13" t="s">
        <v>1828</v>
      </c>
      <c r="AV21" s="13" t="s">
        <v>2987</v>
      </c>
      <c r="AW21" s="13" t="s">
        <v>2987</v>
      </c>
      <c r="AX21" s="13" t="s">
        <v>3368</v>
      </c>
      <c r="AY21" s="13" t="s">
        <v>3380</v>
      </c>
      <c r="AZ21" s="13" t="s">
        <v>3381</v>
      </c>
      <c r="BA21" s="13" t="s">
        <v>3385</v>
      </c>
      <c r="BB21" s="13" t="s">
        <v>3387</v>
      </c>
      <c r="BC21" s="13" t="s">
        <v>3394</v>
      </c>
      <c r="BD21" s="13" t="s">
        <v>3396</v>
      </c>
      <c r="BE21" s="13" t="s">
        <v>1899</v>
      </c>
      <c r="BF21" s="13" t="s">
        <v>1899</v>
      </c>
      <c r="BG21" s="13"/>
      <c r="BH21" s="13" t="s">
        <v>3445</v>
      </c>
      <c r="BI21" s="13" t="s">
        <v>3451</v>
      </c>
      <c r="BJ21" s="13" t="s">
        <v>3455</v>
      </c>
      <c r="BK21" s="13" t="s">
        <v>3462</v>
      </c>
      <c r="BL21" s="13" t="s">
        <v>1922</v>
      </c>
      <c r="BM21" s="13" t="s">
        <v>1921</v>
      </c>
      <c r="BN21" s="13" t="s">
        <v>3476</v>
      </c>
      <c r="BO21" s="13" t="s">
        <v>3477</v>
      </c>
      <c r="BP21" s="13" t="s">
        <v>1959</v>
      </c>
      <c r="BQ21" s="13" t="s">
        <v>3482</v>
      </c>
      <c r="BR21" s="13" t="s">
        <v>3544</v>
      </c>
      <c r="BS21" s="13" t="s">
        <v>1959</v>
      </c>
      <c r="BT21" s="13" t="s">
        <v>1960</v>
      </c>
      <c r="BU21" s="13" t="s">
        <v>3545</v>
      </c>
      <c r="BV21" s="13" t="s">
        <v>1962</v>
      </c>
      <c r="BW21" s="13" t="s">
        <v>3548</v>
      </c>
      <c r="BX21" s="13" t="s">
        <v>3549</v>
      </c>
      <c r="BY21" s="311" t="s">
        <v>3553</v>
      </c>
    </row>
    <row r="22" spans="1:77">
      <c r="A22" s="2">
        <v>17</v>
      </c>
      <c r="B22" s="55">
        <f>INDEX(順位表[Comprehensive],MATCH($C22,順位表['#],0))</f>
        <v>34</v>
      </c>
      <c r="C22" s="3">
        <v>17</v>
      </c>
      <c r="D22" s="1" t="str">
        <f>INDEX(都市マスタ[City Name],MATCH($C22,都市マスタ['#],0))</f>
        <v>Moscow</v>
      </c>
      <c r="E22" s="13" t="s">
        <v>2764</v>
      </c>
      <c r="F22" s="13" t="s">
        <v>2798</v>
      </c>
      <c r="G22" s="13" t="s">
        <v>2813</v>
      </c>
      <c r="H22" s="13" t="s">
        <v>2828</v>
      </c>
      <c r="I22" s="13"/>
      <c r="J22" s="13" t="s">
        <v>2876</v>
      </c>
      <c r="K22" s="13" t="s">
        <v>2909</v>
      </c>
      <c r="L22" s="13" t="s">
        <v>2911</v>
      </c>
      <c r="M22" s="13" t="s">
        <v>2917</v>
      </c>
      <c r="N22" s="13" t="s">
        <v>1640</v>
      </c>
      <c r="O22" s="13" t="s">
        <v>2959</v>
      </c>
      <c r="P22" s="13" t="s">
        <v>2987</v>
      </c>
      <c r="Q22" s="13" t="s">
        <v>2995</v>
      </c>
      <c r="R22" s="13" t="s">
        <v>3034</v>
      </c>
      <c r="S22" s="13" t="s">
        <v>3037</v>
      </c>
      <c r="T22" s="13" t="s">
        <v>3048</v>
      </c>
      <c r="U22" s="13" t="s">
        <v>3050</v>
      </c>
      <c r="V22" s="13" t="s">
        <v>1725</v>
      </c>
      <c r="W22" s="13" t="s">
        <v>3061</v>
      </c>
      <c r="X22" s="13" t="s">
        <v>1725</v>
      </c>
      <c r="Y22" s="13" t="s">
        <v>3064</v>
      </c>
      <c r="Z22" s="13" t="s">
        <v>3067</v>
      </c>
      <c r="AA22" s="13" t="s">
        <v>1732</v>
      </c>
      <c r="AB22" s="13" t="s">
        <v>3076</v>
      </c>
      <c r="AC22" s="13" t="s">
        <v>3078</v>
      </c>
      <c r="AD22" s="13" t="s">
        <v>3081</v>
      </c>
      <c r="AE22" s="13" t="s">
        <v>3086</v>
      </c>
      <c r="AF22" s="13" t="s">
        <v>3098</v>
      </c>
      <c r="AG22" s="13" t="s">
        <v>1739</v>
      </c>
      <c r="AH22" s="13" t="s">
        <v>3100</v>
      </c>
      <c r="AI22" s="13" t="s">
        <v>3101</v>
      </c>
      <c r="AJ22" s="13" t="s">
        <v>1790</v>
      </c>
      <c r="AK22" s="13" t="s">
        <v>1791</v>
      </c>
      <c r="AL22" s="13" t="s">
        <v>1793</v>
      </c>
      <c r="AM22" s="13" t="s">
        <v>1795</v>
      </c>
      <c r="AN22" s="13" t="s">
        <v>1795</v>
      </c>
      <c r="AO22" s="13" t="s">
        <v>1739</v>
      </c>
      <c r="AP22" s="13" t="s">
        <v>1797</v>
      </c>
      <c r="AQ22" s="13" t="s">
        <v>3117</v>
      </c>
      <c r="AR22" s="13" t="s">
        <v>3182</v>
      </c>
      <c r="AS22" s="13" t="s">
        <v>3272</v>
      </c>
      <c r="AT22" s="13" t="s">
        <v>3345</v>
      </c>
      <c r="AU22" s="13" t="s">
        <v>1828</v>
      </c>
      <c r="AV22" s="13" t="s">
        <v>2987</v>
      </c>
      <c r="AW22" s="13" t="s">
        <v>2987</v>
      </c>
      <c r="AX22" s="13" t="s">
        <v>1841</v>
      </c>
      <c r="AY22" s="13" t="s">
        <v>3380</v>
      </c>
      <c r="AZ22" s="13" t="s">
        <v>3381</v>
      </c>
      <c r="BA22" s="13" t="s">
        <v>3385</v>
      </c>
      <c r="BB22" s="13" t="s">
        <v>3387</v>
      </c>
      <c r="BC22" s="13" t="s">
        <v>3393</v>
      </c>
      <c r="BD22" s="13" t="s">
        <v>3396</v>
      </c>
      <c r="BE22" s="13" t="s">
        <v>1899</v>
      </c>
      <c r="BF22" s="13" t="s">
        <v>1899</v>
      </c>
      <c r="BG22" s="13" t="s">
        <v>3409</v>
      </c>
      <c r="BH22" s="13" t="s">
        <v>3445</v>
      </c>
      <c r="BI22" s="13" t="s">
        <v>3452</v>
      </c>
      <c r="BJ22" s="13" t="s">
        <v>3455</v>
      </c>
      <c r="BK22" s="13" t="s">
        <v>3462</v>
      </c>
      <c r="BL22" s="13" t="s">
        <v>1922</v>
      </c>
      <c r="BM22" s="13" t="s">
        <v>1921</v>
      </c>
      <c r="BN22" s="13" t="s">
        <v>3476</v>
      </c>
      <c r="BO22" s="13" t="s">
        <v>3477</v>
      </c>
      <c r="BP22" s="13" t="s">
        <v>1959</v>
      </c>
      <c r="BQ22" s="13" t="s">
        <v>3482</v>
      </c>
      <c r="BR22" s="13" t="s">
        <v>3544</v>
      </c>
      <c r="BS22" s="13" t="s">
        <v>1959</v>
      </c>
      <c r="BT22" s="13" t="s">
        <v>1960</v>
      </c>
      <c r="BU22" s="13" t="s">
        <v>3545</v>
      </c>
      <c r="BV22" s="13" t="s">
        <v>1962</v>
      </c>
      <c r="BW22" s="13" t="s">
        <v>3548</v>
      </c>
      <c r="BX22" s="13" t="s">
        <v>3549</v>
      </c>
      <c r="BY22" s="311" t="s">
        <v>3553</v>
      </c>
    </row>
    <row r="23" spans="1:77">
      <c r="A23" s="2">
        <v>18</v>
      </c>
      <c r="B23" s="55">
        <f>INDEX(順位表[Comprehensive],MATCH($C23,順位表['#],0))</f>
        <v>48</v>
      </c>
      <c r="C23" s="3">
        <v>18</v>
      </c>
      <c r="D23" s="1" t="str">
        <f>INDEX(都市マスタ[City Name],MATCH($C23,都市マスタ['#],0))</f>
        <v>Mumbai</v>
      </c>
      <c r="E23" s="13" t="s">
        <v>1516</v>
      </c>
      <c r="F23" s="13" t="s">
        <v>1516</v>
      </c>
      <c r="G23" s="13" t="s">
        <v>2813</v>
      </c>
      <c r="H23" s="13" t="s">
        <v>2829</v>
      </c>
      <c r="I23" s="13"/>
      <c r="J23" s="13" t="s">
        <v>1606</v>
      </c>
      <c r="K23" s="13" t="s">
        <v>2909</v>
      </c>
      <c r="L23" s="13" t="s">
        <v>2911</v>
      </c>
      <c r="M23" s="13" t="s">
        <v>2917</v>
      </c>
      <c r="N23" s="13" t="s">
        <v>1641</v>
      </c>
      <c r="O23" s="13" t="s">
        <v>2960</v>
      </c>
      <c r="P23" s="13" t="s">
        <v>2987</v>
      </c>
      <c r="Q23" s="13" t="s">
        <v>2996</v>
      </c>
      <c r="R23" s="13" t="s">
        <v>3034</v>
      </c>
      <c r="S23" s="13" t="s">
        <v>3037</v>
      </c>
      <c r="T23" s="13" t="s">
        <v>3048</v>
      </c>
      <c r="U23" s="13" t="s">
        <v>3050</v>
      </c>
      <c r="V23" s="13" t="s">
        <v>1725</v>
      </c>
      <c r="W23" s="13" t="s">
        <v>3061</v>
      </c>
      <c r="X23" s="13" t="s">
        <v>1725</v>
      </c>
      <c r="Y23" s="13" t="s">
        <v>3064</v>
      </c>
      <c r="Z23" s="13" t="s">
        <v>3067</v>
      </c>
      <c r="AA23" s="13" t="s">
        <v>1732</v>
      </c>
      <c r="AB23" s="13" t="s">
        <v>3076</v>
      </c>
      <c r="AC23" s="13" t="s">
        <v>3078</v>
      </c>
      <c r="AD23" s="13" t="s">
        <v>3081</v>
      </c>
      <c r="AE23" s="13" t="s">
        <v>3086</v>
      </c>
      <c r="AF23" s="13" t="s">
        <v>3098</v>
      </c>
      <c r="AG23" s="13" t="s">
        <v>1739</v>
      </c>
      <c r="AH23" s="13" t="s">
        <v>3100</v>
      </c>
      <c r="AI23" s="13" t="s">
        <v>3101</v>
      </c>
      <c r="AJ23" s="13" t="s">
        <v>1790</v>
      </c>
      <c r="AK23" s="13" t="s">
        <v>1791</v>
      </c>
      <c r="AL23" s="13" t="s">
        <v>1793</v>
      </c>
      <c r="AM23" s="13" t="s">
        <v>1795</v>
      </c>
      <c r="AN23" s="13" t="s">
        <v>1795</v>
      </c>
      <c r="AO23" s="13" t="s">
        <v>1739</v>
      </c>
      <c r="AP23" s="13" t="s">
        <v>1797</v>
      </c>
      <c r="AQ23" s="13" t="s">
        <v>1800</v>
      </c>
      <c r="AR23" s="13" t="s">
        <v>3183</v>
      </c>
      <c r="AS23" s="13" t="s">
        <v>3273</v>
      </c>
      <c r="AT23" s="13" t="s">
        <v>3345</v>
      </c>
      <c r="AU23" s="13" t="s">
        <v>1828</v>
      </c>
      <c r="AV23" s="13" t="s">
        <v>2987</v>
      </c>
      <c r="AW23" s="13" t="s">
        <v>2987</v>
      </c>
      <c r="AX23" s="13" t="s">
        <v>3369</v>
      </c>
      <c r="AY23" s="13" t="s">
        <v>3380</v>
      </c>
      <c r="AZ23" s="13" t="s">
        <v>3381</v>
      </c>
      <c r="BA23" s="13" t="s">
        <v>3385</v>
      </c>
      <c r="BB23" s="13" t="s">
        <v>3387</v>
      </c>
      <c r="BC23" s="13" t="s">
        <v>3393</v>
      </c>
      <c r="BD23" s="13" t="s">
        <v>3396</v>
      </c>
      <c r="BE23" s="13" t="s">
        <v>1899</v>
      </c>
      <c r="BF23" s="13" t="s">
        <v>1899</v>
      </c>
      <c r="BG23" s="13" t="s">
        <v>3415</v>
      </c>
      <c r="BH23" s="13" t="s">
        <v>3445</v>
      </c>
      <c r="BI23" s="13" t="s">
        <v>1908</v>
      </c>
      <c r="BJ23" s="13" t="s">
        <v>3455</v>
      </c>
      <c r="BK23" s="13" t="s">
        <v>3462</v>
      </c>
      <c r="BL23" s="13" t="s">
        <v>1922</v>
      </c>
      <c r="BM23" s="13" t="s">
        <v>1921</v>
      </c>
      <c r="BN23" s="13" t="s">
        <v>3476</v>
      </c>
      <c r="BO23" s="13" t="s">
        <v>3477</v>
      </c>
      <c r="BP23" s="13" t="s">
        <v>1959</v>
      </c>
      <c r="BQ23" s="13" t="s">
        <v>3488</v>
      </c>
      <c r="BR23" s="13" t="s">
        <v>3544</v>
      </c>
      <c r="BS23" s="13" t="s">
        <v>1959</v>
      </c>
      <c r="BT23" s="13" t="s">
        <v>1960</v>
      </c>
      <c r="BU23" s="13" t="s">
        <v>3545</v>
      </c>
      <c r="BV23" s="13" t="s">
        <v>1962</v>
      </c>
      <c r="BW23" s="13" t="s">
        <v>3548</v>
      </c>
      <c r="BX23" s="13" t="s">
        <v>3549</v>
      </c>
      <c r="BY23" s="311" t="s">
        <v>3553</v>
      </c>
    </row>
    <row r="24" spans="1:77">
      <c r="A24" s="2">
        <v>19</v>
      </c>
      <c r="B24" s="55">
        <f>INDEX(順位表[Comprehensive],MATCH($C24,順位表['#],0))</f>
        <v>38</v>
      </c>
      <c r="C24" s="3">
        <v>19</v>
      </c>
      <c r="D24" s="1" t="str">
        <f>INDEX(都市マスタ[City Name],MATCH($C24,都市マスタ['#],0))</f>
        <v>Bangkok</v>
      </c>
      <c r="E24" s="13" t="s">
        <v>1517</v>
      </c>
      <c r="F24" s="13" t="s">
        <v>2799</v>
      </c>
      <c r="G24" s="13" t="s">
        <v>2813</v>
      </c>
      <c r="H24" s="13" t="s">
        <v>2830</v>
      </c>
      <c r="I24" s="13" t="s">
        <v>2861</v>
      </c>
      <c r="J24" s="13" t="s">
        <v>2875</v>
      </c>
      <c r="K24" s="13" t="s">
        <v>2909</v>
      </c>
      <c r="L24" s="13" t="s">
        <v>2911</v>
      </c>
      <c r="M24" s="13" t="s">
        <v>2917</v>
      </c>
      <c r="N24" s="13" t="s">
        <v>2932</v>
      </c>
      <c r="O24" s="13" t="s">
        <v>2961</v>
      </c>
      <c r="P24" s="13" t="s">
        <v>2987</v>
      </c>
      <c r="Q24" s="13" t="s">
        <v>2995</v>
      </c>
      <c r="R24" s="13" t="s">
        <v>3034</v>
      </c>
      <c r="S24" s="13" t="s">
        <v>3037</v>
      </c>
      <c r="T24" s="13" t="s">
        <v>3048</v>
      </c>
      <c r="U24" s="13" t="s">
        <v>3050</v>
      </c>
      <c r="V24" s="13" t="s">
        <v>1725</v>
      </c>
      <c r="W24" s="13" t="s">
        <v>3061</v>
      </c>
      <c r="X24" s="13" t="s">
        <v>1725</v>
      </c>
      <c r="Y24" s="13" t="s">
        <v>3064</v>
      </c>
      <c r="Z24" s="13" t="s">
        <v>3067</v>
      </c>
      <c r="AA24" s="13" t="s">
        <v>1732</v>
      </c>
      <c r="AB24" s="13" t="s">
        <v>3076</v>
      </c>
      <c r="AC24" s="13" t="s">
        <v>3078</v>
      </c>
      <c r="AD24" s="13" t="s">
        <v>3081</v>
      </c>
      <c r="AE24" s="13" t="s">
        <v>3088</v>
      </c>
      <c r="AF24" s="13" t="s">
        <v>3098</v>
      </c>
      <c r="AG24" s="13" t="s">
        <v>1739</v>
      </c>
      <c r="AH24" s="13" t="s">
        <v>3100</v>
      </c>
      <c r="AI24" s="13" t="s">
        <v>3101</v>
      </c>
      <c r="AJ24" s="13" t="s">
        <v>1790</v>
      </c>
      <c r="AK24" s="13" t="s">
        <v>1791</v>
      </c>
      <c r="AL24" s="13" t="s">
        <v>1793</v>
      </c>
      <c r="AM24" s="13" t="s">
        <v>1795</v>
      </c>
      <c r="AN24" s="13" t="s">
        <v>1795</v>
      </c>
      <c r="AO24" s="13" t="s">
        <v>1739</v>
      </c>
      <c r="AP24" s="13" t="s">
        <v>1797</v>
      </c>
      <c r="AQ24" s="13" t="s">
        <v>2799</v>
      </c>
      <c r="AR24" s="13" t="s">
        <v>3184</v>
      </c>
      <c r="AS24" s="13" t="s">
        <v>3274</v>
      </c>
      <c r="AT24" s="13" t="s">
        <v>3345</v>
      </c>
      <c r="AU24" s="13" t="s">
        <v>1828</v>
      </c>
      <c r="AV24" s="13" t="s">
        <v>2987</v>
      </c>
      <c r="AW24" s="13" t="s">
        <v>2987</v>
      </c>
      <c r="AX24" s="13" t="s">
        <v>3370</v>
      </c>
      <c r="AY24" s="13" t="s">
        <v>3380</v>
      </c>
      <c r="AZ24" s="13" t="s">
        <v>3381</v>
      </c>
      <c r="BA24" s="13" t="s">
        <v>3385</v>
      </c>
      <c r="BB24" s="13" t="s">
        <v>3387</v>
      </c>
      <c r="BC24" s="13" t="s">
        <v>3394</v>
      </c>
      <c r="BD24" s="13" t="s">
        <v>3396</v>
      </c>
      <c r="BE24" s="13" t="s">
        <v>1899</v>
      </c>
      <c r="BF24" s="13" t="s">
        <v>1899</v>
      </c>
      <c r="BG24" s="13" t="s">
        <v>3416</v>
      </c>
      <c r="BH24" s="13" t="s">
        <v>3445</v>
      </c>
      <c r="BI24" s="13" t="s">
        <v>3451</v>
      </c>
      <c r="BJ24" s="13" t="s">
        <v>3455</v>
      </c>
      <c r="BK24" s="13" t="s">
        <v>3462</v>
      </c>
      <c r="BL24" s="13" t="s">
        <v>1922</v>
      </c>
      <c r="BM24" s="13" t="s">
        <v>1921</v>
      </c>
      <c r="BN24" s="13" t="s">
        <v>3476</v>
      </c>
      <c r="BO24" s="13" t="s">
        <v>3477</v>
      </c>
      <c r="BP24" s="13" t="s">
        <v>1959</v>
      </c>
      <c r="BQ24" s="13" t="s">
        <v>3489</v>
      </c>
      <c r="BR24" s="13" t="s">
        <v>3544</v>
      </c>
      <c r="BS24" s="13" t="s">
        <v>1959</v>
      </c>
      <c r="BT24" s="13" t="s">
        <v>1960</v>
      </c>
      <c r="BU24" s="13" t="s">
        <v>3545</v>
      </c>
      <c r="BV24" s="13" t="s">
        <v>1962</v>
      </c>
      <c r="BW24" s="13" t="s">
        <v>3548</v>
      </c>
      <c r="BX24" s="13" t="s">
        <v>3549</v>
      </c>
      <c r="BY24" s="311" t="s">
        <v>3553</v>
      </c>
    </row>
    <row r="25" spans="1:77">
      <c r="A25" s="2">
        <v>20</v>
      </c>
      <c r="B25" s="55">
        <f>INDEX(順位表[Comprehensive],MATCH($C25,順位表['#],0))</f>
        <v>41</v>
      </c>
      <c r="C25" s="3">
        <v>20</v>
      </c>
      <c r="D25" s="1" t="str">
        <f>INDEX(都市マスタ[City Name],MATCH($C25,都市マスタ['#],0))</f>
        <v>Kuala Lumpur</v>
      </c>
      <c r="E25" s="13" t="s">
        <v>2765</v>
      </c>
      <c r="F25" s="13" t="s">
        <v>2800</v>
      </c>
      <c r="G25" s="13" t="s">
        <v>2814</v>
      </c>
      <c r="H25" s="13" t="s">
        <v>2831</v>
      </c>
      <c r="I25" s="13"/>
      <c r="J25" s="13" t="s">
        <v>2877</v>
      </c>
      <c r="K25" s="13" t="s">
        <v>2909</v>
      </c>
      <c r="L25" s="13" t="s">
        <v>2911</v>
      </c>
      <c r="M25" s="13" t="s">
        <v>2917</v>
      </c>
      <c r="N25" s="13" t="s">
        <v>1642</v>
      </c>
      <c r="O25" s="13" t="s">
        <v>2962</v>
      </c>
      <c r="P25" s="13" t="s">
        <v>2987</v>
      </c>
      <c r="Q25" s="13" t="s">
        <v>2996</v>
      </c>
      <c r="R25" s="13" t="s">
        <v>3034</v>
      </c>
      <c r="S25" s="13" t="s">
        <v>3037</v>
      </c>
      <c r="T25" s="13" t="s">
        <v>3048</v>
      </c>
      <c r="U25" s="13" t="s">
        <v>3050</v>
      </c>
      <c r="V25" s="13" t="s">
        <v>1725</v>
      </c>
      <c r="W25" s="13" t="s">
        <v>3061</v>
      </c>
      <c r="X25" s="13" t="s">
        <v>1725</v>
      </c>
      <c r="Y25" s="13" t="s">
        <v>3064</v>
      </c>
      <c r="Z25" s="13" t="s">
        <v>3067</v>
      </c>
      <c r="AA25" s="13" t="s">
        <v>1732</v>
      </c>
      <c r="AB25" s="13" t="s">
        <v>3076</v>
      </c>
      <c r="AC25" s="13" t="s">
        <v>3078</v>
      </c>
      <c r="AD25" s="13" t="s">
        <v>3081</v>
      </c>
      <c r="AE25" s="13" t="s">
        <v>3088</v>
      </c>
      <c r="AF25" s="13" t="s">
        <v>3098</v>
      </c>
      <c r="AG25" s="13" t="s">
        <v>1739</v>
      </c>
      <c r="AH25" s="13" t="s">
        <v>3100</v>
      </c>
      <c r="AI25" s="13" t="s">
        <v>3101</v>
      </c>
      <c r="AJ25" s="13" t="s">
        <v>1790</v>
      </c>
      <c r="AK25" s="13" t="s">
        <v>1791</v>
      </c>
      <c r="AL25" s="13" t="s">
        <v>1793</v>
      </c>
      <c r="AM25" s="13" t="s">
        <v>1795</v>
      </c>
      <c r="AN25" s="13" t="s">
        <v>1795</v>
      </c>
      <c r="AO25" s="13" t="s">
        <v>1739</v>
      </c>
      <c r="AP25" s="13" t="s">
        <v>1797</v>
      </c>
      <c r="AQ25" s="13" t="s">
        <v>3118</v>
      </c>
      <c r="AR25" s="13" t="s">
        <v>3185</v>
      </c>
      <c r="AS25" s="13" t="s">
        <v>3275</v>
      </c>
      <c r="AT25" s="13" t="s">
        <v>3345</v>
      </c>
      <c r="AU25" s="13" t="s">
        <v>1828</v>
      </c>
      <c r="AV25" s="13" t="s">
        <v>2987</v>
      </c>
      <c r="AW25" s="13" t="s">
        <v>2987</v>
      </c>
      <c r="AX25" s="13" t="s">
        <v>3371</v>
      </c>
      <c r="AY25" s="13" t="s">
        <v>3380</v>
      </c>
      <c r="AZ25" s="13" t="s">
        <v>3381</v>
      </c>
      <c r="BA25" s="13" t="s">
        <v>3385</v>
      </c>
      <c r="BB25" s="13" t="s">
        <v>3387</v>
      </c>
      <c r="BC25" s="13" t="s">
        <v>3394</v>
      </c>
      <c r="BD25" s="13" t="s">
        <v>3396</v>
      </c>
      <c r="BE25" s="13" t="s">
        <v>1899</v>
      </c>
      <c r="BF25" s="13" t="s">
        <v>1899</v>
      </c>
      <c r="BG25" s="13" t="s">
        <v>3409</v>
      </c>
      <c r="BH25" s="13" t="s">
        <v>3445</v>
      </c>
      <c r="BI25" s="13" t="s">
        <v>3451</v>
      </c>
      <c r="BJ25" s="13" t="s">
        <v>3455</v>
      </c>
      <c r="BK25" s="13" t="s">
        <v>3462</v>
      </c>
      <c r="BL25" s="13" t="s">
        <v>1922</v>
      </c>
      <c r="BM25" s="13" t="s">
        <v>1921</v>
      </c>
      <c r="BN25" s="13" t="s">
        <v>3476</v>
      </c>
      <c r="BO25" s="13" t="s">
        <v>3477</v>
      </c>
      <c r="BP25" s="13" t="s">
        <v>1959</v>
      </c>
      <c r="BQ25" s="13" t="s">
        <v>3483</v>
      </c>
      <c r="BR25" s="13" t="s">
        <v>3544</v>
      </c>
      <c r="BS25" s="13" t="s">
        <v>1959</v>
      </c>
      <c r="BT25" s="13" t="s">
        <v>1960</v>
      </c>
      <c r="BU25" s="13" t="s">
        <v>3545</v>
      </c>
      <c r="BV25" s="13" t="s">
        <v>1962</v>
      </c>
      <c r="BW25" s="13" t="s">
        <v>3548</v>
      </c>
      <c r="BX25" s="13" t="s">
        <v>3549</v>
      </c>
      <c r="BY25" s="311" t="s">
        <v>3554</v>
      </c>
    </row>
    <row r="26" spans="1:77">
      <c r="A26" s="2">
        <v>21</v>
      </c>
      <c r="B26" s="55">
        <f>INDEX(順位表[Comprehensive],MATCH($C26,順位表['#],0))</f>
        <v>5</v>
      </c>
      <c r="C26" s="3">
        <v>21</v>
      </c>
      <c r="D26" s="1" t="str">
        <f>INDEX(都市マスタ[City Name],MATCH($C26,都市マスタ['#],0))</f>
        <v>Singapore</v>
      </c>
      <c r="E26" s="13" t="s">
        <v>2766</v>
      </c>
      <c r="F26" s="13" t="s">
        <v>2801</v>
      </c>
      <c r="G26" s="13" t="s">
        <v>2813</v>
      </c>
      <c r="H26" s="13" t="s">
        <v>2832</v>
      </c>
      <c r="I26" s="13"/>
      <c r="J26" s="13" t="s">
        <v>1607</v>
      </c>
      <c r="K26" s="13" t="s">
        <v>2909</v>
      </c>
      <c r="L26" s="13" t="s">
        <v>2911</v>
      </c>
      <c r="M26" s="13" t="s">
        <v>2917</v>
      </c>
      <c r="N26" s="13" t="s">
        <v>1643</v>
      </c>
      <c r="O26" s="13" t="s">
        <v>2963</v>
      </c>
      <c r="P26" s="13" t="s">
        <v>2988</v>
      </c>
      <c r="Q26" s="13" t="s">
        <v>2995</v>
      </c>
      <c r="R26" s="13" t="s">
        <v>3034</v>
      </c>
      <c r="S26" s="13" t="s">
        <v>3037</v>
      </c>
      <c r="T26" s="13" t="s">
        <v>3048</v>
      </c>
      <c r="U26" s="13" t="s">
        <v>3050</v>
      </c>
      <c r="V26" s="13" t="s">
        <v>1725</v>
      </c>
      <c r="W26" s="13" t="s">
        <v>3061</v>
      </c>
      <c r="X26" s="13" t="s">
        <v>1725</v>
      </c>
      <c r="Y26" s="13" t="s">
        <v>3064</v>
      </c>
      <c r="Z26" s="13" t="s">
        <v>3067</v>
      </c>
      <c r="AA26" s="13" t="s">
        <v>1732</v>
      </c>
      <c r="AB26" s="13" t="s">
        <v>3076</v>
      </c>
      <c r="AC26" s="13" t="s">
        <v>3078</v>
      </c>
      <c r="AD26" s="13" t="s">
        <v>3081</v>
      </c>
      <c r="AE26" s="13" t="s">
        <v>3086</v>
      </c>
      <c r="AF26" s="13" t="s">
        <v>3098</v>
      </c>
      <c r="AG26" s="13" t="s">
        <v>1739</v>
      </c>
      <c r="AH26" s="13" t="s">
        <v>3100</v>
      </c>
      <c r="AI26" s="13" t="s">
        <v>3101</v>
      </c>
      <c r="AJ26" s="13" t="s">
        <v>1790</v>
      </c>
      <c r="AK26" s="13" t="s">
        <v>1791</v>
      </c>
      <c r="AL26" s="13" t="s">
        <v>1793</v>
      </c>
      <c r="AM26" s="13" t="s">
        <v>1795</v>
      </c>
      <c r="AN26" s="13" t="s">
        <v>1795</v>
      </c>
      <c r="AO26" s="13" t="s">
        <v>1739</v>
      </c>
      <c r="AP26" s="13" t="s">
        <v>1797</v>
      </c>
      <c r="AQ26" s="13" t="s">
        <v>3119</v>
      </c>
      <c r="AR26" s="13" t="s">
        <v>3186</v>
      </c>
      <c r="AS26" s="13" t="s">
        <v>3276</v>
      </c>
      <c r="AT26" s="13" t="s">
        <v>3345</v>
      </c>
      <c r="AU26" s="13" t="s">
        <v>1828</v>
      </c>
      <c r="AV26" s="13" t="s">
        <v>1829</v>
      </c>
      <c r="AW26" s="13" t="s">
        <v>3356</v>
      </c>
      <c r="AX26" s="13" t="s">
        <v>1842</v>
      </c>
      <c r="AY26" s="13" t="s">
        <v>3380</v>
      </c>
      <c r="AZ26" s="13" t="s">
        <v>3381</v>
      </c>
      <c r="BA26" s="13" t="s">
        <v>3385</v>
      </c>
      <c r="BB26" s="13" t="s">
        <v>3387</v>
      </c>
      <c r="BC26" s="13" t="s">
        <v>3394</v>
      </c>
      <c r="BD26" s="13" t="s">
        <v>3396</v>
      </c>
      <c r="BE26" s="13" t="s">
        <v>1899</v>
      </c>
      <c r="BF26" s="13" t="s">
        <v>1899</v>
      </c>
      <c r="BG26" s="13" t="s">
        <v>3417</v>
      </c>
      <c r="BH26" s="13" t="s">
        <v>3445</v>
      </c>
      <c r="BI26" s="13" t="s">
        <v>3451</v>
      </c>
      <c r="BJ26" s="13" t="s">
        <v>3455</v>
      </c>
      <c r="BK26" s="13" t="s">
        <v>3462</v>
      </c>
      <c r="BL26" s="13" t="s">
        <v>1922</v>
      </c>
      <c r="BM26" s="13" t="s">
        <v>1921</v>
      </c>
      <c r="BN26" s="13" t="s">
        <v>3476</v>
      </c>
      <c r="BO26" s="13" t="s">
        <v>3477</v>
      </c>
      <c r="BP26" s="13" t="s">
        <v>1959</v>
      </c>
      <c r="BQ26" s="13" t="s">
        <v>3483</v>
      </c>
      <c r="BR26" s="13" t="s">
        <v>3544</v>
      </c>
      <c r="BS26" s="13" t="s">
        <v>1959</v>
      </c>
      <c r="BT26" s="13" t="s">
        <v>1960</v>
      </c>
      <c r="BU26" s="13" t="s">
        <v>3545</v>
      </c>
      <c r="BV26" s="13" t="s">
        <v>1962</v>
      </c>
      <c r="BW26" s="13" t="s">
        <v>3548</v>
      </c>
      <c r="BX26" s="13" t="s">
        <v>3549</v>
      </c>
      <c r="BY26" s="311" t="s">
        <v>3555</v>
      </c>
    </row>
    <row r="27" spans="1:77">
      <c r="A27" s="2">
        <v>22</v>
      </c>
      <c r="B27" s="55">
        <f>INDEX(順位表[Comprehensive],MATCH($C27,順位表['#],0))</f>
        <v>18</v>
      </c>
      <c r="C27" s="3">
        <v>22</v>
      </c>
      <c r="D27" s="1" t="str">
        <f>INDEX(都市マスタ[City Name],MATCH($C27,都市マスタ['#],0))</f>
        <v>Hong Kong</v>
      </c>
      <c r="E27" s="13" t="s">
        <v>2767</v>
      </c>
      <c r="F27" s="13" t="s">
        <v>2767</v>
      </c>
      <c r="G27" s="13" t="s">
        <v>2813</v>
      </c>
      <c r="H27" s="13" t="s">
        <v>1570</v>
      </c>
      <c r="I27" s="13"/>
      <c r="J27" s="13" t="s">
        <v>1608</v>
      </c>
      <c r="K27" s="13" t="s">
        <v>2910</v>
      </c>
      <c r="L27" s="13" t="s">
        <v>2911</v>
      </c>
      <c r="M27" s="13" t="s">
        <v>2917</v>
      </c>
      <c r="N27" s="13" t="s">
        <v>1644</v>
      </c>
      <c r="O27" s="13" t="s">
        <v>1660</v>
      </c>
      <c r="P27" s="13" t="s">
        <v>2987</v>
      </c>
      <c r="Q27" s="13" t="s">
        <v>2995</v>
      </c>
      <c r="R27" s="13" t="s">
        <v>3034</v>
      </c>
      <c r="S27" s="13" t="s">
        <v>3037</v>
      </c>
      <c r="T27" s="13" t="s">
        <v>3048</v>
      </c>
      <c r="U27" s="13" t="s">
        <v>3050</v>
      </c>
      <c r="V27" s="13" t="s">
        <v>1725</v>
      </c>
      <c r="W27" s="13" t="s">
        <v>3061</v>
      </c>
      <c r="X27" s="13" t="s">
        <v>1725</v>
      </c>
      <c r="Y27" s="13" t="s">
        <v>3064</v>
      </c>
      <c r="Z27" s="13" t="s">
        <v>3067</v>
      </c>
      <c r="AA27" s="13" t="s">
        <v>1732</v>
      </c>
      <c r="AB27" s="13" t="s">
        <v>3076</v>
      </c>
      <c r="AC27" s="13" t="s">
        <v>3078</v>
      </c>
      <c r="AD27" s="13" t="s">
        <v>3081</v>
      </c>
      <c r="AE27" s="13" t="s">
        <v>3086</v>
      </c>
      <c r="AF27" s="13" t="s">
        <v>3098</v>
      </c>
      <c r="AG27" s="13" t="s">
        <v>1739</v>
      </c>
      <c r="AH27" s="13" t="s">
        <v>3100</v>
      </c>
      <c r="AI27" s="13" t="s">
        <v>3101</v>
      </c>
      <c r="AJ27" s="13" t="s">
        <v>1790</v>
      </c>
      <c r="AK27" s="13" t="s">
        <v>1791</v>
      </c>
      <c r="AL27" s="13" t="s">
        <v>1793</v>
      </c>
      <c r="AM27" s="13" t="s">
        <v>1795</v>
      </c>
      <c r="AN27" s="13" t="s">
        <v>1795</v>
      </c>
      <c r="AO27" s="13" t="s">
        <v>1739</v>
      </c>
      <c r="AP27" s="13" t="s">
        <v>1797</v>
      </c>
      <c r="AQ27" s="13" t="s">
        <v>1801</v>
      </c>
      <c r="AR27" s="13" t="s">
        <v>3187</v>
      </c>
      <c r="AS27" s="13" t="s">
        <v>3277</v>
      </c>
      <c r="AT27" s="13" t="s">
        <v>3345</v>
      </c>
      <c r="AU27" s="13" t="s">
        <v>1828</v>
      </c>
      <c r="AV27" s="13" t="s">
        <v>2987</v>
      </c>
      <c r="AW27" s="13" t="s">
        <v>2987</v>
      </c>
      <c r="AX27" s="13" t="s">
        <v>1843</v>
      </c>
      <c r="AY27" s="13" t="s">
        <v>3380</v>
      </c>
      <c r="AZ27" s="13" t="s">
        <v>3382</v>
      </c>
      <c r="BA27" s="13" t="s">
        <v>3385</v>
      </c>
      <c r="BB27" s="13" t="s">
        <v>3388</v>
      </c>
      <c r="BC27" s="13" t="s">
        <v>3395</v>
      </c>
      <c r="BD27" s="13" t="s">
        <v>3396</v>
      </c>
      <c r="BE27" s="13" t="s">
        <v>1899</v>
      </c>
      <c r="BF27" s="13" t="s">
        <v>1899</v>
      </c>
      <c r="BG27" s="13" t="s">
        <v>3409</v>
      </c>
      <c r="BH27" s="13" t="s">
        <v>3445</v>
      </c>
      <c r="BI27" s="13" t="s">
        <v>3451</v>
      </c>
      <c r="BJ27" s="13" t="s">
        <v>3455</v>
      </c>
      <c r="BK27" s="13" t="s">
        <v>3462</v>
      </c>
      <c r="BL27" s="13" t="s">
        <v>1922</v>
      </c>
      <c r="BM27" s="13" t="s">
        <v>1921</v>
      </c>
      <c r="BN27" s="13" t="s">
        <v>3476</v>
      </c>
      <c r="BO27" s="13" t="s">
        <v>3477</v>
      </c>
      <c r="BP27" s="13" t="s">
        <v>1959</v>
      </c>
      <c r="BQ27" s="13" t="s">
        <v>3483</v>
      </c>
      <c r="BR27" s="13" t="s">
        <v>3544</v>
      </c>
      <c r="BS27" s="13" t="s">
        <v>1959</v>
      </c>
      <c r="BT27" s="13" t="s">
        <v>1960</v>
      </c>
      <c r="BU27" s="13" t="s">
        <v>3545</v>
      </c>
      <c r="BV27" s="13" t="s">
        <v>1962</v>
      </c>
      <c r="BW27" s="13" t="s">
        <v>3548</v>
      </c>
      <c r="BX27" s="13" t="s">
        <v>3549</v>
      </c>
      <c r="BY27" s="311" t="s">
        <v>3553</v>
      </c>
    </row>
    <row r="28" spans="1:77">
      <c r="A28" s="2">
        <v>23</v>
      </c>
      <c r="B28" s="55">
        <f>INDEX(順位表[Comprehensive],MATCH($C28,順位表['#],0))</f>
        <v>17</v>
      </c>
      <c r="C28" s="3">
        <v>23</v>
      </c>
      <c r="D28" s="1" t="str">
        <f>INDEX(都市マスタ[City Name],MATCH($C28,都市マスタ['#],0))</f>
        <v>Beijing</v>
      </c>
      <c r="E28" s="13" t="s">
        <v>2768</v>
      </c>
      <c r="F28" s="13" t="s">
        <v>2802</v>
      </c>
      <c r="G28" s="13" t="s">
        <v>2813</v>
      </c>
      <c r="H28" s="13" t="s">
        <v>1571</v>
      </c>
      <c r="I28" s="13" t="s">
        <v>2862</v>
      </c>
      <c r="J28" s="13" t="s">
        <v>2878</v>
      </c>
      <c r="K28" s="13" t="s">
        <v>2909</v>
      </c>
      <c r="L28" s="13"/>
      <c r="M28" s="13" t="s">
        <v>2917</v>
      </c>
      <c r="N28" s="13" t="s">
        <v>2933</v>
      </c>
      <c r="O28" s="13" t="s">
        <v>2964</v>
      </c>
      <c r="P28" s="13" t="s">
        <v>2987</v>
      </c>
      <c r="Q28" s="13" t="s">
        <v>2995</v>
      </c>
      <c r="R28" s="13" t="s">
        <v>3034</v>
      </c>
      <c r="S28" s="13" t="s">
        <v>3037</v>
      </c>
      <c r="T28" s="13" t="s">
        <v>3048</v>
      </c>
      <c r="U28" s="13" t="s">
        <v>3050</v>
      </c>
      <c r="V28" s="13" t="s">
        <v>1725</v>
      </c>
      <c r="W28" s="13" t="s">
        <v>3061</v>
      </c>
      <c r="X28" s="13" t="s">
        <v>1725</v>
      </c>
      <c r="Y28" s="13" t="s">
        <v>3064</v>
      </c>
      <c r="Z28" s="13" t="s">
        <v>3067</v>
      </c>
      <c r="AA28" s="13" t="s">
        <v>1732</v>
      </c>
      <c r="AB28" s="13" t="s">
        <v>3076</v>
      </c>
      <c r="AC28" s="13" t="s">
        <v>3078</v>
      </c>
      <c r="AD28" s="13" t="s">
        <v>3081</v>
      </c>
      <c r="AE28" s="13" t="s">
        <v>3089</v>
      </c>
      <c r="AF28" s="13" t="s">
        <v>3098</v>
      </c>
      <c r="AG28" s="13" t="s">
        <v>1739</v>
      </c>
      <c r="AH28" s="13" t="s">
        <v>3100</v>
      </c>
      <c r="AI28" s="13" t="s">
        <v>3101</v>
      </c>
      <c r="AJ28" s="13" t="s">
        <v>1790</v>
      </c>
      <c r="AK28" s="13" t="s">
        <v>1791</v>
      </c>
      <c r="AL28" s="13" t="s">
        <v>1793</v>
      </c>
      <c r="AM28" s="13" t="s">
        <v>1795</v>
      </c>
      <c r="AN28" s="13" t="s">
        <v>1795</v>
      </c>
      <c r="AO28" s="13" t="s">
        <v>1739</v>
      </c>
      <c r="AP28" s="13" t="s">
        <v>1797</v>
      </c>
      <c r="AQ28" s="13" t="s">
        <v>3120</v>
      </c>
      <c r="AR28" s="13" t="s">
        <v>3188</v>
      </c>
      <c r="AS28" s="13" t="s">
        <v>3278</v>
      </c>
      <c r="AT28" s="13" t="s">
        <v>3345</v>
      </c>
      <c r="AU28" s="13" t="s">
        <v>1828</v>
      </c>
      <c r="AV28" s="13" t="s">
        <v>2987</v>
      </c>
      <c r="AW28" s="13" t="s">
        <v>2987</v>
      </c>
      <c r="AX28" s="13" t="s">
        <v>3372</v>
      </c>
      <c r="AY28" s="13" t="s">
        <v>3380</v>
      </c>
      <c r="AZ28" s="13" t="s">
        <v>3381</v>
      </c>
      <c r="BA28" s="13" t="s">
        <v>3385</v>
      </c>
      <c r="BB28" s="13" t="s">
        <v>3387</v>
      </c>
      <c r="BC28" s="13" t="s">
        <v>3393</v>
      </c>
      <c r="BD28" s="13" t="s">
        <v>3396</v>
      </c>
      <c r="BE28" s="13" t="s">
        <v>1899</v>
      </c>
      <c r="BF28" s="13" t="s">
        <v>1899</v>
      </c>
      <c r="BG28" s="13" t="s">
        <v>3418</v>
      </c>
      <c r="BH28" s="13" t="s">
        <v>3445</v>
      </c>
      <c r="BI28" s="13" t="s">
        <v>3453</v>
      </c>
      <c r="BJ28" s="13" t="s">
        <v>3455</v>
      </c>
      <c r="BK28" s="13" t="s">
        <v>3462</v>
      </c>
      <c r="BL28" s="13" t="s">
        <v>1922</v>
      </c>
      <c r="BM28" s="13" t="s">
        <v>1921</v>
      </c>
      <c r="BN28" s="13" t="s">
        <v>3476</v>
      </c>
      <c r="BO28" s="13" t="s">
        <v>3477</v>
      </c>
      <c r="BP28" s="13" t="s">
        <v>1959</v>
      </c>
      <c r="BQ28" s="13" t="s">
        <v>3482</v>
      </c>
      <c r="BR28" s="13" t="s">
        <v>3544</v>
      </c>
      <c r="BS28" s="13" t="s">
        <v>1959</v>
      </c>
      <c r="BT28" s="13" t="s">
        <v>1960</v>
      </c>
      <c r="BU28" s="13" t="s">
        <v>3545</v>
      </c>
      <c r="BV28" s="13" t="s">
        <v>1962</v>
      </c>
      <c r="BW28" s="13" t="s">
        <v>3548</v>
      </c>
      <c r="BX28" s="13" t="s">
        <v>3549</v>
      </c>
      <c r="BY28" s="311" t="s">
        <v>3553</v>
      </c>
    </row>
    <row r="29" spans="1:77">
      <c r="A29" s="2">
        <v>24</v>
      </c>
      <c r="B29" s="55">
        <f>INDEX(順位表[Comprehensive],MATCH($C29,順位表['#],0))</f>
        <v>15</v>
      </c>
      <c r="C29" s="3">
        <v>24</v>
      </c>
      <c r="D29" s="1" t="str">
        <f>INDEX(都市マスタ[City Name],MATCH($C29,都市マスタ['#],0))</f>
        <v>Shanghai</v>
      </c>
      <c r="E29" s="13" t="s">
        <v>2769</v>
      </c>
      <c r="F29" s="13" t="s">
        <v>2803</v>
      </c>
      <c r="G29" s="13" t="s">
        <v>2813</v>
      </c>
      <c r="H29" s="13" t="s">
        <v>2833</v>
      </c>
      <c r="I29" s="13" t="s">
        <v>2863</v>
      </c>
      <c r="J29" s="13" t="s">
        <v>2864</v>
      </c>
      <c r="K29" s="13" t="s">
        <v>2909</v>
      </c>
      <c r="L29" s="13" t="s">
        <v>2911</v>
      </c>
      <c r="M29" s="13" t="s">
        <v>2917</v>
      </c>
      <c r="N29" s="13" t="s">
        <v>2934</v>
      </c>
      <c r="O29" s="13" t="s">
        <v>2965</v>
      </c>
      <c r="P29" s="13" t="s">
        <v>2987</v>
      </c>
      <c r="Q29" s="13" t="s">
        <v>2995</v>
      </c>
      <c r="R29" s="13" t="s">
        <v>3034</v>
      </c>
      <c r="S29" s="13" t="s">
        <v>3037</v>
      </c>
      <c r="T29" s="13" t="s">
        <v>3048</v>
      </c>
      <c r="U29" s="13" t="s">
        <v>3050</v>
      </c>
      <c r="V29" s="13" t="s">
        <v>1725</v>
      </c>
      <c r="W29" s="13" t="s">
        <v>3061</v>
      </c>
      <c r="X29" s="13" t="s">
        <v>1725</v>
      </c>
      <c r="Y29" s="13" t="s">
        <v>3064</v>
      </c>
      <c r="Z29" s="13" t="s">
        <v>3067</v>
      </c>
      <c r="AA29" s="13" t="s">
        <v>1732</v>
      </c>
      <c r="AB29" s="13" t="s">
        <v>3076</v>
      </c>
      <c r="AC29" s="13" t="s">
        <v>3078</v>
      </c>
      <c r="AD29" s="13" t="s">
        <v>3081</v>
      </c>
      <c r="AE29" s="13" t="s">
        <v>3089</v>
      </c>
      <c r="AF29" s="13" t="s">
        <v>3098</v>
      </c>
      <c r="AG29" s="13" t="s">
        <v>1739</v>
      </c>
      <c r="AH29" s="13" t="s">
        <v>3100</v>
      </c>
      <c r="AI29" s="13" t="s">
        <v>3101</v>
      </c>
      <c r="AJ29" s="13" t="s">
        <v>1790</v>
      </c>
      <c r="AK29" s="13" t="s">
        <v>1791</v>
      </c>
      <c r="AL29" s="13" t="s">
        <v>1793</v>
      </c>
      <c r="AM29" s="13" t="s">
        <v>1795</v>
      </c>
      <c r="AN29" s="13" t="s">
        <v>1795</v>
      </c>
      <c r="AO29" s="13" t="s">
        <v>1739</v>
      </c>
      <c r="AP29" s="13" t="s">
        <v>1797</v>
      </c>
      <c r="AQ29" s="13" t="s">
        <v>3121</v>
      </c>
      <c r="AR29" s="13" t="s">
        <v>3189</v>
      </c>
      <c r="AS29" s="13" t="s">
        <v>3279</v>
      </c>
      <c r="AT29" s="13" t="s">
        <v>3345</v>
      </c>
      <c r="AU29" s="13" t="s">
        <v>1828</v>
      </c>
      <c r="AV29" s="13" t="s">
        <v>2987</v>
      </c>
      <c r="AW29" s="13" t="s">
        <v>2987</v>
      </c>
      <c r="AX29" s="13" t="s">
        <v>1844</v>
      </c>
      <c r="AY29" s="13" t="s">
        <v>3380</v>
      </c>
      <c r="AZ29" s="13" t="s">
        <v>3381</v>
      </c>
      <c r="BA29" s="13" t="s">
        <v>3385</v>
      </c>
      <c r="BB29" s="13" t="s">
        <v>3387</v>
      </c>
      <c r="BC29" s="13" t="s">
        <v>3393</v>
      </c>
      <c r="BD29" s="13" t="s">
        <v>3396</v>
      </c>
      <c r="BE29" s="13" t="s">
        <v>1899</v>
      </c>
      <c r="BF29" s="13" t="s">
        <v>1899</v>
      </c>
      <c r="BG29" s="13" t="s">
        <v>3418</v>
      </c>
      <c r="BH29" s="13" t="s">
        <v>3445</v>
      </c>
      <c r="BI29" s="13" t="s">
        <v>1909</v>
      </c>
      <c r="BJ29" s="13" t="s">
        <v>3455</v>
      </c>
      <c r="BK29" s="13" t="s">
        <v>3462</v>
      </c>
      <c r="BL29" s="13" t="s">
        <v>1922</v>
      </c>
      <c r="BM29" s="13" t="s">
        <v>1921</v>
      </c>
      <c r="BN29" s="13" t="s">
        <v>3476</v>
      </c>
      <c r="BO29" s="13" t="s">
        <v>3477</v>
      </c>
      <c r="BP29" s="13" t="s">
        <v>1959</v>
      </c>
      <c r="BQ29" s="13" t="s">
        <v>3483</v>
      </c>
      <c r="BR29" s="13" t="s">
        <v>3544</v>
      </c>
      <c r="BS29" s="13" t="s">
        <v>1959</v>
      </c>
      <c r="BT29" s="13" t="s">
        <v>1960</v>
      </c>
      <c r="BU29" s="13" t="s">
        <v>3545</v>
      </c>
      <c r="BV29" s="13" t="s">
        <v>1962</v>
      </c>
      <c r="BW29" s="13" t="s">
        <v>3548</v>
      </c>
      <c r="BX29" s="13" t="s">
        <v>3549</v>
      </c>
      <c r="BY29" s="311" t="s">
        <v>3553</v>
      </c>
    </row>
    <row r="30" spans="1:77">
      <c r="A30" s="2">
        <v>25</v>
      </c>
      <c r="B30" s="55">
        <f>INDEX(順位表[Comprehensive],MATCH($C30,順位表['#],0))</f>
        <v>35</v>
      </c>
      <c r="C30" s="3">
        <v>25</v>
      </c>
      <c r="D30" s="1" t="str">
        <f>INDEX(都市マスタ[City Name],MATCH($C30,都市マスタ['#],0))</f>
        <v>Taipei</v>
      </c>
      <c r="E30" s="13" t="s">
        <v>1645</v>
      </c>
      <c r="F30" s="13" t="s">
        <v>1645</v>
      </c>
      <c r="G30" s="13" t="s">
        <v>2815</v>
      </c>
      <c r="H30" s="13" t="s">
        <v>1572</v>
      </c>
      <c r="I30" s="13"/>
      <c r="J30" s="13" t="s">
        <v>1609</v>
      </c>
      <c r="K30" s="13" t="s">
        <v>2909</v>
      </c>
      <c r="L30" s="13" t="s">
        <v>2911</v>
      </c>
      <c r="M30" s="13" t="s">
        <v>2917</v>
      </c>
      <c r="N30" s="13" t="s">
        <v>1645</v>
      </c>
      <c r="O30" s="13" t="s">
        <v>1661</v>
      </c>
      <c r="P30" s="13" t="s">
        <v>2987</v>
      </c>
      <c r="Q30" s="13" t="s">
        <v>2995</v>
      </c>
      <c r="R30" s="13" t="s">
        <v>3034</v>
      </c>
      <c r="S30" s="13" t="s">
        <v>3037</v>
      </c>
      <c r="T30" s="13" t="s">
        <v>3048</v>
      </c>
      <c r="U30" s="13" t="s">
        <v>3051</v>
      </c>
      <c r="V30" s="13" t="s">
        <v>1725</v>
      </c>
      <c r="W30" s="13" t="s">
        <v>3062</v>
      </c>
      <c r="X30" s="13" t="s">
        <v>1725</v>
      </c>
      <c r="Y30" s="13" t="s">
        <v>3064</v>
      </c>
      <c r="Z30" s="13" t="s">
        <v>1730</v>
      </c>
      <c r="AA30" s="13" t="s">
        <v>1732</v>
      </c>
      <c r="AB30" s="13" t="s">
        <v>3076</v>
      </c>
      <c r="AC30" s="13" t="s">
        <v>3078</v>
      </c>
      <c r="AD30" s="13" t="s">
        <v>3081</v>
      </c>
      <c r="AE30" s="13" t="s">
        <v>3090</v>
      </c>
      <c r="AF30" s="13" t="s">
        <v>3098</v>
      </c>
      <c r="AG30" s="13" t="s">
        <v>1739</v>
      </c>
      <c r="AH30" s="13" t="s">
        <v>3100</v>
      </c>
      <c r="AI30" s="13" t="s">
        <v>3101</v>
      </c>
      <c r="AJ30" s="13" t="s">
        <v>1790</v>
      </c>
      <c r="AK30" s="13" t="s">
        <v>1791</v>
      </c>
      <c r="AL30" s="13" t="s">
        <v>1793</v>
      </c>
      <c r="AM30" s="13" t="s">
        <v>1795</v>
      </c>
      <c r="AN30" s="13" t="s">
        <v>1795</v>
      </c>
      <c r="AO30" s="13" t="s">
        <v>1739</v>
      </c>
      <c r="AP30" s="13" t="s">
        <v>1797</v>
      </c>
      <c r="AQ30" s="13" t="s">
        <v>1802</v>
      </c>
      <c r="AR30" s="13" t="s">
        <v>3190</v>
      </c>
      <c r="AS30" s="13" t="s">
        <v>1645</v>
      </c>
      <c r="AT30" s="13" t="s">
        <v>3345</v>
      </c>
      <c r="AU30" s="13" t="s">
        <v>1828</v>
      </c>
      <c r="AV30" s="13" t="s">
        <v>2987</v>
      </c>
      <c r="AW30" s="13" t="s">
        <v>2987</v>
      </c>
      <c r="AX30" s="13" t="s">
        <v>1802</v>
      </c>
      <c r="AY30" s="13" t="s">
        <v>3380</v>
      </c>
      <c r="AZ30" s="13" t="s">
        <v>3383</v>
      </c>
      <c r="BA30" s="13" t="s">
        <v>3385</v>
      </c>
      <c r="BB30" s="13" t="s">
        <v>3389</v>
      </c>
      <c r="BC30" s="13" t="s">
        <v>1894</v>
      </c>
      <c r="BD30" s="13" t="s">
        <v>3397</v>
      </c>
      <c r="BE30" s="13" t="s">
        <v>1899</v>
      </c>
      <c r="BF30" s="13" t="s">
        <v>1899</v>
      </c>
      <c r="BG30" s="13" t="s">
        <v>3419</v>
      </c>
      <c r="BH30" s="13" t="s">
        <v>3445</v>
      </c>
      <c r="BI30" s="13" t="s">
        <v>1910</v>
      </c>
      <c r="BJ30" s="13" t="s">
        <v>3455</v>
      </c>
      <c r="BK30" s="13" t="s">
        <v>3462</v>
      </c>
      <c r="BL30" s="13" t="s">
        <v>1922</v>
      </c>
      <c r="BM30" s="13" t="s">
        <v>1921</v>
      </c>
      <c r="BN30" s="13" t="s">
        <v>3476</v>
      </c>
      <c r="BO30" s="13" t="s">
        <v>3477</v>
      </c>
      <c r="BP30" s="13" t="s">
        <v>1959</v>
      </c>
      <c r="BQ30" s="13" t="s">
        <v>3483</v>
      </c>
      <c r="BR30" s="13" t="s">
        <v>3544</v>
      </c>
      <c r="BS30" s="13" t="s">
        <v>1959</v>
      </c>
      <c r="BT30" s="13" t="s">
        <v>1960</v>
      </c>
      <c r="BU30" s="13" t="s">
        <v>3545</v>
      </c>
      <c r="BV30" s="13" t="s">
        <v>1962</v>
      </c>
      <c r="BW30" s="13" t="s">
        <v>3548</v>
      </c>
      <c r="BX30" s="13" t="s">
        <v>3549</v>
      </c>
      <c r="BY30" s="311" t="s">
        <v>3554</v>
      </c>
    </row>
    <row r="31" spans="1:77">
      <c r="A31" s="2">
        <v>26</v>
      </c>
      <c r="B31" s="55">
        <f>INDEX(順位表[Comprehensive],MATCH($C31,順位表['#],0))</f>
        <v>7</v>
      </c>
      <c r="C31" s="3">
        <v>26</v>
      </c>
      <c r="D31" s="1" t="str">
        <f>INDEX(都市マスタ[City Name],MATCH($C31,都市マスタ['#],0))</f>
        <v>Seoul</v>
      </c>
      <c r="E31" s="13" t="s">
        <v>2770</v>
      </c>
      <c r="F31" s="13" t="s">
        <v>2770</v>
      </c>
      <c r="G31" s="13" t="s">
        <v>2813</v>
      </c>
      <c r="H31" s="13" t="s">
        <v>2834</v>
      </c>
      <c r="I31" s="13"/>
      <c r="J31" s="13" t="s">
        <v>2820</v>
      </c>
      <c r="K31" s="13" t="s">
        <v>2909</v>
      </c>
      <c r="L31" s="13" t="s">
        <v>2911</v>
      </c>
      <c r="M31" s="13" t="s">
        <v>2917</v>
      </c>
      <c r="N31" s="13" t="s">
        <v>2935</v>
      </c>
      <c r="O31" s="13" t="s">
        <v>2966</v>
      </c>
      <c r="P31" s="13" t="s">
        <v>2987</v>
      </c>
      <c r="Q31" s="13" t="s">
        <v>2995</v>
      </c>
      <c r="R31" s="13" t="s">
        <v>3034</v>
      </c>
      <c r="S31" s="13" t="s">
        <v>3041</v>
      </c>
      <c r="T31" s="13" t="s">
        <v>3048</v>
      </c>
      <c r="U31" s="13" t="s">
        <v>3050</v>
      </c>
      <c r="V31" s="13" t="s">
        <v>1725</v>
      </c>
      <c r="W31" s="13" t="s">
        <v>3061</v>
      </c>
      <c r="X31" s="13" t="s">
        <v>1725</v>
      </c>
      <c r="Y31" s="13" t="s">
        <v>3064</v>
      </c>
      <c r="Z31" s="13" t="s">
        <v>3067</v>
      </c>
      <c r="AA31" s="13" t="s">
        <v>1732</v>
      </c>
      <c r="AB31" s="13" t="s">
        <v>3076</v>
      </c>
      <c r="AC31" s="13" t="s">
        <v>3078</v>
      </c>
      <c r="AD31" s="13" t="s">
        <v>3081</v>
      </c>
      <c r="AE31" s="13" t="s">
        <v>3086</v>
      </c>
      <c r="AF31" s="13" t="s">
        <v>3098</v>
      </c>
      <c r="AG31" s="13" t="s">
        <v>1739</v>
      </c>
      <c r="AH31" s="13" t="s">
        <v>3100</v>
      </c>
      <c r="AI31" s="13" t="s">
        <v>3101</v>
      </c>
      <c r="AJ31" s="13" t="s">
        <v>1790</v>
      </c>
      <c r="AK31" s="13" t="s">
        <v>1791</v>
      </c>
      <c r="AL31" s="13" t="s">
        <v>1793</v>
      </c>
      <c r="AM31" s="13" t="s">
        <v>1795</v>
      </c>
      <c r="AN31" s="13" t="s">
        <v>1795</v>
      </c>
      <c r="AO31" s="13" t="s">
        <v>1739</v>
      </c>
      <c r="AP31" s="13" t="s">
        <v>1797</v>
      </c>
      <c r="AQ31" s="13" t="s">
        <v>3122</v>
      </c>
      <c r="AR31" s="13" t="s">
        <v>3191</v>
      </c>
      <c r="AS31" s="13" t="s">
        <v>3280</v>
      </c>
      <c r="AT31" s="13" t="s">
        <v>3345</v>
      </c>
      <c r="AU31" s="13" t="s">
        <v>1828</v>
      </c>
      <c r="AV31" s="13" t="s">
        <v>2987</v>
      </c>
      <c r="AW31" s="13" t="s">
        <v>2987</v>
      </c>
      <c r="AX31" s="13" t="s">
        <v>1845</v>
      </c>
      <c r="AY31" s="13" t="s">
        <v>3380</v>
      </c>
      <c r="AZ31" s="13" t="s">
        <v>3381</v>
      </c>
      <c r="BA31" s="13" t="s">
        <v>3385</v>
      </c>
      <c r="BB31" s="13" t="s">
        <v>3387</v>
      </c>
      <c r="BC31" s="13" t="s">
        <v>3393</v>
      </c>
      <c r="BD31" s="13" t="s">
        <v>3396</v>
      </c>
      <c r="BE31" s="13" t="s">
        <v>1899</v>
      </c>
      <c r="BF31" s="13" t="s">
        <v>1899</v>
      </c>
      <c r="BG31" s="13" t="s">
        <v>3420</v>
      </c>
      <c r="BH31" s="13" t="s">
        <v>3445</v>
      </c>
      <c r="BI31" s="13" t="s">
        <v>3449</v>
      </c>
      <c r="BJ31" s="13" t="s">
        <v>3457</v>
      </c>
      <c r="BK31" s="13" t="s">
        <v>3462</v>
      </c>
      <c r="BL31" s="13" t="s">
        <v>1922</v>
      </c>
      <c r="BM31" s="13" t="s">
        <v>1921</v>
      </c>
      <c r="BN31" s="13" t="s">
        <v>3476</v>
      </c>
      <c r="BO31" s="13" t="s">
        <v>3477</v>
      </c>
      <c r="BP31" s="13" t="s">
        <v>1959</v>
      </c>
      <c r="BQ31" s="13" t="s">
        <v>3483</v>
      </c>
      <c r="BR31" s="13" t="s">
        <v>3544</v>
      </c>
      <c r="BS31" s="13" t="s">
        <v>1959</v>
      </c>
      <c r="BT31" s="13" t="s">
        <v>1960</v>
      </c>
      <c r="BU31" s="13" t="s">
        <v>3545</v>
      </c>
      <c r="BV31" s="13" t="s">
        <v>1962</v>
      </c>
      <c r="BW31" s="13" t="s">
        <v>3548</v>
      </c>
      <c r="BX31" s="13" t="s">
        <v>3550</v>
      </c>
      <c r="BY31" s="311" t="s">
        <v>3553</v>
      </c>
    </row>
    <row r="32" spans="1:77">
      <c r="A32" s="2">
        <v>27</v>
      </c>
      <c r="B32" s="55">
        <f>INDEX(順位表[Comprehensive],MATCH($C32,順位表['#],0))</f>
        <v>42</v>
      </c>
      <c r="C32" s="3">
        <v>27</v>
      </c>
      <c r="D32" s="1" t="str">
        <f>INDEX(都市マスタ[City Name],MATCH($C32,都市マスタ['#],0))</f>
        <v>Fukuoka</v>
      </c>
      <c r="E32" s="13" t="s">
        <v>2771</v>
      </c>
      <c r="F32" s="13" t="s">
        <v>2771</v>
      </c>
      <c r="G32" s="13" t="s">
        <v>2813</v>
      </c>
      <c r="H32" s="13" t="s">
        <v>2835</v>
      </c>
      <c r="I32" s="13"/>
      <c r="J32" s="13" t="s">
        <v>2879</v>
      </c>
      <c r="K32" s="13" t="s">
        <v>2909</v>
      </c>
      <c r="L32" s="13" t="s">
        <v>2916</v>
      </c>
      <c r="M32" s="13" t="s">
        <v>2917</v>
      </c>
      <c r="N32" s="13" t="s">
        <v>1646</v>
      </c>
      <c r="O32" s="13" t="s">
        <v>1662</v>
      </c>
      <c r="P32" s="13" t="s">
        <v>1677</v>
      </c>
      <c r="Q32" s="13" t="s">
        <v>2996</v>
      </c>
      <c r="R32" s="13" t="s">
        <v>3034</v>
      </c>
      <c r="S32" s="13" t="s">
        <v>3042</v>
      </c>
      <c r="T32" s="13" t="s">
        <v>3048</v>
      </c>
      <c r="U32" s="13" t="s">
        <v>3050</v>
      </c>
      <c r="V32" s="13" t="s">
        <v>1725</v>
      </c>
      <c r="W32" s="13" t="s">
        <v>3061</v>
      </c>
      <c r="X32" s="13" t="s">
        <v>1725</v>
      </c>
      <c r="Y32" s="13" t="s">
        <v>3064</v>
      </c>
      <c r="Z32" s="13" t="s">
        <v>3067</v>
      </c>
      <c r="AA32" s="13" t="s">
        <v>1732</v>
      </c>
      <c r="AB32" s="13" t="s">
        <v>3076</v>
      </c>
      <c r="AC32" s="13" t="s">
        <v>3078</v>
      </c>
      <c r="AD32" s="13" t="s">
        <v>3081</v>
      </c>
      <c r="AE32" s="13" t="s">
        <v>3086</v>
      </c>
      <c r="AF32" s="13" t="s">
        <v>3098</v>
      </c>
      <c r="AG32" s="13" t="s">
        <v>1739</v>
      </c>
      <c r="AH32" s="13" t="s">
        <v>3100</v>
      </c>
      <c r="AI32" s="13" t="s">
        <v>3101</v>
      </c>
      <c r="AJ32" s="13" t="s">
        <v>1790</v>
      </c>
      <c r="AK32" s="13" t="s">
        <v>1791</v>
      </c>
      <c r="AL32" s="13" t="s">
        <v>1793</v>
      </c>
      <c r="AM32" s="13" t="s">
        <v>1795</v>
      </c>
      <c r="AN32" s="13" t="s">
        <v>1795</v>
      </c>
      <c r="AO32" s="13" t="s">
        <v>1739</v>
      </c>
      <c r="AP32" s="13" t="s">
        <v>1797</v>
      </c>
      <c r="AQ32" s="13" t="s">
        <v>3123</v>
      </c>
      <c r="AR32" s="13" t="s">
        <v>3192</v>
      </c>
      <c r="AS32" s="13" t="s">
        <v>3281</v>
      </c>
      <c r="AT32" s="13" t="s">
        <v>3345</v>
      </c>
      <c r="AU32" s="13" t="s">
        <v>1828</v>
      </c>
      <c r="AV32" s="13" t="s">
        <v>3347</v>
      </c>
      <c r="AW32" s="13" t="s">
        <v>1835</v>
      </c>
      <c r="AX32" s="13" t="s">
        <v>1846</v>
      </c>
      <c r="AY32" s="13" t="s">
        <v>3380</v>
      </c>
      <c r="AZ32" s="13" t="s">
        <v>3381</v>
      </c>
      <c r="BA32" s="13" t="s">
        <v>3385</v>
      </c>
      <c r="BB32" s="13" t="s">
        <v>3387</v>
      </c>
      <c r="BC32" s="13" t="s">
        <v>3393</v>
      </c>
      <c r="BD32" s="13" t="s">
        <v>3396</v>
      </c>
      <c r="BE32" s="13" t="s">
        <v>1899</v>
      </c>
      <c r="BF32" s="13" t="s">
        <v>1899</v>
      </c>
      <c r="BG32" s="13" t="s">
        <v>3421</v>
      </c>
      <c r="BH32" s="13" t="s">
        <v>3445</v>
      </c>
      <c r="BI32" s="13" t="s">
        <v>3449</v>
      </c>
      <c r="BJ32" s="13" t="s">
        <v>3455</v>
      </c>
      <c r="BK32" s="13" t="s">
        <v>3462</v>
      </c>
      <c r="BL32" s="13" t="s">
        <v>1922</v>
      </c>
      <c r="BM32" s="13" t="s">
        <v>1921</v>
      </c>
      <c r="BN32" s="13" t="s">
        <v>3476</v>
      </c>
      <c r="BO32" s="13" t="s">
        <v>3477</v>
      </c>
      <c r="BP32" s="13" t="s">
        <v>1959</v>
      </c>
      <c r="BQ32" s="13" t="s">
        <v>3490</v>
      </c>
      <c r="BR32" s="13" t="s">
        <v>3544</v>
      </c>
      <c r="BS32" s="13" t="s">
        <v>1959</v>
      </c>
      <c r="BT32" s="13" t="s">
        <v>1960</v>
      </c>
      <c r="BU32" s="13" t="s">
        <v>3546</v>
      </c>
      <c r="BV32" s="13" t="s">
        <v>1962</v>
      </c>
      <c r="BW32" s="13" t="s">
        <v>2012</v>
      </c>
      <c r="BX32" s="13" t="s">
        <v>2016</v>
      </c>
      <c r="BY32" s="311" t="s">
        <v>3556</v>
      </c>
    </row>
    <row r="33" spans="1:77">
      <c r="A33" s="2">
        <v>28</v>
      </c>
      <c r="B33" s="55">
        <f>INDEX(順位表[Comprehensive],MATCH($C33,順位表['#],0))</f>
        <v>37</v>
      </c>
      <c r="C33" s="3">
        <v>28</v>
      </c>
      <c r="D33" s="1" t="str">
        <f>INDEX(都市マスタ[City Name],MATCH($C33,都市マスタ['#],0))</f>
        <v>Osaka</v>
      </c>
      <c r="E33" s="13" t="s">
        <v>2772</v>
      </c>
      <c r="F33" s="13" t="s">
        <v>2772</v>
      </c>
      <c r="G33" s="13" t="s">
        <v>2813</v>
      </c>
      <c r="H33" s="13" t="s">
        <v>2836</v>
      </c>
      <c r="I33" s="13"/>
      <c r="J33" s="13" t="s">
        <v>2880</v>
      </c>
      <c r="K33" s="13" t="s">
        <v>2909</v>
      </c>
      <c r="L33" s="13"/>
      <c r="M33" s="13" t="s">
        <v>2917</v>
      </c>
      <c r="N33" s="13" t="s">
        <v>1646</v>
      </c>
      <c r="O33" s="13" t="s">
        <v>1662</v>
      </c>
      <c r="P33" s="13" t="s">
        <v>1677</v>
      </c>
      <c r="Q33" s="13" t="s">
        <v>2996</v>
      </c>
      <c r="R33" s="13" t="s">
        <v>3034</v>
      </c>
      <c r="S33" s="13" t="s">
        <v>3042</v>
      </c>
      <c r="T33" s="13" t="s">
        <v>3048</v>
      </c>
      <c r="U33" s="13" t="s">
        <v>3050</v>
      </c>
      <c r="V33" s="13" t="s">
        <v>1725</v>
      </c>
      <c r="W33" s="13" t="s">
        <v>3061</v>
      </c>
      <c r="X33" s="13" t="s">
        <v>1725</v>
      </c>
      <c r="Y33" s="13" t="s">
        <v>3064</v>
      </c>
      <c r="Z33" s="13" t="s">
        <v>3067</v>
      </c>
      <c r="AA33" s="13" t="s">
        <v>1732</v>
      </c>
      <c r="AB33" s="13" t="s">
        <v>3076</v>
      </c>
      <c r="AC33" s="13" t="s">
        <v>3078</v>
      </c>
      <c r="AD33" s="13" t="s">
        <v>3081</v>
      </c>
      <c r="AE33" s="13" t="s">
        <v>3086</v>
      </c>
      <c r="AF33" s="13" t="s">
        <v>3098</v>
      </c>
      <c r="AG33" s="13" t="s">
        <v>1739</v>
      </c>
      <c r="AH33" s="13" t="s">
        <v>3100</v>
      </c>
      <c r="AI33" s="13" t="s">
        <v>3101</v>
      </c>
      <c r="AJ33" s="13" t="s">
        <v>1790</v>
      </c>
      <c r="AK33" s="13" t="s">
        <v>1791</v>
      </c>
      <c r="AL33" s="13" t="s">
        <v>1793</v>
      </c>
      <c r="AM33" s="13" t="s">
        <v>1795</v>
      </c>
      <c r="AN33" s="13" t="s">
        <v>1795</v>
      </c>
      <c r="AO33" s="13" t="s">
        <v>1739</v>
      </c>
      <c r="AP33" s="13" t="s">
        <v>1797</v>
      </c>
      <c r="AQ33" s="13" t="s">
        <v>3124</v>
      </c>
      <c r="AR33" s="13" t="s">
        <v>3193</v>
      </c>
      <c r="AS33" s="13" t="s">
        <v>3281</v>
      </c>
      <c r="AT33" s="13" t="s">
        <v>3345</v>
      </c>
      <c r="AU33" s="13" t="s">
        <v>1828</v>
      </c>
      <c r="AV33" s="13" t="s">
        <v>3347</v>
      </c>
      <c r="AW33" s="13" t="s">
        <v>1835</v>
      </c>
      <c r="AX33" s="13" t="s">
        <v>1847</v>
      </c>
      <c r="AY33" s="13" t="s">
        <v>3380</v>
      </c>
      <c r="AZ33" s="13" t="s">
        <v>3381</v>
      </c>
      <c r="BA33" s="13" t="s">
        <v>3385</v>
      </c>
      <c r="BB33" s="13" t="s">
        <v>3387</v>
      </c>
      <c r="BC33" s="13" t="s">
        <v>3393</v>
      </c>
      <c r="BD33" s="13" t="s">
        <v>3396</v>
      </c>
      <c r="BE33" s="13" t="s">
        <v>1899</v>
      </c>
      <c r="BF33" s="13" t="s">
        <v>1899</v>
      </c>
      <c r="BG33" s="13" t="s">
        <v>3422</v>
      </c>
      <c r="BH33" s="13" t="s">
        <v>3445</v>
      </c>
      <c r="BI33" s="13" t="s">
        <v>3449</v>
      </c>
      <c r="BJ33" s="13" t="s">
        <v>3455</v>
      </c>
      <c r="BK33" s="13" t="s">
        <v>3462</v>
      </c>
      <c r="BL33" s="13" t="s">
        <v>1922</v>
      </c>
      <c r="BM33" s="13" t="s">
        <v>1921</v>
      </c>
      <c r="BN33" s="13" t="s">
        <v>3476</v>
      </c>
      <c r="BO33" s="13" t="s">
        <v>3477</v>
      </c>
      <c r="BP33" s="13" t="s">
        <v>1959</v>
      </c>
      <c r="BQ33" s="13" t="s">
        <v>3490</v>
      </c>
      <c r="BR33" s="13" t="s">
        <v>3544</v>
      </c>
      <c r="BS33" s="13" t="s">
        <v>1959</v>
      </c>
      <c r="BT33" s="13" t="s">
        <v>1960</v>
      </c>
      <c r="BU33" s="13" t="s">
        <v>3546</v>
      </c>
      <c r="BV33" s="13" t="s">
        <v>1962</v>
      </c>
      <c r="BW33" s="13" t="s">
        <v>2012</v>
      </c>
      <c r="BX33" s="13" t="s">
        <v>3549</v>
      </c>
      <c r="BY33" s="311" t="s">
        <v>3557</v>
      </c>
    </row>
    <row r="34" spans="1:77">
      <c r="A34" s="2">
        <v>29</v>
      </c>
      <c r="B34" s="55">
        <f>INDEX(順位表[Comprehensive],MATCH($C34,順位表['#],0))</f>
        <v>3</v>
      </c>
      <c r="C34" s="3">
        <v>29</v>
      </c>
      <c r="D34" s="1" t="str">
        <f>INDEX(都市マスタ[City Name],MATCH($C34,都市マスタ['#],0))</f>
        <v>Tokyo</v>
      </c>
      <c r="E34" s="13" t="s">
        <v>2773</v>
      </c>
      <c r="F34" s="13" t="s">
        <v>2773</v>
      </c>
      <c r="G34" s="13" t="s">
        <v>2813</v>
      </c>
      <c r="H34" s="13" t="s">
        <v>2837</v>
      </c>
      <c r="I34" s="13"/>
      <c r="J34" s="13" t="s">
        <v>2881</v>
      </c>
      <c r="K34" s="13" t="s">
        <v>2909</v>
      </c>
      <c r="L34" s="13" t="s">
        <v>2911</v>
      </c>
      <c r="M34" s="13" t="s">
        <v>2917</v>
      </c>
      <c r="N34" s="13" t="s">
        <v>1646</v>
      </c>
      <c r="O34" s="13" t="s">
        <v>1662</v>
      </c>
      <c r="P34" s="13" t="s">
        <v>2987</v>
      </c>
      <c r="Q34" s="13" t="s">
        <v>2995</v>
      </c>
      <c r="R34" s="13" t="s">
        <v>3034</v>
      </c>
      <c r="S34" s="13" t="s">
        <v>3042</v>
      </c>
      <c r="T34" s="13" t="s">
        <v>3048</v>
      </c>
      <c r="U34" s="13" t="s">
        <v>3050</v>
      </c>
      <c r="V34" s="13" t="s">
        <v>1725</v>
      </c>
      <c r="W34" s="13" t="s">
        <v>3061</v>
      </c>
      <c r="X34" s="13" t="s">
        <v>1725</v>
      </c>
      <c r="Y34" s="13" t="s">
        <v>3064</v>
      </c>
      <c r="Z34" s="13" t="s">
        <v>3067</v>
      </c>
      <c r="AA34" s="13" t="s">
        <v>1732</v>
      </c>
      <c r="AB34" s="13" t="s">
        <v>3076</v>
      </c>
      <c r="AC34" s="13" t="s">
        <v>3078</v>
      </c>
      <c r="AD34" s="13" t="s">
        <v>3081</v>
      </c>
      <c r="AE34" s="13" t="s">
        <v>3086</v>
      </c>
      <c r="AF34" s="13" t="s">
        <v>3098</v>
      </c>
      <c r="AG34" s="13" t="s">
        <v>1739</v>
      </c>
      <c r="AH34" s="13" t="s">
        <v>3100</v>
      </c>
      <c r="AI34" s="13" t="s">
        <v>3101</v>
      </c>
      <c r="AJ34" s="13" t="s">
        <v>1790</v>
      </c>
      <c r="AK34" s="13" t="s">
        <v>1791</v>
      </c>
      <c r="AL34" s="13" t="s">
        <v>1793</v>
      </c>
      <c r="AM34" s="13" t="s">
        <v>1795</v>
      </c>
      <c r="AN34" s="13" t="s">
        <v>1795</v>
      </c>
      <c r="AO34" s="13" t="s">
        <v>1739</v>
      </c>
      <c r="AP34" s="13" t="s">
        <v>1797</v>
      </c>
      <c r="AQ34" s="13" t="s">
        <v>3125</v>
      </c>
      <c r="AR34" s="13" t="s">
        <v>3194</v>
      </c>
      <c r="AS34" s="13" t="s">
        <v>3282</v>
      </c>
      <c r="AT34" s="13" t="s">
        <v>3345</v>
      </c>
      <c r="AU34" s="13" t="s">
        <v>1828</v>
      </c>
      <c r="AV34" s="13" t="s">
        <v>2987</v>
      </c>
      <c r="AW34" s="13" t="s">
        <v>2987</v>
      </c>
      <c r="AX34" s="13" t="s">
        <v>3373</v>
      </c>
      <c r="AY34" s="13" t="s">
        <v>3380</v>
      </c>
      <c r="AZ34" s="13" t="s">
        <v>3381</v>
      </c>
      <c r="BA34" s="13" t="s">
        <v>3385</v>
      </c>
      <c r="BB34" s="13" t="s">
        <v>3387</v>
      </c>
      <c r="BC34" s="13" t="s">
        <v>3393</v>
      </c>
      <c r="BD34" s="13" t="s">
        <v>3396</v>
      </c>
      <c r="BE34" s="13" t="s">
        <v>1899</v>
      </c>
      <c r="BF34" s="13" t="s">
        <v>1899</v>
      </c>
      <c r="BG34" s="13" t="s">
        <v>3409</v>
      </c>
      <c r="BH34" s="13" t="s">
        <v>3445</v>
      </c>
      <c r="BI34" s="13" t="s">
        <v>1911</v>
      </c>
      <c r="BJ34" s="13" t="s">
        <v>3458</v>
      </c>
      <c r="BK34" s="13" t="s">
        <v>3462</v>
      </c>
      <c r="BL34" s="13" t="s">
        <v>1922</v>
      </c>
      <c r="BM34" s="13" t="s">
        <v>1921</v>
      </c>
      <c r="BN34" s="13" t="s">
        <v>3476</v>
      </c>
      <c r="BO34" s="13" t="s">
        <v>3477</v>
      </c>
      <c r="BP34" s="13" t="s">
        <v>1959</v>
      </c>
      <c r="BQ34" s="13" t="s">
        <v>3490</v>
      </c>
      <c r="BR34" s="13" t="s">
        <v>3544</v>
      </c>
      <c r="BS34" s="13" t="s">
        <v>1959</v>
      </c>
      <c r="BT34" s="13" t="s">
        <v>1960</v>
      </c>
      <c r="BU34" s="13" t="s">
        <v>3545</v>
      </c>
      <c r="BV34" s="13" t="s">
        <v>1962</v>
      </c>
      <c r="BW34" s="13" t="s">
        <v>3548</v>
      </c>
      <c r="BX34" s="13" t="s">
        <v>3549</v>
      </c>
      <c r="BY34" s="311" t="s">
        <v>3553</v>
      </c>
    </row>
    <row r="35" spans="1:77">
      <c r="A35" s="2">
        <v>30</v>
      </c>
      <c r="B35" s="55">
        <f>INDEX(順位表[Comprehensive],MATCH($C35,順位表['#],0))</f>
        <v>12</v>
      </c>
      <c r="C35" s="3">
        <v>30</v>
      </c>
      <c r="D35" s="1" t="str">
        <f>INDEX(都市マスタ[City Name],MATCH($C35,都市マスタ['#],0))</f>
        <v>Sydney</v>
      </c>
      <c r="E35" s="13" t="s">
        <v>2774</v>
      </c>
      <c r="F35" s="13" t="s">
        <v>2774</v>
      </c>
      <c r="G35" s="13" t="s">
        <v>2813</v>
      </c>
      <c r="H35" s="13" t="s">
        <v>2838</v>
      </c>
      <c r="I35" s="13"/>
      <c r="J35" s="13" t="s">
        <v>2820</v>
      </c>
      <c r="K35" s="13" t="s">
        <v>2909</v>
      </c>
      <c r="L35" s="13" t="s">
        <v>2911</v>
      </c>
      <c r="M35" s="13" t="s">
        <v>2917</v>
      </c>
      <c r="N35" s="13" t="s">
        <v>1647</v>
      </c>
      <c r="O35" s="13" t="s">
        <v>2967</v>
      </c>
      <c r="P35" s="13" t="s">
        <v>2987</v>
      </c>
      <c r="Q35" s="13" t="s">
        <v>2995</v>
      </c>
      <c r="R35" s="13" t="s">
        <v>3034</v>
      </c>
      <c r="S35" s="13" t="s">
        <v>3037</v>
      </c>
      <c r="T35" s="13" t="s">
        <v>3048</v>
      </c>
      <c r="U35" s="13" t="s">
        <v>3052</v>
      </c>
      <c r="V35" s="13" t="s">
        <v>1725</v>
      </c>
      <c r="W35" s="13" t="s">
        <v>3061</v>
      </c>
      <c r="X35" s="13" t="s">
        <v>1725</v>
      </c>
      <c r="Y35" s="13" t="s">
        <v>3064</v>
      </c>
      <c r="Z35" s="13" t="s">
        <v>3067</v>
      </c>
      <c r="AA35" s="13" t="s">
        <v>1732</v>
      </c>
      <c r="AB35" s="13" t="s">
        <v>3076</v>
      </c>
      <c r="AC35" s="13" t="s">
        <v>3078</v>
      </c>
      <c r="AD35" s="13" t="s">
        <v>3081</v>
      </c>
      <c r="AE35" s="13" t="s">
        <v>3086</v>
      </c>
      <c r="AF35" s="13" t="s">
        <v>3098</v>
      </c>
      <c r="AG35" s="13" t="s">
        <v>1739</v>
      </c>
      <c r="AH35" s="13" t="s">
        <v>3100</v>
      </c>
      <c r="AI35" s="13" t="s">
        <v>3101</v>
      </c>
      <c r="AJ35" s="13" t="s">
        <v>1790</v>
      </c>
      <c r="AK35" s="13" t="s">
        <v>1791</v>
      </c>
      <c r="AL35" s="13" t="s">
        <v>1793</v>
      </c>
      <c r="AM35" s="13" t="s">
        <v>1795</v>
      </c>
      <c r="AN35" s="13" t="s">
        <v>1795</v>
      </c>
      <c r="AO35" s="13" t="s">
        <v>1739</v>
      </c>
      <c r="AP35" s="13" t="s">
        <v>1797</v>
      </c>
      <c r="AQ35" s="13" t="s">
        <v>2990</v>
      </c>
      <c r="AR35" s="13" t="s">
        <v>3195</v>
      </c>
      <c r="AS35" s="13" t="s">
        <v>3283</v>
      </c>
      <c r="AT35" s="13" t="s">
        <v>3345</v>
      </c>
      <c r="AU35" s="13" t="s">
        <v>1828</v>
      </c>
      <c r="AV35" s="13" t="s">
        <v>2987</v>
      </c>
      <c r="AW35" s="13" t="s">
        <v>2987</v>
      </c>
      <c r="AX35" s="13" t="s">
        <v>3374</v>
      </c>
      <c r="AY35" s="13" t="s">
        <v>3380</v>
      </c>
      <c r="AZ35" s="13" t="s">
        <v>3381</v>
      </c>
      <c r="BA35" s="13" t="s">
        <v>3385</v>
      </c>
      <c r="BB35" s="13" t="s">
        <v>3387</v>
      </c>
      <c r="BC35" s="13" t="s">
        <v>3393</v>
      </c>
      <c r="BD35" s="13" t="s">
        <v>3396</v>
      </c>
      <c r="BE35" s="13" t="s">
        <v>1899</v>
      </c>
      <c r="BF35" s="13" t="s">
        <v>1899</v>
      </c>
      <c r="BG35" s="13" t="s">
        <v>3409</v>
      </c>
      <c r="BH35" s="13" t="s">
        <v>3445</v>
      </c>
      <c r="BI35" s="13" t="s">
        <v>3449</v>
      </c>
      <c r="BJ35" s="13" t="s">
        <v>3455</v>
      </c>
      <c r="BK35" s="13" t="s">
        <v>3462</v>
      </c>
      <c r="BL35" s="13" t="s">
        <v>1922</v>
      </c>
      <c r="BM35" s="13" t="s">
        <v>1921</v>
      </c>
      <c r="BN35" s="13" t="s">
        <v>3476</v>
      </c>
      <c r="BO35" s="13" t="s">
        <v>3477</v>
      </c>
      <c r="BP35" s="13" t="s">
        <v>1959</v>
      </c>
      <c r="BQ35" s="13" t="s">
        <v>3483</v>
      </c>
      <c r="BR35" s="13" t="s">
        <v>3544</v>
      </c>
      <c r="BS35" s="13" t="s">
        <v>1959</v>
      </c>
      <c r="BT35" s="13" t="s">
        <v>1960</v>
      </c>
      <c r="BU35" s="13" t="s">
        <v>3545</v>
      </c>
      <c r="BV35" s="13" t="s">
        <v>1962</v>
      </c>
      <c r="BW35" s="13" t="s">
        <v>3548</v>
      </c>
      <c r="BX35" s="13" t="s">
        <v>3549</v>
      </c>
      <c r="BY35" s="311" t="s">
        <v>3553</v>
      </c>
    </row>
    <row r="36" spans="1:77">
      <c r="A36" s="2">
        <v>31</v>
      </c>
      <c r="B36" s="55">
        <f>INDEX(順位表[Comprehensive],MATCH($C36,順位表['#],0))</f>
        <v>32</v>
      </c>
      <c r="C36" s="3">
        <v>31</v>
      </c>
      <c r="D36" s="1" t="str">
        <f>INDEX(都市マスタ[City Name],MATCH($C36,都市マスタ['#],0))</f>
        <v>Vancouver</v>
      </c>
      <c r="E36" s="13" t="s">
        <v>2775</v>
      </c>
      <c r="F36" s="13" t="s">
        <v>1663</v>
      </c>
      <c r="G36" s="13" t="s">
        <v>2813</v>
      </c>
      <c r="H36" s="13" t="s">
        <v>2820</v>
      </c>
      <c r="I36" s="13"/>
      <c r="J36" s="13" t="s">
        <v>2820</v>
      </c>
      <c r="K36" s="13" t="s">
        <v>2909</v>
      </c>
      <c r="L36" s="13"/>
      <c r="M36" s="13" t="s">
        <v>2917</v>
      </c>
      <c r="N36" s="13" t="s">
        <v>2936</v>
      </c>
      <c r="O36" s="13" t="s">
        <v>1663</v>
      </c>
      <c r="P36" s="13" t="s">
        <v>1678</v>
      </c>
      <c r="Q36" s="13" t="s">
        <v>2995</v>
      </c>
      <c r="R36" s="13" t="s">
        <v>3034</v>
      </c>
      <c r="S36" s="13" t="s">
        <v>3043</v>
      </c>
      <c r="T36" s="13" t="s">
        <v>3048</v>
      </c>
      <c r="U36" s="13" t="s">
        <v>3050</v>
      </c>
      <c r="V36" s="13" t="s">
        <v>1725</v>
      </c>
      <c r="W36" s="13" t="s">
        <v>3061</v>
      </c>
      <c r="X36" s="13" t="s">
        <v>1725</v>
      </c>
      <c r="Y36" s="13" t="s">
        <v>3064</v>
      </c>
      <c r="Z36" s="13" t="s">
        <v>3067</v>
      </c>
      <c r="AA36" s="13" t="s">
        <v>1732</v>
      </c>
      <c r="AB36" s="13" t="s">
        <v>3076</v>
      </c>
      <c r="AC36" s="13" t="s">
        <v>3078</v>
      </c>
      <c r="AD36" s="13" t="s">
        <v>3081</v>
      </c>
      <c r="AE36" s="13" t="s">
        <v>3086</v>
      </c>
      <c r="AF36" s="13" t="s">
        <v>3098</v>
      </c>
      <c r="AG36" s="13" t="s">
        <v>1739</v>
      </c>
      <c r="AH36" s="13" t="s">
        <v>3100</v>
      </c>
      <c r="AI36" s="13" t="s">
        <v>3101</v>
      </c>
      <c r="AJ36" s="13" t="s">
        <v>1790</v>
      </c>
      <c r="AK36" s="13" t="s">
        <v>1791</v>
      </c>
      <c r="AL36" s="13" t="s">
        <v>1793</v>
      </c>
      <c r="AM36" s="13" t="s">
        <v>1795</v>
      </c>
      <c r="AN36" s="13" t="s">
        <v>1795</v>
      </c>
      <c r="AO36" s="13" t="s">
        <v>1739</v>
      </c>
      <c r="AP36" s="13" t="s">
        <v>1797</v>
      </c>
      <c r="AQ36" s="13" t="s">
        <v>3126</v>
      </c>
      <c r="AR36" s="13" t="s">
        <v>3196</v>
      </c>
      <c r="AS36" s="13" t="s">
        <v>3284</v>
      </c>
      <c r="AT36" s="13" t="s">
        <v>3345</v>
      </c>
      <c r="AU36" s="13" t="s">
        <v>1828</v>
      </c>
      <c r="AV36" s="13" t="s">
        <v>3348</v>
      </c>
      <c r="AW36" s="13" t="s">
        <v>1836</v>
      </c>
      <c r="AX36" s="13" t="s">
        <v>1848</v>
      </c>
      <c r="AY36" s="13" t="s">
        <v>3380</v>
      </c>
      <c r="AZ36" s="13" t="s">
        <v>3381</v>
      </c>
      <c r="BA36" s="13" t="s">
        <v>3385</v>
      </c>
      <c r="BB36" s="13" t="s">
        <v>3387</v>
      </c>
      <c r="BC36" s="13" t="s">
        <v>3393</v>
      </c>
      <c r="BD36" s="13" t="s">
        <v>3396</v>
      </c>
      <c r="BE36" s="13" t="s">
        <v>1899</v>
      </c>
      <c r="BF36" s="13" t="s">
        <v>1899</v>
      </c>
      <c r="BG36" s="13" t="s">
        <v>3409</v>
      </c>
      <c r="BH36" s="13" t="s">
        <v>3445</v>
      </c>
      <c r="BI36" s="13" t="s">
        <v>3450</v>
      </c>
      <c r="BJ36" s="13" t="s">
        <v>3455</v>
      </c>
      <c r="BK36" s="13" t="s">
        <v>3462</v>
      </c>
      <c r="BL36" s="13" t="s">
        <v>1922</v>
      </c>
      <c r="BM36" s="13" t="s">
        <v>1921</v>
      </c>
      <c r="BN36" s="13" t="s">
        <v>3476</v>
      </c>
      <c r="BO36" s="13" t="s">
        <v>3477</v>
      </c>
      <c r="BP36" s="13" t="s">
        <v>1959</v>
      </c>
      <c r="BQ36" s="13" t="s">
        <v>3483</v>
      </c>
      <c r="BR36" s="13" t="s">
        <v>3544</v>
      </c>
      <c r="BS36" s="13" t="s">
        <v>1959</v>
      </c>
      <c r="BT36" s="13" t="s">
        <v>1960</v>
      </c>
      <c r="BU36" s="13" t="s">
        <v>3545</v>
      </c>
      <c r="BV36" s="13" t="s">
        <v>1962</v>
      </c>
      <c r="BW36" s="13" t="s">
        <v>3548</v>
      </c>
      <c r="BX36" s="13" t="s">
        <v>3549</v>
      </c>
      <c r="BY36" s="311" t="s">
        <v>3558</v>
      </c>
    </row>
    <row r="37" spans="1:77">
      <c r="A37" s="2">
        <v>32</v>
      </c>
      <c r="B37" s="55">
        <f>INDEX(順位表[Comprehensive],MATCH($C37,順位表['#],0))</f>
        <v>27</v>
      </c>
      <c r="C37" s="3">
        <v>32</v>
      </c>
      <c r="D37" s="1" t="str">
        <f>INDEX(都市マスタ[City Name],MATCH($C37,都市マスタ['#],0))</f>
        <v>San Francisco</v>
      </c>
      <c r="E37" s="13" t="s">
        <v>2776</v>
      </c>
      <c r="F37" s="13" t="s">
        <v>2804</v>
      </c>
      <c r="G37" s="13" t="s">
        <v>2813</v>
      </c>
      <c r="H37" s="13" t="s">
        <v>1573</v>
      </c>
      <c r="I37" s="13" t="s">
        <v>2865</v>
      </c>
      <c r="J37" s="13" t="s">
        <v>1610</v>
      </c>
      <c r="K37" s="13" t="s">
        <v>2909</v>
      </c>
      <c r="L37" s="13"/>
      <c r="M37" s="13" t="s">
        <v>2917</v>
      </c>
      <c r="N37" s="13" t="s">
        <v>1648</v>
      </c>
      <c r="O37" s="13" t="s">
        <v>2968</v>
      </c>
      <c r="P37" s="13" t="s">
        <v>2989</v>
      </c>
      <c r="Q37" s="13" t="s">
        <v>2995</v>
      </c>
      <c r="R37" s="13" t="s">
        <v>3034</v>
      </c>
      <c r="S37" s="13" t="s">
        <v>3044</v>
      </c>
      <c r="T37" s="13" t="s">
        <v>3048</v>
      </c>
      <c r="U37" s="13" t="s">
        <v>3053</v>
      </c>
      <c r="V37" s="13" t="s">
        <v>1725</v>
      </c>
      <c r="W37" s="13" t="s">
        <v>3061</v>
      </c>
      <c r="X37" s="13" t="s">
        <v>1725</v>
      </c>
      <c r="Y37" s="13" t="s">
        <v>3064</v>
      </c>
      <c r="Z37" s="13" t="s">
        <v>3068</v>
      </c>
      <c r="AA37" s="13" t="s">
        <v>1732</v>
      </c>
      <c r="AB37" s="13" t="s">
        <v>3076</v>
      </c>
      <c r="AC37" s="13" t="s">
        <v>3078</v>
      </c>
      <c r="AD37" s="13" t="s">
        <v>3081</v>
      </c>
      <c r="AE37" s="13" t="s">
        <v>3091</v>
      </c>
      <c r="AF37" s="13" t="s">
        <v>3098</v>
      </c>
      <c r="AG37" s="13" t="s">
        <v>1739</v>
      </c>
      <c r="AH37" s="13" t="s">
        <v>3100</v>
      </c>
      <c r="AI37" s="13" t="s">
        <v>3101</v>
      </c>
      <c r="AJ37" s="13" t="s">
        <v>1790</v>
      </c>
      <c r="AK37" s="13" t="s">
        <v>1791</v>
      </c>
      <c r="AL37" s="13" t="s">
        <v>1793</v>
      </c>
      <c r="AM37" s="13" t="s">
        <v>1795</v>
      </c>
      <c r="AN37" s="13" t="s">
        <v>1795</v>
      </c>
      <c r="AO37" s="13" t="s">
        <v>1739</v>
      </c>
      <c r="AP37" s="13" t="s">
        <v>1797</v>
      </c>
      <c r="AQ37" s="13" t="s">
        <v>3127</v>
      </c>
      <c r="AR37" s="13" t="s">
        <v>3197</v>
      </c>
      <c r="AS37" s="13" t="s">
        <v>3285</v>
      </c>
      <c r="AT37" s="13" t="s">
        <v>3345</v>
      </c>
      <c r="AU37" s="13" t="s">
        <v>1828</v>
      </c>
      <c r="AV37" s="13" t="s">
        <v>3349</v>
      </c>
      <c r="AW37" s="13" t="s">
        <v>3357</v>
      </c>
      <c r="AX37" s="13" t="s">
        <v>1849</v>
      </c>
      <c r="AY37" s="13" t="s">
        <v>3380</v>
      </c>
      <c r="AZ37" s="13" t="s">
        <v>3381</v>
      </c>
      <c r="BA37" s="13" t="s">
        <v>3385</v>
      </c>
      <c r="BB37" s="13" t="s">
        <v>3387</v>
      </c>
      <c r="BC37" s="13" t="s">
        <v>3393</v>
      </c>
      <c r="BD37" s="13" t="s">
        <v>3396</v>
      </c>
      <c r="BE37" s="13" t="s">
        <v>1899</v>
      </c>
      <c r="BF37" s="13" t="s">
        <v>1899</v>
      </c>
      <c r="BG37" s="13" t="s">
        <v>3409</v>
      </c>
      <c r="BH37" s="13" t="s">
        <v>3445</v>
      </c>
      <c r="BI37" s="13" t="s">
        <v>3449</v>
      </c>
      <c r="BJ37" s="13" t="s">
        <v>3455</v>
      </c>
      <c r="BK37" s="13" t="s">
        <v>3462</v>
      </c>
      <c r="BL37" s="13" t="s">
        <v>1922</v>
      </c>
      <c r="BM37" s="13" t="s">
        <v>1921</v>
      </c>
      <c r="BN37" s="13" t="s">
        <v>3476</v>
      </c>
      <c r="BO37" s="13" t="s">
        <v>3477</v>
      </c>
      <c r="BP37" s="13" t="s">
        <v>1959</v>
      </c>
      <c r="BQ37" s="13" t="s">
        <v>3491</v>
      </c>
      <c r="BR37" s="13" t="s">
        <v>3544</v>
      </c>
      <c r="BS37" s="13" t="s">
        <v>1959</v>
      </c>
      <c r="BT37" s="13" t="s">
        <v>1960</v>
      </c>
      <c r="BU37" s="13" t="s">
        <v>3545</v>
      </c>
      <c r="BV37" s="13" t="s">
        <v>1962</v>
      </c>
      <c r="BW37" s="13" t="s">
        <v>3548</v>
      </c>
      <c r="BX37" s="13" t="s">
        <v>3549</v>
      </c>
      <c r="BY37" s="311" t="s">
        <v>3559</v>
      </c>
    </row>
    <row r="38" spans="1:77">
      <c r="A38" s="2">
        <v>33</v>
      </c>
      <c r="B38" s="55">
        <f>INDEX(順位表[Comprehensive],MATCH($C38,順位表['#],0))</f>
        <v>21</v>
      </c>
      <c r="C38" s="3">
        <v>33</v>
      </c>
      <c r="D38" s="1" t="str">
        <f>INDEX(都市マスタ[City Name],MATCH($C38,都市マスタ['#],0))</f>
        <v>Los Angeles</v>
      </c>
      <c r="E38" s="13" t="s">
        <v>2776</v>
      </c>
      <c r="F38" s="13" t="s">
        <v>2804</v>
      </c>
      <c r="G38" s="13" t="s">
        <v>2813</v>
      </c>
      <c r="H38" s="13" t="s">
        <v>1573</v>
      </c>
      <c r="I38" s="13" t="s">
        <v>2865</v>
      </c>
      <c r="J38" s="13" t="s">
        <v>1610</v>
      </c>
      <c r="K38" s="13" t="s">
        <v>2909</v>
      </c>
      <c r="L38" s="13"/>
      <c r="M38" s="13" t="s">
        <v>2917</v>
      </c>
      <c r="N38" s="13" t="s">
        <v>1648</v>
      </c>
      <c r="O38" s="13" t="s">
        <v>2968</v>
      </c>
      <c r="P38" s="13" t="s">
        <v>2987</v>
      </c>
      <c r="Q38" s="13" t="s">
        <v>2995</v>
      </c>
      <c r="R38" s="13" t="s">
        <v>3034</v>
      </c>
      <c r="S38" s="13" t="s">
        <v>3044</v>
      </c>
      <c r="T38" s="13" t="s">
        <v>3048</v>
      </c>
      <c r="U38" s="13" t="s">
        <v>3053</v>
      </c>
      <c r="V38" s="13" t="s">
        <v>1725</v>
      </c>
      <c r="W38" s="13" t="s">
        <v>3061</v>
      </c>
      <c r="X38" s="13" t="s">
        <v>1725</v>
      </c>
      <c r="Y38" s="13" t="s">
        <v>3064</v>
      </c>
      <c r="Z38" s="13" t="s">
        <v>3068</v>
      </c>
      <c r="AA38" s="13" t="s">
        <v>1732</v>
      </c>
      <c r="AB38" s="13" t="s">
        <v>3076</v>
      </c>
      <c r="AC38" s="13" t="s">
        <v>3078</v>
      </c>
      <c r="AD38" s="13" t="s">
        <v>3081</v>
      </c>
      <c r="AE38" s="13" t="s">
        <v>3091</v>
      </c>
      <c r="AF38" s="13" t="s">
        <v>3098</v>
      </c>
      <c r="AG38" s="13" t="s">
        <v>1739</v>
      </c>
      <c r="AH38" s="13" t="s">
        <v>3100</v>
      </c>
      <c r="AI38" s="13" t="s">
        <v>3101</v>
      </c>
      <c r="AJ38" s="13" t="s">
        <v>1790</v>
      </c>
      <c r="AK38" s="13" t="s">
        <v>1791</v>
      </c>
      <c r="AL38" s="13" t="s">
        <v>1793</v>
      </c>
      <c r="AM38" s="13" t="s">
        <v>1795</v>
      </c>
      <c r="AN38" s="13" t="s">
        <v>1795</v>
      </c>
      <c r="AO38" s="13" t="s">
        <v>1739</v>
      </c>
      <c r="AP38" s="13" t="s">
        <v>1797</v>
      </c>
      <c r="AQ38" s="13" t="s">
        <v>3127</v>
      </c>
      <c r="AR38" s="13" t="s">
        <v>3197</v>
      </c>
      <c r="AS38" s="13" t="s">
        <v>3285</v>
      </c>
      <c r="AT38" s="13" t="s">
        <v>3345</v>
      </c>
      <c r="AU38" s="13" t="s">
        <v>1828</v>
      </c>
      <c r="AV38" s="13" t="s">
        <v>2987</v>
      </c>
      <c r="AW38" s="13" t="s">
        <v>2987</v>
      </c>
      <c r="AX38" s="13" t="s">
        <v>1849</v>
      </c>
      <c r="AY38" s="13" t="s">
        <v>3380</v>
      </c>
      <c r="AZ38" s="13" t="s">
        <v>3381</v>
      </c>
      <c r="BA38" s="13" t="s">
        <v>3385</v>
      </c>
      <c r="BB38" s="13" t="s">
        <v>3387</v>
      </c>
      <c r="BC38" s="13" t="s">
        <v>3393</v>
      </c>
      <c r="BD38" s="13" t="s">
        <v>3396</v>
      </c>
      <c r="BE38" s="13" t="s">
        <v>1899</v>
      </c>
      <c r="BF38" s="13" t="s">
        <v>1899</v>
      </c>
      <c r="BG38" s="13" t="s">
        <v>3423</v>
      </c>
      <c r="BH38" s="13" t="s">
        <v>3445</v>
      </c>
      <c r="BI38" s="13" t="s">
        <v>3449</v>
      </c>
      <c r="BJ38" s="13" t="s">
        <v>3455</v>
      </c>
      <c r="BK38" s="13" t="s">
        <v>3462</v>
      </c>
      <c r="BL38" s="13" t="s">
        <v>1922</v>
      </c>
      <c r="BM38" s="13" t="s">
        <v>1921</v>
      </c>
      <c r="BN38" s="13" t="s">
        <v>3476</v>
      </c>
      <c r="BO38" s="13" t="s">
        <v>3477</v>
      </c>
      <c r="BP38" s="13" t="s">
        <v>1959</v>
      </c>
      <c r="BQ38" s="13" t="s">
        <v>3483</v>
      </c>
      <c r="BR38" s="13" t="s">
        <v>3544</v>
      </c>
      <c r="BS38" s="13" t="s">
        <v>1959</v>
      </c>
      <c r="BT38" s="13" t="s">
        <v>1960</v>
      </c>
      <c r="BU38" s="13" t="s">
        <v>3545</v>
      </c>
      <c r="BV38" s="13" t="s">
        <v>1962</v>
      </c>
      <c r="BW38" s="13" t="s">
        <v>3548</v>
      </c>
      <c r="BX38" s="13" t="s">
        <v>3549</v>
      </c>
      <c r="BY38" s="311" t="s">
        <v>3553</v>
      </c>
    </row>
    <row r="39" spans="1:77">
      <c r="A39" s="2">
        <v>34</v>
      </c>
      <c r="B39" s="55">
        <f>INDEX(順位表[Comprehensive],MATCH($C39,順位表['#],0))</f>
        <v>43</v>
      </c>
      <c r="C39" s="3">
        <v>34</v>
      </c>
      <c r="D39" s="1" t="str">
        <f>INDEX(都市マスタ[City Name],MATCH($C39,都市マスタ['#],0))</f>
        <v>Mexico City</v>
      </c>
      <c r="E39" s="13" t="s">
        <v>2777</v>
      </c>
      <c r="F39" s="13" t="s">
        <v>2805</v>
      </c>
      <c r="G39" s="13" t="s">
        <v>2813</v>
      </c>
      <c r="H39" s="13" t="s">
        <v>2839</v>
      </c>
      <c r="I39" s="13"/>
      <c r="J39" s="13" t="s">
        <v>2820</v>
      </c>
      <c r="K39" s="13" t="s">
        <v>2909</v>
      </c>
      <c r="L39" s="13" t="s">
        <v>2911</v>
      </c>
      <c r="M39" s="13" t="s">
        <v>2917</v>
      </c>
      <c r="N39" s="13" t="s">
        <v>2937</v>
      </c>
      <c r="O39" s="13" t="s">
        <v>1664</v>
      </c>
      <c r="P39" s="13" t="s">
        <v>2987</v>
      </c>
      <c r="Q39" s="13" t="s">
        <v>2996</v>
      </c>
      <c r="R39" s="13" t="s">
        <v>3034</v>
      </c>
      <c r="S39" s="13" t="s">
        <v>3037</v>
      </c>
      <c r="T39" s="13" t="s">
        <v>3048</v>
      </c>
      <c r="U39" s="13" t="s">
        <v>3050</v>
      </c>
      <c r="V39" s="13" t="s">
        <v>1725</v>
      </c>
      <c r="W39" s="13" t="s">
        <v>3061</v>
      </c>
      <c r="X39" s="13" t="s">
        <v>1725</v>
      </c>
      <c r="Y39" s="13" t="s">
        <v>3064</v>
      </c>
      <c r="Z39" s="13" t="s">
        <v>3067</v>
      </c>
      <c r="AA39" s="13" t="s">
        <v>1732</v>
      </c>
      <c r="AB39" s="13" t="s">
        <v>3076</v>
      </c>
      <c r="AC39" s="13" t="s">
        <v>3078</v>
      </c>
      <c r="AD39" s="13" t="s">
        <v>3081</v>
      </c>
      <c r="AE39" s="13" t="s">
        <v>3088</v>
      </c>
      <c r="AF39" s="13" t="s">
        <v>3098</v>
      </c>
      <c r="AG39" s="13" t="s">
        <v>1739</v>
      </c>
      <c r="AH39" s="13" t="s">
        <v>3100</v>
      </c>
      <c r="AI39" s="13" t="s">
        <v>3101</v>
      </c>
      <c r="AJ39" s="13" t="s">
        <v>1790</v>
      </c>
      <c r="AK39" s="13" t="s">
        <v>1791</v>
      </c>
      <c r="AL39" s="13" t="s">
        <v>1793</v>
      </c>
      <c r="AM39" s="13" t="s">
        <v>1795</v>
      </c>
      <c r="AN39" s="13" t="s">
        <v>1795</v>
      </c>
      <c r="AO39" s="13" t="s">
        <v>1739</v>
      </c>
      <c r="AP39" s="13" t="s">
        <v>1797</v>
      </c>
      <c r="AQ39" s="13" t="s">
        <v>3128</v>
      </c>
      <c r="AR39" s="13" t="s">
        <v>3198</v>
      </c>
      <c r="AS39" s="13" t="s">
        <v>1827</v>
      </c>
      <c r="AT39" s="13" t="s">
        <v>3345</v>
      </c>
      <c r="AU39" s="13" t="s">
        <v>1828</v>
      </c>
      <c r="AV39" s="13" t="s">
        <v>2987</v>
      </c>
      <c r="AW39" s="13" t="s">
        <v>2987</v>
      </c>
      <c r="AX39" s="13" t="s">
        <v>1841</v>
      </c>
      <c r="AY39" s="13" t="s">
        <v>3380</v>
      </c>
      <c r="AZ39" s="13" t="s">
        <v>3381</v>
      </c>
      <c r="BA39" s="13" t="s">
        <v>3385</v>
      </c>
      <c r="BB39" s="13" t="s">
        <v>3387</v>
      </c>
      <c r="BC39" s="13" t="s">
        <v>3393</v>
      </c>
      <c r="BD39" s="13" t="s">
        <v>3396</v>
      </c>
      <c r="BE39" s="13" t="s">
        <v>1899</v>
      </c>
      <c r="BF39" s="13" t="s">
        <v>1899</v>
      </c>
      <c r="BG39" s="13" t="s">
        <v>3416</v>
      </c>
      <c r="BH39" s="13" t="s">
        <v>3445</v>
      </c>
      <c r="BI39" s="13" t="s">
        <v>3449</v>
      </c>
      <c r="BJ39" s="13" t="s">
        <v>3455</v>
      </c>
      <c r="BK39" s="13" t="s">
        <v>3462</v>
      </c>
      <c r="BL39" s="13" t="s">
        <v>1922</v>
      </c>
      <c r="BM39" s="13" t="s">
        <v>1921</v>
      </c>
      <c r="BN39" s="13" t="s">
        <v>3476</v>
      </c>
      <c r="BO39" s="13" t="s">
        <v>3477</v>
      </c>
      <c r="BP39" s="13" t="s">
        <v>1959</v>
      </c>
      <c r="BQ39" s="13" t="s">
        <v>3482</v>
      </c>
      <c r="BR39" s="13" t="s">
        <v>3544</v>
      </c>
      <c r="BS39" s="13" t="s">
        <v>1959</v>
      </c>
      <c r="BT39" s="13" t="s">
        <v>1960</v>
      </c>
      <c r="BU39" s="13" t="s">
        <v>3545</v>
      </c>
      <c r="BV39" s="13" t="s">
        <v>1962</v>
      </c>
      <c r="BW39" s="13" t="s">
        <v>3548</v>
      </c>
      <c r="BX39" s="13" t="s">
        <v>3549</v>
      </c>
      <c r="BY39" s="311" t="s">
        <v>3553</v>
      </c>
    </row>
    <row r="40" spans="1:77">
      <c r="A40" s="2">
        <v>35</v>
      </c>
      <c r="B40" s="55">
        <f>INDEX(順位表[Comprehensive],MATCH($C40,順位表['#],0))</f>
        <v>25</v>
      </c>
      <c r="C40" s="3">
        <v>35</v>
      </c>
      <c r="D40" s="1" t="str">
        <f>INDEX(都市マスタ[City Name],MATCH($C40,都市マスタ['#],0))</f>
        <v>Chicago</v>
      </c>
      <c r="E40" s="13" t="s">
        <v>2776</v>
      </c>
      <c r="F40" s="13" t="s">
        <v>2804</v>
      </c>
      <c r="G40" s="13" t="s">
        <v>2813</v>
      </c>
      <c r="H40" s="13" t="s">
        <v>1573</v>
      </c>
      <c r="I40" s="13" t="s">
        <v>2865</v>
      </c>
      <c r="J40" s="13" t="s">
        <v>1610</v>
      </c>
      <c r="K40" s="13" t="s">
        <v>2909</v>
      </c>
      <c r="L40" s="13"/>
      <c r="M40" s="13" t="s">
        <v>2917</v>
      </c>
      <c r="N40" s="13" t="s">
        <v>1648</v>
      </c>
      <c r="O40" s="13" t="s">
        <v>2968</v>
      </c>
      <c r="P40" s="13" t="s">
        <v>2987</v>
      </c>
      <c r="Q40" s="13" t="s">
        <v>2995</v>
      </c>
      <c r="R40" s="13" t="s">
        <v>3034</v>
      </c>
      <c r="S40" s="13" t="s">
        <v>3044</v>
      </c>
      <c r="T40" s="13" t="s">
        <v>3048</v>
      </c>
      <c r="U40" s="13" t="s">
        <v>3053</v>
      </c>
      <c r="V40" s="13" t="s">
        <v>1725</v>
      </c>
      <c r="W40" s="13" t="s">
        <v>3061</v>
      </c>
      <c r="X40" s="13" t="s">
        <v>1725</v>
      </c>
      <c r="Y40" s="13" t="s">
        <v>3064</v>
      </c>
      <c r="Z40" s="13" t="s">
        <v>3068</v>
      </c>
      <c r="AA40" s="13" t="s">
        <v>1732</v>
      </c>
      <c r="AB40" s="13" t="s">
        <v>3076</v>
      </c>
      <c r="AC40" s="13" t="s">
        <v>3078</v>
      </c>
      <c r="AD40" s="13" t="s">
        <v>3081</v>
      </c>
      <c r="AE40" s="13" t="s">
        <v>3091</v>
      </c>
      <c r="AF40" s="13" t="s">
        <v>3098</v>
      </c>
      <c r="AG40" s="13" t="s">
        <v>1739</v>
      </c>
      <c r="AH40" s="13" t="s">
        <v>3100</v>
      </c>
      <c r="AI40" s="13" t="s">
        <v>3101</v>
      </c>
      <c r="AJ40" s="13" t="s">
        <v>1790</v>
      </c>
      <c r="AK40" s="13" t="s">
        <v>1791</v>
      </c>
      <c r="AL40" s="13" t="s">
        <v>1793</v>
      </c>
      <c r="AM40" s="13" t="s">
        <v>1795</v>
      </c>
      <c r="AN40" s="13" t="s">
        <v>1795</v>
      </c>
      <c r="AO40" s="13" t="s">
        <v>1739</v>
      </c>
      <c r="AP40" s="13" t="s">
        <v>1797</v>
      </c>
      <c r="AQ40" s="13" t="s">
        <v>3129</v>
      </c>
      <c r="AR40" s="13" t="s">
        <v>3197</v>
      </c>
      <c r="AS40" s="13" t="s">
        <v>3285</v>
      </c>
      <c r="AT40" s="13" t="s">
        <v>3345</v>
      </c>
      <c r="AU40" s="13" t="s">
        <v>1828</v>
      </c>
      <c r="AV40" s="13" t="s">
        <v>2987</v>
      </c>
      <c r="AW40" s="13" t="s">
        <v>2987</v>
      </c>
      <c r="AX40" s="13" t="s">
        <v>1849</v>
      </c>
      <c r="AY40" s="13" t="s">
        <v>3380</v>
      </c>
      <c r="AZ40" s="13" t="s">
        <v>3381</v>
      </c>
      <c r="BA40" s="13" t="s">
        <v>3385</v>
      </c>
      <c r="BB40" s="13" t="s">
        <v>3387</v>
      </c>
      <c r="BC40" s="13" t="s">
        <v>3393</v>
      </c>
      <c r="BD40" s="13" t="s">
        <v>3396</v>
      </c>
      <c r="BE40" s="13" t="s">
        <v>1899</v>
      </c>
      <c r="BF40" s="13" t="s">
        <v>1899</v>
      </c>
      <c r="BG40" s="13" t="s">
        <v>3409</v>
      </c>
      <c r="BH40" s="13" t="s">
        <v>3445</v>
      </c>
      <c r="BI40" s="13" t="s">
        <v>3449</v>
      </c>
      <c r="BJ40" s="13" t="s">
        <v>3455</v>
      </c>
      <c r="BK40" s="13" t="s">
        <v>3462</v>
      </c>
      <c r="BL40" s="13" t="s">
        <v>1922</v>
      </c>
      <c r="BM40" s="13" t="s">
        <v>1921</v>
      </c>
      <c r="BN40" s="13" t="s">
        <v>3476</v>
      </c>
      <c r="BO40" s="13" t="s">
        <v>3477</v>
      </c>
      <c r="BP40" s="13" t="s">
        <v>1959</v>
      </c>
      <c r="BQ40" s="13" t="s">
        <v>3482</v>
      </c>
      <c r="BR40" s="13" t="s">
        <v>3544</v>
      </c>
      <c r="BS40" s="13" t="s">
        <v>1959</v>
      </c>
      <c r="BT40" s="13" t="s">
        <v>1960</v>
      </c>
      <c r="BU40" s="13" t="s">
        <v>3545</v>
      </c>
      <c r="BV40" s="13" t="s">
        <v>1962</v>
      </c>
      <c r="BW40" s="13" t="s">
        <v>3548</v>
      </c>
      <c r="BX40" s="13" t="s">
        <v>3549</v>
      </c>
      <c r="BY40" s="311" t="s">
        <v>3553</v>
      </c>
    </row>
    <row r="41" spans="1:77">
      <c r="A41" s="2">
        <v>36</v>
      </c>
      <c r="B41" s="55">
        <f>INDEX(順位表[Comprehensive],MATCH($C41,順位表['#],0))</f>
        <v>23</v>
      </c>
      <c r="C41" s="3">
        <v>36</v>
      </c>
      <c r="D41" s="1" t="str">
        <f>INDEX(都市マスタ[City Name],MATCH($C41,都市マスタ['#],0))</f>
        <v>Toronto</v>
      </c>
      <c r="E41" s="13" t="s">
        <v>2778</v>
      </c>
      <c r="F41" s="13" t="s">
        <v>2778</v>
      </c>
      <c r="G41" s="13" t="s">
        <v>2813</v>
      </c>
      <c r="H41" s="13" t="s">
        <v>2820</v>
      </c>
      <c r="I41" s="13"/>
      <c r="J41" s="13" t="s">
        <v>2820</v>
      </c>
      <c r="K41" s="13" t="s">
        <v>2909</v>
      </c>
      <c r="L41" s="13" t="s">
        <v>2911</v>
      </c>
      <c r="M41" s="13" t="s">
        <v>2917</v>
      </c>
      <c r="N41" s="13" t="s">
        <v>2938</v>
      </c>
      <c r="O41" s="13" t="s">
        <v>2938</v>
      </c>
      <c r="P41" s="13" t="s">
        <v>2987</v>
      </c>
      <c r="Q41" s="13" t="s">
        <v>2995</v>
      </c>
      <c r="R41" s="13" t="s">
        <v>3034</v>
      </c>
      <c r="S41" s="13" t="s">
        <v>3043</v>
      </c>
      <c r="T41" s="13" t="s">
        <v>3048</v>
      </c>
      <c r="U41" s="13" t="s">
        <v>3050</v>
      </c>
      <c r="V41" s="13" t="s">
        <v>1725</v>
      </c>
      <c r="W41" s="13" t="s">
        <v>3061</v>
      </c>
      <c r="X41" s="13" t="s">
        <v>1725</v>
      </c>
      <c r="Y41" s="13" t="s">
        <v>3064</v>
      </c>
      <c r="Z41" s="13" t="s">
        <v>3067</v>
      </c>
      <c r="AA41" s="13" t="s">
        <v>1732</v>
      </c>
      <c r="AB41" s="13" t="s">
        <v>3076</v>
      </c>
      <c r="AC41" s="13" t="s">
        <v>3078</v>
      </c>
      <c r="AD41" s="13" t="s">
        <v>3081</v>
      </c>
      <c r="AE41" s="13" t="s">
        <v>3086</v>
      </c>
      <c r="AF41" s="13" t="s">
        <v>3098</v>
      </c>
      <c r="AG41" s="13" t="s">
        <v>1739</v>
      </c>
      <c r="AH41" s="13" t="s">
        <v>3100</v>
      </c>
      <c r="AI41" s="13" t="s">
        <v>3101</v>
      </c>
      <c r="AJ41" s="13" t="s">
        <v>1790</v>
      </c>
      <c r="AK41" s="13" t="s">
        <v>1791</v>
      </c>
      <c r="AL41" s="13" t="s">
        <v>1793</v>
      </c>
      <c r="AM41" s="13" t="s">
        <v>1795</v>
      </c>
      <c r="AN41" s="13" t="s">
        <v>1795</v>
      </c>
      <c r="AO41" s="13" t="s">
        <v>1739</v>
      </c>
      <c r="AP41" s="13" t="s">
        <v>1797</v>
      </c>
      <c r="AQ41" s="13" t="s">
        <v>3126</v>
      </c>
      <c r="AR41" s="13" t="s">
        <v>3199</v>
      </c>
      <c r="AS41" s="13" t="s">
        <v>3286</v>
      </c>
      <c r="AT41" s="13" t="s">
        <v>3345</v>
      </c>
      <c r="AU41" s="13" t="s">
        <v>1828</v>
      </c>
      <c r="AV41" s="13" t="s">
        <v>2987</v>
      </c>
      <c r="AW41" s="13" t="s">
        <v>2987</v>
      </c>
      <c r="AX41" s="13" t="s">
        <v>1850</v>
      </c>
      <c r="AY41" s="13" t="s">
        <v>3380</v>
      </c>
      <c r="AZ41" s="13" t="s">
        <v>3381</v>
      </c>
      <c r="BA41" s="13" t="s">
        <v>3385</v>
      </c>
      <c r="BB41" s="13" t="s">
        <v>3387</v>
      </c>
      <c r="BC41" s="13" t="s">
        <v>3393</v>
      </c>
      <c r="BD41" s="13" t="s">
        <v>3396</v>
      </c>
      <c r="BE41" s="13" t="s">
        <v>1899</v>
      </c>
      <c r="BF41" s="13" t="s">
        <v>1899</v>
      </c>
      <c r="BG41" s="13" t="s">
        <v>3409</v>
      </c>
      <c r="BH41" s="13" t="s">
        <v>3445</v>
      </c>
      <c r="BI41" s="13" t="s">
        <v>3450</v>
      </c>
      <c r="BJ41" s="13" t="s">
        <v>3455</v>
      </c>
      <c r="BK41" s="13" t="s">
        <v>3462</v>
      </c>
      <c r="BL41" s="13" t="s">
        <v>1922</v>
      </c>
      <c r="BM41" s="13" t="s">
        <v>1921</v>
      </c>
      <c r="BN41" s="13" t="s">
        <v>3476</v>
      </c>
      <c r="BO41" s="13" t="s">
        <v>3477</v>
      </c>
      <c r="BP41" s="13" t="s">
        <v>1959</v>
      </c>
      <c r="BQ41" s="13" t="s">
        <v>3482</v>
      </c>
      <c r="BR41" s="13" t="s">
        <v>3544</v>
      </c>
      <c r="BS41" s="13" t="s">
        <v>1959</v>
      </c>
      <c r="BT41" s="13" t="s">
        <v>1960</v>
      </c>
      <c r="BU41" s="13" t="s">
        <v>3545</v>
      </c>
      <c r="BV41" s="13" t="s">
        <v>1962</v>
      </c>
      <c r="BW41" s="13" t="s">
        <v>3548</v>
      </c>
      <c r="BX41" s="13" t="s">
        <v>3549</v>
      </c>
      <c r="BY41" s="311" t="s">
        <v>3553</v>
      </c>
    </row>
    <row r="42" spans="1:77">
      <c r="A42" s="2">
        <v>37</v>
      </c>
      <c r="B42" s="55">
        <f>INDEX(順位表[Comprehensive],MATCH($C42,順位表['#],0))</f>
        <v>36</v>
      </c>
      <c r="C42" s="3">
        <v>37</v>
      </c>
      <c r="D42" s="1" t="str">
        <f>INDEX(都市マスタ[City Name],MATCH($C42,都市マスタ['#],0))</f>
        <v>Washington, DC</v>
      </c>
      <c r="E42" s="13" t="s">
        <v>2776</v>
      </c>
      <c r="F42" s="13" t="s">
        <v>2804</v>
      </c>
      <c r="G42" s="13" t="s">
        <v>2813</v>
      </c>
      <c r="H42" s="13" t="s">
        <v>1573</v>
      </c>
      <c r="I42" s="13"/>
      <c r="J42" s="13" t="s">
        <v>1610</v>
      </c>
      <c r="K42" s="13" t="s">
        <v>2909</v>
      </c>
      <c r="L42" s="13"/>
      <c r="M42" s="13" t="s">
        <v>2917</v>
      </c>
      <c r="N42" s="13" t="s">
        <v>1648</v>
      </c>
      <c r="O42" s="13" t="s">
        <v>2968</v>
      </c>
      <c r="P42" s="13" t="s">
        <v>2989</v>
      </c>
      <c r="Q42" s="13" t="s">
        <v>2995</v>
      </c>
      <c r="R42" s="13" t="s">
        <v>3034</v>
      </c>
      <c r="S42" s="13" t="s">
        <v>3044</v>
      </c>
      <c r="T42" s="13" t="s">
        <v>3048</v>
      </c>
      <c r="U42" s="13" t="s">
        <v>3053</v>
      </c>
      <c r="V42" s="13" t="s">
        <v>1725</v>
      </c>
      <c r="W42" s="13" t="s">
        <v>3061</v>
      </c>
      <c r="X42" s="13" t="s">
        <v>1725</v>
      </c>
      <c r="Y42" s="13" t="s">
        <v>3064</v>
      </c>
      <c r="Z42" s="13" t="s">
        <v>3068</v>
      </c>
      <c r="AA42" s="13" t="s">
        <v>1732</v>
      </c>
      <c r="AB42" s="13" t="s">
        <v>3076</v>
      </c>
      <c r="AC42" s="13" t="s">
        <v>3078</v>
      </c>
      <c r="AD42" s="13" t="s">
        <v>3081</v>
      </c>
      <c r="AE42" s="13" t="s">
        <v>3091</v>
      </c>
      <c r="AF42" s="13" t="s">
        <v>3098</v>
      </c>
      <c r="AG42" s="13" t="s">
        <v>1739</v>
      </c>
      <c r="AH42" s="13" t="s">
        <v>3100</v>
      </c>
      <c r="AI42" s="13" t="s">
        <v>3101</v>
      </c>
      <c r="AJ42" s="13" t="s">
        <v>1790</v>
      </c>
      <c r="AK42" s="13" t="s">
        <v>1791</v>
      </c>
      <c r="AL42" s="13" t="s">
        <v>1793</v>
      </c>
      <c r="AM42" s="13" t="s">
        <v>1795</v>
      </c>
      <c r="AN42" s="13" t="s">
        <v>1795</v>
      </c>
      <c r="AO42" s="13" t="s">
        <v>1739</v>
      </c>
      <c r="AP42" s="13" t="s">
        <v>1797</v>
      </c>
      <c r="AQ42" s="13" t="s">
        <v>3129</v>
      </c>
      <c r="AR42" s="13" t="s">
        <v>3197</v>
      </c>
      <c r="AS42" s="13" t="s">
        <v>3285</v>
      </c>
      <c r="AT42" s="13" t="s">
        <v>3345</v>
      </c>
      <c r="AU42" s="13" t="s">
        <v>1828</v>
      </c>
      <c r="AV42" s="13" t="s">
        <v>3349</v>
      </c>
      <c r="AW42" s="13" t="s">
        <v>3357</v>
      </c>
      <c r="AX42" s="13" t="s">
        <v>1849</v>
      </c>
      <c r="AY42" s="13" t="s">
        <v>3380</v>
      </c>
      <c r="AZ42" s="13" t="s">
        <v>3381</v>
      </c>
      <c r="BA42" s="13" t="s">
        <v>3385</v>
      </c>
      <c r="BB42" s="13" t="s">
        <v>3387</v>
      </c>
      <c r="BC42" s="13" t="s">
        <v>3393</v>
      </c>
      <c r="BD42" s="13" t="s">
        <v>3396</v>
      </c>
      <c r="BE42" s="13" t="s">
        <v>1899</v>
      </c>
      <c r="BF42" s="13" t="s">
        <v>1899</v>
      </c>
      <c r="BG42" s="13" t="s">
        <v>3409</v>
      </c>
      <c r="BH42" s="13" t="s">
        <v>3445</v>
      </c>
      <c r="BI42" s="13" t="s">
        <v>3449</v>
      </c>
      <c r="BJ42" s="13" t="s">
        <v>3455</v>
      </c>
      <c r="BK42" s="13" t="s">
        <v>3462</v>
      </c>
      <c r="BL42" s="13" t="s">
        <v>1922</v>
      </c>
      <c r="BM42" s="13" t="s">
        <v>1921</v>
      </c>
      <c r="BN42" s="13" t="s">
        <v>3476</v>
      </c>
      <c r="BO42" s="13" t="s">
        <v>3477</v>
      </c>
      <c r="BP42" s="13" t="s">
        <v>1959</v>
      </c>
      <c r="BQ42" s="13" t="s">
        <v>3492</v>
      </c>
      <c r="BR42" s="13" t="s">
        <v>3544</v>
      </c>
      <c r="BS42" s="13" t="s">
        <v>1959</v>
      </c>
      <c r="BT42" s="13" t="s">
        <v>1960</v>
      </c>
      <c r="BU42" s="13" t="s">
        <v>3545</v>
      </c>
      <c r="BV42" s="13" t="s">
        <v>1962</v>
      </c>
      <c r="BW42" s="13" t="s">
        <v>3548</v>
      </c>
      <c r="BX42" s="13" t="s">
        <v>3549</v>
      </c>
      <c r="BY42" s="311" t="s">
        <v>3560</v>
      </c>
    </row>
    <row r="43" spans="1:77">
      <c r="A43" s="2">
        <v>38</v>
      </c>
      <c r="B43" s="55">
        <f>INDEX(順位表[Comprehensive],MATCH($C43,順位表['#],0))</f>
        <v>2</v>
      </c>
      <c r="C43" s="3">
        <v>38</v>
      </c>
      <c r="D43" s="1" t="str">
        <f>INDEX(都市マスタ[City Name],MATCH($C43,都市マスタ['#],0))</f>
        <v>New York</v>
      </c>
      <c r="E43" s="13" t="s">
        <v>2776</v>
      </c>
      <c r="F43" s="13" t="s">
        <v>2804</v>
      </c>
      <c r="G43" s="13" t="s">
        <v>2813</v>
      </c>
      <c r="H43" s="13" t="s">
        <v>2840</v>
      </c>
      <c r="I43" s="13"/>
      <c r="J43" s="13" t="s">
        <v>1611</v>
      </c>
      <c r="K43" s="13" t="s">
        <v>2909</v>
      </c>
      <c r="L43" s="13" t="s">
        <v>2911</v>
      </c>
      <c r="M43" s="13" t="s">
        <v>2917</v>
      </c>
      <c r="N43" s="13" t="s">
        <v>1648</v>
      </c>
      <c r="O43" s="13" t="s">
        <v>2968</v>
      </c>
      <c r="P43" s="13" t="s">
        <v>2987</v>
      </c>
      <c r="Q43" s="13" t="s">
        <v>2995</v>
      </c>
      <c r="R43" s="13" t="s">
        <v>3034</v>
      </c>
      <c r="S43" s="13" t="s">
        <v>3045</v>
      </c>
      <c r="T43" s="13" t="s">
        <v>3048</v>
      </c>
      <c r="U43" s="13" t="s">
        <v>3053</v>
      </c>
      <c r="V43" s="13" t="s">
        <v>1725</v>
      </c>
      <c r="W43" s="13" t="s">
        <v>3061</v>
      </c>
      <c r="X43" s="13" t="s">
        <v>1725</v>
      </c>
      <c r="Y43" s="13" t="s">
        <v>3064</v>
      </c>
      <c r="Z43" s="13" t="s">
        <v>3068</v>
      </c>
      <c r="AA43" s="13" t="s">
        <v>1732</v>
      </c>
      <c r="AB43" s="13" t="s">
        <v>3076</v>
      </c>
      <c r="AC43" s="13" t="s">
        <v>3078</v>
      </c>
      <c r="AD43" s="13" t="s">
        <v>3081</v>
      </c>
      <c r="AE43" s="13" t="s">
        <v>3091</v>
      </c>
      <c r="AF43" s="13" t="s">
        <v>3098</v>
      </c>
      <c r="AG43" s="13" t="s">
        <v>1739</v>
      </c>
      <c r="AH43" s="13" t="s">
        <v>3100</v>
      </c>
      <c r="AI43" s="13" t="s">
        <v>3101</v>
      </c>
      <c r="AJ43" s="13" t="s">
        <v>1790</v>
      </c>
      <c r="AK43" s="13" t="s">
        <v>1791</v>
      </c>
      <c r="AL43" s="13" t="s">
        <v>1793</v>
      </c>
      <c r="AM43" s="13" t="s">
        <v>1795</v>
      </c>
      <c r="AN43" s="13" t="s">
        <v>1795</v>
      </c>
      <c r="AO43" s="13" t="s">
        <v>1739</v>
      </c>
      <c r="AP43" s="13" t="s">
        <v>1797</v>
      </c>
      <c r="AQ43" s="13" t="s">
        <v>3129</v>
      </c>
      <c r="AR43" s="13" t="s">
        <v>3197</v>
      </c>
      <c r="AS43" s="13" t="s">
        <v>3285</v>
      </c>
      <c r="AT43" s="13" t="s">
        <v>3345</v>
      </c>
      <c r="AU43" s="13" t="s">
        <v>1828</v>
      </c>
      <c r="AV43" s="13" t="s">
        <v>2987</v>
      </c>
      <c r="AW43" s="13" t="s">
        <v>2987</v>
      </c>
      <c r="AX43" s="13" t="s">
        <v>1849</v>
      </c>
      <c r="AY43" s="13" t="s">
        <v>3380</v>
      </c>
      <c r="AZ43" s="13" t="s">
        <v>3381</v>
      </c>
      <c r="BA43" s="13" t="s">
        <v>3385</v>
      </c>
      <c r="BB43" s="13" t="s">
        <v>3387</v>
      </c>
      <c r="BC43" s="13" t="s">
        <v>3393</v>
      </c>
      <c r="BD43" s="13" t="s">
        <v>3396</v>
      </c>
      <c r="BE43" s="13" t="s">
        <v>1899</v>
      </c>
      <c r="BF43" s="13" t="s">
        <v>1899</v>
      </c>
      <c r="BG43" s="13" t="s">
        <v>3409</v>
      </c>
      <c r="BH43" s="13" t="s">
        <v>3445</v>
      </c>
      <c r="BI43" s="13" t="s">
        <v>3449</v>
      </c>
      <c r="BJ43" s="13" t="s">
        <v>3459</v>
      </c>
      <c r="BK43" s="13" t="s">
        <v>3462</v>
      </c>
      <c r="BL43" s="13" t="s">
        <v>1922</v>
      </c>
      <c r="BM43" s="13" t="s">
        <v>1921</v>
      </c>
      <c r="BN43" s="13" t="s">
        <v>3476</v>
      </c>
      <c r="BO43" s="13" t="s">
        <v>3477</v>
      </c>
      <c r="BP43" s="13" t="s">
        <v>1959</v>
      </c>
      <c r="BQ43" s="13" t="s">
        <v>3483</v>
      </c>
      <c r="BR43" s="13" t="s">
        <v>3544</v>
      </c>
      <c r="BS43" s="13" t="s">
        <v>1959</v>
      </c>
      <c r="BT43" s="13" t="s">
        <v>1960</v>
      </c>
      <c r="BU43" s="13" t="s">
        <v>3545</v>
      </c>
      <c r="BV43" s="13" t="s">
        <v>1962</v>
      </c>
      <c r="BW43" s="13" t="s">
        <v>3548</v>
      </c>
      <c r="BX43" s="13" t="s">
        <v>3549</v>
      </c>
      <c r="BY43" s="311" t="s">
        <v>3553</v>
      </c>
    </row>
    <row r="44" spans="1:77">
      <c r="A44" s="2">
        <v>39</v>
      </c>
      <c r="B44" s="55">
        <f>INDEX(順位表[Comprehensive],MATCH($C44,順位表['#],0))</f>
        <v>29</v>
      </c>
      <c r="C44" s="3">
        <v>39</v>
      </c>
      <c r="D44" s="1" t="str">
        <f>INDEX(都市マスタ[City Name],MATCH($C44,都市マスタ['#],0))</f>
        <v>Boston</v>
      </c>
      <c r="E44" s="13" t="s">
        <v>2776</v>
      </c>
      <c r="F44" s="13" t="s">
        <v>2804</v>
      </c>
      <c r="G44" s="13" t="s">
        <v>2813</v>
      </c>
      <c r="H44" s="13" t="s">
        <v>1573</v>
      </c>
      <c r="I44" s="13" t="s">
        <v>2865</v>
      </c>
      <c r="J44" s="13" t="s">
        <v>1610</v>
      </c>
      <c r="K44" s="13" t="s">
        <v>2909</v>
      </c>
      <c r="L44" s="13"/>
      <c r="M44" s="13" t="s">
        <v>2917</v>
      </c>
      <c r="N44" s="13" t="s">
        <v>1648</v>
      </c>
      <c r="O44" s="13" t="s">
        <v>2968</v>
      </c>
      <c r="P44" s="13" t="s">
        <v>2989</v>
      </c>
      <c r="Q44" s="13" t="s">
        <v>2995</v>
      </c>
      <c r="R44" s="13" t="s">
        <v>3034</v>
      </c>
      <c r="S44" s="13" t="s">
        <v>3044</v>
      </c>
      <c r="T44" s="13" t="s">
        <v>3048</v>
      </c>
      <c r="U44" s="13" t="s">
        <v>3053</v>
      </c>
      <c r="V44" s="13" t="s">
        <v>1725</v>
      </c>
      <c r="W44" s="13" t="s">
        <v>3061</v>
      </c>
      <c r="X44" s="13" t="s">
        <v>1725</v>
      </c>
      <c r="Y44" s="13" t="s">
        <v>3064</v>
      </c>
      <c r="Z44" s="13" t="s">
        <v>3068</v>
      </c>
      <c r="AA44" s="13" t="s">
        <v>1732</v>
      </c>
      <c r="AB44" s="13" t="s">
        <v>3076</v>
      </c>
      <c r="AC44" s="13" t="s">
        <v>3078</v>
      </c>
      <c r="AD44" s="13" t="s">
        <v>3081</v>
      </c>
      <c r="AE44" s="13" t="s">
        <v>3091</v>
      </c>
      <c r="AF44" s="13" t="s">
        <v>3098</v>
      </c>
      <c r="AG44" s="13" t="s">
        <v>1739</v>
      </c>
      <c r="AH44" s="13" t="s">
        <v>3100</v>
      </c>
      <c r="AI44" s="13" t="s">
        <v>3101</v>
      </c>
      <c r="AJ44" s="13" t="s">
        <v>1790</v>
      </c>
      <c r="AK44" s="13" t="s">
        <v>1791</v>
      </c>
      <c r="AL44" s="13" t="s">
        <v>1793</v>
      </c>
      <c r="AM44" s="13" t="s">
        <v>1795</v>
      </c>
      <c r="AN44" s="13" t="s">
        <v>1795</v>
      </c>
      <c r="AO44" s="13" t="s">
        <v>1739</v>
      </c>
      <c r="AP44" s="13" t="s">
        <v>1797</v>
      </c>
      <c r="AQ44" s="13" t="s">
        <v>3129</v>
      </c>
      <c r="AR44" s="13" t="s">
        <v>3197</v>
      </c>
      <c r="AS44" s="13" t="s">
        <v>3285</v>
      </c>
      <c r="AT44" s="13" t="s">
        <v>3345</v>
      </c>
      <c r="AU44" s="13" t="s">
        <v>1828</v>
      </c>
      <c r="AV44" s="13" t="s">
        <v>3349</v>
      </c>
      <c r="AW44" s="13" t="s">
        <v>3357</v>
      </c>
      <c r="AX44" s="13" t="s">
        <v>1849</v>
      </c>
      <c r="AY44" s="13" t="s">
        <v>3380</v>
      </c>
      <c r="AZ44" s="13" t="s">
        <v>3381</v>
      </c>
      <c r="BA44" s="13" t="s">
        <v>3385</v>
      </c>
      <c r="BB44" s="13" t="s">
        <v>3387</v>
      </c>
      <c r="BC44" s="13" t="s">
        <v>3393</v>
      </c>
      <c r="BD44" s="13" t="s">
        <v>3396</v>
      </c>
      <c r="BE44" s="13" t="s">
        <v>1899</v>
      </c>
      <c r="BF44" s="13" t="s">
        <v>1899</v>
      </c>
      <c r="BG44" s="13" t="s">
        <v>3424</v>
      </c>
      <c r="BH44" s="13" t="s">
        <v>3445</v>
      </c>
      <c r="BI44" s="13" t="s">
        <v>3449</v>
      </c>
      <c r="BJ44" s="13" t="s">
        <v>3455</v>
      </c>
      <c r="BK44" s="13" t="s">
        <v>3462</v>
      </c>
      <c r="BL44" s="13" t="s">
        <v>1922</v>
      </c>
      <c r="BM44" s="13" t="s">
        <v>1921</v>
      </c>
      <c r="BN44" s="13" t="s">
        <v>3476</v>
      </c>
      <c r="BO44" s="13" t="s">
        <v>3477</v>
      </c>
      <c r="BP44" s="13" t="s">
        <v>1959</v>
      </c>
      <c r="BQ44" s="13" t="s">
        <v>3492</v>
      </c>
      <c r="BR44" s="13" t="s">
        <v>3544</v>
      </c>
      <c r="BS44" s="13" t="s">
        <v>1959</v>
      </c>
      <c r="BT44" s="13" t="s">
        <v>1960</v>
      </c>
      <c r="BU44" s="13" t="s">
        <v>3545</v>
      </c>
      <c r="BV44" s="13" t="s">
        <v>1962</v>
      </c>
      <c r="BW44" s="13" t="s">
        <v>3548</v>
      </c>
      <c r="BX44" s="13" t="s">
        <v>3549</v>
      </c>
      <c r="BY44" s="311" t="s">
        <v>3561</v>
      </c>
    </row>
    <row r="45" spans="1:77">
      <c r="A45" s="2">
        <v>40</v>
      </c>
      <c r="B45" s="55">
        <f>INDEX(順位表[Comprehensive],MATCH($C45,順位表['#],0))</f>
        <v>39</v>
      </c>
      <c r="C45" s="3">
        <v>40</v>
      </c>
      <c r="D45" s="1" t="str">
        <f>INDEX(都市マスタ[City Name],MATCH($C45,都市マスタ['#],0))</f>
        <v>Sao Paulo</v>
      </c>
      <c r="E45" s="13" t="s">
        <v>2779</v>
      </c>
      <c r="F45" s="13" t="s">
        <v>2806</v>
      </c>
      <c r="G45" s="13" t="s">
        <v>2813</v>
      </c>
      <c r="H45" s="13" t="s">
        <v>2841</v>
      </c>
      <c r="I45" s="13"/>
      <c r="J45" s="13" t="s">
        <v>1612</v>
      </c>
      <c r="K45" s="13" t="s">
        <v>2909</v>
      </c>
      <c r="L45" s="13" t="s">
        <v>2911</v>
      </c>
      <c r="M45" s="13" t="s">
        <v>2917</v>
      </c>
      <c r="N45" s="13" t="s">
        <v>2939</v>
      </c>
      <c r="O45" s="13" t="s">
        <v>2969</v>
      </c>
      <c r="P45" s="13" t="s">
        <v>2987</v>
      </c>
      <c r="Q45" s="13" t="s">
        <v>2995</v>
      </c>
      <c r="R45" s="13" t="s">
        <v>3034</v>
      </c>
      <c r="S45" s="13" t="s">
        <v>3037</v>
      </c>
      <c r="T45" s="13" t="s">
        <v>3048</v>
      </c>
      <c r="U45" s="13" t="s">
        <v>3050</v>
      </c>
      <c r="V45" s="13" t="s">
        <v>1725</v>
      </c>
      <c r="W45" s="13" t="s">
        <v>3061</v>
      </c>
      <c r="X45" s="13" t="s">
        <v>1725</v>
      </c>
      <c r="Y45" s="13" t="s">
        <v>3064</v>
      </c>
      <c r="Z45" s="13" t="s">
        <v>3067</v>
      </c>
      <c r="AA45" s="13" t="s">
        <v>1732</v>
      </c>
      <c r="AB45" s="13" t="s">
        <v>3076</v>
      </c>
      <c r="AC45" s="13" t="s">
        <v>3078</v>
      </c>
      <c r="AD45" s="13" t="s">
        <v>3081</v>
      </c>
      <c r="AE45" s="13" t="s">
        <v>3086</v>
      </c>
      <c r="AF45" s="13" t="s">
        <v>3098</v>
      </c>
      <c r="AG45" s="13" t="s">
        <v>1739</v>
      </c>
      <c r="AH45" s="13" t="s">
        <v>3100</v>
      </c>
      <c r="AI45" s="13" t="s">
        <v>3101</v>
      </c>
      <c r="AJ45" s="13" t="s">
        <v>1790</v>
      </c>
      <c r="AK45" s="13" t="s">
        <v>1791</v>
      </c>
      <c r="AL45" s="13" t="s">
        <v>1793</v>
      </c>
      <c r="AM45" s="13" t="s">
        <v>1795</v>
      </c>
      <c r="AN45" s="13" t="s">
        <v>1795</v>
      </c>
      <c r="AO45" s="13" t="s">
        <v>1739</v>
      </c>
      <c r="AP45" s="13" t="s">
        <v>1797</v>
      </c>
      <c r="AQ45" s="13" t="s">
        <v>3130</v>
      </c>
      <c r="AR45" s="13" t="s">
        <v>3200</v>
      </c>
      <c r="AS45" s="13" t="s">
        <v>3287</v>
      </c>
      <c r="AT45" s="13" t="s">
        <v>3345</v>
      </c>
      <c r="AU45" s="13" t="s">
        <v>1828</v>
      </c>
      <c r="AV45" s="13" t="s">
        <v>2987</v>
      </c>
      <c r="AW45" s="13" t="s">
        <v>2987</v>
      </c>
      <c r="AX45" s="13" t="s">
        <v>3375</v>
      </c>
      <c r="AY45" s="13" t="s">
        <v>3380</v>
      </c>
      <c r="AZ45" s="13" t="s">
        <v>3381</v>
      </c>
      <c r="BA45" s="13" t="s">
        <v>3385</v>
      </c>
      <c r="BB45" s="13" t="s">
        <v>3387</v>
      </c>
      <c r="BC45" s="13" t="s">
        <v>3393</v>
      </c>
      <c r="BD45" s="13" t="s">
        <v>3396</v>
      </c>
      <c r="BE45" s="13" t="s">
        <v>1899</v>
      </c>
      <c r="BF45" s="13" t="s">
        <v>1899</v>
      </c>
      <c r="BG45" s="13" t="s">
        <v>3409</v>
      </c>
      <c r="BH45" s="13" t="s">
        <v>3445</v>
      </c>
      <c r="BI45" s="13" t="s">
        <v>3449</v>
      </c>
      <c r="BJ45" s="13" t="s">
        <v>3455</v>
      </c>
      <c r="BK45" s="13" t="s">
        <v>3462</v>
      </c>
      <c r="BL45" s="13" t="s">
        <v>1922</v>
      </c>
      <c r="BM45" s="13" t="s">
        <v>1921</v>
      </c>
      <c r="BN45" s="13" t="s">
        <v>3476</v>
      </c>
      <c r="BO45" s="13" t="s">
        <v>3477</v>
      </c>
      <c r="BP45" s="13" t="s">
        <v>1959</v>
      </c>
      <c r="BQ45" s="13" t="s">
        <v>3483</v>
      </c>
      <c r="BR45" s="13" t="s">
        <v>3544</v>
      </c>
      <c r="BS45" s="13" t="s">
        <v>1959</v>
      </c>
      <c r="BT45" s="13" t="s">
        <v>1960</v>
      </c>
      <c r="BU45" s="13" t="s">
        <v>3545</v>
      </c>
      <c r="BV45" s="13" t="s">
        <v>1962</v>
      </c>
      <c r="BW45" s="13" t="s">
        <v>3548</v>
      </c>
      <c r="BX45" s="13" t="s">
        <v>3549</v>
      </c>
      <c r="BY45" s="311" t="s">
        <v>3553</v>
      </c>
    </row>
    <row r="46" spans="1:77">
      <c r="A46" s="2">
        <v>41</v>
      </c>
      <c r="B46" s="55">
        <f>INDEX(順位表[Comprehensive],MATCH($C46,順位表['#],0))</f>
        <v>46</v>
      </c>
      <c r="C46" s="3">
        <v>41</v>
      </c>
      <c r="D46" s="1" t="str">
        <f>INDEX(都市マスタ[City Name],MATCH($C46,都市マスタ['#],0))</f>
        <v>Johannesburg</v>
      </c>
      <c r="E46" s="13" t="s">
        <v>2780</v>
      </c>
      <c r="F46" s="13" t="s">
        <v>2807</v>
      </c>
      <c r="G46" s="13" t="s">
        <v>2813</v>
      </c>
      <c r="H46" s="13" t="s">
        <v>2842</v>
      </c>
      <c r="I46" s="13"/>
      <c r="J46" s="13" t="s">
        <v>2875</v>
      </c>
      <c r="K46" s="13" t="s">
        <v>2909</v>
      </c>
      <c r="L46" s="13" t="s">
        <v>2911</v>
      </c>
      <c r="M46" s="13" t="s">
        <v>2917</v>
      </c>
      <c r="N46" s="13" t="s">
        <v>1649</v>
      </c>
      <c r="O46" s="13" t="s">
        <v>2970</v>
      </c>
      <c r="P46" s="13" t="s">
        <v>2987</v>
      </c>
      <c r="Q46" s="13" t="s">
        <v>2995</v>
      </c>
      <c r="R46" s="13" t="s">
        <v>3034</v>
      </c>
      <c r="S46" s="13" t="s">
        <v>3037</v>
      </c>
      <c r="T46" s="13" t="s">
        <v>3048</v>
      </c>
      <c r="U46" s="13" t="s">
        <v>3050</v>
      </c>
      <c r="V46" s="13" t="s">
        <v>1725</v>
      </c>
      <c r="W46" s="13" t="s">
        <v>3061</v>
      </c>
      <c r="X46" s="13" t="s">
        <v>1725</v>
      </c>
      <c r="Y46" s="13" t="s">
        <v>3065</v>
      </c>
      <c r="Z46" s="13" t="s">
        <v>3067</v>
      </c>
      <c r="AA46" s="13" t="s">
        <v>1732</v>
      </c>
      <c r="AB46" s="13" t="s">
        <v>3076</v>
      </c>
      <c r="AC46" s="13" t="s">
        <v>3078</v>
      </c>
      <c r="AD46" s="13" t="s">
        <v>3081</v>
      </c>
      <c r="AE46" s="13" t="s">
        <v>3086</v>
      </c>
      <c r="AF46" s="13" t="s">
        <v>3098</v>
      </c>
      <c r="AG46" s="13" t="s">
        <v>1739</v>
      </c>
      <c r="AH46" s="13" t="s">
        <v>3100</v>
      </c>
      <c r="AI46" s="13" t="s">
        <v>3101</v>
      </c>
      <c r="AJ46" s="13" t="s">
        <v>1790</v>
      </c>
      <c r="AK46" s="13" t="s">
        <v>1791</v>
      </c>
      <c r="AL46" s="13" t="s">
        <v>1793</v>
      </c>
      <c r="AM46" s="13" t="s">
        <v>1795</v>
      </c>
      <c r="AN46" s="13" t="s">
        <v>1795</v>
      </c>
      <c r="AO46" s="13" t="s">
        <v>1739</v>
      </c>
      <c r="AP46" s="13" t="s">
        <v>1797</v>
      </c>
      <c r="AQ46" s="13" t="s">
        <v>1803</v>
      </c>
      <c r="AR46" s="13" t="s">
        <v>3201</v>
      </c>
      <c r="AS46" s="13" t="s">
        <v>3288</v>
      </c>
      <c r="AT46" s="13" t="s">
        <v>3345</v>
      </c>
      <c r="AU46" s="13" t="s">
        <v>1828</v>
      </c>
      <c r="AV46" s="13" t="s">
        <v>2987</v>
      </c>
      <c r="AW46" s="13" t="s">
        <v>2987</v>
      </c>
      <c r="AX46" s="13" t="s">
        <v>1851</v>
      </c>
      <c r="AY46" s="13" t="s">
        <v>3380</v>
      </c>
      <c r="AZ46" s="13" t="s">
        <v>3381</v>
      </c>
      <c r="BA46" s="13" t="s">
        <v>3385</v>
      </c>
      <c r="BB46" s="13" t="s">
        <v>3387</v>
      </c>
      <c r="BC46" s="13" t="s">
        <v>3393</v>
      </c>
      <c r="BD46" s="13" t="s">
        <v>3396</v>
      </c>
      <c r="BE46" s="13" t="s">
        <v>1899</v>
      </c>
      <c r="BF46" s="13" t="s">
        <v>1899</v>
      </c>
      <c r="BG46" s="13" t="s">
        <v>3425</v>
      </c>
      <c r="BH46" s="13" t="s">
        <v>3445</v>
      </c>
      <c r="BI46" s="13" t="s">
        <v>1912</v>
      </c>
      <c r="BJ46" s="13" t="s">
        <v>3455</v>
      </c>
      <c r="BK46" s="13" t="s">
        <v>3462</v>
      </c>
      <c r="BL46" s="13" t="s">
        <v>1922</v>
      </c>
      <c r="BM46" s="13" t="s">
        <v>1921</v>
      </c>
      <c r="BN46" s="13" t="s">
        <v>3476</v>
      </c>
      <c r="BO46" s="13" t="s">
        <v>3477</v>
      </c>
      <c r="BP46" s="13" t="s">
        <v>1959</v>
      </c>
      <c r="BQ46" s="13" t="s">
        <v>3482</v>
      </c>
      <c r="BR46" s="13" t="s">
        <v>3544</v>
      </c>
      <c r="BS46" s="13" t="s">
        <v>1959</v>
      </c>
      <c r="BT46" s="13" t="s">
        <v>1960</v>
      </c>
      <c r="BU46" s="13" t="s">
        <v>3545</v>
      </c>
      <c r="BV46" s="13" t="s">
        <v>1962</v>
      </c>
      <c r="BW46" s="13" t="s">
        <v>3548</v>
      </c>
      <c r="BX46" s="13" t="s">
        <v>3549</v>
      </c>
      <c r="BY46" s="311" t="s">
        <v>3553</v>
      </c>
    </row>
    <row r="47" spans="1:77">
      <c r="A47" s="2">
        <v>42</v>
      </c>
      <c r="B47" s="55">
        <f>INDEX(順位表[Comprehensive],MATCH($C47,順位表['#],0))</f>
        <v>45</v>
      </c>
      <c r="C47" s="3">
        <v>42</v>
      </c>
      <c r="D47" s="1" t="str">
        <f>INDEX(都市マスタ[City Name],MATCH($C47,都市マスタ['#],0))</f>
        <v>Jakarta</v>
      </c>
      <c r="E47" s="13" t="s">
        <v>2781</v>
      </c>
      <c r="F47" s="13" t="s">
        <v>2808</v>
      </c>
      <c r="G47" s="13" t="s">
        <v>2816</v>
      </c>
      <c r="H47" s="13" t="s">
        <v>2843</v>
      </c>
      <c r="I47" s="13" t="s">
        <v>2866</v>
      </c>
      <c r="J47" s="13" t="s">
        <v>2882</v>
      </c>
      <c r="K47" s="13" t="s">
        <v>2909</v>
      </c>
      <c r="L47" s="13" t="s">
        <v>2911</v>
      </c>
      <c r="M47" s="13" t="s">
        <v>2917</v>
      </c>
      <c r="N47" s="13" t="s">
        <v>2940</v>
      </c>
      <c r="O47" s="13" t="s">
        <v>1665</v>
      </c>
      <c r="P47" s="13" t="s">
        <v>2987</v>
      </c>
      <c r="Q47" s="13" t="s">
        <v>2996</v>
      </c>
      <c r="R47" s="13" t="s">
        <v>3034</v>
      </c>
      <c r="S47" s="13" t="s">
        <v>3037</v>
      </c>
      <c r="T47" s="13" t="s">
        <v>3048</v>
      </c>
      <c r="U47" s="13" t="s">
        <v>3050</v>
      </c>
      <c r="V47" s="13" t="s">
        <v>1725</v>
      </c>
      <c r="W47" s="13" t="s">
        <v>3061</v>
      </c>
      <c r="X47" s="13" t="s">
        <v>1725</v>
      </c>
      <c r="Y47" s="13" t="s">
        <v>3064</v>
      </c>
      <c r="Z47" s="13" t="s">
        <v>3067</v>
      </c>
      <c r="AA47" s="13" t="s">
        <v>1732</v>
      </c>
      <c r="AB47" s="13" t="s">
        <v>3076</v>
      </c>
      <c r="AC47" s="13" t="s">
        <v>3078</v>
      </c>
      <c r="AD47" s="13" t="s">
        <v>3081</v>
      </c>
      <c r="AE47" s="13" t="s">
        <v>3088</v>
      </c>
      <c r="AF47" s="13" t="s">
        <v>3098</v>
      </c>
      <c r="AG47" s="13" t="s">
        <v>1739</v>
      </c>
      <c r="AH47" s="13" t="s">
        <v>3100</v>
      </c>
      <c r="AI47" s="13" t="s">
        <v>3101</v>
      </c>
      <c r="AJ47" s="13" t="s">
        <v>1790</v>
      </c>
      <c r="AK47" s="13" t="s">
        <v>1791</v>
      </c>
      <c r="AL47" s="13" t="s">
        <v>1793</v>
      </c>
      <c r="AM47" s="13" t="s">
        <v>1795</v>
      </c>
      <c r="AN47" s="13" t="s">
        <v>1795</v>
      </c>
      <c r="AO47" s="13" t="s">
        <v>1739</v>
      </c>
      <c r="AP47" s="13" t="s">
        <v>1797</v>
      </c>
      <c r="AQ47" s="13" t="s">
        <v>1804</v>
      </c>
      <c r="AR47" s="13" t="s">
        <v>3202</v>
      </c>
      <c r="AS47" s="13" t="s">
        <v>3289</v>
      </c>
      <c r="AT47" s="13" t="s">
        <v>3345</v>
      </c>
      <c r="AU47" s="13" t="s">
        <v>1828</v>
      </c>
      <c r="AV47" s="13" t="s">
        <v>2987</v>
      </c>
      <c r="AW47" s="13" t="s">
        <v>2987</v>
      </c>
      <c r="AX47" s="13" t="s">
        <v>3376</v>
      </c>
      <c r="AY47" s="13" t="s">
        <v>3380</v>
      </c>
      <c r="AZ47" s="13" t="s">
        <v>3381</v>
      </c>
      <c r="BA47" s="13" t="s">
        <v>3385</v>
      </c>
      <c r="BB47" s="13" t="s">
        <v>3387</v>
      </c>
      <c r="BC47" s="13" t="s">
        <v>3393</v>
      </c>
      <c r="BD47" s="13" t="s">
        <v>3396</v>
      </c>
      <c r="BE47" s="13" t="s">
        <v>1899</v>
      </c>
      <c r="BF47" s="13" t="s">
        <v>1899</v>
      </c>
      <c r="BG47" s="13" t="s">
        <v>3409</v>
      </c>
      <c r="BH47" s="13" t="s">
        <v>3445</v>
      </c>
      <c r="BI47" s="13" t="s">
        <v>1913</v>
      </c>
      <c r="BJ47" s="13" t="s">
        <v>3455</v>
      </c>
      <c r="BK47" s="13" t="s">
        <v>3462</v>
      </c>
      <c r="BL47" s="13" t="s">
        <v>1922</v>
      </c>
      <c r="BM47" s="13" t="s">
        <v>1921</v>
      </c>
      <c r="BN47" s="13" t="s">
        <v>3476</v>
      </c>
      <c r="BO47" s="13" t="s">
        <v>3477</v>
      </c>
      <c r="BP47" s="13" t="s">
        <v>1959</v>
      </c>
      <c r="BQ47" s="13" t="s">
        <v>3483</v>
      </c>
      <c r="BR47" s="13" t="s">
        <v>3544</v>
      </c>
      <c r="BS47" s="13" t="s">
        <v>1959</v>
      </c>
      <c r="BT47" s="13" t="s">
        <v>1960</v>
      </c>
      <c r="BU47" s="13" t="s">
        <v>3545</v>
      </c>
      <c r="BV47" s="13" t="s">
        <v>1962</v>
      </c>
      <c r="BW47" s="13" t="s">
        <v>3548</v>
      </c>
      <c r="BX47" s="13" t="s">
        <v>3549</v>
      </c>
      <c r="BY47" s="311" t="s">
        <v>3553</v>
      </c>
    </row>
    <row r="48" spans="1:77">
      <c r="A48" s="2">
        <v>43</v>
      </c>
      <c r="B48" s="55">
        <f>INDEX(順位表[Comprehensive],MATCH($C48,順位表['#],0))</f>
        <v>44</v>
      </c>
      <c r="C48" s="3">
        <v>43</v>
      </c>
      <c r="D48" s="1" t="str">
        <f>INDEX(都市マスタ[City Name],MATCH($C48,都市マスタ['#],0))</f>
        <v>Buenos Aires</v>
      </c>
      <c r="E48" s="13" t="s">
        <v>2782</v>
      </c>
      <c r="F48" s="13" t="s">
        <v>2782</v>
      </c>
      <c r="G48" s="13" t="s">
        <v>2813</v>
      </c>
      <c r="H48" s="13" t="s">
        <v>2844</v>
      </c>
      <c r="I48" s="13"/>
      <c r="J48" s="13" t="s">
        <v>2844</v>
      </c>
      <c r="K48" s="13" t="s">
        <v>2909</v>
      </c>
      <c r="L48" s="13" t="s">
        <v>2911</v>
      </c>
      <c r="M48" s="13" t="s">
        <v>2917</v>
      </c>
      <c r="N48" s="13" t="s">
        <v>2941</v>
      </c>
      <c r="O48" s="13" t="s">
        <v>2941</v>
      </c>
      <c r="P48" s="13" t="s">
        <v>2987</v>
      </c>
      <c r="Q48" s="13" t="s">
        <v>2995</v>
      </c>
      <c r="R48" s="13" t="s">
        <v>3034</v>
      </c>
      <c r="S48" s="13" t="s">
        <v>3037</v>
      </c>
      <c r="T48" s="13" t="s">
        <v>3048</v>
      </c>
      <c r="U48" s="13" t="s">
        <v>3050</v>
      </c>
      <c r="V48" s="13" t="s">
        <v>1725</v>
      </c>
      <c r="W48" s="13" t="s">
        <v>3061</v>
      </c>
      <c r="X48" s="13" t="s">
        <v>1725</v>
      </c>
      <c r="Y48" s="13" t="s">
        <v>3064</v>
      </c>
      <c r="Z48" s="13" t="s">
        <v>3067</v>
      </c>
      <c r="AA48" s="13" t="s">
        <v>1732</v>
      </c>
      <c r="AB48" s="13" t="s">
        <v>3076</v>
      </c>
      <c r="AC48" s="13" t="s">
        <v>3078</v>
      </c>
      <c r="AD48" s="13" t="s">
        <v>3081</v>
      </c>
      <c r="AE48" s="13" t="s">
        <v>3086</v>
      </c>
      <c r="AF48" s="13" t="s">
        <v>3098</v>
      </c>
      <c r="AG48" s="13" t="s">
        <v>1739</v>
      </c>
      <c r="AH48" s="13" t="s">
        <v>3100</v>
      </c>
      <c r="AI48" s="13" t="s">
        <v>3101</v>
      </c>
      <c r="AJ48" s="13" t="s">
        <v>1790</v>
      </c>
      <c r="AK48" s="13" t="s">
        <v>1791</v>
      </c>
      <c r="AL48" s="13" t="s">
        <v>1793</v>
      </c>
      <c r="AM48" s="13" t="s">
        <v>1795</v>
      </c>
      <c r="AN48" s="13" t="s">
        <v>1795</v>
      </c>
      <c r="AO48" s="13" t="s">
        <v>1739</v>
      </c>
      <c r="AP48" s="13" t="s">
        <v>1797</v>
      </c>
      <c r="AQ48" s="13" t="s">
        <v>3131</v>
      </c>
      <c r="AR48" s="13" t="s">
        <v>3203</v>
      </c>
      <c r="AS48" s="13" t="s">
        <v>3290</v>
      </c>
      <c r="AT48" s="13" t="s">
        <v>3345</v>
      </c>
      <c r="AU48" s="13" t="s">
        <v>1828</v>
      </c>
      <c r="AV48" s="13" t="s">
        <v>2987</v>
      </c>
      <c r="AW48" s="13" t="s">
        <v>2987</v>
      </c>
      <c r="AX48" s="13" t="s">
        <v>1841</v>
      </c>
      <c r="AY48" s="13" t="s">
        <v>3380</v>
      </c>
      <c r="AZ48" s="13" t="s">
        <v>3381</v>
      </c>
      <c r="BA48" s="13" t="s">
        <v>3385</v>
      </c>
      <c r="BB48" s="13" t="s">
        <v>3387</v>
      </c>
      <c r="BC48" s="13" t="s">
        <v>3394</v>
      </c>
      <c r="BD48" s="13" t="s">
        <v>3396</v>
      </c>
      <c r="BE48" s="13" t="s">
        <v>1899</v>
      </c>
      <c r="BF48" s="13" t="s">
        <v>1899</v>
      </c>
      <c r="BG48" s="13" t="s">
        <v>3426</v>
      </c>
      <c r="BH48" s="13" t="s">
        <v>3445</v>
      </c>
      <c r="BI48" s="13" t="s">
        <v>3454</v>
      </c>
      <c r="BJ48" s="13" t="s">
        <v>3455</v>
      </c>
      <c r="BK48" s="13" t="s">
        <v>3462</v>
      </c>
      <c r="BL48" s="13" t="s">
        <v>1922</v>
      </c>
      <c r="BM48" s="13" t="s">
        <v>1921</v>
      </c>
      <c r="BN48" s="13" t="s">
        <v>3476</v>
      </c>
      <c r="BO48" s="13" t="s">
        <v>3477</v>
      </c>
      <c r="BP48" s="13" t="s">
        <v>1959</v>
      </c>
      <c r="BQ48" s="13" t="s">
        <v>3493</v>
      </c>
      <c r="BR48" s="13" t="s">
        <v>3544</v>
      </c>
      <c r="BS48" s="13" t="s">
        <v>1959</v>
      </c>
      <c r="BT48" s="13" t="s">
        <v>1960</v>
      </c>
      <c r="BU48" s="13" t="s">
        <v>3545</v>
      </c>
      <c r="BV48" s="13" t="s">
        <v>1962</v>
      </c>
      <c r="BW48" s="13" t="s">
        <v>3548</v>
      </c>
      <c r="BX48" s="13" t="s">
        <v>3549</v>
      </c>
      <c r="BY48" s="311" t="s">
        <v>3553</v>
      </c>
    </row>
    <row r="49" spans="1:77">
      <c r="A49" s="2">
        <v>44</v>
      </c>
      <c r="B49" s="55">
        <f>INDEX(順位表[Comprehensive],MATCH($C49,順位表['#],0))</f>
        <v>8</v>
      </c>
      <c r="C49" s="3">
        <v>44</v>
      </c>
      <c r="D49" s="1" t="str">
        <f>INDEX(都市マスタ[City Name],MATCH($C49,都市マスタ['#],0))</f>
        <v>Dubai</v>
      </c>
      <c r="E49" s="13" t="s">
        <v>2783</v>
      </c>
      <c r="F49" s="13" t="s">
        <v>2809</v>
      </c>
      <c r="G49" s="13" t="s">
        <v>2813</v>
      </c>
      <c r="H49" s="13" t="s">
        <v>1574</v>
      </c>
      <c r="I49" s="13"/>
      <c r="J49" s="13" t="s">
        <v>1613</v>
      </c>
      <c r="K49" s="13" t="s">
        <v>2909</v>
      </c>
      <c r="L49" s="13" t="s">
        <v>2911</v>
      </c>
      <c r="M49" s="13" t="s">
        <v>2917</v>
      </c>
      <c r="N49" s="13" t="s">
        <v>1650</v>
      </c>
      <c r="O49" s="13" t="s">
        <v>2971</v>
      </c>
      <c r="P49" s="13" t="s">
        <v>2987</v>
      </c>
      <c r="Q49" s="13" t="s">
        <v>2995</v>
      </c>
      <c r="R49" s="13" t="s">
        <v>3034</v>
      </c>
      <c r="S49" s="13" t="s">
        <v>3046</v>
      </c>
      <c r="T49" s="13" t="s">
        <v>3048</v>
      </c>
      <c r="U49" s="13" t="s">
        <v>3050</v>
      </c>
      <c r="V49" s="13" t="s">
        <v>1725</v>
      </c>
      <c r="W49" s="13" t="s">
        <v>3061</v>
      </c>
      <c r="X49" s="13" t="s">
        <v>1725</v>
      </c>
      <c r="Y49" s="13" t="s">
        <v>3064</v>
      </c>
      <c r="Z49" s="13" t="s">
        <v>3067</v>
      </c>
      <c r="AA49" s="13" t="s">
        <v>1732</v>
      </c>
      <c r="AB49" s="13" t="s">
        <v>3076</v>
      </c>
      <c r="AC49" s="13" t="s">
        <v>3078</v>
      </c>
      <c r="AD49" s="13" t="s">
        <v>3081</v>
      </c>
      <c r="AE49" s="13" t="s">
        <v>3090</v>
      </c>
      <c r="AF49" s="13" t="s">
        <v>3098</v>
      </c>
      <c r="AG49" s="13" t="s">
        <v>1739</v>
      </c>
      <c r="AH49" s="13" t="s">
        <v>3100</v>
      </c>
      <c r="AI49" s="13" t="s">
        <v>3101</v>
      </c>
      <c r="AJ49" s="13" t="s">
        <v>1790</v>
      </c>
      <c r="AK49" s="13" t="s">
        <v>1791</v>
      </c>
      <c r="AL49" s="13" t="s">
        <v>1793</v>
      </c>
      <c r="AM49" s="13" t="s">
        <v>1795</v>
      </c>
      <c r="AN49" s="13" t="s">
        <v>1795</v>
      </c>
      <c r="AO49" s="13" t="s">
        <v>1739</v>
      </c>
      <c r="AP49" s="13" t="s">
        <v>1797</v>
      </c>
      <c r="AQ49" s="13" t="s">
        <v>1805</v>
      </c>
      <c r="AR49" s="13" t="s">
        <v>3204</v>
      </c>
      <c r="AS49" s="13" t="s">
        <v>3291</v>
      </c>
      <c r="AT49" s="13" t="s">
        <v>3345</v>
      </c>
      <c r="AU49" s="13" t="s">
        <v>1828</v>
      </c>
      <c r="AV49" s="13" t="s">
        <v>2987</v>
      </c>
      <c r="AW49" s="13" t="s">
        <v>2987</v>
      </c>
      <c r="AX49" s="13" t="s">
        <v>1842</v>
      </c>
      <c r="AY49" s="13" t="s">
        <v>3380</v>
      </c>
      <c r="AZ49" s="13" t="s">
        <v>3381</v>
      </c>
      <c r="BA49" s="13" t="s">
        <v>3385</v>
      </c>
      <c r="BB49" s="13" t="s">
        <v>3387</v>
      </c>
      <c r="BC49" s="13" t="s">
        <v>3394</v>
      </c>
      <c r="BD49" s="13" t="s">
        <v>3396</v>
      </c>
      <c r="BE49" s="13" t="s">
        <v>1899</v>
      </c>
      <c r="BF49" s="13" t="s">
        <v>1899</v>
      </c>
      <c r="BG49" s="13" t="s">
        <v>3409</v>
      </c>
      <c r="BH49" s="13" t="s">
        <v>3445</v>
      </c>
      <c r="BI49" s="13" t="s">
        <v>3451</v>
      </c>
      <c r="BJ49" s="13" t="s">
        <v>3455</v>
      </c>
      <c r="BK49" s="13" t="s">
        <v>3462</v>
      </c>
      <c r="BL49" s="13" t="s">
        <v>1922</v>
      </c>
      <c r="BM49" s="13" t="s">
        <v>1921</v>
      </c>
      <c r="BN49" s="13" t="s">
        <v>3476</v>
      </c>
      <c r="BO49" s="13" t="s">
        <v>3477</v>
      </c>
      <c r="BP49" s="13" t="s">
        <v>1959</v>
      </c>
      <c r="BQ49" s="13" t="s">
        <v>3483</v>
      </c>
      <c r="BR49" s="13" t="s">
        <v>3544</v>
      </c>
      <c r="BS49" s="13" t="s">
        <v>1959</v>
      </c>
      <c r="BT49" s="13" t="s">
        <v>1960</v>
      </c>
      <c r="BU49" s="13" t="s">
        <v>3545</v>
      </c>
      <c r="BV49" s="13" t="s">
        <v>1962</v>
      </c>
      <c r="BW49" s="13" t="s">
        <v>3548</v>
      </c>
      <c r="BX49" s="13" t="s">
        <v>3549</v>
      </c>
      <c r="BY49" s="311" t="s">
        <v>3554</v>
      </c>
    </row>
    <row r="50" spans="1:77">
      <c r="A50" s="2">
        <v>45</v>
      </c>
      <c r="B50" s="55">
        <f>INDEX(順位表[Comprehensive],MATCH($C50,順位表['#],0))</f>
        <v>28</v>
      </c>
      <c r="C50" s="3">
        <v>45</v>
      </c>
      <c r="D50" s="1" t="str">
        <f>INDEX(都市マスタ[City Name],MATCH($C50,都市マスタ['#],0))</f>
        <v>Dublin</v>
      </c>
      <c r="E50" s="13" t="s">
        <v>2784</v>
      </c>
      <c r="F50" s="13" t="s">
        <v>2784</v>
      </c>
      <c r="G50" s="13" t="s">
        <v>2813</v>
      </c>
      <c r="H50" s="13" t="s">
        <v>1575</v>
      </c>
      <c r="I50" s="13" t="s">
        <v>2845</v>
      </c>
      <c r="J50" s="13" t="s">
        <v>2820</v>
      </c>
      <c r="K50" s="13" t="s">
        <v>2909</v>
      </c>
      <c r="L50" s="13" t="s">
        <v>2912</v>
      </c>
      <c r="M50" s="13" t="s">
        <v>2917</v>
      </c>
      <c r="N50" s="13" t="s">
        <v>2942</v>
      </c>
      <c r="O50" s="13" t="s">
        <v>2972</v>
      </c>
      <c r="P50" s="13" t="s">
        <v>2987</v>
      </c>
      <c r="Q50" s="13" t="s">
        <v>2995</v>
      </c>
      <c r="R50" s="13" t="s">
        <v>3034</v>
      </c>
      <c r="S50" s="13" t="s">
        <v>3037</v>
      </c>
      <c r="T50" s="13" t="s">
        <v>3048</v>
      </c>
      <c r="U50" s="13" t="s">
        <v>3050</v>
      </c>
      <c r="V50" s="13" t="s">
        <v>1725</v>
      </c>
      <c r="W50" s="13" t="s">
        <v>3061</v>
      </c>
      <c r="X50" s="13" t="s">
        <v>1725</v>
      </c>
      <c r="Y50" s="13" t="s">
        <v>3064</v>
      </c>
      <c r="Z50" s="13" t="s">
        <v>3067</v>
      </c>
      <c r="AA50" s="13" t="s">
        <v>1732</v>
      </c>
      <c r="AB50" s="13" t="s">
        <v>3076</v>
      </c>
      <c r="AC50" s="13" t="s">
        <v>3078</v>
      </c>
      <c r="AD50" s="13" t="s">
        <v>3081</v>
      </c>
      <c r="AE50" s="13" t="s">
        <v>3086</v>
      </c>
      <c r="AF50" s="13" t="s">
        <v>3098</v>
      </c>
      <c r="AG50" s="13" t="s">
        <v>1739</v>
      </c>
      <c r="AH50" s="13" t="s">
        <v>3100</v>
      </c>
      <c r="AI50" s="13" t="s">
        <v>3101</v>
      </c>
      <c r="AJ50" s="13" t="s">
        <v>1790</v>
      </c>
      <c r="AK50" s="13" t="s">
        <v>1791</v>
      </c>
      <c r="AL50" s="13" t="s">
        <v>1793</v>
      </c>
      <c r="AM50" s="13" t="s">
        <v>1795</v>
      </c>
      <c r="AN50" s="13" t="s">
        <v>1795</v>
      </c>
      <c r="AO50" s="13" t="s">
        <v>1739</v>
      </c>
      <c r="AP50" s="13" t="s">
        <v>1797</v>
      </c>
      <c r="AQ50" s="13" t="s">
        <v>3132</v>
      </c>
      <c r="AR50" s="13" t="s">
        <v>3205</v>
      </c>
      <c r="AS50" s="13" t="s">
        <v>3292</v>
      </c>
      <c r="AT50" s="13" t="s">
        <v>3345</v>
      </c>
      <c r="AU50" s="13" t="s">
        <v>1828</v>
      </c>
      <c r="AV50" s="13" t="s">
        <v>2987</v>
      </c>
      <c r="AW50" s="13" t="s">
        <v>2987</v>
      </c>
      <c r="AX50" s="13" t="s">
        <v>3377</v>
      </c>
      <c r="AY50" s="13" t="s">
        <v>3380</v>
      </c>
      <c r="AZ50" s="13" t="s">
        <v>3381</v>
      </c>
      <c r="BA50" s="13" t="s">
        <v>3385</v>
      </c>
      <c r="BB50" s="13" t="s">
        <v>3387</v>
      </c>
      <c r="BC50" s="13" t="s">
        <v>3393</v>
      </c>
      <c r="BD50" s="13" t="s">
        <v>3396</v>
      </c>
      <c r="BE50" s="13" t="s">
        <v>1899</v>
      </c>
      <c r="BF50" s="13" t="s">
        <v>1899</v>
      </c>
      <c r="BG50" s="13" t="s">
        <v>3427</v>
      </c>
      <c r="BH50" s="13" t="s">
        <v>3445</v>
      </c>
      <c r="BI50" s="13" t="s">
        <v>3449</v>
      </c>
      <c r="BJ50" s="13" t="s">
        <v>3455</v>
      </c>
      <c r="BK50" s="13" t="s">
        <v>3462</v>
      </c>
      <c r="BL50" s="13" t="s">
        <v>1922</v>
      </c>
      <c r="BM50" s="13" t="s">
        <v>1921</v>
      </c>
      <c r="BN50" s="13" t="s">
        <v>3476</v>
      </c>
      <c r="BO50" s="13" t="s">
        <v>3477</v>
      </c>
      <c r="BP50" s="13" t="s">
        <v>1959</v>
      </c>
      <c r="BQ50" s="13" t="s">
        <v>3494</v>
      </c>
      <c r="BR50" s="13" t="s">
        <v>3544</v>
      </c>
      <c r="BS50" s="13" t="s">
        <v>1959</v>
      </c>
      <c r="BT50" s="13" t="s">
        <v>1960</v>
      </c>
      <c r="BU50" s="13" t="s">
        <v>3545</v>
      </c>
      <c r="BV50" s="13" t="s">
        <v>1962</v>
      </c>
      <c r="BW50" s="13" t="s">
        <v>3548</v>
      </c>
      <c r="BX50" s="13" t="s">
        <v>3549</v>
      </c>
      <c r="BY50" s="311" t="s">
        <v>3553</v>
      </c>
    </row>
    <row r="51" spans="1:77">
      <c r="A51" s="2">
        <v>46</v>
      </c>
      <c r="B51" s="55">
        <f>INDEX(順位表[Comprehensive],MATCH($C51,順位表['#],0))</f>
        <v>31</v>
      </c>
      <c r="C51" s="3">
        <v>46</v>
      </c>
      <c r="D51" s="1" t="str">
        <f>INDEX(都市マスタ[City Name],MATCH($C51,都市マスタ['#],0))</f>
        <v>Helsinki</v>
      </c>
      <c r="E51" s="13" t="s">
        <v>2785</v>
      </c>
      <c r="F51" s="13" t="s">
        <v>2785</v>
      </c>
      <c r="G51" s="13" t="s">
        <v>2813</v>
      </c>
      <c r="H51" s="13" t="s">
        <v>1576</v>
      </c>
      <c r="I51" s="13"/>
      <c r="J51" s="13" t="s">
        <v>2820</v>
      </c>
      <c r="K51" s="13" t="s">
        <v>2909</v>
      </c>
      <c r="L51" s="13" t="s">
        <v>2915</v>
      </c>
      <c r="M51" s="13" t="s">
        <v>2917</v>
      </c>
      <c r="N51" s="13" t="s">
        <v>2785</v>
      </c>
      <c r="O51" s="13" t="s">
        <v>2973</v>
      </c>
      <c r="P51" s="13" t="s">
        <v>2987</v>
      </c>
      <c r="Q51" s="13" t="s">
        <v>2995</v>
      </c>
      <c r="R51" s="13" t="s">
        <v>3034</v>
      </c>
      <c r="S51" s="13" t="s">
        <v>3037</v>
      </c>
      <c r="T51" s="13" t="s">
        <v>3048</v>
      </c>
      <c r="U51" s="13" t="s">
        <v>3050</v>
      </c>
      <c r="V51" s="13" t="s">
        <v>1725</v>
      </c>
      <c r="W51" s="13" t="s">
        <v>3061</v>
      </c>
      <c r="X51" s="13" t="s">
        <v>1725</v>
      </c>
      <c r="Y51" s="13" t="s">
        <v>3064</v>
      </c>
      <c r="Z51" s="13" t="s">
        <v>3067</v>
      </c>
      <c r="AA51" s="13" t="s">
        <v>1732</v>
      </c>
      <c r="AB51" s="13" t="s">
        <v>3076</v>
      </c>
      <c r="AC51" s="13" t="s">
        <v>3078</v>
      </c>
      <c r="AD51" s="13" t="s">
        <v>3081</v>
      </c>
      <c r="AE51" s="13" t="s">
        <v>3086</v>
      </c>
      <c r="AF51" s="13" t="s">
        <v>3098</v>
      </c>
      <c r="AG51" s="13" t="s">
        <v>1739</v>
      </c>
      <c r="AH51" s="13" t="s">
        <v>3100</v>
      </c>
      <c r="AI51" s="13" t="s">
        <v>3101</v>
      </c>
      <c r="AJ51" s="13" t="s">
        <v>1790</v>
      </c>
      <c r="AK51" s="13" t="s">
        <v>1791</v>
      </c>
      <c r="AL51" s="13" t="s">
        <v>1793</v>
      </c>
      <c r="AM51" s="13" t="s">
        <v>1795</v>
      </c>
      <c r="AN51" s="13" t="s">
        <v>1795</v>
      </c>
      <c r="AO51" s="13" t="s">
        <v>1739</v>
      </c>
      <c r="AP51" s="13" t="s">
        <v>1797</v>
      </c>
      <c r="AQ51" s="13" t="s">
        <v>3133</v>
      </c>
      <c r="AR51" s="13" t="s">
        <v>3206</v>
      </c>
      <c r="AS51" s="13" t="s">
        <v>3293</v>
      </c>
      <c r="AT51" s="13" t="s">
        <v>3345</v>
      </c>
      <c r="AU51" s="13" t="s">
        <v>1828</v>
      </c>
      <c r="AV51" s="13" t="s">
        <v>2987</v>
      </c>
      <c r="AW51" s="13" t="s">
        <v>2987</v>
      </c>
      <c r="AX51" s="13" t="s">
        <v>1840</v>
      </c>
      <c r="AY51" s="13" t="s">
        <v>3380</v>
      </c>
      <c r="AZ51" s="13" t="s">
        <v>3381</v>
      </c>
      <c r="BA51" s="13" t="s">
        <v>3385</v>
      </c>
      <c r="BB51" s="13" t="s">
        <v>3387</v>
      </c>
      <c r="BC51" s="13" t="s">
        <v>3393</v>
      </c>
      <c r="BD51" s="13" t="s">
        <v>3396</v>
      </c>
      <c r="BE51" s="13" t="s">
        <v>1899</v>
      </c>
      <c r="BF51" s="13" t="s">
        <v>1899</v>
      </c>
      <c r="BG51" s="13" t="s">
        <v>3409</v>
      </c>
      <c r="BH51" s="13" t="s">
        <v>3445</v>
      </c>
      <c r="BI51" s="13" t="s">
        <v>3449</v>
      </c>
      <c r="BJ51" s="13" t="s">
        <v>3455</v>
      </c>
      <c r="BK51" s="13" t="s">
        <v>3462</v>
      </c>
      <c r="BL51" s="13" t="s">
        <v>1922</v>
      </c>
      <c r="BM51" s="13" t="s">
        <v>1921</v>
      </c>
      <c r="BN51" s="13" t="s">
        <v>3476</v>
      </c>
      <c r="BO51" s="13" t="s">
        <v>3477</v>
      </c>
      <c r="BP51" s="13" t="s">
        <v>1959</v>
      </c>
      <c r="BQ51" s="13" t="s">
        <v>3495</v>
      </c>
      <c r="BR51" s="13" t="s">
        <v>3544</v>
      </c>
      <c r="BS51" s="13" t="s">
        <v>1959</v>
      </c>
      <c r="BT51" s="13" t="s">
        <v>1960</v>
      </c>
      <c r="BU51" s="13" t="s">
        <v>3545</v>
      </c>
      <c r="BV51" s="13" t="s">
        <v>1962</v>
      </c>
      <c r="BW51" s="13" t="s">
        <v>3548</v>
      </c>
      <c r="BX51" s="13" t="s">
        <v>3549</v>
      </c>
      <c r="BY51" s="311" t="s">
        <v>3553</v>
      </c>
    </row>
    <row r="52" spans="1:77">
      <c r="A52" s="2">
        <v>47</v>
      </c>
      <c r="B52" s="55">
        <f>INDEX(順位表[Comprehensive],MATCH($C52,順位表['#],0))</f>
        <v>40</v>
      </c>
      <c r="C52" s="3">
        <v>47</v>
      </c>
      <c r="D52" s="1" t="str">
        <f>INDEX(都市マスタ[City Name],MATCH($C52,都市マスタ['#],0))</f>
        <v>Tel Aviv</v>
      </c>
      <c r="E52" s="13" t="s">
        <v>2786</v>
      </c>
      <c r="F52" s="13" t="s">
        <v>2810</v>
      </c>
      <c r="G52" s="13" t="s">
        <v>2813</v>
      </c>
      <c r="H52" s="13" t="s">
        <v>2846</v>
      </c>
      <c r="I52" s="13"/>
      <c r="J52" s="13" t="s">
        <v>2883</v>
      </c>
      <c r="K52" s="13" t="s">
        <v>2909</v>
      </c>
      <c r="L52" s="13" t="s">
        <v>2911</v>
      </c>
      <c r="M52" s="13" t="s">
        <v>2917</v>
      </c>
      <c r="N52" s="13" t="s">
        <v>2943</v>
      </c>
      <c r="O52" s="13" t="s">
        <v>2974</v>
      </c>
      <c r="P52" s="13" t="s">
        <v>2987</v>
      </c>
      <c r="Q52" s="13" t="s">
        <v>2997</v>
      </c>
      <c r="R52" s="13" t="s">
        <v>3034</v>
      </c>
      <c r="S52" s="13" t="s">
        <v>3037</v>
      </c>
      <c r="T52" s="13" t="s">
        <v>3048</v>
      </c>
      <c r="U52" s="13" t="s">
        <v>3050</v>
      </c>
      <c r="V52" s="13" t="s">
        <v>1725</v>
      </c>
      <c r="W52" s="13" t="s">
        <v>3061</v>
      </c>
      <c r="X52" s="13" t="s">
        <v>1725</v>
      </c>
      <c r="Y52" s="13" t="s">
        <v>3064</v>
      </c>
      <c r="Z52" s="13" t="s">
        <v>3067</v>
      </c>
      <c r="AA52" s="13" t="s">
        <v>1732</v>
      </c>
      <c r="AB52" s="13" t="s">
        <v>3076</v>
      </c>
      <c r="AC52" s="13" t="s">
        <v>3078</v>
      </c>
      <c r="AD52" s="13" t="s">
        <v>3081</v>
      </c>
      <c r="AE52" s="13" t="s">
        <v>3086</v>
      </c>
      <c r="AF52" s="13" t="s">
        <v>3098</v>
      </c>
      <c r="AG52" s="13" t="s">
        <v>1739</v>
      </c>
      <c r="AH52" s="13" t="s">
        <v>3100</v>
      </c>
      <c r="AI52" s="13" t="s">
        <v>3101</v>
      </c>
      <c r="AJ52" s="13" t="s">
        <v>1790</v>
      </c>
      <c r="AK52" s="13" t="s">
        <v>1791</v>
      </c>
      <c r="AL52" s="13" t="s">
        <v>1793</v>
      </c>
      <c r="AM52" s="13" t="s">
        <v>1795</v>
      </c>
      <c r="AN52" s="13" t="s">
        <v>1795</v>
      </c>
      <c r="AO52" s="13" t="s">
        <v>1739</v>
      </c>
      <c r="AP52" s="13" t="s">
        <v>1797</v>
      </c>
      <c r="AQ52" s="13" t="s">
        <v>3134</v>
      </c>
      <c r="AR52" s="13" t="s">
        <v>3207</v>
      </c>
      <c r="AS52" s="13" t="s">
        <v>3294</v>
      </c>
      <c r="AT52" s="13" t="s">
        <v>3345</v>
      </c>
      <c r="AU52" s="13" t="s">
        <v>1828</v>
      </c>
      <c r="AV52" s="13" t="s">
        <v>2987</v>
      </c>
      <c r="AW52" s="13" t="s">
        <v>2987</v>
      </c>
      <c r="AX52" s="13" t="s">
        <v>1842</v>
      </c>
      <c r="AY52" s="13" t="s">
        <v>3380</v>
      </c>
      <c r="AZ52" s="13" t="s">
        <v>3381</v>
      </c>
      <c r="BA52" s="13" t="s">
        <v>3385</v>
      </c>
      <c r="BB52" s="13" t="s">
        <v>3387</v>
      </c>
      <c r="BC52" s="13" t="s">
        <v>3393</v>
      </c>
      <c r="BD52" s="13" t="s">
        <v>3396</v>
      </c>
      <c r="BE52" s="13" t="s">
        <v>1899</v>
      </c>
      <c r="BF52" s="13" t="s">
        <v>1899</v>
      </c>
      <c r="BG52" s="13" t="s">
        <v>3428</v>
      </c>
      <c r="BH52" s="13" t="s">
        <v>3445</v>
      </c>
      <c r="BI52" s="13" t="s">
        <v>3449</v>
      </c>
      <c r="BJ52" s="13" t="s">
        <v>3455</v>
      </c>
      <c r="BK52" s="13" t="s">
        <v>3462</v>
      </c>
      <c r="BL52" s="13" t="s">
        <v>1922</v>
      </c>
      <c r="BM52" s="13" t="s">
        <v>1921</v>
      </c>
      <c r="BN52" s="13" t="s">
        <v>3476</v>
      </c>
      <c r="BO52" s="13" t="s">
        <v>3477</v>
      </c>
      <c r="BP52" s="13" t="s">
        <v>1959</v>
      </c>
      <c r="BQ52" s="13" t="s">
        <v>3489</v>
      </c>
      <c r="BR52" s="13" t="s">
        <v>3544</v>
      </c>
      <c r="BS52" s="13" t="s">
        <v>1959</v>
      </c>
      <c r="BT52" s="13" t="s">
        <v>1960</v>
      </c>
      <c r="BU52" s="13" t="s">
        <v>3545</v>
      </c>
      <c r="BV52" s="13" t="s">
        <v>1962</v>
      </c>
      <c r="BW52" s="13" t="s">
        <v>3548</v>
      </c>
      <c r="BX52" s="13" t="s">
        <v>3549</v>
      </c>
      <c r="BY52" s="311" t="s">
        <v>3553</v>
      </c>
    </row>
    <row r="53" spans="1:77">
      <c r="A53" s="2">
        <v>48</v>
      </c>
      <c r="B53" s="55">
        <f>INDEX(順位表[Comprehensive],MATCH($C53,順位表['#],0))</f>
        <v>9</v>
      </c>
      <c r="C53" s="271">
        <v>48</v>
      </c>
      <c r="D53" s="1" t="str">
        <f>INDEX(都市マスタ[City Name],MATCH($C53,都市マスタ['#],0))</f>
        <v>Melbourne</v>
      </c>
      <c r="E53" s="312" t="s">
        <v>2787</v>
      </c>
      <c r="F53" s="312" t="s">
        <v>2787</v>
      </c>
      <c r="G53" s="312" t="s">
        <v>2813</v>
      </c>
      <c r="H53" s="312" t="s">
        <v>2838</v>
      </c>
      <c r="I53" s="312"/>
      <c r="J53" s="312" t="s">
        <v>2820</v>
      </c>
      <c r="K53" s="312" t="s">
        <v>2909</v>
      </c>
      <c r="L53" s="312"/>
      <c r="M53" s="312" t="s">
        <v>2917</v>
      </c>
      <c r="N53" s="312" t="s">
        <v>2944</v>
      </c>
      <c r="O53" s="312" t="s">
        <v>2975</v>
      </c>
      <c r="P53" s="312" t="s">
        <v>2990</v>
      </c>
      <c r="Q53" s="312" t="s">
        <v>2995</v>
      </c>
      <c r="R53" s="312" t="s">
        <v>3034</v>
      </c>
      <c r="S53" s="312" t="s">
        <v>3037</v>
      </c>
      <c r="T53" s="312" t="s">
        <v>3048</v>
      </c>
      <c r="U53" s="312" t="s">
        <v>3052</v>
      </c>
      <c r="V53" s="312" t="s">
        <v>1725</v>
      </c>
      <c r="W53" s="312" t="s">
        <v>3061</v>
      </c>
      <c r="X53" s="312" t="s">
        <v>1725</v>
      </c>
      <c r="Y53" s="312" t="s">
        <v>3064</v>
      </c>
      <c r="Z53" s="312" t="s">
        <v>3067</v>
      </c>
      <c r="AA53" s="312" t="s">
        <v>1732</v>
      </c>
      <c r="AB53" s="312" t="s">
        <v>3076</v>
      </c>
      <c r="AC53" s="312" t="s">
        <v>3078</v>
      </c>
      <c r="AD53" s="312" t="s">
        <v>3081</v>
      </c>
      <c r="AE53" s="312" t="s">
        <v>3086</v>
      </c>
      <c r="AF53" s="312" t="s">
        <v>3098</v>
      </c>
      <c r="AG53" s="312" t="s">
        <v>1739</v>
      </c>
      <c r="AH53" s="312" t="s">
        <v>3100</v>
      </c>
      <c r="AI53" s="312" t="s">
        <v>3101</v>
      </c>
      <c r="AJ53" s="312" t="s">
        <v>1790</v>
      </c>
      <c r="AK53" s="312" t="s">
        <v>1791</v>
      </c>
      <c r="AL53" s="312" t="s">
        <v>1793</v>
      </c>
      <c r="AM53" s="312" t="s">
        <v>1795</v>
      </c>
      <c r="AN53" s="312" t="s">
        <v>1795</v>
      </c>
      <c r="AO53" s="312" t="s">
        <v>1739</v>
      </c>
      <c r="AP53" s="312" t="s">
        <v>1797</v>
      </c>
      <c r="AQ53" s="312" t="s">
        <v>2990</v>
      </c>
      <c r="AR53" s="312" t="s">
        <v>3208</v>
      </c>
      <c r="AS53" s="312" t="s">
        <v>3295</v>
      </c>
      <c r="AT53" s="312" t="s">
        <v>3345</v>
      </c>
      <c r="AU53" s="312" t="s">
        <v>1828</v>
      </c>
      <c r="AV53" s="312" t="s">
        <v>3350</v>
      </c>
      <c r="AW53" s="312" t="s">
        <v>3358</v>
      </c>
      <c r="AX53" s="312" t="s">
        <v>3378</v>
      </c>
      <c r="AY53" s="312" t="s">
        <v>3380</v>
      </c>
      <c r="AZ53" s="312" t="s">
        <v>3381</v>
      </c>
      <c r="BA53" s="312" t="s">
        <v>3385</v>
      </c>
      <c r="BB53" s="312" t="s">
        <v>3387</v>
      </c>
      <c r="BC53" s="312" t="s">
        <v>3393</v>
      </c>
      <c r="BD53" s="312" t="s">
        <v>3396</v>
      </c>
      <c r="BE53" s="312" t="s">
        <v>1899</v>
      </c>
      <c r="BF53" s="312" t="s">
        <v>1899</v>
      </c>
      <c r="BG53" s="312" t="s">
        <v>3429</v>
      </c>
      <c r="BH53" s="312" t="s">
        <v>3445</v>
      </c>
      <c r="BI53" s="312" t="s">
        <v>3449</v>
      </c>
      <c r="BJ53" s="312" t="s">
        <v>3455</v>
      </c>
      <c r="BK53" s="312" t="s">
        <v>3462</v>
      </c>
      <c r="BL53" s="312" t="s">
        <v>1922</v>
      </c>
      <c r="BM53" s="312" t="s">
        <v>1921</v>
      </c>
      <c r="BN53" s="312" t="s">
        <v>3476</v>
      </c>
      <c r="BO53" s="312" t="s">
        <v>3477</v>
      </c>
      <c r="BP53" s="312" t="s">
        <v>1959</v>
      </c>
      <c r="BQ53" s="312" t="s">
        <v>3483</v>
      </c>
      <c r="BR53" s="312" t="s">
        <v>3544</v>
      </c>
      <c r="BS53" s="312" t="s">
        <v>1959</v>
      </c>
      <c r="BT53" s="312" t="s">
        <v>1960</v>
      </c>
      <c r="BU53" s="312" t="s">
        <v>3545</v>
      </c>
      <c r="BV53" s="312" t="s">
        <v>1962</v>
      </c>
      <c r="BW53" s="312" t="s">
        <v>3548</v>
      </c>
      <c r="BX53" s="312" t="s">
        <v>3549</v>
      </c>
      <c r="BY53" s="313" t="s">
        <v>3562</v>
      </c>
    </row>
    <row r="54" spans="1:77">
      <c r="A54" s="2">
        <v>49</v>
      </c>
      <c r="B54" s="55"/>
      <c r="C54" s="3"/>
      <c r="D54" s="1"/>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row>
    <row r="55" spans="1:77">
      <c r="A55" s="2">
        <v>50</v>
      </c>
      <c r="B55" s="55"/>
      <c r="C55" s="3"/>
      <c r="D55" s="1"/>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row>
    <row r="56" spans="1:77">
      <c r="S56" s="57"/>
    </row>
    <row r="58" spans="1:77">
      <c r="C58"/>
    </row>
    <row r="59" spans="1:77">
      <c r="C59"/>
    </row>
    <row r="60" spans="1:77">
      <c r="C60"/>
    </row>
  </sheetData>
  <autoFilter ref="B5:BY5" xr:uid="{00000000-0009-0000-0000-00001A000000}">
    <sortState xmlns:xlrd2="http://schemas.microsoft.com/office/spreadsheetml/2017/richdata2" ref="B6:BY55">
      <sortCondition ref="D5"/>
    </sortState>
  </autoFilter>
  <sortState xmlns:xlrd2="http://schemas.microsoft.com/office/spreadsheetml/2017/richdata2" ref="B6:BY53">
    <sortCondition ref="C5"/>
  </sortState>
  <phoneticPr fontId="5"/>
  <conditionalFormatting sqref="E6:BY53">
    <cfRule type="expression" dxfId="1" priority="1">
      <formula>OR(E6="-",E6="")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④年次出典範囲">
                <anchor moveWithCells="1" sizeWithCells="1">
                  <from>
                    <xdr:col>2</xdr:col>
                    <xdr:colOff>66675</xdr:colOff>
                    <xdr:row>1</xdr:row>
                    <xdr:rowOff>57150</xdr:rowOff>
                  </from>
                  <to>
                    <xdr:col>3</xdr:col>
                    <xdr:colOff>1009650</xdr:colOff>
                    <xdr:row>3</xdr:row>
                    <xdr:rowOff>142875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dimension ref="A1:BY60"/>
  <sheetViews>
    <sheetView zoomScaleNormal="100" workbookViewId="0">
      <pane xSplit="4" ySplit="5" topLeftCell="E6" activePane="bottomRight" state="frozen"/>
      <selection activeCell="K27" sqref="K27"/>
      <selection pane="topRight" activeCell="K27" sqref="K27"/>
      <selection pane="bottomLeft" activeCell="K27" sqref="K27"/>
      <selection pane="bottomRight" activeCell="E6" sqref="E6"/>
    </sheetView>
  </sheetViews>
  <sheetFormatPr defaultColWidth="9.28515625" defaultRowHeight="15.75"/>
  <cols>
    <col min="1" max="1" width="3.28515625" style="2" customWidth="1"/>
    <col min="2" max="2" width="8.140625" bestFit="1" customWidth="1"/>
    <col min="3" max="3" width="3.28515625" style="2" customWidth="1"/>
    <col min="4" max="4" width="16" customWidth="1"/>
    <col min="5" max="77" width="10.7109375" customWidth="1"/>
  </cols>
  <sheetData>
    <row r="1" spans="1:77">
      <c r="B1" t="s">
        <v>2992</v>
      </c>
      <c r="C1"/>
      <c r="AK1" s="15"/>
    </row>
    <row r="2" spans="1:77" ht="15.4" customHeight="1">
      <c r="B2" t="s">
        <v>441</v>
      </c>
      <c r="D2" s="36" t="str">
        <f>IF(JPEN!$C$2="EN",指標!$E$2,指標!$D$2)</f>
        <v>分野</v>
      </c>
      <c r="E2" s="39" t="str">
        <f>IFERROR(INDEX(指標マスタ[],MATCH(E$5,指標マスタ['#],0),MATCH($D2,指標マスタ[#Headers],0))&amp;"","")</f>
        <v>基礎</v>
      </c>
      <c r="F2" s="39" t="str">
        <f>IFERROR(INDEX(指標マスタ[],MATCH(F$5,指標マスタ['#],0),MATCH($D2,指標マスタ[#Headers],0))&amp;"","")</f>
        <v/>
      </c>
      <c r="G2" s="39" t="str">
        <f>IFERROR(INDEX(指標マスタ[],MATCH(G$5,指標マスタ['#],0),MATCH($D2,指標マスタ[#Headers],0))&amp;"","")</f>
        <v/>
      </c>
      <c r="H2" s="183" t="str">
        <f>IFERROR(INDEX(指標マスタ[],MATCH(H$5,指標マスタ['#],0),MATCH($D2,指標マスタ[#Headers],0))&amp;"","")</f>
        <v>経済</v>
      </c>
      <c r="I2" s="183" t="str">
        <f>IFERROR(INDEX(指標マスタ[],MATCH(I$5,指標マスタ['#],0),MATCH($D2,指標マスタ[#Headers],0))&amp;"","")</f>
        <v/>
      </c>
      <c r="J2" s="183" t="str">
        <f>IFERROR(INDEX(指標マスタ[],MATCH(J$5,指標マスタ['#],0),MATCH($D2,指標マスタ[#Headers],0))&amp;"","")</f>
        <v/>
      </c>
      <c r="K2" s="183" t="str">
        <f>IFERROR(INDEX(指標マスタ[],MATCH(K$5,指標マスタ['#],0),MATCH($D2,指標マスタ[#Headers],0))&amp;"","")</f>
        <v/>
      </c>
      <c r="L2" s="183" t="str">
        <f>IFERROR(INDEX(指標マスタ[],MATCH(L$5,指標マスタ['#],0),MATCH($D2,指標マスタ[#Headers],0))&amp;"","")</f>
        <v/>
      </c>
      <c r="M2" s="183" t="str">
        <f>IFERROR(INDEX(指標マスタ[],MATCH(M$5,指標マスタ['#],0),MATCH($D2,指標マスタ[#Headers],0))&amp;"","")</f>
        <v/>
      </c>
      <c r="N2" s="183" t="str">
        <f>IFERROR(INDEX(指標マスタ[],MATCH(N$5,指標マスタ['#],0),MATCH($D2,指標マスタ[#Headers],0))&amp;"","")</f>
        <v/>
      </c>
      <c r="O2" s="183" t="str">
        <f>IFERROR(INDEX(指標マスタ[],MATCH(O$5,指標マスタ['#],0),MATCH($D2,指標マスタ[#Headers],0))&amp;"","")</f>
        <v/>
      </c>
      <c r="P2" s="183" t="str">
        <f>IFERROR(INDEX(指標マスタ[],MATCH(P$5,指標マスタ['#],0),MATCH($D2,指標マスタ[#Headers],0))&amp;"","")</f>
        <v/>
      </c>
      <c r="Q2" s="183" t="str">
        <f>IFERROR(INDEX(指標マスタ[],MATCH(Q$5,指標マスタ['#],0),MATCH($D2,指標マスタ[#Headers],0))&amp;"","")</f>
        <v/>
      </c>
      <c r="R2" s="183" t="str">
        <f>IFERROR(INDEX(指標マスタ[],MATCH(R$5,指標マスタ['#],0),MATCH($D2,指標マスタ[#Headers],0))&amp;"","")</f>
        <v/>
      </c>
      <c r="S2" s="183" t="str">
        <f>IFERROR(INDEX(指標マスタ[],MATCH(S$5,指標マスタ['#],0),MATCH($D2,指標マスタ[#Headers],0))&amp;"","")</f>
        <v/>
      </c>
      <c r="T2" s="183" t="str">
        <f>IFERROR(INDEX(指標マスタ[],MATCH(T$5,指標マスタ['#],0),MATCH($D2,指標マスタ[#Headers],0))&amp;"","")</f>
        <v/>
      </c>
      <c r="U2" s="187" t="str">
        <f>IFERROR(INDEX(指標マスタ[],MATCH(U$5,指標マスタ['#],0),MATCH($D2,指標マスタ[#Headers],0))&amp;"","")</f>
        <v>研究・開発</v>
      </c>
      <c r="V2" s="187" t="str">
        <f>IFERROR(INDEX(指標マスタ[],MATCH(V$5,指標マスタ['#],0),MATCH($D2,指標マスタ[#Headers],0))&amp;"","")</f>
        <v/>
      </c>
      <c r="W2" s="187" t="str">
        <f>IFERROR(INDEX(指標マスタ[],MATCH(W$5,指標マスタ['#],0),MATCH($D2,指標マスタ[#Headers],0))&amp;"","")</f>
        <v/>
      </c>
      <c r="X2" s="187" t="str">
        <f>IFERROR(INDEX(指標マスタ[],MATCH(X$5,指標マスタ['#],0),MATCH($D2,指標マスタ[#Headers],0))&amp;"","")</f>
        <v/>
      </c>
      <c r="Y2" s="187" t="str">
        <f>IFERROR(INDEX(指標マスタ[],MATCH(Y$5,指標マスタ['#],0),MATCH($D2,指標マスタ[#Headers],0))&amp;"","")</f>
        <v/>
      </c>
      <c r="Z2" s="187" t="str">
        <f>IFERROR(INDEX(指標マスタ[],MATCH(Z$5,指標マスタ['#],0),MATCH($D2,指標マスタ[#Headers],0))&amp;"","")</f>
        <v/>
      </c>
      <c r="AA2" s="187" t="str">
        <f>IFERROR(INDEX(指標マスタ[],MATCH(AA$5,指標マスタ['#],0),MATCH($D2,指標マスタ[#Headers],0))&amp;"","")</f>
        <v/>
      </c>
      <c r="AB2" s="187" t="str">
        <f>IFERROR(INDEX(指標マスタ[],MATCH(AB$5,指標マスタ['#],0),MATCH($D2,指標マスタ[#Headers],0))&amp;"","")</f>
        <v/>
      </c>
      <c r="AC2" s="193" t="str">
        <f>IFERROR(INDEX(指標マスタ[],MATCH(AC$5,指標マスタ['#],0),MATCH($D2,指標マスタ[#Headers],0))&amp;"","")</f>
        <v>文化・交流</v>
      </c>
      <c r="AD2" s="193" t="str">
        <f>IFERROR(INDEX(指標マスタ[],MATCH(AD$5,指標マスタ['#],0),MATCH($D2,指標マスタ[#Headers],0))&amp;"","")</f>
        <v/>
      </c>
      <c r="AE2" s="193" t="str">
        <f>IFERROR(INDEX(指標マスタ[],MATCH(AE$5,指標マスタ['#],0),MATCH($D2,指標マスタ[#Headers],0))&amp;"","")</f>
        <v/>
      </c>
      <c r="AF2" s="193" t="str">
        <f>IFERROR(INDEX(指標マスタ[],MATCH(AF$5,指標マスタ['#],0),MATCH($D2,指標マスタ[#Headers],0))&amp;"","")</f>
        <v/>
      </c>
      <c r="AG2" s="193" t="str">
        <f>IFERROR(INDEX(指標マスタ[],MATCH(AG$5,指標マスタ['#],0),MATCH($D2,指標マスタ[#Headers],0))&amp;"","")</f>
        <v/>
      </c>
      <c r="AH2" s="193" t="str">
        <f>IFERROR(INDEX(指標マスタ[],MATCH(AH$5,指標マスタ['#],0),MATCH($D2,指標マスタ[#Headers],0))&amp;"","")</f>
        <v/>
      </c>
      <c r="AI2" s="193" t="str">
        <f>IFERROR(INDEX(指標マスタ[],MATCH(AI$5,指標マスタ['#],0),MATCH($D2,指標マスタ[#Headers],0))&amp;"","")</f>
        <v/>
      </c>
      <c r="AJ2" s="193" t="str">
        <f>IFERROR(INDEX(指標マスタ[],MATCH(AJ$5,指標マスタ['#],0),MATCH($D2,指標マスタ[#Headers],0))&amp;"","")</f>
        <v/>
      </c>
      <c r="AK2" s="193" t="str">
        <f>IFERROR(INDEX(指標マスタ[],MATCH(AK$5,指標マスタ['#],0),MATCH($D2,指標マスタ[#Headers],0))&amp;"","")</f>
        <v/>
      </c>
      <c r="AL2" s="193" t="str">
        <f>IFERROR(INDEX(指標マスタ[],MATCH(AL$5,指標マスタ['#],0),MATCH($D2,指標マスタ[#Headers],0))&amp;"","")</f>
        <v/>
      </c>
      <c r="AM2" s="193" t="str">
        <f>IFERROR(INDEX(指標マスタ[],MATCH(AM$5,指標マスタ['#],0),MATCH($D2,指標マスタ[#Headers],0))&amp;"","")</f>
        <v/>
      </c>
      <c r="AN2" s="193" t="str">
        <f>IFERROR(INDEX(指標マスタ[],MATCH(AN$5,指標マスタ['#],0),MATCH($D2,指標マスタ[#Headers],0))&amp;"","")</f>
        <v/>
      </c>
      <c r="AO2" s="193" t="str">
        <f>IFERROR(INDEX(指標マスタ[],MATCH(AO$5,指標マスタ['#],0),MATCH($D2,指標マスタ[#Headers],0))&amp;"","")</f>
        <v/>
      </c>
      <c r="AP2" s="193" t="str">
        <f>IFERROR(INDEX(指標マスタ[],MATCH(AP$5,指標マスタ['#],0),MATCH($D2,指標マスタ[#Headers],0))&amp;"","")</f>
        <v/>
      </c>
      <c r="AQ2" s="193" t="str">
        <f>IFERROR(INDEX(指標マスタ[],MATCH(AQ$5,指標マスタ['#],0),MATCH($D2,指標マスタ[#Headers],0))&amp;"","")</f>
        <v/>
      </c>
      <c r="AR2" s="193" t="str">
        <f>IFERROR(INDEX(指標マスタ[],MATCH(AR$5,指標マスタ['#],0),MATCH($D2,指標マスタ[#Headers],0))&amp;"","")</f>
        <v/>
      </c>
      <c r="AS2" s="199" t="str">
        <f>IFERROR(INDEX(指標マスタ[],MATCH(AS$5,指標マスタ['#],0),MATCH($D2,指標マスタ[#Headers],0))&amp;"","")</f>
        <v>居住</v>
      </c>
      <c r="AT2" s="199" t="str">
        <f>IFERROR(INDEX(指標マスタ[],MATCH(AT$5,指標マスタ['#],0),MATCH($D2,指標マスタ[#Headers],0))&amp;"","")</f>
        <v/>
      </c>
      <c r="AU2" s="199" t="str">
        <f>IFERROR(INDEX(指標マスタ[],MATCH(AU$5,指標マスタ['#],0),MATCH($D2,指標マスタ[#Headers],0))&amp;"","")</f>
        <v/>
      </c>
      <c r="AV2" s="199" t="str">
        <f>IFERROR(INDEX(指標マスタ[],MATCH(AV$5,指標マスタ['#],0),MATCH($D2,指標マスタ[#Headers],0))&amp;"","")</f>
        <v/>
      </c>
      <c r="AW2" s="199" t="str">
        <f>IFERROR(INDEX(指標マスタ[],MATCH(AW$5,指標マスタ['#],0),MATCH($D2,指標マスタ[#Headers],0))&amp;"","")</f>
        <v/>
      </c>
      <c r="AX2" s="199" t="str">
        <f>IFERROR(INDEX(指標マスタ[],MATCH(AX$5,指標マスタ['#],0),MATCH($D2,指標マスタ[#Headers],0))&amp;"","")</f>
        <v/>
      </c>
      <c r="AY2" s="199" t="str">
        <f>IFERROR(INDEX(指標マスタ[],MATCH(AY$5,指標マスタ['#],0),MATCH($D2,指標マスタ[#Headers],0))&amp;"","")</f>
        <v/>
      </c>
      <c r="AZ2" s="199" t="str">
        <f>IFERROR(INDEX(指標マスタ[],MATCH(AZ$5,指標マスタ['#],0),MATCH($D2,指標マスタ[#Headers],0))&amp;"","")</f>
        <v/>
      </c>
      <c r="BA2" s="199" t="str">
        <f>IFERROR(INDEX(指標マスタ[],MATCH(BA$5,指標マスタ['#],0),MATCH($D2,指標マスタ[#Headers],0))&amp;"","")</f>
        <v/>
      </c>
      <c r="BB2" s="199" t="str">
        <f>IFERROR(INDEX(指標マスタ[],MATCH(BB$5,指標マスタ['#],0),MATCH($D2,指標マスタ[#Headers],0))&amp;"","")</f>
        <v/>
      </c>
      <c r="BC2" s="199" t="str">
        <f>IFERROR(INDEX(指標マスタ[],MATCH(BC$5,指標マスタ['#],0),MATCH($D2,指標マスタ[#Headers],0))&amp;"","")</f>
        <v/>
      </c>
      <c r="BD2" s="199" t="str">
        <f>IFERROR(INDEX(指標マスタ[],MATCH(BD$5,指標マスタ['#],0),MATCH($D2,指標マスタ[#Headers],0))&amp;"","")</f>
        <v/>
      </c>
      <c r="BE2" s="199" t="str">
        <f>IFERROR(INDEX(指標マスタ[],MATCH(BE$5,指標マスタ['#],0),MATCH($D2,指標マスタ[#Headers],0))&amp;"","")</f>
        <v/>
      </c>
      <c r="BF2" s="199" t="str">
        <f>IFERROR(INDEX(指標マスタ[],MATCH(BF$5,指標マスタ['#],0),MATCH($D2,指標マスタ[#Headers],0))&amp;"","")</f>
        <v/>
      </c>
      <c r="BG2" s="204" t="str">
        <f>IFERROR(INDEX(指標マスタ[],MATCH(BG$5,指標マスタ['#],0),MATCH($D2,指標マスタ[#Headers],0))&amp;"","")</f>
        <v>環境</v>
      </c>
      <c r="BH2" s="204" t="str">
        <f>IFERROR(INDEX(指標マスタ[],MATCH(BH$5,指標マスタ['#],0),MATCH($D2,指標マスタ[#Headers],0))&amp;"","")</f>
        <v/>
      </c>
      <c r="BI2" s="204" t="str">
        <f>IFERROR(INDEX(指標マスタ[],MATCH(BI$5,指標マスタ['#],0),MATCH($D2,指標マスタ[#Headers],0))&amp;"","")</f>
        <v/>
      </c>
      <c r="BJ2" s="204" t="str">
        <f>IFERROR(INDEX(指標マスタ[],MATCH(BJ$5,指標マスタ['#],0),MATCH($D2,指標マスタ[#Headers],0))&amp;"","")</f>
        <v/>
      </c>
      <c r="BK2" s="204" t="str">
        <f>IFERROR(INDEX(指標マスタ[],MATCH(BK$5,指標マスタ['#],0),MATCH($D2,指標マスタ[#Headers],0))&amp;"","")</f>
        <v/>
      </c>
      <c r="BL2" s="204" t="str">
        <f>IFERROR(INDEX(指標マスタ[],MATCH(BL$5,指標マスタ['#],0),MATCH($D2,指標マスタ[#Headers],0))&amp;"","")</f>
        <v/>
      </c>
      <c r="BM2" s="204" t="str">
        <f>IFERROR(INDEX(指標マスタ[],MATCH(BM$5,指標マスタ['#],0),MATCH($D2,指標マスタ[#Headers],0))&amp;"","")</f>
        <v/>
      </c>
      <c r="BN2" s="204" t="str">
        <f>IFERROR(INDEX(指標マスタ[],MATCH(BN$5,指標マスタ['#],0),MATCH($D2,指標マスタ[#Headers],0))&amp;"","")</f>
        <v/>
      </c>
      <c r="BO2" s="204" t="str">
        <f>IFERROR(INDEX(指標マスタ[],MATCH(BO$5,指標マスタ['#],0),MATCH($D2,指標マスタ[#Headers],0))&amp;"","")</f>
        <v/>
      </c>
      <c r="BP2" s="209" t="str">
        <f>IFERROR(INDEX(指標マスタ[],MATCH(BP$5,指標マスタ['#],0),MATCH($D2,指標マスタ[#Headers],0))&amp;"","")</f>
        <v>交通・アクセス</v>
      </c>
      <c r="BQ2" s="209" t="str">
        <f>IFERROR(INDEX(指標マスタ[],MATCH(BQ$5,指標マスタ['#],0),MATCH($D2,指標マスタ[#Headers],0))&amp;"","")</f>
        <v/>
      </c>
      <c r="BR2" s="209" t="str">
        <f>IFERROR(INDEX(指標マスタ[],MATCH(BR$5,指標マスタ['#],0),MATCH($D2,指標マスタ[#Headers],0))&amp;"","")</f>
        <v/>
      </c>
      <c r="BS2" s="209" t="str">
        <f>IFERROR(INDEX(指標マスタ[],MATCH(BS$5,指標マスタ['#],0),MATCH($D2,指標マスタ[#Headers],0))&amp;"","")</f>
        <v/>
      </c>
      <c r="BT2" s="209" t="str">
        <f>IFERROR(INDEX(指標マスタ[],MATCH(BT$5,指標マスタ['#],0),MATCH($D2,指標マスタ[#Headers],0))&amp;"","")</f>
        <v/>
      </c>
      <c r="BU2" s="209" t="str">
        <f>IFERROR(INDEX(指標マスタ[],MATCH(BU$5,指標マスタ['#],0),MATCH($D2,指標マスタ[#Headers],0))&amp;"","")</f>
        <v/>
      </c>
      <c r="BV2" s="209" t="str">
        <f>IFERROR(INDEX(指標マスタ[],MATCH(BV$5,指標マスタ['#],0),MATCH($D2,指標マスタ[#Headers],0))&amp;"","")</f>
        <v/>
      </c>
      <c r="BW2" s="209" t="str">
        <f>IFERROR(INDEX(指標マスタ[],MATCH(BW$5,指標マスタ['#],0),MATCH($D2,指標マスタ[#Headers],0))&amp;"","")</f>
        <v/>
      </c>
      <c r="BX2" s="209" t="str">
        <f>IFERROR(INDEX(指標マスタ[],MATCH(BX$5,指標マスタ['#],0),MATCH($D2,指標マスタ[#Headers],0))&amp;"","")</f>
        <v/>
      </c>
      <c r="BY2" s="209" t="str">
        <f>IFERROR(INDEX(指標マスタ[],MATCH(BY$5,指標マスタ['#],0),MATCH($D2,指標マスタ[#Headers],0))&amp;"","")</f>
        <v/>
      </c>
    </row>
    <row r="3" spans="1:77" ht="15.4" customHeight="1">
      <c r="B3" s="25">
        <f>COUNTIF(範囲!$E$6:$BY$53,"-")+COUNTIF(範囲!$E$6:$BY$53,"")</f>
        <v>134</v>
      </c>
      <c r="D3" s="36" t="str">
        <f>IF(JPEN!$C$2="EN",指標!$G$2,指標!$F$2)</f>
        <v>指標グループ</v>
      </c>
      <c r="E3" s="39" t="str">
        <f>IFERROR(INDEX(指標マスタ[],MATCH(E$5,指標マスタ['#],0),MATCH($D3,指標マスタ[#Headers],0))&amp;"","")</f>
        <v>基礎</v>
      </c>
      <c r="F3" s="39" t="str">
        <f>IFERROR(INDEX(指標マスタ[],MATCH(F$5,指標マスタ['#],0),MATCH($D3,指標マスタ[#Headers],0))&amp;"","")</f>
        <v/>
      </c>
      <c r="G3" s="39" t="str">
        <f>IFERROR(INDEX(指標マスタ[],MATCH(G$5,指標マスタ['#],0),MATCH($D3,指標マスタ[#Headers],0))&amp;"","")</f>
        <v/>
      </c>
      <c r="H3" s="183" t="str">
        <f>IFERROR(INDEX(指標マスタ[],MATCH(H$5,指標マスタ['#],0),MATCH($D3,指標マスタ[#Headers],0))&amp;"","")</f>
        <v>市場の規模</v>
      </c>
      <c r="I3" s="183" t="str">
        <f>IFERROR(INDEX(指標マスタ[],MATCH(I$5,指標マスタ['#],0),MATCH($D3,指標マスタ[#Headers],0))&amp;"","")</f>
        <v/>
      </c>
      <c r="J3" s="183" t="str">
        <f>IFERROR(INDEX(指標マスタ[],MATCH(J$5,指標マスタ['#],0),MATCH($D3,指標マスタ[#Headers],0))&amp;"","")</f>
        <v>市場の魅力</v>
      </c>
      <c r="K3" s="183" t="str">
        <f>IFERROR(INDEX(指標マスタ[],MATCH(K$5,指標マスタ['#],0),MATCH($D3,指標マスタ[#Headers],0))&amp;"","")</f>
        <v/>
      </c>
      <c r="L3" s="183" t="str">
        <f>IFERROR(INDEX(指標マスタ[],MATCH(L$5,指標マスタ['#],0),MATCH($D3,指標マスタ[#Headers],0))&amp;"","")</f>
        <v>経済集積</v>
      </c>
      <c r="M3" s="183" t="str">
        <f>IFERROR(INDEX(指標マスタ[],MATCH(M$5,指標マスタ['#],0),MATCH($D3,指標マスタ[#Headers],0))&amp;"","")</f>
        <v/>
      </c>
      <c r="N3" s="183" t="str">
        <f>IFERROR(INDEX(指標マスタ[],MATCH(N$5,指標マスタ['#],0),MATCH($D3,指標マスタ[#Headers],0))&amp;"","")</f>
        <v>人的集積</v>
      </c>
      <c r="O3" s="183" t="str">
        <f>IFERROR(INDEX(指標マスタ[],MATCH(O$5,指標マスタ['#],0),MATCH($D3,指標マスタ[#Headers],0))&amp;"","")</f>
        <v/>
      </c>
      <c r="P3" s="183" t="str">
        <f>IFERROR(INDEX(指標マスタ[],MATCH(P$5,指標マスタ['#],0),MATCH($D3,指標マスタ[#Headers],0))&amp;"","")</f>
        <v>ビジネス環境</v>
      </c>
      <c r="Q3" s="183" t="str">
        <f>IFERROR(INDEX(指標マスタ[],MATCH(Q$5,指標マスタ['#],0),MATCH($D3,指標マスタ[#Headers],0))&amp;"","")</f>
        <v/>
      </c>
      <c r="R3" s="183" t="str">
        <f>IFERROR(INDEX(指標マスタ[],MATCH(R$5,指標マスタ['#],0),MATCH($D3,指標マスタ[#Headers],0))&amp;"","")</f>
        <v/>
      </c>
      <c r="S3" s="183" t="str">
        <f>IFERROR(INDEX(指標マスタ[],MATCH(S$5,指標マスタ['#],0),MATCH($D3,指標マスタ[#Headers],0))&amp;"","")</f>
        <v>ビジネスの容易性</v>
      </c>
      <c r="T3" s="183" t="str">
        <f>IFERROR(INDEX(指標マスタ[],MATCH(T$5,指標マスタ['#],0),MATCH($D3,指標マスタ[#Headers],0))&amp;"","")</f>
        <v/>
      </c>
      <c r="U3" s="187" t="str">
        <f>IFERROR(INDEX(指標マスタ[],MATCH(U$5,指標マスタ['#],0),MATCH($D3,指標マスタ[#Headers],0))&amp;"","")</f>
        <v>研究集積</v>
      </c>
      <c r="V3" s="187" t="str">
        <f>IFERROR(INDEX(指標マスタ[],MATCH(V$5,指標マスタ['#],0),MATCH($D3,指標マスタ[#Headers],0))&amp;"","")</f>
        <v/>
      </c>
      <c r="W3" s="188" t="str">
        <f>IFERROR(INDEX(指標マスタ[],MATCH(W$5,指標マスタ['#],0),MATCH($D3,指標マスタ[#Headers],0))&amp;"","")</f>
        <v>研究環境</v>
      </c>
      <c r="X3" s="188" t="str">
        <f>IFERROR(INDEX(指標マスタ[],MATCH(X$5,指標マスタ['#],0),MATCH($D3,指標マスタ[#Headers],0))&amp;"","")</f>
        <v/>
      </c>
      <c r="Y3" s="188" t="str">
        <f>IFERROR(INDEX(指標マスタ[],MATCH(Y$5,指標マスタ['#],0),MATCH($D3,指標マスタ[#Headers],0))&amp;"","")</f>
        <v/>
      </c>
      <c r="Z3" s="188" t="str">
        <f>IFERROR(INDEX(指標マスタ[],MATCH(Z$5,指標マスタ['#],0),MATCH($D3,指標マスタ[#Headers],0))&amp;"","")</f>
        <v>イノベーション</v>
      </c>
      <c r="AA3" s="188" t="str">
        <f>IFERROR(INDEX(指標マスタ[],MATCH(AA$5,指標マスタ['#],0),MATCH($D3,指標マスタ[#Headers],0))&amp;"","")</f>
        <v/>
      </c>
      <c r="AB3" s="188" t="str">
        <f>IFERROR(INDEX(指標マスタ[],MATCH(AB$5,指標マスタ['#],0),MATCH($D3,指標マスタ[#Headers],0))&amp;"","")</f>
        <v/>
      </c>
      <c r="AC3" s="194" t="str">
        <f>IFERROR(INDEX(指標マスタ[],MATCH(AC$5,指標マスタ['#],0),MATCH($D3,指標マスタ[#Headers],0))&amp;"","")</f>
        <v>発信力</v>
      </c>
      <c r="AD3" s="194" t="str">
        <f>IFERROR(INDEX(指標マスタ[],MATCH(AD$5,指標マスタ['#],0),MATCH($D3,指標マスタ[#Headers],0))&amp;"","")</f>
        <v/>
      </c>
      <c r="AE3" s="194" t="str">
        <f>IFERROR(INDEX(指標マスタ[],MATCH(AE$5,指標マスタ['#],0),MATCH($D3,指標マスタ[#Headers],0))&amp;"","")</f>
        <v/>
      </c>
      <c r="AF3" s="194" t="str">
        <f>IFERROR(INDEX(指標マスタ[],MATCH(AF$5,指標マスタ['#],0),MATCH($D3,指標マスタ[#Headers],0))&amp;"","")</f>
        <v/>
      </c>
      <c r="AG3" s="193" t="str">
        <f>IFERROR(INDEX(指標マスタ[],MATCH(AG$5,指標マスタ['#],0),MATCH($D3,指標マスタ[#Headers],0))&amp;"","")</f>
        <v>観光資源</v>
      </c>
      <c r="AH3" s="193" t="str">
        <f>IFERROR(INDEX(指標マスタ[],MATCH(AH$5,指標マスタ['#],0),MATCH($D3,指標マスタ[#Headers],0))&amp;"","")</f>
        <v/>
      </c>
      <c r="AI3" s="193" t="str">
        <f>IFERROR(INDEX(指標マスタ[],MATCH(AI$5,指標マスタ['#],0),MATCH($D3,指標マスタ[#Headers],0))&amp;"","")</f>
        <v/>
      </c>
      <c r="AJ3" s="194" t="str">
        <f>IFERROR(INDEX(指標マスタ[],MATCH(AJ$5,指標マスタ['#],0),MATCH($D3,指標マスタ[#Headers],0))&amp;"","")</f>
        <v>文化施設</v>
      </c>
      <c r="AK3" s="194" t="str">
        <f>IFERROR(INDEX(指標マスタ[],MATCH(AK$5,指標マスタ['#],0),MATCH($D3,指標マスタ[#Headers],0))&amp;"","")</f>
        <v/>
      </c>
      <c r="AL3" s="194" t="str">
        <f>IFERROR(INDEX(指標マスタ[],MATCH(AL$5,指標マスタ['#],0),MATCH($D3,指標マスタ[#Headers],0))&amp;"","")</f>
        <v/>
      </c>
      <c r="AM3" s="194" t="str">
        <f>IFERROR(INDEX(指標マスタ[],MATCH(AM$5,指標マスタ['#],0),MATCH($D3,指標マスタ[#Headers],0))&amp;"","")</f>
        <v>受入環境</v>
      </c>
      <c r="AN3" s="194" t="str">
        <f>IFERROR(INDEX(指標マスタ[],MATCH(AN$5,指標マスタ['#],0),MATCH($D3,指標マスタ[#Headers],0))&amp;"","")</f>
        <v/>
      </c>
      <c r="AO3" s="194" t="str">
        <f>IFERROR(INDEX(指標マスタ[],MATCH(AO$5,指標マスタ['#],0),MATCH($D3,指標マスタ[#Headers],0))&amp;"","")</f>
        <v/>
      </c>
      <c r="AP3" s="194" t="str">
        <f>IFERROR(INDEX(指標マスタ[],MATCH(AP$5,指標マスタ['#],0),MATCH($D3,指標マスタ[#Headers],0))&amp;"","")</f>
        <v/>
      </c>
      <c r="AQ3" s="194" t="str">
        <f>IFERROR(INDEX(指標マスタ[],MATCH(AQ$5,指標マスタ['#],0),MATCH($D3,指標マスタ[#Headers],0))&amp;"","")</f>
        <v>外国人受入実績</v>
      </c>
      <c r="AR3" s="194" t="str">
        <f>IFERROR(INDEX(指標マスタ[],MATCH(AR$5,指標マスタ['#],0),MATCH($D3,指標マスタ[#Headers],0))&amp;"","")</f>
        <v/>
      </c>
      <c r="AS3" s="199" t="str">
        <f>IFERROR(INDEX(指標マスタ[],MATCH(AS$5,指標マスタ['#],0),MATCH($D3,指標マスタ[#Headers],0))&amp;"","")</f>
        <v>就業環境</v>
      </c>
      <c r="AT3" s="199" t="str">
        <f>IFERROR(INDEX(指標マスタ[],MATCH(AT$5,指標マスタ['#],0),MATCH($D3,指標マスタ[#Headers],0))&amp;"","")</f>
        <v/>
      </c>
      <c r="AU3" s="199" t="str">
        <f>IFERROR(INDEX(指標マスタ[],MATCH(AU$5,指標マスタ['#],0),MATCH($D3,指標マスタ[#Headers],0))&amp;"","")</f>
        <v/>
      </c>
      <c r="AV3" s="199" t="str">
        <f>IFERROR(INDEX(指標マスタ[],MATCH(AV$5,指標マスタ['#],0),MATCH($D3,指標マスタ[#Headers],0))&amp;"","")</f>
        <v>居住コスト</v>
      </c>
      <c r="AW3" s="199" t="str">
        <f>IFERROR(INDEX(指標マスタ[],MATCH(AW$5,指標マスタ['#],0),MATCH($D3,指標マスタ[#Headers],0))&amp;"","")</f>
        <v/>
      </c>
      <c r="AX3" s="199" t="str">
        <f>IFERROR(INDEX(指標マスタ[],MATCH(AX$5,指標マスタ['#],0),MATCH($D3,指標マスタ[#Headers],0))&amp;"","")</f>
        <v>安全・安心</v>
      </c>
      <c r="AY3" s="199" t="str">
        <f>IFERROR(INDEX(指標マスタ[],MATCH(AY$5,指標マスタ['#],0),MATCH($D3,指標マスタ[#Headers],0))&amp;"","")</f>
        <v/>
      </c>
      <c r="AZ3" s="199" t="str">
        <f>IFERROR(INDEX(指標マスタ[],MATCH(AZ$5,指標マスタ['#],0),MATCH($D3,指標マスタ[#Headers],0))&amp;"","")</f>
        <v>生活良好性</v>
      </c>
      <c r="BA3" s="199" t="str">
        <f>IFERROR(INDEX(指標マスタ[],MATCH(BA$5,指標マスタ['#],0),MATCH($D3,指標マスタ[#Headers],0))&amp;"","")</f>
        <v/>
      </c>
      <c r="BB3" s="199" t="str">
        <f>IFERROR(INDEX(指標マスタ[],MATCH(BB$5,指標マスタ['#],0),MATCH($D3,指標マスタ[#Headers],0))&amp;"","")</f>
        <v/>
      </c>
      <c r="BC3" s="199" t="str">
        <f>IFERROR(INDEX(指標マスタ[],MATCH(BC$5,指標マスタ['#],0),MATCH($D3,指標マスタ[#Headers],0))&amp;"","")</f>
        <v>生活利便性</v>
      </c>
      <c r="BD3" s="199" t="str">
        <f>IFERROR(INDEX(指標マスタ[],MATCH(BD$5,指標マスタ['#],0),MATCH($D3,指標マスタ[#Headers],0))&amp;"","")</f>
        <v/>
      </c>
      <c r="BE3" s="199" t="str">
        <f>IFERROR(INDEX(指標マスタ[],MATCH(BE$5,指標マスタ['#],0),MATCH($D3,指標マスタ[#Headers],0))&amp;"","")</f>
        <v/>
      </c>
      <c r="BF3" s="199" t="str">
        <f>IFERROR(INDEX(指標マスタ[],MATCH(BF$5,指標マスタ['#],0),MATCH($D3,指標マスタ[#Headers],0))&amp;"","")</f>
        <v/>
      </c>
      <c r="BG3" s="204" t="str">
        <f>IFERROR(INDEX(指標マスタ[],MATCH(BG$5,指標マスタ['#],0),MATCH($D3,指標マスタ[#Headers],0))&amp;"","")</f>
        <v>持続可能性</v>
      </c>
      <c r="BH3" s="204" t="str">
        <f>IFERROR(INDEX(指標マスタ[],MATCH(BH$5,指標マスタ['#],0),MATCH($D3,指標マスタ[#Headers],0))&amp;"","")</f>
        <v/>
      </c>
      <c r="BI3" s="204" t="str">
        <f>IFERROR(INDEX(指標マスタ[],MATCH(BI$5,指標マスタ['#],0),MATCH($D3,指標マスタ[#Headers],0))&amp;"","")</f>
        <v/>
      </c>
      <c r="BJ3" s="204" t="str">
        <f>IFERROR(INDEX(指標マスタ[],MATCH(BJ$5,指標マスタ['#],0),MATCH($D3,指標マスタ[#Headers],0))&amp;"","")</f>
        <v>空気環境</v>
      </c>
      <c r="BK3" s="204" t="str">
        <f>IFERROR(INDEX(指標マスタ[],MATCH(BK$5,指標マスタ['#],0),MATCH($D3,指標マスタ[#Headers],0))&amp;"","")</f>
        <v/>
      </c>
      <c r="BL3" s="204" t="str">
        <f>IFERROR(INDEX(指標マスタ[],MATCH(BL$5,指標マスタ['#],0),MATCH($D3,指標マスタ[#Headers],0))&amp;"","")</f>
        <v/>
      </c>
      <c r="BM3" s="204" t="str">
        <f>IFERROR(INDEX(指標マスタ[],MATCH(BM$5,指標マスタ['#],0),MATCH($D3,指標マスタ[#Headers],0))&amp;"","")</f>
        <v>都市環境</v>
      </c>
      <c r="BN3" s="204" t="str">
        <f>IFERROR(INDEX(指標マスタ[],MATCH(BN$5,指標マスタ['#],0),MATCH($D3,指標マスタ[#Headers],0))&amp;"","")</f>
        <v/>
      </c>
      <c r="BO3" s="204" t="str">
        <f>IFERROR(INDEX(指標マスタ[],MATCH(BO$5,指標マスタ['#],0),MATCH($D3,指標マスタ[#Headers],0))&amp;"","")</f>
        <v/>
      </c>
      <c r="BP3" s="209" t="str">
        <f>IFERROR(INDEX(指標マスタ[],MATCH(BP$5,指標マスタ['#],0),MATCH($D3,指標マスタ[#Headers],0))&amp;"","")</f>
        <v>国際ネットワーク</v>
      </c>
      <c r="BQ3" s="209" t="str">
        <f>IFERROR(INDEX(指標マスタ[],MATCH(BQ$5,指標マスタ['#],0),MATCH($D3,指標マスタ[#Headers],0))&amp;"","")</f>
        <v/>
      </c>
      <c r="BR3" s="209" t="str">
        <f>IFERROR(INDEX(指標マスタ[],MATCH(BR$5,指標マスタ['#],0),MATCH($D3,指標マスタ[#Headers],0))&amp;"","")</f>
        <v>航空キャパシティ</v>
      </c>
      <c r="BS3" s="209" t="str">
        <f>IFERROR(INDEX(指標マスタ[],MATCH(BS$5,指標マスタ['#],0),MATCH($D3,指標マスタ[#Headers],0))&amp;"","")</f>
        <v/>
      </c>
      <c r="BT3" s="209" t="str">
        <f>IFERROR(INDEX(指標マスタ[],MATCH(BT$5,指標マスタ['#],0),MATCH($D3,指標マスタ[#Headers],0))&amp;"","")</f>
        <v>都市内交通</v>
      </c>
      <c r="BU3" s="209" t="str">
        <f>IFERROR(INDEX(指標マスタ[],MATCH(BU$5,指標マスタ['#],0),MATCH($D3,指標マスタ[#Headers],0))&amp;"","")</f>
        <v/>
      </c>
      <c r="BV3" s="209" t="str">
        <f>IFERROR(INDEX(指標マスタ[],MATCH(BV$5,指標マスタ['#],0),MATCH($D3,指標マスタ[#Headers],0))&amp;"","")</f>
        <v/>
      </c>
      <c r="BW3" s="209" t="str">
        <f>IFERROR(INDEX(指標マスタ[],MATCH(BW$5,指標マスタ['#],0),MATCH($D3,指標マスタ[#Headers],0))&amp;"","")</f>
        <v>移動の快適性</v>
      </c>
      <c r="BX3" s="209" t="str">
        <f>IFERROR(INDEX(指標マスタ[],MATCH(BX$5,指標マスタ['#],0),MATCH($D3,指標マスタ[#Headers],0))&amp;"","")</f>
        <v/>
      </c>
      <c r="BY3" s="209" t="str">
        <f>IFERROR(INDEX(指標マスタ[],MATCH(BY$5,指標マスタ['#],0),MATCH($D3,指標マスタ[#Headers],0))&amp;"","")</f>
        <v/>
      </c>
    </row>
    <row r="4" spans="1:77">
      <c r="D4" s="36" t="str">
        <f>IF(JPEN!$C$2="EN",指標!$I$2,指標!$H$2)</f>
        <v>指標</v>
      </c>
      <c r="E4" s="43" t="str">
        <f>IFERROR(INDEX(指標マスタ[],MATCH(E$5,指標マスタ['#],0),MATCH($D4,指標マスタ[#Headers],0))&amp;"","")</f>
        <v>人口</v>
      </c>
      <c r="F4" s="43" t="str">
        <f>IFERROR(INDEX(指標マスタ[],MATCH(F$5,指標マスタ['#],0),MATCH($D4,指標マスタ[#Headers],0))&amp;"","")</f>
        <v>面積</v>
      </c>
      <c r="G4" s="43" t="str">
        <f>IFERROR(INDEX(指標マスタ[],MATCH(G$5,指標マスタ['#],0),MATCH($D4,指標マスタ[#Headers],0))&amp;"","")</f>
        <v>為替</v>
      </c>
      <c r="H4" s="183" t="str">
        <f>IFERROR(INDEX(指標マスタ[],MATCH(H$5,指標マスタ['#],0),MATCH($D4,指標マスタ[#Headers],0))&amp;"","")</f>
        <v>GDP</v>
      </c>
      <c r="I4" s="183" t="str">
        <f>IFERROR(INDEX(指標マスタ[],MATCH(I$5,指標マスタ['#],0),MATCH($D4,指標マスタ[#Headers],0))&amp;"","")</f>
        <v>1人あたりGDP</v>
      </c>
      <c r="J4" s="183" t="str">
        <f>IFERROR(INDEX(指標マスタ[],MATCH(J$5,指標マスタ['#],0),MATCH($D4,指標マスタ[#Headers],0))&amp;"","")</f>
        <v>GDP成長率</v>
      </c>
      <c r="K4" s="183" t="str">
        <f>IFERROR(INDEX(指標マスタ[],MATCH(K$5,指標マスタ['#],0),MATCH($D4,指標マスタ[#Headers],0))&amp;"","")</f>
        <v>経済自由度</v>
      </c>
      <c r="L4" s="183" t="str">
        <f>IFERROR(INDEX(指標マスタ[],MATCH(L$5,指標マスタ['#],0),MATCH($D4,指標マスタ[#Headers],0))&amp;"","")</f>
        <v>上場株式時価総額</v>
      </c>
      <c r="M4" s="183" t="str">
        <f>IFERROR(INDEX(指標マスタ[],MATCH(M$5,指標マスタ['#],0),MATCH($D4,指標マスタ[#Headers],0))&amp;"","")</f>
        <v>世界トップ500企業</v>
      </c>
      <c r="N4" s="183" t="str">
        <f>IFERROR(INDEX(指標マスタ[],MATCH(N$5,指標マスタ['#],0),MATCH($D4,指標マスタ[#Headers],0))&amp;"","")</f>
        <v>従業者数</v>
      </c>
      <c r="O4" s="183" t="str">
        <f>IFERROR(INDEX(指標マスタ[],MATCH(O$5,指標マスタ['#],0),MATCH($D4,指標マスタ[#Headers],0))&amp;"","")</f>
        <v>ビジネスサポート人材の多さ</v>
      </c>
      <c r="P4" s="183" t="str">
        <f>IFERROR(INDEX(指標マスタ[],MATCH(P$5,指標マスタ['#],0),MATCH($D4,指標マスタ[#Headers],0))&amp;"","")</f>
        <v>賃金水準の高さ</v>
      </c>
      <c r="Q4" s="183" t="str">
        <f>IFERROR(INDEX(指標マスタ[],MATCH(Q$5,指標マスタ['#],0),MATCH($D4,指標マスタ[#Headers],0))&amp;"","")</f>
        <v>優秀な人材確保の容易性</v>
      </c>
      <c r="R4" s="183" t="str">
        <f>IFERROR(INDEX(指標マスタ[],MATCH(R$5,指標マスタ['#],0),MATCH($D4,指標マスタ[#Headers],0))&amp;"","")</f>
        <v>ワークプレイス充実度</v>
      </c>
      <c r="S4" s="183" t="str">
        <f>IFERROR(INDEX(指標マスタ[],MATCH(S$5,指標マスタ['#],0),MATCH($D4,指標マスタ[#Headers],0))&amp;"","")</f>
        <v>法人税率の低さ</v>
      </c>
      <c r="T4" s="183" t="str">
        <f>IFERROR(INDEX(指標マスタ[],MATCH(T$5,指標マスタ['#],0),MATCH($D4,指標マスタ[#Headers],0))&amp;"","")</f>
        <v>政治・経済・商機のリスクの低さ</v>
      </c>
      <c r="U4" s="187" t="str">
        <f>IFERROR(INDEX(指標マスタ[],MATCH(U$5,指標マスタ['#],0),MATCH($D4,指標マスタ[#Headers],0))&amp;"","")</f>
        <v>研究者数</v>
      </c>
      <c r="V4" s="187" t="str">
        <f>IFERROR(INDEX(指標マスタ[],MATCH(V$5,指標マスタ['#],0),MATCH($D4,指標マスタ[#Headers],0))&amp;"","")</f>
        <v>世界トップ大学</v>
      </c>
      <c r="W4" s="187" t="str">
        <f>IFERROR(INDEX(指標マスタ[],MATCH(W$5,指標マスタ['#],0),MATCH($D4,指標マスタ[#Headers],0))&amp;"","")</f>
        <v>研究開発費</v>
      </c>
      <c r="X4" s="187" t="str">
        <f>IFERROR(INDEX(指標マスタ[],MATCH(X$5,指標マスタ['#],0),MATCH($D4,指標マスタ[#Headers],0))&amp;"","")</f>
        <v>留学生数</v>
      </c>
      <c r="Y4" s="187" t="str">
        <f>IFERROR(INDEX(指標マスタ[],MATCH(Y$5,指標マスタ['#],0),MATCH($D4,指標マスタ[#Headers],0))&amp;"","")</f>
        <v>学力の高さ</v>
      </c>
      <c r="Z4" s="187" t="str">
        <f>IFERROR(INDEX(指標マスタ[],MATCH(Z$5,指標マスタ['#],0),MATCH($D4,指標マスタ[#Headers],0))&amp;"","")</f>
        <v>特許登録件数</v>
      </c>
      <c r="AA4" s="187" t="str">
        <f>IFERROR(INDEX(指標マスタ[],MATCH(AA$5,指標マスタ['#],0),MATCH($D4,指標マスタ[#Headers],0))&amp;"","")</f>
        <v>主要科学技術賞受賞者数</v>
      </c>
      <c r="AB4" s="187" t="str">
        <f>IFERROR(INDEX(指標マスタ[],MATCH(AB$5,指標マスタ['#],0),MATCH($D4,指標マスタ[#Headers],0))&amp;"","")</f>
        <v>スタートアップ数</v>
      </c>
      <c r="AC4" s="193" t="str">
        <f>IFERROR(INDEX(指標マスタ[],MATCH(AC$5,指標マスタ['#],0),MATCH($D4,指標マスタ[#Headers],0))&amp;"","")</f>
        <v>国際コンベンション件数</v>
      </c>
      <c r="AD4" s="193" t="str">
        <f>IFERROR(INDEX(指標マスタ[],MATCH(AD$5,指標マスタ['#],0),MATCH($D4,指標マスタ[#Headers],0))&amp;"","")</f>
        <v>文化イベント開催件数</v>
      </c>
      <c r="AE4" s="193" t="str">
        <f>IFERROR(INDEX(指標マスタ[],MATCH(AE$5,指標マスタ['#],0),MATCH($D4,指標マスタ[#Headers],0))&amp;"","")</f>
        <v>コンテンツ輸出額</v>
      </c>
      <c r="AF4" s="193" t="str">
        <f>IFERROR(INDEX(指標マスタ[],MATCH(AF$5,指標マスタ['#],0),MATCH($D4,指標マスタ[#Headers],0))&amp;"","")</f>
        <v>アート市場環境</v>
      </c>
      <c r="AG4" s="193" t="str">
        <f>IFERROR(INDEX(指標マスタ[],MATCH(AG$5,指標マスタ['#],0),MATCH($D4,指標マスタ[#Headers],0))&amp;"","")</f>
        <v>観光地の充実度</v>
      </c>
      <c r="AH4" s="193" t="str">
        <f>IFERROR(INDEX(指標マスタ[],MATCH(AH$5,指標マスタ['#],0),MATCH($D4,指標マスタ[#Headers],0))&amp;"","")</f>
        <v>世界遺産への近接性</v>
      </c>
      <c r="AI4" s="193" t="str">
        <f>IFERROR(INDEX(指標マスタ[],MATCH(AI$5,指標マスタ['#],0),MATCH($D4,指標マスタ[#Headers],0))&amp;"","")</f>
        <v>ナイトライフ充実度</v>
      </c>
      <c r="AJ4" s="193" t="str">
        <f>IFERROR(INDEX(指標マスタ[],MATCH(AJ$5,指標マスタ['#],0),MATCH($D4,指標マスタ[#Headers],0))&amp;"","")</f>
        <v>劇場・コンサートホール数</v>
      </c>
      <c r="AK4" s="193" t="str">
        <f>IFERROR(INDEX(指標マスタ[],MATCH(AK$5,指標マスタ['#],0),MATCH($D4,指標マスタ[#Headers],0))&amp;"","")</f>
        <v>美術館・博物館数</v>
      </c>
      <c r="AL4" s="193" t="str">
        <f>IFERROR(INDEX(指標マスタ[],MATCH(AL$5,指標マスタ['#],0),MATCH($D4,指標マスタ[#Headers],0))&amp;"","")</f>
        <v>スタジアム数</v>
      </c>
      <c r="AM4" s="193" t="str">
        <f>IFERROR(INDEX(指標マスタ[],MATCH(AM$5,指標マスタ['#],0),MATCH($D4,指標マスタ[#Headers],0))&amp;"","")</f>
        <v>ホテル客室数</v>
      </c>
      <c r="AN4" s="193" t="str">
        <f>IFERROR(INDEX(指標マスタ[],MATCH(AN$5,指標マスタ['#],0),MATCH($D4,指標マスタ[#Headers],0))&amp;"","")</f>
        <v>ハイクラスホテル客室数</v>
      </c>
      <c r="AO4" s="193" t="str">
        <f>IFERROR(INDEX(指標マスタ[],MATCH(AO$5,指標マスタ['#],0),MATCH($D4,指標マスタ[#Headers],0))&amp;"","")</f>
        <v>買物の魅力</v>
      </c>
      <c r="AP4" s="193" t="str">
        <f>IFERROR(INDEX(指標マスタ[],MATCH(AP$5,指標マスタ['#],0),MATCH($D4,指標マスタ[#Headers],0))&amp;"","")</f>
        <v>食事の魅力</v>
      </c>
      <c r="AQ4" s="193" t="str">
        <f>IFERROR(INDEX(指標マスタ[],MATCH(AQ$5,指標マスタ['#],0),MATCH($D4,指標マスタ[#Headers],0))&amp;"","")</f>
        <v>外国人居住者数</v>
      </c>
      <c r="AR4" s="193" t="str">
        <f>IFERROR(INDEX(指標マスタ[],MATCH(AR$5,指標マスタ['#],0),MATCH($D4,指標マスタ[#Headers],0))&amp;"","")</f>
        <v>外国人訪問者数</v>
      </c>
      <c r="AS4" s="199" t="str">
        <f>IFERROR(INDEX(指標マスタ[],MATCH(AS$5,指標マスタ['#],0),MATCH($D4,指標マスタ[#Headers],0))&amp;"","")</f>
        <v>完全失業率の低さ</v>
      </c>
      <c r="AT4" s="199" t="str">
        <f>IFERROR(INDEX(指標マスタ[],MATCH(AT$5,指標マスタ['#],0),MATCH($D4,指標マスタ[#Headers],0))&amp;"","")</f>
        <v>1人あたりの総労働時間の短さ</v>
      </c>
      <c r="AU4" s="199" t="str">
        <f>IFERROR(INDEX(指標マスタ[],MATCH(AU$5,指標マスタ['#],0),MATCH($D4,指標マスタ[#Headers],0))&amp;"","")</f>
        <v>働き方の柔軟性</v>
      </c>
      <c r="AV4" s="199" t="str">
        <f>IFERROR(INDEX(指標マスタ[],MATCH(AV$5,指標マスタ['#],0),MATCH($D4,指標マスタ[#Headers],0))&amp;"","")</f>
        <v>住宅賃料水準の低さ</v>
      </c>
      <c r="AW4" s="199" t="str">
        <f>IFERROR(INDEX(指標マスタ[],MATCH(AW$5,指標マスタ['#],0),MATCH($D4,指標マスタ[#Headers],0))&amp;"","")</f>
        <v>物価水準の低さ</v>
      </c>
      <c r="AX4" s="199" t="str">
        <f>IFERROR(INDEX(指標マスタ[],MATCH(AX$5,指標マスタ['#],0),MATCH($D4,指標マスタ[#Headers],0))&amp;"","")</f>
        <v>殺人件数の少なさ</v>
      </c>
      <c r="AY4" s="199" t="str">
        <f>IFERROR(INDEX(指標マスタ[],MATCH(AY$5,指標マスタ['#],0),MATCH($D4,指標マスタ[#Headers],0))&amp;"","")</f>
        <v>自然災害の経済的リスクの少なさ</v>
      </c>
      <c r="AZ4" s="199" t="str">
        <f>IFERROR(INDEX(指標マスタ[],MATCH(AZ$5,指標マスタ['#],0),MATCH($D4,指標マスタ[#Headers],0))&amp;"","")</f>
        <v>平均寿命</v>
      </c>
      <c r="BA4" s="199" t="str">
        <f>IFERROR(INDEX(指標マスタ[],MATCH(BA$5,指標マスタ['#],0),MATCH($D4,指標マスタ[#Headers],0))&amp;"","")</f>
        <v>社会の自由度・平等さ</v>
      </c>
      <c r="BB4" s="199" t="str">
        <f>IFERROR(INDEX(指標マスタ[],MATCH(BB$5,指標マスタ['#],0),MATCH($D4,指標マスタ[#Headers],0))&amp;"","")</f>
        <v>メンタルヘルス水準</v>
      </c>
      <c r="BC4" s="199" t="str">
        <f>IFERROR(INDEX(指標マスタ[],MATCH(BC$5,指標マスタ['#],0),MATCH($D4,指標マスタ[#Headers],0))&amp;"","")</f>
        <v>医師数</v>
      </c>
      <c r="BD4" s="199" t="str">
        <f>IFERROR(INDEX(指標マスタ[],MATCH(BD$5,指標マスタ['#],0),MATCH($D4,指標マスタ[#Headers],0))&amp;"","")</f>
        <v>ICT環境の充実度</v>
      </c>
      <c r="BE4" s="199" t="str">
        <f>IFERROR(INDEX(指標マスタ[],MATCH(BE$5,指標マスタ['#],0),MATCH($D4,指標マスタ[#Headers],0))&amp;"","")</f>
        <v>小売店舗の多さ</v>
      </c>
      <c r="BF4" s="199" t="str">
        <f>IFERROR(INDEX(指標マスタ[],MATCH(BF$5,指標マスタ['#],0),MATCH($D4,指標マスタ[#Headers],0))&amp;"","")</f>
        <v>飲食店の多さ</v>
      </c>
      <c r="BG4" s="204" t="str">
        <f>IFERROR(INDEX(指標マスタ[],MATCH(BG$5,指標マスタ['#],0),MATCH($D4,指標マスタ[#Headers],0))&amp;"","")</f>
        <v>環境への取り組み</v>
      </c>
      <c r="BH4" s="204" t="str">
        <f>IFERROR(INDEX(指標マスタ[],MATCH(BH$5,指標マスタ['#],0),MATCH($D4,指標マスタ[#Headers],0))&amp;"","")</f>
        <v>再生可能エネルギー比率</v>
      </c>
      <c r="BI4" s="204" t="str">
        <f>IFERROR(INDEX(指標マスタ[],MATCH(BI$5,指標マスタ['#],0),MATCH($D4,指標マスタ[#Headers],0))&amp;"","")</f>
        <v>リサイクル率</v>
      </c>
      <c r="BJ4" s="204" t="str">
        <f>IFERROR(INDEX(指標マスタ[],MATCH(BJ$5,指標マスタ['#],0),MATCH($D4,指標マスタ[#Headers],0))&amp;"","")</f>
        <v>1人あたりのCO2排出量の少なさ</v>
      </c>
      <c r="BK4" s="204" t="str">
        <f>IFERROR(INDEX(指標マスタ[],MATCH(BK$5,指標マスタ['#],0),MATCH($D4,指標マスタ[#Headers],0))&amp;"","")</f>
        <v>空気のきれいさ</v>
      </c>
      <c r="BL4" s="204" t="str">
        <f>IFERROR(INDEX(指標マスタ[],MATCH(BL$5,指標マスタ['#],0),MATCH($D4,指標マスタ[#Headers],0))&amp;"","")</f>
        <v>気温の快適性</v>
      </c>
      <c r="BM4" s="204" t="str">
        <f>IFERROR(INDEX(指標マスタ[],MATCH(BM$5,指標マスタ['#],0),MATCH($D4,指標マスタ[#Headers],0))&amp;"","")</f>
        <v>水質の良好性</v>
      </c>
      <c r="BN4" s="204" t="str">
        <f>IFERROR(INDEX(指標マスタ[],MATCH(BN$5,指標マスタ['#],0),MATCH($D4,指標マスタ[#Headers],0))&amp;"","")</f>
        <v>緑地の充実度</v>
      </c>
      <c r="BO4" s="204" t="str">
        <f>IFERROR(INDEX(指標マスタ[],MATCH(BO$5,指標マスタ['#],0),MATCH($D4,指標マスタ[#Headers],0))&amp;"","")</f>
        <v>都市空間の清潔さ</v>
      </c>
      <c r="BP4" s="209" t="str">
        <f>IFERROR(INDEX(指標マスタ[],MATCH(BP$5,指標マスタ['#],0),MATCH($D4,指標マスタ[#Headers],0))&amp;"","")</f>
        <v>国際線直行便就航都市数</v>
      </c>
      <c r="BQ4" s="209" t="str">
        <f>IFERROR(INDEX(指標マスタ[],MATCH(BQ$5,指標マスタ['#],0),MATCH($D4,指標マスタ[#Headers],0))&amp;"","")</f>
        <v>国際貨物流通規模</v>
      </c>
      <c r="BR4" s="209" t="str">
        <f>IFERROR(INDEX(指標マスタ[],MATCH(BR$5,指標マスタ['#],0),MATCH($D4,指標マスタ[#Headers],0))&amp;"","")</f>
        <v>国内・国際線旅客数</v>
      </c>
      <c r="BS4" s="209" t="str">
        <f>IFERROR(INDEX(指標マスタ[],MATCH(BS$5,指標マスタ['#],0),MATCH($D4,指標マスタ[#Headers],0))&amp;"","")</f>
        <v>航空機の発着回数</v>
      </c>
      <c r="BT4" s="209" t="str">
        <f>IFERROR(INDEX(指標マスタ[],MATCH(BT$5,指標マスタ['#],0),MATCH($D4,指標マスタ[#Headers],0))&amp;"","")</f>
        <v>駅密度</v>
      </c>
      <c r="BU4" s="209" t="str">
        <f>IFERROR(INDEX(指標マスタ[],MATCH(BU$5,指標マスタ['#],0),MATCH($D4,指標マスタ[#Headers],0))&amp;"","")</f>
        <v>公共交通機関利用率</v>
      </c>
      <c r="BV4" s="209" t="str">
        <f>IFERROR(INDEX(指標マスタ[],MATCH(BV$5,指標マスタ['#],0),MATCH($D4,指標マスタ[#Headers],0))&amp;"","")</f>
        <v>空港アクセス時間の短さ</v>
      </c>
      <c r="BW4" s="209" t="str">
        <f>IFERROR(INDEX(指標マスタ[],MATCH(BW$5,指標マスタ['#],0),MATCH($D4,指標マスタ[#Headers],0))&amp;"","")</f>
        <v>通勤・通学時間の短さ</v>
      </c>
      <c r="BX4" s="209" t="str">
        <f>IFERROR(INDEX(指標マスタ[],MATCH(BX$5,指標マスタ['#],0),MATCH($D4,指標マスタ[#Headers],0))&amp;"","")</f>
        <v>自動車の移動速度</v>
      </c>
      <c r="BY4" s="209" t="str">
        <f>IFERROR(INDEX(指標マスタ[],MATCH(BY$5,指標マスタ['#],0),MATCH($D4,指標マスタ[#Headers],0))&amp;"","")</f>
        <v>タクシー・自転車での移動のしやすさ</v>
      </c>
    </row>
    <row r="5" spans="1:77" s="2" customFormat="1">
      <c r="B5" s="84" t="s">
        <v>537</v>
      </c>
      <c r="C5" s="281" t="s">
        <v>208</v>
      </c>
      <c r="D5" s="310" t="s">
        <v>210</v>
      </c>
      <c r="E5" s="280" t="s">
        <v>1088</v>
      </c>
      <c r="F5" s="280" t="s">
        <v>1089</v>
      </c>
      <c r="G5" s="280" t="s">
        <v>1090</v>
      </c>
      <c r="H5" s="279" t="s">
        <v>211</v>
      </c>
      <c r="I5" s="279" t="s">
        <v>212</v>
      </c>
      <c r="J5" s="279" t="s">
        <v>213</v>
      </c>
      <c r="K5" s="279" t="s">
        <v>214</v>
      </c>
      <c r="L5" s="279" t="s">
        <v>215</v>
      </c>
      <c r="M5" s="279" t="s">
        <v>216</v>
      </c>
      <c r="N5" s="279" t="s">
        <v>217</v>
      </c>
      <c r="O5" s="279" t="s">
        <v>218</v>
      </c>
      <c r="P5" s="279" t="s">
        <v>219</v>
      </c>
      <c r="Q5" s="278" t="s">
        <v>611</v>
      </c>
      <c r="R5" s="278" t="s">
        <v>547</v>
      </c>
      <c r="S5" s="278" t="s">
        <v>548</v>
      </c>
      <c r="T5" s="278" t="s">
        <v>549</v>
      </c>
      <c r="U5" s="277" t="s">
        <v>550</v>
      </c>
      <c r="V5" s="277" t="s">
        <v>551</v>
      </c>
      <c r="W5" s="277" t="s">
        <v>552</v>
      </c>
      <c r="X5" s="277" t="s">
        <v>553</v>
      </c>
      <c r="Y5" s="277" t="s">
        <v>554</v>
      </c>
      <c r="Z5" s="277" t="s">
        <v>555</v>
      </c>
      <c r="AA5" s="277" t="s">
        <v>556</v>
      </c>
      <c r="AB5" s="277" t="s">
        <v>557</v>
      </c>
      <c r="AC5" s="276" t="s">
        <v>558</v>
      </c>
      <c r="AD5" s="276" t="s">
        <v>559</v>
      </c>
      <c r="AE5" s="276" t="s">
        <v>560</v>
      </c>
      <c r="AF5" s="276" t="s">
        <v>561</v>
      </c>
      <c r="AG5" s="276" t="s">
        <v>562</v>
      </c>
      <c r="AH5" s="276" t="s">
        <v>563</v>
      </c>
      <c r="AI5" s="276" t="s">
        <v>564</v>
      </c>
      <c r="AJ5" s="276" t="s">
        <v>565</v>
      </c>
      <c r="AK5" s="276" t="s">
        <v>566</v>
      </c>
      <c r="AL5" s="276" t="s">
        <v>567</v>
      </c>
      <c r="AM5" s="276" t="s">
        <v>568</v>
      </c>
      <c r="AN5" s="276" t="s">
        <v>569</v>
      </c>
      <c r="AO5" s="276" t="s">
        <v>570</v>
      </c>
      <c r="AP5" s="276" t="s">
        <v>571</v>
      </c>
      <c r="AQ5" s="276" t="s">
        <v>572</v>
      </c>
      <c r="AR5" s="276" t="s">
        <v>573</v>
      </c>
      <c r="AS5" s="275" t="s">
        <v>574</v>
      </c>
      <c r="AT5" s="275" t="s">
        <v>575</v>
      </c>
      <c r="AU5" s="275" t="s">
        <v>576</v>
      </c>
      <c r="AV5" s="275" t="s">
        <v>577</v>
      </c>
      <c r="AW5" s="275" t="s">
        <v>578</v>
      </c>
      <c r="AX5" s="275" t="s">
        <v>579</v>
      </c>
      <c r="AY5" s="275" t="s">
        <v>580</v>
      </c>
      <c r="AZ5" s="275" t="s">
        <v>581</v>
      </c>
      <c r="BA5" s="275" t="s">
        <v>582</v>
      </c>
      <c r="BB5" s="275" t="s">
        <v>583</v>
      </c>
      <c r="BC5" s="275" t="s">
        <v>584</v>
      </c>
      <c r="BD5" s="275" t="s">
        <v>585</v>
      </c>
      <c r="BE5" s="275" t="s">
        <v>586</v>
      </c>
      <c r="BF5" s="275" t="s">
        <v>587</v>
      </c>
      <c r="BG5" s="274" t="s">
        <v>588</v>
      </c>
      <c r="BH5" s="274" t="s">
        <v>589</v>
      </c>
      <c r="BI5" s="274" t="s">
        <v>590</v>
      </c>
      <c r="BJ5" s="274" t="s">
        <v>591</v>
      </c>
      <c r="BK5" s="274" t="s">
        <v>592</v>
      </c>
      <c r="BL5" s="274" t="s">
        <v>593</v>
      </c>
      <c r="BM5" s="274" t="s">
        <v>594</v>
      </c>
      <c r="BN5" s="274" t="s">
        <v>595</v>
      </c>
      <c r="BO5" s="274" t="s">
        <v>596</v>
      </c>
      <c r="BP5" s="273" t="s">
        <v>597</v>
      </c>
      <c r="BQ5" s="273" t="s">
        <v>598</v>
      </c>
      <c r="BR5" s="273" t="s">
        <v>599</v>
      </c>
      <c r="BS5" s="273" t="s">
        <v>600</v>
      </c>
      <c r="BT5" s="273" t="s">
        <v>601</v>
      </c>
      <c r="BU5" s="273" t="s">
        <v>602</v>
      </c>
      <c r="BV5" s="273" t="s">
        <v>603</v>
      </c>
      <c r="BW5" s="273" t="s">
        <v>604</v>
      </c>
      <c r="BX5" s="273" t="s">
        <v>605</v>
      </c>
      <c r="BY5" s="272" t="s">
        <v>606</v>
      </c>
    </row>
    <row r="6" spans="1:77">
      <c r="A6" s="2">
        <v>1</v>
      </c>
      <c r="B6" s="55">
        <f>INDEX(順位表[Comprehensive],MATCH($C6,順位表['#],0))</f>
        <v>14</v>
      </c>
      <c r="C6" s="3">
        <v>1</v>
      </c>
      <c r="D6" s="1" t="str">
        <f>INDEX(都市マスタ[City Name],MATCH($C6,都市マスタ['#],0))</f>
        <v>Madrid</v>
      </c>
      <c r="E6" s="13" t="s">
        <v>1518</v>
      </c>
      <c r="F6" s="13" t="s">
        <v>1518</v>
      </c>
      <c r="G6" s="13" t="s">
        <v>1914</v>
      </c>
      <c r="H6" s="13" t="s">
        <v>2847</v>
      </c>
      <c r="I6" s="13"/>
      <c r="J6" s="13" t="s">
        <v>2884</v>
      </c>
      <c r="K6" s="13" t="s">
        <v>1566</v>
      </c>
      <c r="L6" s="13" t="s">
        <v>1636</v>
      </c>
      <c r="M6" s="13" t="s">
        <v>1637</v>
      </c>
      <c r="N6" s="13" t="s">
        <v>1518</v>
      </c>
      <c r="O6" s="13" t="s">
        <v>1518</v>
      </c>
      <c r="P6" s="13" t="s">
        <v>1679</v>
      </c>
      <c r="Q6" s="13" t="s">
        <v>2998</v>
      </c>
      <c r="R6" s="13" t="s">
        <v>3035</v>
      </c>
      <c r="S6" s="13" t="s">
        <v>1720</v>
      </c>
      <c r="T6" s="13" t="s">
        <v>1914</v>
      </c>
      <c r="U6" s="13" t="s">
        <v>1724</v>
      </c>
      <c r="V6" s="13" t="s">
        <v>1726</v>
      </c>
      <c r="W6" s="13" t="s">
        <v>1728</v>
      </c>
      <c r="X6" s="13" t="s">
        <v>1726</v>
      </c>
      <c r="Y6" s="13" t="s">
        <v>1566</v>
      </c>
      <c r="Z6" s="13" t="s">
        <v>1731</v>
      </c>
      <c r="AA6" s="13" t="s">
        <v>1726</v>
      </c>
      <c r="AB6" s="13" t="s">
        <v>3077</v>
      </c>
      <c r="AC6" s="13" t="s">
        <v>3079</v>
      </c>
      <c r="AD6" s="13" t="s">
        <v>3082</v>
      </c>
      <c r="AE6" s="13" t="s">
        <v>3092</v>
      </c>
      <c r="AF6" s="13" t="s">
        <v>1738</v>
      </c>
      <c r="AG6" s="13" t="s">
        <v>1740</v>
      </c>
      <c r="AH6" s="13" t="s">
        <v>1741</v>
      </c>
      <c r="AI6" s="13" t="s">
        <v>1742</v>
      </c>
      <c r="AJ6" s="13" t="s">
        <v>3103</v>
      </c>
      <c r="AK6" s="13" t="s">
        <v>1792</v>
      </c>
      <c r="AL6" s="13" t="s">
        <v>1794</v>
      </c>
      <c r="AM6" s="13" t="s">
        <v>1796</v>
      </c>
      <c r="AN6" s="13" t="s">
        <v>1796</v>
      </c>
      <c r="AO6" s="13" t="s">
        <v>3104</v>
      </c>
      <c r="AP6" s="13" t="s">
        <v>1740</v>
      </c>
      <c r="AQ6" s="13" t="s">
        <v>3135</v>
      </c>
      <c r="AR6" s="13" t="s">
        <v>3209</v>
      </c>
      <c r="AS6" s="13" t="s">
        <v>3296</v>
      </c>
      <c r="AT6" s="13" t="s">
        <v>3346</v>
      </c>
      <c r="AU6" s="13"/>
      <c r="AV6" s="13" t="s">
        <v>1830</v>
      </c>
      <c r="AW6" s="13" t="s">
        <v>1830</v>
      </c>
      <c r="AX6" s="13" t="s">
        <v>1852</v>
      </c>
      <c r="AY6" s="13" t="s">
        <v>1882</v>
      </c>
      <c r="AZ6" s="13" t="s">
        <v>1728</v>
      </c>
      <c r="BA6" s="13" t="s">
        <v>1883</v>
      </c>
      <c r="BB6" s="13" t="s">
        <v>1723</v>
      </c>
      <c r="BC6" s="13" t="s">
        <v>1895</v>
      </c>
      <c r="BD6" s="13" t="s">
        <v>1728</v>
      </c>
      <c r="BE6" s="13" t="s">
        <v>1740</v>
      </c>
      <c r="BF6" s="13" t="s">
        <v>1740</v>
      </c>
      <c r="BG6" s="13" t="s">
        <v>1738</v>
      </c>
      <c r="BH6" s="13" t="s">
        <v>1566</v>
      </c>
      <c r="BI6" s="13" t="s">
        <v>1914</v>
      </c>
      <c r="BJ6" s="13" t="s">
        <v>3460</v>
      </c>
      <c r="BK6" s="13" t="s">
        <v>3351</v>
      </c>
      <c r="BL6" s="13" t="s">
        <v>1923</v>
      </c>
      <c r="BM6" s="13" t="s">
        <v>247</v>
      </c>
      <c r="BN6" s="13" t="s">
        <v>3099</v>
      </c>
      <c r="BO6" s="13" t="s">
        <v>3478</v>
      </c>
      <c r="BP6" s="13" t="s">
        <v>3479</v>
      </c>
      <c r="BQ6" s="13" t="s">
        <v>3496</v>
      </c>
      <c r="BR6" s="13" t="s">
        <v>1963</v>
      </c>
      <c r="BS6" s="13" t="s">
        <v>3479</v>
      </c>
      <c r="BT6" s="13" t="s">
        <v>1796</v>
      </c>
      <c r="BU6" s="13" t="s">
        <v>1792</v>
      </c>
      <c r="BV6" s="13" t="s">
        <v>1963</v>
      </c>
      <c r="BW6" s="13" t="s">
        <v>2013</v>
      </c>
      <c r="BX6" s="13" t="s">
        <v>1830</v>
      </c>
      <c r="BY6" s="311" t="s">
        <v>2021</v>
      </c>
    </row>
    <row r="7" spans="1:77">
      <c r="A7" s="2">
        <v>2</v>
      </c>
      <c r="B7" s="55">
        <f>INDEX(順位表[Comprehensive],MATCH($C7,順位表['#],0))</f>
        <v>22</v>
      </c>
      <c r="C7" s="3">
        <v>2</v>
      </c>
      <c r="D7" s="1" t="str">
        <f>INDEX(都市マスタ[City Name],MATCH($C7,都市マスタ['#],0))</f>
        <v>Barcelona</v>
      </c>
      <c r="E7" s="13" t="s">
        <v>1519</v>
      </c>
      <c r="F7" s="13" t="s">
        <v>1519</v>
      </c>
      <c r="G7" s="13" t="s">
        <v>1914</v>
      </c>
      <c r="H7" s="13" t="s">
        <v>1519</v>
      </c>
      <c r="I7" s="13"/>
      <c r="J7" s="13" t="s">
        <v>2885</v>
      </c>
      <c r="K7" s="13" t="s">
        <v>1566</v>
      </c>
      <c r="L7" s="13" t="s">
        <v>1636</v>
      </c>
      <c r="M7" s="13" t="s">
        <v>1637</v>
      </c>
      <c r="N7" s="13" t="s">
        <v>1519</v>
      </c>
      <c r="O7" s="13" t="s">
        <v>1519</v>
      </c>
      <c r="P7" s="13" t="s">
        <v>1680</v>
      </c>
      <c r="Q7" s="13" t="s">
        <v>2999</v>
      </c>
      <c r="R7" s="13" t="s">
        <v>3035</v>
      </c>
      <c r="S7" s="13" t="s">
        <v>1720</v>
      </c>
      <c r="T7" s="13" t="s">
        <v>1914</v>
      </c>
      <c r="U7" s="13" t="s">
        <v>1724</v>
      </c>
      <c r="V7" s="13" t="s">
        <v>1726</v>
      </c>
      <c r="W7" s="13" t="s">
        <v>1728</v>
      </c>
      <c r="X7" s="13" t="s">
        <v>1726</v>
      </c>
      <c r="Y7" s="13" t="s">
        <v>1566</v>
      </c>
      <c r="Z7" s="13" t="s">
        <v>1731</v>
      </c>
      <c r="AA7" s="13" t="s">
        <v>1726</v>
      </c>
      <c r="AB7" s="13" t="s">
        <v>3077</v>
      </c>
      <c r="AC7" s="13" t="s">
        <v>3079</v>
      </c>
      <c r="AD7" s="13" t="s">
        <v>3082</v>
      </c>
      <c r="AE7" s="13" t="s">
        <v>3092</v>
      </c>
      <c r="AF7" s="13" t="s">
        <v>1738</v>
      </c>
      <c r="AG7" s="13" t="s">
        <v>1740</v>
      </c>
      <c r="AH7" s="13" t="s">
        <v>1741</v>
      </c>
      <c r="AI7" s="13" t="s">
        <v>1743</v>
      </c>
      <c r="AJ7" s="13" t="s">
        <v>3103</v>
      </c>
      <c r="AK7" s="13" t="s">
        <v>1792</v>
      </c>
      <c r="AL7" s="13" t="s">
        <v>1794</v>
      </c>
      <c r="AM7" s="13" t="s">
        <v>1796</v>
      </c>
      <c r="AN7" s="13" t="s">
        <v>1796</v>
      </c>
      <c r="AO7" s="13" t="s">
        <v>3104</v>
      </c>
      <c r="AP7" s="13" t="s">
        <v>1740</v>
      </c>
      <c r="AQ7" s="13" t="s">
        <v>3136</v>
      </c>
      <c r="AR7" s="13" t="s">
        <v>3210</v>
      </c>
      <c r="AS7" s="13" t="s">
        <v>3297</v>
      </c>
      <c r="AT7" s="13" t="s">
        <v>3346</v>
      </c>
      <c r="AU7" s="13"/>
      <c r="AV7" s="13" t="s">
        <v>1830</v>
      </c>
      <c r="AW7" s="13" t="s">
        <v>1830</v>
      </c>
      <c r="AX7" s="13" t="s">
        <v>1853</v>
      </c>
      <c r="AY7" s="13" t="s">
        <v>1882</v>
      </c>
      <c r="AZ7" s="13" t="s">
        <v>1728</v>
      </c>
      <c r="BA7" s="13" t="s">
        <v>1883</v>
      </c>
      <c r="BB7" s="13" t="s">
        <v>1723</v>
      </c>
      <c r="BC7" s="13" t="s">
        <v>1895</v>
      </c>
      <c r="BD7" s="13" t="s">
        <v>1728</v>
      </c>
      <c r="BE7" s="13" t="s">
        <v>1740</v>
      </c>
      <c r="BF7" s="13" t="s">
        <v>1740</v>
      </c>
      <c r="BG7" s="13" t="s">
        <v>1738</v>
      </c>
      <c r="BH7" s="13" t="s">
        <v>1566</v>
      </c>
      <c r="BI7" s="13" t="s">
        <v>1914</v>
      </c>
      <c r="BJ7" s="13" t="s">
        <v>3460</v>
      </c>
      <c r="BK7" s="13" t="s">
        <v>3351</v>
      </c>
      <c r="BL7" s="13" t="s">
        <v>1924</v>
      </c>
      <c r="BM7" s="13" t="s">
        <v>247</v>
      </c>
      <c r="BN7" s="13" t="s">
        <v>3099</v>
      </c>
      <c r="BO7" s="13" t="s">
        <v>3478</v>
      </c>
      <c r="BP7" s="13" t="s">
        <v>3479</v>
      </c>
      <c r="BQ7" s="13" t="s">
        <v>3497</v>
      </c>
      <c r="BR7" s="13" t="s">
        <v>1964</v>
      </c>
      <c r="BS7" s="13" t="s">
        <v>3479</v>
      </c>
      <c r="BT7" s="13" t="s">
        <v>1796</v>
      </c>
      <c r="BU7" s="13" t="s">
        <v>1792</v>
      </c>
      <c r="BV7" s="13" t="s">
        <v>1964</v>
      </c>
      <c r="BW7" s="13" t="s">
        <v>2013</v>
      </c>
      <c r="BX7" s="13" t="s">
        <v>1830</v>
      </c>
      <c r="BY7" s="311" t="s">
        <v>2022</v>
      </c>
    </row>
    <row r="8" spans="1:77">
      <c r="A8" s="2">
        <v>3</v>
      </c>
      <c r="B8" s="55">
        <f>INDEX(順位表[Comprehensive],MATCH($C8,順位表['#],0))</f>
        <v>1</v>
      </c>
      <c r="C8" s="3">
        <v>3</v>
      </c>
      <c r="D8" s="1" t="str">
        <f>INDEX(都市マスタ[City Name],MATCH($C8,都市マスタ['#],0))</f>
        <v>London</v>
      </c>
      <c r="E8" s="13" t="s">
        <v>1520</v>
      </c>
      <c r="F8" s="13" t="s">
        <v>1520</v>
      </c>
      <c r="G8" s="13" t="s">
        <v>1914</v>
      </c>
      <c r="H8" s="13" t="s">
        <v>2848</v>
      </c>
      <c r="I8" s="13"/>
      <c r="J8" s="13" t="s">
        <v>2886</v>
      </c>
      <c r="K8" s="13" t="s">
        <v>1566</v>
      </c>
      <c r="L8" s="13"/>
      <c r="M8" s="13" t="s">
        <v>1637</v>
      </c>
      <c r="N8" s="13" t="s">
        <v>1520</v>
      </c>
      <c r="O8" s="13" t="s">
        <v>1666</v>
      </c>
      <c r="P8" s="13" t="s">
        <v>1681</v>
      </c>
      <c r="Q8" s="13" t="s">
        <v>3000</v>
      </c>
      <c r="R8" s="13" t="s">
        <v>3035</v>
      </c>
      <c r="S8" s="13" t="s">
        <v>1720</v>
      </c>
      <c r="T8" s="13" t="s">
        <v>1914</v>
      </c>
      <c r="U8" s="13" t="s">
        <v>1724</v>
      </c>
      <c r="V8" s="13" t="s">
        <v>1726</v>
      </c>
      <c r="W8" s="13" t="s">
        <v>1728</v>
      </c>
      <c r="X8" s="13" t="s">
        <v>1726</v>
      </c>
      <c r="Y8" s="13" t="s">
        <v>1566</v>
      </c>
      <c r="Z8" s="13" t="s">
        <v>1731</v>
      </c>
      <c r="AA8" s="13" t="s">
        <v>1726</v>
      </c>
      <c r="AB8" s="13" t="s">
        <v>3077</v>
      </c>
      <c r="AC8" s="13" t="s">
        <v>3079</v>
      </c>
      <c r="AD8" s="13" t="s">
        <v>3082</v>
      </c>
      <c r="AE8" s="13" t="s">
        <v>3092</v>
      </c>
      <c r="AF8" s="13" t="s">
        <v>1738</v>
      </c>
      <c r="AG8" s="13" t="s">
        <v>1740</v>
      </c>
      <c r="AH8" s="13" t="s">
        <v>1741</v>
      </c>
      <c r="AI8" s="13" t="s">
        <v>1744</v>
      </c>
      <c r="AJ8" s="13" t="s">
        <v>3103</v>
      </c>
      <c r="AK8" s="13" t="s">
        <v>1792</v>
      </c>
      <c r="AL8" s="13" t="s">
        <v>1794</v>
      </c>
      <c r="AM8" s="13" t="s">
        <v>1796</v>
      </c>
      <c r="AN8" s="13" t="s">
        <v>1796</v>
      </c>
      <c r="AO8" s="13" t="s">
        <v>3104</v>
      </c>
      <c r="AP8" s="13" t="s">
        <v>1740</v>
      </c>
      <c r="AQ8" s="13" t="s">
        <v>3137</v>
      </c>
      <c r="AR8" s="13" t="s">
        <v>3211</v>
      </c>
      <c r="AS8" s="13" t="s">
        <v>3298</v>
      </c>
      <c r="AT8" s="13" t="s">
        <v>3346</v>
      </c>
      <c r="AU8" s="13"/>
      <c r="AV8" s="13" t="s">
        <v>1830</v>
      </c>
      <c r="AW8" s="13" t="s">
        <v>1830</v>
      </c>
      <c r="AX8" s="13" t="s">
        <v>1854</v>
      </c>
      <c r="AY8" s="13" t="s">
        <v>1882</v>
      </c>
      <c r="AZ8" s="13" t="s">
        <v>1728</v>
      </c>
      <c r="BA8" s="13" t="s">
        <v>1883</v>
      </c>
      <c r="BB8" s="13" t="s">
        <v>1723</v>
      </c>
      <c r="BC8" s="13" t="s">
        <v>1895</v>
      </c>
      <c r="BD8" s="13" t="s">
        <v>1728</v>
      </c>
      <c r="BE8" s="13" t="s">
        <v>1740</v>
      </c>
      <c r="BF8" s="13" t="s">
        <v>1740</v>
      </c>
      <c r="BG8" s="13" t="s">
        <v>1738</v>
      </c>
      <c r="BH8" s="13" t="s">
        <v>1566</v>
      </c>
      <c r="BI8" s="13" t="s">
        <v>1914</v>
      </c>
      <c r="BJ8" s="13" t="s">
        <v>1520</v>
      </c>
      <c r="BK8" s="13" t="s">
        <v>3351</v>
      </c>
      <c r="BL8" s="13" t="s">
        <v>1925</v>
      </c>
      <c r="BM8" s="13" t="s">
        <v>247</v>
      </c>
      <c r="BN8" s="13" t="s">
        <v>3099</v>
      </c>
      <c r="BO8" s="13" t="s">
        <v>3478</v>
      </c>
      <c r="BP8" s="13" t="s">
        <v>3479</v>
      </c>
      <c r="BQ8" s="13" t="s">
        <v>3498</v>
      </c>
      <c r="BR8" s="13" t="s">
        <v>1965</v>
      </c>
      <c r="BS8" s="13" t="s">
        <v>3479</v>
      </c>
      <c r="BT8" s="13" t="s">
        <v>1796</v>
      </c>
      <c r="BU8" s="13" t="s">
        <v>1792</v>
      </c>
      <c r="BV8" s="13" t="s">
        <v>1965</v>
      </c>
      <c r="BW8" s="13" t="s">
        <v>2013</v>
      </c>
      <c r="BX8" s="13" t="s">
        <v>1830</v>
      </c>
      <c r="BY8" s="311" t="s">
        <v>2023</v>
      </c>
    </row>
    <row r="9" spans="1:77">
      <c r="A9" s="2">
        <v>4</v>
      </c>
      <c r="B9" s="55">
        <f>INDEX(順位表[Comprehensive],MATCH($C9,順位表['#],0))</f>
        <v>4</v>
      </c>
      <c r="C9" s="3">
        <v>4</v>
      </c>
      <c r="D9" s="1" t="str">
        <f>INDEX(都市マスタ[City Name],MATCH($C9,都市マスタ['#],0))</f>
        <v>Paris</v>
      </c>
      <c r="E9" s="13" t="s">
        <v>1521</v>
      </c>
      <c r="F9" s="13" t="s">
        <v>2811</v>
      </c>
      <c r="G9" s="13" t="s">
        <v>1914</v>
      </c>
      <c r="H9" s="13" t="s">
        <v>2849</v>
      </c>
      <c r="I9" s="13"/>
      <c r="J9" s="13" t="s">
        <v>2887</v>
      </c>
      <c r="K9" s="13" t="s">
        <v>1566</v>
      </c>
      <c r="L9" s="13"/>
      <c r="M9" s="13" t="s">
        <v>1637</v>
      </c>
      <c r="N9" s="13" t="s">
        <v>1521</v>
      </c>
      <c r="O9" s="13" t="s">
        <v>1667</v>
      </c>
      <c r="P9" s="13" t="s">
        <v>1682</v>
      </c>
      <c r="Q9" s="13" t="s">
        <v>3001</v>
      </c>
      <c r="R9" s="13" t="s">
        <v>3035</v>
      </c>
      <c r="S9" s="13" t="s">
        <v>1720</v>
      </c>
      <c r="T9" s="13" t="s">
        <v>1914</v>
      </c>
      <c r="U9" s="13" t="s">
        <v>1724</v>
      </c>
      <c r="V9" s="13" t="s">
        <v>1726</v>
      </c>
      <c r="W9" s="13" t="s">
        <v>1729</v>
      </c>
      <c r="X9" s="13" t="s">
        <v>1726</v>
      </c>
      <c r="Y9" s="13" t="s">
        <v>1566</v>
      </c>
      <c r="Z9" s="13" t="s">
        <v>1731</v>
      </c>
      <c r="AA9" s="13" t="s">
        <v>1726</v>
      </c>
      <c r="AB9" s="13" t="s">
        <v>3077</v>
      </c>
      <c r="AC9" s="13" t="s">
        <v>3079</v>
      </c>
      <c r="AD9" s="13" t="s">
        <v>3082</v>
      </c>
      <c r="AE9" s="13" t="s">
        <v>3092</v>
      </c>
      <c r="AF9" s="13" t="s">
        <v>1738</v>
      </c>
      <c r="AG9" s="13" t="s">
        <v>1740</v>
      </c>
      <c r="AH9" s="13" t="s">
        <v>1741</v>
      </c>
      <c r="AI9" s="13" t="s">
        <v>1745</v>
      </c>
      <c r="AJ9" s="13" t="s">
        <v>3103</v>
      </c>
      <c r="AK9" s="13" t="s">
        <v>1792</v>
      </c>
      <c r="AL9" s="13" t="s">
        <v>1794</v>
      </c>
      <c r="AM9" s="13" t="s">
        <v>1796</v>
      </c>
      <c r="AN9" s="13" t="s">
        <v>1796</v>
      </c>
      <c r="AO9" s="13" t="s">
        <v>3104</v>
      </c>
      <c r="AP9" s="13" t="s">
        <v>1740</v>
      </c>
      <c r="AQ9" s="13" t="s">
        <v>3138</v>
      </c>
      <c r="AR9" s="13" t="s">
        <v>3212</v>
      </c>
      <c r="AS9" s="13" t="s">
        <v>3299</v>
      </c>
      <c r="AT9" s="13" t="s">
        <v>3346</v>
      </c>
      <c r="AU9" s="13"/>
      <c r="AV9" s="13" t="s">
        <v>1830</v>
      </c>
      <c r="AW9" s="13" t="s">
        <v>1830</v>
      </c>
      <c r="AX9" s="13" t="s">
        <v>1855</v>
      </c>
      <c r="AY9" s="13" t="s">
        <v>1882</v>
      </c>
      <c r="AZ9" s="13" t="s">
        <v>1728</v>
      </c>
      <c r="BA9" s="13" t="s">
        <v>1883</v>
      </c>
      <c r="BB9" s="13" t="s">
        <v>1723</v>
      </c>
      <c r="BC9" s="13" t="s">
        <v>1895</v>
      </c>
      <c r="BD9" s="13" t="s">
        <v>1728</v>
      </c>
      <c r="BE9" s="13" t="s">
        <v>1740</v>
      </c>
      <c r="BF9" s="13" t="s">
        <v>1740</v>
      </c>
      <c r="BG9" s="13" t="s">
        <v>3430</v>
      </c>
      <c r="BH9" s="13" t="s">
        <v>1566</v>
      </c>
      <c r="BI9" s="13" t="s">
        <v>1914</v>
      </c>
      <c r="BJ9" s="13" t="s">
        <v>3460</v>
      </c>
      <c r="BK9" s="13" t="s">
        <v>3351</v>
      </c>
      <c r="BL9" s="13" t="s">
        <v>1926</v>
      </c>
      <c r="BM9" s="13" t="s">
        <v>247</v>
      </c>
      <c r="BN9" s="13" t="s">
        <v>3099</v>
      </c>
      <c r="BO9" s="13" t="s">
        <v>3478</v>
      </c>
      <c r="BP9" s="13" t="s">
        <v>3479</v>
      </c>
      <c r="BQ9" s="13" t="s">
        <v>3499</v>
      </c>
      <c r="BR9" s="13" t="s">
        <v>1966</v>
      </c>
      <c r="BS9" s="13" t="s">
        <v>3479</v>
      </c>
      <c r="BT9" s="13" t="s">
        <v>1796</v>
      </c>
      <c r="BU9" s="13" t="s">
        <v>1792</v>
      </c>
      <c r="BV9" s="13" t="s">
        <v>1966</v>
      </c>
      <c r="BW9" s="13" t="s">
        <v>2013</v>
      </c>
      <c r="BX9" s="13" t="s">
        <v>1830</v>
      </c>
      <c r="BY9" s="311" t="s">
        <v>2024</v>
      </c>
    </row>
    <row r="10" spans="1:77">
      <c r="A10" s="2">
        <v>5</v>
      </c>
      <c r="B10" s="55">
        <f>INDEX(順位表[Comprehensive],MATCH($C10,順位表['#],0))</f>
        <v>24</v>
      </c>
      <c r="C10" s="3">
        <v>5</v>
      </c>
      <c r="D10" s="1" t="str">
        <f>INDEX(都市マスタ[City Name],MATCH($C10,都市マスタ['#],0))</f>
        <v>Brussels</v>
      </c>
      <c r="E10" s="13" t="s">
        <v>1522</v>
      </c>
      <c r="F10" s="13" t="s">
        <v>1522</v>
      </c>
      <c r="G10" s="13" t="s">
        <v>1914</v>
      </c>
      <c r="H10" s="13" t="s">
        <v>2850</v>
      </c>
      <c r="I10" s="13"/>
      <c r="J10" s="13" t="s">
        <v>2888</v>
      </c>
      <c r="K10" s="13" t="s">
        <v>1566</v>
      </c>
      <c r="L10" s="13"/>
      <c r="M10" s="13" t="s">
        <v>1637</v>
      </c>
      <c r="N10" s="13" t="s">
        <v>1522</v>
      </c>
      <c r="O10" s="13" t="s">
        <v>1522</v>
      </c>
      <c r="P10" s="13" t="s">
        <v>1683</v>
      </c>
      <c r="Q10" s="13" t="s">
        <v>3002</v>
      </c>
      <c r="R10" s="13" t="s">
        <v>3035</v>
      </c>
      <c r="S10" s="13" t="s">
        <v>1720</v>
      </c>
      <c r="T10" s="13" t="s">
        <v>1914</v>
      </c>
      <c r="U10" s="13" t="s">
        <v>1724</v>
      </c>
      <c r="V10" s="13" t="s">
        <v>1726</v>
      </c>
      <c r="W10" s="13" t="s">
        <v>1728</v>
      </c>
      <c r="X10" s="13" t="s">
        <v>1726</v>
      </c>
      <c r="Y10" s="13" t="s">
        <v>1566</v>
      </c>
      <c r="Z10" s="13" t="s">
        <v>1731</v>
      </c>
      <c r="AA10" s="13" t="s">
        <v>1726</v>
      </c>
      <c r="AB10" s="13" t="s">
        <v>3077</v>
      </c>
      <c r="AC10" s="13" t="s">
        <v>3079</v>
      </c>
      <c r="AD10" s="13" t="s">
        <v>3082</v>
      </c>
      <c r="AE10" s="13" t="s">
        <v>3092</v>
      </c>
      <c r="AF10" s="13" t="s">
        <v>1738</v>
      </c>
      <c r="AG10" s="13" t="s">
        <v>1740</v>
      </c>
      <c r="AH10" s="13" t="s">
        <v>1741</v>
      </c>
      <c r="AI10" s="13" t="s">
        <v>1746</v>
      </c>
      <c r="AJ10" s="13" t="s">
        <v>3103</v>
      </c>
      <c r="AK10" s="13" t="s">
        <v>1792</v>
      </c>
      <c r="AL10" s="13" t="s">
        <v>1794</v>
      </c>
      <c r="AM10" s="13" t="s">
        <v>1796</v>
      </c>
      <c r="AN10" s="13" t="s">
        <v>1796</v>
      </c>
      <c r="AO10" s="13" t="s">
        <v>3104</v>
      </c>
      <c r="AP10" s="13" t="s">
        <v>1740</v>
      </c>
      <c r="AQ10" s="13" t="s">
        <v>3139</v>
      </c>
      <c r="AR10" s="13" t="s">
        <v>3213</v>
      </c>
      <c r="AS10" s="13" t="s">
        <v>3300</v>
      </c>
      <c r="AT10" s="13" t="s">
        <v>3346</v>
      </c>
      <c r="AU10" s="13"/>
      <c r="AV10" s="13" t="s">
        <v>1830</v>
      </c>
      <c r="AW10" s="13" t="s">
        <v>1830</v>
      </c>
      <c r="AX10" s="13" t="s">
        <v>1856</v>
      </c>
      <c r="AY10" s="13" t="s">
        <v>1882</v>
      </c>
      <c r="AZ10" s="13" t="s">
        <v>1728</v>
      </c>
      <c r="BA10" s="13" t="s">
        <v>1883</v>
      </c>
      <c r="BB10" s="13" t="s">
        <v>1723</v>
      </c>
      <c r="BC10" s="13" t="s">
        <v>1895</v>
      </c>
      <c r="BD10" s="13" t="s">
        <v>1728</v>
      </c>
      <c r="BE10" s="13" t="s">
        <v>1740</v>
      </c>
      <c r="BF10" s="13" t="s">
        <v>1740</v>
      </c>
      <c r="BG10" s="13" t="s">
        <v>1738</v>
      </c>
      <c r="BH10" s="13" t="s">
        <v>1566</v>
      </c>
      <c r="BI10" s="13" t="s">
        <v>1914</v>
      </c>
      <c r="BJ10" s="13" t="s">
        <v>3460</v>
      </c>
      <c r="BK10" s="13" t="s">
        <v>3351</v>
      </c>
      <c r="BL10" s="13" t="s">
        <v>1927</v>
      </c>
      <c r="BM10" s="13" t="s">
        <v>247</v>
      </c>
      <c r="BN10" s="13" t="s">
        <v>3099</v>
      </c>
      <c r="BO10" s="13" t="s">
        <v>3478</v>
      </c>
      <c r="BP10" s="13" t="s">
        <v>3479</v>
      </c>
      <c r="BQ10" s="13" t="s">
        <v>3500</v>
      </c>
      <c r="BR10" s="13" t="s">
        <v>1967</v>
      </c>
      <c r="BS10" s="13" t="s">
        <v>3479</v>
      </c>
      <c r="BT10" s="13" t="s">
        <v>1796</v>
      </c>
      <c r="BU10" s="13" t="s">
        <v>1792</v>
      </c>
      <c r="BV10" s="13" t="s">
        <v>1967</v>
      </c>
      <c r="BW10" s="13" t="s">
        <v>2013</v>
      </c>
      <c r="BX10" s="13" t="s">
        <v>1830</v>
      </c>
      <c r="BY10" s="311" t="s">
        <v>2025</v>
      </c>
    </row>
    <row r="11" spans="1:77">
      <c r="A11" s="2">
        <v>6</v>
      </c>
      <c r="B11" s="55">
        <f>INDEX(順位表[Comprehensive],MATCH($C11,順位表['#],0))</f>
        <v>6</v>
      </c>
      <c r="C11" s="3">
        <v>6</v>
      </c>
      <c r="D11" s="1" t="str">
        <f>INDEX(都市マスタ[City Name],MATCH($C11,都市マスタ['#],0))</f>
        <v>Amsterdam</v>
      </c>
      <c r="E11" s="13" t="s">
        <v>1523</v>
      </c>
      <c r="F11" s="13" t="s">
        <v>1523</v>
      </c>
      <c r="G11" s="13" t="s">
        <v>1914</v>
      </c>
      <c r="H11" s="13" t="s">
        <v>1577</v>
      </c>
      <c r="I11" s="13"/>
      <c r="J11" s="13" t="s">
        <v>2889</v>
      </c>
      <c r="K11" s="13" t="s">
        <v>1566</v>
      </c>
      <c r="L11" s="13"/>
      <c r="M11" s="13" t="s">
        <v>1637</v>
      </c>
      <c r="N11" s="13" t="s">
        <v>1523</v>
      </c>
      <c r="O11" s="13" t="s">
        <v>1523</v>
      </c>
      <c r="P11" s="13" t="s">
        <v>1668</v>
      </c>
      <c r="Q11" s="13" t="s">
        <v>3003</v>
      </c>
      <c r="R11" s="13" t="s">
        <v>3035</v>
      </c>
      <c r="S11" s="13" t="s">
        <v>1720</v>
      </c>
      <c r="T11" s="13" t="s">
        <v>1914</v>
      </c>
      <c r="U11" s="13" t="s">
        <v>1724</v>
      </c>
      <c r="V11" s="13" t="s">
        <v>1726</v>
      </c>
      <c r="W11" s="13" t="s">
        <v>1728</v>
      </c>
      <c r="X11" s="13" t="s">
        <v>1726</v>
      </c>
      <c r="Y11" s="13" t="s">
        <v>1566</v>
      </c>
      <c r="Z11" s="13" t="s">
        <v>1731</v>
      </c>
      <c r="AA11" s="13" t="s">
        <v>1726</v>
      </c>
      <c r="AB11" s="13" t="s">
        <v>3077</v>
      </c>
      <c r="AC11" s="13" t="s">
        <v>3079</v>
      </c>
      <c r="AD11" s="13" t="s">
        <v>3082</v>
      </c>
      <c r="AE11" s="13" t="s">
        <v>3092</v>
      </c>
      <c r="AF11" s="13" t="s">
        <v>1738</v>
      </c>
      <c r="AG11" s="13" t="s">
        <v>1740</v>
      </c>
      <c r="AH11" s="13" t="s">
        <v>1741</v>
      </c>
      <c r="AI11" s="13" t="s">
        <v>1747</v>
      </c>
      <c r="AJ11" s="13" t="s">
        <v>3103</v>
      </c>
      <c r="AK11" s="13" t="s">
        <v>1792</v>
      </c>
      <c r="AL11" s="13" t="s">
        <v>1794</v>
      </c>
      <c r="AM11" s="13" t="s">
        <v>1796</v>
      </c>
      <c r="AN11" s="13" t="s">
        <v>1796</v>
      </c>
      <c r="AO11" s="13" t="s">
        <v>3104</v>
      </c>
      <c r="AP11" s="13" t="s">
        <v>1740</v>
      </c>
      <c r="AQ11" s="13" t="s">
        <v>1806</v>
      </c>
      <c r="AR11" s="13" t="s">
        <v>3214</v>
      </c>
      <c r="AS11" s="13" t="s">
        <v>3301</v>
      </c>
      <c r="AT11" s="13" t="s">
        <v>3346</v>
      </c>
      <c r="AU11" s="13"/>
      <c r="AV11" s="13" t="s">
        <v>1830</v>
      </c>
      <c r="AW11" s="13" t="s">
        <v>1830</v>
      </c>
      <c r="AX11" s="13" t="s">
        <v>1857</v>
      </c>
      <c r="AY11" s="13" t="s">
        <v>1882</v>
      </c>
      <c r="AZ11" s="13" t="s">
        <v>1728</v>
      </c>
      <c r="BA11" s="13" t="s">
        <v>1883</v>
      </c>
      <c r="BB11" s="13" t="s">
        <v>1723</v>
      </c>
      <c r="BC11" s="13" t="s">
        <v>1895</v>
      </c>
      <c r="BD11" s="13" t="s">
        <v>1728</v>
      </c>
      <c r="BE11" s="13" t="s">
        <v>1740</v>
      </c>
      <c r="BF11" s="13" t="s">
        <v>1740</v>
      </c>
      <c r="BG11" s="13" t="s">
        <v>1738</v>
      </c>
      <c r="BH11" s="13" t="s">
        <v>1566</v>
      </c>
      <c r="BI11" s="13" t="s">
        <v>1914</v>
      </c>
      <c r="BJ11" s="13" t="s">
        <v>3460</v>
      </c>
      <c r="BK11" s="13" t="s">
        <v>3351</v>
      </c>
      <c r="BL11" s="13" t="s">
        <v>1928</v>
      </c>
      <c r="BM11" s="13" t="s">
        <v>247</v>
      </c>
      <c r="BN11" s="13" t="s">
        <v>3099</v>
      </c>
      <c r="BO11" s="13" t="s">
        <v>3478</v>
      </c>
      <c r="BP11" s="13" t="s">
        <v>3479</v>
      </c>
      <c r="BQ11" s="13" t="s">
        <v>3501</v>
      </c>
      <c r="BR11" s="13" t="s">
        <v>1968</v>
      </c>
      <c r="BS11" s="13" t="s">
        <v>3479</v>
      </c>
      <c r="BT11" s="13" t="s">
        <v>1796</v>
      </c>
      <c r="BU11" s="13" t="s">
        <v>1792</v>
      </c>
      <c r="BV11" s="13" t="s">
        <v>1968</v>
      </c>
      <c r="BW11" s="13" t="s">
        <v>2013</v>
      </c>
      <c r="BX11" s="13" t="s">
        <v>1830</v>
      </c>
      <c r="BY11" s="311" t="s">
        <v>2026</v>
      </c>
    </row>
    <row r="12" spans="1:77">
      <c r="A12" s="2">
        <v>7</v>
      </c>
      <c r="B12" s="55">
        <f>INDEX(順位表[Comprehensive],MATCH($C12,順位表['#],0))</f>
        <v>26</v>
      </c>
      <c r="C12" s="3">
        <v>7</v>
      </c>
      <c r="D12" s="1" t="str">
        <f>INDEX(都市マスタ[City Name],MATCH($C12,都市マスタ['#],0))</f>
        <v>Geneva</v>
      </c>
      <c r="E12" s="13" t="s">
        <v>1524</v>
      </c>
      <c r="F12" s="13" t="s">
        <v>1524</v>
      </c>
      <c r="G12" s="13" t="s">
        <v>1914</v>
      </c>
      <c r="H12" s="13" t="s">
        <v>1578</v>
      </c>
      <c r="I12" s="13"/>
      <c r="J12" s="13" t="s">
        <v>2890</v>
      </c>
      <c r="K12" s="13" t="s">
        <v>1566</v>
      </c>
      <c r="L12" s="13"/>
      <c r="M12" s="13" t="s">
        <v>1637</v>
      </c>
      <c r="N12" s="13" t="s">
        <v>1524</v>
      </c>
      <c r="O12" s="13" t="s">
        <v>2976</v>
      </c>
      <c r="P12" s="13" t="s">
        <v>1684</v>
      </c>
      <c r="Q12" s="13" t="s">
        <v>3004</v>
      </c>
      <c r="R12" s="13" t="s">
        <v>3035</v>
      </c>
      <c r="S12" s="13" t="s">
        <v>1721</v>
      </c>
      <c r="T12" s="13" t="s">
        <v>1914</v>
      </c>
      <c r="U12" s="13" t="s">
        <v>1724</v>
      </c>
      <c r="V12" s="13" t="s">
        <v>1726</v>
      </c>
      <c r="W12" s="13" t="s">
        <v>1728</v>
      </c>
      <c r="X12" s="13" t="s">
        <v>1726</v>
      </c>
      <c r="Y12" s="13" t="s">
        <v>1566</v>
      </c>
      <c r="Z12" s="13" t="s">
        <v>1731</v>
      </c>
      <c r="AA12" s="13" t="s">
        <v>1726</v>
      </c>
      <c r="AB12" s="13" t="s">
        <v>3077</v>
      </c>
      <c r="AC12" s="13" t="s">
        <v>3079</v>
      </c>
      <c r="AD12" s="13" t="s">
        <v>3082</v>
      </c>
      <c r="AE12" s="13" t="s">
        <v>3093</v>
      </c>
      <c r="AF12" s="13" t="s">
        <v>1738</v>
      </c>
      <c r="AG12" s="13" t="s">
        <v>1740</v>
      </c>
      <c r="AH12" s="13" t="s">
        <v>1741</v>
      </c>
      <c r="AI12" s="13" t="s">
        <v>1748</v>
      </c>
      <c r="AJ12" s="13" t="s">
        <v>3103</v>
      </c>
      <c r="AK12" s="13" t="s">
        <v>1792</v>
      </c>
      <c r="AL12" s="13" t="s">
        <v>1794</v>
      </c>
      <c r="AM12" s="13" t="s">
        <v>1796</v>
      </c>
      <c r="AN12" s="13" t="s">
        <v>1796</v>
      </c>
      <c r="AO12" s="13" t="s">
        <v>3104</v>
      </c>
      <c r="AP12" s="13" t="s">
        <v>1740</v>
      </c>
      <c r="AQ12" s="13" t="s">
        <v>3140</v>
      </c>
      <c r="AR12" s="13" t="s">
        <v>3215</v>
      </c>
      <c r="AS12" s="13" t="s">
        <v>3302</v>
      </c>
      <c r="AT12" s="13" t="s">
        <v>3346</v>
      </c>
      <c r="AU12" s="13"/>
      <c r="AV12" s="13" t="s">
        <v>1830</v>
      </c>
      <c r="AW12" s="13" t="s">
        <v>1830</v>
      </c>
      <c r="AX12" s="13" t="s">
        <v>1858</v>
      </c>
      <c r="AY12" s="13" t="s">
        <v>1882</v>
      </c>
      <c r="AZ12" s="13" t="s">
        <v>1728</v>
      </c>
      <c r="BA12" s="13" t="s">
        <v>1883</v>
      </c>
      <c r="BB12" s="13" t="s">
        <v>1723</v>
      </c>
      <c r="BC12" s="13" t="s">
        <v>1895</v>
      </c>
      <c r="BD12" s="13" t="s">
        <v>1728</v>
      </c>
      <c r="BE12" s="13" t="s">
        <v>1740</v>
      </c>
      <c r="BF12" s="13" t="s">
        <v>1740</v>
      </c>
      <c r="BG12" s="13" t="s">
        <v>3035</v>
      </c>
      <c r="BH12" s="13" t="s">
        <v>1566</v>
      </c>
      <c r="BI12" s="13" t="s">
        <v>1914</v>
      </c>
      <c r="BJ12" s="13" t="s">
        <v>3460</v>
      </c>
      <c r="BK12" s="13" t="s">
        <v>3351</v>
      </c>
      <c r="BL12" s="13" t="s">
        <v>1929</v>
      </c>
      <c r="BM12" s="13" t="s">
        <v>247</v>
      </c>
      <c r="BN12" s="13" t="s">
        <v>3099</v>
      </c>
      <c r="BO12" s="13" t="s">
        <v>3478</v>
      </c>
      <c r="BP12" s="13" t="s">
        <v>3479</v>
      </c>
      <c r="BQ12" s="13" t="s">
        <v>3502</v>
      </c>
      <c r="BR12" s="13" t="s">
        <v>1969</v>
      </c>
      <c r="BS12" s="13" t="s">
        <v>3479</v>
      </c>
      <c r="BT12" s="13" t="s">
        <v>1796</v>
      </c>
      <c r="BU12" s="13" t="s">
        <v>1792</v>
      </c>
      <c r="BV12" s="13" t="s">
        <v>1969</v>
      </c>
      <c r="BW12" s="13" t="s">
        <v>2013</v>
      </c>
      <c r="BX12" s="13" t="s">
        <v>1830</v>
      </c>
      <c r="BY12" s="311" t="s">
        <v>2027</v>
      </c>
    </row>
    <row r="13" spans="1:77">
      <c r="A13" s="2">
        <v>8</v>
      </c>
      <c r="B13" s="55">
        <f>INDEX(順位表[Comprehensive],MATCH($C13,順位表['#],0))</f>
        <v>20</v>
      </c>
      <c r="C13" s="3">
        <v>8</v>
      </c>
      <c r="D13" s="1" t="str">
        <f>INDEX(都市マスタ[City Name],MATCH($C13,都市マスタ['#],0))</f>
        <v>Frankfurt</v>
      </c>
      <c r="E13" s="13" t="s">
        <v>1525</v>
      </c>
      <c r="F13" s="13" t="s">
        <v>1525</v>
      </c>
      <c r="G13" s="13" t="s">
        <v>1914</v>
      </c>
      <c r="H13" s="13" t="s">
        <v>1525</v>
      </c>
      <c r="I13" s="13"/>
      <c r="J13" s="13" t="s">
        <v>2891</v>
      </c>
      <c r="K13" s="13" t="s">
        <v>1566</v>
      </c>
      <c r="L13" s="13"/>
      <c r="M13" s="13" t="s">
        <v>1637</v>
      </c>
      <c r="N13" s="13" t="s">
        <v>1525</v>
      </c>
      <c r="O13" s="13" t="s">
        <v>1525</v>
      </c>
      <c r="P13" s="13" t="s">
        <v>1685</v>
      </c>
      <c r="Q13" s="13" t="s">
        <v>3005</v>
      </c>
      <c r="R13" s="13" t="s">
        <v>3035</v>
      </c>
      <c r="S13" s="13" t="s">
        <v>1720</v>
      </c>
      <c r="T13" s="13" t="s">
        <v>1914</v>
      </c>
      <c r="U13" s="13" t="s">
        <v>1724</v>
      </c>
      <c r="V13" s="13" t="s">
        <v>1726</v>
      </c>
      <c r="W13" s="13" t="s">
        <v>1728</v>
      </c>
      <c r="X13" s="13" t="s">
        <v>1726</v>
      </c>
      <c r="Y13" s="13" t="s">
        <v>1566</v>
      </c>
      <c r="Z13" s="13" t="s">
        <v>1731</v>
      </c>
      <c r="AA13" s="13" t="s">
        <v>1726</v>
      </c>
      <c r="AB13" s="13" t="s">
        <v>3077</v>
      </c>
      <c r="AC13" s="13" t="s">
        <v>3079</v>
      </c>
      <c r="AD13" s="13" t="s">
        <v>3082</v>
      </c>
      <c r="AE13" s="13" t="s">
        <v>3092</v>
      </c>
      <c r="AF13" s="13" t="s">
        <v>1738</v>
      </c>
      <c r="AG13" s="13" t="s">
        <v>1740</v>
      </c>
      <c r="AH13" s="13" t="s">
        <v>1741</v>
      </c>
      <c r="AI13" s="13" t="s">
        <v>1749</v>
      </c>
      <c r="AJ13" s="13" t="s">
        <v>3103</v>
      </c>
      <c r="AK13" s="13" t="s">
        <v>1792</v>
      </c>
      <c r="AL13" s="13" t="s">
        <v>1794</v>
      </c>
      <c r="AM13" s="13" t="s">
        <v>1796</v>
      </c>
      <c r="AN13" s="13" t="s">
        <v>1796</v>
      </c>
      <c r="AO13" s="13" t="s">
        <v>3104</v>
      </c>
      <c r="AP13" s="13" t="s">
        <v>1740</v>
      </c>
      <c r="AQ13" s="13" t="s">
        <v>3141</v>
      </c>
      <c r="AR13" s="13" t="s">
        <v>3216</v>
      </c>
      <c r="AS13" s="13" t="s">
        <v>3303</v>
      </c>
      <c r="AT13" s="13" t="s">
        <v>3346</v>
      </c>
      <c r="AU13" s="13"/>
      <c r="AV13" s="13" t="s">
        <v>1830</v>
      </c>
      <c r="AW13" s="13" t="s">
        <v>1830</v>
      </c>
      <c r="AX13" s="13" t="s">
        <v>1525</v>
      </c>
      <c r="AY13" s="13" t="s">
        <v>1882</v>
      </c>
      <c r="AZ13" s="13" t="s">
        <v>1728</v>
      </c>
      <c r="BA13" s="13" t="s">
        <v>1883</v>
      </c>
      <c r="BB13" s="13" t="s">
        <v>1723</v>
      </c>
      <c r="BC13" s="13" t="s">
        <v>1895</v>
      </c>
      <c r="BD13" s="13" t="s">
        <v>1728</v>
      </c>
      <c r="BE13" s="13" t="s">
        <v>1740</v>
      </c>
      <c r="BF13" s="13" t="s">
        <v>1740</v>
      </c>
      <c r="BG13" s="13" t="s">
        <v>3431</v>
      </c>
      <c r="BH13" s="13" t="s">
        <v>1566</v>
      </c>
      <c r="BI13" s="13" t="s">
        <v>1914</v>
      </c>
      <c r="BJ13" s="13" t="s">
        <v>3460</v>
      </c>
      <c r="BK13" s="13" t="s">
        <v>3351</v>
      </c>
      <c r="BL13" s="13" t="s">
        <v>1930</v>
      </c>
      <c r="BM13" s="13" t="s">
        <v>247</v>
      </c>
      <c r="BN13" s="13" t="s">
        <v>3099</v>
      </c>
      <c r="BO13" s="13" t="s">
        <v>3478</v>
      </c>
      <c r="BP13" s="13" t="s">
        <v>3479</v>
      </c>
      <c r="BQ13" s="13" t="s">
        <v>3503</v>
      </c>
      <c r="BR13" s="13" t="s">
        <v>1970</v>
      </c>
      <c r="BS13" s="13" t="s">
        <v>3479</v>
      </c>
      <c r="BT13" s="13" t="s">
        <v>1796</v>
      </c>
      <c r="BU13" s="13" t="s">
        <v>1792</v>
      </c>
      <c r="BV13" s="13" t="s">
        <v>1970</v>
      </c>
      <c r="BW13" s="13" t="s">
        <v>2013</v>
      </c>
      <c r="BX13" s="13" t="s">
        <v>2017</v>
      </c>
      <c r="BY13" s="311" t="s">
        <v>2028</v>
      </c>
    </row>
    <row r="14" spans="1:77">
      <c r="A14" s="2">
        <v>9</v>
      </c>
      <c r="B14" s="55">
        <f>INDEX(順位表[Comprehensive],MATCH($C14,順位表['#],0))</f>
        <v>10</v>
      </c>
      <c r="C14" s="3">
        <v>9</v>
      </c>
      <c r="D14" s="1" t="str">
        <f>INDEX(都市マスタ[City Name],MATCH($C14,都市マスタ['#],0))</f>
        <v>Berlin</v>
      </c>
      <c r="E14" s="13" t="s">
        <v>1526</v>
      </c>
      <c r="F14" s="13" t="s">
        <v>1526</v>
      </c>
      <c r="G14" s="13" t="s">
        <v>1914</v>
      </c>
      <c r="H14" s="13" t="s">
        <v>1526</v>
      </c>
      <c r="I14" s="13"/>
      <c r="J14" s="13" t="s">
        <v>2892</v>
      </c>
      <c r="K14" s="13" t="s">
        <v>1566</v>
      </c>
      <c r="L14" s="13"/>
      <c r="M14" s="13" t="s">
        <v>1637</v>
      </c>
      <c r="N14" s="13" t="s">
        <v>1526</v>
      </c>
      <c r="O14" s="13" t="s">
        <v>1526</v>
      </c>
      <c r="P14" s="13" t="s">
        <v>1669</v>
      </c>
      <c r="Q14" s="13" t="s">
        <v>3006</v>
      </c>
      <c r="R14" s="13" t="s">
        <v>3035</v>
      </c>
      <c r="S14" s="13" t="s">
        <v>1720</v>
      </c>
      <c r="T14" s="13" t="s">
        <v>1914</v>
      </c>
      <c r="U14" s="13" t="s">
        <v>1724</v>
      </c>
      <c r="V14" s="13" t="s">
        <v>1726</v>
      </c>
      <c r="W14" s="13" t="s">
        <v>1728</v>
      </c>
      <c r="X14" s="13" t="s">
        <v>1726</v>
      </c>
      <c r="Y14" s="13" t="s">
        <v>1566</v>
      </c>
      <c r="Z14" s="13" t="s">
        <v>1731</v>
      </c>
      <c r="AA14" s="13" t="s">
        <v>1726</v>
      </c>
      <c r="AB14" s="13" t="s">
        <v>3077</v>
      </c>
      <c r="AC14" s="13" t="s">
        <v>3079</v>
      </c>
      <c r="AD14" s="13" t="s">
        <v>3082</v>
      </c>
      <c r="AE14" s="13" t="s">
        <v>3092</v>
      </c>
      <c r="AF14" s="13" t="s">
        <v>1738</v>
      </c>
      <c r="AG14" s="13" t="s">
        <v>1740</v>
      </c>
      <c r="AH14" s="13" t="s">
        <v>1741</v>
      </c>
      <c r="AI14" s="13" t="s">
        <v>1750</v>
      </c>
      <c r="AJ14" s="13" t="s">
        <v>3103</v>
      </c>
      <c r="AK14" s="13" t="s">
        <v>1792</v>
      </c>
      <c r="AL14" s="13" t="s">
        <v>1794</v>
      </c>
      <c r="AM14" s="13" t="s">
        <v>1796</v>
      </c>
      <c r="AN14" s="13" t="s">
        <v>1796</v>
      </c>
      <c r="AO14" s="13" t="s">
        <v>3104</v>
      </c>
      <c r="AP14" s="13" t="s">
        <v>1740</v>
      </c>
      <c r="AQ14" s="13" t="s">
        <v>1807</v>
      </c>
      <c r="AR14" s="13" t="s">
        <v>3217</v>
      </c>
      <c r="AS14" s="13" t="s">
        <v>3304</v>
      </c>
      <c r="AT14" s="13" t="s">
        <v>3346</v>
      </c>
      <c r="AU14" s="13"/>
      <c r="AV14" s="13" t="s">
        <v>1830</v>
      </c>
      <c r="AW14" s="13" t="s">
        <v>1830</v>
      </c>
      <c r="AX14" s="13" t="s">
        <v>1859</v>
      </c>
      <c r="AY14" s="13" t="s">
        <v>1882</v>
      </c>
      <c r="AZ14" s="13" t="s">
        <v>1728</v>
      </c>
      <c r="BA14" s="13" t="s">
        <v>1883</v>
      </c>
      <c r="BB14" s="13" t="s">
        <v>1723</v>
      </c>
      <c r="BC14" s="13" t="s">
        <v>1895</v>
      </c>
      <c r="BD14" s="13" t="s">
        <v>1728</v>
      </c>
      <c r="BE14" s="13" t="s">
        <v>1740</v>
      </c>
      <c r="BF14" s="13" t="s">
        <v>1740</v>
      </c>
      <c r="BG14" s="13" t="s">
        <v>1738</v>
      </c>
      <c r="BH14" s="13" t="s">
        <v>1566</v>
      </c>
      <c r="BI14" s="13" t="s">
        <v>1914</v>
      </c>
      <c r="BJ14" s="13" t="s">
        <v>3460</v>
      </c>
      <c r="BK14" s="13" t="s">
        <v>3351</v>
      </c>
      <c r="BL14" s="13" t="s">
        <v>3464</v>
      </c>
      <c r="BM14" s="13" t="s">
        <v>247</v>
      </c>
      <c r="BN14" s="13" t="s">
        <v>3099</v>
      </c>
      <c r="BO14" s="13" t="s">
        <v>3478</v>
      </c>
      <c r="BP14" s="13" t="s">
        <v>3479</v>
      </c>
      <c r="BQ14" s="13" t="s">
        <v>3504</v>
      </c>
      <c r="BR14" s="13" t="s">
        <v>1971</v>
      </c>
      <c r="BS14" s="13" t="s">
        <v>3479</v>
      </c>
      <c r="BT14" s="13" t="s">
        <v>1796</v>
      </c>
      <c r="BU14" s="13" t="s">
        <v>1792</v>
      </c>
      <c r="BV14" s="13" t="s">
        <v>1971</v>
      </c>
      <c r="BW14" s="13" t="s">
        <v>2013</v>
      </c>
      <c r="BX14" s="13" t="s">
        <v>1830</v>
      </c>
      <c r="BY14" s="311" t="s">
        <v>2029</v>
      </c>
    </row>
    <row r="15" spans="1:77">
      <c r="A15" s="2">
        <v>10</v>
      </c>
      <c r="B15" s="55">
        <f>INDEX(順位表[Comprehensive],MATCH($C15,順位表['#],0))</f>
        <v>33</v>
      </c>
      <c r="C15" s="3">
        <v>10</v>
      </c>
      <c r="D15" s="1" t="str">
        <f>INDEX(都市マスタ[City Name],MATCH($C15,都市マスタ['#],0))</f>
        <v>Milan</v>
      </c>
      <c r="E15" s="13" t="s">
        <v>1527</v>
      </c>
      <c r="F15" s="13" t="s">
        <v>1527</v>
      </c>
      <c r="G15" s="13" t="s">
        <v>1914</v>
      </c>
      <c r="H15" s="13" t="s">
        <v>2851</v>
      </c>
      <c r="I15" s="13"/>
      <c r="J15" s="13" t="s">
        <v>2893</v>
      </c>
      <c r="K15" s="13" t="s">
        <v>1566</v>
      </c>
      <c r="L15" s="13"/>
      <c r="M15" s="13" t="s">
        <v>1637</v>
      </c>
      <c r="N15" s="13" t="s">
        <v>1651</v>
      </c>
      <c r="O15" s="13" t="s">
        <v>1651</v>
      </c>
      <c r="P15" s="13" t="s">
        <v>1670</v>
      </c>
      <c r="Q15" s="13" t="s">
        <v>3007</v>
      </c>
      <c r="R15" s="13" t="s">
        <v>3035</v>
      </c>
      <c r="S15" s="13" t="s">
        <v>1720</v>
      </c>
      <c r="T15" s="13" t="s">
        <v>1914</v>
      </c>
      <c r="U15" s="13" t="s">
        <v>1724</v>
      </c>
      <c r="V15" s="13" t="s">
        <v>1726</v>
      </c>
      <c r="W15" s="13" t="s">
        <v>1728</v>
      </c>
      <c r="X15" s="13" t="s">
        <v>1726</v>
      </c>
      <c r="Y15" s="13" t="s">
        <v>1566</v>
      </c>
      <c r="Z15" s="13" t="s">
        <v>1731</v>
      </c>
      <c r="AA15" s="13" t="s">
        <v>1726</v>
      </c>
      <c r="AB15" s="13" t="s">
        <v>3077</v>
      </c>
      <c r="AC15" s="13" t="s">
        <v>3079</v>
      </c>
      <c r="AD15" s="13" t="s">
        <v>3082</v>
      </c>
      <c r="AE15" s="13" t="s">
        <v>3092</v>
      </c>
      <c r="AF15" s="13" t="s">
        <v>1738</v>
      </c>
      <c r="AG15" s="13" t="s">
        <v>1740</v>
      </c>
      <c r="AH15" s="13" t="s">
        <v>1741</v>
      </c>
      <c r="AI15" s="13" t="s">
        <v>1751</v>
      </c>
      <c r="AJ15" s="13" t="s">
        <v>3103</v>
      </c>
      <c r="AK15" s="13" t="s">
        <v>1792</v>
      </c>
      <c r="AL15" s="13" t="s">
        <v>1794</v>
      </c>
      <c r="AM15" s="13" t="s">
        <v>1796</v>
      </c>
      <c r="AN15" s="13" t="s">
        <v>1796</v>
      </c>
      <c r="AO15" s="13" t="s">
        <v>3104</v>
      </c>
      <c r="AP15" s="13" t="s">
        <v>1740</v>
      </c>
      <c r="AQ15" s="13" t="s">
        <v>3142</v>
      </c>
      <c r="AR15" s="13" t="s">
        <v>3218</v>
      </c>
      <c r="AS15" s="13" t="s">
        <v>3305</v>
      </c>
      <c r="AT15" s="13" t="s">
        <v>3346</v>
      </c>
      <c r="AU15" s="13"/>
      <c r="AV15" s="13" t="s">
        <v>1830</v>
      </c>
      <c r="AW15" s="13" t="s">
        <v>1830</v>
      </c>
      <c r="AX15" s="13" t="s">
        <v>1527</v>
      </c>
      <c r="AY15" s="13" t="s">
        <v>1882</v>
      </c>
      <c r="AZ15" s="13" t="s">
        <v>1728</v>
      </c>
      <c r="BA15" s="13" t="s">
        <v>1883</v>
      </c>
      <c r="BB15" s="13" t="s">
        <v>1723</v>
      </c>
      <c r="BC15" s="13" t="s">
        <v>1895</v>
      </c>
      <c r="BD15" s="13" t="s">
        <v>1728</v>
      </c>
      <c r="BE15" s="13" t="s">
        <v>1740</v>
      </c>
      <c r="BF15" s="13" t="s">
        <v>1740</v>
      </c>
      <c r="BG15" s="13" t="s">
        <v>1738</v>
      </c>
      <c r="BH15" s="13" t="s">
        <v>1566</v>
      </c>
      <c r="BI15" s="13" t="s">
        <v>1914</v>
      </c>
      <c r="BJ15" s="13" t="s">
        <v>3460</v>
      </c>
      <c r="BK15" s="13" t="s">
        <v>3351</v>
      </c>
      <c r="BL15" s="13" t="s">
        <v>1931</v>
      </c>
      <c r="BM15" s="13" t="s">
        <v>247</v>
      </c>
      <c r="BN15" s="13" t="s">
        <v>3099</v>
      </c>
      <c r="BO15" s="13" t="s">
        <v>3478</v>
      </c>
      <c r="BP15" s="13" t="s">
        <v>3479</v>
      </c>
      <c r="BQ15" s="13" t="s">
        <v>3505</v>
      </c>
      <c r="BR15" s="13" t="s">
        <v>1972</v>
      </c>
      <c r="BS15" s="13" t="s">
        <v>3479</v>
      </c>
      <c r="BT15" s="13" t="s">
        <v>1796</v>
      </c>
      <c r="BU15" s="13" t="s">
        <v>1792</v>
      </c>
      <c r="BV15" s="13" t="s">
        <v>1972</v>
      </c>
      <c r="BW15" s="13" t="s">
        <v>2013</v>
      </c>
      <c r="BX15" s="13" t="s">
        <v>1830</v>
      </c>
      <c r="BY15" s="311" t="s">
        <v>2030</v>
      </c>
    </row>
    <row r="16" spans="1:77">
      <c r="A16" s="2">
        <v>11</v>
      </c>
      <c r="B16" s="55">
        <f>INDEX(順位表[Comprehensive],MATCH($C16,順位表['#],0))</f>
        <v>19</v>
      </c>
      <c r="C16" s="3">
        <v>11</v>
      </c>
      <c r="D16" s="1" t="str">
        <f>INDEX(都市マスタ[City Name],MATCH($C16,都市マスタ['#],0))</f>
        <v>Zurich</v>
      </c>
      <c r="E16" s="13" t="s">
        <v>1528</v>
      </c>
      <c r="F16" s="13" t="s">
        <v>1528</v>
      </c>
      <c r="G16" s="13" t="s">
        <v>1914</v>
      </c>
      <c r="H16" s="13" t="s">
        <v>1579</v>
      </c>
      <c r="I16" s="13"/>
      <c r="J16" s="13" t="s">
        <v>2894</v>
      </c>
      <c r="K16" s="13" t="s">
        <v>1566</v>
      </c>
      <c r="L16" s="13"/>
      <c r="M16" s="13" t="s">
        <v>1637</v>
      </c>
      <c r="N16" s="13" t="s">
        <v>1528</v>
      </c>
      <c r="O16" s="13" t="s">
        <v>2977</v>
      </c>
      <c r="P16" s="13" t="s">
        <v>1686</v>
      </c>
      <c r="Q16" s="13" t="s">
        <v>3004</v>
      </c>
      <c r="R16" s="13" t="s">
        <v>3035</v>
      </c>
      <c r="S16" s="13" t="s">
        <v>1721</v>
      </c>
      <c r="T16" s="13" t="s">
        <v>1914</v>
      </c>
      <c r="U16" s="13" t="s">
        <v>1724</v>
      </c>
      <c r="V16" s="13" t="s">
        <v>1726</v>
      </c>
      <c r="W16" s="13" t="s">
        <v>1728</v>
      </c>
      <c r="X16" s="13" t="s">
        <v>1726</v>
      </c>
      <c r="Y16" s="13" t="s">
        <v>1566</v>
      </c>
      <c r="Z16" s="13" t="s">
        <v>1731</v>
      </c>
      <c r="AA16" s="13" t="s">
        <v>1726</v>
      </c>
      <c r="AB16" s="13" t="s">
        <v>3077</v>
      </c>
      <c r="AC16" s="13" t="s">
        <v>3079</v>
      </c>
      <c r="AD16" s="13" t="s">
        <v>3082</v>
      </c>
      <c r="AE16" s="13" t="s">
        <v>3093</v>
      </c>
      <c r="AF16" s="13" t="s">
        <v>1738</v>
      </c>
      <c r="AG16" s="13" t="s">
        <v>1740</v>
      </c>
      <c r="AH16" s="13" t="s">
        <v>1741</v>
      </c>
      <c r="AI16" s="13" t="s">
        <v>1752</v>
      </c>
      <c r="AJ16" s="13" t="s">
        <v>3103</v>
      </c>
      <c r="AK16" s="13" t="s">
        <v>1792</v>
      </c>
      <c r="AL16" s="13" t="s">
        <v>1794</v>
      </c>
      <c r="AM16" s="13" t="s">
        <v>1796</v>
      </c>
      <c r="AN16" s="13" t="s">
        <v>1796</v>
      </c>
      <c r="AO16" s="13" t="s">
        <v>3104</v>
      </c>
      <c r="AP16" s="13" t="s">
        <v>1740</v>
      </c>
      <c r="AQ16" s="13" t="s">
        <v>3143</v>
      </c>
      <c r="AR16" s="13" t="s">
        <v>3219</v>
      </c>
      <c r="AS16" s="13" t="s">
        <v>3306</v>
      </c>
      <c r="AT16" s="13" t="s">
        <v>3346</v>
      </c>
      <c r="AU16" s="13"/>
      <c r="AV16" s="13" t="s">
        <v>1830</v>
      </c>
      <c r="AW16" s="13" t="s">
        <v>1830</v>
      </c>
      <c r="AX16" s="13" t="s">
        <v>1860</v>
      </c>
      <c r="AY16" s="13" t="s">
        <v>1882</v>
      </c>
      <c r="AZ16" s="13" t="s">
        <v>1728</v>
      </c>
      <c r="BA16" s="13" t="s">
        <v>1883</v>
      </c>
      <c r="BB16" s="13" t="s">
        <v>1723</v>
      </c>
      <c r="BC16" s="13" t="s">
        <v>1895</v>
      </c>
      <c r="BD16" s="13" t="s">
        <v>1728</v>
      </c>
      <c r="BE16" s="13" t="s">
        <v>1740</v>
      </c>
      <c r="BF16" s="13" t="s">
        <v>1740</v>
      </c>
      <c r="BG16" s="13" t="s">
        <v>1738</v>
      </c>
      <c r="BH16" s="13" t="s">
        <v>1566</v>
      </c>
      <c r="BI16" s="13" t="s">
        <v>1914</v>
      </c>
      <c r="BJ16" s="13" t="s">
        <v>3460</v>
      </c>
      <c r="BK16" s="13" t="s">
        <v>3351</v>
      </c>
      <c r="BL16" s="13" t="s">
        <v>3465</v>
      </c>
      <c r="BM16" s="13" t="s">
        <v>247</v>
      </c>
      <c r="BN16" s="13" t="s">
        <v>3099</v>
      </c>
      <c r="BO16" s="13" t="s">
        <v>3478</v>
      </c>
      <c r="BP16" s="13" t="s">
        <v>3479</v>
      </c>
      <c r="BQ16" s="13" t="s">
        <v>3506</v>
      </c>
      <c r="BR16" s="13" t="s">
        <v>1973</v>
      </c>
      <c r="BS16" s="13" t="s">
        <v>3479</v>
      </c>
      <c r="BT16" s="13" t="s">
        <v>1796</v>
      </c>
      <c r="BU16" s="13" t="s">
        <v>1792</v>
      </c>
      <c r="BV16" s="13" t="s">
        <v>1973</v>
      </c>
      <c r="BW16" s="13" t="s">
        <v>2013</v>
      </c>
      <c r="BX16" s="13" t="s">
        <v>1830</v>
      </c>
      <c r="BY16" s="311" t="s">
        <v>2031</v>
      </c>
    </row>
    <row r="17" spans="1:77">
      <c r="A17" s="2">
        <v>12</v>
      </c>
      <c r="B17" s="55">
        <f>INDEX(順位表[Comprehensive],MATCH($C17,順位表['#],0))</f>
        <v>11</v>
      </c>
      <c r="C17" s="3">
        <v>12</v>
      </c>
      <c r="D17" s="1" t="str">
        <f>INDEX(都市マスタ[City Name],MATCH($C17,都市マスタ['#],0))</f>
        <v>Copenhagen</v>
      </c>
      <c r="E17" s="13" t="s">
        <v>1529</v>
      </c>
      <c r="F17" s="13" t="s">
        <v>1529</v>
      </c>
      <c r="G17" s="13" t="s">
        <v>1914</v>
      </c>
      <c r="H17" s="13" t="s">
        <v>2852</v>
      </c>
      <c r="I17" s="13"/>
      <c r="J17" s="13" t="s">
        <v>2895</v>
      </c>
      <c r="K17" s="13" t="s">
        <v>1566</v>
      </c>
      <c r="L17" s="13"/>
      <c r="M17" s="13" t="s">
        <v>1637</v>
      </c>
      <c r="N17" s="13" t="s">
        <v>1529</v>
      </c>
      <c r="O17" s="13" t="s">
        <v>1529</v>
      </c>
      <c r="P17" s="13" t="s">
        <v>1671</v>
      </c>
      <c r="Q17" s="13" t="s">
        <v>3008</v>
      </c>
      <c r="R17" s="13" t="s">
        <v>3035</v>
      </c>
      <c r="S17" s="13" t="s">
        <v>1720</v>
      </c>
      <c r="T17" s="13" t="s">
        <v>1914</v>
      </c>
      <c r="U17" s="13" t="s">
        <v>1724</v>
      </c>
      <c r="V17" s="13" t="s">
        <v>1726</v>
      </c>
      <c r="W17" s="13" t="s">
        <v>1728</v>
      </c>
      <c r="X17" s="13" t="s">
        <v>1726</v>
      </c>
      <c r="Y17" s="13" t="s">
        <v>1566</v>
      </c>
      <c r="Z17" s="13" t="s">
        <v>1731</v>
      </c>
      <c r="AA17" s="13" t="s">
        <v>1726</v>
      </c>
      <c r="AB17" s="13" t="s">
        <v>3077</v>
      </c>
      <c r="AC17" s="13" t="s">
        <v>3079</v>
      </c>
      <c r="AD17" s="13" t="s">
        <v>3082</v>
      </c>
      <c r="AE17" s="13" t="s">
        <v>3092</v>
      </c>
      <c r="AF17" s="13" t="s">
        <v>1738</v>
      </c>
      <c r="AG17" s="13" t="s">
        <v>1740</v>
      </c>
      <c r="AH17" s="13" t="s">
        <v>1741</v>
      </c>
      <c r="AI17" s="13" t="s">
        <v>1753</v>
      </c>
      <c r="AJ17" s="13" t="s">
        <v>3103</v>
      </c>
      <c r="AK17" s="13" t="s">
        <v>1792</v>
      </c>
      <c r="AL17" s="13" t="s">
        <v>1794</v>
      </c>
      <c r="AM17" s="13" t="s">
        <v>1796</v>
      </c>
      <c r="AN17" s="13" t="s">
        <v>1796</v>
      </c>
      <c r="AO17" s="13" t="s">
        <v>3104</v>
      </c>
      <c r="AP17" s="13" t="s">
        <v>1740</v>
      </c>
      <c r="AQ17" s="13" t="s">
        <v>3144</v>
      </c>
      <c r="AR17" s="13" t="s">
        <v>3220</v>
      </c>
      <c r="AS17" s="13" t="s">
        <v>3307</v>
      </c>
      <c r="AT17" s="13" t="s">
        <v>3346</v>
      </c>
      <c r="AU17" s="13"/>
      <c r="AV17" s="13" t="s">
        <v>1830</v>
      </c>
      <c r="AW17" s="13" t="s">
        <v>1830</v>
      </c>
      <c r="AX17" s="13" t="s">
        <v>1861</v>
      </c>
      <c r="AY17" s="13" t="s">
        <v>1882</v>
      </c>
      <c r="AZ17" s="13" t="s">
        <v>1728</v>
      </c>
      <c r="BA17" s="13" t="s">
        <v>1883</v>
      </c>
      <c r="BB17" s="13" t="s">
        <v>1723</v>
      </c>
      <c r="BC17" s="13" t="s">
        <v>1895</v>
      </c>
      <c r="BD17" s="13" t="s">
        <v>1728</v>
      </c>
      <c r="BE17" s="13" t="s">
        <v>1740</v>
      </c>
      <c r="BF17" s="13" t="s">
        <v>1740</v>
      </c>
      <c r="BG17" s="13" t="s">
        <v>3432</v>
      </c>
      <c r="BH17" s="13" t="s">
        <v>1566</v>
      </c>
      <c r="BI17" s="13" t="s">
        <v>1914</v>
      </c>
      <c r="BJ17" s="13" t="s">
        <v>3460</v>
      </c>
      <c r="BK17" s="13" t="s">
        <v>3351</v>
      </c>
      <c r="BL17" s="13" t="s">
        <v>1932</v>
      </c>
      <c r="BM17" s="13" t="s">
        <v>247</v>
      </c>
      <c r="BN17" s="13" t="s">
        <v>3099</v>
      </c>
      <c r="BO17" s="13" t="s">
        <v>3478</v>
      </c>
      <c r="BP17" s="13" t="s">
        <v>3479</v>
      </c>
      <c r="BQ17" s="13" t="s">
        <v>3507</v>
      </c>
      <c r="BR17" s="13" t="s">
        <v>1974</v>
      </c>
      <c r="BS17" s="13" t="s">
        <v>3479</v>
      </c>
      <c r="BT17" s="13" t="s">
        <v>1796</v>
      </c>
      <c r="BU17" s="13" t="s">
        <v>1792</v>
      </c>
      <c r="BV17" s="13" t="s">
        <v>1974</v>
      </c>
      <c r="BW17" s="13" t="s">
        <v>2013</v>
      </c>
      <c r="BX17" s="13" t="s">
        <v>1830</v>
      </c>
      <c r="BY17" s="311" t="s">
        <v>2032</v>
      </c>
    </row>
    <row r="18" spans="1:77">
      <c r="A18" s="2">
        <v>13</v>
      </c>
      <c r="B18" s="55">
        <f>INDEX(順位表[Comprehensive],MATCH($C18,順位表['#],0))</f>
        <v>13</v>
      </c>
      <c r="C18" s="3">
        <v>13</v>
      </c>
      <c r="D18" s="1" t="str">
        <f>INDEX(都市マスタ[City Name],MATCH($C18,都市マスタ['#],0))</f>
        <v>Vienna</v>
      </c>
      <c r="E18" s="13" t="s">
        <v>1530</v>
      </c>
      <c r="F18" s="13" t="s">
        <v>1530</v>
      </c>
      <c r="G18" s="13" t="s">
        <v>1914</v>
      </c>
      <c r="H18" s="13" t="s">
        <v>2853</v>
      </c>
      <c r="I18" s="13"/>
      <c r="J18" s="13" t="s">
        <v>2896</v>
      </c>
      <c r="K18" s="13" t="s">
        <v>1566</v>
      </c>
      <c r="L18" s="13"/>
      <c r="M18" s="13" t="s">
        <v>1637</v>
      </c>
      <c r="N18" s="13" t="s">
        <v>1530</v>
      </c>
      <c r="O18" s="13" t="s">
        <v>1530</v>
      </c>
      <c r="P18" s="13" t="s">
        <v>1687</v>
      </c>
      <c r="Q18" s="13" t="s">
        <v>3009</v>
      </c>
      <c r="R18" s="13" t="s">
        <v>3035</v>
      </c>
      <c r="S18" s="13" t="s">
        <v>1720</v>
      </c>
      <c r="T18" s="13" t="s">
        <v>1914</v>
      </c>
      <c r="U18" s="13" t="s">
        <v>1724</v>
      </c>
      <c r="V18" s="13" t="s">
        <v>1726</v>
      </c>
      <c r="W18" s="13" t="s">
        <v>1728</v>
      </c>
      <c r="X18" s="13" t="s">
        <v>1726</v>
      </c>
      <c r="Y18" s="13" t="s">
        <v>1566</v>
      </c>
      <c r="Z18" s="13" t="s">
        <v>1731</v>
      </c>
      <c r="AA18" s="13" t="s">
        <v>1726</v>
      </c>
      <c r="AB18" s="13" t="s">
        <v>3077</v>
      </c>
      <c r="AC18" s="13" t="s">
        <v>3079</v>
      </c>
      <c r="AD18" s="13" t="s">
        <v>3082</v>
      </c>
      <c r="AE18" s="13" t="s">
        <v>3092</v>
      </c>
      <c r="AF18" s="13" t="s">
        <v>1738</v>
      </c>
      <c r="AG18" s="13" t="s">
        <v>1740</v>
      </c>
      <c r="AH18" s="13" t="s">
        <v>1741</v>
      </c>
      <c r="AI18" s="13" t="s">
        <v>1754</v>
      </c>
      <c r="AJ18" s="13" t="s">
        <v>3103</v>
      </c>
      <c r="AK18" s="13" t="s">
        <v>1792</v>
      </c>
      <c r="AL18" s="13" t="s">
        <v>1794</v>
      </c>
      <c r="AM18" s="13" t="s">
        <v>1796</v>
      </c>
      <c r="AN18" s="13" t="s">
        <v>1796</v>
      </c>
      <c r="AO18" s="13" t="s">
        <v>3104</v>
      </c>
      <c r="AP18" s="13" t="s">
        <v>1740</v>
      </c>
      <c r="AQ18" s="13" t="s">
        <v>3145</v>
      </c>
      <c r="AR18" s="13" t="s">
        <v>3221</v>
      </c>
      <c r="AS18" s="13" t="s">
        <v>3308</v>
      </c>
      <c r="AT18" s="13" t="s">
        <v>3346</v>
      </c>
      <c r="AU18" s="13"/>
      <c r="AV18" s="13" t="s">
        <v>1830</v>
      </c>
      <c r="AW18" s="13" t="s">
        <v>1830</v>
      </c>
      <c r="AX18" s="13" t="s">
        <v>1862</v>
      </c>
      <c r="AY18" s="13" t="s">
        <v>1882</v>
      </c>
      <c r="AZ18" s="13" t="s">
        <v>1728</v>
      </c>
      <c r="BA18" s="13" t="s">
        <v>1883</v>
      </c>
      <c r="BB18" s="13" t="s">
        <v>1723</v>
      </c>
      <c r="BC18" s="13" t="s">
        <v>1895</v>
      </c>
      <c r="BD18" s="13" t="s">
        <v>1728</v>
      </c>
      <c r="BE18" s="13" t="s">
        <v>1740</v>
      </c>
      <c r="BF18" s="13" t="s">
        <v>1740</v>
      </c>
      <c r="BG18" s="13" t="s">
        <v>3433</v>
      </c>
      <c r="BH18" s="13" t="s">
        <v>1566</v>
      </c>
      <c r="BI18" s="13" t="s">
        <v>1914</v>
      </c>
      <c r="BJ18" s="13" t="s">
        <v>3460</v>
      </c>
      <c r="BK18" s="13" t="s">
        <v>3351</v>
      </c>
      <c r="BL18" s="13" t="s">
        <v>1933</v>
      </c>
      <c r="BM18" s="13" t="s">
        <v>247</v>
      </c>
      <c r="BN18" s="13" t="s">
        <v>3099</v>
      </c>
      <c r="BO18" s="13" t="s">
        <v>3478</v>
      </c>
      <c r="BP18" s="13" t="s">
        <v>3479</v>
      </c>
      <c r="BQ18" s="13" t="s">
        <v>3508</v>
      </c>
      <c r="BR18" s="13" t="s">
        <v>1975</v>
      </c>
      <c r="BS18" s="13" t="s">
        <v>3479</v>
      </c>
      <c r="BT18" s="13" t="s">
        <v>1796</v>
      </c>
      <c r="BU18" s="13" t="s">
        <v>1792</v>
      </c>
      <c r="BV18" s="13" t="s">
        <v>1975</v>
      </c>
      <c r="BW18" s="13" t="s">
        <v>2013</v>
      </c>
      <c r="BX18" s="13" t="s">
        <v>1830</v>
      </c>
      <c r="BY18" s="311" t="s">
        <v>2033</v>
      </c>
    </row>
    <row r="19" spans="1:77">
      <c r="A19" s="2">
        <v>14</v>
      </c>
      <c r="B19" s="55">
        <f>INDEX(順位表[Comprehensive],MATCH($C19,順位表['#],0))</f>
        <v>16</v>
      </c>
      <c r="C19" s="3">
        <v>14</v>
      </c>
      <c r="D19" s="1" t="str">
        <f>INDEX(都市マスタ[City Name],MATCH($C19,都市マスタ['#],0))</f>
        <v>Stockholm</v>
      </c>
      <c r="E19" s="13" t="s">
        <v>1531</v>
      </c>
      <c r="F19" s="13" t="s">
        <v>1531</v>
      </c>
      <c r="G19" s="13" t="s">
        <v>1914</v>
      </c>
      <c r="H19" s="13" t="s">
        <v>1580</v>
      </c>
      <c r="I19" s="13"/>
      <c r="J19" s="13" t="s">
        <v>2897</v>
      </c>
      <c r="K19" s="13" t="s">
        <v>1566</v>
      </c>
      <c r="L19" s="13"/>
      <c r="M19" s="13" t="s">
        <v>1637</v>
      </c>
      <c r="N19" s="13" t="s">
        <v>1652</v>
      </c>
      <c r="O19" s="13" t="s">
        <v>1652</v>
      </c>
      <c r="P19" s="13" t="s">
        <v>1688</v>
      </c>
      <c r="Q19" s="13" t="s">
        <v>3010</v>
      </c>
      <c r="R19" s="13" t="s">
        <v>3035</v>
      </c>
      <c r="S19" s="13" t="s">
        <v>1720</v>
      </c>
      <c r="T19" s="13" t="s">
        <v>1914</v>
      </c>
      <c r="U19" s="13" t="s">
        <v>1724</v>
      </c>
      <c r="V19" s="13" t="s">
        <v>1726</v>
      </c>
      <c r="W19" s="13" t="s">
        <v>1728</v>
      </c>
      <c r="X19" s="13" t="s">
        <v>1726</v>
      </c>
      <c r="Y19" s="13" t="s">
        <v>1566</v>
      </c>
      <c r="Z19" s="13" t="s">
        <v>1731</v>
      </c>
      <c r="AA19" s="13" t="s">
        <v>1726</v>
      </c>
      <c r="AB19" s="13" t="s">
        <v>3077</v>
      </c>
      <c r="AC19" s="13" t="s">
        <v>3079</v>
      </c>
      <c r="AD19" s="13" t="s">
        <v>3082</v>
      </c>
      <c r="AE19" s="13" t="s">
        <v>3092</v>
      </c>
      <c r="AF19" s="13" t="s">
        <v>1738</v>
      </c>
      <c r="AG19" s="13" t="s">
        <v>1740</v>
      </c>
      <c r="AH19" s="13" t="s">
        <v>1741</v>
      </c>
      <c r="AI19" s="13" t="s">
        <v>1755</v>
      </c>
      <c r="AJ19" s="13" t="s">
        <v>3103</v>
      </c>
      <c r="AK19" s="13" t="s">
        <v>1792</v>
      </c>
      <c r="AL19" s="13" t="s">
        <v>1794</v>
      </c>
      <c r="AM19" s="13" t="s">
        <v>1796</v>
      </c>
      <c r="AN19" s="13" t="s">
        <v>1796</v>
      </c>
      <c r="AO19" s="13" t="s">
        <v>3104</v>
      </c>
      <c r="AP19" s="13" t="s">
        <v>1740</v>
      </c>
      <c r="AQ19" s="13" t="s">
        <v>1808</v>
      </c>
      <c r="AR19" s="13" t="s">
        <v>3222</v>
      </c>
      <c r="AS19" s="13" t="s">
        <v>3309</v>
      </c>
      <c r="AT19" s="13" t="s">
        <v>3346</v>
      </c>
      <c r="AU19" s="13"/>
      <c r="AV19" s="13" t="s">
        <v>1830</v>
      </c>
      <c r="AW19" s="13" t="s">
        <v>1830</v>
      </c>
      <c r="AX19" s="13" t="s">
        <v>1531</v>
      </c>
      <c r="AY19" s="13" t="s">
        <v>1882</v>
      </c>
      <c r="AZ19" s="13" t="s">
        <v>1728</v>
      </c>
      <c r="BA19" s="13" t="s">
        <v>1883</v>
      </c>
      <c r="BB19" s="13" t="s">
        <v>1723</v>
      </c>
      <c r="BC19" s="13" t="s">
        <v>1895</v>
      </c>
      <c r="BD19" s="13" t="s">
        <v>1728</v>
      </c>
      <c r="BE19" s="13" t="s">
        <v>1740</v>
      </c>
      <c r="BF19" s="13" t="s">
        <v>1740</v>
      </c>
      <c r="BG19" s="13" t="s">
        <v>3434</v>
      </c>
      <c r="BH19" s="13" t="s">
        <v>1566</v>
      </c>
      <c r="BI19" s="13" t="s">
        <v>1914</v>
      </c>
      <c r="BJ19" s="13" t="s">
        <v>3460</v>
      </c>
      <c r="BK19" s="13" t="s">
        <v>3351</v>
      </c>
      <c r="BL19" s="13" t="s">
        <v>1934</v>
      </c>
      <c r="BM19" s="13" t="s">
        <v>247</v>
      </c>
      <c r="BN19" s="13" t="s">
        <v>3099</v>
      </c>
      <c r="BO19" s="13" t="s">
        <v>3478</v>
      </c>
      <c r="BP19" s="13" t="s">
        <v>3479</v>
      </c>
      <c r="BQ19" s="13" t="s">
        <v>3509</v>
      </c>
      <c r="BR19" s="13" t="s">
        <v>1976</v>
      </c>
      <c r="BS19" s="13" t="s">
        <v>3479</v>
      </c>
      <c r="BT19" s="13" t="s">
        <v>1796</v>
      </c>
      <c r="BU19" s="13" t="s">
        <v>1792</v>
      </c>
      <c r="BV19" s="13" t="s">
        <v>1976</v>
      </c>
      <c r="BW19" s="13" t="s">
        <v>2013</v>
      </c>
      <c r="BX19" s="13" t="s">
        <v>1830</v>
      </c>
      <c r="BY19" s="311" t="s">
        <v>2034</v>
      </c>
    </row>
    <row r="20" spans="1:77">
      <c r="A20" s="2">
        <v>15</v>
      </c>
      <c r="B20" s="55">
        <f>INDEX(順位表[Comprehensive],MATCH($C20,順位表['#],0))</f>
        <v>30</v>
      </c>
      <c r="C20" s="3">
        <v>15</v>
      </c>
      <c r="D20" s="1" t="str">
        <f>INDEX(都市マスタ[City Name],MATCH($C20,都市マスタ['#],0))</f>
        <v>Istanbul</v>
      </c>
      <c r="E20" s="13" t="s">
        <v>1532</v>
      </c>
      <c r="F20" s="13" t="s">
        <v>2812</v>
      </c>
      <c r="G20" s="13" t="s">
        <v>1914</v>
      </c>
      <c r="H20" s="13" t="s">
        <v>1532</v>
      </c>
      <c r="I20" s="13"/>
      <c r="J20" s="13" t="s">
        <v>2898</v>
      </c>
      <c r="K20" s="13" t="s">
        <v>1566</v>
      </c>
      <c r="L20" s="13"/>
      <c r="M20" s="13" t="s">
        <v>1637</v>
      </c>
      <c r="N20" s="13" t="s">
        <v>1532</v>
      </c>
      <c r="O20" s="13" t="s">
        <v>2978</v>
      </c>
      <c r="P20" s="13" t="s">
        <v>1689</v>
      </c>
      <c r="Q20" s="13" t="s">
        <v>3011</v>
      </c>
      <c r="R20" s="13" t="s">
        <v>3035</v>
      </c>
      <c r="S20" s="13" t="s">
        <v>1720</v>
      </c>
      <c r="T20" s="13" t="s">
        <v>1914</v>
      </c>
      <c r="U20" s="13" t="s">
        <v>1724</v>
      </c>
      <c r="V20" s="13" t="s">
        <v>1726</v>
      </c>
      <c r="W20" s="13" t="s">
        <v>1728</v>
      </c>
      <c r="X20" s="13" t="s">
        <v>1726</v>
      </c>
      <c r="Y20" s="13" t="s">
        <v>1566</v>
      </c>
      <c r="Z20" s="13" t="s">
        <v>1731</v>
      </c>
      <c r="AA20" s="13" t="s">
        <v>1726</v>
      </c>
      <c r="AB20" s="13" t="s">
        <v>3077</v>
      </c>
      <c r="AC20" s="13" t="s">
        <v>3079</v>
      </c>
      <c r="AD20" s="13" t="s">
        <v>3082</v>
      </c>
      <c r="AE20" s="13" t="s">
        <v>3092</v>
      </c>
      <c r="AF20" s="13" t="s">
        <v>1738</v>
      </c>
      <c r="AG20" s="13" t="s">
        <v>1740</v>
      </c>
      <c r="AH20" s="13" t="s">
        <v>1741</v>
      </c>
      <c r="AI20" s="13" t="s">
        <v>1756</v>
      </c>
      <c r="AJ20" s="13" t="s">
        <v>3103</v>
      </c>
      <c r="AK20" s="13" t="s">
        <v>1792</v>
      </c>
      <c r="AL20" s="13" t="s">
        <v>1794</v>
      </c>
      <c r="AM20" s="13" t="s">
        <v>1796</v>
      </c>
      <c r="AN20" s="13" t="s">
        <v>1796</v>
      </c>
      <c r="AO20" s="13" t="s">
        <v>3104</v>
      </c>
      <c r="AP20" s="13" t="s">
        <v>1740</v>
      </c>
      <c r="AQ20" s="13" t="s">
        <v>1809</v>
      </c>
      <c r="AR20" s="13" t="s">
        <v>3223</v>
      </c>
      <c r="AS20" s="13" t="s">
        <v>3310</v>
      </c>
      <c r="AT20" s="13" t="s">
        <v>3346</v>
      </c>
      <c r="AU20" s="13"/>
      <c r="AV20" s="13" t="s">
        <v>1830</v>
      </c>
      <c r="AW20" s="13" t="s">
        <v>1830</v>
      </c>
      <c r="AX20" s="13" t="s">
        <v>1863</v>
      </c>
      <c r="AY20" s="13" t="s">
        <v>1882</v>
      </c>
      <c r="AZ20" s="13" t="s">
        <v>1728</v>
      </c>
      <c r="BA20" s="13" t="s">
        <v>1883</v>
      </c>
      <c r="BB20" s="13" t="s">
        <v>1723</v>
      </c>
      <c r="BC20" s="13" t="s">
        <v>1895</v>
      </c>
      <c r="BD20" s="13" t="s">
        <v>1728</v>
      </c>
      <c r="BE20" s="13" t="s">
        <v>1740</v>
      </c>
      <c r="BF20" s="13" t="s">
        <v>1740</v>
      </c>
      <c r="BG20" s="13" t="s">
        <v>1738</v>
      </c>
      <c r="BH20" s="13" t="s">
        <v>1566</v>
      </c>
      <c r="BI20" s="13" t="s">
        <v>1566</v>
      </c>
      <c r="BJ20" s="13" t="s">
        <v>3460</v>
      </c>
      <c r="BK20" s="13" t="s">
        <v>3351</v>
      </c>
      <c r="BL20" s="13" t="s">
        <v>3466</v>
      </c>
      <c r="BM20" s="13" t="s">
        <v>247</v>
      </c>
      <c r="BN20" s="13" t="s">
        <v>3099</v>
      </c>
      <c r="BO20" s="13" t="s">
        <v>3478</v>
      </c>
      <c r="BP20" s="13" t="s">
        <v>3479</v>
      </c>
      <c r="BQ20" s="13" t="s">
        <v>3510</v>
      </c>
      <c r="BR20" s="13" t="s">
        <v>1977</v>
      </c>
      <c r="BS20" s="13" t="s">
        <v>3479</v>
      </c>
      <c r="BT20" s="13" t="s">
        <v>1796</v>
      </c>
      <c r="BU20" s="13" t="s">
        <v>1792</v>
      </c>
      <c r="BV20" s="13" t="s">
        <v>1977</v>
      </c>
      <c r="BW20" s="13" t="s">
        <v>2013</v>
      </c>
      <c r="BX20" s="13" t="s">
        <v>1830</v>
      </c>
      <c r="BY20" s="311" t="s">
        <v>2035</v>
      </c>
    </row>
    <row r="21" spans="1:77">
      <c r="A21" s="2">
        <v>16</v>
      </c>
      <c r="B21" s="55">
        <f>INDEX(順位表[Comprehensive],MATCH($C21,順位表['#],0))</f>
        <v>47</v>
      </c>
      <c r="C21" s="3">
        <v>16</v>
      </c>
      <c r="D21" s="1" t="str">
        <f>INDEX(都市マスタ[City Name],MATCH($C21,都市マスタ['#],0))</f>
        <v>Cairo</v>
      </c>
      <c r="E21" s="13" t="s">
        <v>1533</v>
      </c>
      <c r="F21" s="13" t="s">
        <v>1533</v>
      </c>
      <c r="G21" s="13" t="s">
        <v>1914</v>
      </c>
      <c r="H21" s="13" t="s">
        <v>1581</v>
      </c>
      <c r="I21" s="13"/>
      <c r="J21" s="13" t="s">
        <v>1614</v>
      </c>
      <c r="K21" s="13" t="s">
        <v>1566</v>
      </c>
      <c r="L21" s="13"/>
      <c r="M21" s="13" t="s">
        <v>1637</v>
      </c>
      <c r="N21" s="13" t="s">
        <v>1533</v>
      </c>
      <c r="O21" s="13" t="s">
        <v>1533</v>
      </c>
      <c r="P21" s="13" t="s">
        <v>1690</v>
      </c>
      <c r="Q21" s="13" t="s">
        <v>3012</v>
      </c>
      <c r="R21" s="13" t="s">
        <v>3035</v>
      </c>
      <c r="S21" s="13" t="s">
        <v>1720</v>
      </c>
      <c r="T21" s="13" t="s">
        <v>1914</v>
      </c>
      <c r="U21" s="13" t="s">
        <v>1724</v>
      </c>
      <c r="V21" s="13" t="s">
        <v>1726</v>
      </c>
      <c r="W21" s="13" t="s">
        <v>1728</v>
      </c>
      <c r="X21" s="13" t="s">
        <v>1726</v>
      </c>
      <c r="Y21" s="13" t="s">
        <v>1914</v>
      </c>
      <c r="Z21" s="13" t="s">
        <v>1731</v>
      </c>
      <c r="AA21" s="13" t="s">
        <v>1726</v>
      </c>
      <c r="AB21" s="13" t="s">
        <v>3077</v>
      </c>
      <c r="AC21" s="13" t="s">
        <v>3079</v>
      </c>
      <c r="AD21" s="13" t="s">
        <v>3082</v>
      </c>
      <c r="AE21" s="13" t="s">
        <v>3093</v>
      </c>
      <c r="AF21" s="13" t="s">
        <v>1738</v>
      </c>
      <c r="AG21" s="13" t="s">
        <v>1740</v>
      </c>
      <c r="AH21" s="13" t="s">
        <v>1741</v>
      </c>
      <c r="AI21" s="13" t="s">
        <v>1757</v>
      </c>
      <c r="AJ21" s="13" t="s">
        <v>3103</v>
      </c>
      <c r="AK21" s="13" t="s">
        <v>1792</v>
      </c>
      <c r="AL21" s="13" t="s">
        <v>1794</v>
      </c>
      <c r="AM21" s="13" t="s">
        <v>1796</v>
      </c>
      <c r="AN21" s="13" t="s">
        <v>1796</v>
      </c>
      <c r="AO21" s="13" t="s">
        <v>3104</v>
      </c>
      <c r="AP21" s="13" t="s">
        <v>1740</v>
      </c>
      <c r="AQ21" s="13" t="s">
        <v>1810</v>
      </c>
      <c r="AR21" s="13" t="s">
        <v>3224</v>
      </c>
      <c r="AS21" s="13" t="s">
        <v>3311</v>
      </c>
      <c r="AT21" s="13" t="s">
        <v>3346</v>
      </c>
      <c r="AU21" s="13"/>
      <c r="AV21" s="13" t="s">
        <v>1830</v>
      </c>
      <c r="AW21" s="13" t="s">
        <v>1830</v>
      </c>
      <c r="AX21" s="13" t="s">
        <v>1864</v>
      </c>
      <c r="AY21" s="13" t="s">
        <v>1882</v>
      </c>
      <c r="AZ21" s="13" t="s">
        <v>1728</v>
      </c>
      <c r="BA21" s="13" t="s">
        <v>1883</v>
      </c>
      <c r="BB21" s="13" t="s">
        <v>1723</v>
      </c>
      <c r="BC21" s="13" t="s">
        <v>1896</v>
      </c>
      <c r="BD21" s="13" t="s">
        <v>1728</v>
      </c>
      <c r="BE21" s="13" t="s">
        <v>1740</v>
      </c>
      <c r="BF21" s="13" t="s">
        <v>1740</v>
      </c>
      <c r="BG21" s="13"/>
      <c r="BH21" s="13" t="s">
        <v>1566</v>
      </c>
      <c r="BI21" s="13" t="s">
        <v>1915</v>
      </c>
      <c r="BJ21" s="13" t="s">
        <v>3460</v>
      </c>
      <c r="BK21" s="13" t="s">
        <v>3351</v>
      </c>
      <c r="BL21" s="13" t="s">
        <v>1935</v>
      </c>
      <c r="BM21" s="13" t="s">
        <v>247</v>
      </c>
      <c r="BN21" s="13" t="s">
        <v>3099</v>
      </c>
      <c r="BO21" s="13" t="s">
        <v>3478</v>
      </c>
      <c r="BP21" s="13" t="s">
        <v>3479</v>
      </c>
      <c r="BQ21" s="13" t="s">
        <v>3511</v>
      </c>
      <c r="BR21" s="13" t="s">
        <v>1978</v>
      </c>
      <c r="BS21" s="13" t="s">
        <v>3479</v>
      </c>
      <c r="BT21" s="13" t="s">
        <v>1796</v>
      </c>
      <c r="BU21" s="13" t="s">
        <v>1792</v>
      </c>
      <c r="BV21" s="13" t="s">
        <v>1978</v>
      </c>
      <c r="BW21" s="13" t="s">
        <v>2013</v>
      </c>
      <c r="BX21" s="13" t="s">
        <v>1830</v>
      </c>
      <c r="BY21" s="311" t="s">
        <v>2036</v>
      </c>
    </row>
    <row r="22" spans="1:77">
      <c r="A22" s="2">
        <v>17</v>
      </c>
      <c r="B22" s="55">
        <f>INDEX(順位表[Comprehensive],MATCH($C22,順位表['#],0))</f>
        <v>34</v>
      </c>
      <c r="C22" s="3">
        <v>17</v>
      </c>
      <c r="D22" s="1" t="str">
        <f>INDEX(都市マスタ[City Name],MATCH($C22,都市マスタ['#],0))</f>
        <v>Moscow</v>
      </c>
      <c r="E22" s="13" t="s">
        <v>1534</v>
      </c>
      <c r="F22" s="13" t="s">
        <v>1534</v>
      </c>
      <c r="G22" s="13" t="s">
        <v>1914</v>
      </c>
      <c r="H22" s="13" t="s">
        <v>1534</v>
      </c>
      <c r="I22" s="13"/>
      <c r="J22" s="13" t="s">
        <v>1615</v>
      </c>
      <c r="K22" s="13" t="s">
        <v>1566</v>
      </c>
      <c r="L22" s="13"/>
      <c r="M22" s="13" t="s">
        <v>1637</v>
      </c>
      <c r="N22" s="13" t="s">
        <v>1534</v>
      </c>
      <c r="O22" s="13" t="s">
        <v>2979</v>
      </c>
      <c r="P22" s="13" t="s">
        <v>1691</v>
      </c>
      <c r="Q22" s="13" t="s">
        <v>3013</v>
      </c>
      <c r="R22" s="13" t="s">
        <v>3035</v>
      </c>
      <c r="S22" s="13" t="s">
        <v>1720</v>
      </c>
      <c r="T22" s="13" t="s">
        <v>1914</v>
      </c>
      <c r="U22" s="13" t="s">
        <v>1724</v>
      </c>
      <c r="V22" s="13" t="s">
        <v>1726</v>
      </c>
      <c r="W22" s="13" t="s">
        <v>1728</v>
      </c>
      <c r="X22" s="13" t="s">
        <v>1726</v>
      </c>
      <c r="Y22" s="13" t="s">
        <v>1566</v>
      </c>
      <c r="Z22" s="13" t="s">
        <v>1731</v>
      </c>
      <c r="AA22" s="13" t="s">
        <v>1726</v>
      </c>
      <c r="AB22" s="13" t="s">
        <v>3077</v>
      </c>
      <c r="AC22" s="13" t="s">
        <v>3079</v>
      </c>
      <c r="AD22" s="13" t="s">
        <v>3082</v>
      </c>
      <c r="AE22" s="13" t="s">
        <v>3092</v>
      </c>
      <c r="AF22" s="13" t="s">
        <v>1738</v>
      </c>
      <c r="AG22" s="13" t="s">
        <v>1740</v>
      </c>
      <c r="AH22" s="13" t="s">
        <v>1741</v>
      </c>
      <c r="AI22" s="13" t="s">
        <v>1758</v>
      </c>
      <c r="AJ22" s="13" t="s">
        <v>3103</v>
      </c>
      <c r="AK22" s="13" t="s">
        <v>1792</v>
      </c>
      <c r="AL22" s="13" t="s">
        <v>1794</v>
      </c>
      <c r="AM22" s="13" t="s">
        <v>1796</v>
      </c>
      <c r="AN22" s="13" t="s">
        <v>1796</v>
      </c>
      <c r="AO22" s="13" t="s">
        <v>3104</v>
      </c>
      <c r="AP22" s="13" t="s">
        <v>1740</v>
      </c>
      <c r="AQ22" s="13" t="s">
        <v>3146</v>
      </c>
      <c r="AR22" s="13" t="s">
        <v>3225</v>
      </c>
      <c r="AS22" s="13" t="s">
        <v>3312</v>
      </c>
      <c r="AT22" s="13" t="s">
        <v>3346</v>
      </c>
      <c r="AU22" s="13"/>
      <c r="AV22" s="13" t="s">
        <v>1830</v>
      </c>
      <c r="AW22" s="13" t="s">
        <v>1830</v>
      </c>
      <c r="AX22" s="13" t="s">
        <v>1865</v>
      </c>
      <c r="AY22" s="13" t="s">
        <v>1882</v>
      </c>
      <c r="AZ22" s="13" t="s">
        <v>1728</v>
      </c>
      <c r="BA22" s="13" t="s">
        <v>1883</v>
      </c>
      <c r="BB22" s="13" t="s">
        <v>1723</v>
      </c>
      <c r="BC22" s="13" t="s">
        <v>1895</v>
      </c>
      <c r="BD22" s="13" t="s">
        <v>1728</v>
      </c>
      <c r="BE22" s="13" t="s">
        <v>1740</v>
      </c>
      <c r="BF22" s="13" t="s">
        <v>1740</v>
      </c>
      <c r="BG22" s="13" t="s">
        <v>1738</v>
      </c>
      <c r="BH22" s="13" t="s">
        <v>1566</v>
      </c>
      <c r="BI22" s="13" t="s">
        <v>1826</v>
      </c>
      <c r="BJ22" s="13" t="s">
        <v>3460</v>
      </c>
      <c r="BK22" s="13" t="s">
        <v>3351</v>
      </c>
      <c r="BL22" s="13" t="s">
        <v>3467</v>
      </c>
      <c r="BM22" s="13" t="s">
        <v>247</v>
      </c>
      <c r="BN22" s="13" t="s">
        <v>3099</v>
      </c>
      <c r="BO22" s="13" t="s">
        <v>3478</v>
      </c>
      <c r="BP22" s="13" t="s">
        <v>3479</v>
      </c>
      <c r="BQ22" s="13" t="s">
        <v>3512</v>
      </c>
      <c r="BR22" s="13" t="s">
        <v>1979</v>
      </c>
      <c r="BS22" s="13" t="s">
        <v>3479</v>
      </c>
      <c r="BT22" s="13" t="s">
        <v>1796</v>
      </c>
      <c r="BU22" s="13" t="s">
        <v>1792</v>
      </c>
      <c r="BV22" s="13" t="s">
        <v>1979</v>
      </c>
      <c r="BW22" s="13" t="s">
        <v>2013</v>
      </c>
      <c r="BX22" s="13" t="s">
        <v>2018</v>
      </c>
      <c r="BY22" s="311" t="s">
        <v>2037</v>
      </c>
    </row>
    <row r="23" spans="1:77">
      <c r="A23" s="2">
        <v>18</v>
      </c>
      <c r="B23" s="55">
        <f>INDEX(順位表[Comprehensive],MATCH($C23,順位表['#],0))</f>
        <v>48</v>
      </c>
      <c r="C23" s="3">
        <v>18</v>
      </c>
      <c r="D23" s="1" t="str">
        <f>INDEX(都市マスタ[City Name],MATCH($C23,都市マスタ['#],0))</f>
        <v>Mumbai</v>
      </c>
      <c r="E23" s="13" t="s">
        <v>1535</v>
      </c>
      <c r="F23" s="13" t="s">
        <v>1535</v>
      </c>
      <c r="G23" s="13" t="s">
        <v>1914</v>
      </c>
      <c r="H23" s="13" t="s">
        <v>1582</v>
      </c>
      <c r="I23" s="13"/>
      <c r="J23" s="13" t="s">
        <v>1616</v>
      </c>
      <c r="K23" s="13" t="s">
        <v>1566</v>
      </c>
      <c r="L23" s="13"/>
      <c r="M23" s="13" t="s">
        <v>1637</v>
      </c>
      <c r="N23" s="13" t="s">
        <v>1535</v>
      </c>
      <c r="O23" s="13" t="s">
        <v>2980</v>
      </c>
      <c r="P23" s="13" t="s">
        <v>1692</v>
      </c>
      <c r="Q23" s="13" t="s">
        <v>3014</v>
      </c>
      <c r="R23" s="13" t="s">
        <v>3035</v>
      </c>
      <c r="S23" s="13" t="s">
        <v>1720</v>
      </c>
      <c r="T23" s="13" t="s">
        <v>1914</v>
      </c>
      <c r="U23" s="13" t="s">
        <v>1724</v>
      </c>
      <c r="V23" s="13" t="s">
        <v>1726</v>
      </c>
      <c r="W23" s="13" t="s">
        <v>1728</v>
      </c>
      <c r="X23" s="13" t="s">
        <v>1726</v>
      </c>
      <c r="Y23" s="13" t="s">
        <v>1566</v>
      </c>
      <c r="Z23" s="13" t="s">
        <v>1731</v>
      </c>
      <c r="AA23" s="13" t="s">
        <v>1726</v>
      </c>
      <c r="AB23" s="13" t="s">
        <v>3077</v>
      </c>
      <c r="AC23" s="13" t="s">
        <v>3079</v>
      </c>
      <c r="AD23" s="13" t="s">
        <v>3082</v>
      </c>
      <c r="AE23" s="13" t="s">
        <v>3092</v>
      </c>
      <c r="AF23" s="13" t="s">
        <v>1738</v>
      </c>
      <c r="AG23" s="13" t="s">
        <v>1740</v>
      </c>
      <c r="AH23" s="13" t="s">
        <v>1741</v>
      </c>
      <c r="AI23" s="13" t="s">
        <v>1759</v>
      </c>
      <c r="AJ23" s="13" t="s">
        <v>3103</v>
      </c>
      <c r="AK23" s="13" t="s">
        <v>1792</v>
      </c>
      <c r="AL23" s="13" t="s">
        <v>1794</v>
      </c>
      <c r="AM23" s="13" t="s">
        <v>1796</v>
      </c>
      <c r="AN23" s="13" t="s">
        <v>1796</v>
      </c>
      <c r="AO23" s="13" t="s">
        <v>3104</v>
      </c>
      <c r="AP23" s="13" t="s">
        <v>1740</v>
      </c>
      <c r="AQ23" s="13" t="s">
        <v>1811</v>
      </c>
      <c r="AR23" s="13" t="s">
        <v>3226</v>
      </c>
      <c r="AS23" s="13" t="s">
        <v>3313</v>
      </c>
      <c r="AT23" s="13" t="s">
        <v>3346</v>
      </c>
      <c r="AU23" s="13"/>
      <c r="AV23" s="13" t="s">
        <v>1830</v>
      </c>
      <c r="AW23" s="13" t="s">
        <v>1830</v>
      </c>
      <c r="AX23" s="13" t="s">
        <v>1866</v>
      </c>
      <c r="AY23" s="13" t="s">
        <v>1882</v>
      </c>
      <c r="AZ23" s="13" t="s">
        <v>1728</v>
      </c>
      <c r="BA23" s="13" t="s">
        <v>1883</v>
      </c>
      <c r="BB23" s="13" t="s">
        <v>1723</v>
      </c>
      <c r="BC23" s="13" t="s">
        <v>1895</v>
      </c>
      <c r="BD23" s="13" t="s">
        <v>1728</v>
      </c>
      <c r="BE23" s="13" t="s">
        <v>1740</v>
      </c>
      <c r="BF23" s="13" t="s">
        <v>1740</v>
      </c>
      <c r="BG23" s="13" t="s">
        <v>3035</v>
      </c>
      <c r="BH23" s="13" t="s">
        <v>1566</v>
      </c>
      <c r="BI23" s="13" t="s">
        <v>1866</v>
      </c>
      <c r="BJ23" s="13" t="s">
        <v>3460</v>
      </c>
      <c r="BK23" s="13" t="s">
        <v>3351</v>
      </c>
      <c r="BL23" s="13" t="s">
        <v>1936</v>
      </c>
      <c r="BM23" s="13" t="s">
        <v>247</v>
      </c>
      <c r="BN23" s="13" t="s">
        <v>3099</v>
      </c>
      <c r="BO23" s="13" t="s">
        <v>3478</v>
      </c>
      <c r="BP23" s="13" t="s">
        <v>3479</v>
      </c>
      <c r="BQ23" s="13" t="s">
        <v>3513</v>
      </c>
      <c r="BR23" s="13" t="s">
        <v>1980</v>
      </c>
      <c r="BS23" s="13" t="s">
        <v>3479</v>
      </c>
      <c r="BT23" s="13" t="s">
        <v>1796</v>
      </c>
      <c r="BU23" s="13" t="s">
        <v>1792</v>
      </c>
      <c r="BV23" s="13" t="s">
        <v>1980</v>
      </c>
      <c r="BW23" s="13" t="s">
        <v>2013</v>
      </c>
      <c r="BX23" s="13" t="s">
        <v>1830</v>
      </c>
      <c r="BY23" s="311" t="s">
        <v>2038</v>
      </c>
    </row>
    <row r="24" spans="1:77">
      <c r="A24" s="2">
        <v>19</v>
      </c>
      <c r="B24" s="55">
        <f>INDEX(順位表[Comprehensive],MATCH($C24,順位表['#],0))</f>
        <v>38</v>
      </c>
      <c r="C24" s="3">
        <v>19</v>
      </c>
      <c r="D24" s="1" t="str">
        <f>INDEX(都市マスタ[City Name],MATCH($C24,都市マスタ['#],0))</f>
        <v>Bangkok</v>
      </c>
      <c r="E24" s="13" t="s">
        <v>1536</v>
      </c>
      <c r="F24" s="13" t="s">
        <v>1536</v>
      </c>
      <c r="G24" s="13" t="s">
        <v>1914</v>
      </c>
      <c r="H24" s="13" t="s">
        <v>1583</v>
      </c>
      <c r="I24" s="13" t="s">
        <v>2867</v>
      </c>
      <c r="J24" s="13" t="s">
        <v>1614</v>
      </c>
      <c r="K24" s="13" t="s">
        <v>1566</v>
      </c>
      <c r="L24" s="13"/>
      <c r="M24" s="13" t="s">
        <v>1637</v>
      </c>
      <c r="N24" s="13" t="s">
        <v>1536</v>
      </c>
      <c r="O24" s="13" t="s">
        <v>1583</v>
      </c>
      <c r="P24" s="13" t="s">
        <v>1693</v>
      </c>
      <c r="Q24" s="13" t="s">
        <v>3015</v>
      </c>
      <c r="R24" s="13" t="s">
        <v>3035</v>
      </c>
      <c r="S24" s="13" t="s">
        <v>1720</v>
      </c>
      <c r="T24" s="13" t="s">
        <v>1914</v>
      </c>
      <c r="U24" s="13" t="s">
        <v>1724</v>
      </c>
      <c r="V24" s="13" t="s">
        <v>1726</v>
      </c>
      <c r="W24" s="13" t="s">
        <v>1728</v>
      </c>
      <c r="X24" s="13" t="s">
        <v>1726</v>
      </c>
      <c r="Y24" s="13" t="s">
        <v>1566</v>
      </c>
      <c r="Z24" s="13" t="s">
        <v>1731</v>
      </c>
      <c r="AA24" s="13" t="s">
        <v>1726</v>
      </c>
      <c r="AB24" s="13" t="s">
        <v>3077</v>
      </c>
      <c r="AC24" s="13" t="s">
        <v>3079</v>
      </c>
      <c r="AD24" s="13" t="s">
        <v>3082</v>
      </c>
      <c r="AE24" s="13" t="s">
        <v>3093</v>
      </c>
      <c r="AF24" s="13" t="s">
        <v>1738</v>
      </c>
      <c r="AG24" s="13" t="s">
        <v>1740</v>
      </c>
      <c r="AH24" s="13" t="s">
        <v>1741</v>
      </c>
      <c r="AI24" s="13" t="s">
        <v>1760</v>
      </c>
      <c r="AJ24" s="13" t="s">
        <v>3103</v>
      </c>
      <c r="AK24" s="13" t="s">
        <v>1792</v>
      </c>
      <c r="AL24" s="13" t="s">
        <v>1794</v>
      </c>
      <c r="AM24" s="13" t="s">
        <v>1796</v>
      </c>
      <c r="AN24" s="13" t="s">
        <v>1796</v>
      </c>
      <c r="AO24" s="13" t="s">
        <v>3104</v>
      </c>
      <c r="AP24" s="13" t="s">
        <v>1740</v>
      </c>
      <c r="AQ24" s="13" t="s">
        <v>3147</v>
      </c>
      <c r="AR24" s="13" t="s">
        <v>3227</v>
      </c>
      <c r="AS24" s="13" t="s">
        <v>3314</v>
      </c>
      <c r="AT24" s="13" t="s">
        <v>3346</v>
      </c>
      <c r="AU24" s="13"/>
      <c r="AV24" s="13" t="s">
        <v>1830</v>
      </c>
      <c r="AW24" s="13" t="s">
        <v>1830</v>
      </c>
      <c r="AX24" s="13" t="s">
        <v>1583</v>
      </c>
      <c r="AY24" s="13" t="s">
        <v>1882</v>
      </c>
      <c r="AZ24" s="13" t="s">
        <v>1728</v>
      </c>
      <c r="BA24" s="13" t="s">
        <v>1883</v>
      </c>
      <c r="BB24" s="13" t="s">
        <v>1723</v>
      </c>
      <c r="BC24" s="13" t="s">
        <v>1896</v>
      </c>
      <c r="BD24" s="13" t="s">
        <v>1728</v>
      </c>
      <c r="BE24" s="13" t="s">
        <v>1740</v>
      </c>
      <c r="BF24" s="13" t="s">
        <v>1740</v>
      </c>
      <c r="BG24" s="13" t="s">
        <v>1919</v>
      </c>
      <c r="BH24" s="13" t="s">
        <v>1566</v>
      </c>
      <c r="BI24" s="13" t="s">
        <v>1915</v>
      </c>
      <c r="BJ24" s="13" t="s">
        <v>3460</v>
      </c>
      <c r="BK24" s="13" t="s">
        <v>3351</v>
      </c>
      <c r="BL24" s="13" t="s">
        <v>1937</v>
      </c>
      <c r="BM24" s="13" t="s">
        <v>247</v>
      </c>
      <c r="BN24" s="13" t="s">
        <v>3099</v>
      </c>
      <c r="BO24" s="13" t="s">
        <v>3478</v>
      </c>
      <c r="BP24" s="13" t="s">
        <v>3479</v>
      </c>
      <c r="BQ24" s="13" t="s">
        <v>3514</v>
      </c>
      <c r="BR24" s="13" t="s">
        <v>1981</v>
      </c>
      <c r="BS24" s="13" t="s">
        <v>3479</v>
      </c>
      <c r="BT24" s="13" t="s">
        <v>1796</v>
      </c>
      <c r="BU24" s="13" t="s">
        <v>1792</v>
      </c>
      <c r="BV24" s="13" t="s">
        <v>1981</v>
      </c>
      <c r="BW24" s="13" t="s">
        <v>2013</v>
      </c>
      <c r="BX24" s="13" t="s">
        <v>1830</v>
      </c>
      <c r="BY24" s="311" t="s">
        <v>2039</v>
      </c>
    </row>
    <row r="25" spans="1:77">
      <c r="A25" s="2">
        <v>20</v>
      </c>
      <c r="B25" s="55">
        <f>INDEX(順位表[Comprehensive],MATCH($C25,順位表['#],0))</f>
        <v>41</v>
      </c>
      <c r="C25" s="3">
        <v>20</v>
      </c>
      <c r="D25" s="1" t="str">
        <f>INDEX(都市マスタ[City Name],MATCH($C25,都市マスタ['#],0))</f>
        <v>Kuala Lumpur</v>
      </c>
      <c r="E25" s="13" t="s">
        <v>1537</v>
      </c>
      <c r="F25" s="13" t="s">
        <v>1537</v>
      </c>
      <c r="G25" s="13" t="s">
        <v>2817</v>
      </c>
      <c r="H25" s="13" t="s">
        <v>1537</v>
      </c>
      <c r="I25" s="13"/>
      <c r="J25" s="13" t="s">
        <v>2899</v>
      </c>
      <c r="K25" s="13" t="s">
        <v>1566</v>
      </c>
      <c r="L25" s="13"/>
      <c r="M25" s="13" t="s">
        <v>1637</v>
      </c>
      <c r="N25" s="13" t="s">
        <v>1653</v>
      </c>
      <c r="O25" s="13" t="s">
        <v>1653</v>
      </c>
      <c r="P25" s="13" t="s">
        <v>1694</v>
      </c>
      <c r="Q25" s="13" t="s">
        <v>3016</v>
      </c>
      <c r="R25" s="13" t="s">
        <v>3035</v>
      </c>
      <c r="S25" s="13" t="s">
        <v>1720</v>
      </c>
      <c r="T25" s="13" t="s">
        <v>1914</v>
      </c>
      <c r="U25" s="13" t="s">
        <v>1724</v>
      </c>
      <c r="V25" s="13" t="s">
        <v>1726</v>
      </c>
      <c r="W25" s="13" t="s">
        <v>1728</v>
      </c>
      <c r="X25" s="13" t="s">
        <v>1726</v>
      </c>
      <c r="Y25" s="13" t="s">
        <v>1566</v>
      </c>
      <c r="Z25" s="13" t="s">
        <v>1731</v>
      </c>
      <c r="AA25" s="13" t="s">
        <v>1726</v>
      </c>
      <c r="AB25" s="13" t="s">
        <v>3077</v>
      </c>
      <c r="AC25" s="13" t="s">
        <v>3079</v>
      </c>
      <c r="AD25" s="13" t="s">
        <v>3082</v>
      </c>
      <c r="AE25" s="13" t="s">
        <v>3093</v>
      </c>
      <c r="AF25" s="13" t="s">
        <v>1738</v>
      </c>
      <c r="AG25" s="13" t="s">
        <v>1740</v>
      </c>
      <c r="AH25" s="13" t="s">
        <v>1741</v>
      </c>
      <c r="AI25" s="13" t="s">
        <v>1761</v>
      </c>
      <c r="AJ25" s="13" t="s">
        <v>3103</v>
      </c>
      <c r="AK25" s="13" t="s">
        <v>1792</v>
      </c>
      <c r="AL25" s="13" t="s">
        <v>1794</v>
      </c>
      <c r="AM25" s="13" t="s">
        <v>1796</v>
      </c>
      <c r="AN25" s="13" t="s">
        <v>1796</v>
      </c>
      <c r="AO25" s="13" t="s">
        <v>3104</v>
      </c>
      <c r="AP25" s="13" t="s">
        <v>1740</v>
      </c>
      <c r="AQ25" s="13" t="s">
        <v>1812</v>
      </c>
      <c r="AR25" s="13" t="s">
        <v>3228</v>
      </c>
      <c r="AS25" s="13" t="s">
        <v>3315</v>
      </c>
      <c r="AT25" s="13" t="s">
        <v>3346</v>
      </c>
      <c r="AU25" s="13"/>
      <c r="AV25" s="13" t="s">
        <v>1830</v>
      </c>
      <c r="AW25" s="13" t="s">
        <v>1830</v>
      </c>
      <c r="AX25" s="13" t="s">
        <v>1867</v>
      </c>
      <c r="AY25" s="13" t="s">
        <v>1882</v>
      </c>
      <c r="AZ25" s="13" t="s">
        <v>1728</v>
      </c>
      <c r="BA25" s="13" t="s">
        <v>1883</v>
      </c>
      <c r="BB25" s="13" t="s">
        <v>1723</v>
      </c>
      <c r="BC25" s="13" t="s">
        <v>1896</v>
      </c>
      <c r="BD25" s="13" t="s">
        <v>1728</v>
      </c>
      <c r="BE25" s="13" t="s">
        <v>1740</v>
      </c>
      <c r="BF25" s="13" t="s">
        <v>1740</v>
      </c>
      <c r="BG25" s="13" t="s">
        <v>1738</v>
      </c>
      <c r="BH25" s="13" t="s">
        <v>1566</v>
      </c>
      <c r="BI25" s="13" t="s">
        <v>1915</v>
      </c>
      <c r="BJ25" s="13" t="s">
        <v>3460</v>
      </c>
      <c r="BK25" s="13" t="s">
        <v>3351</v>
      </c>
      <c r="BL25" s="13" t="s">
        <v>1938</v>
      </c>
      <c r="BM25" s="13" t="s">
        <v>247</v>
      </c>
      <c r="BN25" s="13" t="s">
        <v>3099</v>
      </c>
      <c r="BO25" s="13" t="s">
        <v>3478</v>
      </c>
      <c r="BP25" s="13" t="s">
        <v>3479</v>
      </c>
      <c r="BQ25" s="13" t="s">
        <v>3515</v>
      </c>
      <c r="BR25" s="13" t="s">
        <v>1982</v>
      </c>
      <c r="BS25" s="13" t="s">
        <v>3479</v>
      </c>
      <c r="BT25" s="13" t="s">
        <v>1796</v>
      </c>
      <c r="BU25" s="13" t="s">
        <v>1792</v>
      </c>
      <c r="BV25" s="13" t="s">
        <v>1982</v>
      </c>
      <c r="BW25" s="13" t="s">
        <v>2013</v>
      </c>
      <c r="BX25" s="13" t="s">
        <v>1830</v>
      </c>
      <c r="BY25" s="311" t="s">
        <v>2040</v>
      </c>
    </row>
    <row r="26" spans="1:77">
      <c r="A26" s="2">
        <v>21</v>
      </c>
      <c r="B26" s="55">
        <f>INDEX(順位表[Comprehensive],MATCH($C26,順位表['#],0))</f>
        <v>5</v>
      </c>
      <c r="C26" s="3">
        <v>21</v>
      </c>
      <c r="D26" s="1" t="str">
        <f>INDEX(都市マスタ[City Name],MATCH($C26,都市マスタ['#],0))</f>
        <v>Singapore</v>
      </c>
      <c r="E26" s="13" t="s">
        <v>1538</v>
      </c>
      <c r="F26" s="13" t="s">
        <v>1538</v>
      </c>
      <c r="G26" s="13" t="s">
        <v>1914</v>
      </c>
      <c r="H26" s="13" t="s">
        <v>1538</v>
      </c>
      <c r="I26" s="13"/>
      <c r="J26" s="13" t="s">
        <v>1617</v>
      </c>
      <c r="K26" s="13" t="s">
        <v>1566</v>
      </c>
      <c r="L26" s="13"/>
      <c r="M26" s="13" t="s">
        <v>1637</v>
      </c>
      <c r="N26" s="13" t="s">
        <v>1538</v>
      </c>
      <c r="O26" s="13" t="s">
        <v>2981</v>
      </c>
      <c r="P26" s="13" t="s">
        <v>2991</v>
      </c>
      <c r="Q26" s="13" t="s">
        <v>3017</v>
      </c>
      <c r="R26" s="13" t="s">
        <v>3035</v>
      </c>
      <c r="S26" s="13" t="s">
        <v>1720</v>
      </c>
      <c r="T26" s="13" t="s">
        <v>1914</v>
      </c>
      <c r="U26" s="13" t="s">
        <v>1724</v>
      </c>
      <c r="V26" s="13" t="s">
        <v>1726</v>
      </c>
      <c r="W26" s="13" t="s">
        <v>1728</v>
      </c>
      <c r="X26" s="13" t="s">
        <v>1726</v>
      </c>
      <c r="Y26" s="13" t="s">
        <v>1566</v>
      </c>
      <c r="Z26" s="13" t="s">
        <v>1731</v>
      </c>
      <c r="AA26" s="13" t="s">
        <v>1726</v>
      </c>
      <c r="AB26" s="13" t="s">
        <v>3077</v>
      </c>
      <c r="AC26" s="13" t="s">
        <v>3079</v>
      </c>
      <c r="AD26" s="13" t="s">
        <v>3082</v>
      </c>
      <c r="AE26" s="13" t="s">
        <v>3092</v>
      </c>
      <c r="AF26" s="13" t="s">
        <v>1738</v>
      </c>
      <c r="AG26" s="13" t="s">
        <v>1740</v>
      </c>
      <c r="AH26" s="13" t="s">
        <v>1741</v>
      </c>
      <c r="AI26" s="13" t="s">
        <v>1762</v>
      </c>
      <c r="AJ26" s="13" t="s">
        <v>3103</v>
      </c>
      <c r="AK26" s="13" t="s">
        <v>1792</v>
      </c>
      <c r="AL26" s="13" t="s">
        <v>1794</v>
      </c>
      <c r="AM26" s="13" t="s">
        <v>1796</v>
      </c>
      <c r="AN26" s="13" t="s">
        <v>1796</v>
      </c>
      <c r="AO26" s="13" t="s">
        <v>3104</v>
      </c>
      <c r="AP26" s="13" t="s">
        <v>1740</v>
      </c>
      <c r="AQ26" s="13" t="s">
        <v>1813</v>
      </c>
      <c r="AR26" s="13" t="s">
        <v>3229</v>
      </c>
      <c r="AS26" s="13" t="s">
        <v>3316</v>
      </c>
      <c r="AT26" s="13" t="s">
        <v>3346</v>
      </c>
      <c r="AU26" s="13"/>
      <c r="AV26" s="13" t="s">
        <v>1831</v>
      </c>
      <c r="AW26" s="13" t="s">
        <v>3359</v>
      </c>
      <c r="AX26" s="13" t="s">
        <v>1868</v>
      </c>
      <c r="AY26" s="13" t="s">
        <v>1882</v>
      </c>
      <c r="AZ26" s="13" t="s">
        <v>1728</v>
      </c>
      <c r="BA26" s="13" t="s">
        <v>1883</v>
      </c>
      <c r="BB26" s="13" t="s">
        <v>1723</v>
      </c>
      <c r="BC26" s="13" t="s">
        <v>1896</v>
      </c>
      <c r="BD26" s="13" t="s">
        <v>1728</v>
      </c>
      <c r="BE26" s="13" t="s">
        <v>1740</v>
      </c>
      <c r="BF26" s="13" t="s">
        <v>1740</v>
      </c>
      <c r="BG26" s="13" t="s">
        <v>3435</v>
      </c>
      <c r="BH26" s="13" t="s">
        <v>1566</v>
      </c>
      <c r="BI26" s="13" t="s">
        <v>1915</v>
      </c>
      <c r="BJ26" s="13" t="s">
        <v>3460</v>
      </c>
      <c r="BK26" s="13" t="s">
        <v>3351</v>
      </c>
      <c r="BL26" s="13" t="s">
        <v>1939</v>
      </c>
      <c r="BM26" s="13" t="s">
        <v>247</v>
      </c>
      <c r="BN26" s="13" t="s">
        <v>3099</v>
      </c>
      <c r="BO26" s="13" t="s">
        <v>3478</v>
      </c>
      <c r="BP26" s="13" t="s">
        <v>3479</v>
      </c>
      <c r="BQ26" s="13" t="s">
        <v>3516</v>
      </c>
      <c r="BR26" s="13" t="s">
        <v>1983</v>
      </c>
      <c r="BS26" s="13" t="s">
        <v>3479</v>
      </c>
      <c r="BT26" s="13" t="s">
        <v>1796</v>
      </c>
      <c r="BU26" s="13" t="s">
        <v>1792</v>
      </c>
      <c r="BV26" s="13" t="s">
        <v>1983</v>
      </c>
      <c r="BW26" s="13" t="s">
        <v>2013</v>
      </c>
      <c r="BX26" s="13" t="s">
        <v>1830</v>
      </c>
      <c r="BY26" s="311" t="s">
        <v>2041</v>
      </c>
    </row>
    <row r="27" spans="1:77">
      <c r="A27" s="2">
        <v>22</v>
      </c>
      <c r="B27" s="55">
        <f>INDEX(順位表[Comprehensive],MATCH($C27,順位表['#],0))</f>
        <v>18</v>
      </c>
      <c r="C27" s="3">
        <v>22</v>
      </c>
      <c r="D27" s="1" t="str">
        <f>INDEX(都市マスタ[City Name],MATCH($C27,都市マスタ['#],0))</f>
        <v>Hong Kong</v>
      </c>
      <c r="E27" s="13" t="s">
        <v>1539</v>
      </c>
      <c r="F27" s="13" t="s">
        <v>1539</v>
      </c>
      <c r="G27" s="13" t="s">
        <v>1914</v>
      </c>
      <c r="H27" s="13" t="s">
        <v>1539</v>
      </c>
      <c r="I27" s="13"/>
      <c r="J27" s="13" t="s">
        <v>2900</v>
      </c>
      <c r="K27" s="13" t="s">
        <v>1566</v>
      </c>
      <c r="L27" s="13"/>
      <c r="M27" s="13" t="s">
        <v>1637</v>
      </c>
      <c r="N27" s="13" t="s">
        <v>1539</v>
      </c>
      <c r="O27" s="13" t="s">
        <v>1539</v>
      </c>
      <c r="P27" s="13" t="s">
        <v>1695</v>
      </c>
      <c r="Q27" s="13" t="s">
        <v>3018</v>
      </c>
      <c r="R27" s="13" t="s">
        <v>3035</v>
      </c>
      <c r="S27" s="13" t="s">
        <v>1720</v>
      </c>
      <c r="T27" s="13" t="s">
        <v>1914</v>
      </c>
      <c r="U27" s="13" t="s">
        <v>1724</v>
      </c>
      <c r="V27" s="13" t="s">
        <v>1726</v>
      </c>
      <c r="W27" s="13" t="s">
        <v>1728</v>
      </c>
      <c r="X27" s="13" t="s">
        <v>1726</v>
      </c>
      <c r="Y27" s="13" t="s">
        <v>1566</v>
      </c>
      <c r="Z27" s="13" t="s">
        <v>1731</v>
      </c>
      <c r="AA27" s="13" t="s">
        <v>1726</v>
      </c>
      <c r="AB27" s="13" t="s">
        <v>3077</v>
      </c>
      <c r="AC27" s="13" t="s">
        <v>3079</v>
      </c>
      <c r="AD27" s="13" t="s">
        <v>3082</v>
      </c>
      <c r="AE27" s="13" t="s">
        <v>3092</v>
      </c>
      <c r="AF27" s="13" t="s">
        <v>1738</v>
      </c>
      <c r="AG27" s="13" t="s">
        <v>1740</v>
      </c>
      <c r="AH27" s="13" t="s">
        <v>1741</v>
      </c>
      <c r="AI27" s="13" t="s">
        <v>1763</v>
      </c>
      <c r="AJ27" s="13" t="s">
        <v>3103</v>
      </c>
      <c r="AK27" s="13" t="s">
        <v>1792</v>
      </c>
      <c r="AL27" s="13" t="s">
        <v>1794</v>
      </c>
      <c r="AM27" s="13" t="s">
        <v>1796</v>
      </c>
      <c r="AN27" s="13" t="s">
        <v>1796</v>
      </c>
      <c r="AO27" s="13" t="s">
        <v>3104</v>
      </c>
      <c r="AP27" s="13" t="s">
        <v>1740</v>
      </c>
      <c r="AQ27" s="13" t="s">
        <v>1814</v>
      </c>
      <c r="AR27" s="13" t="s">
        <v>3230</v>
      </c>
      <c r="AS27" s="13" t="s">
        <v>3317</v>
      </c>
      <c r="AT27" s="13" t="s">
        <v>3346</v>
      </c>
      <c r="AU27" s="13"/>
      <c r="AV27" s="13" t="s">
        <v>1830</v>
      </c>
      <c r="AW27" s="13" t="s">
        <v>1830</v>
      </c>
      <c r="AX27" s="13" t="s">
        <v>1539</v>
      </c>
      <c r="AY27" s="13" t="s">
        <v>1882</v>
      </c>
      <c r="AZ27" s="13" t="s">
        <v>1635</v>
      </c>
      <c r="BA27" s="13" t="s">
        <v>1884</v>
      </c>
      <c r="BB27" s="13" t="s">
        <v>1887</v>
      </c>
      <c r="BC27" s="13" t="s">
        <v>1897</v>
      </c>
      <c r="BD27" s="13" t="s">
        <v>1728</v>
      </c>
      <c r="BE27" s="13" t="s">
        <v>1740</v>
      </c>
      <c r="BF27" s="13" t="s">
        <v>1740</v>
      </c>
      <c r="BG27" s="13" t="s">
        <v>1738</v>
      </c>
      <c r="BH27" s="13" t="s">
        <v>1566</v>
      </c>
      <c r="BI27" s="13" t="s">
        <v>1915</v>
      </c>
      <c r="BJ27" s="13" t="s">
        <v>3460</v>
      </c>
      <c r="BK27" s="13" t="s">
        <v>3351</v>
      </c>
      <c r="BL27" s="13" t="s">
        <v>1940</v>
      </c>
      <c r="BM27" s="13" t="s">
        <v>247</v>
      </c>
      <c r="BN27" s="13" t="s">
        <v>3099</v>
      </c>
      <c r="BO27" s="13" t="s">
        <v>3478</v>
      </c>
      <c r="BP27" s="13" t="s">
        <v>3479</v>
      </c>
      <c r="BQ27" s="13" t="s">
        <v>3517</v>
      </c>
      <c r="BR27" s="13" t="s">
        <v>1984</v>
      </c>
      <c r="BS27" s="13" t="s">
        <v>3479</v>
      </c>
      <c r="BT27" s="13" t="s">
        <v>1796</v>
      </c>
      <c r="BU27" s="13" t="s">
        <v>1792</v>
      </c>
      <c r="BV27" s="13" t="s">
        <v>1984</v>
      </c>
      <c r="BW27" s="13" t="s">
        <v>2013</v>
      </c>
      <c r="BX27" s="13" t="s">
        <v>1830</v>
      </c>
      <c r="BY27" s="311" t="s">
        <v>2042</v>
      </c>
    </row>
    <row r="28" spans="1:77">
      <c r="A28" s="2">
        <v>23</v>
      </c>
      <c r="B28" s="55">
        <f>INDEX(順位表[Comprehensive],MATCH($C28,順位表['#],0))</f>
        <v>17</v>
      </c>
      <c r="C28" s="3">
        <v>23</v>
      </c>
      <c r="D28" s="1" t="str">
        <f>INDEX(都市マスタ[City Name],MATCH($C28,都市マスタ['#],0))</f>
        <v>Beijing</v>
      </c>
      <c r="E28" s="13" t="s">
        <v>1540</v>
      </c>
      <c r="F28" s="13" t="s">
        <v>1540</v>
      </c>
      <c r="G28" s="13" t="s">
        <v>1914</v>
      </c>
      <c r="H28" s="13" t="s">
        <v>2854</v>
      </c>
      <c r="I28" s="13" t="s">
        <v>2788</v>
      </c>
      <c r="J28" s="13" t="s">
        <v>1618</v>
      </c>
      <c r="K28" s="13" t="s">
        <v>1566</v>
      </c>
      <c r="L28" s="13"/>
      <c r="M28" s="13" t="s">
        <v>1637</v>
      </c>
      <c r="N28" s="13" t="s">
        <v>1540</v>
      </c>
      <c r="O28" s="13" t="s">
        <v>1540</v>
      </c>
      <c r="P28" s="13" t="s">
        <v>1672</v>
      </c>
      <c r="Q28" s="13" t="s">
        <v>3019</v>
      </c>
      <c r="R28" s="13" t="s">
        <v>3035</v>
      </c>
      <c r="S28" s="13" t="s">
        <v>1720</v>
      </c>
      <c r="T28" s="13" t="s">
        <v>1914</v>
      </c>
      <c r="U28" s="13" t="s">
        <v>1724</v>
      </c>
      <c r="V28" s="13" t="s">
        <v>1726</v>
      </c>
      <c r="W28" s="13" t="s">
        <v>1728</v>
      </c>
      <c r="X28" s="13" t="s">
        <v>1726</v>
      </c>
      <c r="Y28" s="13" t="s">
        <v>1566</v>
      </c>
      <c r="Z28" s="13" t="s">
        <v>1731</v>
      </c>
      <c r="AA28" s="13" t="s">
        <v>1726</v>
      </c>
      <c r="AB28" s="13" t="s">
        <v>3077</v>
      </c>
      <c r="AC28" s="13" t="s">
        <v>3079</v>
      </c>
      <c r="AD28" s="13" t="s">
        <v>3082</v>
      </c>
      <c r="AE28" s="13" t="s">
        <v>3094</v>
      </c>
      <c r="AF28" s="13" t="s">
        <v>1738</v>
      </c>
      <c r="AG28" s="13" t="s">
        <v>1740</v>
      </c>
      <c r="AH28" s="13" t="s">
        <v>1741</v>
      </c>
      <c r="AI28" s="13" t="s">
        <v>1764</v>
      </c>
      <c r="AJ28" s="13" t="s">
        <v>3103</v>
      </c>
      <c r="AK28" s="13" t="s">
        <v>1792</v>
      </c>
      <c r="AL28" s="13" t="s">
        <v>1794</v>
      </c>
      <c r="AM28" s="13" t="s">
        <v>1796</v>
      </c>
      <c r="AN28" s="13" t="s">
        <v>1796</v>
      </c>
      <c r="AO28" s="13" t="s">
        <v>3104</v>
      </c>
      <c r="AP28" s="13" t="s">
        <v>1740</v>
      </c>
      <c r="AQ28" s="13" t="s">
        <v>1815</v>
      </c>
      <c r="AR28" s="13" t="s">
        <v>3231</v>
      </c>
      <c r="AS28" s="13" t="s">
        <v>3318</v>
      </c>
      <c r="AT28" s="13" t="s">
        <v>3346</v>
      </c>
      <c r="AU28" s="13"/>
      <c r="AV28" s="13" t="s">
        <v>1830</v>
      </c>
      <c r="AW28" s="13" t="s">
        <v>1830</v>
      </c>
      <c r="AX28" s="13" t="s">
        <v>1869</v>
      </c>
      <c r="AY28" s="13" t="s">
        <v>1882</v>
      </c>
      <c r="AZ28" s="13" t="s">
        <v>1728</v>
      </c>
      <c r="BA28" s="13" t="s">
        <v>1883</v>
      </c>
      <c r="BB28" s="13" t="s">
        <v>1723</v>
      </c>
      <c r="BC28" s="13" t="s">
        <v>1895</v>
      </c>
      <c r="BD28" s="13" t="s">
        <v>1728</v>
      </c>
      <c r="BE28" s="13" t="s">
        <v>1740</v>
      </c>
      <c r="BF28" s="13" t="s">
        <v>1740</v>
      </c>
      <c r="BG28" s="13" t="s">
        <v>3035</v>
      </c>
      <c r="BH28" s="13" t="s">
        <v>1566</v>
      </c>
      <c r="BI28" s="13" t="s">
        <v>1540</v>
      </c>
      <c r="BJ28" s="13" t="s">
        <v>3460</v>
      </c>
      <c r="BK28" s="13" t="s">
        <v>3351</v>
      </c>
      <c r="BL28" s="13" t="s">
        <v>3468</v>
      </c>
      <c r="BM28" s="13" t="s">
        <v>247</v>
      </c>
      <c r="BN28" s="13" t="s">
        <v>3099</v>
      </c>
      <c r="BO28" s="13" t="s">
        <v>3478</v>
      </c>
      <c r="BP28" s="13" t="s">
        <v>3479</v>
      </c>
      <c r="BQ28" s="13" t="s">
        <v>3518</v>
      </c>
      <c r="BR28" s="13" t="s">
        <v>1985</v>
      </c>
      <c r="BS28" s="13" t="s">
        <v>3479</v>
      </c>
      <c r="BT28" s="13" t="s">
        <v>1796</v>
      </c>
      <c r="BU28" s="13" t="s">
        <v>1792</v>
      </c>
      <c r="BV28" s="13" t="s">
        <v>1985</v>
      </c>
      <c r="BW28" s="13" t="s">
        <v>2013</v>
      </c>
      <c r="BX28" s="13" t="s">
        <v>1830</v>
      </c>
      <c r="BY28" s="311" t="s">
        <v>2043</v>
      </c>
    </row>
    <row r="29" spans="1:77">
      <c r="A29" s="2">
        <v>24</v>
      </c>
      <c r="B29" s="55">
        <f>INDEX(順位表[Comprehensive],MATCH($C29,順位表['#],0))</f>
        <v>15</v>
      </c>
      <c r="C29" s="3">
        <v>24</v>
      </c>
      <c r="D29" s="1" t="str">
        <f>INDEX(都市マスタ[City Name],MATCH($C29,都市マスタ['#],0))</f>
        <v>Shanghai</v>
      </c>
      <c r="E29" s="13" t="s">
        <v>1541</v>
      </c>
      <c r="F29" s="13" t="s">
        <v>1541</v>
      </c>
      <c r="G29" s="13" t="s">
        <v>1914</v>
      </c>
      <c r="H29" s="13" t="s">
        <v>2855</v>
      </c>
      <c r="I29" s="13" t="s">
        <v>1454</v>
      </c>
      <c r="J29" s="13" t="s">
        <v>1619</v>
      </c>
      <c r="K29" s="13" t="s">
        <v>1566</v>
      </c>
      <c r="L29" s="13"/>
      <c r="M29" s="13" t="s">
        <v>1637</v>
      </c>
      <c r="N29" s="13" t="s">
        <v>1541</v>
      </c>
      <c r="O29" s="13" t="s">
        <v>1541</v>
      </c>
      <c r="P29" s="13" t="s">
        <v>1673</v>
      </c>
      <c r="Q29" s="13" t="s">
        <v>3020</v>
      </c>
      <c r="R29" s="13" t="s">
        <v>3035</v>
      </c>
      <c r="S29" s="13" t="s">
        <v>1720</v>
      </c>
      <c r="T29" s="13" t="s">
        <v>1914</v>
      </c>
      <c r="U29" s="13" t="s">
        <v>1724</v>
      </c>
      <c r="V29" s="13" t="s">
        <v>1726</v>
      </c>
      <c r="W29" s="13" t="s">
        <v>1728</v>
      </c>
      <c r="X29" s="13" t="s">
        <v>1726</v>
      </c>
      <c r="Y29" s="13" t="s">
        <v>1566</v>
      </c>
      <c r="Z29" s="13" t="s">
        <v>1731</v>
      </c>
      <c r="AA29" s="13" t="s">
        <v>1726</v>
      </c>
      <c r="AB29" s="13" t="s">
        <v>3077</v>
      </c>
      <c r="AC29" s="13" t="s">
        <v>3079</v>
      </c>
      <c r="AD29" s="13" t="s">
        <v>3082</v>
      </c>
      <c r="AE29" s="13" t="s">
        <v>3094</v>
      </c>
      <c r="AF29" s="13" t="s">
        <v>1738</v>
      </c>
      <c r="AG29" s="13" t="s">
        <v>1740</v>
      </c>
      <c r="AH29" s="13" t="s">
        <v>1741</v>
      </c>
      <c r="AI29" s="13" t="s">
        <v>1765</v>
      </c>
      <c r="AJ29" s="13" t="s">
        <v>3103</v>
      </c>
      <c r="AK29" s="13" t="s">
        <v>1792</v>
      </c>
      <c r="AL29" s="13" t="s">
        <v>1794</v>
      </c>
      <c r="AM29" s="13" t="s">
        <v>1796</v>
      </c>
      <c r="AN29" s="13" t="s">
        <v>1796</v>
      </c>
      <c r="AO29" s="13" t="s">
        <v>3104</v>
      </c>
      <c r="AP29" s="13" t="s">
        <v>1740</v>
      </c>
      <c r="AQ29" s="13" t="s">
        <v>1816</v>
      </c>
      <c r="AR29" s="13" t="s">
        <v>3232</v>
      </c>
      <c r="AS29" s="13" t="s">
        <v>3319</v>
      </c>
      <c r="AT29" s="13" t="s">
        <v>3346</v>
      </c>
      <c r="AU29" s="13"/>
      <c r="AV29" s="13" t="s">
        <v>1830</v>
      </c>
      <c r="AW29" s="13" t="s">
        <v>1830</v>
      </c>
      <c r="AX29" s="13" t="s">
        <v>1541</v>
      </c>
      <c r="AY29" s="13" t="s">
        <v>1882</v>
      </c>
      <c r="AZ29" s="13" t="s">
        <v>1728</v>
      </c>
      <c r="BA29" s="13" t="s">
        <v>1883</v>
      </c>
      <c r="BB29" s="13" t="s">
        <v>1723</v>
      </c>
      <c r="BC29" s="13" t="s">
        <v>1895</v>
      </c>
      <c r="BD29" s="13" t="s">
        <v>1728</v>
      </c>
      <c r="BE29" s="13" t="s">
        <v>1740</v>
      </c>
      <c r="BF29" s="13" t="s">
        <v>1740</v>
      </c>
      <c r="BG29" s="13" t="s">
        <v>3035</v>
      </c>
      <c r="BH29" s="13" t="s">
        <v>1566</v>
      </c>
      <c r="BI29" s="13" t="s">
        <v>1541</v>
      </c>
      <c r="BJ29" s="13" t="s">
        <v>3460</v>
      </c>
      <c r="BK29" s="13" t="s">
        <v>3351</v>
      </c>
      <c r="BL29" s="13" t="s">
        <v>3469</v>
      </c>
      <c r="BM29" s="13" t="s">
        <v>247</v>
      </c>
      <c r="BN29" s="13" t="s">
        <v>3099</v>
      </c>
      <c r="BO29" s="13" t="s">
        <v>3478</v>
      </c>
      <c r="BP29" s="13" t="s">
        <v>3479</v>
      </c>
      <c r="BQ29" s="13" t="s">
        <v>3519</v>
      </c>
      <c r="BR29" s="13" t="s">
        <v>1986</v>
      </c>
      <c r="BS29" s="13" t="s">
        <v>3479</v>
      </c>
      <c r="BT29" s="13" t="s">
        <v>1796</v>
      </c>
      <c r="BU29" s="13" t="s">
        <v>1792</v>
      </c>
      <c r="BV29" s="13" t="s">
        <v>1986</v>
      </c>
      <c r="BW29" s="13" t="s">
        <v>2013</v>
      </c>
      <c r="BX29" s="13" t="s">
        <v>1830</v>
      </c>
      <c r="BY29" s="311" t="s">
        <v>2044</v>
      </c>
    </row>
    <row r="30" spans="1:77">
      <c r="A30" s="2">
        <v>25</v>
      </c>
      <c r="B30" s="55">
        <f>INDEX(順位表[Comprehensive],MATCH($C30,順位表['#],0))</f>
        <v>35</v>
      </c>
      <c r="C30" s="3">
        <v>25</v>
      </c>
      <c r="D30" s="1" t="str">
        <f>INDEX(都市マスタ[City Name],MATCH($C30,都市マスタ['#],0))</f>
        <v>Taipei</v>
      </c>
      <c r="E30" s="13" t="s">
        <v>1542</v>
      </c>
      <c r="F30" s="13" t="s">
        <v>1542</v>
      </c>
      <c r="G30" s="13" t="s">
        <v>2818</v>
      </c>
      <c r="H30" s="13" t="s">
        <v>1584</v>
      </c>
      <c r="I30" s="13"/>
      <c r="J30" s="13" t="s">
        <v>1620</v>
      </c>
      <c r="K30" s="13" t="s">
        <v>1566</v>
      </c>
      <c r="L30" s="13"/>
      <c r="M30" s="13" t="s">
        <v>1637</v>
      </c>
      <c r="N30" s="13" t="s">
        <v>1542</v>
      </c>
      <c r="O30" s="13" t="s">
        <v>1542</v>
      </c>
      <c r="P30" s="13" t="s">
        <v>1674</v>
      </c>
      <c r="Q30" s="13" t="s">
        <v>3021</v>
      </c>
      <c r="R30" s="13" t="s">
        <v>3035</v>
      </c>
      <c r="S30" s="13" t="s">
        <v>1720</v>
      </c>
      <c r="T30" s="13" t="s">
        <v>1914</v>
      </c>
      <c r="U30" s="13" t="s">
        <v>1724</v>
      </c>
      <c r="V30" s="13" t="s">
        <v>1726</v>
      </c>
      <c r="W30" s="13" t="s">
        <v>1728</v>
      </c>
      <c r="X30" s="13" t="s">
        <v>1726</v>
      </c>
      <c r="Y30" s="13" t="s">
        <v>1566</v>
      </c>
      <c r="Z30" s="13" t="s">
        <v>1731</v>
      </c>
      <c r="AA30" s="13" t="s">
        <v>1726</v>
      </c>
      <c r="AB30" s="13" t="s">
        <v>3077</v>
      </c>
      <c r="AC30" s="13" t="s">
        <v>3079</v>
      </c>
      <c r="AD30" s="13" t="s">
        <v>3082</v>
      </c>
      <c r="AE30" s="13" t="s">
        <v>3095</v>
      </c>
      <c r="AF30" s="13" t="s">
        <v>1738</v>
      </c>
      <c r="AG30" s="13" t="s">
        <v>1740</v>
      </c>
      <c r="AH30" s="13" t="s">
        <v>1741</v>
      </c>
      <c r="AI30" s="13" t="s">
        <v>1766</v>
      </c>
      <c r="AJ30" s="13" t="s">
        <v>3103</v>
      </c>
      <c r="AK30" s="13" t="s">
        <v>1792</v>
      </c>
      <c r="AL30" s="13" t="s">
        <v>1794</v>
      </c>
      <c r="AM30" s="13" t="s">
        <v>1796</v>
      </c>
      <c r="AN30" s="13" t="s">
        <v>1796</v>
      </c>
      <c r="AO30" s="13" t="s">
        <v>3104</v>
      </c>
      <c r="AP30" s="13" t="s">
        <v>1740</v>
      </c>
      <c r="AQ30" s="13" t="s">
        <v>1817</v>
      </c>
      <c r="AR30" s="13" t="s">
        <v>3233</v>
      </c>
      <c r="AS30" s="13" t="s">
        <v>3320</v>
      </c>
      <c r="AT30" s="13" t="s">
        <v>3346</v>
      </c>
      <c r="AU30" s="13"/>
      <c r="AV30" s="13" t="s">
        <v>1830</v>
      </c>
      <c r="AW30" s="13" t="s">
        <v>1830</v>
      </c>
      <c r="AX30" s="13" t="s">
        <v>1542</v>
      </c>
      <c r="AY30" s="13" t="s">
        <v>1882</v>
      </c>
      <c r="AZ30" s="13" t="s">
        <v>1837</v>
      </c>
      <c r="BA30" s="13" t="s">
        <v>1885</v>
      </c>
      <c r="BB30" s="13" t="s">
        <v>1888</v>
      </c>
      <c r="BC30" s="13" t="s">
        <v>1898</v>
      </c>
      <c r="BD30" s="13" t="s">
        <v>1728</v>
      </c>
      <c r="BE30" s="13" t="s">
        <v>1740</v>
      </c>
      <c r="BF30" s="13" t="s">
        <v>1740</v>
      </c>
      <c r="BG30" s="13" t="s">
        <v>1920</v>
      </c>
      <c r="BH30" s="13" t="s">
        <v>1566</v>
      </c>
      <c r="BI30" s="13" t="s">
        <v>1584</v>
      </c>
      <c r="BJ30" s="13" t="s">
        <v>3460</v>
      </c>
      <c r="BK30" s="13" t="s">
        <v>3351</v>
      </c>
      <c r="BL30" s="13" t="s">
        <v>3470</v>
      </c>
      <c r="BM30" s="13" t="s">
        <v>247</v>
      </c>
      <c r="BN30" s="13" t="s">
        <v>3099</v>
      </c>
      <c r="BO30" s="13" t="s">
        <v>3478</v>
      </c>
      <c r="BP30" s="13" t="s">
        <v>3479</v>
      </c>
      <c r="BQ30" s="13" t="s">
        <v>3520</v>
      </c>
      <c r="BR30" s="13" t="s">
        <v>1987</v>
      </c>
      <c r="BS30" s="13" t="s">
        <v>3479</v>
      </c>
      <c r="BT30" s="13" t="s">
        <v>1796</v>
      </c>
      <c r="BU30" s="13" t="s">
        <v>1792</v>
      </c>
      <c r="BV30" s="13" t="s">
        <v>1987</v>
      </c>
      <c r="BW30" s="13" t="s">
        <v>2013</v>
      </c>
      <c r="BX30" s="13" t="s">
        <v>1830</v>
      </c>
      <c r="BY30" s="311" t="s">
        <v>2045</v>
      </c>
    </row>
    <row r="31" spans="1:77">
      <c r="A31" s="2">
        <v>26</v>
      </c>
      <c r="B31" s="55">
        <f>INDEX(順位表[Comprehensive],MATCH($C31,順位表['#],0))</f>
        <v>7</v>
      </c>
      <c r="C31" s="3">
        <v>26</v>
      </c>
      <c r="D31" s="1" t="str">
        <f>INDEX(都市マスタ[City Name],MATCH($C31,都市マスタ['#],0))</f>
        <v>Seoul</v>
      </c>
      <c r="E31" s="13" t="s">
        <v>1543</v>
      </c>
      <c r="F31" s="13" t="s">
        <v>1543</v>
      </c>
      <c r="G31" s="13" t="s">
        <v>1914</v>
      </c>
      <c r="H31" s="13" t="s">
        <v>1585</v>
      </c>
      <c r="I31" s="13"/>
      <c r="J31" s="13" t="s">
        <v>2901</v>
      </c>
      <c r="K31" s="13" t="s">
        <v>1566</v>
      </c>
      <c r="L31" s="13"/>
      <c r="M31" s="13" t="s">
        <v>1637</v>
      </c>
      <c r="N31" s="13" t="s">
        <v>1585</v>
      </c>
      <c r="O31" s="13" t="s">
        <v>1585</v>
      </c>
      <c r="P31" s="13" t="s">
        <v>1696</v>
      </c>
      <c r="Q31" s="13" t="s">
        <v>3022</v>
      </c>
      <c r="R31" s="13" t="s">
        <v>3035</v>
      </c>
      <c r="S31" s="13" t="s">
        <v>1720</v>
      </c>
      <c r="T31" s="13" t="s">
        <v>1914</v>
      </c>
      <c r="U31" s="13" t="s">
        <v>1724</v>
      </c>
      <c r="V31" s="13" t="s">
        <v>1726</v>
      </c>
      <c r="W31" s="13" t="s">
        <v>1728</v>
      </c>
      <c r="X31" s="13" t="s">
        <v>1726</v>
      </c>
      <c r="Y31" s="13" t="s">
        <v>1566</v>
      </c>
      <c r="Z31" s="13" t="s">
        <v>1731</v>
      </c>
      <c r="AA31" s="13" t="s">
        <v>1726</v>
      </c>
      <c r="AB31" s="13" t="s">
        <v>3077</v>
      </c>
      <c r="AC31" s="13" t="s">
        <v>3079</v>
      </c>
      <c r="AD31" s="13" t="s">
        <v>3082</v>
      </c>
      <c r="AE31" s="13" t="s">
        <v>3092</v>
      </c>
      <c r="AF31" s="13" t="s">
        <v>1738</v>
      </c>
      <c r="AG31" s="13" t="s">
        <v>1740</v>
      </c>
      <c r="AH31" s="13" t="s">
        <v>1741</v>
      </c>
      <c r="AI31" s="13" t="s">
        <v>1767</v>
      </c>
      <c r="AJ31" s="13" t="s">
        <v>3103</v>
      </c>
      <c r="AK31" s="13" t="s">
        <v>1792</v>
      </c>
      <c r="AL31" s="13" t="s">
        <v>1794</v>
      </c>
      <c r="AM31" s="13" t="s">
        <v>1796</v>
      </c>
      <c r="AN31" s="13" t="s">
        <v>1796</v>
      </c>
      <c r="AO31" s="13" t="s">
        <v>3104</v>
      </c>
      <c r="AP31" s="13" t="s">
        <v>1740</v>
      </c>
      <c r="AQ31" s="13" t="s">
        <v>1818</v>
      </c>
      <c r="AR31" s="13" t="s">
        <v>3234</v>
      </c>
      <c r="AS31" s="13" t="s">
        <v>3321</v>
      </c>
      <c r="AT31" s="13" t="s">
        <v>3346</v>
      </c>
      <c r="AU31" s="13"/>
      <c r="AV31" s="13" t="s">
        <v>1830</v>
      </c>
      <c r="AW31" s="13" t="s">
        <v>1830</v>
      </c>
      <c r="AX31" s="13" t="s">
        <v>1543</v>
      </c>
      <c r="AY31" s="13" t="s">
        <v>1882</v>
      </c>
      <c r="AZ31" s="13" t="s">
        <v>1728</v>
      </c>
      <c r="BA31" s="13" t="s">
        <v>1883</v>
      </c>
      <c r="BB31" s="13" t="s">
        <v>1723</v>
      </c>
      <c r="BC31" s="13" t="s">
        <v>1895</v>
      </c>
      <c r="BD31" s="13" t="s">
        <v>1728</v>
      </c>
      <c r="BE31" s="13" t="s">
        <v>1740</v>
      </c>
      <c r="BF31" s="13" t="s">
        <v>1740</v>
      </c>
      <c r="BG31" s="13" t="s">
        <v>3035</v>
      </c>
      <c r="BH31" s="13" t="s">
        <v>1566</v>
      </c>
      <c r="BI31" s="13" t="s">
        <v>1914</v>
      </c>
      <c r="BJ31" s="13" t="s">
        <v>1585</v>
      </c>
      <c r="BK31" s="13" t="s">
        <v>3351</v>
      </c>
      <c r="BL31" s="13" t="s">
        <v>1941</v>
      </c>
      <c r="BM31" s="13" t="s">
        <v>247</v>
      </c>
      <c r="BN31" s="13" t="s">
        <v>3099</v>
      </c>
      <c r="BO31" s="13" t="s">
        <v>3478</v>
      </c>
      <c r="BP31" s="13" t="s">
        <v>3479</v>
      </c>
      <c r="BQ31" s="13" t="s">
        <v>3521</v>
      </c>
      <c r="BR31" s="13" t="s">
        <v>1988</v>
      </c>
      <c r="BS31" s="13" t="s">
        <v>3479</v>
      </c>
      <c r="BT31" s="13" t="s">
        <v>1796</v>
      </c>
      <c r="BU31" s="13" t="s">
        <v>1792</v>
      </c>
      <c r="BV31" s="13" t="s">
        <v>1988</v>
      </c>
      <c r="BW31" s="13" t="s">
        <v>2013</v>
      </c>
      <c r="BX31" s="13" t="s">
        <v>2019</v>
      </c>
      <c r="BY31" s="311" t="s">
        <v>2046</v>
      </c>
    </row>
    <row r="32" spans="1:77">
      <c r="A32" s="2">
        <v>27</v>
      </c>
      <c r="B32" s="55">
        <f>INDEX(順位表[Comprehensive],MATCH($C32,順位表['#],0))</f>
        <v>42</v>
      </c>
      <c r="C32" s="3">
        <v>27</v>
      </c>
      <c r="D32" s="1" t="str">
        <f>INDEX(都市マスタ[City Name],MATCH($C32,都市マスタ['#],0))</f>
        <v>Fukuoka</v>
      </c>
      <c r="E32" s="13" t="s">
        <v>1544</v>
      </c>
      <c r="F32" s="13" t="s">
        <v>1544</v>
      </c>
      <c r="G32" s="13" t="s">
        <v>1914</v>
      </c>
      <c r="H32" s="13" t="s">
        <v>1544</v>
      </c>
      <c r="I32" s="13"/>
      <c r="J32" s="13" t="s">
        <v>1621</v>
      </c>
      <c r="K32" s="13" t="s">
        <v>1566</v>
      </c>
      <c r="L32" s="13"/>
      <c r="M32" s="13" t="s">
        <v>1637</v>
      </c>
      <c r="N32" s="13" t="s">
        <v>1544</v>
      </c>
      <c r="O32" s="13" t="s">
        <v>1544</v>
      </c>
      <c r="P32" s="13" t="s">
        <v>1697</v>
      </c>
      <c r="Q32" s="13" t="s">
        <v>3023</v>
      </c>
      <c r="R32" s="13" t="s">
        <v>3035</v>
      </c>
      <c r="S32" s="13" t="s">
        <v>1720</v>
      </c>
      <c r="T32" s="13" t="s">
        <v>1914</v>
      </c>
      <c r="U32" s="13" t="s">
        <v>1724</v>
      </c>
      <c r="V32" s="13" t="s">
        <v>1726</v>
      </c>
      <c r="W32" s="13" t="s">
        <v>1728</v>
      </c>
      <c r="X32" s="13" t="s">
        <v>1726</v>
      </c>
      <c r="Y32" s="13" t="s">
        <v>1566</v>
      </c>
      <c r="Z32" s="13" t="s">
        <v>1731</v>
      </c>
      <c r="AA32" s="13" t="s">
        <v>1726</v>
      </c>
      <c r="AB32" s="13" t="s">
        <v>3077</v>
      </c>
      <c r="AC32" s="13" t="s">
        <v>3079</v>
      </c>
      <c r="AD32" s="13" t="s">
        <v>3082</v>
      </c>
      <c r="AE32" s="13" t="s">
        <v>3092</v>
      </c>
      <c r="AF32" s="13" t="s">
        <v>1738</v>
      </c>
      <c r="AG32" s="13" t="s">
        <v>1740</v>
      </c>
      <c r="AH32" s="13" t="s">
        <v>1741</v>
      </c>
      <c r="AI32" s="13" t="s">
        <v>1768</v>
      </c>
      <c r="AJ32" s="13" t="s">
        <v>3103</v>
      </c>
      <c r="AK32" s="13" t="s">
        <v>1792</v>
      </c>
      <c r="AL32" s="13" t="s">
        <v>1794</v>
      </c>
      <c r="AM32" s="13" t="s">
        <v>1796</v>
      </c>
      <c r="AN32" s="13" t="s">
        <v>1796</v>
      </c>
      <c r="AO32" s="13" t="s">
        <v>3104</v>
      </c>
      <c r="AP32" s="13" t="s">
        <v>1740</v>
      </c>
      <c r="AQ32" s="13" t="s">
        <v>3148</v>
      </c>
      <c r="AR32" s="13" t="s">
        <v>3235</v>
      </c>
      <c r="AS32" s="13" t="s">
        <v>3322</v>
      </c>
      <c r="AT32" s="13" t="s">
        <v>3346</v>
      </c>
      <c r="AU32" s="13"/>
      <c r="AV32" s="13" t="s">
        <v>1832</v>
      </c>
      <c r="AW32" s="13" t="s">
        <v>1838</v>
      </c>
      <c r="AX32" s="13" t="s">
        <v>1544</v>
      </c>
      <c r="AY32" s="13" t="s">
        <v>1882</v>
      </c>
      <c r="AZ32" s="13" t="s">
        <v>1728</v>
      </c>
      <c r="BA32" s="13" t="s">
        <v>1883</v>
      </c>
      <c r="BB32" s="13" t="s">
        <v>1723</v>
      </c>
      <c r="BC32" s="13" t="s">
        <v>1895</v>
      </c>
      <c r="BD32" s="13" t="s">
        <v>1728</v>
      </c>
      <c r="BE32" s="13" t="s">
        <v>1740</v>
      </c>
      <c r="BF32" s="13" t="s">
        <v>1740</v>
      </c>
      <c r="BG32" s="13" t="s">
        <v>3436</v>
      </c>
      <c r="BH32" s="13" t="s">
        <v>1566</v>
      </c>
      <c r="BI32" s="13" t="s">
        <v>1914</v>
      </c>
      <c r="BJ32" s="13" t="s">
        <v>3460</v>
      </c>
      <c r="BK32" s="13" t="s">
        <v>3351</v>
      </c>
      <c r="BL32" s="13" t="s">
        <v>3471</v>
      </c>
      <c r="BM32" s="13" t="s">
        <v>247</v>
      </c>
      <c r="BN32" s="13" t="s">
        <v>3099</v>
      </c>
      <c r="BO32" s="13" t="s">
        <v>3478</v>
      </c>
      <c r="BP32" s="13" t="s">
        <v>3479</v>
      </c>
      <c r="BQ32" s="13" t="s">
        <v>3522</v>
      </c>
      <c r="BR32" s="13" t="s">
        <v>1989</v>
      </c>
      <c r="BS32" s="13" t="s">
        <v>3479</v>
      </c>
      <c r="BT32" s="13" t="s">
        <v>1796</v>
      </c>
      <c r="BU32" s="13" t="s">
        <v>3547</v>
      </c>
      <c r="BV32" s="13" t="s">
        <v>1989</v>
      </c>
      <c r="BW32" s="13" t="s">
        <v>2014</v>
      </c>
      <c r="BX32" s="13" t="s">
        <v>1675</v>
      </c>
      <c r="BY32" s="311" t="s">
        <v>3563</v>
      </c>
    </row>
    <row r="33" spans="1:77">
      <c r="A33" s="2">
        <v>28</v>
      </c>
      <c r="B33" s="55">
        <f>INDEX(順位表[Comprehensive],MATCH($C33,順位表['#],0))</f>
        <v>37</v>
      </c>
      <c r="C33" s="3">
        <v>28</v>
      </c>
      <c r="D33" s="1" t="str">
        <f>INDEX(都市マスタ[City Name],MATCH($C33,都市マスタ['#],0))</f>
        <v>Osaka</v>
      </c>
      <c r="E33" s="13" t="s">
        <v>1545</v>
      </c>
      <c r="F33" s="13" t="s">
        <v>1545</v>
      </c>
      <c r="G33" s="13" t="s">
        <v>1914</v>
      </c>
      <c r="H33" s="13" t="s">
        <v>1545</v>
      </c>
      <c r="I33" s="13"/>
      <c r="J33" s="13" t="s">
        <v>1622</v>
      </c>
      <c r="K33" s="13" t="s">
        <v>1566</v>
      </c>
      <c r="L33" s="13"/>
      <c r="M33" s="13" t="s">
        <v>1637</v>
      </c>
      <c r="N33" s="13" t="s">
        <v>1545</v>
      </c>
      <c r="O33" s="13" t="s">
        <v>1545</v>
      </c>
      <c r="P33" s="13" t="s">
        <v>1698</v>
      </c>
      <c r="Q33" s="13" t="s">
        <v>3023</v>
      </c>
      <c r="R33" s="13" t="s">
        <v>3035</v>
      </c>
      <c r="S33" s="13" t="s">
        <v>1720</v>
      </c>
      <c r="T33" s="13" t="s">
        <v>1914</v>
      </c>
      <c r="U33" s="13" t="s">
        <v>1724</v>
      </c>
      <c r="V33" s="13" t="s">
        <v>1726</v>
      </c>
      <c r="W33" s="13" t="s">
        <v>1728</v>
      </c>
      <c r="X33" s="13" t="s">
        <v>1726</v>
      </c>
      <c r="Y33" s="13" t="s">
        <v>1566</v>
      </c>
      <c r="Z33" s="13" t="s">
        <v>1731</v>
      </c>
      <c r="AA33" s="13" t="s">
        <v>1726</v>
      </c>
      <c r="AB33" s="13" t="s">
        <v>3077</v>
      </c>
      <c r="AC33" s="13" t="s">
        <v>3079</v>
      </c>
      <c r="AD33" s="13" t="s">
        <v>3082</v>
      </c>
      <c r="AE33" s="13" t="s">
        <v>3092</v>
      </c>
      <c r="AF33" s="13" t="s">
        <v>1738</v>
      </c>
      <c r="AG33" s="13" t="s">
        <v>1740</v>
      </c>
      <c r="AH33" s="13" t="s">
        <v>1741</v>
      </c>
      <c r="AI33" s="13" t="s">
        <v>1769</v>
      </c>
      <c r="AJ33" s="13" t="s">
        <v>3103</v>
      </c>
      <c r="AK33" s="13" t="s">
        <v>1792</v>
      </c>
      <c r="AL33" s="13" t="s">
        <v>1794</v>
      </c>
      <c r="AM33" s="13" t="s">
        <v>1796</v>
      </c>
      <c r="AN33" s="13" t="s">
        <v>1796</v>
      </c>
      <c r="AO33" s="13" t="s">
        <v>3104</v>
      </c>
      <c r="AP33" s="13" t="s">
        <v>1740</v>
      </c>
      <c r="AQ33" s="13" t="s">
        <v>1819</v>
      </c>
      <c r="AR33" s="13" t="s">
        <v>3236</v>
      </c>
      <c r="AS33" s="13" t="s">
        <v>3323</v>
      </c>
      <c r="AT33" s="13" t="s">
        <v>3346</v>
      </c>
      <c r="AU33" s="13"/>
      <c r="AV33" s="13" t="s">
        <v>3352</v>
      </c>
      <c r="AW33" s="13" t="s">
        <v>1838</v>
      </c>
      <c r="AX33" s="13" t="s">
        <v>1545</v>
      </c>
      <c r="AY33" s="13" t="s">
        <v>1882</v>
      </c>
      <c r="AZ33" s="13" t="s">
        <v>1728</v>
      </c>
      <c r="BA33" s="13" t="s">
        <v>1883</v>
      </c>
      <c r="BB33" s="13" t="s">
        <v>1723</v>
      </c>
      <c r="BC33" s="13" t="s">
        <v>1895</v>
      </c>
      <c r="BD33" s="13" t="s">
        <v>1728</v>
      </c>
      <c r="BE33" s="13" t="s">
        <v>1740</v>
      </c>
      <c r="BF33" s="13" t="s">
        <v>1740</v>
      </c>
      <c r="BG33" s="13" t="s">
        <v>3437</v>
      </c>
      <c r="BH33" s="13" t="s">
        <v>1566</v>
      </c>
      <c r="BI33" s="13" t="s">
        <v>1914</v>
      </c>
      <c r="BJ33" s="13" t="s">
        <v>3460</v>
      </c>
      <c r="BK33" s="13" t="s">
        <v>3351</v>
      </c>
      <c r="BL33" s="13" t="s">
        <v>3472</v>
      </c>
      <c r="BM33" s="13" t="s">
        <v>247</v>
      </c>
      <c r="BN33" s="13" t="s">
        <v>3099</v>
      </c>
      <c r="BO33" s="13" t="s">
        <v>3478</v>
      </c>
      <c r="BP33" s="13" t="s">
        <v>3479</v>
      </c>
      <c r="BQ33" s="13" t="s">
        <v>3523</v>
      </c>
      <c r="BR33" s="13" t="s">
        <v>1990</v>
      </c>
      <c r="BS33" s="13" t="s">
        <v>3479</v>
      </c>
      <c r="BT33" s="13" t="s">
        <v>1796</v>
      </c>
      <c r="BU33" s="13" t="s">
        <v>3547</v>
      </c>
      <c r="BV33" s="13" t="s">
        <v>1990</v>
      </c>
      <c r="BW33" s="13" t="s">
        <v>2015</v>
      </c>
      <c r="BX33" s="13" t="s">
        <v>1830</v>
      </c>
      <c r="BY33" s="311" t="s">
        <v>3564</v>
      </c>
    </row>
    <row r="34" spans="1:77">
      <c r="A34" s="2">
        <v>29</v>
      </c>
      <c r="B34" s="55">
        <f>INDEX(順位表[Comprehensive],MATCH($C34,順位表['#],0))</f>
        <v>3</v>
      </c>
      <c r="C34" s="3">
        <v>29</v>
      </c>
      <c r="D34" s="1" t="str">
        <f>INDEX(都市マスタ[City Name],MATCH($C34,都市マスタ['#],0))</f>
        <v>Tokyo</v>
      </c>
      <c r="E34" s="13" t="s">
        <v>1546</v>
      </c>
      <c r="F34" s="13" t="s">
        <v>1546</v>
      </c>
      <c r="G34" s="13" t="s">
        <v>1914</v>
      </c>
      <c r="H34" s="13" t="s">
        <v>1586</v>
      </c>
      <c r="I34" s="13"/>
      <c r="J34" s="13" t="s">
        <v>1623</v>
      </c>
      <c r="K34" s="13" t="s">
        <v>1566</v>
      </c>
      <c r="L34" s="13"/>
      <c r="M34" s="13" t="s">
        <v>1637</v>
      </c>
      <c r="N34" s="13" t="s">
        <v>1654</v>
      </c>
      <c r="O34" s="13" t="s">
        <v>1654</v>
      </c>
      <c r="P34" s="13" t="s">
        <v>1699</v>
      </c>
      <c r="Q34" s="13" t="s">
        <v>3024</v>
      </c>
      <c r="R34" s="13" t="s">
        <v>3035</v>
      </c>
      <c r="S34" s="13" t="s">
        <v>1720</v>
      </c>
      <c r="T34" s="13" t="s">
        <v>1914</v>
      </c>
      <c r="U34" s="13" t="s">
        <v>1724</v>
      </c>
      <c r="V34" s="13" t="s">
        <v>1726</v>
      </c>
      <c r="W34" s="13" t="s">
        <v>1728</v>
      </c>
      <c r="X34" s="13" t="s">
        <v>1726</v>
      </c>
      <c r="Y34" s="13" t="s">
        <v>1566</v>
      </c>
      <c r="Z34" s="13" t="s">
        <v>1731</v>
      </c>
      <c r="AA34" s="13" t="s">
        <v>1726</v>
      </c>
      <c r="AB34" s="13" t="s">
        <v>3077</v>
      </c>
      <c r="AC34" s="13" t="s">
        <v>3079</v>
      </c>
      <c r="AD34" s="13" t="s">
        <v>3082</v>
      </c>
      <c r="AE34" s="13" t="s">
        <v>3092</v>
      </c>
      <c r="AF34" s="13" t="s">
        <v>1738</v>
      </c>
      <c r="AG34" s="13" t="s">
        <v>1740</v>
      </c>
      <c r="AH34" s="13" t="s">
        <v>1741</v>
      </c>
      <c r="AI34" s="13" t="s">
        <v>1770</v>
      </c>
      <c r="AJ34" s="13" t="s">
        <v>3103</v>
      </c>
      <c r="AK34" s="13" t="s">
        <v>1792</v>
      </c>
      <c r="AL34" s="13" t="s">
        <v>1794</v>
      </c>
      <c r="AM34" s="13" t="s">
        <v>1796</v>
      </c>
      <c r="AN34" s="13" t="s">
        <v>1796</v>
      </c>
      <c r="AO34" s="13" t="s">
        <v>3104</v>
      </c>
      <c r="AP34" s="13" t="s">
        <v>1740</v>
      </c>
      <c r="AQ34" s="13" t="s">
        <v>3149</v>
      </c>
      <c r="AR34" s="13" t="s">
        <v>3237</v>
      </c>
      <c r="AS34" s="13" t="s">
        <v>3324</v>
      </c>
      <c r="AT34" s="13" t="s">
        <v>3346</v>
      </c>
      <c r="AU34" s="13"/>
      <c r="AV34" s="13" t="s">
        <v>1830</v>
      </c>
      <c r="AW34" s="13" t="s">
        <v>1830</v>
      </c>
      <c r="AX34" s="13" t="s">
        <v>1546</v>
      </c>
      <c r="AY34" s="13" t="s">
        <v>1882</v>
      </c>
      <c r="AZ34" s="13" t="s">
        <v>1728</v>
      </c>
      <c r="BA34" s="13" t="s">
        <v>1883</v>
      </c>
      <c r="BB34" s="13" t="s">
        <v>1723</v>
      </c>
      <c r="BC34" s="13" t="s">
        <v>1895</v>
      </c>
      <c r="BD34" s="13" t="s">
        <v>1728</v>
      </c>
      <c r="BE34" s="13" t="s">
        <v>1740</v>
      </c>
      <c r="BF34" s="13" t="s">
        <v>1740</v>
      </c>
      <c r="BG34" s="13" t="s">
        <v>1738</v>
      </c>
      <c r="BH34" s="13" t="s">
        <v>1566</v>
      </c>
      <c r="BI34" s="13" t="s">
        <v>1916</v>
      </c>
      <c r="BJ34" s="13" t="s">
        <v>1916</v>
      </c>
      <c r="BK34" s="13" t="s">
        <v>3351</v>
      </c>
      <c r="BL34" s="13" t="s">
        <v>3473</v>
      </c>
      <c r="BM34" s="13" t="s">
        <v>247</v>
      </c>
      <c r="BN34" s="13" t="s">
        <v>3099</v>
      </c>
      <c r="BO34" s="13" t="s">
        <v>3478</v>
      </c>
      <c r="BP34" s="13" t="s">
        <v>3479</v>
      </c>
      <c r="BQ34" s="13" t="s">
        <v>3524</v>
      </c>
      <c r="BR34" s="13" t="s">
        <v>1991</v>
      </c>
      <c r="BS34" s="13" t="s">
        <v>3479</v>
      </c>
      <c r="BT34" s="13" t="s">
        <v>1796</v>
      </c>
      <c r="BU34" s="13" t="s">
        <v>1792</v>
      </c>
      <c r="BV34" s="13" t="s">
        <v>1991</v>
      </c>
      <c r="BW34" s="13" t="s">
        <v>2013</v>
      </c>
      <c r="BX34" s="13" t="s">
        <v>1830</v>
      </c>
      <c r="BY34" s="311" t="s">
        <v>2047</v>
      </c>
    </row>
    <row r="35" spans="1:77">
      <c r="A35" s="2">
        <v>30</v>
      </c>
      <c r="B35" s="55">
        <f>INDEX(順位表[Comprehensive],MATCH($C35,順位表['#],0))</f>
        <v>12</v>
      </c>
      <c r="C35" s="3">
        <v>30</v>
      </c>
      <c r="D35" s="1" t="str">
        <f>INDEX(都市マスタ[City Name],MATCH($C35,都市マスタ['#],0))</f>
        <v>Sydney</v>
      </c>
      <c r="E35" s="13" t="s">
        <v>1547</v>
      </c>
      <c r="F35" s="13" t="s">
        <v>1547</v>
      </c>
      <c r="G35" s="13" t="s">
        <v>1914</v>
      </c>
      <c r="H35" s="13" t="s">
        <v>1587</v>
      </c>
      <c r="I35" s="13"/>
      <c r="J35" s="13" t="s">
        <v>2902</v>
      </c>
      <c r="K35" s="13" t="s">
        <v>1566</v>
      </c>
      <c r="L35" s="13"/>
      <c r="M35" s="13" t="s">
        <v>1637</v>
      </c>
      <c r="N35" s="13" t="s">
        <v>1547</v>
      </c>
      <c r="O35" s="13" t="s">
        <v>1547</v>
      </c>
      <c r="P35" s="13" t="s">
        <v>1700</v>
      </c>
      <c r="Q35" s="13" t="s">
        <v>3000</v>
      </c>
      <c r="R35" s="13" t="s">
        <v>3035</v>
      </c>
      <c r="S35" s="13" t="s">
        <v>1720</v>
      </c>
      <c r="T35" s="13" t="s">
        <v>1914</v>
      </c>
      <c r="U35" s="13" t="s">
        <v>3054</v>
      </c>
      <c r="V35" s="13" t="s">
        <v>1726</v>
      </c>
      <c r="W35" s="13" t="s">
        <v>1728</v>
      </c>
      <c r="X35" s="13" t="s">
        <v>1726</v>
      </c>
      <c r="Y35" s="13" t="s">
        <v>1566</v>
      </c>
      <c r="Z35" s="13" t="s">
        <v>1731</v>
      </c>
      <c r="AA35" s="13" t="s">
        <v>1726</v>
      </c>
      <c r="AB35" s="13" t="s">
        <v>3077</v>
      </c>
      <c r="AC35" s="13" t="s">
        <v>3079</v>
      </c>
      <c r="AD35" s="13" t="s">
        <v>3082</v>
      </c>
      <c r="AE35" s="13" t="s">
        <v>3092</v>
      </c>
      <c r="AF35" s="13" t="s">
        <v>1738</v>
      </c>
      <c r="AG35" s="13" t="s">
        <v>1740</v>
      </c>
      <c r="AH35" s="13" t="s">
        <v>1741</v>
      </c>
      <c r="AI35" s="13" t="s">
        <v>1771</v>
      </c>
      <c r="AJ35" s="13" t="s">
        <v>3103</v>
      </c>
      <c r="AK35" s="13" t="s">
        <v>1792</v>
      </c>
      <c r="AL35" s="13" t="s">
        <v>1794</v>
      </c>
      <c r="AM35" s="13" t="s">
        <v>1796</v>
      </c>
      <c r="AN35" s="13" t="s">
        <v>1796</v>
      </c>
      <c r="AO35" s="13" t="s">
        <v>3104</v>
      </c>
      <c r="AP35" s="13" t="s">
        <v>1740</v>
      </c>
      <c r="AQ35" s="13" t="s">
        <v>3150</v>
      </c>
      <c r="AR35" s="13" t="s">
        <v>3238</v>
      </c>
      <c r="AS35" s="13" t="s">
        <v>3325</v>
      </c>
      <c r="AT35" s="13" t="s">
        <v>3346</v>
      </c>
      <c r="AU35" s="13"/>
      <c r="AV35" s="13" t="s">
        <v>1830</v>
      </c>
      <c r="AW35" s="13" t="s">
        <v>1830</v>
      </c>
      <c r="AX35" s="13" t="s">
        <v>1547</v>
      </c>
      <c r="AY35" s="13" t="s">
        <v>1882</v>
      </c>
      <c r="AZ35" s="13" t="s">
        <v>1728</v>
      </c>
      <c r="BA35" s="13" t="s">
        <v>1883</v>
      </c>
      <c r="BB35" s="13" t="s">
        <v>1723</v>
      </c>
      <c r="BC35" s="13" t="s">
        <v>1895</v>
      </c>
      <c r="BD35" s="13" t="s">
        <v>1728</v>
      </c>
      <c r="BE35" s="13" t="s">
        <v>1740</v>
      </c>
      <c r="BF35" s="13" t="s">
        <v>1740</v>
      </c>
      <c r="BG35" s="13" t="s">
        <v>1738</v>
      </c>
      <c r="BH35" s="13" t="s">
        <v>1566</v>
      </c>
      <c r="BI35" s="13" t="s">
        <v>1914</v>
      </c>
      <c r="BJ35" s="13" t="s">
        <v>3460</v>
      </c>
      <c r="BK35" s="13" t="s">
        <v>3351</v>
      </c>
      <c r="BL35" s="13" t="s">
        <v>1942</v>
      </c>
      <c r="BM35" s="13" t="s">
        <v>247</v>
      </c>
      <c r="BN35" s="13" t="s">
        <v>3099</v>
      </c>
      <c r="BO35" s="13" t="s">
        <v>3478</v>
      </c>
      <c r="BP35" s="13" t="s">
        <v>3479</v>
      </c>
      <c r="BQ35" s="13" t="s">
        <v>3525</v>
      </c>
      <c r="BR35" s="13" t="s">
        <v>1992</v>
      </c>
      <c r="BS35" s="13" t="s">
        <v>3479</v>
      </c>
      <c r="BT35" s="13" t="s">
        <v>1796</v>
      </c>
      <c r="BU35" s="13" t="s">
        <v>1792</v>
      </c>
      <c r="BV35" s="13" t="s">
        <v>1992</v>
      </c>
      <c r="BW35" s="13" t="s">
        <v>2013</v>
      </c>
      <c r="BX35" s="13" t="s">
        <v>1830</v>
      </c>
      <c r="BY35" s="311" t="s">
        <v>2048</v>
      </c>
    </row>
    <row r="36" spans="1:77">
      <c r="A36" s="2">
        <v>31</v>
      </c>
      <c r="B36" s="55">
        <f>INDEX(順位表[Comprehensive],MATCH($C36,順位表['#],0))</f>
        <v>32</v>
      </c>
      <c r="C36" s="3">
        <v>31</v>
      </c>
      <c r="D36" s="1" t="str">
        <f>INDEX(都市マスタ[City Name],MATCH($C36,都市マスタ['#],0))</f>
        <v>Vancouver</v>
      </c>
      <c r="E36" s="13" t="s">
        <v>1548</v>
      </c>
      <c r="F36" s="13" t="s">
        <v>1548</v>
      </c>
      <c r="G36" s="13" t="s">
        <v>1914</v>
      </c>
      <c r="H36" s="13" t="s">
        <v>2856</v>
      </c>
      <c r="I36" s="13"/>
      <c r="J36" s="13" t="s">
        <v>2903</v>
      </c>
      <c r="K36" s="13" t="s">
        <v>1566</v>
      </c>
      <c r="L36" s="13"/>
      <c r="M36" s="13" t="s">
        <v>1637</v>
      </c>
      <c r="N36" s="13" t="s">
        <v>1548</v>
      </c>
      <c r="O36" s="13" t="s">
        <v>1548</v>
      </c>
      <c r="P36" s="13" t="s">
        <v>1701</v>
      </c>
      <c r="Q36" s="13" t="s">
        <v>3000</v>
      </c>
      <c r="R36" s="13" t="s">
        <v>3035</v>
      </c>
      <c r="S36" s="13" t="s">
        <v>1720</v>
      </c>
      <c r="T36" s="13" t="s">
        <v>1914</v>
      </c>
      <c r="U36" s="13" t="s">
        <v>1724</v>
      </c>
      <c r="V36" s="13" t="s">
        <v>1726</v>
      </c>
      <c r="W36" s="13" t="s">
        <v>1728</v>
      </c>
      <c r="X36" s="13" t="s">
        <v>1726</v>
      </c>
      <c r="Y36" s="13" t="s">
        <v>1566</v>
      </c>
      <c r="Z36" s="13" t="s">
        <v>1731</v>
      </c>
      <c r="AA36" s="13" t="s">
        <v>1726</v>
      </c>
      <c r="AB36" s="13" t="s">
        <v>3077</v>
      </c>
      <c r="AC36" s="13" t="s">
        <v>3079</v>
      </c>
      <c r="AD36" s="13" t="s">
        <v>3082</v>
      </c>
      <c r="AE36" s="13" t="s">
        <v>3092</v>
      </c>
      <c r="AF36" s="13" t="s">
        <v>1738</v>
      </c>
      <c r="AG36" s="13" t="s">
        <v>1740</v>
      </c>
      <c r="AH36" s="13" t="s">
        <v>1741</v>
      </c>
      <c r="AI36" s="13" t="s">
        <v>1772</v>
      </c>
      <c r="AJ36" s="13" t="s">
        <v>3103</v>
      </c>
      <c r="AK36" s="13" t="s">
        <v>1792</v>
      </c>
      <c r="AL36" s="13" t="s">
        <v>1794</v>
      </c>
      <c r="AM36" s="13" t="s">
        <v>1796</v>
      </c>
      <c r="AN36" s="13" t="s">
        <v>1796</v>
      </c>
      <c r="AO36" s="13" t="s">
        <v>3104</v>
      </c>
      <c r="AP36" s="13" t="s">
        <v>1740</v>
      </c>
      <c r="AQ36" s="13" t="s">
        <v>3151</v>
      </c>
      <c r="AR36" s="13" t="s">
        <v>3239</v>
      </c>
      <c r="AS36" s="13" t="s">
        <v>3326</v>
      </c>
      <c r="AT36" s="13" t="s">
        <v>3346</v>
      </c>
      <c r="AU36" s="13"/>
      <c r="AV36" s="13" t="s">
        <v>1833</v>
      </c>
      <c r="AW36" s="13" t="s">
        <v>1839</v>
      </c>
      <c r="AX36" s="13" t="s">
        <v>1548</v>
      </c>
      <c r="AY36" s="13" t="s">
        <v>1882</v>
      </c>
      <c r="AZ36" s="13" t="s">
        <v>1728</v>
      </c>
      <c r="BA36" s="13" t="s">
        <v>1883</v>
      </c>
      <c r="BB36" s="13" t="s">
        <v>1723</v>
      </c>
      <c r="BC36" s="13" t="s">
        <v>1895</v>
      </c>
      <c r="BD36" s="13" t="s">
        <v>1728</v>
      </c>
      <c r="BE36" s="13" t="s">
        <v>1740</v>
      </c>
      <c r="BF36" s="13" t="s">
        <v>1740</v>
      </c>
      <c r="BG36" s="13" t="s">
        <v>1738</v>
      </c>
      <c r="BH36" s="13" t="s">
        <v>1566</v>
      </c>
      <c r="BI36" s="13" t="s">
        <v>1566</v>
      </c>
      <c r="BJ36" s="13" t="s">
        <v>3460</v>
      </c>
      <c r="BK36" s="13" t="s">
        <v>3351</v>
      </c>
      <c r="BL36" s="13" t="s">
        <v>1943</v>
      </c>
      <c r="BM36" s="13" t="s">
        <v>247</v>
      </c>
      <c r="BN36" s="13" t="s">
        <v>3099</v>
      </c>
      <c r="BO36" s="13" t="s">
        <v>3478</v>
      </c>
      <c r="BP36" s="13" t="s">
        <v>3479</v>
      </c>
      <c r="BQ36" s="13" t="s">
        <v>3526</v>
      </c>
      <c r="BR36" s="13" t="s">
        <v>1993</v>
      </c>
      <c r="BS36" s="13" t="s">
        <v>3479</v>
      </c>
      <c r="BT36" s="13" t="s">
        <v>1796</v>
      </c>
      <c r="BU36" s="13" t="s">
        <v>1792</v>
      </c>
      <c r="BV36" s="13" t="s">
        <v>1993</v>
      </c>
      <c r="BW36" s="13" t="s">
        <v>2013</v>
      </c>
      <c r="BX36" s="13" t="s">
        <v>1830</v>
      </c>
      <c r="BY36" s="311" t="s">
        <v>3565</v>
      </c>
    </row>
    <row r="37" spans="1:77">
      <c r="A37" s="2">
        <v>32</v>
      </c>
      <c r="B37" s="55">
        <f>INDEX(順位表[Comprehensive],MATCH($C37,順位表['#],0))</f>
        <v>27</v>
      </c>
      <c r="C37" s="3">
        <v>32</v>
      </c>
      <c r="D37" s="1" t="str">
        <f>INDEX(都市マスタ[City Name],MATCH($C37,都市マスタ['#],0))</f>
        <v>San Francisco</v>
      </c>
      <c r="E37" s="13" t="s">
        <v>1549</v>
      </c>
      <c r="F37" s="13" t="s">
        <v>1549</v>
      </c>
      <c r="G37" s="13" t="s">
        <v>1914</v>
      </c>
      <c r="H37" s="13" t="s">
        <v>1588</v>
      </c>
      <c r="I37" s="13" t="s">
        <v>2868</v>
      </c>
      <c r="J37" s="13" t="s">
        <v>1624</v>
      </c>
      <c r="K37" s="13" t="s">
        <v>1566</v>
      </c>
      <c r="L37" s="13"/>
      <c r="M37" s="13" t="s">
        <v>1637</v>
      </c>
      <c r="N37" s="13" t="s">
        <v>1549</v>
      </c>
      <c r="O37" s="13" t="s">
        <v>1549</v>
      </c>
      <c r="P37" s="13" t="s">
        <v>1702</v>
      </c>
      <c r="Q37" s="13" t="s">
        <v>3000</v>
      </c>
      <c r="R37" s="13" t="s">
        <v>3035</v>
      </c>
      <c r="S37" s="13" t="s">
        <v>1720</v>
      </c>
      <c r="T37" s="13" t="s">
        <v>1914</v>
      </c>
      <c r="U37" s="13" t="s">
        <v>3055</v>
      </c>
      <c r="V37" s="13" t="s">
        <v>1726</v>
      </c>
      <c r="W37" s="13" t="s">
        <v>1728</v>
      </c>
      <c r="X37" s="13" t="s">
        <v>1726</v>
      </c>
      <c r="Y37" s="13" t="s">
        <v>1566</v>
      </c>
      <c r="Z37" s="13" t="s">
        <v>3069</v>
      </c>
      <c r="AA37" s="13" t="s">
        <v>1726</v>
      </c>
      <c r="AB37" s="13" t="s">
        <v>3077</v>
      </c>
      <c r="AC37" s="13" t="s">
        <v>3079</v>
      </c>
      <c r="AD37" s="13" t="s">
        <v>3082</v>
      </c>
      <c r="AE37" s="13" t="s">
        <v>3096</v>
      </c>
      <c r="AF37" s="13" t="s">
        <v>1738</v>
      </c>
      <c r="AG37" s="13" t="s">
        <v>1740</v>
      </c>
      <c r="AH37" s="13" t="s">
        <v>1741</v>
      </c>
      <c r="AI37" s="13" t="s">
        <v>1773</v>
      </c>
      <c r="AJ37" s="13" t="s">
        <v>3103</v>
      </c>
      <c r="AK37" s="13" t="s">
        <v>1792</v>
      </c>
      <c r="AL37" s="13" t="s">
        <v>1794</v>
      </c>
      <c r="AM37" s="13" t="s">
        <v>1796</v>
      </c>
      <c r="AN37" s="13" t="s">
        <v>1796</v>
      </c>
      <c r="AO37" s="13" t="s">
        <v>3104</v>
      </c>
      <c r="AP37" s="13" t="s">
        <v>1740</v>
      </c>
      <c r="AQ37" s="13" t="s">
        <v>3152</v>
      </c>
      <c r="AR37" s="13" t="s">
        <v>3240</v>
      </c>
      <c r="AS37" s="13" t="s">
        <v>3327</v>
      </c>
      <c r="AT37" s="13" t="s">
        <v>3346</v>
      </c>
      <c r="AU37" s="13"/>
      <c r="AV37" s="13" t="s">
        <v>3353</v>
      </c>
      <c r="AW37" s="13" t="s">
        <v>3360</v>
      </c>
      <c r="AX37" s="13" t="s">
        <v>1870</v>
      </c>
      <c r="AY37" s="13" t="s">
        <v>1882</v>
      </c>
      <c r="AZ37" s="13" t="s">
        <v>1728</v>
      </c>
      <c r="BA37" s="13" t="s">
        <v>1883</v>
      </c>
      <c r="BB37" s="13" t="s">
        <v>1723</v>
      </c>
      <c r="BC37" s="13" t="s">
        <v>1895</v>
      </c>
      <c r="BD37" s="13" t="s">
        <v>1728</v>
      </c>
      <c r="BE37" s="13" t="s">
        <v>1740</v>
      </c>
      <c r="BF37" s="13" t="s">
        <v>1740</v>
      </c>
      <c r="BG37" s="13" t="s">
        <v>1738</v>
      </c>
      <c r="BH37" s="13" t="s">
        <v>1566</v>
      </c>
      <c r="BI37" s="13" t="s">
        <v>1914</v>
      </c>
      <c r="BJ37" s="13" t="s">
        <v>3460</v>
      </c>
      <c r="BK37" s="13" t="s">
        <v>3351</v>
      </c>
      <c r="BL37" s="13" t="s">
        <v>1944</v>
      </c>
      <c r="BM37" s="13" t="s">
        <v>247</v>
      </c>
      <c r="BN37" s="13" t="s">
        <v>3099</v>
      </c>
      <c r="BO37" s="13" t="s">
        <v>3478</v>
      </c>
      <c r="BP37" s="13" t="s">
        <v>3479</v>
      </c>
      <c r="BQ37" s="13" t="s">
        <v>3527</v>
      </c>
      <c r="BR37" s="13" t="s">
        <v>1994</v>
      </c>
      <c r="BS37" s="13" t="s">
        <v>3479</v>
      </c>
      <c r="BT37" s="13" t="s">
        <v>1796</v>
      </c>
      <c r="BU37" s="13" t="s">
        <v>1792</v>
      </c>
      <c r="BV37" s="13" t="s">
        <v>1994</v>
      </c>
      <c r="BW37" s="13" t="s">
        <v>2013</v>
      </c>
      <c r="BX37" s="13" t="s">
        <v>1830</v>
      </c>
      <c r="BY37" s="311" t="s">
        <v>2049</v>
      </c>
    </row>
    <row r="38" spans="1:77">
      <c r="A38" s="2">
        <v>33</v>
      </c>
      <c r="B38" s="55">
        <f>INDEX(順位表[Comprehensive],MATCH($C38,順位表['#],0))</f>
        <v>21</v>
      </c>
      <c r="C38" s="3">
        <v>33</v>
      </c>
      <c r="D38" s="1" t="str">
        <f>INDEX(都市マスタ[City Name],MATCH($C38,都市マスタ['#],0))</f>
        <v>Los Angeles</v>
      </c>
      <c r="E38" s="13" t="s">
        <v>1550</v>
      </c>
      <c r="F38" s="13" t="s">
        <v>1550</v>
      </c>
      <c r="G38" s="13" t="s">
        <v>1914</v>
      </c>
      <c r="H38" s="13" t="s">
        <v>1589</v>
      </c>
      <c r="I38" s="13" t="s">
        <v>2869</v>
      </c>
      <c r="J38" s="13" t="s">
        <v>1625</v>
      </c>
      <c r="K38" s="13" t="s">
        <v>1566</v>
      </c>
      <c r="L38" s="13"/>
      <c r="M38" s="13" t="s">
        <v>1637</v>
      </c>
      <c r="N38" s="13" t="s">
        <v>1550</v>
      </c>
      <c r="O38" s="13" t="s">
        <v>1550</v>
      </c>
      <c r="P38" s="13" t="s">
        <v>1703</v>
      </c>
      <c r="Q38" s="13" t="s">
        <v>3000</v>
      </c>
      <c r="R38" s="13" t="s">
        <v>3035</v>
      </c>
      <c r="S38" s="13" t="s">
        <v>1720</v>
      </c>
      <c r="T38" s="13" t="s">
        <v>1914</v>
      </c>
      <c r="U38" s="13" t="s">
        <v>3056</v>
      </c>
      <c r="V38" s="13" t="s">
        <v>1726</v>
      </c>
      <c r="W38" s="13" t="s">
        <v>1728</v>
      </c>
      <c r="X38" s="13" t="s">
        <v>1726</v>
      </c>
      <c r="Y38" s="13" t="s">
        <v>1566</v>
      </c>
      <c r="Z38" s="13" t="s">
        <v>3070</v>
      </c>
      <c r="AA38" s="13" t="s">
        <v>1726</v>
      </c>
      <c r="AB38" s="13" t="s">
        <v>3077</v>
      </c>
      <c r="AC38" s="13" t="s">
        <v>3079</v>
      </c>
      <c r="AD38" s="13" t="s">
        <v>3082</v>
      </c>
      <c r="AE38" s="13" t="s">
        <v>3096</v>
      </c>
      <c r="AF38" s="13" t="s">
        <v>1738</v>
      </c>
      <c r="AG38" s="13" t="s">
        <v>1740</v>
      </c>
      <c r="AH38" s="13" t="s">
        <v>1741</v>
      </c>
      <c r="AI38" s="13" t="s">
        <v>1774</v>
      </c>
      <c r="AJ38" s="13" t="s">
        <v>3103</v>
      </c>
      <c r="AK38" s="13" t="s">
        <v>1792</v>
      </c>
      <c r="AL38" s="13" t="s">
        <v>1794</v>
      </c>
      <c r="AM38" s="13" t="s">
        <v>1796</v>
      </c>
      <c r="AN38" s="13" t="s">
        <v>1796</v>
      </c>
      <c r="AO38" s="13" t="s">
        <v>3104</v>
      </c>
      <c r="AP38" s="13" t="s">
        <v>1740</v>
      </c>
      <c r="AQ38" s="13" t="s">
        <v>3153</v>
      </c>
      <c r="AR38" s="13" t="s">
        <v>3241</v>
      </c>
      <c r="AS38" s="13" t="s">
        <v>3328</v>
      </c>
      <c r="AT38" s="13" t="s">
        <v>3346</v>
      </c>
      <c r="AU38" s="13"/>
      <c r="AV38" s="13" t="s">
        <v>1830</v>
      </c>
      <c r="AW38" s="13" t="s">
        <v>1830</v>
      </c>
      <c r="AX38" s="13" t="s">
        <v>1871</v>
      </c>
      <c r="AY38" s="13" t="s">
        <v>1882</v>
      </c>
      <c r="AZ38" s="13" t="s">
        <v>1728</v>
      </c>
      <c r="BA38" s="13" t="s">
        <v>1883</v>
      </c>
      <c r="BB38" s="13" t="s">
        <v>1723</v>
      </c>
      <c r="BC38" s="13" t="s">
        <v>1895</v>
      </c>
      <c r="BD38" s="13" t="s">
        <v>1728</v>
      </c>
      <c r="BE38" s="13" t="s">
        <v>1740</v>
      </c>
      <c r="BF38" s="13" t="s">
        <v>1740</v>
      </c>
      <c r="BG38" s="13" t="s">
        <v>3438</v>
      </c>
      <c r="BH38" s="13" t="s">
        <v>1566</v>
      </c>
      <c r="BI38" s="13" t="s">
        <v>1914</v>
      </c>
      <c r="BJ38" s="13" t="s">
        <v>3460</v>
      </c>
      <c r="BK38" s="13" t="s">
        <v>3351</v>
      </c>
      <c r="BL38" s="13" t="s">
        <v>1945</v>
      </c>
      <c r="BM38" s="13" t="s">
        <v>247</v>
      </c>
      <c r="BN38" s="13" t="s">
        <v>3099</v>
      </c>
      <c r="BO38" s="13" t="s">
        <v>3478</v>
      </c>
      <c r="BP38" s="13" t="s">
        <v>3479</v>
      </c>
      <c r="BQ38" s="13" t="s">
        <v>3528</v>
      </c>
      <c r="BR38" s="13" t="s">
        <v>1995</v>
      </c>
      <c r="BS38" s="13" t="s">
        <v>3479</v>
      </c>
      <c r="BT38" s="13" t="s">
        <v>1796</v>
      </c>
      <c r="BU38" s="13" t="s">
        <v>1792</v>
      </c>
      <c r="BV38" s="13" t="s">
        <v>1995</v>
      </c>
      <c r="BW38" s="13" t="s">
        <v>2013</v>
      </c>
      <c r="BX38" s="13" t="s">
        <v>1830</v>
      </c>
      <c r="BY38" s="311" t="s">
        <v>2050</v>
      </c>
    </row>
    <row r="39" spans="1:77">
      <c r="A39" s="2">
        <v>34</v>
      </c>
      <c r="B39" s="55">
        <f>INDEX(順位表[Comprehensive],MATCH($C39,順位表['#],0))</f>
        <v>43</v>
      </c>
      <c r="C39" s="3">
        <v>34</v>
      </c>
      <c r="D39" s="1" t="str">
        <f>INDEX(都市マスタ[City Name],MATCH($C39,都市マスタ['#],0))</f>
        <v>Mexico City</v>
      </c>
      <c r="E39" s="13" t="s">
        <v>1551</v>
      </c>
      <c r="F39" s="13" t="s">
        <v>1551</v>
      </c>
      <c r="G39" s="13" t="s">
        <v>1914</v>
      </c>
      <c r="H39" s="13" t="s">
        <v>1590</v>
      </c>
      <c r="I39" s="13"/>
      <c r="J39" s="13" t="s">
        <v>2904</v>
      </c>
      <c r="K39" s="13" t="s">
        <v>1566</v>
      </c>
      <c r="L39" s="13"/>
      <c r="M39" s="13" t="s">
        <v>1637</v>
      </c>
      <c r="N39" s="13" t="s">
        <v>1551</v>
      </c>
      <c r="O39" s="13" t="s">
        <v>2982</v>
      </c>
      <c r="P39" s="13" t="s">
        <v>1704</v>
      </c>
      <c r="Q39" s="13" t="s">
        <v>3025</v>
      </c>
      <c r="R39" s="13" t="s">
        <v>3035</v>
      </c>
      <c r="S39" s="13" t="s">
        <v>1720</v>
      </c>
      <c r="T39" s="13" t="s">
        <v>1914</v>
      </c>
      <c r="U39" s="13" t="s">
        <v>1724</v>
      </c>
      <c r="V39" s="13" t="s">
        <v>1726</v>
      </c>
      <c r="W39" s="13" t="s">
        <v>1728</v>
      </c>
      <c r="X39" s="13" t="s">
        <v>1726</v>
      </c>
      <c r="Y39" s="13" t="s">
        <v>1566</v>
      </c>
      <c r="Z39" s="13" t="s">
        <v>1731</v>
      </c>
      <c r="AA39" s="13" t="s">
        <v>1726</v>
      </c>
      <c r="AB39" s="13" t="s">
        <v>3077</v>
      </c>
      <c r="AC39" s="13" t="s">
        <v>3079</v>
      </c>
      <c r="AD39" s="13" t="s">
        <v>3082</v>
      </c>
      <c r="AE39" s="13" t="s">
        <v>3093</v>
      </c>
      <c r="AF39" s="13" t="s">
        <v>1738</v>
      </c>
      <c r="AG39" s="13" t="s">
        <v>1740</v>
      </c>
      <c r="AH39" s="13" t="s">
        <v>1741</v>
      </c>
      <c r="AI39" s="13" t="s">
        <v>1775</v>
      </c>
      <c r="AJ39" s="13" t="s">
        <v>3103</v>
      </c>
      <c r="AK39" s="13" t="s">
        <v>1792</v>
      </c>
      <c r="AL39" s="13" t="s">
        <v>1794</v>
      </c>
      <c r="AM39" s="13" t="s">
        <v>1796</v>
      </c>
      <c r="AN39" s="13" t="s">
        <v>1796</v>
      </c>
      <c r="AO39" s="13" t="s">
        <v>3104</v>
      </c>
      <c r="AP39" s="13" t="s">
        <v>1740</v>
      </c>
      <c r="AQ39" s="13" t="s">
        <v>3154</v>
      </c>
      <c r="AR39" s="13" t="s">
        <v>3242</v>
      </c>
      <c r="AS39" s="13" t="s">
        <v>3329</v>
      </c>
      <c r="AT39" s="13" t="s">
        <v>3346</v>
      </c>
      <c r="AU39" s="13"/>
      <c r="AV39" s="13" t="s">
        <v>1830</v>
      </c>
      <c r="AW39" s="13" t="s">
        <v>1830</v>
      </c>
      <c r="AX39" s="13" t="s">
        <v>1551</v>
      </c>
      <c r="AY39" s="13" t="s">
        <v>1882</v>
      </c>
      <c r="AZ39" s="13" t="s">
        <v>1728</v>
      </c>
      <c r="BA39" s="13" t="s">
        <v>1883</v>
      </c>
      <c r="BB39" s="13" t="s">
        <v>1723</v>
      </c>
      <c r="BC39" s="13" t="s">
        <v>1895</v>
      </c>
      <c r="BD39" s="13" t="s">
        <v>1728</v>
      </c>
      <c r="BE39" s="13" t="s">
        <v>1740</v>
      </c>
      <c r="BF39" s="13" t="s">
        <v>1740</v>
      </c>
      <c r="BG39" s="13" t="s">
        <v>1919</v>
      </c>
      <c r="BH39" s="13" t="s">
        <v>1566</v>
      </c>
      <c r="BI39" s="13" t="s">
        <v>1914</v>
      </c>
      <c r="BJ39" s="13" t="s">
        <v>3460</v>
      </c>
      <c r="BK39" s="13" t="s">
        <v>3351</v>
      </c>
      <c r="BL39" s="13" t="s">
        <v>3474</v>
      </c>
      <c r="BM39" s="13" t="s">
        <v>247</v>
      </c>
      <c r="BN39" s="13" t="s">
        <v>3099</v>
      </c>
      <c r="BO39" s="13" t="s">
        <v>3478</v>
      </c>
      <c r="BP39" s="13" t="s">
        <v>3479</v>
      </c>
      <c r="BQ39" s="13" t="s">
        <v>3529</v>
      </c>
      <c r="BR39" s="13" t="s">
        <v>1996</v>
      </c>
      <c r="BS39" s="13" t="s">
        <v>3479</v>
      </c>
      <c r="BT39" s="13" t="s">
        <v>1796</v>
      </c>
      <c r="BU39" s="13" t="s">
        <v>1792</v>
      </c>
      <c r="BV39" s="13" t="s">
        <v>1996</v>
      </c>
      <c r="BW39" s="13" t="s">
        <v>2013</v>
      </c>
      <c r="BX39" s="13" t="s">
        <v>1830</v>
      </c>
      <c r="BY39" s="311" t="s">
        <v>2051</v>
      </c>
    </row>
    <row r="40" spans="1:77">
      <c r="A40" s="2">
        <v>35</v>
      </c>
      <c r="B40" s="55">
        <f>INDEX(順位表[Comprehensive],MATCH($C40,順位表['#],0))</f>
        <v>25</v>
      </c>
      <c r="C40" s="3">
        <v>35</v>
      </c>
      <c r="D40" s="1" t="str">
        <f>INDEX(都市マスタ[City Name],MATCH($C40,都市マスタ['#],0))</f>
        <v>Chicago</v>
      </c>
      <c r="E40" s="13" t="s">
        <v>1552</v>
      </c>
      <c r="F40" s="13" t="s">
        <v>1552</v>
      </c>
      <c r="G40" s="13" t="s">
        <v>1914</v>
      </c>
      <c r="H40" s="13" t="s">
        <v>1591</v>
      </c>
      <c r="I40" s="13" t="s">
        <v>2870</v>
      </c>
      <c r="J40" s="13" t="s">
        <v>1626</v>
      </c>
      <c r="K40" s="13" t="s">
        <v>1566</v>
      </c>
      <c r="L40" s="13"/>
      <c r="M40" s="13" t="s">
        <v>1637</v>
      </c>
      <c r="N40" s="13" t="s">
        <v>1552</v>
      </c>
      <c r="O40" s="13" t="s">
        <v>1552</v>
      </c>
      <c r="P40" s="13" t="s">
        <v>1705</v>
      </c>
      <c r="Q40" s="13" t="s">
        <v>3000</v>
      </c>
      <c r="R40" s="13" t="s">
        <v>3035</v>
      </c>
      <c r="S40" s="13" t="s">
        <v>1720</v>
      </c>
      <c r="T40" s="13" t="s">
        <v>1914</v>
      </c>
      <c r="U40" s="13" t="s">
        <v>3057</v>
      </c>
      <c r="V40" s="13" t="s">
        <v>1726</v>
      </c>
      <c r="W40" s="13" t="s">
        <v>1728</v>
      </c>
      <c r="X40" s="13" t="s">
        <v>1726</v>
      </c>
      <c r="Y40" s="13" t="s">
        <v>1566</v>
      </c>
      <c r="Z40" s="13" t="s">
        <v>3071</v>
      </c>
      <c r="AA40" s="13" t="s">
        <v>1726</v>
      </c>
      <c r="AB40" s="13" t="s">
        <v>3077</v>
      </c>
      <c r="AC40" s="13" t="s">
        <v>3079</v>
      </c>
      <c r="AD40" s="13" t="s">
        <v>3082</v>
      </c>
      <c r="AE40" s="13" t="s">
        <v>3096</v>
      </c>
      <c r="AF40" s="13" t="s">
        <v>1738</v>
      </c>
      <c r="AG40" s="13" t="s">
        <v>1740</v>
      </c>
      <c r="AH40" s="13" t="s">
        <v>1741</v>
      </c>
      <c r="AI40" s="13" t="s">
        <v>1776</v>
      </c>
      <c r="AJ40" s="13" t="s">
        <v>3103</v>
      </c>
      <c r="AK40" s="13" t="s">
        <v>1792</v>
      </c>
      <c r="AL40" s="13" t="s">
        <v>1794</v>
      </c>
      <c r="AM40" s="13" t="s">
        <v>1796</v>
      </c>
      <c r="AN40" s="13" t="s">
        <v>1796</v>
      </c>
      <c r="AO40" s="13" t="s">
        <v>3104</v>
      </c>
      <c r="AP40" s="13" t="s">
        <v>1740</v>
      </c>
      <c r="AQ40" s="13" t="s">
        <v>3155</v>
      </c>
      <c r="AR40" s="13" t="s">
        <v>3243</v>
      </c>
      <c r="AS40" s="13" t="s">
        <v>3330</v>
      </c>
      <c r="AT40" s="13" t="s">
        <v>3346</v>
      </c>
      <c r="AU40" s="13"/>
      <c r="AV40" s="13" t="s">
        <v>1830</v>
      </c>
      <c r="AW40" s="13" t="s">
        <v>1830</v>
      </c>
      <c r="AX40" s="13" t="s">
        <v>1872</v>
      </c>
      <c r="AY40" s="13" t="s">
        <v>1882</v>
      </c>
      <c r="AZ40" s="13" t="s">
        <v>1728</v>
      </c>
      <c r="BA40" s="13" t="s">
        <v>1883</v>
      </c>
      <c r="BB40" s="13" t="s">
        <v>1723</v>
      </c>
      <c r="BC40" s="13" t="s">
        <v>1895</v>
      </c>
      <c r="BD40" s="13" t="s">
        <v>1728</v>
      </c>
      <c r="BE40" s="13" t="s">
        <v>1740</v>
      </c>
      <c r="BF40" s="13" t="s">
        <v>1740</v>
      </c>
      <c r="BG40" s="13" t="s">
        <v>1738</v>
      </c>
      <c r="BH40" s="13" t="s">
        <v>1566</v>
      </c>
      <c r="BI40" s="13" t="s">
        <v>1914</v>
      </c>
      <c r="BJ40" s="13" t="s">
        <v>3460</v>
      </c>
      <c r="BK40" s="13" t="s">
        <v>3351</v>
      </c>
      <c r="BL40" s="13" t="s">
        <v>1946</v>
      </c>
      <c r="BM40" s="13" t="s">
        <v>247</v>
      </c>
      <c r="BN40" s="13" t="s">
        <v>3099</v>
      </c>
      <c r="BO40" s="13" t="s">
        <v>3478</v>
      </c>
      <c r="BP40" s="13" t="s">
        <v>3479</v>
      </c>
      <c r="BQ40" s="13" t="s">
        <v>3530</v>
      </c>
      <c r="BR40" s="13" t="s">
        <v>1997</v>
      </c>
      <c r="BS40" s="13" t="s">
        <v>3479</v>
      </c>
      <c r="BT40" s="13" t="s">
        <v>1796</v>
      </c>
      <c r="BU40" s="13" t="s">
        <v>1792</v>
      </c>
      <c r="BV40" s="13" t="s">
        <v>1997</v>
      </c>
      <c r="BW40" s="13" t="s">
        <v>2013</v>
      </c>
      <c r="BX40" s="13" t="s">
        <v>1830</v>
      </c>
      <c r="BY40" s="311" t="s">
        <v>2052</v>
      </c>
    </row>
    <row r="41" spans="1:77">
      <c r="A41" s="2">
        <v>36</v>
      </c>
      <c r="B41" s="55">
        <f>INDEX(順位表[Comprehensive],MATCH($C41,順位表['#],0))</f>
        <v>23</v>
      </c>
      <c r="C41" s="3">
        <v>36</v>
      </c>
      <c r="D41" s="1" t="str">
        <f>INDEX(都市マスタ[City Name],MATCH($C41,都市マスタ['#],0))</f>
        <v>Toronto</v>
      </c>
      <c r="E41" s="13" t="s">
        <v>1553</v>
      </c>
      <c r="F41" s="13" t="s">
        <v>1553</v>
      </c>
      <c r="G41" s="13" t="s">
        <v>1914</v>
      </c>
      <c r="H41" s="13" t="s">
        <v>2857</v>
      </c>
      <c r="I41" s="13"/>
      <c r="J41" s="13" t="s">
        <v>2905</v>
      </c>
      <c r="K41" s="13" t="s">
        <v>1566</v>
      </c>
      <c r="L41" s="13"/>
      <c r="M41" s="13" t="s">
        <v>1637</v>
      </c>
      <c r="N41" s="13" t="s">
        <v>1553</v>
      </c>
      <c r="O41" s="13" t="s">
        <v>1553</v>
      </c>
      <c r="P41" s="13" t="s">
        <v>1706</v>
      </c>
      <c r="Q41" s="13" t="s">
        <v>3000</v>
      </c>
      <c r="R41" s="13" t="s">
        <v>3035</v>
      </c>
      <c r="S41" s="13" t="s">
        <v>1720</v>
      </c>
      <c r="T41" s="13" t="s">
        <v>1914</v>
      </c>
      <c r="U41" s="13" t="s">
        <v>1724</v>
      </c>
      <c r="V41" s="13" t="s">
        <v>1726</v>
      </c>
      <c r="W41" s="13" t="s">
        <v>1728</v>
      </c>
      <c r="X41" s="13" t="s">
        <v>1726</v>
      </c>
      <c r="Y41" s="13" t="s">
        <v>1566</v>
      </c>
      <c r="Z41" s="13" t="s">
        <v>1731</v>
      </c>
      <c r="AA41" s="13" t="s">
        <v>1726</v>
      </c>
      <c r="AB41" s="13" t="s">
        <v>3077</v>
      </c>
      <c r="AC41" s="13" t="s">
        <v>3079</v>
      </c>
      <c r="AD41" s="13" t="s">
        <v>3082</v>
      </c>
      <c r="AE41" s="13" t="s">
        <v>3092</v>
      </c>
      <c r="AF41" s="13" t="s">
        <v>1738</v>
      </c>
      <c r="AG41" s="13" t="s">
        <v>1740</v>
      </c>
      <c r="AH41" s="13" t="s">
        <v>1741</v>
      </c>
      <c r="AI41" s="13" t="s">
        <v>1777</v>
      </c>
      <c r="AJ41" s="13" t="s">
        <v>3103</v>
      </c>
      <c r="AK41" s="13" t="s">
        <v>1792</v>
      </c>
      <c r="AL41" s="13" t="s">
        <v>1794</v>
      </c>
      <c r="AM41" s="13" t="s">
        <v>1796</v>
      </c>
      <c r="AN41" s="13" t="s">
        <v>1796</v>
      </c>
      <c r="AO41" s="13" t="s">
        <v>3104</v>
      </c>
      <c r="AP41" s="13" t="s">
        <v>1740</v>
      </c>
      <c r="AQ41" s="13" t="s">
        <v>3156</v>
      </c>
      <c r="AR41" s="13" t="s">
        <v>3244</v>
      </c>
      <c r="AS41" s="13" t="s">
        <v>3331</v>
      </c>
      <c r="AT41" s="13" t="s">
        <v>3346</v>
      </c>
      <c r="AU41" s="13"/>
      <c r="AV41" s="13" t="s">
        <v>1830</v>
      </c>
      <c r="AW41" s="13" t="s">
        <v>1830</v>
      </c>
      <c r="AX41" s="13" t="s">
        <v>1553</v>
      </c>
      <c r="AY41" s="13" t="s">
        <v>1882</v>
      </c>
      <c r="AZ41" s="13" t="s">
        <v>1728</v>
      </c>
      <c r="BA41" s="13" t="s">
        <v>1883</v>
      </c>
      <c r="BB41" s="13" t="s">
        <v>1723</v>
      </c>
      <c r="BC41" s="13" t="s">
        <v>1895</v>
      </c>
      <c r="BD41" s="13" t="s">
        <v>1728</v>
      </c>
      <c r="BE41" s="13" t="s">
        <v>1740</v>
      </c>
      <c r="BF41" s="13" t="s">
        <v>1740</v>
      </c>
      <c r="BG41" s="13" t="s">
        <v>1738</v>
      </c>
      <c r="BH41" s="13" t="s">
        <v>1566</v>
      </c>
      <c r="BI41" s="13" t="s">
        <v>1566</v>
      </c>
      <c r="BJ41" s="13" t="s">
        <v>3460</v>
      </c>
      <c r="BK41" s="13" t="s">
        <v>3351</v>
      </c>
      <c r="BL41" s="13" t="s">
        <v>1947</v>
      </c>
      <c r="BM41" s="13" t="s">
        <v>247</v>
      </c>
      <c r="BN41" s="13" t="s">
        <v>3099</v>
      </c>
      <c r="BO41" s="13" t="s">
        <v>3478</v>
      </c>
      <c r="BP41" s="13" t="s">
        <v>3479</v>
      </c>
      <c r="BQ41" s="13" t="s">
        <v>3531</v>
      </c>
      <c r="BR41" s="13" t="s">
        <v>1998</v>
      </c>
      <c r="BS41" s="13" t="s">
        <v>3479</v>
      </c>
      <c r="BT41" s="13" t="s">
        <v>1796</v>
      </c>
      <c r="BU41" s="13" t="s">
        <v>1792</v>
      </c>
      <c r="BV41" s="13" t="s">
        <v>1998</v>
      </c>
      <c r="BW41" s="13" t="s">
        <v>2013</v>
      </c>
      <c r="BX41" s="13" t="s">
        <v>1830</v>
      </c>
      <c r="BY41" s="311" t="s">
        <v>2053</v>
      </c>
    </row>
    <row r="42" spans="1:77">
      <c r="A42" s="2">
        <v>37</v>
      </c>
      <c r="B42" s="55">
        <f>INDEX(順位表[Comprehensive],MATCH($C42,順位表['#],0))</f>
        <v>36</v>
      </c>
      <c r="C42" s="3">
        <v>37</v>
      </c>
      <c r="D42" s="1" t="str">
        <f>INDEX(都市マスタ[City Name],MATCH($C42,都市マスタ['#],0))</f>
        <v>Washington, DC</v>
      </c>
      <c r="E42" s="13" t="s">
        <v>1554</v>
      </c>
      <c r="F42" s="13" t="s">
        <v>1554</v>
      </c>
      <c r="G42" s="13" t="s">
        <v>1914</v>
      </c>
      <c r="H42" s="13" t="s">
        <v>1592</v>
      </c>
      <c r="I42" s="13"/>
      <c r="J42" s="13" t="s">
        <v>1627</v>
      </c>
      <c r="K42" s="13" t="s">
        <v>1566</v>
      </c>
      <c r="L42" s="13"/>
      <c r="M42" s="13" t="s">
        <v>1637</v>
      </c>
      <c r="N42" s="13" t="s">
        <v>1554</v>
      </c>
      <c r="O42" s="13" t="s">
        <v>1592</v>
      </c>
      <c r="P42" s="13" t="s">
        <v>1707</v>
      </c>
      <c r="Q42" s="13" t="s">
        <v>3000</v>
      </c>
      <c r="R42" s="13" t="s">
        <v>3035</v>
      </c>
      <c r="S42" s="13" t="s">
        <v>1720</v>
      </c>
      <c r="T42" s="13" t="s">
        <v>1914</v>
      </c>
      <c r="U42" s="13" t="s">
        <v>3058</v>
      </c>
      <c r="V42" s="13" t="s">
        <v>1726</v>
      </c>
      <c r="W42" s="13" t="s">
        <v>1728</v>
      </c>
      <c r="X42" s="13" t="s">
        <v>1726</v>
      </c>
      <c r="Y42" s="13" t="s">
        <v>1566</v>
      </c>
      <c r="Z42" s="13" t="s">
        <v>3072</v>
      </c>
      <c r="AA42" s="13" t="s">
        <v>1726</v>
      </c>
      <c r="AB42" s="13" t="s">
        <v>3077</v>
      </c>
      <c r="AC42" s="13" t="s">
        <v>3079</v>
      </c>
      <c r="AD42" s="13" t="s">
        <v>3082</v>
      </c>
      <c r="AE42" s="13" t="s">
        <v>3096</v>
      </c>
      <c r="AF42" s="13" t="s">
        <v>1738</v>
      </c>
      <c r="AG42" s="13" t="s">
        <v>1740</v>
      </c>
      <c r="AH42" s="13" t="s">
        <v>1741</v>
      </c>
      <c r="AI42" s="13" t="s">
        <v>1778</v>
      </c>
      <c r="AJ42" s="13" t="s">
        <v>3103</v>
      </c>
      <c r="AK42" s="13" t="s">
        <v>1792</v>
      </c>
      <c r="AL42" s="13" t="s">
        <v>1794</v>
      </c>
      <c r="AM42" s="13" t="s">
        <v>1796</v>
      </c>
      <c r="AN42" s="13" t="s">
        <v>1796</v>
      </c>
      <c r="AO42" s="13" t="s">
        <v>3104</v>
      </c>
      <c r="AP42" s="13" t="s">
        <v>1740</v>
      </c>
      <c r="AQ42" s="13" t="s">
        <v>3157</v>
      </c>
      <c r="AR42" s="13" t="s">
        <v>3245</v>
      </c>
      <c r="AS42" s="13" t="s">
        <v>3332</v>
      </c>
      <c r="AT42" s="13" t="s">
        <v>3346</v>
      </c>
      <c r="AU42" s="13"/>
      <c r="AV42" s="13" t="s">
        <v>3354</v>
      </c>
      <c r="AW42" s="13" t="s">
        <v>3361</v>
      </c>
      <c r="AX42" s="13" t="s">
        <v>1554</v>
      </c>
      <c r="AY42" s="13" t="s">
        <v>1882</v>
      </c>
      <c r="AZ42" s="13" t="s">
        <v>1728</v>
      </c>
      <c r="BA42" s="13" t="s">
        <v>1883</v>
      </c>
      <c r="BB42" s="13" t="s">
        <v>1723</v>
      </c>
      <c r="BC42" s="13" t="s">
        <v>1895</v>
      </c>
      <c r="BD42" s="13" t="s">
        <v>1728</v>
      </c>
      <c r="BE42" s="13" t="s">
        <v>1740</v>
      </c>
      <c r="BF42" s="13" t="s">
        <v>1740</v>
      </c>
      <c r="BG42" s="13" t="s">
        <v>1738</v>
      </c>
      <c r="BH42" s="13" t="s">
        <v>1566</v>
      </c>
      <c r="BI42" s="13" t="s">
        <v>1914</v>
      </c>
      <c r="BJ42" s="13" t="s">
        <v>3460</v>
      </c>
      <c r="BK42" s="13" t="s">
        <v>3351</v>
      </c>
      <c r="BL42" s="13" t="s">
        <v>1948</v>
      </c>
      <c r="BM42" s="13" t="s">
        <v>247</v>
      </c>
      <c r="BN42" s="13" t="s">
        <v>3099</v>
      </c>
      <c r="BO42" s="13" t="s">
        <v>3478</v>
      </c>
      <c r="BP42" s="13" t="s">
        <v>3479</v>
      </c>
      <c r="BQ42" s="13" t="s">
        <v>3532</v>
      </c>
      <c r="BR42" s="13" t="s">
        <v>1999</v>
      </c>
      <c r="BS42" s="13" t="s">
        <v>3479</v>
      </c>
      <c r="BT42" s="13" t="s">
        <v>1796</v>
      </c>
      <c r="BU42" s="13" t="s">
        <v>1792</v>
      </c>
      <c r="BV42" s="13" t="s">
        <v>1999</v>
      </c>
      <c r="BW42" s="13" t="s">
        <v>2013</v>
      </c>
      <c r="BX42" s="13" t="s">
        <v>2020</v>
      </c>
      <c r="BY42" s="311" t="s">
        <v>2054</v>
      </c>
    </row>
    <row r="43" spans="1:77">
      <c r="A43" s="2">
        <v>38</v>
      </c>
      <c r="B43" s="55">
        <f>INDEX(順位表[Comprehensive],MATCH($C43,順位表['#],0))</f>
        <v>2</v>
      </c>
      <c r="C43" s="3">
        <v>38</v>
      </c>
      <c r="D43" s="1" t="str">
        <f>INDEX(都市マスタ[City Name],MATCH($C43,都市マスタ['#],0))</f>
        <v>New York</v>
      </c>
      <c r="E43" s="13" t="s">
        <v>1555</v>
      </c>
      <c r="F43" s="13" t="s">
        <v>1555</v>
      </c>
      <c r="G43" s="13" t="s">
        <v>1914</v>
      </c>
      <c r="H43" s="13" t="s">
        <v>1593</v>
      </c>
      <c r="I43" s="13"/>
      <c r="J43" s="13" t="s">
        <v>1628</v>
      </c>
      <c r="K43" s="13" t="s">
        <v>1566</v>
      </c>
      <c r="L43" s="13"/>
      <c r="M43" s="13" t="s">
        <v>1637</v>
      </c>
      <c r="N43" s="13" t="s">
        <v>1555</v>
      </c>
      <c r="O43" s="13" t="s">
        <v>1555</v>
      </c>
      <c r="P43" s="13" t="s">
        <v>1708</v>
      </c>
      <c r="Q43" s="13" t="s">
        <v>3000</v>
      </c>
      <c r="R43" s="13" t="s">
        <v>3035</v>
      </c>
      <c r="S43" s="13" t="s">
        <v>3047</v>
      </c>
      <c r="T43" s="13" t="s">
        <v>1914</v>
      </c>
      <c r="U43" s="13" t="s">
        <v>3059</v>
      </c>
      <c r="V43" s="13" t="s">
        <v>1726</v>
      </c>
      <c r="W43" s="13" t="s">
        <v>1728</v>
      </c>
      <c r="X43" s="13" t="s">
        <v>1726</v>
      </c>
      <c r="Y43" s="13" t="s">
        <v>1566</v>
      </c>
      <c r="Z43" s="13" t="s">
        <v>3073</v>
      </c>
      <c r="AA43" s="13" t="s">
        <v>1726</v>
      </c>
      <c r="AB43" s="13" t="s">
        <v>3077</v>
      </c>
      <c r="AC43" s="13" t="s">
        <v>3079</v>
      </c>
      <c r="AD43" s="13" t="s">
        <v>3082</v>
      </c>
      <c r="AE43" s="13" t="s">
        <v>3096</v>
      </c>
      <c r="AF43" s="13" t="s">
        <v>1738</v>
      </c>
      <c r="AG43" s="13" t="s">
        <v>1740</v>
      </c>
      <c r="AH43" s="13" t="s">
        <v>1741</v>
      </c>
      <c r="AI43" s="13" t="s">
        <v>1779</v>
      </c>
      <c r="AJ43" s="13" t="s">
        <v>3103</v>
      </c>
      <c r="AK43" s="13" t="s">
        <v>1792</v>
      </c>
      <c r="AL43" s="13" t="s">
        <v>1794</v>
      </c>
      <c r="AM43" s="13" t="s">
        <v>1796</v>
      </c>
      <c r="AN43" s="13" t="s">
        <v>1796</v>
      </c>
      <c r="AO43" s="13" t="s">
        <v>3104</v>
      </c>
      <c r="AP43" s="13" t="s">
        <v>1740</v>
      </c>
      <c r="AQ43" s="13" t="s">
        <v>3158</v>
      </c>
      <c r="AR43" s="13" t="s">
        <v>3246</v>
      </c>
      <c r="AS43" s="13" t="s">
        <v>3333</v>
      </c>
      <c r="AT43" s="13" t="s">
        <v>3346</v>
      </c>
      <c r="AU43" s="13"/>
      <c r="AV43" s="13" t="s">
        <v>1830</v>
      </c>
      <c r="AW43" s="13" t="s">
        <v>1830</v>
      </c>
      <c r="AX43" s="13" t="s">
        <v>1873</v>
      </c>
      <c r="AY43" s="13" t="s">
        <v>1882</v>
      </c>
      <c r="AZ43" s="13" t="s">
        <v>1728</v>
      </c>
      <c r="BA43" s="13" t="s">
        <v>1883</v>
      </c>
      <c r="BB43" s="13" t="s">
        <v>1723</v>
      </c>
      <c r="BC43" s="13" t="s">
        <v>1895</v>
      </c>
      <c r="BD43" s="13" t="s">
        <v>1728</v>
      </c>
      <c r="BE43" s="13" t="s">
        <v>1740</v>
      </c>
      <c r="BF43" s="13" t="s">
        <v>1740</v>
      </c>
      <c r="BG43" s="13" t="s">
        <v>1738</v>
      </c>
      <c r="BH43" s="13" t="s">
        <v>1566</v>
      </c>
      <c r="BI43" s="13" t="s">
        <v>1914</v>
      </c>
      <c r="BJ43" s="13" t="s">
        <v>3461</v>
      </c>
      <c r="BK43" s="13" t="s">
        <v>3351</v>
      </c>
      <c r="BL43" s="13" t="s">
        <v>1949</v>
      </c>
      <c r="BM43" s="13" t="s">
        <v>247</v>
      </c>
      <c r="BN43" s="13" t="s">
        <v>3099</v>
      </c>
      <c r="BO43" s="13" t="s">
        <v>3478</v>
      </c>
      <c r="BP43" s="13" t="s">
        <v>3479</v>
      </c>
      <c r="BQ43" s="13" t="s">
        <v>3533</v>
      </c>
      <c r="BR43" s="13" t="s">
        <v>2000</v>
      </c>
      <c r="BS43" s="13" t="s">
        <v>3479</v>
      </c>
      <c r="BT43" s="13" t="s">
        <v>1796</v>
      </c>
      <c r="BU43" s="13" t="s">
        <v>1792</v>
      </c>
      <c r="BV43" s="13" t="s">
        <v>2000</v>
      </c>
      <c r="BW43" s="13" t="s">
        <v>2013</v>
      </c>
      <c r="BX43" s="13" t="s">
        <v>1830</v>
      </c>
      <c r="BY43" s="311" t="s">
        <v>2055</v>
      </c>
    </row>
    <row r="44" spans="1:77">
      <c r="A44" s="2">
        <v>39</v>
      </c>
      <c r="B44" s="55">
        <f>INDEX(順位表[Comprehensive],MATCH($C44,順位表['#],0))</f>
        <v>29</v>
      </c>
      <c r="C44" s="3">
        <v>39</v>
      </c>
      <c r="D44" s="1" t="str">
        <f>INDEX(都市マスタ[City Name],MATCH($C44,都市マスタ['#],0))</f>
        <v>Boston</v>
      </c>
      <c r="E44" s="13" t="s">
        <v>1556</v>
      </c>
      <c r="F44" s="13" t="s">
        <v>1556</v>
      </c>
      <c r="G44" s="13" t="s">
        <v>1914</v>
      </c>
      <c r="H44" s="13" t="s">
        <v>1594</v>
      </c>
      <c r="I44" s="13" t="s">
        <v>2871</v>
      </c>
      <c r="J44" s="13" t="s">
        <v>1629</v>
      </c>
      <c r="K44" s="13" t="s">
        <v>1566</v>
      </c>
      <c r="L44" s="13"/>
      <c r="M44" s="13" t="s">
        <v>1637</v>
      </c>
      <c r="N44" s="13" t="s">
        <v>1556</v>
      </c>
      <c r="O44" s="13" t="s">
        <v>1556</v>
      </c>
      <c r="P44" s="13" t="s">
        <v>1709</v>
      </c>
      <c r="Q44" s="13" t="s">
        <v>3000</v>
      </c>
      <c r="R44" s="13" t="s">
        <v>3035</v>
      </c>
      <c r="S44" s="13" t="s">
        <v>1720</v>
      </c>
      <c r="T44" s="13" t="s">
        <v>1914</v>
      </c>
      <c r="U44" s="13" t="s">
        <v>3060</v>
      </c>
      <c r="V44" s="13" t="s">
        <v>1726</v>
      </c>
      <c r="W44" s="13" t="s">
        <v>1728</v>
      </c>
      <c r="X44" s="13" t="s">
        <v>1726</v>
      </c>
      <c r="Y44" s="13" t="s">
        <v>1566</v>
      </c>
      <c r="Z44" s="13" t="s">
        <v>3074</v>
      </c>
      <c r="AA44" s="13" t="s">
        <v>1726</v>
      </c>
      <c r="AB44" s="13" t="s">
        <v>3077</v>
      </c>
      <c r="AC44" s="13" t="s">
        <v>3079</v>
      </c>
      <c r="AD44" s="13" t="s">
        <v>3082</v>
      </c>
      <c r="AE44" s="13" t="s">
        <v>3096</v>
      </c>
      <c r="AF44" s="13" t="s">
        <v>1738</v>
      </c>
      <c r="AG44" s="13" t="s">
        <v>1740</v>
      </c>
      <c r="AH44" s="13" t="s">
        <v>1741</v>
      </c>
      <c r="AI44" s="13" t="s">
        <v>1780</v>
      </c>
      <c r="AJ44" s="13" t="s">
        <v>3103</v>
      </c>
      <c r="AK44" s="13" t="s">
        <v>1792</v>
      </c>
      <c r="AL44" s="13" t="s">
        <v>1794</v>
      </c>
      <c r="AM44" s="13" t="s">
        <v>1796</v>
      </c>
      <c r="AN44" s="13" t="s">
        <v>1796</v>
      </c>
      <c r="AO44" s="13" t="s">
        <v>3104</v>
      </c>
      <c r="AP44" s="13" t="s">
        <v>1740</v>
      </c>
      <c r="AQ44" s="13" t="s">
        <v>3159</v>
      </c>
      <c r="AR44" s="13" t="s">
        <v>3247</v>
      </c>
      <c r="AS44" s="13" t="s">
        <v>3334</v>
      </c>
      <c r="AT44" s="13" t="s">
        <v>3346</v>
      </c>
      <c r="AU44" s="13"/>
      <c r="AV44" s="13" t="s">
        <v>3355</v>
      </c>
      <c r="AW44" s="13" t="s">
        <v>3362</v>
      </c>
      <c r="AX44" s="13" t="s">
        <v>1874</v>
      </c>
      <c r="AY44" s="13" t="s">
        <v>1882</v>
      </c>
      <c r="AZ44" s="13" t="s">
        <v>1728</v>
      </c>
      <c r="BA44" s="13" t="s">
        <v>1883</v>
      </c>
      <c r="BB44" s="13" t="s">
        <v>1723</v>
      </c>
      <c r="BC44" s="13" t="s">
        <v>1895</v>
      </c>
      <c r="BD44" s="13" t="s">
        <v>1728</v>
      </c>
      <c r="BE44" s="13" t="s">
        <v>1740</v>
      </c>
      <c r="BF44" s="13" t="s">
        <v>1740</v>
      </c>
      <c r="BG44" s="13" t="s">
        <v>3439</v>
      </c>
      <c r="BH44" s="13" t="s">
        <v>1566</v>
      </c>
      <c r="BI44" s="13" t="s">
        <v>1914</v>
      </c>
      <c r="BJ44" s="13" t="s">
        <v>3460</v>
      </c>
      <c r="BK44" s="13" t="s">
        <v>3351</v>
      </c>
      <c r="BL44" s="13" t="s">
        <v>1950</v>
      </c>
      <c r="BM44" s="13" t="s">
        <v>247</v>
      </c>
      <c r="BN44" s="13" t="s">
        <v>3099</v>
      </c>
      <c r="BO44" s="13" t="s">
        <v>3478</v>
      </c>
      <c r="BP44" s="13" t="s">
        <v>3479</v>
      </c>
      <c r="BQ44" s="13" t="s">
        <v>3534</v>
      </c>
      <c r="BR44" s="13" t="s">
        <v>2001</v>
      </c>
      <c r="BS44" s="13" t="s">
        <v>3479</v>
      </c>
      <c r="BT44" s="13" t="s">
        <v>1796</v>
      </c>
      <c r="BU44" s="13" t="s">
        <v>1792</v>
      </c>
      <c r="BV44" s="13" t="s">
        <v>2001</v>
      </c>
      <c r="BW44" s="13" t="s">
        <v>2013</v>
      </c>
      <c r="BX44" s="13" t="s">
        <v>1830</v>
      </c>
      <c r="BY44" s="311" t="s">
        <v>2056</v>
      </c>
    </row>
    <row r="45" spans="1:77">
      <c r="A45" s="2">
        <v>40</v>
      </c>
      <c r="B45" s="55">
        <f>INDEX(順位表[Comprehensive],MATCH($C45,順位表['#],0))</f>
        <v>39</v>
      </c>
      <c r="C45" s="3">
        <v>40</v>
      </c>
      <c r="D45" s="1" t="str">
        <f>INDEX(都市マスタ[City Name],MATCH($C45,都市マスタ['#],0))</f>
        <v>Sao Paulo</v>
      </c>
      <c r="E45" s="13" t="s">
        <v>1557</v>
      </c>
      <c r="F45" s="13" t="s">
        <v>1557</v>
      </c>
      <c r="G45" s="13" t="s">
        <v>1914</v>
      </c>
      <c r="H45" s="13" t="s">
        <v>1557</v>
      </c>
      <c r="I45" s="13"/>
      <c r="J45" s="13" t="s">
        <v>2906</v>
      </c>
      <c r="K45" s="13" t="s">
        <v>1566</v>
      </c>
      <c r="L45" s="13"/>
      <c r="M45" s="13" t="s">
        <v>1637</v>
      </c>
      <c r="N45" s="13" t="s">
        <v>1655</v>
      </c>
      <c r="O45" s="13" t="s">
        <v>2983</v>
      </c>
      <c r="P45" s="13" t="s">
        <v>1710</v>
      </c>
      <c r="Q45" s="13" t="s">
        <v>3026</v>
      </c>
      <c r="R45" s="13" t="s">
        <v>3035</v>
      </c>
      <c r="S45" s="13" t="s">
        <v>1720</v>
      </c>
      <c r="T45" s="13" t="s">
        <v>1914</v>
      </c>
      <c r="U45" s="13" t="s">
        <v>1724</v>
      </c>
      <c r="V45" s="13" t="s">
        <v>1726</v>
      </c>
      <c r="W45" s="13" t="s">
        <v>1728</v>
      </c>
      <c r="X45" s="13" t="s">
        <v>1726</v>
      </c>
      <c r="Y45" s="13" t="s">
        <v>1566</v>
      </c>
      <c r="Z45" s="13" t="s">
        <v>1731</v>
      </c>
      <c r="AA45" s="13" t="s">
        <v>1726</v>
      </c>
      <c r="AB45" s="13" t="s">
        <v>3077</v>
      </c>
      <c r="AC45" s="13" t="s">
        <v>3079</v>
      </c>
      <c r="AD45" s="13" t="s">
        <v>3082</v>
      </c>
      <c r="AE45" s="13" t="s">
        <v>3092</v>
      </c>
      <c r="AF45" s="13" t="s">
        <v>1738</v>
      </c>
      <c r="AG45" s="13" t="s">
        <v>1740</v>
      </c>
      <c r="AH45" s="13" t="s">
        <v>1741</v>
      </c>
      <c r="AI45" s="13" t="s">
        <v>1781</v>
      </c>
      <c r="AJ45" s="13" t="s">
        <v>3103</v>
      </c>
      <c r="AK45" s="13" t="s">
        <v>1792</v>
      </c>
      <c r="AL45" s="13" t="s">
        <v>1794</v>
      </c>
      <c r="AM45" s="13" t="s">
        <v>1796</v>
      </c>
      <c r="AN45" s="13" t="s">
        <v>1796</v>
      </c>
      <c r="AO45" s="13" t="s">
        <v>3104</v>
      </c>
      <c r="AP45" s="13" t="s">
        <v>1740</v>
      </c>
      <c r="AQ45" s="13" t="s">
        <v>3160</v>
      </c>
      <c r="AR45" s="13" t="s">
        <v>3248</v>
      </c>
      <c r="AS45" s="13" t="s">
        <v>3335</v>
      </c>
      <c r="AT45" s="13" t="s">
        <v>3346</v>
      </c>
      <c r="AU45" s="13"/>
      <c r="AV45" s="13" t="s">
        <v>1830</v>
      </c>
      <c r="AW45" s="13" t="s">
        <v>1830</v>
      </c>
      <c r="AX45" s="13" t="s">
        <v>1557</v>
      </c>
      <c r="AY45" s="13" t="s">
        <v>1882</v>
      </c>
      <c r="AZ45" s="13" t="s">
        <v>1728</v>
      </c>
      <c r="BA45" s="13" t="s">
        <v>1883</v>
      </c>
      <c r="BB45" s="13" t="s">
        <v>1723</v>
      </c>
      <c r="BC45" s="13" t="s">
        <v>1895</v>
      </c>
      <c r="BD45" s="13" t="s">
        <v>1728</v>
      </c>
      <c r="BE45" s="13" t="s">
        <v>1740</v>
      </c>
      <c r="BF45" s="13" t="s">
        <v>1740</v>
      </c>
      <c r="BG45" s="13" t="s">
        <v>1738</v>
      </c>
      <c r="BH45" s="13" t="s">
        <v>1566</v>
      </c>
      <c r="BI45" s="13" t="s">
        <v>1914</v>
      </c>
      <c r="BJ45" s="13" t="s">
        <v>3460</v>
      </c>
      <c r="BK45" s="13" t="s">
        <v>3351</v>
      </c>
      <c r="BL45" s="13" t="s">
        <v>1951</v>
      </c>
      <c r="BM45" s="13" t="s">
        <v>247</v>
      </c>
      <c r="BN45" s="13" t="s">
        <v>3099</v>
      </c>
      <c r="BO45" s="13" t="s">
        <v>3478</v>
      </c>
      <c r="BP45" s="13" t="s">
        <v>3479</v>
      </c>
      <c r="BQ45" s="13" t="s">
        <v>3535</v>
      </c>
      <c r="BR45" s="13" t="s">
        <v>2002</v>
      </c>
      <c r="BS45" s="13" t="s">
        <v>3479</v>
      </c>
      <c r="BT45" s="13" t="s">
        <v>1796</v>
      </c>
      <c r="BU45" s="13" t="s">
        <v>1792</v>
      </c>
      <c r="BV45" s="13" t="s">
        <v>2002</v>
      </c>
      <c r="BW45" s="13" t="s">
        <v>2013</v>
      </c>
      <c r="BX45" s="13" t="s">
        <v>1830</v>
      </c>
      <c r="BY45" s="311" t="s">
        <v>2057</v>
      </c>
    </row>
    <row r="46" spans="1:77">
      <c r="A46" s="2">
        <v>41</v>
      </c>
      <c r="B46" s="55">
        <f>INDEX(順位表[Comprehensive],MATCH($C46,順位表['#],0))</f>
        <v>46</v>
      </c>
      <c r="C46" s="3">
        <v>41</v>
      </c>
      <c r="D46" s="1" t="str">
        <f>INDEX(都市マスタ[City Name],MATCH($C46,都市マスタ['#],0))</f>
        <v>Johannesburg</v>
      </c>
      <c r="E46" s="13" t="s">
        <v>1558</v>
      </c>
      <c r="F46" s="13" t="s">
        <v>1558</v>
      </c>
      <c r="G46" s="13" t="s">
        <v>1914</v>
      </c>
      <c r="H46" s="13" t="s">
        <v>1595</v>
      </c>
      <c r="I46" s="13"/>
      <c r="J46" s="13" t="s">
        <v>1614</v>
      </c>
      <c r="K46" s="13" t="s">
        <v>1566</v>
      </c>
      <c r="L46" s="13"/>
      <c r="M46" s="13" t="s">
        <v>1637</v>
      </c>
      <c r="N46" s="13" t="s">
        <v>1656</v>
      </c>
      <c r="O46" s="13" t="s">
        <v>2984</v>
      </c>
      <c r="P46" s="13" t="s">
        <v>1711</v>
      </c>
      <c r="Q46" s="13" t="s">
        <v>3027</v>
      </c>
      <c r="R46" s="13" t="s">
        <v>3035</v>
      </c>
      <c r="S46" s="13" t="s">
        <v>1720</v>
      </c>
      <c r="T46" s="13" t="s">
        <v>1914</v>
      </c>
      <c r="U46" s="13" t="s">
        <v>1724</v>
      </c>
      <c r="V46" s="13" t="s">
        <v>1726</v>
      </c>
      <c r="W46" s="13" t="s">
        <v>1728</v>
      </c>
      <c r="X46" s="13" t="s">
        <v>1726</v>
      </c>
      <c r="Y46" s="13" t="s">
        <v>1914</v>
      </c>
      <c r="Z46" s="13" t="s">
        <v>1731</v>
      </c>
      <c r="AA46" s="13" t="s">
        <v>1726</v>
      </c>
      <c r="AB46" s="13" t="s">
        <v>3077</v>
      </c>
      <c r="AC46" s="13" t="s">
        <v>3079</v>
      </c>
      <c r="AD46" s="13" t="s">
        <v>3082</v>
      </c>
      <c r="AE46" s="13" t="s">
        <v>3092</v>
      </c>
      <c r="AF46" s="13" t="s">
        <v>1738</v>
      </c>
      <c r="AG46" s="13" t="s">
        <v>1740</v>
      </c>
      <c r="AH46" s="13" t="s">
        <v>1741</v>
      </c>
      <c r="AI46" s="13" t="s">
        <v>1782</v>
      </c>
      <c r="AJ46" s="13" t="s">
        <v>3103</v>
      </c>
      <c r="AK46" s="13" t="s">
        <v>1792</v>
      </c>
      <c r="AL46" s="13" t="s">
        <v>1794</v>
      </c>
      <c r="AM46" s="13" t="s">
        <v>1796</v>
      </c>
      <c r="AN46" s="13" t="s">
        <v>1796</v>
      </c>
      <c r="AO46" s="13" t="s">
        <v>3104</v>
      </c>
      <c r="AP46" s="13" t="s">
        <v>1740</v>
      </c>
      <c r="AQ46" s="13" t="s">
        <v>1820</v>
      </c>
      <c r="AR46" s="13" t="s">
        <v>3249</v>
      </c>
      <c r="AS46" s="13" t="s">
        <v>3336</v>
      </c>
      <c r="AT46" s="13" t="s">
        <v>3346</v>
      </c>
      <c r="AU46" s="13"/>
      <c r="AV46" s="13" t="s">
        <v>1830</v>
      </c>
      <c r="AW46" s="13" t="s">
        <v>1830</v>
      </c>
      <c r="AX46" s="13" t="s">
        <v>1875</v>
      </c>
      <c r="AY46" s="13" t="s">
        <v>1882</v>
      </c>
      <c r="AZ46" s="13" t="s">
        <v>1728</v>
      </c>
      <c r="BA46" s="13" t="s">
        <v>1883</v>
      </c>
      <c r="BB46" s="13" t="s">
        <v>1723</v>
      </c>
      <c r="BC46" s="13" t="s">
        <v>1895</v>
      </c>
      <c r="BD46" s="13" t="s">
        <v>1728</v>
      </c>
      <c r="BE46" s="13" t="s">
        <v>1740</v>
      </c>
      <c r="BF46" s="13" t="s">
        <v>1740</v>
      </c>
      <c r="BG46" s="13" t="s">
        <v>3440</v>
      </c>
      <c r="BH46" s="13" t="s">
        <v>1566</v>
      </c>
      <c r="BI46" s="13" t="s">
        <v>1595</v>
      </c>
      <c r="BJ46" s="13" t="s">
        <v>3460</v>
      </c>
      <c r="BK46" s="13" t="s">
        <v>3351</v>
      </c>
      <c r="BL46" s="13" t="s">
        <v>3475</v>
      </c>
      <c r="BM46" s="13" t="s">
        <v>247</v>
      </c>
      <c r="BN46" s="13" t="s">
        <v>3099</v>
      </c>
      <c r="BO46" s="13" t="s">
        <v>3478</v>
      </c>
      <c r="BP46" s="13" t="s">
        <v>3479</v>
      </c>
      <c r="BQ46" s="13" t="s">
        <v>3536</v>
      </c>
      <c r="BR46" s="13" t="s">
        <v>2003</v>
      </c>
      <c r="BS46" s="13" t="s">
        <v>3479</v>
      </c>
      <c r="BT46" s="13" t="s">
        <v>1796</v>
      </c>
      <c r="BU46" s="13" t="s">
        <v>1792</v>
      </c>
      <c r="BV46" s="13" t="s">
        <v>2003</v>
      </c>
      <c r="BW46" s="13" t="s">
        <v>2013</v>
      </c>
      <c r="BX46" s="13" t="s">
        <v>1830</v>
      </c>
      <c r="BY46" s="311" t="s">
        <v>2058</v>
      </c>
    </row>
    <row r="47" spans="1:77">
      <c r="A47" s="2">
        <v>42</v>
      </c>
      <c r="B47" s="55">
        <f>INDEX(順位表[Comprehensive],MATCH($C47,順位表['#],0))</f>
        <v>45</v>
      </c>
      <c r="C47" s="3">
        <v>42</v>
      </c>
      <c r="D47" s="1" t="str">
        <f>INDEX(都市マスタ[City Name],MATCH($C47,都市マスタ['#],0))</f>
        <v>Jakarta</v>
      </c>
      <c r="E47" s="13" t="s">
        <v>1559</v>
      </c>
      <c r="F47" s="13" t="s">
        <v>1559</v>
      </c>
      <c r="G47" s="13" t="s">
        <v>2819</v>
      </c>
      <c r="H47" s="13" t="s">
        <v>1596</v>
      </c>
      <c r="I47" s="13" t="s">
        <v>2872</v>
      </c>
      <c r="J47" s="13" t="s">
        <v>1630</v>
      </c>
      <c r="K47" s="13" t="s">
        <v>1566</v>
      </c>
      <c r="L47" s="13"/>
      <c r="M47" s="13" t="s">
        <v>1637</v>
      </c>
      <c r="N47" s="13" t="s">
        <v>1559</v>
      </c>
      <c r="O47" s="13" t="s">
        <v>1559</v>
      </c>
      <c r="P47" s="13" t="s">
        <v>1712</v>
      </c>
      <c r="Q47" s="13" t="s">
        <v>3028</v>
      </c>
      <c r="R47" s="13" t="s">
        <v>3035</v>
      </c>
      <c r="S47" s="13" t="s">
        <v>1720</v>
      </c>
      <c r="T47" s="13" t="s">
        <v>1914</v>
      </c>
      <c r="U47" s="13" t="s">
        <v>1724</v>
      </c>
      <c r="V47" s="13" t="s">
        <v>1726</v>
      </c>
      <c r="W47" s="13" t="s">
        <v>1728</v>
      </c>
      <c r="X47" s="13" t="s">
        <v>1726</v>
      </c>
      <c r="Y47" s="13" t="s">
        <v>1566</v>
      </c>
      <c r="Z47" s="13" t="s">
        <v>1731</v>
      </c>
      <c r="AA47" s="13" t="s">
        <v>1726</v>
      </c>
      <c r="AB47" s="13" t="s">
        <v>3077</v>
      </c>
      <c r="AC47" s="13" t="s">
        <v>3079</v>
      </c>
      <c r="AD47" s="13" t="s">
        <v>3082</v>
      </c>
      <c r="AE47" s="13" t="s">
        <v>3093</v>
      </c>
      <c r="AF47" s="13" t="s">
        <v>1738</v>
      </c>
      <c r="AG47" s="13" t="s">
        <v>1740</v>
      </c>
      <c r="AH47" s="13" t="s">
        <v>1741</v>
      </c>
      <c r="AI47" s="13" t="s">
        <v>1783</v>
      </c>
      <c r="AJ47" s="13" t="s">
        <v>3103</v>
      </c>
      <c r="AK47" s="13" t="s">
        <v>1792</v>
      </c>
      <c r="AL47" s="13" t="s">
        <v>1794</v>
      </c>
      <c r="AM47" s="13" t="s">
        <v>1796</v>
      </c>
      <c r="AN47" s="13" t="s">
        <v>1796</v>
      </c>
      <c r="AO47" s="13" t="s">
        <v>3104</v>
      </c>
      <c r="AP47" s="13" t="s">
        <v>1740</v>
      </c>
      <c r="AQ47" s="13" t="s">
        <v>1821</v>
      </c>
      <c r="AR47" s="13" t="s">
        <v>3250</v>
      </c>
      <c r="AS47" s="13" t="s">
        <v>3337</v>
      </c>
      <c r="AT47" s="13" t="s">
        <v>3346</v>
      </c>
      <c r="AU47" s="13"/>
      <c r="AV47" s="13" t="s">
        <v>1830</v>
      </c>
      <c r="AW47" s="13" t="s">
        <v>1830</v>
      </c>
      <c r="AX47" s="13" t="s">
        <v>3379</v>
      </c>
      <c r="AY47" s="13" t="s">
        <v>1882</v>
      </c>
      <c r="AZ47" s="13" t="s">
        <v>1728</v>
      </c>
      <c r="BA47" s="13" t="s">
        <v>1883</v>
      </c>
      <c r="BB47" s="13" t="s">
        <v>1723</v>
      </c>
      <c r="BC47" s="13" t="s">
        <v>1895</v>
      </c>
      <c r="BD47" s="13" t="s">
        <v>1728</v>
      </c>
      <c r="BE47" s="13" t="s">
        <v>1740</v>
      </c>
      <c r="BF47" s="13" t="s">
        <v>1740</v>
      </c>
      <c r="BG47" s="13" t="s">
        <v>1738</v>
      </c>
      <c r="BH47" s="13" t="s">
        <v>1566</v>
      </c>
      <c r="BI47" s="13" t="s">
        <v>1917</v>
      </c>
      <c r="BJ47" s="13" t="s">
        <v>3460</v>
      </c>
      <c r="BK47" s="13" t="s">
        <v>3351</v>
      </c>
      <c r="BL47" s="13" t="s">
        <v>1952</v>
      </c>
      <c r="BM47" s="13" t="s">
        <v>247</v>
      </c>
      <c r="BN47" s="13" t="s">
        <v>3099</v>
      </c>
      <c r="BO47" s="13" t="s">
        <v>3478</v>
      </c>
      <c r="BP47" s="13" t="s">
        <v>3479</v>
      </c>
      <c r="BQ47" s="13" t="s">
        <v>3537</v>
      </c>
      <c r="BR47" s="13" t="s">
        <v>2004</v>
      </c>
      <c r="BS47" s="13" t="s">
        <v>3479</v>
      </c>
      <c r="BT47" s="13" t="s">
        <v>1796</v>
      </c>
      <c r="BU47" s="13" t="s">
        <v>1792</v>
      </c>
      <c r="BV47" s="13" t="s">
        <v>2004</v>
      </c>
      <c r="BW47" s="13" t="s">
        <v>2013</v>
      </c>
      <c r="BX47" s="13" t="s">
        <v>1830</v>
      </c>
      <c r="BY47" s="311" t="s">
        <v>2059</v>
      </c>
    </row>
    <row r="48" spans="1:77">
      <c r="A48" s="2">
        <v>43</v>
      </c>
      <c r="B48" s="55">
        <f>INDEX(順位表[Comprehensive],MATCH($C48,順位表['#],0))</f>
        <v>44</v>
      </c>
      <c r="C48" s="3">
        <v>43</v>
      </c>
      <c r="D48" s="1" t="str">
        <f>INDEX(都市マスタ[City Name],MATCH($C48,都市マスタ['#],0))</f>
        <v>Buenos Aires</v>
      </c>
      <c r="E48" s="13" t="s">
        <v>1560</v>
      </c>
      <c r="F48" s="13" t="s">
        <v>1560</v>
      </c>
      <c r="G48" s="13" t="s">
        <v>1914</v>
      </c>
      <c r="H48" s="13" t="s">
        <v>1560</v>
      </c>
      <c r="I48" s="13"/>
      <c r="J48" s="13" t="s">
        <v>1631</v>
      </c>
      <c r="K48" s="13" t="s">
        <v>1566</v>
      </c>
      <c r="L48" s="13"/>
      <c r="M48" s="13" t="s">
        <v>1637</v>
      </c>
      <c r="N48" s="13" t="s">
        <v>1560</v>
      </c>
      <c r="O48" s="13" t="s">
        <v>2985</v>
      </c>
      <c r="P48" s="13" t="s">
        <v>1713</v>
      </c>
      <c r="Q48" s="13" t="s">
        <v>3029</v>
      </c>
      <c r="R48" s="13" t="s">
        <v>3035</v>
      </c>
      <c r="S48" s="13" t="s">
        <v>1720</v>
      </c>
      <c r="T48" s="13" t="s">
        <v>1914</v>
      </c>
      <c r="U48" s="13" t="s">
        <v>1724</v>
      </c>
      <c r="V48" s="13" t="s">
        <v>1726</v>
      </c>
      <c r="W48" s="13" t="s">
        <v>1728</v>
      </c>
      <c r="X48" s="13" t="s">
        <v>1726</v>
      </c>
      <c r="Y48" s="13" t="s">
        <v>1566</v>
      </c>
      <c r="Z48" s="13" t="s">
        <v>1731</v>
      </c>
      <c r="AA48" s="13" t="s">
        <v>1726</v>
      </c>
      <c r="AB48" s="13" t="s">
        <v>3077</v>
      </c>
      <c r="AC48" s="13" t="s">
        <v>3079</v>
      </c>
      <c r="AD48" s="13" t="s">
        <v>3082</v>
      </c>
      <c r="AE48" s="13" t="s">
        <v>3092</v>
      </c>
      <c r="AF48" s="13" t="s">
        <v>1738</v>
      </c>
      <c r="AG48" s="13" t="s">
        <v>1740</v>
      </c>
      <c r="AH48" s="13" t="s">
        <v>1741</v>
      </c>
      <c r="AI48" s="13" t="s">
        <v>1784</v>
      </c>
      <c r="AJ48" s="13" t="s">
        <v>3103</v>
      </c>
      <c r="AK48" s="13" t="s">
        <v>1792</v>
      </c>
      <c r="AL48" s="13" t="s">
        <v>1794</v>
      </c>
      <c r="AM48" s="13" t="s">
        <v>1796</v>
      </c>
      <c r="AN48" s="13" t="s">
        <v>1796</v>
      </c>
      <c r="AO48" s="13" t="s">
        <v>3104</v>
      </c>
      <c r="AP48" s="13" t="s">
        <v>1740</v>
      </c>
      <c r="AQ48" s="13" t="s">
        <v>3161</v>
      </c>
      <c r="AR48" s="13" t="s">
        <v>3251</v>
      </c>
      <c r="AS48" s="13" t="s">
        <v>3338</v>
      </c>
      <c r="AT48" s="13" t="s">
        <v>3346</v>
      </c>
      <c r="AU48" s="13"/>
      <c r="AV48" s="13" t="s">
        <v>1830</v>
      </c>
      <c r="AW48" s="13" t="s">
        <v>1830</v>
      </c>
      <c r="AX48" s="13" t="s">
        <v>1876</v>
      </c>
      <c r="AY48" s="13" t="s">
        <v>1882</v>
      </c>
      <c r="AZ48" s="13" t="s">
        <v>1728</v>
      </c>
      <c r="BA48" s="13" t="s">
        <v>1883</v>
      </c>
      <c r="BB48" s="13" t="s">
        <v>1723</v>
      </c>
      <c r="BC48" s="13" t="s">
        <v>1896</v>
      </c>
      <c r="BD48" s="13" t="s">
        <v>1728</v>
      </c>
      <c r="BE48" s="13" t="s">
        <v>1740</v>
      </c>
      <c r="BF48" s="13" t="s">
        <v>1740</v>
      </c>
      <c r="BG48" s="13" t="s">
        <v>3441</v>
      </c>
      <c r="BH48" s="13" t="s">
        <v>1566</v>
      </c>
      <c r="BI48" s="13" t="s">
        <v>1918</v>
      </c>
      <c r="BJ48" s="13" t="s">
        <v>3460</v>
      </c>
      <c r="BK48" s="13" t="s">
        <v>3351</v>
      </c>
      <c r="BL48" s="13" t="s">
        <v>1953</v>
      </c>
      <c r="BM48" s="13" t="s">
        <v>247</v>
      </c>
      <c r="BN48" s="13" t="s">
        <v>3099</v>
      </c>
      <c r="BO48" s="13" t="s">
        <v>3478</v>
      </c>
      <c r="BP48" s="13" t="s">
        <v>3479</v>
      </c>
      <c r="BQ48" s="13" t="s">
        <v>3538</v>
      </c>
      <c r="BR48" s="13" t="s">
        <v>2005</v>
      </c>
      <c r="BS48" s="13" t="s">
        <v>3479</v>
      </c>
      <c r="BT48" s="13" t="s">
        <v>1796</v>
      </c>
      <c r="BU48" s="13" t="s">
        <v>1792</v>
      </c>
      <c r="BV48" s="13" t="s">
        <v>2005</v>
      </c>
      <c r="BW48" s="13" t="s">
        <v>2013</v>
      </c>
      <c r="BX48" s="13" t="s">
        <v>1830</v>
      </c>
      <c r="BY48" s="311" t="s">
        <v>2060</v>
      </c>
    </row>
    <row r="49" spans="1:77">
      <c r="A49" s="2">
        <v>44</v>
      </c>
      <c r="B49" s="55">
        <f>INDEX(順位表[Comprehensive],MATCH($C49,順位表['#],0))</f>
        <v>8</v>
      </c>
      <c r="C49" s="3">
        <v>44</v>
      </c>
      <c r="D49" s="1" t="str">
        <f>INDEX(都市マスタ[City Name],MATCH($C49,都市マスタ['#],0))</f>
        <v>Dubai</v>
      </c>
      <c r="E49" s="13" t="s">
        <v>1561</v>
      </c>
      <c r="F49" s="13" t="s">
        <v>1561</v>
      </c>
      <c r="G49" s="13" t="s">
        <v>1914</v>
      </c>
      <c r="H49" s="13" t="s">
        <v>1561</v>
      </c>
      <c r="I49" s="13"/>
      <c r="J49" s="13" t="s">
        <v>1632</v>
      </c>
      <c r="K49" s="13" t="s">
        <v>1566</v>
      </c>
      <c r="L49" s="13"/>
      <c r="M49" s="13" t="s">
        <v>1637</v>
      </c>
      <c r="N49" s="13" t="s">
        <v>1561</v>
      </c>
      <c r="O49" s="13" t="s">
        <v>1561</v>
      </c>
      <c r="P49" s="13" t="s">
        <v>1714</v>
      </c>
      <c r="Q49" s="13" t="s">
        <v>3030</v>
      </c>
      <c r="R49" s="13" t="s">
        <v>3035</v>
      </c>
      <c r="S49" s="13" t="s">
        <v>1720</v>
      </c>
      <c r="T49" s="13" t="s">
        <v>1914</v>
      </c>
      <c r="U49" s="13" t="s">
        <v>1724</v>
      </c>
      <c r="V49" s="13" t="s">
        <v>1726</v>
      </c>
      <c r="W49" s="13" t="s">
        <v>1728</v>
      </c>
      <c r="X49" s="13" t="s">
        <v>1726</v>
      </c>
      <c r="Y49" s="13" t="s">
        <v>1566</v>
      </c>
      <c r="Z49" s="13" t="s">
        <v>1731</v>
      </c>
      <c r="AA49" s="13" t="s">
        <v>1726</v>
      </c>
      <c r="AB49" s="13" t="s">
        <v>3077</v>
      </c>
      <c r="AC49" s="13" t="s">
        <v>3079</v>
      </c>
      <c r="AD49" s="13" t="s">
        <v>3082</v>
      </c>
      <c r="AE49" s="13" t="s">
        <v>3095</v>
      </c>
      <c r="AF49" s="13" t="s">
        <v>1738</v>
      </c>
      <c r="AG49" s="13" t="s">
        <v>1740</v>
      </c>
      <c r="AH49" s="13" t="s">
        <v>1741</v>
      </c>
      <c r="AI49" s="13" t="s">
        <v>1785</v>
      </c>
      <c r="AJ49" s="13" t="s">
        <v>3103</v>
      </c>
      <c r="AK49" s="13" t="s">
        <v>1792</v>
      </c>
      <c r="AL49" s="13" t="s">
        <v>1794</v>
      </c>
      <c r="AM49" s="13" t="s">
        <v>1796</v>
      </c>
      <c r="AN49" s="13" t="s">
        <v>1796</v>
      </c>
      <c r="AO49" s="13" t="s">
        <v>3104</v>
      </c>
      <c r="AP49" s="13" t="s">
        <v>1740</v>
      </c>
      <c r="AQ49" s="13" t="s">
        <v>1822</v>
      </c>
      <c r="AR49" s="13" t="s">
        <v>3252</v>
      </c>
      <c r="AS49" s="13" t="s">
        <v>3339</v>
      </c>
      <c r="AT49" s="13" t="s">
        <v>3346</v>
      </c>
      <c r="AU49" s="13"/>
      <c r="AV49" s="13" t="s">
        <v>1830</v>
      </c>
      <c r="AW49" s="13" t="s">
        <v>1830</v>
      </c>
      <c r="AX49" s="13" t="s">
        <v>1877</v>
      </c>
      <c r="AY49" s="13" t="s">
        <v>1882</v>
      </c>
      <c r="AZ49" s="13" t="s">
        <v>1728</v>
      </c>
      <c r="BA49" s="13" t="s">
        <v>1883</v>
      </c>
      <c r="BB49" s="13" t="s">
        <v>1723</v>
      </c>
      <c r="BC49" s="13" t="s">
        <v>1896</v>
      </c>
      <c r="BD49" s="13" t="s">
        <v>1728</v>
      </c>
      <c r="BE49" s="13" t="s">
        <v>1740</v>
      </c>
      <c r="BF49" s="13" t="s">
        <v>1740</v>
      </c>
      <c r="BG49" s="13" t="s">
        <v>1738</v>
      </c>
      <c r="BH49" s="13" t="s">
        <v>1566</v>
      </c>
      <c r="BI49" s="13" t="s">
        <v>1915</v>
      </c>
      <c r="BJ49" s="13" t="s">
        <v>3460</v>
      </c>
      <c r="BK49" s="13" t="s">
        <v>3351</v>
      </c>
      <c r="BL49" s="13" t="s">
        <v>1954</v>
      </c>
      <c r="BM49" s="13" t="s">
        <v>247</v>
      </c>
      <c r="BN49" s="13" t="s">
        <v>3099</v>
      </c>
      <c r="BO49" s="13" t="s">
        <v>3478</v>
      </c>
      <c r="BP49" s="13" t="s">
        <v>3479</v>
      </c>
      <c r="BQ49" s="13" t="s">
        <v>3539</v>
      </c>
      <c r="BR49" s="13" t="s">
        <v>2006</v>
      </c>
      <c r="BS49" s="13" t="s">
        <v>3479</v>
      </c>
      <c r="BT49" s="13" t="s">
        <v>1796</v>
      </c>
      <c r="BU49" s="13" t="s">
        <v>1792</v>
      </c>
      <c r="BV49" s="13" t="s">
        <v>2006</v>
      </c>
      <c r="BW49" s="13" t="s">
        <v>2013</v>
      </c>
      <c r="BX49" s="13" t="s">
        <v>1830</v>
      </c>
      <c r="BY49" s="311" t="s">
        <v>2061</v>
      </c>
    </row>
    <row r="50" spans="1:77">
      <c r="A50" s="2">
        <v>45</v>
      </c>
      <c r="B50" s="55">
        <f>INDEX(順位表[Comprehensive],MATCH($C50,順位表['#],0))</f>
        <v>28</v>
      </c>
      <c r="C50" s="3">
        <v>45</v>
      </c>
      <c r="D50" s="1" t="str">
        <f>INDEX(都市マスタ[City Name],MATCH($C50,都市マスタ['#],0))</f>
        <v>Dublin</v>
      </c>
      <c r="E50" s="13" t="s">
        <v>1562</v>
      </c>
      <c r="F50" s="13" t="s">
        <v>1562</v>
      </c>
      <c r="G50" s="13" t="s">
        <v>1914</v>
      </c>
      <c r="H50" s="13" t="s">
        <v>1597</v>
      </c>
      <c r="I50" s="13" t="s">
        <v>2873</v>
      </c>
      <c r="J50" s="13" t="s">
        <v>2907</v>
      </c>
      <c r="K50" s="13" t="s">
        <v>1566</v>
      </c>
      <c r="L50" s="13"/>
      <c r="M50" s="13" t="s">
        <v>1637</v>
      </c>
      <c r="N50" s="13" t="s">
        <v>1562</v>
      </c>
      <c r="O50" s="13" t="s">
        <v>2986</v>
      </c>
      <c r="P50" s="13" t="s">
        <v>1715</v>
      </c>
      <c r="Q50" s="13" t="s">
        <v>3000</v>
      </c>
      <c r="R50" s="13" t="s">
        <v>3035</v>
      </c>
      <c r="S50" s="13" t="s">
        <v>1720</v>
      </c>
      <c r="T50" s="13" t="s">
        <v>1914</v>
      </c>
      <c r="U50" s="13" t="s">
        <v>1724</v>
      </c>
      <c r="V50" s="13" t="s">
        <v>1726</v>
      </c>
      <c r="W50" s="13" t="s">
        <v>1728</v>
      </c>
      <c r="X50" s="13" t="s">
        <v>1726</v>
      </c>
      <c r="Y50" s="13" t="s">
        <v>1566</v>
      </c>
      <c r="Z50" s="13" t="s">
        <v>1731</v>
      </c>
      <c r="AA50" s="13" t="s">
        <v>1726</v>
      </c>
      <c r="AB50" s="13" t="s">
        <v>3077</v>
      </c>
      <c r="AC50" s="13" t="s">
        <v>3079</v>
      </c>
      <c r="AD50" s="13" t="s">
        <v>3082</v>
      </c>
      <c r="AE50" s="13" t="s">
        <v>3092</v>
      </c>
      <c r="AF50" s="13" t="s">
        <v>1738</v>
      </c>
      <c r="AG50" s="13" t="s">
        <v>1740</v>
      </c>
      <c r="AH50" s="13" t="s">
        <v>1741</v>
      </c>
      <c r="AI50" s="13" t="s">
        <v>1786</v>
      </c>
      <c r="AJ50" s="13" t="s">
        <v>3103</v>
      </c>
      <c r="AK50" s="13" t="s">
        <v>1792</v>
      </c>
      <c r="AL50" s="13" t="s">
        <v>1794</v>
      </c>
      <c r="AM50" s="13" t="s">
        <v>1796</v>
      </c>
      <c r="AN50" s="13" t="s">
        <v>1796</v>
      </c>
      <c r="AO50" s="13" t="s">
        <v>3104</v>
      </c>
      <c r="AP50" s="13" t="s">
        <v>1740</v>
      </c>
      <c r="AQ50" s="13" t="s">
        <v>1823</v>
      </c>
      <c r="AR50" s="13" t="s">
        <v>3253</v>
      </c>
      <c r="AS50" s="13" t="s">
        <v>3340</v>
      </c>
      <c r="AT50" s="13" t="s">
        <v>3346</v>
      </c>
      <c r="AU50" s="13"/>
      <c r="AV50" s="13" t="s">
        <v>1830</v>
      </c>
      <c r="AW50" s="13" t="s">
        <v>1830</v>
      </c>
      <c r="AX50" s="13" t="s">
        <v>1878</v>
      </c>
      <c r="AY50" s="13" t="s">
        <v>1882</v>
      </c>
      <c r="AZ50" s="13" t="s">
        <v>1728</v>
      </c>
      <c r="BA50" s="13" t="s">
        <v>1883</v>
      </c>
      <c r="BB50" s="13" t="s">
        <v>1723</v>
      </c>
      <c r="BC50" s="13" t="s">
        <v>1895</v>
      </c>
      <c r="BD50" s="13" t="s">
        <v>1728</v>
      </c>
      <c r="BE50" s="13" t="s">
        <v>1740</v>
      </c>
      <c r="BF50" s="13" t="s">
        <v>1740</v>
      </c>
      <c r="BG50" s="13" t="s">
        <v>3442</v>
      </c>
      <c r="BH50" s="13" t="s">
        <v>1566</v>
      </c>
      <c r="BI50" s="13" t="s">
        <v>1914</v>
      </c>
      <c r="BJ50" s="13" t="s">
        <v>3460</v>
      </c>
      <c r="BK50" s="13" t="s">
        <v>3351</v>
      </c>
      <c r="BL50" s="13" t="s">
        <v>1955</v>
      </c>
      <c r="BM50" s="13" t="s">
        <v>247</v>
      </c>
      <c r="BN50" s="13" t="s">
        <v>3099</v>
      </c>
      <c r="BO50" s="13" t="s">
        <v>3478</v>
      </c>
      <c r="BP50" s="13" t="s">
        <v>3479</v>
      </c>
      <c r="BQ50" s="13" t="s">
        <v>3540</v>
      </c>
      <c r="BR50" s="13" t="s">
        <v>2007</v>
      </c>
      <c r="BS50" s="13" t="s">
        <v>3479</v>
      </c>
      <c r="BT50" s="13" t="s">
        <v>1796</v>
      </c>
      <c r="BU50" s="13" t="s">
        <v>1792</v>
      </c>
      <c r="BV50" s="13" t="s">
        <v>2007</v>
      </c>
      <c r="BW50" s="13" t="s">
        <v>2013</v>
      </c>
      <c r="BX50" s="13" t="s">
        <v>1830</v>
      </c>
      <c r="BY50" s="311" t="s">
        <v>2062</v>
      </c>
    </row>
    <row r="51" spans="1:77">
      <c r="A51" s="2">
        <v>46</v>
      </c>
      <c r="B51" s="55">
        <f>INDEX(順位表[Comprehensive],MATCH($C51,順位表['#],0))</f>
        <v>31</v>
      </c>
      <c r="C51" s="3">
        <v>46</v>
      </c>
      <c r="D51" s="1" t="str">
        <f>INDEX(都市マスタ[City Name],MATCH($C51,都市マスタ['#],0))</f>
        <v>Helsinki</v>
      </c>
      <c r="E51" s="13" t="s">
        <v>1563</v>
      </c>
      <c r="F51" s="13" t="s">
        <v>1563</v>
      </c>
      <c r="G51" s="13" t="s">
        <v>1914</v>
      </c>
      <c r="H51" s="13" t="s">
        <v>2858</v>
      </c>
      <c r="I51" s="13"/>
      <c r="J51" s="13" t="s">
        <v>2908</v>
      </c>
      <c r="K51" s="13" t="s">
        <v>1566</v>
      </c>
      <c r="L51" s="13"/>
      <c r="M51" s="13" t="s">
        <v>1637</v>
      </c>
      <c r="N51" s="13" t="s">
        <v>1657</v>
      </c>
      <c r="O51" s="13" t="s">
        <v>1657</v>
      </c>
      <c r="P51" s="13" t="s">
        <v>1716</v>
      </c>
      <c r="Q51" s="13" t="s">
        <v>3031</v>
      </c>
      <c r="R51" s="13" t="s">
        <v>3035</v>
      </c>
      <c r="S51" s="13" t="s">
        <v>1720</v>
      </c>
      <c r="T51" s="13" t="s">
        <v>1914</v>
      </c>
      <c r="U51" s="13" t="s">
        <v>1724</v>
      </c>
      <c r="V51" s="13" t="s">
        <v>1726</v>
      </c>
      <c r="W51" s="13" t="s">
        <v>1728</v>
      </c>
      <c r="X51" s="13" t="s">
        <v>1726</v>
      </c>
      <c r="Y51" s="13" t="s">
        <v>1566</v>
      </c>
      <c r="Z51" s="13" t="s">
        <v>1731</v>
      </c>
      <c r="AA51" s="13" t="s">
        <v>1726</v>
      </c>
      <c r="AB51" s="13" t="s">
        <v>3077</v>
      </c>
      <c r="AC51" s="13" t="s">
        <v>3079</v>
      </c>
      <c r="AD51" s="13" t="s">
        <v>3082</v>
      </c>
      <c r="AE51" s="13" t="s">
        <v>3092</v>
      </c>
      <c r="AF51" s="13" t="s">
        <v>1738</v>
      </c>
      <c r="AG51" s="13" t="s">
        <v>1740</v>
      </c>
      <c r="AH51" s="13" t="s">
        <v>1741</v>
      </c>
      <c r="AI51" s="13" t="s">
        <v>1787</v>
      </c>
      <c r="AJ51" s="13" t="s">
        <v>3103</v>
      </c>
      <c r="AK51" s="13" t="s">
        <v>1792</v>
      </c>
      <c r="AL51" s="13" t="s">
        <v>1794</v>
      </c>
      <c r="AM51" s="13" t="s">
        <v>1796</v>
      </c>
      <c r="AN51" s="13" t="s">
        <v>1796</v>
      </c>
      <c r="AO51" s="13" t="s">
        <v>3104</v>
      </c>
      <c r="AP51" s="13" t="s">
        <v>1740</v>
      </c>
      <c r="AQ51" s="13" t="s">
        <v>1824</v>
      </c>
      <c r="AR51" s="13" t="s">
        <v>3254</v>
      </c>
      <c r="AS51" s="13" t="s">
        <v>3341</v>
      </c>
      <c r="AT51" s="13" t="s">
        <v>3346</v>
      </c>
      <c r="AU51" s="13"/>
      <c r="AV51" s="13" t="s">
        <v>1830</v>
      </c>
      <c r="AW51" s="13" t="s">
        <v>1830</v>
      </c>
      <c r="AX51" s="13" t="s">
        <v>1879</v>
      </c>
      <c r="AY51" s="13" t="s">
        <v>1882</v>
      </c>
      <c r="AZ51" s="13" t="s">
        <v>1728</v>
      </c>
      <c r="BA51" s="13" t="s">
        <v>1883</v>
      </c>
      <c r="BB51" s="13" t="s">
        <v>1723</v>
      </c>
      <c r="BC51" s="13" t="s">
        <v>1895</v>
      </c>
      <c r="BD51" s="13" t="s">
        <v>1728</v>
      </c>
      <c r="BE51" s="13" t="s">
        <v>1740</v>
      </c>
      <c r="BF51" s="13" t="s">
        <v>1740</v>
      </c>
      <c r="BG51" s="13" t="s">
        <v>1738</v>
      </c>
      <c r="BH51" s="13" t="s">
        <v>1566</v>
      </c>
      <c r="BI51" s="13" t="s">
        <v>1914</v>
      </c>
      <c r="BJ51" s="13" t="s">
        <v>3460</v>
      </c>
      <c r="BK51" s="13" t="s">
        <v>3351</v>
      </c>
      <c r="BL51" s="13" t="s">
        <v>1956</v>
      </c>
      <c r="BM51" s="13" t="s">
        <v>247</v>
      </c>
      <c r="BN51" s="13" t="s">
        <v>3099</v>
      </c>
      <c r="BO51" s="13" t="s">
        <v>3478</v>
      </c>
      <c r="BP51" s="13" t="s">
        <v>3479</v>
      </c>
      <c r="BQ51" s="13" t="s">
        <v>3541</v>
      </c>
      <c r="BR51" s="13" t="s">
        <v>2008</v>
      </c>
      <c r="BS51" s="13" t="s">
        <v>3479</v>
      </c>
      <c r="BT51" s="13" t="s">
        <v>1796</v>
      </c>
      <c r="BU51" s="13" t="s">
        <v>1792</v>
      </c>
      <c r="BV51" s="13" t="s">
        <v>2008</v>
      </c>
      <c r="BW51" s="13" t="s">
        <v>2013</v>
      </c>
      <c r="BX51" s="13" t="s">
        <v>1830</v>
      </c>
      <c r="BY51" s="311" t="s">
        <v>2063</v>
      </c>
    </row>
    <row r="52" spans="1:77">
      <c r="A52" s="2">
        <v>47</v>
      </c>
      <c r="B52" s="55">
        <f>INDEX(順位表[Comprehensive],MATCH($C52,順位表['#],0))</f>
        <v>40</v>
      </c>
      <c r="C52" s="3">
        <v>47</v>
      </c>
      <c r="D52" s="1" t="str">
        <f>INDEX(都市マスタ[City Name],MATCH($C52,都市マスタ['#],0))</f>
        <v>Tel Aviv</v>
      </c>
      <c r="E52" s="13" t="s">
        <v>1564</v>
      </c>
      <c r="F52" s="13" t="s">
        <v>1564</v>
      </c>
      <c r="G52" s="13" t="s">
        <v>1914</v>
      </c>
      <c r="H52" s="13" t="s">
        <v>2859</v>
      </c>
      <c r="I52" s="13"/>
      <c r="J52" s="13" t="s">
        <v>1633</v>
      </c>
      <c r="K52" s="13" t="s">
        <v>1566</v>
      </c>
      <c r="L52" s="13"/>
      <c r="M52" s="13" t="s">
        <v>1637</v>
      </c>
      <c r="N52" s="13" t="s">
        <v>1564</v>
      </c>
      <c r="O52" s="13" t="s">
        <v>1676</v>
      </c>
      <c r="P52" s="13" t="s">
        <v>1717</v>
      </c>
      <c r="Q52" s="13" t="s">
        <v>3032</v>
      </c>
      <c r="R52" s="13" t="s">
        <v>3035</v>
      </c>
      <c r="S52" s="13" t="s">
        <v>1720</v>
      </c>
      <c r="T52" s="13" t="s">
        <v>1914</v>
      </c>
      <c r="U52" s="13" t="s">
        <v>1724</v>
      </c>
      <c r="V52" s="13" t="s">
        <v>1726</v>
      </c>
      <c r="W52" s="13" t="s">
        <v>1728</v>
      </c>
      <c r="X52" s="13" t="s">
        <v>1726</v>
      </c>
      <c r="Y52" s="13" t="s">
        <v>1566</v>
      </c>
      <c r="Z52" s="13" t="s">
        <v>1731</v>
      </c>
      <c r="AA52" s="13" t="s">
        <v>1726</v>
      </c>
      <c r="AB52" s="13" t="s">
        <v>3077</v>
      </c>
      <c r="AC52" s="13" t="s">
        <v>3079</v>
      </c>
      <c r="AD52" s="13" t="s">
        <v>3082</v>
      </c>
      <c r="AE52" s="13" t="s">
        <v>3092</v>
      </c>
      <c r="AF52" s="13" t="s">
        <v>1738</v>
      </c>
      <c r="AG52" s="13" t="s">
        <v>1740</v>
      </c>
      <c r="AH52" s="13" t="s">
        <v>1741</v>
      </c>
      <c r="AI52" s="13" t="s">
        <v>1788</v>
      </c>
      <c r="AJ52" s="13" t="s">
        <v>3103</v>
      </c>
      <c r="AK52" s="13" t="s">
        <v>1792</v>
      </c>
      <c r="AL52" s="13" t="s">
        <v>1794</v>
      </c>
      <c r="AM52" s="13" t="s">
        <v>1796</v>
      </c>
      <c r="AN52" s="13" t="s">
        <v>1796</v>
      </c>
      <c r="AO52" s="13" t="s">
        <v>3104</v>
      </c>
      <c r="AP52" s="13" t="s">
        <v>1740</v>
      </c>
      <c r="AQ52" s="13" t="s">
        <v>1825</v>
      </c>
      <c r="AR52" s="13" t="s">
        <v>3255</v>
      </c>
      <c r="AS52" s="13" t="s">
        <v>3342</v>
      </c>
      <c r="AT52" s="13" t="s">
        <v>3346</v>
      </c>
      <c r="AU52" s="13"/>
      <c r="AV52" s="13" t="s">
        <v>1830</v>
      </c>
      <c r="AW52" s="13" t="s">
        <v>1830</v>
      </c>
      <c r="AX52" s="13" t="s">
        <v>1880</v>
      </c>
      <c r="AY52" s="13" t="s">
        <v>1882</v>
      </c>
      <c r="AZ52" s="13" t="s">
        <v>1728</v>
      </c>
      <c r="BA52" s="13" t="s">
        <v>1883</v>
      </c>
      <c r="BB52" s="13" t="s">
        <v>1723</v>
      </c>
      <c r="BC52" s="13" t="s">
        <v>1895</v>
      </c>
      <c r="BD52" s="13" t="s">
        <v>1728</v>
      </c>
      <c r="BE52" s="13" t="s">
        <v>1740</v>
      </c>
      <c r="BF52" s="13" t="s">
        <v>1740</v>
      </c>
      <c r="BG52" s="13" t="s">
        <v>3443</v>
      </c>
      <c r="BH52" s="13" t="s">
        <v>1566</v>
      </c>
      <c r="BI52" s="13" t="s">
        <v>1914</v>
      </c>
      <c r="BJ52" s="13" t="s">
        <v>3460</v>
      </c>
      <c r="BK52" s="13" t="s">
        <v>3351</v>
      </c>
      <c r="BL52" s="13" t="s">
        <v>1957</v>
      </c>
      <c r="BM52" s="13" t="s">
        <v>247</v>
      </c>
      <c r="BN52" s="13" t="s">
        <v>3099</v>
      </c>
      <c r="BO52" s="13" t="s">
        <v>3478</v>
      </c>
      <c r="BP52" s="13" t="s">
        <v>3479</v>
      </c>
      <c r="BQ52" s="13" t="s">
        <v>3542</v>
      </c>
      <c r="BR52" s="13" t="s">
        <v>2009</v>
      </c>
      <c r="BS52" s="13" t="s">
        <v>3479</v>
      </c>
      <c r="BT52" s="13" t="s">
        <v>1796</v>
      </c>
      <c r="BU52" s="13" t="s">
        <v>1792</v>
      </c>
      <c r="BV52" s="13" t="s">
        <v>2009</v>
      </c>
      <c r="BW52" s="13" t="s">
        <v>2013</v>
      </c>
      <c r="BX52" s="13" t="s">
        <v>1830</v>
      </c>
      <c r="BY52" s="311" t="s">
        <v>2064</v>
      </c>
    </row>
    <row r="53" spans="1:77">
      <c r="A53" s="2">
        <v>48</v>
      </c>
      <c r="B53" s="55">
        <f>INDEX(順位表[Comprehensive],MATCH($C53,順位表['#],0))</f>
        <v>9</v>
      </c>
      <c r="C53" s="271">
        <v>48</v>
      </c>
      <c r="D53" s="1" t="str">
        <f>INDEX(都市マスタ[City Name],MATCH($C53,都市マスタ['#],0))</f>
        <v>Melbourne</v>
      </c>
      <c r="E53" s="312" t="s">
        <v>1565</v>
      </c>
      <c r="F53" s="312" t="s">
        <v>1565</v>
      </c>
      <c r="G53" s="312" t="s">
        <v>1914</v>
      </c>
      <c r="H53" s="312" t="s">
        <v>1598</v>
      </c>
      <c r="I53" s="312"/>
      <c r="J53" s="312" t="s">
        <v>1634</v>
      </c>
      <c r="K53" s="312" t="s">
        <v>1566</v>
      </c>
      <c r="L53" s="312"/>
      <c r="M53" s="312" t="s">
        <v>1637</v>
      </c>
      <c r="N53" s="312" t="s">
        <v>1565</v>
      </c>
      <c r="O53" s="312" t="s">
        <v>1565</v>
      </c>
      <c r="P53" s="312" t="s">
        <v>1718</v>
      </c>
      <c r="Q53" s="312" t="s">
        <v>3000</v>
      </c>
      <c r="R53" s="312" t="s">
        <v>3035</v>
      </c>
      <c r="S53" s="312" t="s">
        <v>1720</v>
      </c>
      <c r="T53" s="312" t="s">
        <v>1914</v>
      </c>
      <c r="U53" s="312" t="s">
        <v>3054</v>
      </c>
      <c r="V53" s="312" t="s">
        <v>1726</v>
      </c>
      <c r="W53" s="312" t="s">
        <v>1728</v>
      </c>
      <c r="X53" s="312" t="s">
        <v>1726</v>
      </c>
      <c r="Y53" s="312" t="s">
        <v>1566</v>
      </c>
      <c r="Z53" s="312" t="s">
        <v>1731</v>
      </c>
      <c r="AA53" s="312" t="s">
        <v>1726</v>
      </c>
      <c r="AB53" s="312" t="s">
        <v>3077</v>
      </c>
      <c r="AC53" s="312" t="s">
        <v>3079</v>
      </c>
      <c r="AD53" s="312" t="s">
        <v>3082</v>
      </c>
      <c r="AE53" s="312" t="s">
        <v>3092</v>
      </c>
      <c r="AF53" s="312" t="s">
        <v>1738</v>
      </c>
      <c r="AG53" s="312" t="s">
        <v>1740</v>
      </c>
      <c r="AH53" s="312" t="s">
        <v>1741</v>
      </c>
      <c r="AI53" s="312" t="s">
        <v>1789</v>
      </c>
      <c r="AJ53" s="312" t="s">
        <v>3103</v>
      </c>
      <c r="AK53" s="312" t="s">
        <v>1792</v>
      </c>
      <c r="AL53" s="312" t="s">
        <v>1794</v>
      </c>
      <c r="AM53" s="312" t="s">
        <v>1796</v>
      </c>
      <c r="AN53" s="312" t="s">
        <v>1796</v>
      </c>
      <c r="AO53" s="312" t="s">
        <v>3104</v>
      </c>
      <c r="AP53" s="312" t="s">
        <v>1740</v>
      </c>
      <c r="AQ53" s="312" t="s">
        <v>3162</v>
      </c>
      <c r="AR53" s="312" t="s">
        <v>3256</v>
      </c>
      <c r="AS53" s="312" t="s">
        <v>3343</v>
      </c>
      <c r="AT53" s="312" t="s">
        <v>3346</v>
      </c>
      <c r="AU53" s="312"/>
      <c r="AV53" s="312" t="s">
        <v>1834</v>
      </c>
      <c r="AW53" s="312" t="s">
        <v>3363</v>
      </c>
      <c r="AX53" s="312" t="s">
        <v>1881</v>
      </c>
      <c r="AY53" s="312" t="s">
        <v>1882</v>
      </c>
      <c r="AZ53" s="312" t="s">
        <v>1728</v>
      </c>
      <c r="BA53" s="312" t="s">
        <v>1883</v>
      </c>
      <c r="BB53" s="312" t="s">
        <v>1723</v>
      </c>
      <c r="BC53" s="312" t="s">
        <v>1895</v>
      </c>
      <c r="BD53" s="312" t="s">
        <v>1728</v>
      </c>
      <c r="BE53" s="312" t="s">
        <v>1740</v>
      </c>
      <c r="BF53" s="312" t="s">
        <v>1740</v>
      </c>
      <c r="BG53" s="312" t="s">
        <v>3444</v>
      </c>
      <c r="BH53" s="312" t="s">
        <v>1566</v>
      </c>
      <c r="BI53" s="312" t="s">
        <v>1914</v>
      </c>
      <c r="BJ53" s="312" t="s">
        <v>3460</v>
      </c>
      <c r="BK53" s="312" t="s">
        <v>3351</v>
      </c>
      <c r="BL53" s="312" t="s">
        <v>1958</v>
      </c>
      <c r="BM53" s="312" t="s">
        <v>247</v>
      </c>
      <c r="BN53" s="312" t="s">
        <v>3099</v>
      </c>
      <c r="BO53" s="312" t="s">
        <v>3478</v>
      </c>
      <c r="BP53" s="312" t="s">
        <v>3479</v>
      </c>
      <c r="BQ53" s="312" t="s">
        <v>3543</v>
      </c>
      <c r="BR53" s="312" t="s">
        <v>2010</v>
      </c>
      <c r="BS53" s="312" t="s">
        <v>3479</v>
      </c>
      <c r="BT53" s="312" t="s">
        <v>1796</v>
      </c>
      <c r="BU53" s="312" t="s">
        <v>1792</v>
      </c>
      <c r="BV53" s="312" t="s">
        <v>2010</v>
      </c>
      <c r="BW53" s="312" t="s">
        <v>2013</v>
      </c>
      <c r="BX53" s="312" t="s">
        <v>1830</v>
      </c>
      <c r="BY53" s="313" t="s">
        <v>2065</v>
      </c>
    </row>
    <row r="54" spans="1:77">
      <c r="A54" s="2">
        <v>49</v>
      </c>
      <c r="B54" s="55"/>
      <c r="C54" s="3"/>
      <c r="D54" s="1"/>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row>
    <row r="55" spans="1:77">
      <c r="A55" s="2">
        <v>50</v>
      </c>
      <c r="B55" s="55"/>
      <c r="C55" s="3"/>
      <c r="D55" s="1"/>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row>
    <row r="56" spans="1:77">
      <c r="S56" s="57"/>
    </row>
    <row r="58" spans="1:77">
      <c r="C58"/>
    </row>
    <row r="59" spans="1:77">
      <c r="C59"/>
    </row>
    <row r="60" spans="1:77">
      <c r="C60"/>
    </row>
  </sheetData>
  <autoFilter ref="B5:BY5" xr:uid="{00000000-0009-0000-0000-00001B000000}">
    <sortState xmlns:xlrd2="http://schemas.microsoft.com/office/spreadsheetml/2017/richdata2" ref="B6:BY55">
      <sortCondition ref="B5"/>
    </sortState>
  </autoFilter>
  <sortState xmlns:xlrd2="http://schemas.microsoft.com/office/spreadsheetml/2017/richdata2" ref="B6:BY53">
    <sortCondition ref="C5"/>
  </sortState>
  <phoneticPr fontId="5"/>
  <conditionalFormatting sqref="E6:BY53">
    <cfRule type="expression" dxfId="0" priority="1">
      <formula>OR(E6="-",E6="")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④年次出典範囲">
                <anchor moveWithCells="1" sizeWithCells="1">
                  <from>
                    <xdr:col>2</xdr:col>
                    <xdr:colOff>66675</xdr:colOff>
                    <xdr:row>1</xdr:row>
                    <xdr:rowOff>57150</xdr:rowOff>
                  </from>
                  <to>
                    <xdr:col>3</xdr:col>
                    <xdr:colOff>1009650</xdr:colOff>
                    <xdr:row>3</xdr:row>
                    <xdr:rowOff>142875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B3:E76"/>
  <sheetViews>
    <sheetView showGridLines="0" zoomScaleNormal="100" workbookViewId="0">
      <pane ySplit="3" topLeftCell="A4" activePane="bottomLeft" state="frozen"/>
      <selection activeCell="K27" sqref="K27"/>
      <selection pane="bottomLeft" activeCell="D73" sqref="D73:E76"/>
    </sheetView>
  </sheetViews>
  <sheetFormatPr defaultColWidth="9.28515625" defaultRowHeight="15.75"/>
  <cols>
    <col min="1" max="1" width="2.7109375" style="288" bestFit="1" customWidth="1"/>
    <col min="2" max="2" width="4.42578125" style="288" bestFit="1" customWidth="1"/>
    <col min="3" max="3" width="29.7109375" style="288" customWidth="1"/>
    <col min="4" max="5" width="48" style="288" customWidth="1"/>
    <col min="6" max="16384" width="9.28515625" style="288"/>
  </cols>
  <sheetData>
    <row r="3" spans="2:5">
      <c r="B3" s="291" t="s">
        <v>674</v>
      </c>
      <c r="C3" s="291" t="s">
        <v>2382</v>
      </c>
      <c r="D3" s="291" t="s">
        <v>454</v>
      </c>
      <c r="E3" s="291" t="s">
        <v>544</v>
      </c>
    </row>
    <row r="4" spans="2:5">
      <c r="B4" s="289" t="s">
        <v>677</v>
      </c>
      <c r="C4" s="322" t="s">
        <v>2385</v>
      </c>
      <c r="D4" s="314" t="s">
        <v>2078</v>
      </c>
      <c r="E4" s="314" t="s">
        <v>2079</v>
      </c>
    </row>
    <row r="5" spans="2:5">
      <c r="B5" s="289" t="s">
        <v>676</v>
      </c>
      <c r="C5" s="322" t="s">
        <v>2386</v>
      </c>
      <c r="D5" s="289" t="s">
        <v>2080</v>
      </c>
      <c r="E5" s="289" t="s">
        <v>2081</v>
      </c>
    </row>
    <row r="6" spans="2:5" ht="31.5">
      <c r="B6" s="289" t="s">
        <v>675</v>
      </c>
      <c r="C6" s="322" t="s">
        <v>2387</v>
      </c>
      <c r="D6" s="314" t="s">
        <v>2082</v>
      </c>
      <c r="E6" s="314" t="s">
        <v>2074</v>
      </c>
    </row>
    <row r="7" spans="2:5">
      <c r="B7" s="290" t="s">
        <v>659</v>
      </c>
      <c r="C7" s="322" t="s">
        <v>2388</v>
      </c>
      <c r="D7" s="314" t="s">
        <v>2083</v>
      </c>
      <c r="E7" s="314" t="s">
        <v>2084</v>
      </c>
    </row>
    <row r="8" spans="2:5">
      <c r="B8" s="290" t="s">
        <v>660</v>
      </c>
      <c r="C8" s="322" t="s">
        <v>2389</v>
      </c>
      <c r="D8" s="314" t="s">
        <v>2085</v>
      </c>
      <c r="E8" s="315" t="s">
        <v>2086</v>
      </c>
    </row>
    <row r="9" spans="2:5" ht="31.5">
      <c r="B9" s="290" t="s">
        <v>661</v>
      </c>
      <c r="C9" s="322" t="s">
        <v>2390</v>
      </c>
      <c r="D9" s="314" t="s">
        <v>2087</v>
      </c>
      <c r="E9" s="314" t="s">
        <v>2088</v>
      </c>
    </row>
    <row r="10" spans="2:5" ht="31.5">
      <c r="B10" s="290" t="s">
        <v>662</v>
      </c>
      <c r="C10" s="322" t="s">
        <v>2391</v>
      </c>
      <c r="D10" s="314" t="s">
        <v>2089</v>
      </c>
      <c r="E10" s="314" t="s">
        <v>2090</v>
      </c>
    </row>
    <row r="11" spans="2:5" ht="47.25">
      <c r="B11" s="290" t="s">
        <v>663</v>
      </c>
      <c r="C11" s="322" t="s">
        <v>2392</v>
      </c>
      <c r="D11" s="314" t="s">
        <v>2091</v>
      </c>
      <c r="E11" s="314" t="s">
        <v>2092</v>
      </c>
    </row>
    <row r="12" spans="2:5" ht="47.25">
      <c r="B12" s="290" t="s">
        <v>664</v>
      </c>
      <c r="C12" s="322" t="s">
        <v>2393</v>
      </c>
      <c r="D12" s="314" t="s">
        <v>2093</v>
      </c>
      <c r="E12" s="314" t="s">
        <v>2094</v>
      </c>
    </row>
    <row r="13" spans="2:5">
      <c r="B13" s="290" t="s">
        <v>665</v>
      </c>
      <c r="C13" s="322" t="s">
        <v>2394</v>
      </c>
      <c r="D13" s="314" t="s">
        <v>2095</v>
      </c>
      <c r="E13" s="314" t="s">
        <v>2096</v>
      </c>
    </row>
    <row r="14" spans="2:5" ht="63">
      <c r="B14" s="290" t="s">
        <v>666</v>
      </c>
      <c r="C14" s="322" t="s">
        <v>2395</v>
      </c>
      <c r="D14" s="314" t="s">
        <v>2097</v>
      </c>
      <c r="E14" s="314" t="s">
        <v>2098</v>
      </c>
    </row>
    <row r="15" spans="2:5" ht="31.5">
      <c r="B15" s="290" t="s">
        <v>667</v>
      </c>
      <c r="C15" s="322" t="s">
        <v>2396</v>
      </c>
      <c r="D15" s="314" t="s">
        <v>2099</v>
      </c>
      <c r="E15" s="314" t="s">
        <v>2100</v>
      </c>
    </row>
    <row r="16" spans="2:5" ht="141.75">
      <c r="B16" s="290" t="s">
        <v>546</v>
      </c>
      <c r="C16" s="322" t="s">
        <v>2397</v>
      </c>
      <c r="D16" s="314" t="s">
        <v>2101</v>
      </c>
      <c r="E16" s="314" t="s">
        <v>2102</v>
      </c>
    </row>
    <row r="17" spans="2:5" ht="126">
      <c r="B17" s="290" t="s">
        <v>547</v>
      </c>
      <c r="C17" s="322" t="s">
        <v>2398</v>
      </c>
      <c r="D17" s="314" t="s">
        <v>2103</v>
      </c>
      <c r="E17" s="314" t="s">
        <v>2104</v>
      </c>
    </row>
    <row r="18" spans="2:5" ht="31.5">
      <c r="B18" s="290" t="s">
        <v>548</v>
      </c>
      <c r="C18" s="322" t="s">
        <v>2399</v>
      </c>
      <c r="D18" s="314" t="s">
        <v>2105</v>
      </c>
      <c r="E18" s="314" t="s">
        <v>2106</v>
      </c>
    </row>
    <row r="19" spans="2:5" ht="94.5">
      <c r="B19" s="290" t="s">
        <v>549</v>
      </c>
      <c r="C19" s="322" t="s">
        <v>2400</v>
      </c>
      <c r="D19" s="314" t="s">
        <v>2107</v>
      </c>
      <c r="E19" s="314" t="s">
        <v>457</v>
      </c>
    </row>
    <row r="20" spans="2:5" ht="47.25">
      <c r="B20" s="290" t="s">
        <v>550</v>
      </c>
      <c r="C20" s="322" t="s">
        <v>2401</v>
      </c>
      <c r="D20" s="314" t="s">
        <v>2108</v>
      </c>
      <c r="E20" s="314" t="s">
        <v>2109</v>
      </c>
    </row>
    <row r="21" spans="2:5" ht="63">
      <c r="B21" s="290" t="s">
        <v>551</v>
      </c>
      <c r="C21" s="322" t="s">
        <v>2402</v>
      </c>
      <c r="D21" s="314" t="s">
        <v>2110</v>
      </c>
      <c r="E21" s="314" t="s">
        <v>2111</v>
      </c>
    </row>
    <row r="22" spans="2:5" ht="63">
      <c r="B22" s="290" t="s">
        <v>552</v>
      </c>
      <c r="C22" s="322" t="s">
        <v>2403</v>
      </c>
      <c r="D22" s="314" t="s">
        <v>2112</v>
      </c>
      <c r="E22" s="314" t="s">
        <v>2113</v>
      </c>
    </row>
    <row r="23" spans="2:5" ht="94.5">
      <c r="B23" s="290" t="s">
        <v>553</v>
      </c>
      <c r="C23" s="322" t="s">
        <v>2404</v>
      </c>
      <c r="D23" s="314" t="s">
        <v>2114</v>
      </c>
      <c r="E23" s="314" t="s">
        <v>2115</v>
      </c>
    </row>
    <row r="24" spans="2:5" ht="47.25">
      <c r="B24" s="290" t="s">
        <v>554</v>
      </c>
      <c r="C24" s="322" t="s">
        <v>2405</v>
      </c>
      <c r="D24" s="314" t="s">
        <v>2116</v>
      </c>
      <c r="E24" s="314" t="s">
        <v>2117</v>
      </c>
    </row>
    <row r="25" spans="2:5" ht="63">
      <c r="B25" s="290" t="s">
        <v>555</v>
      </c>
      <c r="C25" s="322" t="s">
        <v>2406</v>
      </c>
      <c r="D25" s="314" t="s">
        <v>2118</v>
      </c>
      <c r="E25" s="314" t="s">
        <v>2119</v>
      </c>
    </row>
    <row r="26" spans="2:5" ht="126">
      <c r="B26" s="290" t="s">
        <v>556</v>
      </c>
      <c r="C26" s="322" t="s">
        <v>2407</v>
      </c>
      <c r="D26" s="314" t="s">
        <v>2120</v>
      </c>
      <c r="E26" s="314" t="s">
        <v>2121</v>
      </c>
    </row>
    <row r="27" spans="2:5" ht="47.25">
      <c r="B27" s="290" t="s">
        <v>557</v>
      </c>
      <c r="C27" s="322" t="s">
        <v>2483</v>
      </c>
      <c r="D27" s="289" t="s">
        <v>2122</v>
      </c>
      <c r="E27" s="314" t="s">
        <v>2123</v>
      </c>
    </row>
    <row r="28" spans="2:5" ht="47.25">
      <c r="B28" s="290" t="s">
        <v>558</v>
      </c>
      <c r="C28" s="322" t="s">
        <v>2408</v>
      </c>
      <c r="D28" s="314" t="s">
        <v>2124</v>
      </c>
      <c r="E28" s="314" t="s">
        <v>2125</v>
      </c>
    </row>
    <row r="29" spans="2:5" ht="110.25">
      <c r="B29" s="290" t="s">
        <v>559</v>
      </c>
      <c r="C29" s="322" t="s">
        <v>2409</v>
      </c>
      <c r="D29" s="314" t="s">
        <v>2126</v>
      </c>
      <c r="E29" s="314" t="s">
        <v>2127</v>
      </c>
    </row>
    <row r="30" spans="2:5" ht="141.75">
      <c r="B30" s="290" t="s">
        <v>560</v>
      </c>
      <c r="C30" s="322" t="s">
        <v>2410</v>
      </c>
      <c r="D30" s="314" t="s">
        <v>2128</v>
      </c>
      <c r="E30" s="314" t="s">
        <v>2129</v>
      </c>
    </row>
    <row r="31" spans="2:5" ht="110.25">
      <c r="B31" s="290" t="s">
        <v>561</v>
      </c>
      <c r="C31" s="322" t="s">
        <v>2411</v>
      </c>
      <c r="D31" s="314" t="s">
        <v>2130</v>
      </c>
      <c r="E31" s="314" t="s">
        <v>2131</v>
      </c>
    </row>
    <row r="32" spans="2:5" ht="94.5">
      <c r="B32" s="290" t="s">
        <v>562</v>
      </c>
      <c r="C32" s="322" t="s">
        <v>2412</v>
      </c>
      <c r="D32" s="314" t="s">
        <v>2132</v>
      </c>
      <c r="E32" s="314" t="s">
        <v>2133</v>
      </c>
    </row>
    <row r="33" spans="2:5" ht="47.25">
      <c r="B33" s="290" t="s">
        <v>563</v>
      </c>
      <c r="C33" s="322" t="s">
        <v>2413</v>
      </c>
      <c r="D33" s="314" t="s">
        <v>2134</v>
      </c>
      <c r="E33" s="314" t="s">
        <v>2135</v>
      </c>
    </row>
    <row r="34" spans="2:5" ht="78.75">
      <c r="B34" s="290" t="s">
        <v>564</v>
      </c>
      <c r="C34" s="322" t="s">
        <v>2414</v>
      </c>
      <c r="D34" s="314" t="s">
        <v>2136</v>
      </c>
      <c r="E34" s="314" t="s">
        <v>2137</v>
      </c>
    </row>
    <row r="35" spans="2:5" ht="63">
      <c r="B35" s="290" t="s">
        <v>565</v>
      </c>
      <c r="C35" s="322" t="s">
        <v>2415</v>
      </c>
      <c r="D35" s="314" t="s">
        <v>2138</v>
      </c>
      <c r="E35" s="314" t="s">
        <v>2139</v>
      </c>
    </row>
    <row r="36" spans="2:5" ht="31.5">
      <c r="B36" s="290" t="s">
        <v>566</v>
      </c>
      <c r="C36" s="322" t="s">
        <v>2416</v>
      </c>
      <c r="D36" s="314" t="s">
        <v>2140</v>
      </c>
      <c r="E36" s="314" t="s">
        <v>2141</v>
      </c>
    </row>
    <row r="37" spans="2:5" ht="47.25">
      <c r="B37" s="290" t="s">
        <v>567</v>
      </c>
      <c r="C37" s="322" t="s">
        <v>2417</v>
      </c>
      <c r="D37" s="314" t="s">
        <v>2142</v>
      </c>
      <c r="E37" s="314" t="s">
        <v>2143</v>
      </c>
    </row>
    <row r="38" spans="2:5" ht="31.5">
      <c r="B38" s="290" t="s">
        <v>568</v>
      </c>
      <c r="C38" s="322" t="s">
        <v>2418</v>
      </c>
      <c r="D38" s="314" t="s">
        <v>2144</v>
      </c>
      <c r="E38" s="314" t="s">
        <v>2145</v>
      </c>
    </row>
    <row r="39" spans="2:5" ht="31.5">
      <c r="B39" s="290" t="s">
        <v>569</v>
      </c>
      <c r="C39" s="322" t="s">
        <v>2419</v>
      </c>
      <c r="D39" s="314" t="s">
        <v>2146</v>
      </c>
      <c r="E39" s="314" t="s">
        <v>2147</v>
      </c>
    </row>
    <row r="40" spans="2:5" ht="78.75">
      <c r="B40" s="290" t="s">
        <v>570</v>
      </c>
      <c r="C40" s="322" t="s">
        <v>2420</v>
      </c>
      <c r="D40" s="289" t="s">
        <v>2148</v>
      </c>
      <c r="E40" s="289" t="s">
        <v>2149</v>
      </c>
    </row>
    <row r="41" spans="2:5" ht="94.5">
      <c r="B41" s="290" t="s">
        <v>571</v>
      </c>
      <c r="C41" s="322" t="s">
        <v>2421</v>
      </c>
      <c r="D41" s="314" t="s">
        <v>2150</v>
      </c>
      <c r="E41" s="314" t="s">
        <v>2151</v>
      </c>
    </row>
    <row r="42" spans="2:5" ht="31.5">
      <c r="B42" s="290" t="s">
        <v>572</v>
      </c>
      <c r="C42" s="322" t="s">
        <v>2422</v>
      </c>
      <c r="D42" s="314" t="s">
        <v>2152</v>
      </c>
      <c r="E42" s="314" t="s">
        <v>2153</v>
      </c>
    </row>
    <row r="43" spans="2:5">
      <c r="B43" s="290" t="s">
        <v>573</v>
      </c>
      <c r="C43" s="322" t="s">
        <v>2423</v>
      </c>
      <c r="D43" s="314" t="s">
        <v>2154</v>
      </c>
      <c r="E43" s="314" t="s">
        <v>2155</v>
      </c>
    </row>
    <row r="44" spans="2:5">
      <c r="B44" s="290" t="s">
        <v>574</v>
      </c>
      <c r="C44" s="322" t="s">
        <v>2424</v>
      </c>
      <c r="D44" s="314" t="s">
        <v>2156</v>
      </c>
      <c r="E44" s="314" t="s">
        <v>2157</v>
      </c>
    </row>
    <row r="45" spans="2:5" ht="31.5">
      <c r="B45" s="290" t="s">
        <v>575</v>
      </c>
      <c r="C45" s="322" t="s">
        <v>2425</v>
      </c>
      <c r="D45" s="314" t="s">
        <v>2158</v>
      </c>
      <c r="E45" s="314" t="s">
        <v>2159</v>
      </c>
    </row>
    <row r="46" spans="2:5" ht="47.25">
      <c r="B46" s="290" t="s">
        <v>576</v>
      </c>
      <c r="C46" s="322" t="s">
        <v>2426</v>
      </c>
      <c r="D46" s="314" t="s">
        <v>2160</v>
      </c>
      <c r="E46" s="314" t="s">
        <v>2161</v>
      </c>
    </row>
    <row r="47" spans="2:5" ht="63">
      <c r="B47" s="290" t="s">
        <v>577</v>
      </c>
      <c r="C47" s="322" t="s">
        <v>2427</v>
      </c>
      <c r="D47" s="314" t="s">
        <v>2162</v>
      </c>
      <c r="E47" s="314" t="s">
        <v>2163</v>
      </c>
    </row>
    <row r="48" spans="2:5" ht="31.5">
      <c r="B48" s="290" t="s">
        <v>578</v>
      </c>
      <c r="C48" s="322" t="s">
        <v>2428</v>
      </c>
      <c r="D48" s="314" t="s">
        <v>2164</v>
      </c>
      <c r="E48" s="314" t="s">
        <v>2165</v>
      </c>
    </row>
    <row r="49" spans="2:5" ht="31.5">
      <c r="B49" s="290" t="s">
        <v>579</v>
      </c>
      <c r="C49" s="322" t="s">
        <v>2429</v>
      </c>
      <c r="D49" s="314" t="s">
        <v>2166</v>
      </c>
      <c r="E49" s="314" t="s">
        <v>2167</v>
      </c>
    </row>
    <row r="50" spans="2:5" ht="31.5">
      <c r="B50" s="290" t="s">
        <v>580</v>
      </c>
      <c r="C50" s="322" t="s">
        <v>2430</v>
      </c>
      <c r="D50" s="314" t="s">
        <v>2168</v>
      </c>
      <c r="E50" s="314" t="s">
        <v>2169</v>
      </c>
    </row>
    <row r="51" spans="2:5" ht="47.25">
      <c r="B51" s="290" t="s">
        <v>581</v>
      </c>
      <c r="C51" s="322" t="s">
        <v>2431</v>
      </c>
      <c r="D51" s="314" t="s">
        <v>2170</v>
      </c>
      <c r="E51" s="314" t="s">
        <v>2171</v>
      </c>
    </row>
    <row r="52" spans="2:5" ht="141.75">
      <c r="B52" s="290" t="s">
        <v>582</v>
      </c>
      <c r="C52" s="322" t="s">
        <v>2432</v>
      </c>
      <c r="D52" s="314" t="s">
        <v>2172</v>
      </c>
      <c r="E52" s="314" t="s">
        <v>2173</v>
      </c>
    </row>
    <row r="53" spans="2:5" ht="141.75">
      <c r="B53" s="290" t="s">
        <v>583</v>
      </c>
      <c r="C53" s="322" t="s">
        <v>2433</v>
      </c>
      <c r="D53" s="314" t="s">
        <v>2174</v>
      </c>
      <c r="E53" s="314" t="s">
        <v>2175</v>
      </c>
    </row>
    <row r="54" spans="2:5" ht="78.75">
      <c r="B54" s="290" t="s">
        <v>584</v>
      </c>
      <c r="C54" s="322" t="s">
        <v>2434</v>
      </c>
      <c r="D54" s="314" t="s">
        <v>2176</v>
      </c>
      <c r="E54" s="314" t="s">
        <v>2177</v>
      </c>
    </row>
    <row r="55" spans="2:5" ht="63">
      <c r="B55" s="290" t="s">
        <v>585</v>
      </c>
      <c r="C55" s="322" t="s">
        <v>2435</v>
      </c>
      <c r="D55" s="314" t="s">
        <v>2178</v>
      </c>
      <c r="E55" s="314" t="s">
        <v>458</v>
      </c>
    </row>
    <row r="56" spans="2:5" ht="78.75">
      <c r="B56" s="290" t="s">
        <v>586</v>
      </c>
      <c r="C56" s="322" t="s">
        <v>2436</v>
      </c>
      <c r="D56" s="314" t="s">
        <v>2179</v>
      </c>
      <c r="E56" s="314" t="s">
        <v>2180</v>
      </c>
    </row>
    <row r="57" spans="2:5" ht="78.75">
      <c r="B57" s="290" t="s">
        <v>587</v>
      </c>
      <c r="C57" s="322" t="s">
        <v>2437</v>
      </c>
      <c r="D57" s="314" t="s">
        <v>2181</v>
      </c>
      <c r="E57" s="314" t="s">
        <v>2182</v>
      </c>
    </row>
    <row r="58" spans="2:5" ht="63">
      <c r="B58" s="290" t="s">
        <v>588</v>
      </c>
      <c r="C58" s="322" t="s">
        <v>2438</v>
      </c>
      <c r="D58" s="314" t="s">
        <v>2183</v>
      </c>
      <c r="E58" s="314" t="s">
        <v>2184</v>
      </c>
    </row>
    <row r="59" spans="2:5" ht="63">
      <c r="B59" s="290" t="s">
        <v>589</v>
      </c>
      <c r="C59" s="322" t="s">
        <v>2439</v>
      </c>
      <c r="D59" s="316" t="s">
        <v>2185</v>
      </c>
      <c r="E59" s="316" t="s">
        <v>2186</v>
      </c>
    </row>
    <row r="60" spans="2:5" ht="63">
      <c r="B60" s="290" t="s">
        <v>590</v>
      </c>
      <c r="C60" s="322" t="s">
        <v>2440</v>
      </c>
      <c r="D60" s="314" t="s">
        <v>2187</v>
      </c>
      <c r="E60" s="314" t="s">
        <v>2188</v>
      </c>
    </row>
    <row r="61" spans="2:5" ht="47.25">
      <c r="B61" s="290" t="s">
        <v>591</v>
      </c>
      <c r="C61" s="322" t="s">
        <v>2441</v>
      </c>
      <c r="D61" s="314" t="s">
        <v>2189</v>
      </c>
      <c r="E61" s="314" t="s">
        <v>2190</v>
      </c>
    </row>
    <row r="62" spans="2:5" ht="47.25">
      <c r="B62" s="290" t="s">
        <v>592</v>
      </c>
      <c r="C62" s="322" t="s">
        <v>2442</v>
      </c>
      <c r="D62" s="314" t="s">
        <v>2191</v>
      </c>
      <c r="E62" s="314" t="s">
        <v>2192</v>
      </c>
    </row>
    <row r="63" spans="2:5" ht="31.5">
      <c r="B63" s="290" t="s">
        <v>593</v>
      </c>
      <c r="C63" s="322" t="s">
        <v>2443</v>
      </c>
      <c r="D63" s="314" t="s">
        <v>2193</v>
      </c>
      <c r="E63" s="314" t="s">
        <v>2194</v>
      </c>
    </row>
    <row r="64" spans="2:5" ht="47.25">
      <c r="B64" s="290" t="s">
        <v>594</v>
      </c>
      <c r="C64" s="322" t="s">
        <v>2444</v>
      </c>
      <c r="D64" s="321" t="s">
        <v>2484</v>
      </c>
      <c r="E64" s="314" t="s">
        <v>2195</v>
      </c>
    </row>
    <row r="65" spans="2:5" ht="31.5">
      <c r="B65" s="290" t="s">
        <v>595</v>
      </c>
      <c r="C65" s="322" t="s">
        <v>2445</v>
      </c>
      <c r="D65" s="314" t="s">
        <v>2196</v>
      </c>
      <c r="E65" s="314" t="s">
        <v>2197</v>
      </c>
    </row>
    <row r="66" spans="2:5" ht="63">
      <c r="B66" s="290" t="s">
        <v>596</v>
      </c>
      <c r="C66" s="322" t="s">
        <v>2446</v>
      </c>
      <c r="D66" s="314" t="s">
        <v>2198</v>
      </c>
      <c r="E66" s="314" t="s">
        <v>2199</v>
      </c>
    </row>
    <row r="67" spans="2:5" ht="47.25">
      <c r="B67" s="290" t="s">
        <v>597</v>
      </c>
      <c r="C67" s="322" t="s">
        <v>2447</v>
      </c>
      <c r="D67" s="316" t="s">
        <v>2200</v>
      </c>
      <c r="E67" s="316" t="s">
        <v>2201</v>
      </c>
    </row>
    <row r="68" spans="2:5" ht="126">
      <c r="B68" s="290" t="s">
        <v>598</v>
      </c>
      <c r="C68" s="322" t="s">
        <v>2448</v>
      </c>
      <c r="D68" s="314" t="s">
        <v>2202</v>
      </c>
      <c r="E68" s="314" t="s">
        <v>2203</v>
      </c>
    </row>
    <row r="69" spans="2:5" ht="47.25">
      <c r="B69" s="290" t="s">
        <v>599</v>
      </c>
      <c r="C69" s="322" t="s">
        <v>2449</v>
      </c>
      <c r="D69" s="314" t="s">
        <v>2204</v>
      </c>
      <c r="E69" s="314" t="s">
        <v>2205</v>
      </c>
    </row>
    <row r="70" spans="2:5" ht="63">
      <c r="B70" s="290" t="s">
        <v>600</v>
      </c>
      <c r="C70" s="322" t="s">
        <v>2450</v>
      </c>
      <c r="D70" s="314" t="s">
        <v>2206</v>
      </c>
      <c r="E70" s="314" t="s">
        <v>2207</v>
      </c>
    </row>
    <row r="71" spans="2:5" ht="47.25">
      <c r="B71" s="290" t="s">
        <v>601</v>
      </c>
      <c r="C71" s="322" t="s">
        <v>2451</v>
      </c>
      <c r="D71" s="314" t="s">
        <v>2208</v>
      </c>
      <c r="E71" s="314" t="s">
        <v>2209</v>
      </c>
    </row>
    <row r="72" spans="2:5" ht="78.75">
      <c r="B72" s="290" t="s">
        <v>602</v>
      </c>
      <c r="C72" s="322" t="s">
        <v>2452</v>
      </c>
      <c r="D72" s="317" t="s">
        <v>2210</v>
      </c>
      <c r="E72" s="317" t="s">
        <v>2211</v>
      </c>
    </row>
    <row r="73" spans="2:5" ht="78.75">
      <c r="B73" s="290" t="s">
        <v>603</v>
      </c>
      <c r="C73" s="322" t="s">
        <v>2453</v>
      </c>
      <c r="D73" s="314" t="s">
        <v>2212</v>
      </c>
      <c r="E73" s="289" t="s">
        <v>2213</v>
      </c>
    </row>
    <row r="74" spans="2:5" ht="78.75">
      <c r="B74" s="290" t="s">
        <v>604</v>
      </c>
      <c r="C74" s="322" t="s">
        <v>2454</v>
      </c>
      <c r="D74" s="314" t="s">
        <v>2214</v>
      </c>
      <c r="E74" s="314" t="s">
        <v>2215</v>
      </c>
    </row>
    <row r="75" spans="2:5" ht="47.25">
      <c r="B75" s="290" t="s">
        <v>605</v>
      </c>
      <c r="C75" s="322" t="s">
        <v>2455</v>
      </c>
      <c r="D75" s="314" t="s">
        <v>2216</v>
      </c>
      <c r="E75" s="314" t="s">
        <v>2217</v>
      </c>
    </row>
    <row r="76" spans="2:5" ht="63">
      <c r="B76" s="290" t="s">
        <v>606</v>
      </c>
      <c r="C76" s="323" t="s">
        <v>2456</v>
      </c>
      <c r="D76" s="289" t="s">
        <v>2218</v>
      </c>
      <c r="E76" s="289" t="s">
        <v>2219</v>
      </c>
    </row>
  </sheetData>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30" r:id="rId3" name="Button 2">
              <controlPr defaultSize="0" print="0" autoFill="0" autoPict="0" macro="[0]!⑤定義収集">
                <anchor moveWithCells="1" sizeWithCells="1">
                  <from>
                    <xdr:col>2</xdr:col>
                    <xdr:colOff>76200</xdr:colOff>
                    <xdr:row>0</xdr:row>
                    <xdr:rowOff>66675</xdr:rowOff>
                  </from>
                  <to>
                    <xdr:col>2</xdr:col>
                    <xdr:colOff>1171575</xdr:colOff>
                    <xdr:row>1</xdr:row>
                    <xdr:rowOff>114300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B3:G76"/>
  <sheetViews>
    <sheetView showGridLines="0" zoomScaleNormal="100" workbookViewId="0">
      <pane ySplit="3" topLeftCell="A4" activePane="bottomLeft" state="frozen"/>
      <selection activeCell="K27" sqref="K27"/>
      <selection pane="bottomLeft" activeCell="A6" sqref="A6:XFD6"/>
    </sheetView>
  </sheetViews>
  <sheetFormatPr defaultColWidth="9.28515625" defaultRowHeight="15.75"/>
  <cols>
    <col min="1" max="1" width="2.7109375" style="288" bestFit="1" customWidth="1"/>
    <col min="2" max="2" width="4.42578125" style="288" bestFit="1" customWidth="1"/>
    <col min="3" max="4" width="45.42578125" style="288" customWidth="1"/>
    <col min="5" max="6" width="34.7109375" style="288" customWidth="1"/>
    <col min="7" max="7" width="27.42578125" style="288" customWidth="1"/>
    <col min="8" max="16384" width="9.28515625" style="288"/>
  </cols>
  <sheetData>
    <row r="3" spans="2:7">
      <c r="B3" s="291" t="s">
        <v>674</v>
      </c>
      <c r="C3" s="291" t="s">
        <v>1080</v>
      </c>
      <c r="D3" s="291" t="s">
        <v>1079</v>
      </c>
      <c r="E3" s="291" t="s">
        <v>1078</v>
      </c>
      <c r="F3" s="291" t="s">
        <v>1077</v>
      </c>
      <c r="G3" s="291" t="s">
        <v>1076</v>
      </c>
    </row>
    <row r="4" spans="2:7" ht="409.5">
      <c r="B4" s="289" t="s">
        <v>1500</v>
      </c>
      <c r="C4" s="289" t="s">
        <v>2220</v>
      </c>
      <c r="D4" s="289" t="s">
        <v>2221</v>
      </c>
      <c r="E4" s="318" t="s">
        <v>2222</v>
      </c>
      <c r="F4" s="319"/>
      <c r="G4" s="319"/>
    </row>
    <row r="5" spans="2:7">
      <c r="B5" s="289" t="s">
        <v>1501</v>
      </c>
      <c r="C5" s="289"/>
      <c r="D5" s="289"/>
      <c r="E5" s="318"/>
      <c r="F5" s="319"/>
      <c r="G5" s="319"/>
    </row>
    <row r="6" spans="2:7" ht="126">
      <c r="B6" s="289" t="s">
        <v>1502</v>
      </c>
      <c r="C6" s="289" t="s">
        <v>2223</v>
      </c>
      <c r="D6" s="289" t="s">
        <v>2224</v>
      </c>
      <c r="E6" s="318"/>
      <c r="F6" s="319"/>
      <c r="G6" s="319"/>
    </row>
    <row r="7" spans="2:7" ht="409.5">
      <c r="B7" s="290" t="s">
        <v>659</v>
      </c>
      <c r="C7" s="289" t="s">
        <v>2225</v>
      </c>
      <c r="D7" s="289" t="s">
        <v>2226</v>
      </c>
      <c r="E7" s="318" t="s">
        <v>2227</v>
      </c>
      <c r="F7" s="319"/>
      <c r="G7" s="319" t="s">
        <v>2228</v>
      </c>
    </row>
    <row r="8" spans="2:7" ht="157.5">
      <c r="B8" s="290" t="s">
        <v>660</v>
      </c>
      <c r="C8" s="289" t="s">
        <v>2229</v>
      </c>
      <c r="D8" s="289" t="s">
        <v>2230</v>
      </c>
      <c r="E8" s="318"/>
      <c r="F8" s="319"/>
      <c r="G8" s="319"/>
    </row>
    <row r="9" spans="2:7" ht="267.75">
      <c r="B9" s="290" t="s">
        <v>661</v>
      </c>
      <c r="C9" s="289" t="s">
        <v>2231</v>
      </c>
      <c r="D9" s="289" t="s">
        <v>2232</v>
      </c>
      <c r="E9" s="318"/>
      <c r="F9" s="319"/>
      <c r="G9" s="319"/>
    </row>
    <row r="10" spans="2:7">
      <c r="B10" s="290" t="s">
        <v>662</v>
      </c>
      <c r="C10" s="289" t="s">
        <v>2233</v>
      </c>
      <c r="D10" s="289" t="s">
        <v>2234</v>
      </c>
      <c r="E10" s="318"/>
      <c r="F10" s="319"/>
      <c r="G10" s="319"/>
    </row>
    <row r="11" spans="2:7" ht="47.25">
      <c r="B11" s="290" t="s">
        <v>663</v>
      </c>
      <c r="C11" s="289" t="s">
        <v>2235</v>
      </c>
      <c r="D11" s="289" t="s">
        <v>2234</v>
      </c>
      <c r="E11" s="318"/>
      <c r="F11" s="319"/>
      <c r="G11" s="319"/>
    </row>
    <row r="12" spans="2:7" ht="220.5">
      <c r="B12" s="290" t="s">
        <v>664</v>
      </c>
      <c r="C12" s="289" t="s">
        <v>2236</v>
      </c>
      <c r="D12" s="289" t="s">
        <v>2237</v>
      </c>
      <c r="E12" s="318"/>
      <c r="F12" s="319"/>
      <c r="G12" s="319" t="s">
        <v>2238</v>
      </c>
    </row>
    <row r="13" spans="2:7" ht="110.25">
      <c r="B13" s="290" t="s">
        <v>665</v>
      </c>
      <c r="C13" s="289" t="s">
        <v>2239</v>
      </c>
      <c r="D13" s="289" t="s">
        <v>2234</v>
      </c>
      <c r="E13" s="318" t="s">
        <v>2240</v>
      </c>
      <c r="F13" s="319"/>
      <c r="G13" s="319"/>
    </row>
    <row r="14" spans="2:7" ht="189">
      <c r="B14" s="290" t="s">
        <v>666</v>
      </c>
      <c r="C14" s="289" t="s">
        <v>2241</v>
      </c>
      <c r="D14" s="289" t="s">
        <v>2242</v>
      </c>
      <c r="E14" s="318" t="s">
        <v>2243</v>
      </c>
      <c r="F14" s="319"/>
      <c r="G14" s="319"/>
    </row>
    <row r="15" spans="2:7" ht="204.75">
      <c r="B15" s="290" t="s">
        <v>667</v>
      </c>
      <c r="C15" s="289" t="s">
        <v>2244</v>
      </c>
      <c r="D15" s="289" t="s">
        <v>2245</v>
      </c>
      <c r="E15" s="318"/>
      <c r="F15" s="319"/>
      <c r="G15" s="319" t="s">
        <v>2246</v>
      </c>
    </row>
    <row r="16" spans="2:7" ht="165.75">
      <c r="B16" s="290" t="s">
        <v>546</v>
      </c>
      <c r="C16" s="320" t="s">
        <v>2247</v>
      </c>
      <c r="D16" s="289" t="s">
        <v>2248</v>
      </c>
      <c r="E16" s="318" t="s">
        <v>2249</v>
      </c>
      <c r="F16" s="319" t="s">
        <v>2250</v>
      </c>
      <c r="G16" s="319"/>
    </row>
    <row r="17" spans="2:7" ht="94.5">
      <c r="B17" s="290" t="s">
        <v>547</v>
      </c>
      <c r="C17" s="289" t="s">
        <v>2251</v>
      </c>
      <c r="D17" s="289" t="s">
        <v>2252</v>
      </c>
      <c r="E17" s="318"/>
      <c r="F17" s="319"/>
      <c r="G17" s="319"/>
    </row>
    <row r="18" spans="2:7" ht="47.25">
      <c r="B18" s="290" t="s">
        <v>548</v>
      </c>
      <c r="C18" s="289" t="s">
        <v>2253</v>
      </c>
      <c r="D18" s="289" t="s">
        <v>2254</v>
      </c>
      <c r="E18" s="318"/>
      <c r="F18" s="319"/>
      <c r="G18" s="319"/>
    </row>
    <row r="19" spans="2:7" ht="126">
      <c r="B19" s="290" t="s">
        <v>549</v>
      </c>
      <c r="C19" s="289" t="s">
        <v>2255</v>
      </c>
      <c r="D19" s="289" t="s">
        <v>2256</v>
      </c>
      <c r="E19" s="318"/>
      <c r="F19" s="319"/>
      <c r="G19" s="319"/>
    </row>
    <row r="20" spans="2:7" ht="126">
      <c r="B20" s="290" t="s">
        <v>550</v>
      </c>
      <c r="C20" s="289" t="s">
        <v>2257</v>
      </c>
      <c r="D20" s="289" t="s">
        <v>2258</v>
      </c>
      <c r="E20" s="318" t="s">
        <v>2259</v>
      </c>
      <c r="F20" s="319"/>
      <c r="G20" s="319" t="s">
        <v>2260</v>
      </c>
    </row>
    <row r="21" spans="2:7" ht="47.25">
      <c r="B21" s="290" t="s">
        <v>551</v>
      </c>
      <c r="C21" s="289" t="s">
        <v>2261</v>
      </c>
      <c r="D21" s="289" t="s">
        <v>2234</v>
      </c>
      <c r="E21" s="318"/>
      <c r="F21" s="319"/>
      <c r="G21" s="319"/>
    </row>
    <row r="22" spans="2:7" ht="126">
      <c r="B22" s="290" t="s">
        <v>552</v>
      </c>
      <c r="C22" s="289" t="s">
        <v>2262</v>
      </c>
      <c r="D22" s="289" t="s">
        <v>2234</v>
      </c>
      <c r="E22" s="318" t="s">
        <v>2263</v>
      </c>
      <c r="F22" s="319"/>
      <c r="G22" s="319" t="s">
        <v>2264</v>
      </c>
    </row>
    <row r="23" spans="2:7" ht="110.25">
      <c r="B23" s="290" t="s">
        <v>553</v>
      </c>
      <c r="C23" s="289" t="s">
        <v>2265</v>
      </c>
      <c r="D23" s="289" t="s">
        <v>2234</v>
      </c>
      <c r="E23" s="318"/>
      <c r="F23" s="319"/>
      <c r="G23" s="319"/>
    </row>
    <row r="24" spans="2:7" ht="173.25">
      <c r="B24" s="290" t="s">
        <v>554</v>
      </c>
      <c r="C24" s="289" t="s">
        <v>2266</v>
      </c>
      <c r="D24" s="289" t="s">
        <v>2267</v>
      </c>
      <c r="E24" s="318"/>
      <c r="F24" s="319"/>
      <c r="G24" s="319"/>
    </row>
    <row r="25" spans="2:7" ht="110.25">
      <c r="B25" s="290" t="s">
        <v>555</v>
      </c>
      <c r="C25" s="289" t="s">
        <v>2268</v>
      </c>
      <c r="D25" s="289" t="s">
        <v>2269</v>
      </c>
      <c r="E25" s="318" t="s">
        <v>2270</v>
      </c>
      <c r="F25" s="319"/>
      <c r="G25" s="319"/>
    </row>
    <row r="26" spans="2:7" ht="126">
      <c r="B26" s="290" t="s">
        <v>556</v>
      </c>
      <c r="C26" s="289" t="s">
        <v>2271</v>
      </c>
      <c r="D26" s="289" t="s">
        <v>2272</v>
      </c>
      <c r="E26" s="318" t="s">
        <v>2273</v>
      </c>
      <c r="F26" s="319"/>
      <c r="G26" s="319"/>
    </row>
    <row r="27" spans="2:7" ht="78.75">
      <c r="B27" s="290" t="s">
        <v>557</v>
      </c>
      <c r="C27" s="289" t="s">
        <v>2274</v>
      </c>
      <c r="D27" s="289" t="s">
        <v>2275</v>
      </c>
      <c r="E27" s="318"/>
      <c r="F27" s="319"/>
      <c r="G27" s="319" t="s">
        <v>2276</v>
      </c>
    </row>
    <row r="28" spans="2:7" ht="110.25">
      <c r="B28" s="290" t="s">
        <v>558</v>
      </c>
      <c r="C28" s="289" t="s">
        <v>2277</v>
      </c>
      <c r="D28" s="289" t="s">
        <v>2234</v>
      </c>
      <c r="E28" s="318"/>
      <c r="F28" s="319"/>
      <c r="G28" s="319"/>
    </row>
    <row r="29" spans="2:7" ht="157.5">
      <c r="B29" s="290" t="s">
        <v>559</v>
      </c>
      <c r="C29" s="289" t="s">
        <v>2278</v>
      </c>
      <c r="D29" s="289" t="s">
        <v>2279</v>
      </c>
      <c r="E29" s="318" t="s">
        <v>2280</v>
      </c>
      <c r="F29" s="319" t="s">
        <v>2281</v>
      </c>
      <c r="G29" s="319"/>
    </row>
    <row r="30" spans="2:7" ht="189">
      <c r="B30" s="290" t="s">
        <v>560</v>
      </c>
      <c r="C30" s="289" t="s">
        <v>2282</v>
      </c>
      <c r="D30" s="289"/>
      <c r="E30" s="318"/>
      <c r="F30" s="319"/>
      <c r="G30" s="319" t="s">
        <v>2283</v>
      </c>
    </row>
    <row r="31" spans="2:7" ht="126">
      <c r="B31" s="290" t="s">
        <v>561</v>
      </c>
      <c r="C31" s="289" t="s">
        <v>2284</v>
      </c>
      <c r="D31" s="289"/>
      <c r="E31" s="318"/>
      <c r="F31" s="319"/>
      <c r="G31" s="319"/>
    </row>
    <row r="32" spans="2:7" ht="63">
      <c r="B32" s="290" t="s">
        <v>562</v>
      </c>
      <c r="C32" s="289" t="s">
        <v>2285</v>
      </c>
      <c r="D32" s="289" t="s">
        <v>2286</v>
      </c>
      <c r="E32" s="318"/>
      <c r="F32" s="319"/>
      <c r="G32" s="319"/>
    </row>
    <row r="33" spans="2:7" ht="94.5">
      <c r="B33" s="290" t="s">
        <v>563</v>
      </c>
      <c r="C33" s="289" t="s">
        <v>2287</v>
      </c>
      <c r="D33" s="289" t="s">
        <v>2234</v>
      </c>
      <c r="E33" s="318"/>
      <c r="F33" s="319"/>
      <c r="G33" s="319"/>
    </row>
    <row r="34" spans="2:7" ht="78.75">
      <c r="B34" s="290" t="s">
        <v>564</v>
      </c>
      <c r="C34" s="289" t="s">
        <v>2288</v>
      </c>
      <c r="D34" s="289"/>
      <c r="E34" s="318"/>
      <c r="F34" s="319"/>
      <c r="G34" s="319" t="s">
        <v>2289</v>
      </c>
    </row>
    <row r="35" spans="2:7" ht="78.75">
      <c r="B35" s="290" t="s">
        <v>565</v>
      </c>
      <c r="C35" s="289" t="s">
        <v>2290</v>
      </c>
      <c r="D35" s="289" t="s">
        <v>2291</v>
      </c>
      <c r="E35" s="318"/>
      <c r="F35" s="319"/>
      <c r="G35" s="319"/>
    </row>
    <row r="36" spans="2:7" ht="94.5">
      <c r="B36" s="290" t="s">
        <v>566</v>
      </c>
      <c r="C36" s="289" t="s">
        <v>2292</v>
      </c>
      <c r="D36" s="289" t="s">
        <v>2293</v>
      </c>
      <c r="E36" s="318"/>
      <c r="F36" s="319"/>
      <c r="G36" s="319" t="s">
        <v>2294</v>
      </c>
    </row>
    <row r="37" spans="2:7" ht="47.25">
      <c r="B37" s="290" t="s">
        <v>567</v>
      </c>
      <c r="C37" s="289" t="s">
        <v>2295</v>
      </c>
      <c r="D37" s="289" t="s">
        <v>2296</v>
      </c>
      <c r="E37" s="318"/>
      <c r="F37" s="319"/>
      <c r="G37" s="319"/>
    </row>
    <row r="38" spans="2:7">
      <c r="B38" s="290" t="s">
        <v>568</v>
      </c>
      <c r="C38" s="289"/>
      <c r="D38" s="289"/>
      <c r="E38" s="318"/>
      <c r="F38" s="319"/>
      <c r="G38" s="319"/>
    </row>
    <row r="39" spans="2:7">
      <c r="B39" s="290" t="s">
        <v>569</v>
      </c>
      <c r="C39" s="289"/>
      <c r="D39" s="289"/>
      <c r="E39" s="318"/>
      <c r="F39" s="319"/>
      <c r="G39" s="319"/>
    </row>
    <row r="40" spans="2:7" ht="141.75">
      <c r="B40" s="290" t="s">
        <v>570</v>
      </c>
      <c r="C40" s="289" t="s">
        <v>2297</v>
      </c>
      <c r="D40" s="289" t="s">
        <v>2298</v>
      </c>
      <c r="E40" s="318"/>
      <c r="F40" s="319"/>
      <c r="G40" s="319"/>
    </row>
    <row r="41" spans="2:7" ht="126">
      <c r="B41" s="290" t="s">
        <v>571</v>
      </c>
      <c r="C41" s="289" t="s">
        <v>2299</v>
      </c>
      <c r="D41" s="289"/>
      <c r="E41" s="318"/>
      <c r="F41" s="319"/>
      <c r="G41" s="319"/>
    </row>
    <row r="42" spans="2:7" ht="393.75">
      <c r="B42" s="290" t="s">
        <v>572</v>
      </c>
      <c r="C42" s="289" t="s">
        <v>2300</v>
      </c>
      <c r="D42" s="289" t="s">
        <v>2301</v>
      </c>
      <c r="E42" s="318" t="s">
        <v>2302</v>
      </c>
      <c r="F42" s="319" t="s">
        <v>2303</v>
      </c>
      <c r="G42" s="319"/>
    </row>
    <row r="43" spans="2:7" ht="63">
      <c r="B43" s="290" t="s">
        <v>573</v>
      </c>
      <c r="C43" s="289" t="s">
        <v>2304</v>
      </c>
      <c r="D43" s="289" t="s">
        <v>2305</v>
      </c>
      <c r="E43" s="318" t="s">
        <v>2306</v>
      </c>
      <c r="F43" s="319"/>
      <c r="G43" s="319"/>
    </row>
    <row r="44" spans="2:7" ht="173.25">
      <c r="B44" s="290" t="s">
        <v>574</v>
      </c>
      <c r="C44" s="289" t="s">
        <v>2307</v>
      </c>
      <c r="D44" s="289" t="s">
        <v>2308</v>
      </c>
      <c r="E44" s="318"/>
      <c r="F44" s="319"/>
      <c r="G44" s="319"/>
    </row>
    <row r="45" spans="2:7" ht="173.25">
      <c r="B45" s="290" t="s">
        <v>575</v>
      </c>
      <c r="C45" s="289" t="s">
        <v>2309</v>
      </c>
      <c r="D45" s="289" t="s">
        <v>2310</v>
      </c>
      <c r="E45" s="318" t="s">
        <v>2311</v>
      </c>
      <c r="F45" s="319"/>
      <c r="G45" s="319"/>
    </row>
    <row r="46" spans="2:7" ht="126">
      <c r="B46" s="290" t="s">
        <v>576</v>
      </c>
      <c r="C46" s="289" t="s">
        <v>2312</v>
      </c>
      <c r="D46" s="289" t="s">
        <v>2313</v>
      </c>
      <c r="E46" s="318"/>
      <c r="F46" s="319"/>
      <c r="G46" s="319"/>
    </row>
    <row r="47" spans="2:7" ht="173.25">
      <c r="B47" s="290" t="s">
        <v>577</v>
      </c>
      <c r="C47" s="289" t="s">
        <v>2314</v>
      </c>
      <c r="D47" s="289" t="s">
        <v>2234</v>
      </c>
      <c r="E47" s="318"/>
      <c r="F47" s="319"/>
      <c r="G47" s="319" t="s">
        <v>2315</v>
      </c>
    </row>
    <row r="48" spans="2:7" ht="78.75">
      <c r="B48" s="290" t="s">
        <v>578</v>
      </c>
      <c r="C48" s="289" t="s">
        <v>2316</v>
      </c>
      <c r="D48" s="289" t="s">
        <v>2317</v>
      </c>
      <c r="E48" s="318" t="s">
        <v>2318</v>
      </c>
      <c r="F48" s="319"/>
      <c r="G48" s="319"/>
    </row>
    <row r="49" spans="2:7" ht="236.25">
      <c r="B49" s="290" t="s">
        <v>579</v>
      </c>
      <c r="C49" s="289" t="s">
        <v>2319</v>
      </c>
      <c r="D49" s="289" t="s">
        <v>2320</v>
      </c>
      <c r="E49" s="318" t="s">
        <v>2321</v>
      </c>
      <c r="F49" s="319"/>
      <c r="G49" s="319" t="s">
        <v>2322</v>
      </c>
    </row>
    <row r="50" spans="2:7" ht="267.75">
      <c r="B50" s="290" t="s">
        <v>580</v>
      </c>
      <c r="C50" s="289" t="s">
        <v>2323</v>
      </c>
      <c r="D50" s="289" t="s">
        <v>2324</v>
      </c>
      <c r="E50" s="318" t="s">
        <v>2325</v>
      </c>
      <c r="F50" s="319"/>
      <c r="G50" s="319"/>
    </row>
    <row r="51" spans="2:7" ht="236.25">
      <c r="B51" s="290" t="s">
        <v>581</v>
      </c>
      <c r="C51" s="289" t="s">
        <v>2326</v>
      </c>
      <c r="D51" s="319" t="s">
        <v>2327</v>
      </c>
      <c r="E51" s="318"/>
      <c r="F51" s="319"/>
      <c r="G51" s="319"/>
    </row>
    <row r="52" spans="2:7" ht="141.75">
      <c r="B52" s="290" t="s">
        <v>582</v>
      </c>
      <c r="C52" s="289" t="s">
        <v>2328</v>
      </c>
      <c r="D52" s="289" t="s">
        <v>2329</v>
      </c>
      <c r="E52" s="318"/>
      <c r="F52" s="319"/>
      <c r="G52" s="319"/>
    </row>
    <row r="53" spans="2:7" ht="362.25">
      <c r="B53" s="290" t="s">
        <v>583</v>
      </c>
      <c r="C53" s="289" t="s">
        <v>2330</v>
      </c>
      <c r="D53" s="321" t="s">
        <v>2331</v>
      </c>
      <c r="E53" s="318" t="s">
        <v>2332</v>
      </c>
      <c r="F53" s="319" t="s">
        <v>2333</v>
      </c>
      <c r="G53" s="319"/>
    </row>
    <row r="54" spans="2:7" ht="94.5">
      <c r="B54" s="290" t="s">
        <v>584</v>
      </c>
      <c r="C54" s="289" t="s">
        <v>2334</v>
      </c>
      <c r="D54" s="289" t="s">
        <v>2335</v>
      </c>
      <c r="E54" s="318" t="s">
        <v>2336</v>
      </c>
      <c r="F54" s="319"/>
      <c r="G54" s="319"/>
    </row>
    <row r="55" spans="2:7" ht="47.25">
      <c r="B55" s="290" t="s">
        <v>585</v>
      </c>
      <c r="C55" s="289" t="s">
        <v>2337</v>
      </c>
      <c r="D55" s="289" t="s">
        <v>2338</v>
      </c>
      <c r="E55" s="318"/>
      <c r="F55" s="319"/>
      <c r="G55" s="319" t="s">
        <v>2339</v>
      </c>
    </row>
    <row r="56" spans="2:7" ht="47.25">
      <c r="B56" s="290" t="s">
        <v>586</v>
      </c>
      <c r="C56" s="289" t="s">
        <v>2340</v>
      </c>
      <c r="D56" s="289" t="s">
        <v>2341</v>
      </c>
      <c r="E56" s="318"/>
      <c r="F56" s="319"/>
      <c r="G56" s="319"/>
    </row>
    <row r="57" spans="2:7" ht="63">
      <c r="B57" s="290" t="s">
        <v>587</v>
      </c>
      <c r="C57" s="289" t="s">
        <v>2342</v>
      </c>
      <c r="D57" s="289" t="s">
        <v>2343</v>
      </c>
      <c r="E57" s="318"/>
      <c r="F57" s="319"/>
      <c r="G57" s="319"/>
    </row>
    <row r="58" spans="2:7" ht="189">
      <c r="B58" s="290" t="s">
        <v>588</v>
      </c>
      <c r="C58" s="289" t="s">
        <v>2344</v>
      </c>
      <c r="D58" s="289"/>
      <c r="E58" s="318"/>
      <c r="F58" s="319"/>
      <c r="G58" s="319"/>
    </row>
    <row r="59" spans="2:7" ht="47.25">
      <c r="B59" s="290" t="s">
        <v>589</v>
      </c>
      <c r="C59" s="289" t="s">
        <v>2345</v>
      </c>
      <c r="D59" s="289" t="s">
        <v>2346</v>
      </c>
      <c r="E59" s="318"/>
      <c r="F59" s="319"/>
      <c r="G59" s="319"/>
    </row>
    <row r="60" spans="2:7" ht="204.75">
      <c r="B60" s="290" t="s">
        <v>590</v>
      </c>
      <c r="C60" s="289" t="s">
        <v>2347</v>
      </c>
      <c r="D60" s="289" t="s">
        <v>2348</v>
      </c>
      <c r="E60" s="318"/>
      <c r="F60" s="319"/>
      <c r="G60" s="319"/>
    </row>
    <row r="61" spans="2:7" ht="110.25">
      <c r="B61" s="290" t="s">
        <v>591</v>
      </c>
      <c r="C61" s="289" t="s">
        <v>2349</v>
      </c>
      <c r="D61" s="289" t="s">
        <v>2350</v>
      </c>
      <c r="E61" s="318"/>
      <c r="F61" s="319"/>
      <c r="G61" s="319"/>
    </row>
    <row r="62" spans="2:7" ht="299.25">
      <c r="B62" s="290" t="s">
        <v>592</v>
      </c>
      <c r="C62" s="289" t="s">
        <v>2351</v>
      </c>
      <c r="D62" s="289"/>
      <c r="E62" s="318"/>
      <c r="F62" s="319"/>
      <c r="G62" s="319"/>
    </row>
    <row r="63" spans="2:7" ht="110.25">
      <c r="B63" s="290" t="s">
        <v>593</v>
      </c>
      <c r="C63" s="289" t="s">
        <v>2352</v>
      </c>
      <c r="D63" s="289" t="s">
        <v>2353</v>
      </c>
      <c r="E63" s="318"/>
      <c r="F63" s="319"/>
      <c r="G63" s="319"/>
    </row>
    <row r="64" spans="2:7" ht="157.5">
      <c r="B64" s="290" t="s">
        <v>594</v>
      </c>
      <c r="C64" s="289" t="s">
        <v>2354</v>
      </c>
      <c r="D64" s="289"/>
      <c r="E64" s="318"/>
      <c r="F64" s="319"/>
      <c r="G64" s="319"/>
    </row>
    <row r="65" spans="2:7" ht="141.75">
      <c r="B65" s="290" t="s">
        <v>595</v>
      </c>
      <c r="C65" s="289" t="s">
        <v>2355</v>
      </c>
      <c r="D65" s="289" t="s">
        <v>2356</v>
      </c>
      <c r="E65" s="318"/>
      <c r="F65" s="319"/>
      <c r="G65" s="319" t="s">
        <v>2357</v>
      </c>
    </row>
    <row r="66" spans="2:7" ht="110.25">
      <c r="B66" s="290" t="s">
        <v>596</v>
      </c>
      <c r="C66" s="289" t="s">
        <v>2358</v>
      </c>
      <c r="D66" s="289"/>
      <c r="E66" s="318"/>
      <c r="F66" s="319"/>
      <c r="G66" s="319"/>
    </row>
    <row r="67" spans="2:7" ht="173.25">
      <c r="B67" s="290" t="s">
        <v>597</v>
      </c>
      <c r="C67" s="289" t="s">
        <v>2359</v>
      </c>
      <c r="D67" s="289" t="s">
        <v>2360</v>
      </c>
      <c r="E67" s="318"/>
      <c r="F67" s="319"/>
      <c r="G67" s="319"/>
    </row>
    <row r="68" spans="2:7" ht="126">
      <c r="B68" s="290" t="s">
        <v>598</v>
      </c>
      <c r="C68" s="289" t="s">
        <v>2361</v>
      </c>
      <c r="D68" s="289" t="s">
        <v>2362</v>
      </c>
      <c r="E68" s="318" t="s">
        <v>2363</v>
      </c>
      <c r="F68" s="319"/>
      <c r="G68" s="319"/>
    </row>
    <row r="69" spans="2:7" ht="236.25">
      <c r="B69" s="290" t="s">
        <v>599</v>
      </c>
      <c r="C69" s="289" t="s">
        <v>2364</v>
      </c>
      <c r="D69" s="289" t="s">
        <v>2365</v>
      </c>
      <c r="E69" s="318"/>
      <c r="F69" s="319"/>
      <c r="G69" s="319"/>
    </row>
    <row r="70" spans="2:7" ht="189">
      <c r="B70" s="290" t="s">
        <v>600</v>
      </c>
      <c r="C70" s="289" t="s">
        <v>2366</v>
      </c>
      <c r="D70" s="289" t="s">
        <v>2367</v>
      </c>
      <c r="E70" s="318"/>
      <c r="F70" s="319"/>
      <c r="G70" s="319"/>
    </row>
    <row r="71" spans="2:7" ht="141.75">
      <c r="B71" s="290" t="s">
        <v>601</v>
      </c>
      <c r="C71" s="289" t="s">
        <v>2368</v>
      </c>
      <c r="D71" s="289" t="s">
        <v>2369</v>
      </c>
      <c r="E71" s="318"/>
      <c r="F71" s="319"/>
      <c r="G71" s="319"/>
    </row>
    <row r="72" spans="2:7" ht="141.75">
      <c r="B72" s="290" t="s">
        <v>602</v>
      </c>
      <c r="C72" s="289" t="s">
        <v>2370</v>
      </c>
      <c r="D72" s="289" t="s">
        <v>2371</v>
      </c>
      <c r="E72" s="318"/>
      <c r="F72" s="319"/>
      <c r="G72" s="319"/>
    </row>
    <row r="73" spans="2:7" ht="189">
      <c r="B73" s="290" t="s">
        <v>603</v>
      </c>
      <c r="C73" s="289" t="s">
        <v>2372</v>
      </c>
      <c r="D73" s="289" t="s">
        <v>2373</v>
      </c>
      <c r="E73" s="318"/>
      <c r="F73" s="319"/>
      <c r="G73" s="319"/>
    </row>
    <row r="74" spans="2:7" ht="126">
      <c r="B74" s="290" t="s">
        <v>604</v>
      </c>
      <c r="C74" s="289" t="s">
        <v>2374</v>
      </c>
      <c r="D74" s="289" t="s">
        <v>2375</v>
      </c>
      <c r="E74" s="318"/>
      <c r="F74" s="319"/>
      <c r="G74" s="319"/>
    </row>
    <row r="75" spans="2:7" ht="330.75">
      <c r="B75" s="290" t="s">
        <v>605</v>
      </c>
      <c r="C75" s="289" t="s">
        <v>2376</v>
      </c>
      <c r="D75" s="289" t="s">
        <v>2377</v>
      </c>
      <c r="E75" s="318" t="s">
        <v>2378</v>
      </c>
      <c r="F75" s="319" t="s">
        <v>2379</v>
      </c>
      <c r="G75" s="319"/>
    </row>
    <row r="76" spans="2:7" ht="378">
      <c r="B76" s="290" t="s">
        <v>606</v>
      </c>
      <c r="C76" s="289" t="s">
        <v>2380</v>
      </c>
      <c r="D76" s="289" t="s">
        <v>2381</v>
      </c>
      <c r="E76" s="318"/>
      <c r="F76" s="289"/>
      <c r="G76" s="289"/>
    </row>
  </sheetData>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⑥コメント収集">
                <anchor moveWithCells="1" sizeWithCells="1">
                  <from>
                    <xdr:col>2</xdr:col>
                    <xdr:colOff>76200</xdr:colOff>
                    <xdr:row>0</xdr:row>
                    <xdr:rowOff>66675</xdr:rowOff>
                  </from>
                  <to>
                    <xdr:col>2</xdr:col>
                    <xdr:colOff>1171575</xdr:colOff>
                    <xdr:row>1</xdr:row>
                    <xdr:rowOff>114300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dimension ref="B2:J75"/>
  <sheetViews>
    <sheetView showGridLines="0" zoomScaleNormal="100" workbookViewId="0">
      <selection activeCell="K20" sqref="K20"/>
    </sheetView>
  </sheetViews>
  <sheetFormatPr defaultRowHeight="15.75"/>
  <cols>
    <col min="1" max="1" width="3.42578125" bestFit="1" customWidth="1"/>
    <col min="2" max="2" width="4.42578125" bestFit="1" customWidth="1"/>
    <col min="3" max="3" width="29.42578125" bestFit="1" customWidth="1"/>
    <col min="4" max="4" width="12.28515625" bestFit="1" customWidth="1"/>
    <col min="5" max="6" width="28.140625" customWidth="1"/>
    <col min="7" max="7" width="43" bestFit="1" customWidth="1"/>
    <col min="8" max="8" width="3.42578125" bestFit="1" customWidth="1"/>
    <col min="9" max="10" width="10.42578125" bestFit="1" customWidth="1"/>
  </cols>
  <sheetData>
    <row r="2" spans="2:10">
      <c r="B2" s="307" t="s">
        <v>523</v>
      </c>
      <c r="C2" s="306" t="s">
        <v>204</v>
      </c>
      <c r="D2" s="306" t="s">
        <v>206</v>
      </c>
      <c r="E2" s="306" t="s">
        <v>454</v>
      </c>
      <c r="F2" s="306" t="s">
        <v>1116</v>
      </c>
      <c r="G2" s="306" t="s">
        <v>1113</v>
      </c>
      <c r="I2" s="36" t="s">
        <v>1503</v>
      </c>
      <c r="J2" s="266">
        <v>2024</v>
      </c>
    </row>
    <row r="3" spans="2:10">
      <c r="B3" s="304" t="s">
        <v>677</v>
      </c>
      <c r="C3" s="303" t="str">
        <f>VLOOKUP(B3,指標!B:H,7,FALSE)</f>
        <v>人口</v>
      </c>
      <c r="D3" s="302" t="str">
        <f>VLOOKUP(B3,指標!B:K,10,FALSE)</f>
        <v>人</v>
      </c>
      <c r="E3" s="302">
        <f>VLOOKUP(B3,定義!B:H,6,FALSE)</f>
        <v>0</v>
      </c>
      <c r="F3" s="302">
        <f>VLOOKUP(B3,定義!B:H,6,FALSE)</f>
        <v>0</v>
      </c>
      <c r="G3" s="301" t="str">
        <f t="shared" ref="G3:G34" si="0">CONCATENATE($J$2,"_",B3,"_",C3,".xlsm")</f>
        <v>2024_00a_人口.xlsm</v>
      </c>
      <c r="I3" s="306" t="s">
        <v>1114</v>
      </c>
      <c r="J3" s="305" t="str">
        <f>CONCATENATE("GPCI-",$J$2)</f>
        <v>GPCI-2024</v>
      </c>
    </row>
    <row r="4" spans="2:10">
      <c r="B4" s="304" t="s">
        <v>676</v>
      </c>
      <c r="C4" s="303" t="str">
        <f>VLOOKUP(B4,指標!B:H,7,FALSE)</f>
        <v>面積</v>
      </c>
      <c r="D4" s="302" t="str">
        <f>VLOOKUP(B4,指標!B:K,10,FALSE)</f>
        <v>k㎡</v>
      </c>
      <c r="E4" s="302">
        <f>VLOOKUP(B4,定義!B:H,6,FALSE)</f>
        <v>0</v>
      </c>
      <c r="F4" s="302">
        <f>VLOOKUP(B4,定義!B:H,6,FALSE)</f>
        <v>0</v>
      </c>
      <c r="G4" s="301" t="str">
        <f t="shared" si="0"/>
        <v>2024_00b_面積.xlsm</v>
      </c>
      <c r="I4" s="306" t="s">
        <v>1115</v>
      </c>
      <c r="J4" s="305" t="str">
        <f>CONCATENATE("GPCI-",$J$2-1)</f>
        <v>GPCI-2023</v>
      </c>
    </row>
    <row r="5" spans="2:10">
      <c r="B5" s="304" t="s">
        <v>675</v>
      </c>
      <c r="C5" s="303" t="str">
        <f>VLOOKUP(B5,指標!B:H,7,FALSE)</f>
        <v>為替</v>
      </c>
      <c r="D5" s="302" t="str">
        <f>VLOOKUP(B5,指標!B:K,10,FALSE)</f>
        <v>/USD</v>
      </c>
      <c r="E5" s="302">
        <f>VLOOKUP(B5,定義!B:H,6,FALSE)</f>
        <v>0</v>
      </c>
      <c r="F5" s="302">
        <f>VLOOKUP(B5,定義!B:H,6,FALSE)</f>
        <v>0</v>
      </c>
      <c r="G5" s="301" t="str">
        <f t="shared" si="0"/>
        <v>2024_00c_為替.xlsm</v>
      </c>
    </row>
    <row r="6" spans="2:10">
      <c r="B6" s="300" t="s">
        <v>659</v>
      </c>
      <c r="C6" s="303" t="str">
        <f>VLOOKUP(B6,指標!B:H,7,FALSE)</f>
        <v>GDP</v>
      </c>
      <c r="D6" s="302" t="str">
        <f>VLOOKUP(B6,指標!B:K,10,FALSE)</f>
        <v>百万ドル</v>
      </c>
      <c r="E6" s="302" t="str">
        <f>VLOOKUP(B6,定義!B:H,6,FALSE)</f>
        <v>対象都市の名目GDP（全都市を同じ年次で比較可能な年次値を採用）。</v>
      </c>
      <c r="F6" s="302" t="str">
        <f>VLOOKUP(B6,定義!B:H,6,FALSE)</f>
        <v>対象都市の名目GDP（全都市を同じ年次で比較可能な年次値を採用）。</v>
      </c>
      <c r="G6" s="301" t="str">
        <f t="shared" si="0"/>
        <v>2024_01_GDP.xlsm</v>
      </c>
    </row>
    <row r="7" spans="2:10">
      <c r="B7" s="300" t="s">
        <v>660</v>
      </c>
      <c r="C7" s="303" t="str">
        <f>VLOOKUP(B7,指標!B:H,7,FALSE)</f>
        <v>1人あたりGDP</v>
      </c>
      <c r="D7" s="302" t="str">
        <f>VLOOKUP(B7,指標!B:K,10,FALSE)</f>
        <v>ドル/人</v>
      </c>
      <c r="E7" s="302" t="str">
        <f>VLOOKUP(B7,定義!B:H,6,FALSE)</f>
        <v>対象都市の人口1人あたりの名目GDP（全都市を同じ年次で比較可能な年次値を採用）。</v>
      </c>
      <c r="F7" s="302" t="str">
        <f>VLOOKUP(B7,定義!B:H,6,FALSE)</f>
        <v>対象都市の人口1人あたりの名目GDP（全都市を同じ年次で比較可能な年次値を採用）。</v>
      </c>
      <c r="G7" s="301" t="str">
        <f t="shared" si="0"/>
        <v>2024_02_1人あたりGDP.xlsm</v>
      </c>
      <c r="I7" s="240" t="s">
        <v>1511</v>
      </c>
    </row>
    <row r="8" spans="2:10">
      <c r="B8" s="300" t="s">
        <v>661</v>
      </c>
      <c r="C8" s="303" t="str">
        <f>VLOOKUP(B8,指標!B:H,7,FALSE)</f>
        <v>GDP成長率</v>
      </c>
      <c r="D8" s="302" t="str">
        <f>VLOOKUP(B8,指標!B:K,10,FALSE)</f>
        <v>%</v>
      </c>
      <c r="E8" s="302" t="str">
        <f>VLOOKUP(B8,定義!B:H,6,FALSE)</f>
        <v>対象都市における実質GDPの直近5年間の年平均成長率（全都市を同じ年次で比較可能な年次値を採用）。</v>
      </c>
      <c r="F8" s="302" t="str">
        <f>VLOOKUP(B8,定義!B:H,6,FALSE)</f>
        <v>対象都市における実質GDPの直近5年間の年平均成長率（全都市を同じ年次で比較可能な年次値を採用）。</v>
      </c>
      <c r="G8" s="301" t="str">
        <f t="shared" si="0"/>
        <v>2024_03_GDP成長率.xlsm</v>
      </c>
    </row>
    <row r="9" spans="2:10">
      <c r="B9" s="300" t="s">
        <v>662</v>
      </c>
      <c r="C9" s="303" t="str">
        <f>VLOOKUP(B9,指標!B:H,7,FALSE)</f>
        <v>経済自由度</v>
      </c>
      <c r="D9" s="302" t="str">
        <f>VLOOKUP(B9,指標!B:K,10,FALSE)</f>
        <v>pt</v>
      </c>
      <c r="E9" s="302" t="str">
        <f>VLOOKUP(B9,定義!B:H,6,FALSE)</f>
        <v>Heritage Foundationの"Index of Economic Freedom"における対象都市が属する国のスコア。</v>
      </c>
      <c r="F9" s="302" t="str">
        <f>VLOOKUP(B9,定義!B:H,6,FALSE)</f>
        <v>Heritage Foundationの"Index of Economic Freedom"における対象都市が属する国のスコア。</v>
      </c>
      <c r="G9" s="301" t="str">
        <f t="shared" si="0"/>
        <v>2024_04_経済自由度.xlsm</v>
      </c>
      <c r="I9" t="s">
        <v>1504</v>
      </c>
    </row>
    <row r="10" spans="2:10">
      <c r="B10" s="300" t="s">
        <v>663</v>
      </c>
      <c r="C10" s="303" t="str">
        <f>VLOOKUP(B10,指標!B:H,7,FALSE)</f>
        <v>上場株式時価総額</v>
      </c>
      <c r="D10" s="302" t="str">
        <f>VLOOKUP(B10,指標!B:K,10,FALSE)</f>
        <v>百万ドル</v>
      </c>
      <c r="E10" s="302" t="str">
        <f>VLOOKUP(B10,定義!B:H,6,FALSE)</f>
        <v>World Federation of Exchangesの"Domestic Market Capitalization"における対象都市に立地する取引所の上場株式時価総額。</v>
      </c>
      <c r="F10" s="302" t="str">
        <f>VLOOKUP(B10,定義!B:H,6,FALSE)</f>
        <v>World Federation of Exchangesの"Domestic Market Capitalization"における対象都市に立地する取引所の上場株式時価総額。</v>
      </c>
      <c r="G10" s="301" t="str">
        <f t="shared" si="0"/>
        <v>2024_05_上場株式時価総額.xlsm</v>
      </c>
    </row>
    <row r="11" spans="2:10">
      <c r="B11" s="300" t="s">
        <v>664</v>
      </c>
      <c r="C11" s="303" t="str">
        <f>VLOOKUP(B11,指標!B:H,7,FALSE)</f>
        <v>世界トップ500企業</v>
      </c>
      <c r="D11" s="302" t="str">
        <f>VLOOKUP(B11,指標!B:K,10,FALSE)</f>
        <v>百万ドル</v>
      </c>
      <c r="E11" s="302" t="str">
        <f>VLOOKUP(B11,定義!B:H,6,FALSE)</f>
        <v>Fortuneの"Fortune Global 500"でランクインした企業のうち、対象都市の中心点から20km圏内に所在する企業を総売上高に応じて点数化したスコア。</v>
      </c>
      <c r="F11" s="302" t="str">
        <f>VLOOKUP(B11,定義!B:H,6,FALSE)</f>
        <v>Fortuneの"Fortune Global 500"でランクインした企業のうち、対象都市の中心点から20km圏内に所在する企業を総売上高に応じて点数化したスコア。</v>
      </c>
      <c r="G11" s="301" t="str">
        <f t="shared" si="0"/>
        <v>2024_06_世界トップ500企業.xlsm</v>
      </c>
    </row>
    <row r="12" spans="2:10">
      <c r="B12" s="300" t="s">
        <v>665</v>
      </c>
      <c r="C12" s="303" t="str">
        <f>VLOOKUP(B12,指標!B:H,7,FALSE)</f>
        <v>従業者数</v>
      </c>
      <c r="D12" s="302" t="str">
        <f>VLOOKUP(B12,指標!B:K,10,FALSE)</f>
        <v>人</v>
      </c>
      <c r="E12" s="302" t="str">
        <f>VLOOKUP(B12,定義!B:H,6,FALSE)</f>
        <v>対象都市の従業者数。</v>
      </c>
      <c r="F12" s="302" t="str">
        <f>VLOOKUP(B12,定義!B:H,6,FALSE)</f>
        <v>対象都市の従業者数。</v>
      </c>
      <c r="G12" s="301" t="str">
        <f t="shared" si="0"/>
        <v>2024_07_従業者数.xlsm</v>
      </c>
      <c r="I12" s="240" t="s">
        <v>1505</v>
      </c>
    </row>
    <row r="13" spans="2:10">
      <c r="B13" s="300" t="s">
        <v>666</v>
      </c>
      <c r="C13" s="303" t="str">
        <f>VLOOKUP(B13,指標!B:H,7,FALSE)</f>
        <v>ビジネスサポート人材の多さ</v>
      </c>
      <c r="D13" s="302" t="str">
        <f>VLOOKUP(B13,指標!B:K,10,FALSE)</f>
        <v>%</v>
      </c>
      <c r="E13" s="302" t="str">
        <f>VLOOKUP(B13,定義!B:H,6,FALSE)</f>
        <v>対象都市におけるビジネスサポート業種(金融、保険、不動産、事務、科学技術などの各種サービス業)の従業者数の対象都市の従業者数に対する割合。</v>
      </c>
      <c r="F13" s="302" t="str">
        <f>VLOOKUP(B13,定義!B:H,6,FALSE)</f>
        <v>対象都市におけるビジネスサポート業種(金融、保険、不動産、事務、科学技術などの各種サービス業)の従業者数の対象都市の従業者数に対する割合。</v>
      </c>
      <c r="G13" s="301" t="str">
        <f t="shared" si="0"/>
        <v>2024_08_ビジネスサポート人材の多さ.xlsm</v>
      </c>
      <c r="I13" t="s">
        <v>1507</v>
      </c>
    </row>
    <row r="14" spans="2:10">
      <c r="B14" s="300" t="s">
        <v>667</v>
      </c>
      <c r="C14" s="303" t="str">
        <f>VLOOKUP(B14,指標!B:H,7,FALSE)</f>
        <v>賃金水準の高さ</v>
      </c>
      <c r="D14" s="302" t="str">
        <f>VLOOKUP(B14,指標!B:K,10,FALSE)</f>
        <v>ドル/月</v>
      </c>
      <c r="E14" s="302" t="str">
        <f>VLOOKUP(B14,定義!B:H,6,FALSE)</f>
        <v>Numbeoの"Cost of Living"における対象都市の平均月給（税引後）。</v>
      </c>
      <c r="F14" s="302" t="str">
        <f>VLOOKUP(B14,定義!B:H,6,FALSE)</f>
        <v>Numbeoの"Cost of Living"における対象都市の平均月給（税引後）。</v>
      </c>
      <c r="G14" s="301" t="str">
        <f t="shared" si="0"/>
        <v>2024_09_賃金水準の高さ.xlsm</v>
      </c>
      <c r="I14" t="s">
        <v>1510</v>
      </c>
    </row>
    <row r="15" spans="2:10">
      <c r="B15" s="304" t="s">
        <v>546</v>
      </c>
      <c r="C15" s="303" t="str">
        <f>VLOOKUP(B15,指標!B:H,7,FALSE)</f>
        <v>優秀な人材確保の容易性</v>
      </c>
      <c r="D15" s="302" t="str">
        <f>VLOOKUP(B15,指標!B:K,10,FALSE)</f>
        <v>（合算）</v>
      </c>
      <c r="E15" s="302" t="str">
        <f>VLOOKUP(B15,定義!B:H,6,FALSE)</f>
        <v>以下のデータを指数化したものの平均値：①INSEADの"Global Talent Competitiveness Index"における対象都市が属する国の優秀な人材確保の容易性に関する8指標の平均スコア、②INSEADの"Global Talent Competitiveness Index - City and Regions"における対象都市の優秀な人材確保の容易性に関する2指標の平均スコア、③EF Education Firstの"English Proficiency Index"における対象都市の英語能力スコア。</v>
      </c>
      <c r="F15" s="302" t="str">
        <f>VLOOKUP(B15,定義!B:H,6,FALSE)</f>
        <v>以下のデータを指数化したものの平均値：①INSEADの"Global Talent Competitiveness Index"における対象都市が属する国の優秀な人材確保の容易性に関する8指標の平均スコア、②INSEADの"Global Talent Competitiveness Index - City and Regions"における対象都市の優秀な人材確保の容易性に関する2指標の平均スコア、③EF Education Firstの"English Proficiency Index"における対象都市の英語能力スコア。</v>
      </c>
      <c r="G15" s="301" t="str">
        <f t="shared" si="0"/>
        <v>2024_10_優秀な人材確保の容易性.xlsm</v>
      </c>
      <c r="I15" t="s">
        <v>2383</v>
      </c>
    </row>
    <row r="16" spans="2:10">
      <c r="B16" s="304" t="s">
        <v>547</v>
      </c>
      <c r="C16" s="303" t="str">
        <f>VLOOKUP(B16,指標!B:H,7,FALSE)</f>
        <v>ワークプレイス充実度</v>
      </c>
      <c r="D16" s="302" t="str">
        <f>VLOOKUP(B16,指標!B:K,10,FALSE)</f>
        <v>（合算）</v>
      </c>
      <c r="E16" s="302" t="str">
        <f>VLOOKUP(B16,定義!B:H,6,FALSE)</f>
        <v>以下のデータを指数化したものの平均値：①Coworker.comに掲載されている対象都市のコワーキング施設数、②Ooklaが提供するSpeedtest.net に掲載されている対象都市の固定ブロードバンドの通信回線速度。</v>
      </c>
      <c r="F16" s="302" t="str">
        <f>VLOOKUP(B16,定義!B:H,6,FALSE)</f>
        <v>以下のデータを指数化したものの平均値：①Coworker.comに掲載されている対象都市のコワーキング施設数、②Ooklaが提供するSpeedtest.net に掲載されている対象都市の固定ブロードバンドの通信回線速度。</v>
      </c>
      <c r="G16" s="301" t="str">
        <f t="shared" si="0"/>
        <v>2024_11_ワークプレイス充実度.xlsm</v>
      </c>
      <c r="I16" t="s">
        <v>1509</v>
      </c>
    </row>
    <row r="17" spans="2:9">
      <c r="B17" s="304" t="s">
        <v>548</v>
      </c>
      <c r="C17" s="303" t="str">
        <f>VLOOKUP(B17,指標!B:H,7,FALSE)</f>
        <v>法人税率の低さ</v>
      </c>
      <c r="D17" s="302" t="str">
        <f>VLOOKUP(B17,指標!B:K,10,FALSE)</f>
        <v>%</v>
      </c>
      <c r="E17" s="302" t="str">
        <f>VLOOKUP(B17,定義!B:H,6,FALSE)</f>
        <v>PwCの"Corporate income tax (CIT) rates"における対象都市もしくは対象都市が属する国の最高法人税率。</v>
      </c>
      <c r="F17" s="302" t="str">
        <f>VLOOKUP(B17,定義!B:H,6,FALSE)</f>
        <v>PwCの"Corporate income tax (CIT) rates"における対象都市もしくは対象都市が属する国の最高法人税率。</v>
      </c>
      <c r="G17" s="301" t="str">
        <f t="shared" si="0"/>
        <v>2024_12_法人税率の低さ.xlsm</v>
      </c>
      <c r="I17" t="s">
        <v>1508</v>
      </c>
    </row>
    <row r="18" spans="2:9">
      <c r="B18" s="304" t="s">
        <v>549</v>
      </c>
      <c r="C18" s="303" t="str">
        <f>VLOOKUP(B18,指標!B:H,7,FALSE)</f>
        <v>政治・経済・商機のリスクの低さ</v>
      </c>
      <c r="D18" s="302" t="str">
        <f>VLOOKUP(B18,指標!B:K,10,FALSE)</f>
        <v>（合算）</v>
      </c>
      <c r="E18" s="302" t="str">
        <f>VLOOKUP(B18,定義!B:H,6,FALSE)</f>
        <v>以下のデータを指数化したものの平均値：①World Bankの"Doing Business"における対象都市もしくは対象都市が属する国のビジネスの容易性に関する10指標の平均スコア、②Moody'sによる対象都市が属する国の外貨建カントリーシーリングの長期格付け。</v>
      </c>
      <c r="F18" s="302" t="str">
        <f>VLOOKUP(B18,定義!B:H,6,FALSE)</f>
        <v>以下のデータを指数化したものの平均値：①World Bankの"Doing Business"における対象都市もしくは対象都市が属する国のビジネスの容易性に関する10指標の平均スコア、②Moody'sによる対象都市が属する国の外貨建カントリーシーリングの長期格付け。</v>
      </c>
      <c r="G18" s="301" t="str">
        <f t="shared" si="0"/>
        <v>2024_13_政治・経済・商機のリスクの低さ.xlsm</v>
      </c>
      <c r="I18" t="s">
        <v>1506</v>
      </c>
    </row>
    <row r="19" spans="2:9">
      <c r="B19" s="304" t="s">
        <v>550</v>
      </c>
      <c r="C19" s="303" t="str">
        <f>VLOOKUP(B19,指標!B:H,7,FALSE)</f>
        <v>研究者数</v>
      </c>
      <c r="D19" s="302" t="str">
        <f>VLOOKUP(B19,指標!B:K,10,FALSE)</f>
        <v>人</v>
      </c>
      <c r="E19" s="302" t="str">
        <f>VLOOKUP(B19,定義!B:H,6,FALSE)</f>
        <v>UNESCO Institute of Statisticsの"UIS Statistics"における対象都市が属する国の研究者数を国と対象都市の従業者数の比率で按分して推計した人数。</v>
      </c>
      <c r="F19" s="302" t="str">
        <f>VLOOKUP(B19,定義!B:H,6,FALSE)</f>
        <v>UNESCO Institute of Statisticsの"UIS Statistics"における対象都市が属する国の研究者数を国と対象都市の従業者数の比率で按分して推計した人数。</v>
      </c>
      <c r="G19" s="301" t="str">
        <f t="shared" si="0"/>
        <v>2024_14_研究者数.xlsm</v>
      </c>
      <c r="I19" t="s">
        <v>1512</v>
      </c>
    </row>
    <row r="20" spans="2:9">
      <c r="B20" s="304" t="s">
        <v>551</v>
      </c>
      <c r="C20" s="303" t="str">
        <f>VLOOKUP(B20,指標!B:H,7,FALSE)</f>
        <v>世界トップ大学</v>
      </c>
      <c r="D20" s="302" t="str">
        <f>VLOOKUP(B20,指標!B:K,10,FALSE)</f>
        <v>pt</v>
      </c>
      <c r="E20" s="302" t="str">
        <f>VLOOKUP(B20,定義!B:H,6,FALSE)</f>
        <v>Times Higher Educationの"World University Rankings"で1000位以内にランクインした大学のうち、対象都市の中心点から50km圏内に所在する大学を順位に応じて点数化したスコア。</v>
      </c>
      <c r="F20" s="302" t="str">
        <f>VLOOKUP(B20,定義!B:H,6,FALSE)</f>
        <v>Times Higher Educationの"World University Rankings"で1000位以内にランクインした大学のうち、対象都市の中心点から50km圏内に所在する大学を順位に応じて点数化したスコア。</v>
      </c>
      <c r="G20" s="301" t="str">
        <f t="shared" si="0"/>
        <v>2024_15_世界トップ大学.xlsm</v>
      </c>
      <c r="I20" t="s">
        <v>1513</v>
      </c>
    </row>
    <row r="21" spans="2:9">
      <c r="B21" s="304" t="s">
        <v>552</v>
      </c>
      <c r="C21" s="303" t="str">
        <f>VLOOKUP(B21,指標!B:H,7,FALSE)</f>
        <v>研究開発費</v>
      </c>
      <c r="D21" s="302" t="str">
        <f>VLOOKUP(B21,指標!B:K,10,FALSE)</f>
        <v>百万ドル</v>
      </c>
      <c r="E21" s="302" t="str">
        <f>VLOOKUP(B21,定義!B:H,6,FALSE)</f>
        <v>UNESCO Institute of Statisticsの"UIS Statistics"における対象都市が属する国の研究開発費を国と対象都市の従業者数の比率で按分して推計した額。</v>
      </c>
      <c r="F21" s="302" t="str">
        <f>VLOOKUP(B21,定義!B:H,6,FALSE)</f>
        <v>UNESCO Institute of Statisticsの"UIS Statistics"における対象都市が属する国の研究開発費を国と対象都市の従業者数の比率で按分して推計した額。</v>
      </c>
      <c r="G21" s="301" t="str">
        <f t="shared" si="0"/>
        <v>2024_16_研究開発費.xlsm</v>
      </c>
      <c r="I21" t="s">
        <v>1514</v>
      </c>
    </row>
    <row r="22" spans="2:9">
      <c r="B22" s="304" t="s">
        <v>553</v>
      </c>
      <c r="C22" s="303" t="str">
        <f>VLOOKUP(B22,指標!B:H,7,FALSE)</f>
        <v>留学生数</v>
      </c>
      <c r="D22" s="302" t="str">
        <f>VLOOKUP(B22,指標!B:K,10,FALSE)</f>
        <v>人</v>
      </c>
      <c r="E22" s="302" t="str">
        <f>VLOOKUP(B22,定義!B:H,6,FALSE)</f>
        <v>Times Higher Educationの"World University Rankings"で1000位以内にランクインした大学のうち、対象都市の中心点から50km圏内に所在する大学の生徒数と留学生割合から推計した対象都市における留学生数。</v>
      </c>
      <c r="F22" s="302" t="str">
        <f>VLOOKUP(B22,定義!B:H,6,FALSE)</f>
        <v>Times Higher Educationの"World University Rankings"で1000位以内にランクインした大学のうち、対象都市の中心点から50km圏内に所在する大学の生徒数と留学生割合から推計した対象都市における留学生数。</v>
      </c>
      <c r="G22" s="301" t="str">
        <f t="shared" si="0"/>
        <v>2024_17_留学生数.xlsm</v>
      </c>
      <c r="I22" t="s">
        <v>1515</v>
      </c>
    </row>
    <row r="23" spans="2:9">
      <c r="B23" s="304" t="s">
        <v>554</v>
      </c>
      <c r="C23" s="303" t="str">
        <f>VLOOKUP(B23,指標!B:H,7,FALSE)</f>
        <v>学力の高さ</v>
      </c>
      <c r="D23" s="302" t="str">
        <f>VLOOKUP(B23,指標!B:K,10,FALSE)</f>
        <v>pt</v>
      </c>
      <c r="E23" s="302" t="str">
        <f>VLOOKUP(B23,定義!B:H,6,FALSE)</f>
        <v>OECDの"Programme for International Student Assessment (PISA)"における対象都市が属する国の全科目平均得点。</v>
      </c>
      <c r="F23" s="302" t="str">
        <f>VLOOKUP(B23,定義!B:H,6,FALSE)</f>
        <v>OECDの"Programme for International Student Assessment (PISA)"における対象都市が属する国の全科目平均得点。</v>
      </c>
      <c r="G23" s="301" t="str">
        <f t="shared" si="0"/>
        <v>2024_18_学力の高さ.xlsm</v>
      </c>
      <c r="I23" t="s">
        <v>2474</v>
      </c>
    </row>
    <row r="24" spans="2:9">
      <c r="B24" s="304" t="s">
        <v>555</v>
      </c>
      <c r="C24" s="303" t="str">
        <f>VLOOKUP(B24,指標!B:H,7,FALSE)</f>
        <v>特許登録件数</v>
      </c>
      <c r="D24" s="302" t="str">
        <f>VLOOKUP(B24,指標!B:K,10,FALSE)</f>
        <v>件</v>
      </c>
      <c r="E24" s="302" t="str">
        <f>VLOOKUP(B24,定義!B:H,6,FALSE)</f>
        <v>World Intellectual Property Organizationの"WIPO IP Statistics Data Center"における対象都市が属する国の特許登録数の直近10年間の平均値を国と対象都市の従業者数の比率で按分して推計した数。</v>
      </c>
      <c r="F24" s="302" t="str">
        <f>VLOOKUP(B24,定義!B:H,6,FALSE)</f>
        <v>World Intellectual Property Organizationの"WIPO IP Statistics Data Center"における対象都市が属する国の特許登録数の直近10年間の平均値を国と対象都市の従業者数の比率で按分して推計した数。</v>
      </c>
      <c r="G24" s="301" t="str">
        <f t="shared" si="0"/>
        <v>2024_19_特許登録件数.xlsm</v>
      </c>
    </row>
    <row r="25" spans="2:9">
      <c r="B25" s="304" t="s">
        <v>556</v>
      </c>
      <c r="C25" s="303" t="str">
        <f>VLOOKUP(B25,指標!B:H,7,FALSE)</f>
        <v>主要科学技術賞受賞者数</v>
      </c>
      <c r="D25" s="302" t="str">
        <f>VLOOKUP(B25,指標!B:K,10,FALSE)</f>
        <v>pt</v>
      </c>
      <c r="E25" s="302" t="str">
        <f>VLOOKUP(B25,定義!B:H,6,FALSE)</f>
        <v>主要科学技術賞(ノーベル賞、バルザン賞、クラフォード賞、アバカス・メダル賞、フィールズ賞)の直近20年間の受賞者のうち、受賞当時の在籍機関が対象都市の中心点から50km圏内に所在する受賞者を受賞経年数に応じて点数化したスコア。</v>
      </c>
      <c r="F25" s="302" t="str">
        <f>VLOOKUP(B25,定義!B:H,6,FALSE)</f>
        <v>主要科学技術賞(ノーベル賞、バルザン賞、クラフォード賞、アバカス・メダル賞、フィールズ賞)の直近20年間の受賞者のうち、受賞当時の在籍機関が対象都市の中心点から50km圏内に所在する受賞者を受賞経年数に応じて点数化したスコア。</v>
      </c>
      <c r="G25" s="301" t="str">
        <f t="shared" si="0"/>
        <v>2024_20_主要科学技術賞受賞者数.xlsm</v>
      </c>
    </row>
    <row r="26" spans="2:9">
      <c r="B26" s="304" t="s">
        <v>557</v>
      </c>
      <c r="C26" s="303" t="str">
        <f>VLOOKUP(B26,指標!B:H,7,FALSE)</f>
        <v>スタートアップ数</v>
      </c>
      <c r="D26" s="302" t="str">
        <f>VLOOKUP(B26,指標!B:K,10,FALSE)</f>
        <v>社</v>
      </c>
      <c r="E26" s="302" t="str">
        <f>VLOOKUP(B26,定義!B:H,6,FALSE)</f>
        <v>Crunchbaseに掲載されている対象都市で起業されたスタートアップ数の直近3年間の平均値。</v>
      </c>
      <c r="F26" s="302" t="str">
        <f>VLOOKUP(B26,定義!B:H,6,FALSE)</f>
        <v>Crunchbaseに掲載されている対象都市で起業されたスタートアップ数の直近3年間の平均値。</v>
      </c>
      <c r="G26" s="301" t="str">
        <f t="shared" si="0"/>
        <v>2024_21_スタートアップ数.xlsm</v>
      </c>
    </row>
    <row r="27" spans="2:9">
      <c r="B27" s="304" t="s">
        <v>558</v>
      </c>
      <c r="C27" s="303" t="str">
        <f>VLOOKUP(B27,指標!B:H,7,FALSE)</f>
        <v>国際コンベンション件数</v>
      </c>
      <c r="D27" s="302" t="str">
        <f>VLOOKUP(B27,指標!B:K,10,FALSE)</f>
        <v>件</v>
      </c>
      <c r="E27" s="302" t="str">
        <f>VLOOKUP(B27,定義!B:H,6,FALSE)</f>
        <v>Union of International Associationsの"International Meetings Statistics Report"における対象都市で開催された国際会議件数。</v>
      </c>
      <c r="F27" s="302" t="str">
        <f>VLOOKUP(B27,定義!B:H,6,FALSE)</f>
        <v>Union of International Associationsの"International Meetings Statistics Report"における対象都市で開催された国際会議件数。</v>
      </c>
      <c r="G27" s="301" t="str">
        <f t="shared" si="0"/>
        <v>2024_22_国際コンベンション件数.xlsm</v>
      </c>
    </row>
    <row r="28" spans="2:9">
      <c r="B28" s="304" t="s">
        <v>559</v>
      </c>
      <c r="C28" s="303" t="str">
        <f>VLOOKUP(B28,指標!B:H,7,FALSE)</f>
        <v>文化イベント開催件数</v>
      </c>
      <c r="D28" s="302" t="str">
        <f>VLOOKUP(B28,指標!B:K,10,FALSE)</f>
        <v>（合算）</v>
      </c>
      <c r="E28" s="302" t="str">
        <f>VLOOKUP(B28,定義!B:H,6,FALSE)</f>
        <v>以下のデータを指数化したものの平均値：①世界的な文化イベント(オリンピック、FIFAワールドカップ、万国博覧会)のうち、直近20年間に対象都市で開催されたイベントを規模および開催経年数に応じて点数化したスコア、②Columbus Travel Mediaの"World Travel Guide"における対象都市で開催された文化イベント数の直近3年間の平均値。</v>
      </c>
      <c r="F28" s="302" t="str">
        <f>VLOOKUP(B28,定義!B:H,6,FALSE)</f>
        <v>以下のデータを指数化したものの平均値：①世界的な文化イベント(オリンピック、FIFAワールドカップ、万国博覧会)のうち、直近20年間に対象都市で開催されたイベントを規模および開催経年数に応じて点数化したスコア、②Columbus Travel Mediaの"World Travel Guide"における対象都市で開催された文化イベント数の直近3年間の平均値。</v>
      </c>
      <c r="G28" s="301" t="str">
        <f t="shared" si="0"/>
        <v>2024_23_文化イベント開催件数.xlsm</v>
      </c>
    </row>
    <row r="29" spans="2:9">
      <c r="B29" s="304" t="s">
        <v>560</v>
      </c>
      <c r="C29" s="303" t="str">
        <f>VLOOKUP(B29,指標!B:H,7,FALSE)</f>
        <v>コンテンツ輸出額</v>
      </c>
      <c r="D29" s="302" t="str">
        <f>VLOOKUP(B29,指標!B:K,10,FALSE)</f>
        <v>（合算）</v>
      </c>
      <c r="E29" s="302" t="str">
        <f>VLOOKUP(B29,定義!B:H,6,FALSE)</f>
        <v>以下のデータを指数化したものを1:2で重み付けした平均値：①International Trade Centerの"International Trade Statistics"における対象都市が属する国の書籍および光学メディアの国別輸出額を国と対象都市のGDPの比率で按分して推計した額、②International Trade Centerの"International Trade Statistics"における対象都市が属する国の視聴覚および関連サービスの国別輸出額を国と対象都市のGDPの比率で按分して推計した額。</v>
      </c>
      <c r="F29" s="302" t="str">
        <f>VLOOKUP(B29,定義!B:H,6,FALSE)</f>
        <v>以下のデータを指数化したものを1:2で重み付けした平均値：①International Trade Centerの"International Trade Statistics"における対象都市が属する国の書籍および光学メディアの国別輸出額を国と対象都市のGDPの比率で按分して推計した額、②International Trade Centerの"International Trade Statistics"における対象都市が属する国の視聴覚および関連サービスの国別輸出額を国と対象都市のGDPの比率で按分して推計した額。</v>
      </c>
      <c r="G29" s="301" t="str">
        <f t="shared" si="0"/>
        <v>2024_24_コンテンツ輸出額.xlsm</v>
      </c>
    </row>
    <row r="30" spans="2:9">
      <c r="B30" s="304" t="s">
        <v>561</v>
      </c>
      <c r="C30" s="303" t="str">
        <f>VLOOKUP(B30,指標!B:H,7,FALSE)</f>
        <v>アート市場環境</v>
      </c>
      <c r="D30" s="302" t="str">
        <f>VLOOKUP(B30,指標!B:K,10,FALSE)</f>
        <v>（合算）</v>
      </c>
      <c r="E30" s="302" t="str">
        <f>VLOOKUP(B30,定義!B:H,6,FALSE)</f>
        <v>以下のデータを指数化したものの平均値：①Artprice.comの"Top 500 artists by auction turnover"にランクインした対象都市を活動拠点としている作家(存命)を順位に応じて点数化したスコア、②Artnet.comの"Gallery Network"に掲載されている対象都市のギャラリー数、③Artsy.netの「作品所在地」で検索された作品数</v>
      </c>
      <c r="F30" s="302" t="str">
        <f>VLOOKUP(B30,定義!B:H,6,FALSE)</f>
        <v>以下のデータを指数化したものの平均値：①Artprice.comの"Top 500 artists by auction turnover"にランクインした対象都市を活動拠点としている作家(存命)を順位に応じて点数化したスコア、②Artnet.comの"Gallery Network"に掲載されている対象都市のギャラリー数、③Artsy.netの「作品所在地」で検索された作品数</v>
      </c>
      <c r="G30" s="301" t="str">
        <f t="shared" si="0"/>
        <v>2024_25_アート市場環境.xlsm</v>
      </c>
    </row>
    <row r="31" spans="2:9">
      <c r="B31" s="304" t="s">
        <v>562</v>
      </c>
      <c r="C31" s="303" t="str">
        <f>VLOOKUP(B31,指標!B:H,7,FALSE)</f>
        <v>観光地の充実度</v>
      </c>
      <c r="D31" s="302" t="str">
        <f>VLOOKUP(B31,指標!B:K,10,FALSE)</f>
        <v>（合算）</v>
      </c>
      <c r="E31" s="302" t="str">
        <f>VLOOKUP(B31,定義!B:H,6,FALSE)</f>
        <v>以下のデータを指数化したものの平均値：①TripAdvisorに掲載されている対象都市の中心点から10km圏内に所在する観光スポット数(レビュー数100以上)、②居住者アンケートより、外国人訪問者が対象都市の主な観光スポットを回るのに要する日数。</v>
      </c>
      <c r="F31" s="302" t="str">
        <f>VLOOKUP(B31,定義!B:H,6,FALSE)</f>
        <v>以下のデータを指数化したものの平均値：①TripAdvisorに掲載されている対象都市の中心点から10km圏内に所在する観光スポット数(レビュー数100以上)、②居住者アンケートより、外国人訪問者が対象都市の主な観光スポットを回るのに要する日数。</v>
      </c>
      <c r="G31" s="301" t="str">
        <f t="shared" si="0"/>
        <v>2024_26_観光地の充実度.xlsm</v>
      </c>
    </row>
    <row r="32" spans="2:9">
      <c r="B32" s="304" t="s">
        <v>563</v>
      </c>
      <c r="C32" s="303" t="str">
        <f>VLOOKUP(B32,指標!B:H,7,FALSE)</f>
        <v>世界遺産への近接性</v>
      </c>
      <c r="D32" s="302" t="str">
        <f>VLOOKUP(B32,指標!B:K,10,FALSE)</f>
        <v>pt</v>
      </c>
      <c r="E32" s="302" t="str">
        <f>VLOOKUP(B32,定義!B:H,6,FALSE)</f>
        <v>UNESCOによるユネスコ世界遺産のうち、対象都市の中心点から100km圏内に所在する世界遺産を種別および面積に応じて点数化したスコア。</v>
      </c>
      <c r="F32" s="302" t="str">
        <f>VLOOKUP(B32,定義!B:H,6,FALSE)</f>
        <v>UNESCOによるユネスコ世界遺産のうち、対象都市の中心点から100km圏内に所在する世界遺産を種別および面積に応じて点数化したスコア。</v>
      </c>
      <c r="G32" s="301" t="str">
        <f t="shared" si="0"/>
        <v>2024_27_世界遺産への近接性.xlsm</v>
      </c>
    </row>
    <row r="33" spans="2:7">
      <c r="B33" s="304" t="s">
        <v>564</v>
      </c>
      <c r="C33" s="303" t="str">
        <f>VLOOKUP(B33,指標!B:H,7,FALSE)</f>
        <v>ナイトライフ充実度</v>
      </c>
      <c r="D33" s="302" t="str">
        <f>VLOOKUP(B33,指標!B:K,10,FALSE)</f>
        <v>（合算）</v>
      </c>
      <c r="E33" s="302" t="str">
        <f>VLOOKUP(B33,定義!B:H,6,FALSE)</f>
        <v>以下のデータを指数化したものの平均値：①TripAdvisorに掲載されている対象都市のナイトライフスポット数(レビュー数10以上)、②居住者アンケートより、観光客がナイトライフスポットを対象都市の訪問の目的として感じている度合い。</v>
      </c>
      <c r="F33" s="302" t="str">
        <f>VLOOKUP(B33,定義!B:H,6,FALSE)</f>
        <v>以下のデータを指数化したものの平均値：①TripAdvisorに掲載されている対象都市のナイトライフスポット数(レビュー数10以上)、②居住者アンケートより、観光客がナイトライフスポットを対象都市の訪問の目的として感じている度合い。</v>
      </c>
      <c r="G33" s="301" t="str">
        <f t="shared" si="0"/>
        <v>2024_28_ナイトライフ充実度.xlsm</v>
      </c>
    </row>
    <row r="34" spans="2:7">
      <c r="B34" s="304" t="s">
        <v>565</v>
      </c>
      <c r="C34" s="303" t="str">
        <f>VLOOKUP(B34,指標!B:H,7,FALSE)</f>
        <v>劇場・コンサートホール数</v>
      </c>
      <c r="D34" s="302" t="str">
        <f>VLOOKUP(B34,指標!B:K,10,FALSE)</f>
        <v>施設（平均）</v>
      </c>
      <c r="E34" s="302" t="str">
        <f>VLOOKUP(B34,定義!B:H,6,FALSE)</f>
        <v>以下のデータの平均値：①TripAdvisorに掲載されている対象都市の劇場・コンサートホール数、②OpenStreetMapに掲載されている対象都市の中心点から10km圏内に所在する劇場・コンサートホール数。</v>
      </c>
      <c r="F34" s="302" t="str">
        <f>VLOOKUP(B34,定義!B:H,6,FALSE)</f>
        <v>以下のデータの平均値：①TripAdvisorに掲載されている対象都市の劇場・コンサートホール数、②OpenStreetMapに掲載されている対象都市の中心点から10km圏内に所在する劇場・コンサートホール数。</v>
      </c>
      <c r="G34" s="301" t="str">
        <f t="shared" si="0"/>
        <v>2024_29_劇場・コンサートホール数.xlsm</v>
      </c>
    </row>
    <row r="35" spans="2:7">
      <c r="B35" s="304" t="s">
        <v>566</v>
      </c>
      <c r="C35" s="303" t="str">
        <f>VLOOKUP(B35,指標!B:H,7,FALSE)</f>
        <v>美術館・博物館数</v>
      </c>
      <c r="D35" s="302" t="str">
        <f>VLOOKUP(B35,指標!B:K,10,FALSE)</f>
        <v>施設</v>
      </c>
      <c r="E35" s="302" t="str">
        <f>VLOOKUP(B35,定義!B:H,6,FALSE)</f>
        <v>De Gruyter Saurの"Museums of the World"に掲載されている対象都市の美術館・博物館数。</v>
      </c>
      <c r="F35" s="302" t="str">
        <f>VLOOKUP(B35,定義!B:H,6,FALSE)</f>
        <v>De Gruyter Saurの"Museums of the World"に掲載されている対象都市の美術館・博物館数。</v>
      </c>
      <c r="G35" s="301" t="str">
        <f t="shared" ref="G35:G66" si="1">CONCATENATE($J$2,"_",B35,"_",C35,".xlsm")</f>
        <v>2024_30_美術館・博物館数.xlsm</v>
      </c>
    </row>
    <row r="36" spans="2:7">
      <c r="B36" s="304" t="s">
        <v>567</v>
      </c>
      <c r="C36" s="303" t="str">
        <f>VLOOKUP(B36,指標!B:H,7,FALSE)</f>
        <v>スタジアム数</v>
      </c>
      <c r="D36" s="302" t="str">
        <f>VLOOKUP(B36,指標!B:K,10,FALSE)</f>
        <v>施設</v>
      </c>
      <c r="E36" s="302" t="str">
        <f>VLOOKUP(B36,定義!B:H,6,FALSE)</f>
        <v>World Stadiumsに掲載されている対象都市に所在するスタジアム数(収容人数10,000人以上、大学など教育施設構内のスタジアムは除く)。</v>
      </c>
      <c r="F36" s="302" t="str">
        <f>VLOOKUP(B36,定義!B:H,6,FALSE)</f>
        <v>World Stadiumsに掲載されている対象都市に所在するスタジアム数(収容人数10,000人以上、大学など教育施設構内のスタジアムは除く)。</v>
      </c>
      <c r="G36" s="301" t="str">
        <f t="shared" si="1"/>
        <v>2024_31_スタジアム数.xlsm</v>
      </c>
    </row>
    <row r="37" spans="2:7">
      <c r="B37" s="304" t="s">
        <v>568</v>
      </c>
      <c r="C37" s="303" t="str">
        <f>VLOOKUP(B37,指標!B:H,7,FALSE)</f>
        <v>ホテル客室数</v>
      </c>
      <c r="D37" s="302" t="str">
        <f>VLOOKUP(B37,指標!B:K,10,FALSE)</f>
        <v>室</v>
      </c>
      <c r="E37" s="302" t="str">
        <f>VLOOKUP(B37,定義!B:H,6,FALSE)</f>
        <v>Hotels.comに掲載されている対象都市の中心点から10km圏内に所在するホテルの総客室数。</v>
      </c>
      <c r="F37" s="302" t="str">
        <f>VLOOKUP(B37,定義!B:H,6,FALSE)</f>
        <v>Hotels.comに掲載されている対象都市の中心点から10km圏内に所在するホテルの総客室数。</v>
      </c>
      <c r="G37" s="301" t="str">
        <f t="shared" si="1"/>
        <v>2024_32_ホテル客室数.xlsm</v>
      </c>
    </row>
    <row r="38" spans="2:7">
      <c r="B38" s="304" t="s">
        <v>569</v>
      </c>
      <c r="C38" s="303" t="str">
        <f>VLOOKUP(B38,指標!B:H,7,FALSE)</f>
        <v>ハイクラスホテル客室数</v>
      </c>
      <c r="D38" s="302" t="str">
        <f>VLOOKUP(B38,指標!B:K,10,FALSE)</f>
        <v>室</v>
      </c>
      <c r="E38" s="302" t="str">
        <f>VLOOKUP(B38,定義!B:H,6,FALSE)</f>
        <v>Hotels.comに掲載されている対象都市の中心点から10km圏内に所在する5つ星ホテルの総客室数。</v>
      </c>
      <c r="F38" s="302" t="str">
        <f>VLOOKUP(B38,定義!B:H,6,FALSE)</f>
        <v>Hotels.comに掲載されている対象都市の中心点から10km圏内に所在する5つ星ホテルの総客室数。</v>
      </c>
      <c r="G38" s="301" t="str">
        <f t="shared" si="1"/>
        <v>2024_33_ハイクラスホテル客室数.xlsm</v>
      </c>
    </row>
    <row r="39" spans="2:7">
      <c r="B39" s="304" t="s">
        <v>570</v>
      </c>
      <c r="C39" s="303" t="str">
        <f>VLOOKUP(B39,指標!B:H,7,FALSE)</f>
        <v>買物の魅力</v>
      </c>
      <c r="D39" s="302" t="str">
        <f>VLOOKUP(B39,指標!B:K,10,FALSE)</f>
        <v>（合算）</v>
      </c>
      <c r="E39" s="302" t="str">
        <f>VLOOKUP(B39,定義!B:H,6,FALSE)</f>
        <v>以下のデータを指数化したものの平均値：①TripAdvisorに掲載されている対象都市のショップ・モールの５段階評価の数字の合算値、②居住者アンケートより、観光客が買物の魅力を対象都市の訪問の目的として感じている度合い。</v>
      </c>
      <c r="F39" s="302" t="str">
        <f>VLOOKUP(B39,定義!B:H,6,FALSE)</f>
        <v>以下のデータを指数化したものの平均値：①TripAdvisorに掲載されている対象都市のショップ・モールの５段階評価の数字の合算値、②居住者アンケートより、観光客が買物の魅力を対象都市の訪問の目的として感じている度合い。</v>
      </c>
      <c r="G39" s="301" t="str">
        <f t="shared" si="1"/>
        <v>2024_34_買物の魅力.xlsm</v>
      </c>
    </row>
    <row r="40" spans="2:7">
      <c r="B40" s="304" t="s">
        <v>571</v>
      </c>
      <c r="C40" s="303" t="str">
        <f>VLOOKUP(B40,指標!B:H,7,FALSE)</f>
        <v>食事の魅力</v>
      </c>
      <c r="D40" s="302" t="str">
        <f>VLOOKUP(B40,指標!B:K,10,FALSE)</f>
        <v>（合算）</v>
      </c>
      <c r="E40" s="302" t="str">
        <f>VLOOKUP(B40,定義!B:H,6,FALSE)</f>
        <v>以下のデータを指数化したものの平均値：①La Listeの"World's Top 1000 Restaurants"でランクインしたレストランのうち、対象都市の中心点から10km圏内に所在するレストラン数、②居住者アンケートより、観光客が食事の魅力を対象都市の訪問の目的として感じている度合い。</v>
      </c>
      <c r="F40" s="302" t="str">
        <f>VLOOKUP(B40,定義!B:H,6,FALSE)</f>
        <v>以下のデータを指数化したものの平均値：①La Listeの"World's Top 1000 Restaurants"でランクインしたレストランのうち、対象都市の中心点から10km圏内に所在するレストラン数、②居住者アンケートより、観光客が食事の魅力を対象都市の訪問の目的として感じている度合い。</v>
      </c>
      <c r="G40" s="301" t="str">
        <f t="shared" si="1"/>
        <v>2024_35_食事の魅力.xlsm</v>
      </c>
    </row>
    <row r="41" spans="2:7">
      <c r="B41" s="304" t="s">
        <v>572</v>
      </c>
      <c r="C41" s="303" t="str">
        <f>VLOOKUP(B41,指標!B:H,7,FALSE)</f>
        <v>外国人居住者数</v>
      </c>
      <c r="D41" s="302" t="str">
        <f>VLOOKUP(B41,指標!B:K,10,FALSE)</f>
        <v>人</v>
      </c>
      <c r="E41" s="302" t="str">
        <f>VLOOKUP(B41,定義!B:H,6,FALSE)</f>
        <v>対象都市の外国人居住者数もしくは市民権を持たない居住者数。</v>
      </c>
      <c r="F41" s="302" t="str">
        <f>VLOOKUP(B41,定義!B:H,6,FALSE)</f>
        <v>対象都市の外国人居住者数もしくは市民権を持たない居住者数。</v>
      </c>
      <c r="G41" s="301" t="str">
        <f t="shared" si="1"/>
        <v>2024_36_外国人居住者数.xlsm</v>
      </c>
    </row>
    <row r="42" spans="2:7">
      <c r="B42" s="304" t="s">
        <v>573</v>
      </c>
      <c r="C42" s="303" t="str">
        <f>VLOOKUP(B42,指標!B:H,7,FALSE)</f>
        <v>外国人訪問者数</v>
      </c>
      <c r="D42" s="302" t="str">
        <f>VLOOKUP(B42,指標!B:K,10,FALSE)</f>
        <v>人</v>
      </c>
      <c r="E42" s="302" t="str">
        <f>VLOOKUP(B42,定義!B:H,6,FALSE)</f>
        <v>対象都市を1年間に訪問した外国人訪問者数(全都市を同じ年次で比較可能な年次値を採用)。</v>
      </c>
      <c r="F42" s="302" t="str">
        <f>VLOOKUP(B42,定義!B:H,6,FALSE)</f>
        <v>対象都市を1年間に訪問した外国人訪問者数(全都市を同じ年次で比較可能な年次値を採用)。</v>
      </c>
      <c r="G42" s="301" t="str">
        <f t="shared" si="1"/>
        <v>2024_37_外国人訪問者数.xlsm</v>
      </c>
    </row>
    <row r="43" spans="2:7">
      <c r="B43" s="304" t="s">
        <v>574</v>
      </c>
      <c r="C43" s="303" t="str">
        <f>VLOOKUP(B43,指標!B:H,7,FALSE)</f>
        <v>完全失業率の低さ</v>
      </c>
      <c r="D43" s="302" t="str">
        <f>VLOOKUP(B43,指標!B:K,10,FALSE)</f>
        <v>%</v>
      </c>
      <c r="E43" s="302" t="str">
        <f>VLOOKUP(B43,定義!B:H,6,FALSE)</f>
        <v>対象都市の完全失業率。</v>
      </c>
      <c r="F43" s="302" t="str">
        <f>VLOOKUP(B43,定義!B:H,6,FALSE)</f>
        <v>対象都市の完全失業率。</v>
      </c>
      <c r="G43" s="301" t="str">
        <f t="shared" si="1"/>
        <v>2024_38_完全失業率の低さ.xlsm</v>
      </c>
    </row>
    <row r="44" spans="2:7">
      <c r="B44" s="304" t="s">
        <v>575</v>
      </c>
      <c r="C44" s="303" t="str">
        <f>VLOOKUP(B44,指標!B:H,7,FALSE)</f>
        <v>1人あたりの総労働時間の短さ</v>
      </c>
      <c r="D44" s="302" t="str">
        <f>VLOOKUP(B44,指標!B:K,10,FALSE)</f>
        <v>時間/年</v>
      </c>
      <c r="E44" s="302" t="str">
        <f>VLOOKUP(B44,定義!B:H,6,FALSE)</f>
        <v>対象都市の1人あたりの年間総労働時間。</v>
      </c>
      <c r="F44" s="302" t="str">
        <f>VLOOKUP(B44,定義!B:H,6,FALSE)</f>
        <v>対象都市の1人あたりの年間総労働時間。</v>
      </c>
      <c r="G44" s="301" t="str">
        <f t="shared" si="1"/>
        <v>2024_39_1人あたりの総労働時間の短さ.xlsm</v>
      </c>
    </row>
    <row r="45" spans="2:7">
      <c r="B45" s="304" t="s">
        <v>576</v>
      </c>
      <c r="C45" s="303" t="str">
        <f>VLOOKUP(B45,指標!B:H,7,FALSE)</f>
        <v>働き方の柔軟性</v>
      </c>
      <c r="D45" s="302" t="str">
        <f>VLOOKUP(B45,指標!B:K,10,FALSE)</f>
        <v>pt</v>
      </c>
      <c r="E45" s="302" t="str">
        <f>VLOOKUP(B45,定義!B:H,6,FALSE)</f>
        <v>居住者アンケートより、対象都市における職場での働き方の柔軟性の度合い。</v>
      </c>
      <c r="F45" s="302" t="str">
        <f>VLOOKUP(B45,定義!B:H,6,FALSE)</f>
        <v>居住者アンケートより、対象都市における職場での働き方の柔軟性の度合い。</v>
      </c>
      <c r="G45" s="301" t="str">
        <f t="shared" si="1"/>
        <v>2024_40_働き方の柔軟性.xlsm</v>
      </c>
    </row>
    <row r="46" spans="2:7">
      <c r="B46" s="304" t="s">
        <v>577</v>
      </c>
      <c r="C46" s="303" t="str">
        <f>VLOOKUP(B46,指標!B:H,7,FALSE)</f>
        <v>住宅賃料水準の低さ</v>
      </c>
      <c r="D46" s="302" t="str">
        <f>VLOOKUP(B46,指標!B:K,10,FALSE)</f>
        <v>ドル/月</v>
      </c>
      <c r="E46" s="302" t="str">
        <f>VLOOKUP(B46,定義!B:H,6,FALSE)</f>
        <v>Numbeoの"Cost of Living"における、対象都市の中心部と中心部以外に位置する1ベッドルームおよび3ベッドルームのアパートの平均家賃。</v>
      </c>
      <c r="F46" s="302" t="str">
        <f>VLOOKUP(B46,定義!B:H,6,FALSE)</f>
        <v>Numbeoの"Cost of Living"における、対象都市の中心部と中心部以外に位置する1ベッドルームおよび3ベッドルームのアパートの平均家賃。</v>
      </c>
      <c r="G46" s="301" t="str">
        <f t="shared" si="1"/>
        <v>2024_41_住宅賃料水準の低さ.xlsm</v>
      </c>
    </row>
    <row r="47" spans="2:7">
      <c r="B47" s="304" t="s">
        <v>578</v>
      </c>
      <c r="C47" s="303" t="str">
        <f>VLOOKUP(B47,指標!B:H,7,FALSE)</f>
        <v>物価水準の低さ</v>
      </c>
      <c r="D47" s="302" t="str">
        <f>VLOOKUP(B47,指標!B:K,10,FALSE)</f>
        <v>pt</v>
      </c>
      <c r="E47" s="302" t="str">
        <f>VLOOKUP(B47,定義!B:H,6,FALSE)</f>
        <v>Expatistan.comにおける5項目（食料品、衣類、交通、日用品、娯楽）の価格をもとに算出したスコア</v>
      </c>
      <c r="F47" s="302" t="str">
        <f>VLOOKUP(B47,定義!B:H,6,FALSE)</f>
        <v>Expatistan.comにおける5項目（食料品、衣類、交通、日用品、娯楽）の価格をもとに算出したスコア</v>
      </c>
      <c r="G47" s="301" t="str">
        <f t="shared" si="1"/>
        <v>2024_42_物価水準の低さ.xlsm</v>
      </c>
    </row>
    <row r="48" spans="2:7">
      <c r="B48" s="304" t="s">
        <v>579</v>
      </c>
      <c r="C48" s="303" t="str">
        <f>VLOOKUP(B48,指標!B:H,7,FALSE)</f>
        <v>殺人件数の少なさ</v>
      </c>
      <c r="D48" s="302" t="str">
        <f>VLOOKUP(B48,指標!B:K,10,FALSE)</f>
        <v>件/百万人</v>
      </c>
      <c r="E48" s="302" t="str">
        <f>VLOOKUP(B48,定義!B:H,6,FALSE)</f>
        <v>対象都市の人口100万人あたりの年間殺人事件発生(認知)件数。</v>
      </c>
      <c r="F48" s="302" t="str">
        <f>VLOOKUP(B48,定義!B:H,6,FALSE)</f>
        <v>対象都市の人口100万人あたりの年間殺人事件発生(認知)件数。</v>
      </c>
      <c r="G48" s="301" t="str">
        <f t="shared" si="1"/>
        <v>2024_43_殺人件数の少なさ.xlsm</v>
      </c>
    </row>
    <row r="49" spans="2:7">
      <c r="B49" s="304" t="s">
        <v>580</v>
      </c>
      <c r="C49" s="303" t="str">
        <f>VLOOKUP(B49,指標!B:H,7,FALSE)</f>
        <v>自然災害の経済的リスクの少なさ</v>
      </c>
      <c r="D49" s="302" t="str">
        <f>VLOOKUP(B49,指標!B:K,10,FALSE)</f>
        <v>%</v>
      </c>
      <c r="E49" s="302" t="str">
        <f>VLOOKUP(B49,定義!B:H,6,FALSE)</f>
        <v>Lloyd'sの"Lloyd's City Risk Index"における対象都市のGDPリスク量の対平均年間GDP比。</v>
      </c>
      <c r="F49" s="302" t="str">
        <f>VLOOKUP(B49,定義!B:H,6,FALSE)</f>
        <v>Lloyd'sの"Lloyd's City Risk Index"における対象都市のGDPリスク量の対平均年間GDP比。</v>
      </c>
      <c r="G49" s="301" t="str">
        <f t="shared" si="1"/>
        <v>2024_44_自然災害の経済的リスクの少なさ.xlsm</v>
      </c>
    </row>
    <row r="50" spans="2:7">
      <c r="B50" s="304" t="s">
        <v>581</v>
      </c>
      <c r="C50" s="303" t="str">
        <f>VLOOKUP(B50,指標!B:H,7,FALSE)</f>
        <v>平均寿命</v>
      </c>
      <c r="D50" s="302" t="str">
        <f>VLOOKUP(B50,指標!B:K,10,FALSE)</f>
        <v>歳</v>
      </c>
      <c r="E50" s="302" t="str">
        <f>VLOOKUP(B50,定義!B:H,6,FALSE)</f>
        <v>World Health Organizationの"World Health Statistics"における対象都市が属する国の平均寿命。</v>
      </c>
      <c r="F50" s="302" t="str">
        <f>VLOOKUP(B50,定義!B:H,6,FALSE)</f>
        <v>World Health Organizationの"World Health Statistics"における対象都市が属する国の平均寿命。</v>
      </c>
      <c r="G50" s="301" t="str">
        <f t="shared" si="1"/>
        <v>2024_45_平均寿命.xlsm</v>
      </c>
    </row>
    <row r="51" spans="2:7">
      <c r="B51" s="304" t="s">
        <v>582</v>
      </c>
      <c r="C51" s="303" t="str">
        <f>VLOOKUP(B51,指標!B:H,7,FALSE)</f>
        <v>社会の自由度・平等さ</v>
      </c>
      <c r="D51" s="302" t="str">
        <f>VLOOKUP(B51,指標!B:K,10,FALSE)</f>
        <v>（合算）</v>
      </c>
      <c r="E51" s="302" t="str">
        <f>VLOOKUP(B51,定義!B:H,6,FALSE)</f>
        <v>以下のデータを指数化したものの平均値：①Transparency Internationalの"Corruption Perceptions Index"における対象都市が属する国のスコア、②Freedom Houseの"Freedom in the World"における対象都市が属する国のスコア、③Reporter without Bordersの"World Press Freedom Index"における対象都市が属する国のスコア、④World Economic Forumの"Global Gender Gap Report"における対象都市が属する国のスコア。</v>
      </c>
      <c r="F51" s="302" t="str">
        <f>VLOOKUP(B51,定義!B:H,6,FALSE)</f>
        <v>以下のデータを指数化したものの平均値：①Transparency Internationalの"Corruption Perceptions Index"における対象都市が属する国のスコア、②Freedom Houseの"Freedom in the World"における対象都市が属する国のスコア、③Reporter without Bordersの"World Press Freedom Index"における対象都市が属する国のスコア、④World Economic Forumの"Global Gender Gap Report"における対象都市が属する国のスコア。</v>
      </c>
      <c r="G51" s="301" t="str">
        <f t="shared" si="1"/>
        <v>2024_46_社会の自由度・平等さ.xlsm</v>
      </c>
    </row>
    <row r="52" spans="2:7">
      <c r="B52" s="304" t="s">
        <v>583</v>
      </c>
      <c r="C52" s="303" t="str">
        <f>VLOOKUP(B52,指標!B:H,7,FALSE)</f>
        <v>メンタルヘルス水準</v>
      </c>
      <c r="D52" s="302" t="str">
        <f>VLOOKUP(B52,指標!B:K,10,FALSE)</f>
        <v>（合算）</v>
      </c>
      <c r="E52" s="302" t="str">
        <f>VLOOKUP(B52,定義!B:H,6,FALSE)</f>
        <v>以下のデータを指数化したものの平均値：①World Health Organizationの"Global Health Estimates"における対象都市が属する国の後天的な精神疾患による障害共存年数(病的状態、障害により失われた年数)、②World Health Organizationの"Global Health Observatory"における対象都市が属する国の人口10万人あたりの自殺者数。</v>
      </c>
      <c r="F52" s="302" t="str">
        <f>VLOOKUP(B52,定義!B:H,6,FALSE)</f>
        <v>以下のデータを指数化したものの平均値：①World Health Organizationの"Global Health Estimates"における対象都市が属する国の後天的な精神疾患による障害共存年数(病的状態、障害により失われた年数)、②World Health Organizationの"Global Health Observatory"における対象都市が属する国の人口10万人あたりの自殺者数。</v>
      </c>
      <c r="G52" s="301" t="str">
        <f t="shared" si="1"/>
        <v>2024_47_メンタルヘルス水準.xlsm</v>
      </c>
    </row>
    <row r="53" spans="2:7">
      <c r="B53" s="304" t="s">
        <v>584</v>
      </c>
      <c r="C53" s="303" t="str">
        <f>VLOOKUP(B53,指標!B:H,7,FALSE)</f>
        <v>医師数</v>
      </c>
      <c r="D53" s="302" t="str">
        <f>VLOOKUP(B53,指標!B:K,10,FALSE)</f>
        <v>人/百万人</v>
      </c>
      <c r="E53" s="302" t="str">
        <f>VLOOKUP(B53,定義!B:H,6,FALSE)</f>
        <v>OECDの"Health Statistics"およびWHOの"Global Health Observatory"における対象都市が属する国の医師数の平均値を国と対象都市の従業者数の比率で按分して推計した人口100万人あたりの医師数。</v>
      </c>
      <c r="F53" s="302" t="str">
        <f>VLOOKUP(B53,定義!B:H,6,FALSE)</f>
        <v>OECDの"Health Statistics"およびWHOの"Global Health Observatory"における対象都市が属する国の医師数の平均値を国と対象都市の従業者数の比率で按分して推計した人口100万人あたりの医師数。</v>
      </c>
      <c r="G53" s="301" t="str">
        <f t="shared" si="1"/>
        <v>2024_48_医師数.xlsm</v>
      </c>
    </row>
    <row r="54" spans="2:7">
      <c r="B54" s="304" t="s">
        <v>585</v>
      </c>
      <c r="C54" s="303" t="str">
        <f>VLOOKUP(B54,指標!B:H,7,FALSE)</f>
        <v>ICT環境の充実度</v>
      </c>
      <c r="D54" s="302" t="str">
        <f>VLOOKUP(B54,指標!B:K,10,FALSE)</f>
        <v>pt</v>
      </c>
      <c r="E54" s="302" t="str">
        <f>VLOOKUP(B54,定義!B:H,6,FALSE)</f>
        <v>Portulans Instituteの"Networked Readiness Index"における対象都市が属する国の個人、ビジネス、行政サービスにおけるICT環境に関する29指標を同調査と同じ方法で指数化した値。</v>
      </c>
      <c r="F54" s="302" t="str">
        <f>VLOOKUP(B54,定義!B:H,6,FALSE)</f>
        <v>Portulans Instituteの"Networked Readiness Index"における対象都市が属する国の個人、ビジネス、行政サービスにおけるICT環境に関する29指標を同調査と同じ方法で指数化した値。</v>
      </c>
      <c r="G54" s="301" t="str">
        <f t="shared" si="1"/>
        <v>2024_49_ICT環境の充実度.xlsm</v>
      </c>
    </row>
    <row r="55" spans="2:7">
      <c r="B55" s="304" t="s">
        <v>586</v>
      </c>
      <c r="C55" s="303" t="str">
        <f>VLOOKUP(B55,指標!B:H,7,FALSE)</f>
        <v>小売店舗の多さ</v>
      </c>
      <c r="D55" s="302" t="str">
        <f>VLOOKUP(B55,指標!B:K,10,FALSE)</f>
        <v>（合算）</v>
      </c>
      <c r="E55" s="302" t="str">
        <f>VLOOKUP(B55,定義!B:H,6,FALSE)</f>
        <v>以下のデータを指数化したものの平均値：①OpenStreetMapに掲載されている対象都市の中心点から10km圏内に所在する小売店舗数、②居住者アンケートより、対象都市で徒歩10分圏内に所在する小売店舗数。</v>
      </c>
      <c r="F55" s="302" t="str">
        <f>VLOOKUP(B55,定義!B:H,6,FALSE)</f>
        <v>以下のデータを指数化したものの平均値：①OpenStreetMapに掲載されている対象都市の中心点から10km圏内に所在する小売店舗数、②居住者アンケートより、対象都市で徒歩10分圏内に所在する小売店舗数。</v>
      </c>
      <c r="G55" s="301" t="str">
        <f t="shared" si="1"/>
        <v>2024_50_小売店舗の多さ.xlsm</v>
      </c>
    </row>
    <row r="56" spans="2:7">
      <c r="B56" s="304" t="s">
        <v>587</v>
      </c>
      <c r="C56" s="303" t="str">
        <f>VLOOKUP(B56,指標!B:H,7,FALSE)</f>
        <v>飲食店の多さ</v>
      </c>
      <c r="D56" s="302" t="str">
        <f>VLOOKUP(B56,指標!B:K,10,FALSE)</f>
        <v>（合算）</v>
      </c>
      <c r="E56" s="302" t="str">
        <f>VLOOKUP(B56,定義!B:H,6,FALSE)</f>
        <v>以下のデータを指数化したものの平均値：①OpenStreetMapに掲載されている対象都市の中心点から10km圏内に所在するレストラン数、②居住者アンケートより、対象都市で徒歩10分圏内に所在するレストラン数。</v>
      </c>
      <c r="F56" s="302" t="str">
        <f>VLOOKUP(B56,定義!B:H,6,FALSE)</f>
        <v>以下のデータを指数化したものの平均値：①OpenStreetMapに掲載されている対象都市の中心点から10km圏内に所在するレストラン数、②居住者アンケートより、対象都市で徒歩10分圏内に所在するレストラン数。</v>
      </c>
      <c r="G56" s="301" t="str">
        <f t="shared" si="1"/>
        <v>2024_51_飲食店の多さ.xlsm</v>
      </c>
    </row>
    <row r="57" spans="2:7">
      <c r="B57" s="304" t="s">
        <v>588</v>
      </c>
      <c r="C57" s="303" t="str">
        <f>VLOOKUP(B57,指標!B:H,7,FALSE)</f>
        <v>環境への取り組み</v>
      </c>
      <c r="D57" s="302" t="str">
        <f>VLOOKUP(B57,指標!B:K,10,FALSE)</f>
        <v>（合算）</v>
      </c>
      <c r="E57" s="302" t="str">
        <f>VLOOKUP(B57,定義!B:H,6,FALSE)</f>
        <v>以下のデータを指数化したものの平均値：①United Nations Framework Convention on Climate Change (気候変動に関する国際連合枠組条約)による"Non-state Actor Zone for Climate Action (NAZCA)"に掲載されている対象都市の主体的参加（Initiative Participation）数、②対象都市の温室効果ガス排出削減目標を基準年から目標年までの年数で除した1年あたりの削減目標率。</v>
      </c>
      <c r="F57" s="302" t="str">
        <f>VLOOKUP(B57,定義!B:H,6,FALSE)</f>
        <v>以下のデータを指数化したものの平均値：①United Nations Framework Convention on Climate Change (気候変動に関する国際連合枠組条約)による"Non-state Actor Zone for Climate Action (NAZCA)"に掲載されている対象都市の主体的参加（Initiative Participation）数、②対象都市の温室効果ガス排出削減目標を基準年から目標年までの年数で除した1年あたりの削減目標率。</v>
      </c>
      <c r="G57" s="301" t="str">
        <f t="shared" si="1"/>
        <v>2024_52_環境への取り組み.xlsm</v>
      </c>
    </row>
    <row r="58" spans="2:7">
      <c r="B58" s="304" t="s">
        <v>589</v>
      </c>
      <c r="C58" s="303" t="str">
        <f>VLOOKUP(B58,指標!B:H,7,FALSE)</f>
        <v>再生可能エネルギー比率</v>
      </c>
      <c r="D58" s="302" t="str">
        <f>VLOOKUP(B58,指標!B:K,10,FALSE)</f>
        <v>%</v>
      </c>
      <c r="E58" s="302" t="str">
        <f>VLOOKUP(B58,定義!B:H,6,FALSE)</f>
        <v xml:space="preserve">Organisation for Economic Co-operation and Development（OECD）の”Renewable energy”における対象都市が属する国の総1次エネルギー供給量に対する再生可能エネルギーの供給量の比率 </v>
      </c>
      <c r="F58" s="302" t="str">
        <f>VLOOKUP(B58,定義!B:H,6,FALSE)</f>
        <v xml:space="preserve">Organisation for Economic Co-operation and Development（OECD）の”Renewable energy”における対象都市が属する国の総1次エネルギー供給量に対する再生可能エネルギーの供給量の比率 </v>
      </c>
      <c r="G58" s="301" t="str">
        <f t="shared" si="1"/>
        <v>2024_53_再生可能エネルギー比率.xlsm</v>
      </c>
    </row>
    <row r="59" spans="2:7">
      <c r="B59" s="304" t="s">
        <v>590</v>
      </c>
      <c r="C59" s="303" t="str">
        <f>VLOOKUP(B59,指標!B:H,7,FALSE)</f>
        <v>リサイクル率</v>
      </c>
      <c r="D59" s="302" t="str">
        <f>VLOOKUP(B59,指標!B:K,10,FALSE)</f>
        <v>%</v>
      </c>
      <c r="E59" s="302" t="str">
        <f>VLOOKUP(B59,定義!B:H,6,FALSE)</f>
        <v>OECDの"Environment Statistics"およびUnited Nations Statistics Divisionの"Environmental Indicators"における対象都市が属する国の一般ごみのリサイクル率の平均値。</v>
      </c>
      <c r="F59" s="302" t="str">
        <f>VLOOKUP(B59,定義!B:H,6,FALSE)</f>
        <v>OECDの"Environment Statistics"およびUnited Nations Statistics Divisionの"Environmental Indicators"における対象都市が属する国の一般ごみのリサイクル率の平均値。</v>
      </c>
      <c r="G59" s="301" t="str">
        <f t="shared" si="1"/>
        <v>2024_54_リサイクル率.xlsm</v>
      </c>
    </row>
    <row r="60" spans="2:7">
      <c r="B60" s="304" t="s">
        <v>591</v>
      </c>
      <c r="C60" s="303" t="str">
        <f>VLOOKUP(B60,指標!B:H,7,FALSE)</f>
        <v>1人あたりのCO2排出量の少なさ</v>
      </c>
      <c r="D60" s="302" t="str">
        <f>VLOOKUP(B60,指標!B:K,10,FALSE)</f>
        <v>トン/人</v>
      </c>
      <c r="E60" s="302" t="str">
        <f>VLOOKUP(B60,定義!B:H,6,FALSE)</f>
        <v>International Energy Agencyの"CO2 Emissions from Fuel Combustion"における対象都市が属する国のCO2排出量を、国と対象都市のGDPの比率で按分し推計した、対象都市1人あたりの排出量。</v>
      </c>
      <c r="F60" s="302" t="str">
        <f>VLOOKUP(B60,定義!B:H,6,FALSE)</f>
        <v>International Energy Agencyの"CO2 Emissions from Fuel Combustion"における対象都市が属する国のCO2排出量を、国と対象都市のGDPの比率で按分し推計した、対象都市1人あたりの排出量。</v>
      </c>
      <c r="G60" s="301" t="str">
        <f t="shared" si="1"/>
        <v>2024_55_1人あたりのCO2排出量の少なさ.xlsm</v>
      </c>
    </row>
    <row r="61" spans="2:7">
      <c r="B61" s="304" t="s">
        <v>592</v>
      </c>
      <c r="C61" s="303" t="str">
        <f>VLOOKUP(B61,指標!B:H,7,FALSE)</f>
        <v>空気のきれいさ</v>
      </c>
      <c r="D61" s="302" t="str">
        <f>VLOOKUP(B61,指標!B:K,10,FALSE)</f>
        <v>µg /m³</v>
      </c>
      <c r="E61" s="302" t="str">
        <f>VLOOKUP(B61,定義!B:H,6,FALSE)</f>
        <v>IQAirの"World's most polluted cities (PM2.5)"における対象都市のPM2.5の年間平均濃度。</v>
      </c>
      <c r="F61" s="302" t="str">
        <f>VLOOKUP(B61,定義!B:H,6,FALSE)</f>
        <v>IQAirの"World's most polluted cities (PM2.5)"における対象都市のPM2.5の年間平均濃度。</v>
      </c>
      <c r="G61" s="301" t="str">
        <f t="shared" si="1"/>
        <v>2024_56_空気のきれいさ.xlsm</v>
      </c>
    </row>
    <row r="62" spans="2:7">
      <c r="B62" s="304" t="s">
        <v>593</v>
      </c>
      <c r="C62" s="303" t="str">
        <f>VLOOKUP(B62,指標!B:H,7,FALSE)</f>
        <v>気温の快適性</v>
      </c>
      <c r="D62" s="302" t="str">
        <f>VLOOKUP(B62,指標!B:K,10,FALSE)</f>
        <v>pt</v>
      </c>
      <c r="E62" s="302" t="str">
        <f>VLOOKUP(B62,定義!B:H,6,FALSE)</f>
        <v>Raspisaniye Pogodi Ltd.の"Weather in the World"に掲載されている対象都市の直近3年間の気象データから算出した体感温度の快適な温度(15～25℃)からの乖離度を集計した値。</v>
      </c>
      <c r="F62" s="302" t="str">
        <f>VLOOKUP(B62,定義!B:H,6,FALSE)</f>
        <v>Raspisaniye Pogodi Ltd.の"Weather in the World"に掲載されている対象都市の直近3年間の気象データから算出した体感温度の快適な温度(15～25℃)からの乖離度を集計した値。</v>
      </c>
      <c r="G62" s="301" t="str">
        <f t="shared" si="1"/>
        <v>2024_57_気温の快適性.xlsm</v>
      </c>
    </row>
    <row r="63" spans="2:7">
      <c r="B63" s="304" t="s">
        <v>594</v>
      </c>
      <c r="C63" s="303" t="str">
        <f>VLOOKUP(B63,指標!B:H,7,FALSE)</f>
        <v>水質の良好性</v>
      </c>
      <c r="D63" s="302" t="str">
        <f>VLOOKUP(B63,指標!B:K,10,FALSE)</f>
        <v>pt</v>
      </c>
      <c r="E63" s="302" t="str">
        <f>VLOOKUP(B63,定義!B:H,6,FALSE)</f>
        <v>Numbeoの"Pollution"における対象都市の"Water Quality"のスコア。</v>
      </c>
      <c r="F63" s="302" t="str">
        <f>VLOOKUP(B63,定義!B:H,6,FALSE)</f>
        <v>Numbeoの"Pollution"における対象都市の"Water Quality"のスコア。</v>
      </c>
      <c r="G63" s="301" t="str">
        <f t="shared" si="1"/>
        <v>2024_58_水質の良好性.xlsm</v>
      </c>
    </row>
    <row r="64" spans="2:7">
      <c r="B64" s="304" t="s">
        <v>595</v>
      </c>
      <c r="C64" s="303" t="str">
        <f>VLOOKUP(B64,指標!B:H,7,FALSE)</f>
        <v>緑地の充実度</v>
      </c>
      <c r="D64" s="302" t="str">
        <f>VLOOKUP(B64,指標!B:K,10,FALSE)</f>
        <v>（合算）</v>
      </c>
      <c r="E64" s="302" t="str">
        <f>VLOOKUP(B64,定義!B:H,6,FALSE)</f>
        <v>以下のデータを指数化したものの平均値：①Numbeoの"Pollution"における対象都市の"Quality of Green and Parks"のスコア、②衛星画像をもとに推計した対象都市における緑被率。</v>
      </c>
      <c r="F64" s="302" t="str">
        <f>VLOOKUP(B64,定義!B:H,6,FALSE)</f>
        <v>以下のデータを指数化したものの平均値：①Numbeoの"Pollution"における対象都市の"Quality of Green and Parks"のスコア、②衛星画像をもとに推計した対象都市における緑被率。</v>
      </c>
      <c r="G64" s="301" t="str">
        <f t="shared" si="1"/>
        <v>2024_59_緑地の充実度.xlsm</v>
      </c>
    </row>
    <row r="65" spans="2:7">
      <c r="B65" s="304" t="s">
        <v>596</v>
      </c>
      <c r="C65" s="303" t="str">
        <f>VLOOKUP(B65,指標!B:H,7,FALSE)</f>
        <v>都市空間の清潔さ</v>
      </c>
      <c r="D65" s="302" t="str">
        <f>VLOOKUP(B65,指標!B:K,10,FALSE)</f>
        <v>（合算）</v>
      </c>
      <c r="E65" s="302" t="str">
        <f>VLOOKUP(B65,定義!B:H,6,FALSE)</f>
        <v>居住者および訪問経験者のアンケートより、対象都市の街路や屋外空間が清潔に保たれているかどうかの度合い。</v>
      </c>
      <c r="F65" s="302" t="str">
        <f>VLOOKUP(B65,定義!B:H,6,FALSE)</f>
        <v>居住者および訪問経験者のアンケートより、対象都市の街路や屋外空間が清潔に保たれているかどうかの度合い。</v>
      </c>
      <c r="G65" s="301" t="str">
        <f t="shared" si="1"/>
        <v>2024_60_都市空間の清潔さ.xlsm</v>
      </c>
    </row>
    <row r="66" spans="2:7">
      <c r="B66" s="304" t="s">
        <v>597</v>
      </c>
      <c r="C66" s="303" t="str">
        <f>VLOOKUP(B66,指標!B:H,7,FALSE)</f>
        <v>国際線直行便就航都市数</v>
      </c>
      <c r="D66" s="302" t="str">
        <f>VLOOKUP(B66,指標!B:K,10,FALSE)</f>
        <v>都市</v>
      </c>
      <c r="E66" s="302" t="str">
        <f>VLOOKUP(B66,定義!B:H,6,FALSE)</f>
        <v>OAGの"Schedule Analyser"における対象都市を出発地もしくは到着地とする航空旅客便(定期便、直行便のみ)の輸送実績を有する都市数。</v>
      </c>
      <c r="F66" s="302" t="str">
        <f>VLOOKUP(B66,定義!B:H,6,FALSE)</f>
        <v>OAGの"Schedule Analyser"における対象都市を出発地もしくは到着地とする航空旅客便(定期便、直行便のみ)の輸送実績を有する都市数。</v>
      </c>
      <c r="G66" s="301" t="str">
        <f t="shared" si="1"/>
        <v>2024_61_国際線直行便就航都市数.xlsm</v>
      </c>
    </row>
    <row r="67" spans="2:7">
      <c r="B67" s="304" t="s">
        <v>598</v>
      </c>
      <c r="C67" s="303" t="str">
        <f>VLOOKUP(B67,指標!B:H,7,FALSE)</f>
        <v>国際貨物流通規模</v>
      </c>
      <c r="D67" s="302" t="str">
        <f>VLOOKUP(B67,指標!B:K,10,FALSE)</f>
        <v>（合算）</v>
      </c>
      <c r="E67" s="302" t="str">
        <f>VLOOKUP(B67,定義!B:H,6,FALSE)</f>
        <v>以下のデータを指数化したものの平均値：①American Journal of Transportationの"AJOT’s Top 100 Containerports A to Z"における対象都市の港湾貨物量、②Airports Council Internationalの"Annual Traffic Data"における対象都市の空港の航空国際貨物量。</v>
      </c>
      <c r="F67" s="302" t="str">
        <f>VLOOKUP(B67,定義!B:H,6,FALSE)</f>
        <v>以下のデータを指数化したものの平均値：①American Journal of Transportationの"AJOT’s Top 100 Containerports A to Z"における対象都市の港湾貨物量、②Airports Council Internationalの"Annual Traffic Data"における対象都市の空港の航空国際貨物量。</v>
      </c>
      <c r="G67" s="301" t="str">
        <f t="shared" ref="G67:G75" si="2">CONCATENATE($J$2,"_",B67,"_",C67,".xlsm")</f>
        <v>2024_62_国際貨物流通規模.xlsm</v>
      </c>
    </row>
    <row r="68" spans="2:7">
      <c r="B68" s="304" t="s">
        <v>599</v>
      </c>
      <c r="C68" s="303" t="str">
        <f>VLOOKUP(B68,指標!B:H,7,FALSE)</f>
        <v>国内・国際線旅客数</v>
      </c>
      <c r="D68" s="302" t="str">
        <f>VLOOKUP(B68,指標!B:K,10,FALSE)</f>
        <v>人</v>
      </c>
      <c r="E68" s="302" t="str">
        <f>VLOOKUP(B68,定義!B:H,6,FALSE)</f>
        <v>対象都市の空港の国内線・国際線の合計年間旅客数。</v>
      </c>
      <c r="F68" s="302" t="str">
        <f>VLOOKUP(B68,定義!B:H,6,FALSE)</f>
        <v>対象都市の空港の国内線・国際線の合計年間旅客数。</v>
      </c>
      <c r="G68" s="301" t="str">
        <f t="shared" si="2"/>
        <v>2024_63_国内・国際線旅客数.xlsm</v>
      </c>
    </row>
    <row r="69" spans="2:7">
      <c r="B69" s="304" t="s">
        <v>600</v>
      </c>
      <c r="C69" s="303" t="str">
        <f>VLOOKUP(B69,指標!B:H,7,FALSE)</f>
        <v>航空機の発着回数</v>
      </c>
      <c r="D69" s="302" t="str">
        <f>VLOOKUP(B69,指標!B:K,10,FALSE)</f>
        <v>回</v>
      </c>
      <c r="E69" s="302" t="str">
        <f>VLOOKUP(B69,定義!B:H,6,FALSE)</f>
        <v>OAGの"Schedule Analyser"における対象都市の空港(2019年の国際線旅客数100万人以上)における航空会社の運航計画に基づいた国内線・国際線発着回数。</v>
      </c>
      <c r="F69" s="302" t="str">
        <f>VLOOKUP(B69,定義!B:H,6,FALSE)</f>
        <v>OAGの"Schedule Analyser"における対象都市の空港(2019年の国際線旅客数100万人以上)における航空会社の運航計画に基づいた国内線・国際線発着回数。</v>
      </c>
      <c r="G69" s="301" t="str">
        <f t="shared" si="2"/>
        <v>2024_64_航空機の発着回数.xlsm</v>
      </c>
    </row>
    <row r="70" spans="2:7">
      <c r="B70" s="304" t="s">
        <v>601</v>
      </c>
      <c r="C70" s="303" t="str">
        <f>VLOOKUP(B70,指標!B:H,7,FALSE)</f>
        <v>駅密度</v>
      </c>
      <c r="D70" s="302" t="str">
        <f>VLOOKUP(B70,指標!B:K,10,FALSE)</f>
        <v>駅/k㎡</v>
      </c>
      <c r="E70" s="302" t="str">
        <f>VLOOKUP(B70,定義!B:H,6,FALSE)</f>
        <v>OpenStreetMapに掲載されている対象都市の中心点から10km圏内に所在する鉄道とトラムの駅数(トラムは駅名が重複するものを除く)を当該面積で除した密度。</v>
      </c>
      <c r="F70" s="302" t="str">
        <f>VLOOKUP(B70,定義!B:H,6,FALSE)</f>
        <v>OpenStreetMapに掲載されている対象都市の中心点から10km圏内に所在する鉄道とトラムの駅数(トラムは駅名が重複するものを除く)を当該面積で除した密度。</v>
      </c>
      <c r="G70" s="301" t="str">
        <f t="shared" si="2"/>
        <v>2024_65_駅密度.xlsm</v>
      </c>
    </row>
    <row r="71" spans="2:7">
      <c r="B71" s="304" t="s">
        <v>602</v>
      </c>
      <c r="C71" s="303" t="str">
        <f>VLOOKUP(B71,指標!B:H,7,FALSE)</f>
        <v>公共交通機関利用率</v>
      </c>
      <c r="D71" s="302" t="str">
        <f>VLOOKUP(B71,指標!B:K,10,FALSE)</f>
        <v>%</v>
      </c>
      <c r="E71" s="302" t="str">
        <f>VLOOKUP(B71,定義!B:H,6,FALSE)</f>
        <v>Numbeoの"Traffic"における、対象都市の通勤・通学時の公共交通機関の利用者割合を公共交通機関、自動車、バイクの利用者割合の合計で除した割合。</v>
      </c>
      <c r="F71" s="302" t="str">
        <f>VLOOKUP(B71,定義!B:H,6,FALSE)</f>
        <v>Numbeoの"Traffic"における、対象都市の通勤・通学時の公共交通機関の利用者割合を公共交通機関、自動車、バイクの利用者割合の合計で除した割合。</v>
      </c>
      <c r="G71" s="301" t="str">
        <f t="shared" si="2"/>
        <v>2024_66_公共交通機関利用率.xlsm</v>
      </c>
    </row>
    <row r="72" spans="2:7">
      <c r="B72" s="304" t="s">
        <v>603</v>
      </c>
      <c r="C72" s="303" t="str">
        <f>VLOOKUP(B72,指標!B:H,7,FALSE)</f>
        <v>空港アクセス時間の短さ</v>
      </c>
      <c r="D72" s="302" t="str">
        <f>VLOOKUP(B72,指標!B:K,10,FALSE)</f>
        <v>分（平均）</v>
      </c>
      <c r="E72" s="302" t="str">
        <f>VLOOKUP(B72,定義!B:H,6,FALSE)</f>
        <v>対象都市の空港から対象都市の中心点までの片道最短所要時間。複数の空港が存在する場合は各空港の全旅客数で加重平均を取った。</v>
      </c>
      <c r="F72" s="302" t="str">
        <f>VLOOKUP(B72,定義!B:H,6,FALSE)</f>
        <v>対象都市の空港から対象都市の中心点までの片道最短所要時間。複数の空港が存在する場合は各空港の全旅客数で加重平均を取った。</v>
      </c>
      <c r="G72" s="301" t="str">
        <f t="shared" si="2"/>
        <v>2024_67_空港アクセス時間の短さ.xlsm</v>
      </c>
    </row>
    <row r="73" spans="2:7">
      <c r="B73" s="304" t="s">
        <v>604</v>
      </c>
      <c r="C73" s="303" t="str">
        <f>VLOOKUP(B73,指標!B:H,7,FALSE)</f>
        <v>通勤・通学時間の短さ</v>
      </c>
      <c r="D73" s="302" t="str">
        <f>VLOOKUP(B73,指標!B:K,10,FALSE)</f>
        <v>分（平均）</v>
      </c>
      <c r="E73" s="302" t="str">
        <f>VLOOKUP(B73,定義!B:H,6,FALSE)</f>
        <v>以下のデータを指数化した値の平均値：①Numbeoの"Traffic"における対象都市で通勤・通学にかかる片道所要時間、②居住者アンケートより、対象都市で通勤・通学にかかる片道所要時間。</v>
      </c>
      <c r="F73" s="302" t="str">
        <f>VLOOKUP(B73,定義!B:H,6,FALSE)</f>
        <v>以下のデータを指数化した値の平均値：①Numbeoの"Traffic"における対象都市で通勤・通学にかかる片道所要時間、②居住者アンケートより、対象都市で通勤・通学にかかる片道所要時間。</v>
      </c>
      <c r="G73" s="301" t="str">
        <f t="shared" si="2"/>
        <v>2024_68_通勤・通学時間の短さ.xlsm</v>
      </c>
    </row>
    <row r="74" spans="2:7">
      <c r="B74" s="304" t="s">
        <v>605</v>
      </c>
      <c r="C74" s="303" t="str">
        <f>VLOOKUP(B74,指標!B:H,7,FALSE)</f>
        <v>自動車の移動速度</v>
      </c>
      <c r="D74" s="302" t="str">
        <f>VLOOKUP(B74,指標!B:K,10,FALSE)</f>
        <v>km/h</v>
      </c>
      <c r="E74" s="302" t="str">
        <f>VLOOKUP(B74,定義!B:H,6,FALSE)</f>
        <v>TomTomの "Traffic Index "に基づき算出された10kmあたりの自動車の平均速度。</v>
      </c>
      <c r="F74" s="302" t="str">
        <f>VLOOKUP(B74,定義!B:H,6,FALSE)</f>
        <v>TomTomの "Traffic Index "に基づき算出された10kmあたりの自動車の平均速度。</v>
      </c>
      <c r="G74" s="301" t="str">
        <f t="shared" si="2"/>
        <v>2024_69_自動車の移動速度.xlsm</v>
      </c>
    </row>
    <row r="75" spans="2:7">
      <c r="B75" s="304" t="s">
        <v>606</v>
      </c>
      <c r="C75" s="303" t="str">
        <f>VLOOKUP(B75,指標!B:H,7,FALSE)</f>
        <v>タクシー・自転車での移動のしやすさ</v>
      </c>
      <c r="D75" s="302" t="str">
        <f>VLOOKUP(B75,指標!B:K,10,FALSE)</f>
        <v>（合算）</v>
      </c>
      <c r="E75" s="302" t="str">
        <f>VLOOKUP(B75,定義!B:H,6,FALSE)</f>
        <v>以下のデータを指数化したものの平均値：①対象都市を5km走行した場合のタクシー運賃、②Lukoの"Bicycle Cities Index"のTotal scoreの値。</v>
      </c>
      <c r="F75" s="302" t="str">
        <f>VLOOKUP(B75,定義!B:H,6,FALSE)</f>
        <v>以下のデータを指数化したものの平均値：①対象都市を5km走行した場合のタクシー運賃、②Lukoの"Bicycle Cities Index"のTotal scoreの値。</v>
      </c>
      <c r="G75" s="301" t="str">
        <f t="shared" si="2"/>
        <v>2024_70_タクシー・自転車での移動のしやすさ.xlsm</v>
      </c>
    </row>
  </sheetData>
  <phoneticPr fontId="5"/>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9</vt:i4>
      </vt:variant>
    </vt:vector>
  </HeadingPairs>
  <TitlesOfParts>
    <vt:vector size="40" baseType="lpstr">
      <vt:lpstr>JPEN</vt:lpstr>
      <vt:lpstr>マスタ▶</vt:lpstr>
      <vt:lpstr>都市</vt:lpstr>
      <vt:lpstr>定義</vt:lpstr>
      <vt:lpstr>指標</vt:lpstr>
      <vt:lpstr>中心地</vt:lpstr>
      <vt:lpstr>Python0831</vt:lpstr>
      <vt:lpstr>結果▶</vt:lpstr>
      <vt:lpstr>生データ</vt:lpstr>
      <vt:lpstr>スコア</vt:lpstr>
      <vt:lpstr>順位</vt:lpstr>
      <vt:lpstr>偏差値</vt:lpstr>
      <vt:lpstr>アクター</vt:lpstr>
      <vt:lpstr>図表▶</vt:lpstr>
      <vt:lpstr>結果表</vt:lpstr>
      <vt:lpstr>プレス用</vt:lpstr>
      <vt:lpstr>レーダー</vt:lpstr>
      <vt:lpstr>総合横棒</vt:lpstr>
      <vt:lpstr>順位経年</vt:lpstr>
      <vt:lpstr>偏差値経年</vt:lpstr>
      <vt:lpstr>スコア経年</vt:lpstr>
      <vt:lpstr>分野経年</vt:lpstr>
      <vt:lpstr>指標縦棒</vt:lpstr>
      <vt:lpstr>一括収集▶</vt:lpstr>
      <vt:lpstr>データソース</vt:lpstr>
      <vt:lpstr>年次</vt:lpstr>
      <vt:lpstr>出典</vt:lpstr>
      <vt:lpstr>範囲</vt:lpstr>
      <vt:lpstr>定義収集</vt:lpstr>
      <vt:lpstr>コメント収集</vt:lpstr>
      <vt:lpstr>年度リセット</vt:lpstr>
      <vt:lpstr>スコア経年!Print_Area</vt:lpstr>
      <vt:lpstr>プレス用!Print_Area</vt:lpstr>
      <vt:lpstr>レーダー!Print_Area</vt:lpstr>
      <vt:lpstr>結果表!Print_Area</vt:lpstr>
      <vt:lpstr>順位経年!Print_Area</vt:lpstr>
      <vt:lpstr>総合横棒!Print_Area</vt:lpstr>
      <vt:lpstr>分野経年!Print_Area</vt:lpstr>
      <vt:lpstr>偏差値経年!Print_Area</vt:lpstr>
      <vt:lpstr>定義!Print_Titles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hiromi-jimbo</dc:creator>
  <cp:lastModifiedBy>Norio Yamato</cp:lastModifiedBy>
  <cp:lastPrinted>2023-09-21T04:51:45Z</cp:lastPrinted>
  <dcterms:created xsi:type="dcterms:W3CDTF">2019-06-20T04:36:26Z</dcterms:created>
  <dcterms:modified xsi:type="dcterms:W3CDTF">2024-09-09T01:54:29Z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252823b693994de6855b0a01c991181a</vt:lpwstr>
  </property>
</Properties>
</file>